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26.xml" ContentType="application/vnd.openxmlformats-officedocument.spreadsheetml.worksheet+xml"/>
  <Override PartName="/xl/worksheets/sheet14.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6.xml.rels" ContentType="application/vnd.openxmlformats-package.relationships+xml"/>
  <Override PartName="/xl/worksheets/_rels/sheet14.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17.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externalLinks/_rels/externalLink11.xml.rels" ContentType="application/vnd.openxmlformats-package.relationships+xml"/>
  <Override PartName="/xl/externalLinks/_rels/externalLink4.xml.rels" ContentType="application/vnd.openxmlformats-package.relationships+xml"/>
  <Override PartName="/xl/externalLinks/_rels/externalLink14.xml.rels" ContentType="application/vnd.openxmlformats-package.relationships+xml"/>
  <Override PartName="/xl/externalLinks/_rels/externalLink7.xml.rels" ContentType="application/vnd.openxmlformats-package.relationships+xml"/>
  <Override PartName="/xl/externalLinks/_rels/externalLink1.xml.rels" ContentType="application/vnd.openxmlformats-package.relationships+xml"/>
  <Override PartName="/xl/externalLinks/_rels/externalLink12.xml.rels" ContentType="application/vnd.openxmlformats-package.relationships+xml"/>
  <Override PartName="/xl/externalLinks/_rels/externalLink8.xml.rels" ContentType="application/vnd.openxmlformats-package.relationships+xml"/>
  <Override PartName="/xl/externalLinks/_rels/externalLink2.xml.rels" ContentType="application/vnd.openxmlformats-package.relationships+xml"/>
  <Override PartName="/xl/externalLinks/_rels/externalLink5.xml.rels" ContentType="application/vnd.openxmlformats-package.relationships+xml"/>
  <Override PartName="/xl/externalLinks/_rels/externalLink13.xml.rels" ContentType="application/vnd.openxmlformats-package.relationships+xml"/>
  <Override PartName="/xl/externalLinks/_rels/externalLink9.xml.rels" ContentType="application/vnd.openxmlformats-package.relationships+xml"/>
  <Override PartName="/xl/externalLinks/_rels/externalLink6.xml.rels" ContentType="application/vnd.openxmlformats-package.relationships+xml"/>
  <Override PartName="/xl/externalLinks/_rels/externalLink10.xml.rels" ContentType="application/vnd.openxmlformats-package.relationships+xml"/>
  <Override PartName="/xl/externalLinks/_rels/externalLink3.xml.rels" ContentType="application/vnd.openxmlformats-package.relationships+xml"/>
  <Override PartName="/xl/externalLinks/externalLink11.xml" ContentType="application/vnd.openxmlformats-officedocument.spreadsheetml.externalLink+xml"/>
  <Override PartName="/xl/externalLinks/externalLink14.xml" ContentType="application/vnd.openxmlformats-officedocument.spreadsheetml.externalLink+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media/image2.png" ContentType="image/png"/>
  <Override PartName="/xl/charts/chart34.xml" ContentType="application/vnd.openxmlformats-officedocument.drawingml.chart+xml"/>
  <Override PartName="/xl/charts/chart33.xml" ContentType="application/vnd.openxmlformats-officedocument.drawingml.chart+xml"/>
  <Override PartName="/xl/charts/chart32.xml" ContentType="application/vnd.openxmlformats-officedocument.drawingml.chart+xml"/>
  <Override PartName="/xl/charts/chart31.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28.xml" ContentType="application/vnd.openxmlformats-officedocument.drawingml.chart+xml"/>
  <Override PartName="/xl/charts/chart27.xml" ContentType="application/vnd.openxmlformats-officedocument.drawingml.chart+xml"/>
  <Override PartName="/xl/charts/chart26.xml" ContentType="application/vnd.openxmlformats-officedocument.drawingml.chart+xml"/>
  <Override PartName="/xl/charts/chart44.xml" ContentType="application/vnd.openxmlformats-officedocument.drawingml.chart+xml"/>
  <Override PartName="/xl/charts/chart43.xml" ContentType="application/vnd.openxmlformats-officedocument.drawingml.chart+xml"/>
  <Override PartName="/xl/charts/chart42.xml" ContentType="application/vnd.openxmlformats-officedocument.drawingml.chart+xml"/>
  <Override PartName="/xl/charts/chart41.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38.xml" ContentType="application/vnd.openxmlformats-officedocument.drawingml.chart+xml"/>
  <Override PartName="/xl/charts/chart37.xml" ContentType="application/vnd.openxmlformats-officedocument.drawingml.chart+xml"/>
  <Override PartName="/xl/charts/chart25.xml" ContentType="application/vnd.openxmlformats-officedocument.drawingml.chart+xml"/>
  <Override PartName="/xl/charts/chart36.xml" ContentType="application/vnd.openxmlformats-officedocument.drawingml.chart+xml"/>
  <Override PartName="/xl/charts/chart24.xml" ContentType="application/vnd.openxmlformats-officedocument.drawingml.chart+xml"/>
  <Override PartName="/xl/charts/chart23.xml" ContentType="application/vnd.openxmlformats-officedocument.drawingml.chart+xml"/>
  <Override PartName="/xl/charts/chart35.xml" ContentType="application/vnd.openxmlformats-officedocument.drawingml.chart+xml"/>
  <Override PartName="/xl/tables/table3.xml" ContentType="application/vnd.openxmlformats-officedocument.spreadsheetml.table+xml"/>
  <Override PartName="/xl/tables/table4.xml" ContentType="application/vnd.openxmlformats-officedocument.spreadsheetml.table+xml"/>
  <Override PartName="/xl/tables/table2.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1.xml" ContentType="application/vnd.openxmlformats-officedocument.spreadsheetml.table+xml"/>
  <Override PartName="/xl/drawings/_rels/drawing3.xml.rels" ContentType="application/vnd.openxmlformats-package.relationships+xml"/>
  <Override PartName="/xl/drawings/_rels/drawing2.xml.rels" ContentType="application/vnd.openxmlformats-package.relationships+xml"/>
  <Override PartName="/xl/drawings/_rels/drawing6.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_rels/pivotTable7.xml.rels" ContentType="application/vnd.openxmlformats-package.relationships+xml"/>
  <Override PartName="/xl/pivotTables/_rels/pivotTable8.xml.rels" ContentType="application/vnd.openxmlformats-package.relationships+xml"/>
  <Override PartName="/xl/pivotTables/_rels/pivotTable13.xml.rels" ContentType="application/vnd.openxmlformats-package.relationships+xml"/>
  <Override PartName="/xl/pivotTables/_rels/pivotTable9.xml.rels" ContentType="application/vnd.openxmlformats-package.relationships+xml"/>
  <Override PartName="/xl/pivotTables/_rels/pivotTable11.xml.rels" ContentType="application/vnd.openxmlformats-package.relationships+xml"/>
  <Override PartName="/xl/pivotTables/_rels/pivotTable12.xml.rels" ContentType="application/vnd.openxmlformats-package.relationships+xml"/>
  <Override PartName="/xl/pivotTables/_rels/pivotTable14.xml.rels" ContentType="application/vnd.openxmlformats-package.relationships+xml"/>
  <Override PartName="/xl/pivotTables/_rels/pivotTable1.xml.rels" ContentType="application/vnd.openxmlformats-package.relationships+xml"/>
  <Override PartName="/xl/pivotTables/_rels/pivotTable4.xml.rels" ContentType="application/vnd.openxmlformats-package.relationships+xml"/>
  <Override PartName="/xl/pivotTables/_rels/pivotTable15.xml.rels" ContentType="application/vnd.openxmlformats-package.relationships+xml"/>
  <Override PartName="/xl/pivotTables/_rels/pivotTable2.xml.rels" ContentType="application/vnd.openxmlformats-package.relationships+xml"/>
  <Override PartName="/xl/pivotTables/_rels/pivotTable5.xml.rels" ContentType="application/vnd.openxmlformats-package.relationships+xml"/>
  <Override PartName="/xl/pivotTables/_rels/pivotTable3.xml.rels" ContentType="application/vnd.openxmlformats-package.relationships+xml"/>
  <Override PartName="/xl/pivotTables/_rels/pivotTable6.xml.rels" ContentType="application/vnd.openxmlformats-package.relationships+xml"/>
  <Override PartName="/xl/pivotTables/_rels/pivotTable10.xml.rels" ContentType="application/vnd.openxmlformats-package.relationships+xml"/>
  <Override PartName="/xl/pivotTables/pivotTable13.xml" ContentType="application/vnd.openxmlformats-officedocument.spreadsheetml.pivotTable+xml"/>
  <Override PartName="/xl/pivotTables/pivotTable9.xml" ContentType="application/vnd.openxmlformats-officedocument.spreadsheetml.pivotTable+xml"/>
  <Override PartName="/xl/pivotTables/pivotTable15.xml" ContentType="application/vnd.openxmlformats-officedocument.spreadsheetml.pivotTable+xml"/>
  <Override PartName="/xl/pivotTables/pivotTable14.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10.xml" ContentType="application/vnd.openxmlformats-officedocument.spreadsheetml.pivotTable+xml"/>
  <Override PartName="/xl/pivotTables/pivotTable7.xml" ContentType="application/vnd.openxmlformats-officedocument.spreadsheetml.pivotTable+xml"/>
  <Override PartName="/xl/pivotTables/pivotTable11.xml" ContentType="application/vnd.openxmlformats-officedocument.spreadsheetml.pivotTable+xml"/>
  <Override PartName="/xl/pivotTables/pivotTable8.xml" ContentType="application/vnd.openxmlformats-officedocument.spreadsheetml.pivotTab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3.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5" activeTab="5"/>
  </bookViews>
  <sheets>
    <sheet name="Sheet1" sheetId="1" state="hidden" r:id="rId2"/>
    <sheet name="Sheet2" sheetId="2" state="hidden" r:id="rId3"/>
    <sheet name="Sheet3" sheetId="3" state="hidden" r:id="rId4"/>
    <sheet name="Sheet5" sheetId="4" state="hidden" r:id="rId5"/>
    <sheet name="Sheet6" sheetId="5" state="hidden" r:id="rId6"/>
    <sheet name="Data Sheet Aug-2021" sheetId="6" state="visible" r:id="rId7"/>
    <sheet name="Sheet7" sheetId="7" state="hidden" r:id="rId8"/>
    <sheet name="Sheet8" sheetId="8" state="hidden" r:id="rId9"/>
    <sheet name="Sheet4" sheetId="9" state="visible" r:id="rId10"/>
    <sheet name="Report summary" sheetId="10" state="hidden" r:id="rId11"/>
    <sheet name="PVA" sheetId="11" state="hidden" r:id="rId12"/>
    <sheet name="Prod Summary" sheetId="12" state="hidden" r:id="rId13"/>
    <sheet name="Item Data Support Sheet" sheetId="13" state="hidden" r:id="rId14"/>
    <sheet name="OEE%." sheetId="14" state="hidden" r:id="rId15"/>
    <sheet name="Manpower &amp; Gwr" sheetId="15" state="hidden" r:id="rId16"/>
    <sheet name="Standard Cycle time" sheetId="16" state="hidden" r:id="rId17"/>
    <sheet name="Rej Trend" sheetId="17" state="hidden" r:id="rId18"/>
    <sheet name="Mold-Machine details" sheetId="18" state="hidden" r:id="rId19"/>
    <sheet name="Std Mold Change over Time" sheetId="19" state="hidden" r:id="rId20"/>
    <sheet name="Material Yield Trend" sheetId="20" state="hidden" r:id="rId21"/>
    <sheet name="LIM-1 Trial" sheetId="21" state="hidden" r:id="rId22"/>
    <sheet name="plan" sheetId="22" state="visible" r:id="rId23"/>
    <sheet name="actual" sheetId="23" state="visible" r:id="rId24"/>
    <sheet name="detailed-actual" sheetId="24" state="visible" r:id="rId25"/>
    <sheet name="oee" sheetId="25" state="visible" r:id="rId26"/>
    <sheet name="pp-output" sheetId="26" state="visible"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function="false" hidden="true" localSheetId="5" name="_xlnm._FilterDatabase" vbProcedure="false">'Data Sheet Aug-2021'!$B$3:$FU$363</definedName>
    <definedName function="false" hidden="true" localSheetId="12" name="_xlnm._FilterDatabase" vbProcedure="false">'Item Data Support Sheet'!$A$1:$IV$805</definedName>
    <definedName function="false" hidden="true" localSheetId="14" name="_xlnm._FilterDatabase" vbProcedure="false">'Manpower &amp; Gwr'!$C$2:$C$66</definedName>
    <definedName function="false" hidden="false" name="a" vbProcedure="false">#REF!</definedName>
    <definedName function="false" hidden="false" name="a277Print_Titles" vbProcedure="false">#REF!</definedName>
    <definedName function="false" hidden="false" name="aa" vbProcedure="false">#REF!</definedName>
    <definedName function="false" hidden="false" name="AA0160N" vbProcedure="false">#REF!</definedName>
    <definedName function="false" hidden="false" name="ab" vbProcedure="false">#REF!</definedName>
    <definedName function="false" hidden="false" name="abc" vbProcedure="false">#REF!</definedName>
    <definedName function="false" hidden="false" name="abnormal" vbProcedure="false">#REF!</definedName>
    <definedName function="false" hidden="false" name="AC" vbProcedure="false">[1]List!$E$2:$E$20</definedName>
    <definedName function="false" hidden="false" name="AccessDatabase" vbProcedure="false">"C:\SAMEER\MGMTR\MINUTES.mdb"</definedName>
    <definedName function="false" hidden="false" name="Access_Button" vbProcedure="false">"MINUTES_M20__2__List"</definedName>
    <definedName function="false" hidden="false" name="account_sum" vbProcedure="false">'[3]科目（fs-311）' #REF!</definedName>
    <definedName function="false" hidden="false" name="ADDITIONS" vbProcedure="false">#REF!</definedName>
    <definedName function="false" hidden="false" name="ADJUSTMENTS" vbProcedure="false">#REF!</definedName>
    <definedName function="false" hidden="false" name="adminexp" vbProcedure="false">#REF!</definedName>
    <definedName function="false" hidden="false" name="AEFOBE_" vbProcedure="false">#REF!</definedName>
    <definedName function="false" hidden="false" name="AEFOB_" vbProcedure="false">#REF!</definedName>
    <definedName function="false" hidden="false" name="AELDE_" vbProcedure="false">#REF!</definedName>
    <definedName function="false" hidden="false" name="AELDM_" vbProcedure="false">#REF!</definedName>
    <definedName function="false" hidden="false" name="AELD_" vbProcedure="false">#REF!</definedName>
    <definedName function="false" hidden="false" name="AE_E_" vbProcedure="false">#REF!</definedName>
    <definedName function="false" hidden="false" name="AE__" vbProcedure="false">#REF!</definedName>
    <definedName function="false" hidden="false" name="aho" vbProcedure="false">#REF!</definedName>
    <definedName function="false" hidden="false" name="aircompressor" vbProcedure="false">#REF!</definedName>
    <definedName function="false" hidden="false" name="AK" vbProcedure="false">#REF!</definedName>
    <definedName function="false" hidden="false" name="ALFOBE_" vbProcedure="false">#REF!</definedName>
    <definedName function="false" hidden="false" name="ALFOB_" vbProcedure="false">#REF!</definedName>
    <definedName function="false" hidden="false" name="ALLDE_" vbProcedure="false">#REF!</definedName>
    <definedName function="false" hidden="false" name="ALLDM_" vbProcedure="false">#REF!</definedName>
    <definedName function="false" hidden="false" name="ALLD_" vbProcedure="false">#REF!</definedName>
    <definedName function="false" hidden="false" name="ALLO_C_ALL" vbProcedure="false">#REF!</definedName>
    <definedName function="false" hidden="false" name="ALLO_C_HEALTH" vbProcedure="false">#REF!</definedName>
    <definedName function="false" hidden="false" name="ALLO_C_IKUJI" vbProcedure="false">#REF!</definedName>
    <definedName function="false" hidden="false" name="ALLO_C_KAIGO" vbProcedure="false">#REF!</definedName>
    <definedName function="false" hidden="false" name="ALLO_C_OTHER" vbProcedure="false">#REF!</definedName>
    <definedName function="false" hidden="false" name="ALLO_I_ALL" vbProcedure="false">#REF!</definedName>
    <definedName function="false" hidden="false" name="ALLO_I_HEALTH" vbProcedure="false">#REF!</definedName>
    <definedName function="false" hidden="false" name="ALLO_I_HOIKU" vbProcedure="false">#REF!</definedName>
    <definedName function="false" hidden="false" name="ALLO_I_IKUJI" vbProcedure="false">#REF!</definedName>
    <definedName function="false" hidden="false" name="ALLO_I_JYOSEI" vbProcedure="false">#REF!</definedName>
    <definedName function="false" hidden="false" name="ALLO_I_KAIGO" vbProcedure="false">#REF!</definedName>
    <definedName function="false" hidden="false" name="ALLO_I_OTHER" vbProcedure="false">#REF!</definedName>
    <definedName function="false" hidden="false" name="AL_E_" vbProcedure="false">#REF!</definedName>
    <definedName function="false" hidden="false" name="AL__" vbProcedure="false">#REF!</definedName>
    <definedName function="false" hidden="false" name="ANA" vbProcedure="false">#REF!</definedName>
    <definedName function="false" hidden="false" name="anscount" vbProcedure="false">3</definedName>
    <definedName function="false" hidden="false" name="APEX1_S_06_List" vbProcedure="false">#REF!</definedName>
    <definedName function="false" hidden="false" name="appl" vbProcedure="false">#REF!</definedName>
    <definedName function="false" hidden="false" name="AS2DocOpenMode" vbProcedure="false">"AS2DocumentEdit"</definedName>
    <definedName function="false" hidden="false" name="asa" vbProcedure="false">#REF!</definedName>
    <definedName function="false" hidden="false" name="ASP" vbProcedure="false">#REF!</definedName>
    <definedName function="false" hidden="false" name="Ass" vbProcedure="false">#REF!</definedName>
    <definedName function="false" hidden="false" name="asx" vbProcedure="false">#REF!</definedName>
    <definedName function="false" hidden="false" name="ATN" vbProcedure="false">#REF!</definedName>
    <definedName function="false" hidden="false" name="AUGST" vbProcedure="false">#REF!</definedName>
    <definedName function="false" hidden="false" name="b" vbProcedure="false">#REF!</definedName>
    <definedName function="false" hidden="false" name="balancesheet" vbProcedure="false">#REF!</definedName>
    <definedName function="false" hidden="false" name="Bang_cly" vbProcedure="false">#REF!</definedName>
    <definedName function="false" hidden="false" name="Bang_CVC" vbProcedure="false">#REF!</definedName>
    <definedName function="false" hidden="false" name="bang_gia" vbProcedure="false">#REF!</definedName>
    <definedName function="false" hidden="false" name="Bang_travl" vbProcedure="false">#REF!</definedName>
    <definedName function="false" hidden="false" name="bentonite" vbProcedure="false">#REF!</definedName>
    <definedName function="false" hidden="false" name="BF1_" vbProcedure="false">#REF!</definedName>
    <definedName function="false" hidden="false" name="BF2_" vbProcedure="false">#REF!</definedName>
    <definedName function="false" hidden="false" name="BF3_" vbProcedure="false">#REF!</definedName>
    <definedName function="false" hidden="false" name="BFBS" vbProcedure="false">#REF!</definedName>
    <definedName function="false" hidden="false" name="BFES" vbProcedure="false">#REF!</definedName>
    <definedName function="false" hidden="false" name="BFS" vbProcedure="false">#REF!</definedName>
    <definedName function="false" hidden="false" name="Book2" vbProcedure="false">#REF!</definedName>
    <definedName function="false" hidden="false" name="BOQ" vbProcedure="false">#REF!</definedName>
    <definedName function="false" hidden="false" name="BORDER2" vbProcedure="false">#REF!</definedName>
    <definedName function="false" hidden="false" name="BS" vbProcedure="false">#REF!</definedName>
    <definedName function="false" hidden="false" name="BT" vbProcedure="false">#REF!</definedName>
    <definedName function="false" hidden="false" name="btcocnhoi" vbProcedure="false">#REF!</definedName>
    <definedName function="false" hidden="false" name="BVCISUMMARY" vbProcedure="false">#REF!</definedName>
    <definedName function="false" hidden="false" name="BY" vbProcedure="false">#N/A</definedName>
    <definedName function="false" hidden="false" name="B_VND" vbProcedure="false">0.05</definedName>
    <definedName function="false" hidden="false" name="B_YEN" vbProcedure="false">0.1</definedName>
    <definedName function="false" hidden="false" name="C.1.1..Phat_tuyen" vbProcedure="false">#REF!</definedName>
    <definedName function="false" hidden="false" name="C.1.10..VC_Thu_cong_CG" vbProcedure="false">#REF!</definedName>
    <definedName function="false" hidden="false" name="C.1.2..Chat_cay_thu_cong" vbProcedure="false">#REF!</definedName>
    <definedName function="false" hidden="false" name="C.1.3..Chat_cay_may" vbProcedure="false">#REF!</definedName>
    <definedName function="false" hidden="false" name="C.1.4..Dao_goc_cay" vbProcedure="false">#REF!</definedName>
    <definedName function="false" hidden="false" name="C.1.5..Lam_duong_tam" vbProcedure="false">#REF!</definedName>
    <definedName function="false" hidden="false" name="C.1.6..Lam_cau_tam" vbProcedure="false">#REF!</definedName>
    <definedName function="false" hidden="false" name="C.1.7..Rai_da_chong_lun" vbProcedure="false">#REF!</definedName>
    <definedName function="false" hidden="false" name="C.1.8..Lam_kho_tam" vbProcedure="false">#REF!</definedName>
    <definedName function="false" hidden="false" name="C.1.8..San_mat_bang" vbProcedure="false">#REF!</definedName>
    <definedName function="false" hidden="false" name="C.2.1..VC_Thu_cong" vbProcedure="false">#REF!</definedName>
    <definedName function="false" hidden="false" name="C.2.2..VC_T_cong_CG" vbProcedure="false">#REF!</definedName>
    <definedName function="false" hidden="false" name="C.2.3..Boc_do" vbProcedure="false">#REF!</definedName>
    <definedName function="false" hidden="false" name="C.3.1..Dao_dat_mong_cot" vbProcedure="false">#REF!</definedName>
    <definedName function="false" hidden="false" name="C.3.2..Dao_dat_de_dap" vbProcedure="false">#REF!</definedName>
    <definedName function="false" hidden="false" name="C.3.3..Dap_dat_mong" vbProcedure="false">#REF!</definedName>
    <definedName function="false" hidden="false" name="C.3.4..Dao_dap_TDia" vbProcedure="false">#REF!</definedName>
    <definedName function="false" hidden="false" name="C.3.5..Dap_bo_bao" vbProcedure="false">#REF!</definedName>
    <definedName function="false" hidden="false" name="C.3.6..Bom_tat_nuoc" vbProcedure="false">#REF!</definedName>
    <definedName function="false" hidden="false" name="C.3.7..Dao_bun" vbProcedure="false">#REF!</definedName>
    <definedName function="false" hidden="false" name="C.3.8..Dap_cat_CT" vbProcedure="false">#REF!</definedName>
    <definedName function="false" hidden="false" name="C.3.9..Dao_pha_da" vbProcedure="false">#REF!</definedName>
    <definedName function="false" hidden="false" name="C.4.1.Cot_thep" vbProcedure="false">#REF!</definedName>
    <definedName function="false" hidden="false" name="C.4.2..Van_khuon" vbProcedure="false">#REF!</definedName>
    <definedName function="false" hidden="false" name="C.4.3..Be_tong" vbProcedure="false">#REF!</definedName>
    <definedName function="false" hidden="false" name="C.4.4..Lap_BT_D.San" vbProcedure="false">#REF!</definedName>
    <definedName function="false" hidden="false" name="C.4.5..Xay_da_hoc" vbProcedure="false">#REF!</definedName>
    <definedName function="false" hidden="false" name="C.4.6..Dong_coc" vbProcedure="false">#REF!</definedName>
    <definedName function="false" hidden="false" name="C.4.7..Quet_Bi_tum" vbProcedure="false">#REF!</definedName>
    <definedName function="false" hidden="false" name="C.5.1..Lap_cot_thep" vbProcedure="false">#REF!</definedName>
    <definedName function="false" hidden="false" name="C.5.2..Lap_cot_BT" vbProcedure="false">#REF!</definedName>
    <definedName function="false" hidden="false" name="C.5.3..Lap_dat_xa" vbProcedure="false">#REF!</definedName>
    <definedName function="false" hidden="false" name="C.5.4..Lap_tiep_dia" vbProcedure="false">#REF!</definedName>
    <definedName function="false" hidden="false" name="C.5.5..Son_sat_thep" vbProcedure="false">#REF!</definedName>
    <definedName function="false" hidden="false" name="C.6.1..Lap_su_dung" vbProcedure="false">#REF!</definedName>
    <definedName function="false" hidden="false" name="C.6.2..Lap_su_CS" vbProcedure="false">#REF!</definedName>
    <definedName function="false" hidden="false" name="C.6.3..Su_chuoi_do" vbProcedure="false">#REF!</definedName>
    <definedName function="false" hidden="false" name="C.6.4..Su_chuoi_neo" vbProcedure="false">#REF!</definedName>
    <definedName function="false" hidden="false" name="C.6.5..Lap_phu_kien" vbProcedure="false">#REF!</definedName>
    <definedName function="false" hidden="false" name="C.6.6..Ep_noi_day" vbProcedure="false">#REF!</definedName>
    <definedName function="false" hidden="false" name="C.6.7..KD_vuot_CN" vbProcedure="false">#REF!</definedName>
    <definedName function="false" hidden="false" name="C.6.8..Rai_cang_day" vbProcedure="false">#REF!</definedName>
    <definedName function="false" hidden="false" name="C.6.9..Cap_quang" vbProcedure="false">#REF!</definedName>
    <definedName function="false" hidden="false" name="CAL" vbProcedure="false">#REF!</definedName>
    <definedName function="false" hidden="false" name="CAPEX" vbProcedure="false">#REF!</definedName>
    <definedName function="false" hidden="false" name="Car_Build" vbProcedure="false">#REF!</definedName>
    <definedName function="false" hidden="false" name="CAR_Volumes" vbProcedure="false">#REF!</definedName>
    <definedName function="false" hidden="false" name="cash" vbProcedure="false">#REF!</definedName>
    <definedName function="false" hidden="false" name="cash1" vbProcedure="false">#REF!</definedName>
    <definedName function="false" hidden="false" name="cash2" vbProcedure="false">#REF!</definedName>
    <definedName function="false" hidden="false" name="CCCCP" vbProcedure="false">#N/A</definedName>
    <definedName function="false" hidden="false" name="CCCTP" vbProcedure="false">#N/A</definedName>
    <definedName function="false" hidden="false" name="CCDCGR2" vbProcedure="false">#REF!</definedName>
    <definedName function="false" hidden="false" name="CCDJC" vbProcedure="false">#REF!</definedName>
    <definedName function="false" hidden="false" name="CCDJCP" vbProcedure="false">#REF!</definedName>
    <definedName function="false" hidden="false" name="CCDN2D" vbProcedure="false">#REF!</definedName>
    <definedName function="false" hidden="false" name="CCDSMG32" vbProcedure="false">#REF!</definedName>
    <definedName function="false" hidden="false" name="CCFUT3RXL" vbProcedure="false">#REF!</definedName>
    <definedName function="false" hidden="false" name="CCLH2NY" vbProcedure="false">#REF!</definedName>
    <definedName function="false" hidden="false" name="CCLH3CO" vbProcedure="false">#REF!</definedName>
    <definedName function="false" hidden="false" name="CCLH3IN2" vbProcedure="false">#REF!</definedName>
    <definedName function="false" hidden="false" name="CCLH3NY2" vbProcedure="false">#REF!</definedName>
    <definedName function="false" hidden="false" name="CCLLX2" vbProcedure="false">#REF!</definedName>
    <definedName function="false" hidden="false" name="CCMCP" vbProcedure="false">#N/A</definedName>
    <definedName function="false" hidden="false" name="CCMTP" vbProcedure="false">#N/A</definedName>
    <definedName function="false" hidden="false" name="CCNCV2" vbProcedure="false">#REF!</definedName>
    <definedName function="false" hidden="false" name="CCPL2SU" vbProcedure="false">#REF!</definedName>
    <definedName function="false" hidden="false" name="CCPLDMV2" vbProcedure="false">#REF!</definedName>
    <definedName function="false" hidden="false" name="CCPLDSU" vbProcedure="false">#REF!</definedName>
    <definedName function="false" hidden="false" name="CCPPROW" vbProcedure="false">#REF!</definedName>
    <definedName function="false" hidden="false" name="CCPS2" vbProcedure="false">#REF!</definedName>
    <definedName function="false" hidden="false" name="CCT33RM" vbProcedure="false">#REF!</definedName>
    <definedName function="false" hidden="false" name="CCT33W" vbProcedure="false">#REF!</definedName>
    <definedName function="false" hidden="false" name="CCTCSW2" vbProcedure="false">#REF!</definedName>
    <definedName function="false" hidden="false" name="CCTDGHWGN2" vbProcedure="false">#REF!</definedName>
    <definedName function="false" hidden="false" name="CCTDM80" vbProcedure="false">#REF!</definedName>
    <definedName function="false" hidden="false" name="CCTDSD" vbProcedure="false">#REF!</definedName>
    <definedName function="false" hidden="false" name="CCTDSM" vbProcedure="false">#REF!</definedName>
    <definedName function="false" hidden="false" name="CCTFVIA" vbProcedure="false">#REF!</definedName>
    <definedName function="false" hidden="false" name="CCTHMSPU" vbProcedure="false">#REF!</definedName>
    <definedName function="false" hidden="false" name="CCTLX2" vbProcedure="false">#REF!</definedName>
    <definedName function="false" hidden="false" name="CCTMSUV" vbProcedure="false">#REF!</definedName>
    <definedName function="false" hidden="false" name="CCTNSR2" vbProcedure="false">#REF!</definedName>
    <definedName function="false" hidden="false" name="CCTPT2" vbProcedure="false">#REF!</definedName>
    <definedName function="false" hidden="false" name="CCTRSRCAR" vbProcedure="false">#REF!</definedName>
    <definedName function="false" hidden="false" name="CCTRSRTC" vbProcedure="false">#REF!</definedName>
    <definedName function="false" hidden="false" name="CCTRTNCC" vbProcedure="false">#REF!</definedName>
    <definedName function="false" hidden="false" name="CCTRTRCRM" vbProcedure="false">#REF!</definedName>
    <definedName function="false" hidden="false" name="CCTXJ" vbProcedure="false">#REF!</definedName>
    <definedName function="false" hidden="false" name="CCTXJ3C" vbProcedure="false">#REF!</definedName>
    <definedName function="false" hidden="false" name="CCTXJC" vbProcedure="false">#REF!</definedName>
    <definedName function="false" hidden="false" name="CCUSCP" vbProcedure="false">#N/A</definedName>
    <definedName function="false" hidden="false" name="CCUSTP" vbProcedure="false">#N/A</definedName>
    <definedName function="false" hidden="false" name="CFCDMZM2" vbProcedure="false">#REF!</definedName>
    <definedName function="false" hidden="false" name="CFCDWE" vbProcedure="false">#REF!</definedName>
    <definedName function="false" hidden="false" name="CFCDWMXL" vbProcedure="false">#REF!</definedName>
    <definedName function="false" hidden="false" name="CFCW1702" vbProcedure="false">#REF!</definedName>
    <definedName function="false" hidden="false" name="CFCWFF" vbProcedure="false">#REF!</definedName>
    <definedName function="false" hidden="false" name="CFCWFOC2" vbProcedure="false">#REF!</definedName>
    <definedName function="false" hidden="false" name="CFD258M" vbProcedure="false">#REF!</definedName>
    <definedName function="false" hidden="false" name="CFDEW2LS" vbProcedure="false">#REF!</definedName>
    <definedName function="false" hidden="false" name="CFEA" vbProcedure="false">#REF!</definedName>
    <definedName function="false" hidden="false" name="CFEA2CV" vbProcedure="false">#REF!</definedName>
    <definedName function="false" hidden="false" name="CFEA2LTC" vbProcedure="false">#REF!</definedName>
    <definedName function="false" hidden="false" name="CFEA2MGM" vbProcedure="false">#REF!</definedName>
    <definedName function="false" hidden="false" name="cfk" vbProcedure="false">#REF!</definedName>
    <definedName function="false" hidden="false" name="CFLNCP2F" vbProcedure="false">#REF!</definedName>
    <definedName function="false" hidden="false" name="CFLNCP2M" vbProcedure="false">#REF!</definedName>
    <definedName function="false" hidden="false" name="CFLX" vbProcedure="false">#REF!</definedName>
    <definedName function="false" hidden="false" name="CFLX350" vbProcedure="false">#REF!</definedName>
    <definedName function="false" hidden="false" name="CFTCRS" vbProcedure="false">#REF!</definedName>
    <definedName function="false" hidden="false" name="CFTD258M" vbProcedure="false">#REF!</definedName>
    <definedName function="false" hidden="false" name="CFTE169" vbProcedure="false">#REF!</definedName>
    <definedName function="false" hidden="false" name="CFTFCMAV" vbProcedure="false">#REF!</definedName>
    <definedName function="false" hidden="false" name="CFTMCSUV" vbProcedure="false">#REF!</definedName>
    <definedName function="false" hidden="false" name="CFTPN" vbProcedure="false">#REF!</definedName>
    <definedName function="false" hidden="false" name="CFTV2" vbProcedure="false">#REF!</definedName>
    <definedName function="false" hidden="false" name="CFTV2E" vbProcedure="false">#REF!</definedName>
    <definedName function="false" hidden="false" name="CFU377F" vbProcedure="false">#REF!</definedName>
    <definedName function="false" hidden="false" name="CFU377M" vbProcedure="false">#REF!</definedName>
    <definedName function="false" hidden="false" name="CFU377MZ" vbProcedure="false">#REF!</definedName>
    <definedName function="false" hidden="false" name="CFUN1" vbProcedure="false">#REF!</definedName>
    <definedName function="false" hidden="false" name="CFUN1EX" vbProcedure="false">#REF!</definedName>
    <definedName function="false" hidden="false" name="CFWD379SP" vbProcedure="false">#REF!</definedName>
    <definedName function="false" hidden="false" name="CFWMD380" vbProcedure="false">#REF!</definedName>
    <definedName function="false" hidden="false" name="CGBEPTSN" vbProcedure="false">#REF!</definedName>
    <definedName function="false" hidden="false" name="CGBKVE" vbProcedure="false">#REF!</definedName>
    <definedName function="false" hidden="false" name="CGCCAM" vbProcedure="false">#REF!</definedName>
    <definedName function="false" hidden="false" name="CGCRS" vbProcedure="false">#REF!</definedName>
    <definedName function="false" hidden="false" name="CGDELBENG" vbProcedure="false">#REF!</definedName>
    <definedName function="false" hidden="false" name="CGEPLP2" vbProcedure="false">#REF!</definedName>
    <definedName function="false" hidden="false" name="CGEPMALI" vbProcedure="false">#REF!</definedName>
    <definedName function="false" hidden="false" name="CGEPS2" vbProcedure="false">#REF!</definedName>
    <definedName function="false" hidden="false" name="CGGAM1CCM" vbProcedure="false">#REF!</definedName>
    <definedName function="false" hidden="false" name="CGRDCA2" vbProcedure="false">#REF!</definedName>
    <definedName function="false" hidden="false" name="CGRDCS2" vbProcedure="false">#REF!</definedName>
    <definedName function="false" hidden="false" name="CGRDMAV2" vbProcedure="false">#REF!</definedName>
    <definedName function="false" hidden="false" name="CGSATION2" vbProcedure="false">#REF!</definedName>
    <definedName function="false" hidden="false" name="CGSCSKY" vbProcedure="false">#REF!</definedName>
    <definedName function="false" hidden="false" name="CGSIG2" vbProcedure="false">#REF!</definedName>
    <definedName function="false" hidden="false" name="CGSIGMAM" vbProcedure="false">#REF!</definedName>
    <definedName function="false" hidden="false" name="CGSIGMGP" vbProcedure="false">#REF!</definedName>
    <definedName function="false" hidden="false" name="CGSMGTO" vbProcedure="false">#REF!</definedName>
    <definedName function="false" hidden="false" name="CGSSGA" vbProcedure="false">[1]List!$F$2:$F$3</definedName>
    <definedName function="false" hidden="false" name="CGT306GJS" vbProcedure="false">#REF!</definedName>
    <definedName function="false" hidden="false" name="CGT361B" vbProcedure="false">#REF!</definedName>
    <definedName function="false" hidden="false" name="CGT361B98" vbProcedure="false">#REF!</definedName>
    <definedName function="false" hidden="false" name="CGT361J" vbProcedure="false">#REF!</definedName>
    <definedName function="false" hidden="false" name="CGT371CB" vbProcedure="false">#REF!</definedName>
    <definedName function="false" hidden="false" name="CGT371GE" vbProcedure="false">#REF!</definedName>
    <definedName function="false" hidden="false" name="CGT900C" vbProcedure="false">#REF!</definedName>
    <definedName function="false" hidden="false" name="CGT900G" vbProcedure="false">#REF!</definedName>
    <definedName function="false" hidden="false" name="CGT990C" vbProcedure="false">#REF!</definedName>
    <definedName function="false" hidden="false" name="CGT990G" vbProcedure="false">#REF!</definedName>
    <definedName function="false" hidden="false" name="CGTAPV3B" vbProcedure="false">#REF!</definedName>
    <definedName function="false" hidden="false" name="CGTAPV3L" vbProcedure="false">#REF!</definedName>
    <definedName function="false" hidden="false" name="CGTBCSUV2" vbProcedure="false">#REF!</definedName>
    <definedName function="false" hidden="false" name="CGTBKVAN" vbProcedure="false">#REF!</definedName>
    <definedName function="false" hidden="false" name="CGTCK" vbProcedure="false">#REF!</definedName>
    <definedName function="false" hidden="false" name="CGTCKC" vbProcedure="false">#REF!</definedName>
    <definedName function="false" hidden="false" name="CGTCPU" vbProcedure="false">#REF!</definedName>
    <definedName function="false" hidden="false" name="CGTCTDEL2" vbProcedure="false">#REF!</definedName>
    <definedName function="false" hidden="false" name="CGTDLS2" vbProcedure="false">#REF!</definedName>
    <definedName function="false" hidden="false" name="CGTGAM" vbProcedure="false">#REF!</definedName>
    <definedName function="false" hidden="false" name="CGTHUMH22" vbProcedure="false">#REF!</definedName>
    <definedName function="false" hidden="false" name="CGTHUMHX" vbProcedure="false">#REF!</definedName>
    <definedName function="false" hidden="false" name="CGTLAMGES" vbProcedure="false">#REF!</definedName>
    <definedName function="false" hidden="false" name="CGTS3IZ" vbProcedure="false">#REF!</definedName>
    <definedName function="false" hidden="false" name="CGTSATVAN" vbProcedure="false">#REF!</definedName>
    <definedName function="false" hidden="false" name="CGTSIG2" vbProcedure="false">#REF!</definedName>
    <definedName function="false" hidden="false" name="CGTSSRTPV" vbProcedure="false">#REF!</definedName>
    <definedName function="false" hidden="false" name="CGTSU3O" vbProcedure="false">#REF!</definedName>
    <definedName function="false" hidden="false" name="CGTTHTA" vbProcedure="false">#REF!</definedName>
    <definedName function="false" hidden="false" name="CGW2LU" vbProcedure="false">#REF!</definedName>
    <definedName function="false" hidden="false" name="chiyoko" vbProcedure="false">#REF!</definedName>
    <definedName function="false" hidden="false" name="chung" vbProcedure="false">66</definedName>
    <definedName function="false" hidden="false" name="clip" vbProcedure="false">#REF!</definedName>
    <definedName function="false" hidden="false" name="CNmLst" vbProcedure="false">#REF!</definedName>
    <definedName function="false" hidden="false" name="Co" vbProcedure="false">#REF!</definedName>
    <definedName function="false" hidden="false" name="COAT" vbProcedure="false">#REF!</definedName>
    <definedName function="false" hidden="false" name="Code" vbProcedure="false">[2]Master!$B$2:$B$715</definedName>
    <definedName function="false" hidden="false" name="COLOR" vbProcedure="false">#REF!</definedName>
    <definedName function="false" hidden="false" name="COMMON" vbProcedure="false">#REF!</definedName>
    <definedName function="false" hidden="false" name="comp" vbProcedure="false">#REF!</definedName>
    <definedName function="false" hidden="false" name="Company" vbProcedure="false">[1]List!$I$2:$I$20</definedName>
    <definedName function="false" hidden="false" name="CON" vbProcedure="false">#REF!</definedName>
    <definedName function="false" hidden="false" name="CONC25" vbProcedure="false">#REF!</definedName>
    <definedName function="false" hidden="false" name="CONC30" vbProcedure="false">#REF!</definedName>
    <definedName function="false" hidden="false" name="CONCS25" vbProcedure="false">#REF!</definedName>
    <definedName function="false" hidden="false" name="CONCS30" vbProcedure="false">#REF!</definedName>
    <definedName function="false" hidden="false" name="Cong_HM_DTCT" vbProcedure="false">#REF!</definedName>
    <definedName function="false" hidden="false" name="Cong_M_DTCT" vbProcedure="false">#REF!</definedName>
    <definedName function="false" hidden="false" name="Cong_NC_DTCT" vbProcedure="false">#REF!</definedName>
    <definedName function="false" hidden="false" name="Cong_VL_DTCT" vbProcedure="false">#REF!</definedName>
    <definedName function="false" hidden="false" name="CONS" vbProcedure="false">#REF!</definedName>
    <definedName function="false" hidden="false" name="Control" vbProcedure="false">#REF!</definedName>
    <definedName function="false" hidden="false" name="CON_EQP_COS" vbProcedure="false">#REF!</definedName>
    <definedName function="false" hidden="false" name="COPL" vbProcedure="false">#REF!</definedName>
    <definedName function="false" hidden="false" name="Cost_of_Material" vbProcedure="false">#REF!</definedName>
    <definedName function="false" hidden="false" name="Cost_of_Scrap" vbProcedure="false">#REF!</definedName>
    <definedName function="false" hidden="false" name="cot7.5" vbProcedure="false">#REF!</definedName>
    <definedName function="false" hidden="false" name="cot8.5" vbProcedure="false">#REF!</definedName>
    <definedName function="false" hidden="false" name="Country" vbProcedure="false">[1]List!$K$2:$K$100</definedName>
    <definedName function="false" hidden="false" name="COVER" vbProcedure="false">#REF!</definedName>
    <definedName function="false" hidden="false" name="cpc" vbProcedure="false">#REF!</definedName>
    <definedName function="false" hidden="false" name="CRITINST" vbProcedure="false">#REF!</definedName>
    <definedName function="false" hidden="false" name="CRITPURC" vbProcedure="false">#REF!</definedName>
    <definedName function="false" hidden="false" name="CS" vbProcedure="false">#REF!</definedName>
    <definedName function="false" hidden="false" name="CS_10" vbProcedure="false">#REF!</definedName>
    <definedName function="false" hidden="false" name="CS_100" vbProcedure="false">#REF!</definedName>
    <definedName function="false" hidden="false" name="CS_10S" vbProcedure="false">#REF!</definedName>
    <definedName function="false" hidden="false" name="CS_120" vbProcedure="false">#REF!</definedName>
    <definedName function="false" hidden="false" name="CS_140" vbProcedure="false">#REF!</definedName>
    <definedName function="false" hidden="false" name="CS_160" vbProcedure="false">#REF!</definedName>
    <definedName function="false" hidden="false" name="CS_20" vbProcedure="false">#REF!</definedName>
    <definedName function="false" hidden="false" name="CS_30" vbProcedure="false">#REF!</definedName>
    <definedName function="false" hidden="false" name="CS_40" vbProcedure="false">#REF!</definedName>
    <definedName function="false" hidden="false" name="CS_40S" vbProcedure="false">#REF!</definedName>
    <definedName function="false" hidden="false" name="CS_5S" vbProcedure="false">#REF!</definedName>
    <definedName function="false" hidden="false" name="CS_60" vbProcedure="false">#REF!</definedName>
    <definedName function="false" hidden="false" name="CS_80" vbProcedure="false">#REF!</definedName>
    <definedName function="false" hidden="false" name="CS_80S" vbProcedure="false">#REF!</definedName>
    <definedName function="false" hidden="false" name="CS_STD" vbProcedure="false">#REF!</definedName>
    <definedName function="false" hidden="false" name="CS_XS" vbProcedure="false">#REF!</definedName>
    <definedName function="false" hidden="false" name="CS_XXS" vbProcedure="false">#REF!</definedName>
    <definedName function="false" hidden="false" name="CTBMWE39" vbProcedure="false">#REF!</definedName>
    <definedName function="false" hidden="false" name="CTBMWE90" vbProcedure="false">#REF!</definedName>
    <definedName function="false" hidden="false" name="CTBMWE90Z" vbProcedure="false">#REF!</definedName>
    <definedName function="false" hidden="false" name="CTCAM2" vbProcedure="false">#REF!</definedName>
    <definedName function="false" hidden="false" name="CTCAM2CGM" vbProcedure="false">#REF!</definedName>
    <definedName function="false" hidden="false" name="CTCAM2SS" vbProcedure="false">#REF!</definedName>
    <definedName function="false" hidden="false" name="CTCBMWE34" vbProcedure="false">#REF!</definedName>
    <definedName function="false" hidden="false" name="CTCCP" vbProcedure="false">#N/A</definedName>
    <definedName function="false" hidden="false" name="CTCSBB" vbProcedure="false">#REF!</definedName>
    <definedName function="false" hidden="false" name="CTCTP" vbProcedure="false">#N/A</definedName>
    <definedName function="false" hidden="false" name="CTHA9C" vbProcedure="false">#REF!</definedName>
    <definedName function="false" hidden="false" name="CTHFIT" vbProcedure="false">#REF!</definedName>
    <definedName function="false" hidden="false" name="CTHTL1A4" vbProcedure="false">#REF!</definedName>
    <definedName function="false" hidden="false" name="CTHUQ2" vbProcedure="false">#REF!</definedName>
    <definedName function="false" hidden="false" name="CTHVC3" vbProcedure="false">#REF!</definedName>
    <definedName function="false" hidden="false" name="ctiep" vbProcedure="false">#REF!</definedName>
    <definedName function="false" hidden="false" name="CTMCP" vbProcedure="false">#N/A</definedName>
    <definedName function="false" hidden="false" name="CTMTP" vbProcedure="false">#N/A</definedName>
    <definedName function="false" hidden="false" name="CTNRSC3XL" vbProcedure="false">#REF!</definedName>
    <definedName function="false" hidden="false" name="CTNSCW84" vbProcedure="false">#REF!</definedName>
    <definedName function="false" hidden="false" name="CTNSS2" vbProcedure="false">#REF!</definedName>
    <definedName function="false" hidden="false" name="CTNSS2EXL" vbProcedure="false">#REF!</definedName>
    <definedName function="false" hidden="false" name="CTNST2" vbProcedure="false">#REF!</definedName>
    <definedName function="false" hidden="false" name="CTNST3I2" vbProcedure="false">#REF!</definedName>
    <definedName function="false" hidden="false" name="CTNST3Q2" vbProcedure="false">#REF!</definedName>
    <definedName function="false" hidden="false" name="CTNSTSB" vbProcedure="false">#REF!</definedName>
    <definedName function="false" hidden="false" name="CTNSTZ2" vbProcedure="false">#REF!</definedName>
    <definedName function="false" hidden="false" name="CTNSUBBXL" vbProcedure="false">#REF!</definedName>
    <definedName function="false" hidden="false" name="CTNTK2" vbProcedure="false">#REF!</definedName>
    <definedName function="false" hidden="false" name="CTNUWGP3" vbProcedure="false">#REF!</definedName>
    <definedName function="false" hidden="false" name="CTSU55A" vbProcedure="false">#REF!</definedName>
    <definedName function="false" hidden="false" name="CTSUIMP" vbProcedure="false">#REF!</definedName>
    <definedName function="false" hidden="false" name="CTSUSA92" vbProcedure="false">#REF!</definedName>
    <definedName function="false" hidden="false" name="CTT330N2" vbProcedure="false">#REF!</definedName>
    <definedName function="false" hidden="false" name="CTT330N2TC" vbProcedure="false">#REF!</definedName>
    <definedName function="false" hidden="false" name="CTT4RNX" vbProcedure="false">#REF!</definedName>
    <definedName function="false" hidden="false" name="CTTCTWGN" vbProcedure="false">#REF!</definedName>
    <definedName function="false" hidden="false" name="CTTHEX2" vbProcedure="false">#REF!</definedName>
    <definedName function="false" hidden="false" name="CTTHPUM2" vbProcedure="false">#REF!</definedName>
    <definedName function="false" hidden="false" name="CTTHSUT2" vbProcedure="false">#REF!</definedName>
    <definedName function="false" hidden="false" name="CTTHSUV2" vbProcedure="false">#REF!</definedName>
    <definedName function="false" hidden="false" name="CTTLX470" vbProcedure="false">#REF!</definedName>
    <definedName function="false" hidden="false" name="CTTNST3CXL" vbProcedure="false">#REF!</definedName>
    <definedName function="false" hidden="false" name="CTTSEQA" vbProcedure="false">#REF!</definedName>
    <definedName function="false" hidden="false" name="CTTT4RUNX" vbProcedure="false">#REF!</definedName>
    <definedName function="false" hidden="false" name="CTTTMC" vbProcedure="false">#REF!</definedName>
    <definedName function="false" hidden="false" name="CTTTPMAV3" vbProcedure="false">#REF!</definedName>
    <definedName function="false" hidden="false" name="CTTTSBB" vbProcedure="false">#REF!</definedName>
    <definedName function="false" hidden="false" name="CTTTYC3TH" vbProcedure="false">#REF!</definedName>
    <definedName function="false" hidden="false" name="CTTTYC4" vbProcedure="false">#REF!</definedName>
    <definedName function="false" hidden="false" name="CTTTYPRV3" vbProcedure="false">#REF!</definedName>
    <definedName function="false" hidden="false" name="CTTTYRAVT2" vbProcedure="false">#REF!</definedName>
    <definedName function="false" hidden="false" name="CTTTYRX3" vbProcedure="false">#REF!</definedName>
    <definedName function="false" hidden="false" name="CTTTYS5" vbProcedure="false">#REF!</definedName>
    <definedName function="false" hidden="false" name="CTTVW350" vbProcedure="false">#REF!</definedName>
    <definedName function="false" hidden="false" name="CTTYC2" vbProcedure="false">#REF!</definedName>
    <definedName function="false" hidden="false" name="CTTYC2A" vbProcedure="false">#REF!</definedName>
    <definedName function="false" hidden="false" name="CTTYC3C2" vbProcedure="false">#REF!</definedName>
    <definedName function="false" hidden="false" name="CTTYC4" vbProcedure="false">#REF!</definedName>
    <definedName function="false" hidden="false" name="CTTYS3C" vbProcedure="false">#REF!</definedName>
    <definedName function="false" hidden="false" name="CTTYS3W" vbProcedure="false">#REF!</definedName>
    <definedName function="false" hidden="false" name="CTUSCP" vbProcedure="false">#N/A</definedName>
    <definedName function="false" hidden="false" name="CTUSTP" vbProcedure="false">#N/A</definedName>
    <definedName function="false" hidden="false" name="CTVW240" vbProcedure="false">#REF!</definedName>
    <definedName function="false" hidden="false" name="CTVWGMPV" vbProcedure="false">#REF!</definedName>
    <definedName function="false" hidden="false" name="CTVWGOL" vbProcedure="false">#REF!</definedName>
    <definedName function="false" hidden="false" name="cuoc_vc" vbProcedure="false">#REF!</definedName>
    <definedName function="false" hidden="false" name="Currency" vbProcedure="false">[1]List!$D$2:$D$20</definedName>
    <definedName function="false" hidden="false" name="current" vbProcedure="false">#REF!</definedName>
    <definedName function="false" hidden="false" name="CU_LY" vbProcedure="false">#REF!</definedName>
    <definedName function="false" hidden="false" name="cx" vbProcedure="false">#REF!</definedName>
    <definedName function="false" hidden="false" name="CY_PY" vbProcedure="false">#REF!</definedName>
    <definedName function="false" hidden="false" name="C_" vbProcedure="false">#REF!</definedName>
    <definedName function="false" hidden="false" name="C_VND" vbProcedure="false">0.03</definedName>
    <definedName function="false" hidden="false" name="C_YEN" vbProcedure="false">0.1</definedName>
    <definedName function="false" hidden="false" name="d" vbProcedure="false">#REF!</definedName>
    <definedName function="false" hidden="false" name="dam" vbProcedure="false">78000</definedName>
    <definedName function="false" hidden="false" name="data" vbProcedure="false">#REF!</definedName>
    <definedName function="false" hidden="false" name="DBE" vbProcedure="false">OFFSET(#REF!,0,0,COUNTA(#REF!),COUNTA(#REF!))</definedName>
    <definedName function="false" hidden="false" name="DBE_CH" vbProcedure="false">INDEX(DBE,1, )</definedName>
    <definedName function="false" hidden="false" name="DBE_LnHdr" vbProcedure="false">INDEX(DBE, ,MATCH("LnHdr",DBE_CH,0))</definedName>
    <definedName function="false" hidden="false" name="DBE_Mnt" vbProcedure="false">INDEX(DBE, ,MATCH("Month",DBE_CH,0))</definedName>
    <definedName function="false" hidden="false" name="DBE_Unt" vbProcedure="false">INDEX(DBE, ,MATCH("Unit",DBE_CH,0))</definedName>
    <definedName function="false" hidden="false" name="DBF" vbProcedure="false">OFFSET(#REF!,0,0,COUNTA(#REF!),COUNTA(#REF!))</definedName>
    <definedName function="false" hidden="false" name="DBF_CH" vbProcedure="false">INDEX(DBF,1, )</definedName>
    <definedName function="false" hidden="false" name="DBF_LnHdr" vbProcedure="false">INDEX(DBF, ,MATCH("LnHdr",DBF_CH,0))</definedName>
    <definedName function="false" hidden="false" name="DBF_Mnt" vbProcedure="false">INDEX(DBF, ,MATCH("Month",DBF_CH,0))</definedName>
    <definedName function="false" hidden="false" name="DBF_Unt" vbProcedure="false">INDEX(DBF, ,MATCH("Unit",DBF_CH,0))</definedName>
    <definedName function="false" hidden="false" name="DBQ" vbProcedure="false">OFFSET(#REF!,0,0,COUNTA(#REF!),COUNTA(#REF!))</definedName>
    <definedName function="false" hidden="false" name="DBQ_CH" vbProcedure="false">INDEX(DBQ,1, )</definedName>
    <definedName function="false" hidden="false" name="DBq_LnHdr" vbProcedure="false">INDEX(DBQ, ,MATCH("LnHdr",DBQ_CH,0))</definedName>
    <definedName function="false" hidden="false" name="DBQ_Mnt" vbProcedure="false">INDEX(DBQ, ,MATCH("Month",DBQ_CH,0))</definedName>
    <definedName function="false" hidden="false" name="DBQ_Unt" vbProcedure="false">INDEX(DBQ, ,MATCH("Unit",DBQ_CH,0))</definedName>
    <definedName function="false" hidden="false" name="denbu" vbProcedure="false">#REF!</definedName>
    <definedName function="false" hidden="false" name="den_bu" vbProcedure="false">#REF!</definedName>
    <definedName function="false" hidden="false" name="depre" vbProcedure="false">#REF!</definedName>
    <definedName function="false" hidden="false" name="Depreciation" vbProcedure="false">[1]List!$H$2:$H$6</definedName>
    <definedName function="false" hidden="false" name="Desc" vbProcedure="false">#REF!</definedName>
    <definedName function="false" hidden="false" name="DETAIL" vbProcedure="false">#REF!</definedName>
    <definedName function="false" hidden="false" name="DETAIL2" vbProcedure="false">#REF!</definedName>
    <definedName function="false" hidden="false" name="Details" vbProcedure="false">[3]Master!$B$4:$U$33</definedName>
    <definedName function="false" hidden="false" name="df" vbProcedure="false">#REF!</definedName>
    <definedName function="false" hidden="false" name="DGCTI592" vbProcedure="false">#REF!</definedName>
    <definedName function="false" hidden="false" name="dhom" vbProcedure="false">#REF!</definedName>
    <definedName function="false" hidden="false" name="DIS" vbProcedure="false">#REF!</definedName>
    <definedName function="false" hidden="false" name="DSUMDATA" vbProcedure="false">#REF!</definedName>
    <definedName function="false" hidden="false" name="duoi" vbProcedure="false">#REF!</definedName>
    <definedName function="false" hidden="false" name="DutoanDongmo" vbProcedure="false">#REF!</definedName>
    <definedName function="false" hidden="false" name="dw" vbProcedure="false">#REF!</definedName>
    <definedName function="false" hidden="false" name="e" vbProcedure="false">#REF!</definedName>
    <definedName function="false" hidden="false" name="ECON._ADJ." vbProcedure="false">#REF!</definedName>
    <definedName function="false" hidden="false" name="EDIT__END__LEFT__DEL___DOWN" vbProcedure="false">#REF!</definedName>
    <definedName function="false" hidden="false" name="EF" vbProcedure="false">#REF!</definedName>
    <definedName function="false" hidden="false" name="Elx" vbProcedure="false">#REF!,#REF!,#REF!,#REF!,#REF!,#REF!,#REF!,#REF!,#REF!</definedName>
    <definedName function="false" hidden="false" name="End_1" vbProcedure="false">#REF!</definedName>
    <definedName function="false" hidden="false" name="End_10" vbProcedure="false">#REF!</definedName>
    <definedName function="false" hidden="false" name="End_11" vbProcedure="false">#REF!</definedName>
    <definedName function="false" hidden="false" name="End_12" vbProcedure="false">#REF!</definedName>
    <definedName function="false" hidden="false" name="End_13" vbProcedure="false">#REF!</definedName>
    <definedName function="false" hidden="false" name="End_2" vbProcedure="false">#REF!</definedName>
    <definedName function="false" hidden="false" name="End_3" vbProcedure="false">#REF!</definedName>
    <definedName function="false" hidden="false" name="End_4" vbProcedure="false">#REF!</definedName>
    <definedName function="false" hidden="false" name="End_5" vbProcedure="false">#REF!</definedName>
    <definedName function="false" hidden="false" name="End_6" vbProcedure="false">#REF!</definedName>
    <definedName function="false" hidden="false" name="End_7" vbProcedure="false">#REF!</definedName>
    <definedName function="false" hidden="false" name="End_8" vbProcedure="false">#REF!</definedName>
    <definedName function="false" hidden="false" name="End_9" vbProcedure="false">#REF!</definedName>
    <definedName function="false" hidden="false" name="ENGINEERING__DEPARTMENT" vbProcedure="false">#REF!</definedName>
    <definedName function="false" hidden="false" name="Entity" vbProcedure="false">#REF!</definedName>
    <definedName function="false" hidden="false" name="EX" vbProcedure="false">#REF!</definedName>
    <definedName function="false" hidden="false" name="ExactAddinConnection" vbProcedure="false">"200"</definedName>
    <definedName function="false" hidden="false" name="ExactAddinConnection.200" vbProcedure="false">"MACSRV;200;hliu;1"</definedName>
    <definedName function="false" hidden="false" name="EXC" vbProcedure="false">#REF!</definedName>
    <definedName function="false" hidden="false" name="Excel_BuiltIn_Print_Area_1" vbProcedure="false">#REF!</definedName>
    <definedName function="false" hidden="false" name="Excel_BuiltIn__FilterDatabase_1" vbProcedure="false">#REF!</definedName>
    <definedName function="false" hidden="false" name="Excel_BuiltIn__FilterDatabase_2" vbProcedure="false">#REF!</definedName>
    <definedName function="false" hidden="false" name="EXCH" vbProcedure="false">#REF!</definedName>
    <definedName function="false" hidden="false" name="Expenses" vbProcedure="false">#REF!</definedName>
    <definedName function="false" hidden="false" name="EXPORT" vbProcedure="false">#REF!</definedName>
    <definedName function="false" hidden="false" name="F" vbProcedure="false">#REF!</definedName>
    <definedName function="false" hidden="false" name="FAXNO" vbProcedure="false">#REF!</definedName>
    <definedName function="false" hidden="false" name="FC5_total" vbProcedure="false">#REF!</definedName>
    <definedName function="false" hidden="false" name="FC6_total" vbProcedure="false">#REF!</definedName>
    <definedName function="false" hidden="false" name="ff_ap" vbProcedure="false">#REF!</definedName>
    <definedName function="false" hidden="false" name="ff_AR" vbProcedure="false">#REF!</definedName>
    <definedName function="false" hidden="false" name="ff_Inv" vbProcedure="false">#REF!</definedName>
    <definedName function="false" hidden="false" name="finexp" vbProcedure="false">#REF!</definedName>
    <definedName function="false" hidden="false" name="FixIndex3_1" vbProcedure="false">#REF!</definedName>
    <definedName function="false" hidden="false" name="FixIndex4_1" vbProcedure="false">#REF!</definedName>
    <definedName function="false" hidden="false" name="FixIndex6_1" vbProcedure="false">#REF!</definedName>
    <definedName function="false" hidden="false" name="FMCCP" vbProcedure="false">#N/A</definedName>
    <definedName function="false" hidden="false" name="FMCTP" vbProcedure="false">#N/A</definedName>
    <definedName function="false" hidden="false" name="FMMCP" vbProcedure="false">#N/A</definedName>
    <definedName function="false" hidden="false" name="FMMTP" vbProcedure="false">#N/A</definedName>
    <definedName function="false" hidden="false" name="FMUSCP" vbProcedure="false">#N/A</definedName>
    <definedName function="false" hidden="false" name="FMUSTP" vbProcedure="false">#N/A</definedName>
    <definedName function="false" hidden="false" name="FOUR02" vbProcedure="false">#REF!</definedName>
    <definedName function="false" hidden="false" name="FOUR03" vbProcedure="false">#REF!</definedName>
    <definedName function="false" hidden="false" name="FOUR04" vbProcedure="false">#REF!</definedName>
    <definedName function="false" hidden="false" name="FOUR05" vbProcedure="false">#REF!</definedName>
    <definedName function="false" hidden="false" name="FOUR06" vbProcedure="false">#REF!</definedName>
    <definedName function="false" hidden="false" name="FOUR07" vbProcedure="false">#REF!</definedName>
    <definedName function="false" hidden="false" name="FOUR08" vbProcedure="false">#REF!</definedName>
    <definedName function="false" hidden="false" name="FOUR09" vbProcedure="false">#REF!</definedName>
    <definedName function="false" hidden="false" name="FTC" vbProcedure="false">#REF!</definedName>
    <definedName function="false" hidden="false" name="FUND" vbProcedure="false">#REF!</definedName>
    <definedName function="false" hidden="false" name="FUND2" vbProcedure="false">#REF!</definedName>
    <definedName function="false" hidden="false" name="fund3" vbProcedure="false">#REF!</definedName>
    <definedName function="false" hidden="false" name="ghip" vbProcedure="false">#REF!</definedName>
    <definedName function="false" hidden="false" name="gia" vbProcedure="false">#REF!</definedName>
    <definedName function="false" hidden="false" name="gia_tien" vbProcedure="false">#REF!</definedName>
    <definedName function="false" hidden="false" name="gia_tien_BTN" vbProcedure="false">#REF!</definedName>
    <definedName function="false" hidden="false" name="GMCCP" vbProcedure="false">#N/A</definedName>
    <definedName function="false" hidden="false" name="GMCTP" vbProcedure="false">#N/A</definedName>
    <definedName function="false" hidden="false" name="GMMCP" vbProcedure="false">#N/A</definedName>
    <definedName function="false" hidden="false" name="GMMTP" vbProcedure="false">#N/A</definedName>
    <definedName function="false" hidden="false" name="GMUSCP" vbProcedure="false">#N/A</definedName>
    <definedName function="false" hidden="false" name="GMUSTP" vbProcedure="false">#N/A</definedName>
    <definedName function="false" hidden="false" name="Group" vbProcedure="false">[4]Definition!$B$3:$B$36</definedName>
    <definedName function="false" hidden="false" name="gt" vbProcedure="false">#REF!</definedName>
    <definedName function="false" hidden="false" name="HF" vbProcedure="false">#REF!</definedName>
    <definedName function="false" hidden="false" name="HHcat" vbProcedure="false">#REF!</definedName>
    <definedName function="false" hidden="false" name="HHda" vbProcedure="false">#REF!</definedName>
    <definedName function="false" hidden="false" name="HHL" vbProcedure="false">#REF!</definedName>
    <definedName function="false" hidden="false" name="HHxm" vbProcedure="false">#REF!</definedName>
    <definedName function="false" hidden="false" name="hien" vbProcedure="false">#REF!</definedName>
    <definedName function="false" hidden="false" name="HL" vbProcedure="false">#REF!</definedName>
    <definedName function="false" hidden="false" name="HO" vbProcedure="false">#REF!</definedName>
    <definedName function="false" hidden="false" name="hoc" vbProcedure="false">55000</definedName>
    <definedName function="false" hidden="false" name="HOMEOFFICE_COST" vbProcedure="false">#REF!</definedName>
    <definedName function="false" hidden="false" name="HOME_MANP" vbProcedure="false">#REF!</definedName>
    <definedName function="false" hidden="false" name="hrapr99" vbProcedure="false">#REF!</definedName>
    <definedName function="false" hidden="false" name="HTML_CodePage" vbProcedure="false">1252</definedName>
    <definedName function="false" hidden="false" name="HTML_Control" vbProcedure="false">{"'Summary'!$A$1:$AF$43"}</definedName>
    <definedName function="false" hidden="false" name="HTML_Description" vbProcedure="false">"Summary Report"</definedName>
    <definedName function="false" hidden="false" name="HTML_Email" vbProcedure="false">""</definedName>
    <definedName function="false" hidden="false" name="HTML_Header" vbProcedure="false">"Summary"</definedName>
    <definedName function="false" hidden="false" name="HTML_LastUpdate" vbProcedure="false">"25/09/01"</definedName>
    <definedName function="false" hidden="false" name="HTML_LineAfter" vbProcedure="false">0</definedName>
    <definedName function="false" hidden="false" name="HTML_LineBefore" vbProcedure="false">0</definedName>
    <definedName function="false" hidden="false" name="HTML_Name" vbProcedure="false">"CHETAN"</definedName>
    <definedName function="false" hidden="false" name="HTML_OBDlg2" vbProcedure="false">1</definedName>
    <definedName function="false" hidden="false" name="HTML_OBDlg4" vbProcedure="false">1</definedName>
    <definedName function="false" hidden="false" name="HTML_OS" vbProcedure="false">0</definedName>
    <definedName function="false" hidden="false" name="HTML_PathFile" vbProcedure="false">"D:\MyHTML.htm"</definedName>
    <definedName function="false" hidden="false" name="HTML_Title" vbProcedure="false">"DPR-MIS-September"</definedName>
    <definedName function="false" hidden="false" name="huy" vbProcedure="false">{"'Sheet1'!$L$16"}</definedName>
    <definedName function="false" hidden="false" name="h_m4" vbProcedure="false">#REF!</definedName>
    <definedName function="false" hidden="false" name="IDLAB_COST" vbProcedure="false">#REF!</definedName>
    <definedName function="false" hidden="false" name="in" vbProcedure="false">#REF!</definedName>
    <definedName function="false" hidden="false" name="incomestat" vbProcedure="false">#REF!</definedName>
    <definedName function="false" hidden="false" name="INDMANP" vbProcedure="false">#REF!</definedName>
    <definedName function="false" hidden="false" name="INPUT" vbProcedure="false">#REF!</definedName>
    <definedName function="false" hidden="false" name="input2_1" vbProcedure="false">#REF!</definedName>
    <definedName function="false" hidden="false" name="input4_1" vbProcedure="false">#REF!</definedName>
    <definedName function="false" hidden="false" name="input6_1" vbProcedure="false">#REF!</definedName>
    <definedName function="false" hidden="false" name="input74_1" vbProcedure="false">#REF!</definedName>
    <definedName function="false" hidden="false" name="INT" vbProcedure="false">#REF!</definedName>
    <definedName function="false" hidden="false" name="IntFS" vbProcedure="false">#REF!</definedName>
    <definedName function="false" hidden="false" name="intoct" vbProcedure="false">'[5]INT-FS'!$A$4:$B$57</definedName>
    <definedName function="false" hidden="false" name="IntSales" vbProcedure="false">#REF!</definedName>
    <definedName function="false" hidden="false" name="INTT" vbProcedure="false">#REF!</definedName>
    <definedName function="false" hidden="false" name="INVEST" vbProcedure="false">#REF!</definedName>
    <definedName function="false" hidden="false" name="INVSTMNT" vbProcedure="false">#REF!</definedName>
    <definedName function="false" hidden="false" name="IPL" vbProcedure="false">#ref!nplc #REF!</definedName>
    <definedName function="false" hidden="false" name="ISVITM" vbProcedure="false">'[5]L-Sale'!$C$74:$O$77</definedName>
    <definedName function="false" hidden="false" name="ISVYTD" vbProcedure="false">'[5]L-Sale'!$C$101:$O$104</definedName>
    <definedName function="false" hidden="false" name="IT" vbProcedure="false">#REF!</definedName>
    <definedName function="false" hidden="false" name="itemcode" vbProcedure="false">#REF!</definedName>
    <definedName function="false" hidden="false" name="itemlist" vbProcedure="false">#REF!</definedName>
    <definedName function="false" hidden="false" name="IUMtx" vbProcedure="false">#REF!</definedName>
    <definedName function="false" hidden="false" name="Jan_Jun_04_Data_Base" vbProcedure="false">#REF!</definedName>
    <definedName function="false" hidden="false" name="JK100001362" vbProcedure="false">#REF!</definedName>
    <definedName function="false" hidden="false" name="JK100001365" vbProcedure="false">#REF!</definedName>
    <definedName function="false" hidden="false" name="JK100001462" vbProcedure="false">#REF!</definedName>
    <definedName function="false" hidden="false" name="JK100001466" vbProcedure="false">#REF!</definedName>
    <definedName function="false" hidden="false" name="JK100001467" vbProcedure="false">#REF!</definedName>
    <definedName function="false" hidden="false" name="JK100001485" vbProcedure="false">#REF!</definedName>
    <definedName function="false" hidden="false" name="JK100001495" vbProcedure="false">#REF!</definedName>
    <definedName function="false" hidden="false" name="JK100001497" vbProcedure="false">#REF!</definedName>
    <definedName function="false" hidden="false" name="JK100001502" vbProcedure="false">#REF!</definedName>
    <definedName function="false" hidden="false" name="JK10000600" vbProcedure="false">#REF!</definedName>
    <definedName function="false" hidden="false" name="JK10000601" vbProcedure="false">#REF!</definedName>
    <definedName function="false" hidden="false" name="JK10000636" vbProcedure="false">#REF!</definedName>
    <definedName function="false" hidden="false" name="JK10000642" vbProcedure="false">#REF!</definedName>
    <definedName function="false" hidden="false" name="JK10000644" vbProcedure="false">#REF!</definedName>
    <definedName function="false" hidden="false" name="JK10000645" vbProcedure="false">#REF!</definedName>
    <definedName function="false" hidden="false" name="JK10000704" vbProcedure="false">#REF!</definedName>
    <definedName function="false" hidden="false" name="JK10000725" vbProcedure="false">#REF!</definedName>
    <definedName function="false" hidden="false" name="JK10000813" vbProcedure="false">#REF!</definedName>
    <definedName function="false" hidden="false" name="JK10002356" vbProcedure="false">#REF!</definedName>
    <definedName function="false" hidden="false" name="JK10002358" vbProcedure="false">#REF!</definedName>
    <definedName function="false" hidden="false" name="JK10002371" vbProcedure="false">#REF!</definedName>
    <definedName function="false" hidden="false" name="JK10002375" vbProcedure="false">#REF!</definedName>
    <definedName function="false" hidden="false" name="JK10002378" vbProcedure="false">#REF!</definedName>
    <definedName function="false" hidden="false" name="JK10002398" vbProcedure="false">#REF!</definedName>
    <definedName function="false" hidden="false" name="JK10002401" vbProcedure="false">#REF!</definedName>
    <definedName function="false" hidden="false" name="JK10002404" vbProcedure="false">#REF!</definedName>
    <definedName function="false" hidden="false" name="JK10002407" vbProcedure="false">#REF!</definedName>
    <definedName function="false" hidden="false" name="JK10002409" vbProcedure="false">#REF!</definedName>
    <definedName function="false" hidden="false" name="JK10002410" vbProcedure="false">#REF!</definedName>
    <definedName function="false" hidden="false" name="JK10002414" vbProcedure="false">#REF!</definedName>
    <definedName function="false" hidden="false" name="JK10002944" vbProcedure="false">#REF!</definedName>
    <definedName function="false" hidden="false" name="JK10003822" vbProcedure="false">#REF!</definedName>
    <definedName function="false" hidden="false" name="Joy" vbProcedure="false">#REF!</definedName>
    <definedName function="false" hidden="false" name="KANDIVLI_D" vbProcedure="false">#REF!</definedName>
    <definedName function="false" hidden="false" name="KANDIVLI_P" vbProcedure="false">#REF!</definedName>
    <definedName function="false" hidden="false" name="KANDIVLI_S" vbProcedure="false">#REF!</definedName>
    <definedName function="false" hidden="false" name="kaori" vbProcedure="false">#REF!</definedName>
    <definedName function="false" hidden="false" name="kazuyo" vbProcedure="false">#REF!</definedName>
    <definedName function="false" hidden="false" name="kcong" vbProcedure="false">#REF!</definedName>
    <definedName function="false" hidden="false" name="khac" vbProcedure="false">2</definedName>
    <definedName function="false" hidden="false" name="Kiem_tra_trung_ten" vbProcedure="false">#REF!</definedName>
    <definedName function="false" hidden="false" name="KOMAX" vbProcedure="false">#REF!</definedName>
    <definedName function="false" hidden="false" name="lan" vbProcedure="false">#REF!</definedName>
    <definedName function="false" hidden="false" name="LC5_total" vbProcedure="false">#REF!</definedName>
    <definedName function="false" hidden="false" name="LC6_total" vbProcedure="false">#REF!</definedName>
    <definedName function="false" hidden="false" name="LG" vbProcedure="false">#REF!</definedName>
    <definedName function="false" hidden="false" name="limcount" vbProcedure="false">1</definedName>
    <definedName function="false" hidden="false" name="List1" vbProcedure="false">#REF!</definedName>
    <definedName function="false" hidden="false" name="List10" vbProcedure="false">#REF!</definedName>
    <definedName function="false" hidden="false" name="List11" vbProcedure="false">#REF!</definedName>
    <definedName function="false" hidden="false" name="List12" vbProcedure="false">#REF!</definedName>
    <definedName function="false" hidden="false" name="List4" vbProcedure="false">#REF!</definedName>
    <definedName function="false" hidden="false" name="List5" vbProcedure="false">#REF!</definedName>
    <definedName function="false" hidden="false" name="List6" vbProcedure="false">#REF!</definedName>
    <definedName function="false" hidden="false" name="List7" vbProcedure="false">#REF!</definedName>
    <definedName function="false" hidden="false" name="List8" vbProcedure="false">#REF!</definedName>
    <definedName function="false" hidden="false" name="List9" vbProcedure="false">#REF!</definedName>
    <definedName function="false" hidden="false" name="LL" vbProcedure="false">#REF!</definedName>
    <definedName function="false" hidden="false" name="LOSS_K" vbProcedure="false">#REF!</definedName>
    <definedName function="false" hidden="false" name="LOSS_N" vbProcedure="false">#REF!</definedName>
    <definedName function="false" hidden="false" name="LOSS_Z" vbProcedure="false">#REF!</definedName>
    <definedName function="false" hidden="false" name="LOW_COST_PROD_R" vbProcedure="false">#REF!</definedName>
    <definedName function="false" hidden="false" name="LTA_S" vbProcedure="false">#REF!</definedName>
    <definedName function="false" hidden="false" name="MACHINING_AREA" vbProcedure="false">#REF!</definedName>
    <definedName function="false" hidden="false" name="MAJ_CON_EQP" vbProcedure="false">#REF!</definedName>
    <definedName function="false" hidden="false" name="masaru" vbProcedure="false">#REF!</definedName>
    <definedName function="false" hidden="false" name="master" vbProcedure="false">#REF!</definedName>
    <definedName function="false" hidden="false" name="masterBom" vbProcedure="false">#REF!</definedName>
    <definedName function="false" hidden="false" name="may" vbProcedure="false">#REF!</definedName>
    <definedName function="false" hidden="false" name="mayumi" vbProcedure="false">#REF!</definedName>
    <definedName function="false" hidden="false" name="mbangtai10" vbProcedure="false">#REF!</definedName>
    <definedName function="false" hidden="false" name="mbangtai100" vbProcedure="false">#REF!</definedName>
    <definedName function="false" hidden="false" name="mbangtai15" vbProcedure="false">#REF!</definedName>
    <definedName function="false" hidden="false" name="mbangtai150" vbProcedure="false">#REF!</definedName>
    <definedName function="false" hidden="false" name="mbangtai25" vbProcedure="false">#REF!</definedName>
    <definedName function="false" hidden="false" name="mbombtth50" vbProcedure="false">#REF!</definedName>
    <definedName function="false" hidden="false" name="mbombtth60" vbProcedure="false">#REF!</definedName>
    <definedName function="false" hidden="false" name="mbomdien0.55" vbProcedure="false">#REF!</definedName>
    <definedName function="false" hidden="false" name="mbomdien0.75" vbProcedure="false">#REF!</definedName>
    <definedName function="false" hidden="false" name="mbomdien1.1" vbProcedure="false">#REF!</definedName>
    <definedName function="false" hidden="false" name="mbomdien1.5" vbProcedure="false">#REF!</definedName>
    <definedName function="false" hidden="false" name="mbomdien10" vbProcedure="false">#REF!</definedName>
    <definedName function="false" hidden="false" name="mbomdien113" vbProcedure="false">#REF!</definedName>
    <definedName function="false" hidden="false" name="mbomdien14" vbProcedure="false">#REF!</definedName>
    <definedName function="false" hidden="false" name="mbomdien2" vbProcedure="false">#REF!</definedName>
    <definedName function="false" hidden="false" name="mbomdien2.8" vbProcedure="false">#REF!</definedName>
    <definedName function="false" hidden="false" name="mbomdien20" vbProcedure="false">#REF!</definedName>
    <definedName function="false" hidden="false" name="mbomdien22" vbProcedure="false">#REF!</definedName>
    <definedName function="false" hidden="false" name="mbomdien28" vbProcedure="false">#REF!</definedName>
    <definedName function="false" hidden="false" name="mbomdien30" vbProcedure="false">#REF!</definedName>
    <definedName function="false" hidden="false" name="mbomdien4" vbProcedure="false">#REF!</definedName>
    <definedName function="false" hidden="false" name="mbomdien4.5" vbProcedure="false">#REF!</definedName>
    <definedName function="false" hidden="false" name="mbomdien40" vbProcedure="false">#REF!</definedName>
    <definedName function="false" hidden="false" name="mbomdien50" vbProcedure="false">#REF!</definedName>
    <definedName function="false" hidden="false" name="mbomdien55" vbProcedure="false">#REF!</definedName>
    <definedName function="false" hidden="false" name="mbomdien7" vbProcedure="false">#REF!</definedName>
    <definedName function="false" hidden="false" name="mbomdien75" vbProcedure="false">#REF!</definedName>
    <definedName function="false" hidden="false" name="mbomth10" vbProcedure="false">#REF!</definedName>
    <definedName function="false" hidden="false" name="mbomth100" vbProcedure="false">#REF!</definedName>
    <definedName function="false" hidden="false" name="mbomth15" vbProcedure="false">#REF!</definedName>
    <definedName function="false" hidden="false" name="mbomth150" vbProcedure="false">#REF!</definedName>
    <definedName function="false" hidden="false" name="mbomth20" vbProcedure="false">#REF!</definedName>
    <definedName function="false" hidden="false" name="mbomth37" vbProcedure="false">#REF!</definedName>
    <definedName function="false" hidden="false" name="mbomth45" vbProcedure="false">#REF!</definedName>
    <definedName function="false" hidden="false" name="mbomth5" vbProcedure="false">#REF!</definedName>
    <definedName function="false" hidden="false" name="mbomth5.5" vbProcedure="false">#REF!</definedName>
    <definedName function="false" hidden="false" name="mbomth7" vbProcedure="false">#REF!</definedName>
    <definedName function="false" hidden="false" name="mbomth7.5" vbProcedure="false">#REF!</definedName>
    <definedName function="false" hidden="false" name="mbomth75" vbProcedure="false">#REF!</definedName>
    <definedName function="false" hidden="false" name="mbomthxang3" vbProcedure="false">#REF!</definedName>
    <definedName function="false" hidden="false" name="mbomthxang4" vbProcedure="false">#REF!</definedName>
    <definedName function="false" hidden="false" name="mbomthxang6" vbProcedure="false">#REF!</definedName>
    <definedName function="false" hidden="false" name="mbomthxang7" vbProcedure="false">#REF!</definedName>
    <definedName function="false" hidden="false" name="mbomthxang8" vbProcedure="false">#REF!</definedName>
    <definedName function="false" hidden="false" name="mbomvua2" vbProcedure="false">#REF!</definedName>
    <definedName function="false" hidden="false" name="mbomvua4" vbProcedure="false">#REF!</definedName>
    <definedName function="false" hidden="false" name="mbomvua6" vbProcedure="false">#REF!</definedName>
    <definedName function="false" hidden="false" name="mbomvua9" vbProcedure="false">#REF!</definedName>
    <definedName function="false" hidden="false" name="mbuacankhi1.5" vbProcedure="false">#REF!</definedName>
    <definedName function="false" hidden="false" name="mbuadcocnoi2.5" vbProcedure="false">#REF!</definedName>
    <definedName function="false" hidden="false" name="mbuadray1.2" vbProcedure="false">#REF!</definedName>
    <definedName function="false" hidden="false" name="mbuadray1.8" vbProcedure="false">#REF!</definedName>
    <definedName function="false" hidden="false" name="mbuadray2.2" vbProcedure="false">#REF!</definedName>
    <definedName function="false" hidden="false" name="mbuadray2.5" vbProcedure="false">#REF!</definedName>
    <definedName function="false" hidden="false" name="mbuadray3.5" vbProcedure="false">#REF!</definedName>
    <definedName function="false" hidden="false" name="mbuarung170" vbProcedure="false">#REF!</definedName>
    <definedName function="false" hidden="false" name="mbuarung40" vbProcedure="false">#REF!</definedName>
    <definedName function="false" hidden="false" name="mbuarung50" vbProcedure="false">#REF!</definedName>
    <definedName function="false" hidden="false" name="mbuarungccatth60" vbProcedure="false">#REF!</definedName>
    <definedName function="false" hidden="false" name="mbuathbx0.6" vbProcedure="false">#REF!</definedName>
    <definedName function="false" hidden="false" name="mbuathbx1.2" vbProcedure="false">#REF!</definedName>
    <definedName function="false" hidden="false" name="mbuathbx1.8" vbProcedure="false">#REF!</definedName>
    <definedName function="false" hidden="false" name="mbuathbx3.5" vbProcedure="false">#REF!</definedName>
    <definedName function="false" hidden="false" name="mbuathbx4.5" vbProcedure="false">#REF!</definedName>
    <definedName function="false" hidden="false" name="mc" vbProcedure="false">#REF!</definedName>
    <definedName function="false" hidden="false" name="mcambactham1" vbProcedure="false">#REF!</definedName>
    <definedName function="false" hidden="false" name="mcano30" vbProcedure="false">#REF!</definedName>
    <definedName function="false" hidden="false" name="mcano75" vbProcedure="false">#REF!</definedName>
    <definedName function="false" hidden="false" name="mcap1g10" vbProcedure="false">#REF!</definedName>
    <definedName function="false" hidden="false" name="mcap1g16" vbProcedure="false">#REF!</definedName>
    <definedName function="false" hidden="false" name="mcap1g25" vbProcedure="false">#REF!</definedName>
    <definedName function="false" hidden="false" name="mcap1g9" vbProcedure="false">#REF!</definedName>
    <definedName function="false" hidden="false" name="mcatdot2.8" vbProcedure="false">#REF!</definedName>
    <definedName function="false" hidden="false" name="mcatong5" vbProcedure="false">#REF!</definedName>
    <definedName function="false" hidden="false" name="mcatton15" vbProcedure="false">#REF!</definedName>
    <definedName function="false" hidden="false" name="mcatuonthep5" vbProcedure="false">#REF!</definedName>
    <definedName function="false" hidden="false" name="mcaulongmon10" vbProcedure="false">#REF!</definedName>
    <definedName function="false" hidden="false" name="mcaulongmon30" vbProcedure="false">#REF!</definedName>
    <definedName function="false" hidden="false" name="mcaulongmon60" vbProcedure="false">#REF!</definedName>
    <definedName function="false" hidden="false" name="mcauray20" vbProcedure="false">#REF!</definedName>
    <definedName function="false" hidden="false" name="mcauray25" vbProcedure="false">#REF!</definedName>
    <definedName function="false" hidden="false" name="mcayxoidk108" vbProcedure="false">#REF!</definedName>
    <definedName function="false" hidden="false" name="mcayxoidk60" vbProcedure="false">#REF!</definedName>
    <definedName function="false" hidden="false" name="mcayxoidk80" vbProcedure="false">#REF!</definedName>
    <definedName function="false" hidden="false" name="mccaubh10" vbProcedure="false">#REF!</definedName>
    <definedName function="false" hidden="false" name="mccaubh16" vbProcedure="false">#REF!</definedName>
    <definedName function="false" hidden="false" name="mccaubh25" vbProcedure="false">#REF!</definedName>
    <definedName function="false" hidden="false" name="mccaubh3" vbProcedure="false">#REF!</definedName>
    <definedName function="false" hidden="false" name="mccaubh4" vbProcedure="false">#REF!</definedName>
    <definedName function="false" hidden="false" name="mccaubh40" vbProcedure="false">#REF!</definedName>
    <definedName function="false" hidden="false" name="mccaubh5" vbProcedure="false">#REF!</definedName>
    <definedName function="false" hidden="false" name="mccaubh6" vbProcedure="false">#REF!</definedName>
    <definedName function="false" hidden="false" name="mccaubh65" vbProcedure="false">#REF!</definedName>
    <definedName function="false" hidden="false" name="mccaubh7" vbProcedure="false">#REF!</definedName>
    <definedName function="false" hidden="false" name="mccaubh8" vbProcedure="false">#REF!</definedName>
    <definedName function="false" hidden="false" name="mccaubh90" vbProcedure="false">#REF!</definedName>
    <definedName function="false" hidden="false" name="mccaubx10" vbProcedure="false">#REF!</definedName>
    <definedName function="false" hidden="false" name="mccaubx100" vbProcedure="false">#REF!</definedName>
    <definedName function="false" hidden="false" name="mccaubx16" vbProcedure="false">#REF!</definedName>
    <definedName function="false" hidden="false" name="mccaubx25" vbProcedure="false">#REF!</definedName>
    <definedName function="false" hidden="false" name="mccaubx28" vbProcedure="false">#REF!</definedName>
    <definedName function="false" hidden="false" name="mccaubx40" vbProcedure="false">#REF!</definedName>
    <definedName function="false" hidden="false" name="mccaubx5" vbProcedure="false">#REF!</definedName>
    <definedName function="false" hidden="false" name="mccaubx50" vbProcedure="false">#REF!</definedName>
    <definedName function="false" hidden="false" name="mccaubx63" vbProcedure="false">#REF!</definedName>
    <definedName function="false" hidden="false" name="mccaubx7" vbProcedure="false">#REF!</definedName>
    <definedName function="false" hidden="false" name="mccauladam60" vbProcedure="false">#REF!</definedName>
    <definedName function="false" hidden="false" name="mccaunoi100" vbProcedure="false">#REF!</definedName>
    <definedName function="false" hidden="false" name="mccaunoi30" vbProcedure="false">#REF!</definedName>
    <definedName function="false" hidden="false" name="mccauthap10" vbProcedure="false">#REF!</definedName>
    <definedName function="false" hidden="false" name="mccauthap12" vbProcedure="false">#REF!</definedName>
    <definedName function="false" hidden="false" name="mccauthap15" vbProcedure="false">#REF!</definedName>
    <definedName function="false" hidden="false" name="mccauthap20" vbProcedure="false">#REF!</definedName>
    <definedName function="false" hidden="false" name="mccauthap25" vbProcedure="false">#REF!</definedName>
    <definedName function="false" hidden="false" name="mccauthap3" vbProcedure="false">#REF!</definedName>
    <definedName function="false" hidden="false" name="mccauthap30" vbProcedure="false">#REF!</definedName>
    <definedName function="false" hidden="false" name="mccauthap40" vbProcedure="false">#REF!</definedName>
    <definedName function="false" hidden="false" name="mccauthap5" vbProcedure="false">#REF!</definedName>
    <definedName function="false" hidden="false" name="mccauthap50" vbProcedure="false">#REF!</definedName>
    <definedName function="false" hidden="false" name="mccauthap8" vbProcedure="false">#REF!</definedName>
    <definedName function="false" hidden="false" name="mccautnhi0.5" vbProcedure="false">#REF!</definedName>
    <definedName function="false" hidden="false" name="mcuakl1.7" vbProcedure="false">#REF!</definedName>
    <definedName function="false" hidden="false" name="md" vbProcedure="false">#REF!</definedName>
    <definedName function="false" hidden="false" name="mdamban0.4" vbProcedure="false">#REF!</definedName>
    <definedName function="false" hidden="false" name="mdamban0.6" vbProcedure="false">#REF!</definedName>
    <definedName function="false" hidden="false" name="mdamban0.8" vbProcedure="false">#REF!</definedName>
    <definedName function="false" hidden="false" name="mdamban1" vbProcedure="false">#REF!</definedName>
    <definedName function="false" hidden="false" name="mdambhdkbx12.5" vbProcedure="false">#REF!</definedName>
    <definedName function="false" hidden="false" name="mdambhdkbx18" vbProcedure="false">#REF!</definedName>
    <definedName function="false" hidden="false" name="mdambhdkbx25" vbProcedure="false">#REF!</definedName>
    <definedName function="false" hidden="false" name="mdambhdkbx26.5" vbProcedure="false">#REF!</definedName>
    <definedName function="false" hidden="false" name="mdambhdkbx9" vbProcedure="false">#REF!</definedName>
    <definedName function="false" hidden="false" name="mdambhth16" vbProcedure="false">#REF!</definedName>
    <definedName function="false" hidden="false" name="mdambhth17.5" vbProcedure="false">#REF!</definedName>
    <definedName function="false" hidden="false" name="mdambhth25" vbProcedure="false">#REF!</definedName>
    <definedName function="false" hidden="false" name="mdambthepth10" vbProcedure="false">#REF!</definedName>
    <definedName function="false" hidden="false" name="mdambthepth12.2" vbProcedure="false">#REF!</definedName>
    <definedName function="false" hidden="false" name="mdambthepth13" vbProcedure="false">#REF!</definedName>
    <definedName function="false" hidden="false" name="mdambthepth14.5" vbProcedure="false">#REF!</definedName>
    <definedName function="false" hidden="false" name="mdambthepth15.5" vbProcedure="false">#REF!</definedName>
    <definedName function="false" hidden="false" name="mdambthepth8.5" vbProcedure="false">#REF!</definedName>
    <definedName function="false" hidden="false" name="mdamcanh1" vbProcedure="false">#REF!</definedName>
    <definedName function="false" hidden="false" name="mdamccdk5.5" vbProcedure="false">#REF!</definedName>
    <definedName function="false" hidden="false" name="mdamccdk9" vbProcedure="false">#REF!</definedName>
    <definedName function="false" hidden="false" name="mdamdatct60" vbProcedure="false">#REF!</definedName>
    <definedName function="false" hidden="false" name="mdamdatct80" vbProcedure="false">#REF!</definedName>
    <definedName function="false" hidden="false" name="mdamdui0.6" vbProcedure="false">#REF!</definedName>
    <definedName function="false" hidden="false" name="mdamdui0.8" vbProcedure="false">#REF!</definedName>
    <definedName function="false" hidden="false" name="mdamdui1" vbProcedure="false">#REF!</definedName>
    <definedName function="false" hidden="false" name="mdamdui1.5" vbProcedure="false">#REF!</definedName>
    <definedName function="false" hidden="false" name="mdamdui2.8" vbProcedure="false">#REF!</definedName>
    <definedName function="false" hidden="false" name="mdamrung15" vbProcedure="false">#REF!</definedName>
    <definedName function="false" hidden="false" name="mdamrung18" vbProcedure="false">#REF!</definedName>
    <definedName function="false" hidden="false" name="mdamrung8" vbProcedure="false">#REF!</definedName>
    <definedName function="false" hidden="false" name="mdao1gbh0.15" vbProcedure="false">#REF!</definedName>
    <definedName function="false" hidden="false" name="mdao1gbh0.25" vbProcedure="false">#REF!</definedName>
    <definedName function="false" hidden="false" name="mdao1gbh0.30" vbProcedure="false">#REF!</definedName>
    <definedName function="false" hidden="false" name="mdao1gbh0.35" vbProcedure="false">#REF!</definedName>
    <definedName function="false" hidden="false" name="mdao1gbh0.40" vbProcedure="false">#REF!</definedName>
    <definedName function="false" hidden="false" name="mdao1gbh0.65" vbProcedure="false">#REF!</definedName>
    <definedName function="false" hidden="false" name="mdao1gbh0.75" vbProcedure="false">#REF!</definedName>
    <definedName function="false" hidden="false" name="mdao1gbh1.25" vbProcedure="false">#REF!</definedName>
    <definedName function="false" hidden="false" name="mdao1gbx0.22" vbProcedure="false">#REF!</definedName>
    <definedName function="false" hidden="false" name="mdao1gbx0.25" vbProcedure="false">#REF!</definedName>
    <definedName function="false" hidden="false" name="mdao1gbx0.30" vbProcedure="false">#REF!</definedName>
    <definedName function="false" hidden="false" name="mdao1gbx0.35" vbProcedure="false">#REF!</definedName>
    <definedName function="false" hidden="false" name="mdao1gbx0.40" vbProcedure="false">#REF!</definedName>
    <definedName function="false" hidden="false" name="mdao1gbx0.50" vbProcedure="false">#REF!</definedName>
    <definedName function="false" hidden="false" name="mdao1gbx0.65" vbProcedure="false">#REF!</definedName>
    <definedName function="false" hidden="false" name="mdao1gbx1.00" vbProcedure="false">#REF!</definedName>
    <definedName function="false" hidden="false" name="mdao1gbx1.20" vbProcedure="false">#REF!</definedName>
    <definedName function="false" hidden="false" name="mdao1gbx1.25" vbProcedure="false">#REF!</definedName>
    <definedName function="false" hidden="false" name="mdao1gbx1.60" vbProcedure="false">#REF!</definedName>
    <definedName function="false" hidden="false" name="mdao1gbx2.00" vbProcedure="false">#REF!</definedName>
    <definedName function="false" hidden="false" name="mdao1gbx2.50" vbProcedure="false">#REF!</definedName>
    <definedName function="false" hidden="false" name="mdao1gbx4.00" vbProcedure="false">#REF!</definedName>
    <definedName function="false" hidden="false" name="mdao1gbx4.60" vbProcedure="false">#REF!</definedName>
    <definedName function="false" hidden="false" name="mdao1gbx5.00" vbProcedure="false">#REF!</definedName>
    <definedName function="false" hidden="false" name="me" vbProcedure="false">#REF!</definedName>
    <definedName function="false" hidden="false" name="mepcocsau1" vbProcedure="false">#REF!</definedName>
    <definedName function="false" hidden="false" name="mepcoctr100" vbProcedure="false">#REF!</definedName>
    <definedName function="false" hidden="false" name="mepcoctr60" vbProcedure="false">#REF!</definedName>
    <definedName function="false" hidden="false" name="mf" vbProcedure="false">#REF!</definedName>
    <definedName function="false" hidden="false" name="MFG" vbProcedure="false">#REF!</definedName>
    <definedName function="false" hidden="false" name="mfgexp" vbProcedure="false">#REF!</definedName>
    <definedName function="false" hidden="false" name="MG_A" vbProcedure="false">#REF!</definedName>
    <definedName function="false" hidden="false" name="mhan1chieu40" vbProcedure="false">#REF!</definedName>
    <definedName function="false" hidden="false" name="mhan1chieu50" vbProcedure="false">#REF!</definedName>
    <definedName function="false" hidden="false" name="mhancatnuoc124" vbProcedure="false">#REF!</definedName>
    <definedName function="false" hidden="false" name="mhand10.2" vbProcedure="false">#REF!</definedName>
    <definedName function="false" hidden="false" name="mhand27.5" vbProcedure="false">#REF!</definedName>
    <definedName function="false" hidden="false" name="mhand4" vbProcedure="false">#REF!</definedName>
    <definedName function="false" hidden="false" name="mhanhoi1000" vbProcedure="false">#REF!</definedName>
    <definedName function="false" hidden="false" name="mhanhoi2000" vbProcedure="false">#REF!</definedName>
    <definedName function="false" hidden="false" name="mhanxang20" vbProcedure="false">#REF!</definedName>
    <definedName function="false" hidden="false" name="mhanxang9" vbProcedure="false">#REF!</definedName>
    <definedName function="false" hidden="false" name="mhanxchieu23" vbProcedure="false">#REF!</definedName>
    <definedName function="false" hidden="false" name="mhanxchieu29.2" vbProcedure="false">#REF!</definedName>
    <definedName function="false" hidden="false" name="mhanxchieu33.5" vbProcedure="false">#REF!</definedName>
    <definedName function="false" hidden="false" name="MIS_Jun10" vbProcedure="false">#REF!</definedName>
    <definedName function="false" hidden="false" name="mkcnGPS15" vbProcedure="false">#REF!</definedName>
    <definedName function="false" hidden="false" name="mkcnTRC15" vbProcedure="false">#REF!</definedName>
    <definedName function="false" hidden="false" name="mkcnVRM" vbProcedure="false">#REF!</definedName>
    <definedName function="false" hidden="false" name="mkeobh165" vbProcedure="false">#REF!</definedName>
    <definedName function="false" hidden="false" name="mkeobh215" vbProcedure="false">#REF!</definedName>
    <definedName function="false" hidden="false" name="mkeobh28" vbProcedure="false">#REF!</definedName>
    <definedName function="false" hidden="false" name="mkeobh40" vbProcedure="false">#REF!</definedName>
    <definedName function="false" hidden="false" name="mkeobh50" vbProcedure="false">#REF!</definedName>
    <definedName function="false" hidden="false" name="mkeobh55" vbProcedure="false">#REF!</definedName>
    <definedName function="false" hidden="false" name="mkeobh60" vbProcedure="false">#REF!</definedName>
    <definedName function="false" hidden="false" name="mkeobh80" vbProcedure="false">#REF!</definedName>
    <definedName function="false" hidden="false" name="mkeobx108" vbProcedure="false">#REF!</definedName>
    <definedName function="false" hidden="false" name="mkeobx130" vbProcedure="false">#REF!</definedName>
    <definedName function="false" hidden="false" name="mkeobx45" vbProcedure="false">#REF!</definedName>
    <definedName function="false" hidden="false" name="mkeobx54" vbProcedure="false">#REF!</definedName>
    <definedName function="false" hidden="false" name="mkeobx60" vbProcedure="false">#REF!</definedName>
    <definedName function="false" hidden="false" name="mkeobx75" vbProcedure="false">#REF!</definedName>
    <definedName function="false" hidden="false" name="mkhoanbttay24" vbProcedure="false">#REF!</definedName>
    <definedName function="false" hidden="false" name="mkhoanbttay30" vbProcedure="false">#REF!</definedName>
    <definedName function="false" hidden="false" name="mkhoanbttay38" vbProcedure="false">#REF!</definedName>
    <definedName function="false" hidden="false" name="mkhoanbttay40" vbProcedure="false">#REF!</definedName>
    <definedName function="false" hidden="false" name="mkhoandatay30" vbProcedure="false">#REF!</definedName>
    <definedName function="false" hidden="false" name="mkhoandatay42" vbProcedure="false">#REF!</definedName>
    <definedName function="false" hidden="false" name="mkhoandung4.5" vbProcedure="false">#REF!</definedName>
    <definedName function="false" hidden="false" name="mkhoansattay13" vbProcedure="false">#REF!</definedName>
    <definedName function="false" hidden="false" name="mkhoanxoayth110" vbProcedure="false">#REF!</definedName>
    <definedName function="false" hidden="false" name="mkhoanxoayth95" vbProcedure="false">#REF!</definedName>
    <definedName function="false" hidden="false" name="mkichck18" vbProcedure="false">#REF!</definedName>
    <definedName function="false" hidden="false" name="mkichck250" vbProcedure="false">#REF!</definedName>
    <definedName function="false" hidden="false" name="mkichday60" vbProcedure="false">#REF!</definedName>
    <definedName function="false" hidden="false" name="mkichnang100" vbProcedure="false">#REF!</definedName>
    <definedName function="false" hidden="false" name="mkichnang250" vbProcedure="false">#REF!</definedName>
    <definedName function="false" hidden="false" name="mkichnang500" vbProcedure="false">#REF!</definedName>
    <definedName function="false" hidden="false" name="mluoncap15" vbProcedure="false">#REF!</definedName>
    <definedName function="false" hidden="false" name="mmai2.7" vbProcedure="false">#REF!</definedName>
    <definedName function="false" hidden="false" name="mminus1" vbProcedure="false">#REF!</definedName>
    <definedName function="false" hidden="false" name="mnenkhid102" vbProcedure="false">#REF!</definedName>
    <definedName function="false" hidden="false" name="mnenkhid120" vbProcedure="false">#REF!</definedName>
    <definedName function="false" hidden="false" name="mnenkhid1200" vbProcedure="false">#REF!</definedName>
    <definedName function="false" hidden="false" name="mnenkhid200" vbProcedure="false">#REF!</definedName>
    <definedName function="false" hidden="false" name="mnenkhid240" vbProcedure="false">#REF!</definedName>
    <definedName function="false" hidden="false" name="mnenkhid300" vbProcedure="false">#REF!</definedName>
    <definedName function="false" hidden="false" name="mnenkhid360" vbProcedure="false">#REF!</definedName>
    <definedName function="false" hidden="false" name="mnenkhid5.5" vbProcedure="false">#REF!</definedName>
    <definedName function="false" hidden="false" name="mnenkhid540" vbProcedure="false">#REF!</definedName>
    <definedName function="false" hidden="false" name="mnenkhid600" vbProcedure="false">#REF!</definedName>
    <definedName function="false" hidden="false" name="mnenkhid660" vbProcedure="false">#REF!</definedName>
    <definedName function="false" hidden="false" name="mnenkhid75" vbProcedure="false">#REF!</definedName>
    <definedName function="false" hidden="false" name="mnenkhidien10" vbProcedure="false">#REF!</definedName>
    <definedName function="false" hidden="false" name="mnenkhidien150" vbProcedure="false">#REF!</definedName>
    <definedName function="false" hidden="false" name="mnenkhidien216" vbProcedure="false">#REF!</definedName>
    <definedName function="false" hidden="false" name="mnenkhidien22" vbProcedure="false">#REF!</definedName>
    <definedName function="false" hidden="false" name="mnenkhidien270" vbProcedure="false">#REF!</definedName>
    <definedName function="false" hidden="false" name="mnenkhidien30" vbProcedure="false">#REF!</definedName>
    <definedName function="false" hidden="false" name="mnenkhidien300" vbProcedure="false">#REF!</definedName>
    <definedName function="false" hidden="false" name="mnenkhidien5" vbProcedure="false">#REF!</definedName>
    <definedName function="false" hidden="false" name="mnenkhidien56" vbProcedure="false">#REF!</definedName>
    <definedName function="false" hidden="false" name="mnenkhidien600" vbProcedure="false">#REF!</definedName>
    <definedName function="false" hidden="false" name="mnenkhixang11" vbProcedure="false">#REF!</definedName>
    <definedName function="false" hidden="false" name="mnenkhixang120" vbProcedure="false">#REF!</definedName>
    <definedName function="false" hidden="false" name="mnenkhixang200" vbProcedure="false">#REF!</definedName>
    <definedName function="false" hidden="false" name="mnenkhixang25" vbProcedure="false">#REF!</definedName>
    <definedName function="false" hidden="false" name="mnenkhixang3" vbProcedure="false">#REF!</definedName>
    <definedName function="false" hidden="false" name="mnenkhixang300" vbProcedure="false">#REF!</definedName>
    <definedName function="false" hidden="false" name="mnenkhixang40" vbProcedure="false">#REF!</definedName>
    <definedName function="false" hidden="false" name="mnenkhixang600" vbProcedure="false">#REF!</definedName>
    <definedName function="false" hidden="false" name="mnghiendad25" vbProcedure="false">#REF!</definedName>
    <definedName function="false" hidden="false" name="mnghiendadd20" vbProcedure="false">#REF!</definedName>
    <definedName function="false" hidden="false" name="mnghiendadd6" vbProcedure="false">#REF!</definedName>
    <definedName function="false" hidden="false" name="mnghiendatho14" vbProcedure="false">#REF!</definedName>
    <definedName function="false" hidden="false" name="mnghiendatho200" vbProcedure="false">#REF!</definedName>
    <definedName function="false" hidden="false" name="mnhogcaydk100" vbProcedure="false">#REF!</definedName>
    <definedName function="false" hidden="false" name="mnhogcaydk54" vbProcedure="false">#REF!</definedName>
    <definedName function="false" hidden="false" name="mnhogcaydk75" vbProcedure="false">#REF!</definedName>
    <definedName function="false" hidden="false" name="Month" vbProcedure="false">[1]List!$G$2:$G$13</definedName>
    <definedName function="false" hidden="false" name="morita" vbProcedure="false">#REF!</definedName>
    <definedName function="false" hidden="false" name="moritavn" vbProcedure="false">#REF!</definedName>
    <definedName function="false" hidden="false" name="motodk150" vbProcedure="false">#REF!</definedName>
    <definedName function="false" hidden="false" name="motodk180" vbProcedure="false">#REF!</definedName>
    <definedName function="false" hidden="false" name="motodk200" vbProcedure="false">#REF!</definedName>
    <definedName function="false" hidden="false" name="motodk240" vbProcedure="false">#REF!</definedName>
    <definedName function="false" hidden="false" name="motodk255" vbProcedure="false">#REF!</definedName>
    <definedName function="false" hidden="false" name="motodk272" vbProcedure="false">#REF!</definedName>
    <definedName function="false" hidden="false" name="motothung10" vbProcedure="false">#REF!</definedName>
    <definedName function="false" hidden="false" name="motothung12" vbProcedure="false">#REF!</definedName>
    <definedName function="false" hidden="false" name="motothung12.5" vbProcedure="false">#REF!</definedName>
    <definedName function="false" hidden="false" name="motothung2" vbProcedure="false">#REF!</definedName>
    <definedName function="false" hidden="false" name="motothung2.5" vbProcedure="false">#REF!</definedName>
    <definedName function="false" hidden="false" name="motothung20" vbProcedure="false">#REF!</definedName>
    <definedName function="false" hidden="false" name="motothung4" vbProcedure="false">#REF!</definedName>
    <definedName function="false" hidden="false" name="motothung5" vbProcedure="false">#REF!</definedName>
    <definedName function="false" hidden="false" name="motothung6" vbProcedure="false">#REF!</definedName>
    <definedName function="false" hidden="false" name="motothung7" vbProcedure="false">#REF!</definedName>
    <definedName function="false" hidden="false" name="mototnuoc4" vbProcedure="false">#REF!</definedName>
    <definedName function="false" hidden="false" name="mototnuoc5" vbProcedure="false">#REF!</definedName>
    <definedName function="false" hidden="false" name="mototnuoc6" vbProcedure="false">#REF!</definedName>
    <definedName function="false" hidden="false" name="mototnuoc7" vbProcedure="false">#REF!</definedName>
    <definedName function="false" hidden="false" name="mototudo10" vbProcedure="false">#REF!</definedName>
    <definedName function="false" hidden="false" name="mototudo12" vbProcedure="false">#REF!</definedName>
    <definedName function="false" hidden="false" name="mototudo15" vbProcedure="false">#REF!</definedName>
    <definedName function="false" hidden="false" name="mototudo2.5" vbProcedure="false">#REF!</definedName>
    <definedName function="false" hidden="false" name="mototudo20" vbProcedure="false">#REF!</definedName>
    <definedName function="false" hidden="false" name="mototudo25" vbProcedure="false">#REF!</definedName>
    <definedName function="false" hidden="false" name="mototudo27" vbProcedure="false">#REF!</definedName>
    <definedName function="false" hidden="false" name="mototudo3.5" vbProcedure="false">#REF!</definedName>
    <definedName function="false" hidden="false" name="mototudo4" vbProcedure="false">#REF!</definedName>
    <definedName function="false" hidden="false" name="mototudo5" vbProcedure="false">#REF!</definedName>
    <definedName function="false" hidden="false" name="mototudo6" vbProcedure="false">#REF!</definedName>
    <definedName function="false" hidden="false" name="mototudo7" vbProcedure="false">#REF!</definedName>
    <definedName function="false" hidden="false" name="mototudo9" vbProcedure="false">#REF!</definedName>
    <definedName function="false" hidden="false" name="motovcbt6" vbProcedure="false">#REF!</definedName>
    <definedName function="false" hidden="false" name="mpha250" vbProcedure="false">#REF!</definedName>
    <definedName function="false" hidden="false" name="mphaothep10" vbProcedure="false">#REF!</definedName>
    <definedName function="false" hidden="false" name="mphaothep15" vbProcedure="false">#REF!</definedName>
    <definedName function="false" hidden="false" name="mphatdienld10" vbProcedure="false">#REF!</definedName>
    <definedName function="false" hidden="false" name="mphatdienld112" vbProcedure="false">#REF!</definedName>
    <definedName function="false" hidden="false" name="mphatdienld122" vbProcedure="false">#REF!</definedName>
    <definedName function="false" hidden="false" name="mphatdienld15" vbProcedure="false">#REF!</definedName>
    <definedName function="false" hidden="false" name="mphatdienld20" vbProcedure="false">#REF!</definedName>
    <definedName function="false" hidden="false" name="mphatdienld25" vbProcedure="false">#REF!</definedName>
    <definedName function="false" hidden="false" name="mphatdienld30" vbProcedure="false">#REF!</definedName>
    <definedName function="false" hidden="false" name="mphatdienld38" vbProcedure="false">#REF!</definedName>
    <definedName function="false" hidden="false" name="mphatdienld45" vbProcedure="false">#REF!</definedName>
    <definedName function="false" hidden="false" name="mphatdienld5.2" vbProcedure="false">#REF!</definedName>
    <definedName function="false" hidden="false" name="mphatdienld50" vbProcedure="false">#REF!</definedName>
    <definedName function="false" hidden="false" name="mphatdienld60" vbProcedure="false">#REF!</definedName>
    <definedName function="false" hidden="false" name="mphatdienld75" vbProcedure="false">#REF!</definedName>
    <definedName function="false" hidden="false" name="mphatdienld8" vbProcedure="false">#REF!</definedName>
    <definedName function="false" hidden="false" name="mphunson400" vbProcedure="false">#REF!</definedName>
    <definedName function="false" hidden="false" name="mphunvua2" vbProcedure="false">#REF!</definedName>
    <definedName function="false" hidden="false" name="mphunvua4" vbProcedure="false">#REF!</definedName>
    <definedName function="false" hidden="false" name="mplus1" vbProcedure="false">#REF!</definedName>
    <definedName function="false" hidden="false" name="mplus2" vbProcedure="false">#REF!</definedName>
    <definedName function="false" hidden="false" name="mplus3" vbProcedure="false">#REF!</definedName>
    <definedName function="false" hidden="false" name="mraibtsp500" vbProcedure="false">#REF!</definedName>
    <definedName function="false" hidden="false" name="mraintn100" vbProcedure="false">#REF!</definedName>
    <definedName function="false" hidden="false" name="mraintn65" vbProcedure="false">#REF!</definedName>
    <definedName function="false" hidden="false" name="mromooc14" vbProcedure="false">#REF!</definedName>
    <definedName function="false" hidden="false" name="mromooc15" vbProcedure="false">#REF!</definedName>
    <definedName function="false" hidden="false" name="mromooc2" vbProcedure="false">#REF!</definedName>
    <definedName function="false" hidden="false" name="mromooc21" vbProcedure="false">#REF!</definedName>
    <definedName function="false" hidden="false" name="mromooc4" vbProcedure="false">#REF!</definedName>
    <definedName function="false" hidden="false" name="mromooc7.5" vbProcedure="false">#REF!</definedName>
    <definedName function="false" hidden="false" name="msangbentontie1" vbProcedure="false">#REF!</definedName>
    <definedName function="false" hidden="false" name="msangruada11" vbProcedure="false">#REF!</definedName>
    <definedName function="false" hidden="false" name="msangruada35" vbProcedure="false">#REF!</definedName>
    <definedName function="false" hidden="false" name="msangruada45" vbProcedure="false">#REF!</definedName>
    <definedName function="false" hidden="false" name="msanth108" vbProcedure="false">#REF!</definedName>
    <definedName function="false" hidden="false" name="msanth180" vbProcedure="false">#REF!</definedName>
    <definedName function="false" hidden="false" name="msanth250" vbProcedure="false">#REF!</definedName>
    <definedName function="false" hidden="false" name="msanth54" vbProcedure="false">#REF!</definedName>
    <definedName function="false" hidden="false" name="msanth90" vbProcedure="false">#REF!</definedName>
    <definedName function="false" hidden="false" name="MSVITM" vbProcedure="false">'[5]L-Sale'!$C$68:$O$71</definedName>
    <definedName function="false" hidden="false" name="MSVYTD" vbProcedure="false">'[5]L-Sale'!$C$95:$O$98</definedName>
    <definedName function="false" hidden="false" name="mtaukeo150" vbProcedure="false">#REF!</definedName>
    <definedName function="false" hidden="false" name="mtaukeo360" vbProcedure="false">#REF!</definedName>
    <definedName function="false" hidden="false" name="mtaukeo600" vbProcedure="false">#REF!</definedName>
    <definedName function="false" hidden="false" name="mtbipvlan150" vbProcedure="false">#REF!</definedName>
    <definedName function="false" hidden="false" name="mthungcapdkbx2.5" vbProcedure="false">#REF!</definedName>
    <definedName function="false" hidden="false" name="mthungcapdkbx2.75" vbProcedure="false">#REF!</definedName>
    <definedName function="false" hidden="false" name="mthungcapdkbx3" vbProcedure="false">#REF!</definedName>
    <definedName function="false" hidden="false" name="mthungcapdkbx4.5" vbProcedure="false">#REF!</definedName>
    <definedName function="false" hidden="false" name="mthungcapdkbx5" vbProcedure="false">#REF!</definedName>
    <definedName function="false" hidden="false" name="mthungcapdkbx8" vbProcedure="false">#REF!</definedName>
    <definedName function="false" hidden="false" name="mthungcapdkbx9" vbProcedure="false">#REF!</definedName>
    <definedName function="false" hidden="false" name="mtien4.5" vbProcedure="false">#REF!</definedName>
    <definedName function="false" hidden="false" name="mtoidien0.5" vbProcedure="false">#REF!</definedName>
    <definedName function="false" hidden="false" name="mtoidien1" vbProcedure="false">#REF!</definedName>
    <definedName function="false" hidden="false" name="mtoidien1.5" vbProcedure="false">#REF!</definedName>
    <definedName function="false" hidden="false" name="mtoidien2" vbProcedure="false">#REF!</definedName>
    <definedName function="false" hidden="false" name="mtoidien2.5" vbProcedure="false">#REF!</definedName>
    <definedName function="false" hidden="false" name="mtoidien3" vbProcedure="false">#REF!</definedName>
    <definedName function="false" hidden="false" name="mtoidien4" vbProcedure="false">#REF!</definedName>
    <definedName function="false" hidden="false" name="mtoidien5" vbProcedure="false">#REF!</definedName>
    <definedName function="false" hidden="false" name="mtrambomdau40" vbProcedure="false">#REF!</definedName>
    <definedName function="false" hidden="false" name="mtrambomdau50" vbProcedure="false">#REF!</definedName>
    <definedName function="false" hidden="false" name="mtramtronbt20" vbProcedure="false">#REF!</definedName>
    <definedName function="false" hidden="false" name="mtramtronbt22" vbProcedure="false">#REF!</definedName>
    <definedName function="false" hidden="false" name="mtramtronbt30" vbProcedure="false">#REF!</definedName>
    <definedName function="false" hidden="false" name="mtramtronbt60" vbProcedure="false">#REF!</definedName>
    <definedName function="false" hidden="false" name="mtramtronbtn25" vbProcedure="false">#REF!</definedName>
    <definedName function="false" hidden="false" name="mtramtronbtn30" vbProcedure="false">#REF!</definedName>
    <definedName function="false" hidden="false" name="mtramtronbtn40" vbProcedure="false">#REF!</definedName>
    <definedName function="false" hidden="false" name="mtramtronbtn50" vbProcedure="false">#REF!</definedName>
    <definedName function="false" hidden="false" name="mtramtronbtn60" vbProcedure="false">#REF!</definedName>
    <definedName function="false" hidden="false" name="mtramtronbtn80" vbProcedure="false">#REF!</definedName>
    <definedName function="false" hidden="false" name="mtronbentonite1" vbProcedure="false">#REF!</definedName>
    <definedName function="false" hidden="false" name="mtronbt100" vbProcedure="false">#REF!</definedName>
    <definedName function="false" hidden="false" name="mtronbt1150" vbProcedure="false">#REF!</definedName>
    <definedName function="false" hidden="false" name="mtronbt150" vbProcedure="false">#REF!</definedName>
    <definedName function="false" hidden="false" name="mtronbt1600" vbProcedure="false">#REF!</definedName>
    <definedName function="false" hidden="false" name="mtronbt200" vbProcedure="false">#REF!</definedName>
    <definedName function="false" hidden="false" name="mtronbt250" vbProcedure="false">#REF!</definedName>
    <definedName function="false" hidden="false" name="mtronbt425" vbProcedure="false">#REF!</definedName>
    <definedName function="false" hidden="false" name="mtronbt500" vbProcedure="false">#REF!</definedName>
    <definedName function="false" hidden="false" name="mtronbt800" vbProcedure="false">#REF!</definedName>
    <definedName function="false" hidden="false" name="mtronvua110" vbProcedure="false">#REF!</definedName>
    <definedName function="false" hidden="false" name="mtronvua150" vbProcedure="false">#REF!</definedName>
    <definedName function="false" hidden="false" name="mtronvua200" vbProcedure="false">#REF!</definedName>
    <definedName function="false" hidden="false" name="mtronvua250" vbProcedure="false">#REF!</definedName>
    <definedName function="false" hidden="false" name="mtronvua325" vbProcedure="false">#REF!</definedName>
    <definedName function="false" hidden="false" name="mtronvua80" vbProcedure="false">#REF!</definedName>
    <definedName function="false" hidden="false" name="muonong2.8" vbProcedure="false">#REF!</definedName>
    <definedName function="false" hidden="false" name="mvanthang0.3" vbProcedure="false">#REF!</definedName>
    <definedName function="false" hidden="false" name="mvanthang0.5" vbProcedure="false">#REF!</definedName>
    <definedName function="false" hidden="false" name="mvanthang2" vbProcedure="false">#REF!</definedName>
    <definedName function="false" hidden="false" name="mxebombt90" vbProcedure="false">#REF!</definedName>
    <definedName function="false" hidden="false" name="mxenanghang1.5" vbProcedure="false">#REF!</definedName>
    <definedName function="false" hidden="false" name="mxenanghang12" vbProcedure="false">#REF!</definedName>
    <definedName function="false" hidden="false" name="mxenanghang3" vbProcedure="false">#REF!</definedName>
    <definedName function="false" hidden="false" name="mxenanghang3.2" vbProcedure="false">#REF!</definedName>
    <definedName function="false" hidden="false" name="mxenanghang3.5" vbProcedure="false">#REF!</definedName>
    <definedName function="false" hidden="false" name="mxenanghang5" vbProcedure="false">#REF!</definedName>
    <definedName function="false" hidden="false" name="mxetuoinhua190" vbProcedure="false">#REF!</definedName>
    <definedName function="false" hidden="false" name="mxuclat0.40" vbProcedure="false">#REF!</definedName>
    <definedName function="false" hidden="false" name="mxuclat1.00" vbProcedure="false">#REF!</definedName>
    <definedName function="false" hidden="false" name="mxuclat1.65" vbProcedure="false">#REF!</definedName>
    <definedName function="false" hidden="false" name="mxuclat2.00" vbProcedure="false">#REF!</definedName>
    <definedName function="false" hidden="false" name="mxuclat2.80" vbProcedure="false">#REF!</definedName>
    <definedName function="false" hidden="false" name="myle" vbProcedure="false">#REF!</definedName>
    <definedName function="false" hidden="false" name="n" vbProcedure="false">#REF!</definedName>
    <definedName function="false" hidden="false" name="NASIK_D" vbProcedure="false">#REF!</definedName>
    <definedName function="false" hidden="false" name="NASIK_P" vbProcedure="false">#REF!</definedName>
    <definedName function="false" hidden="false" name="NASIK_S" vbProcedure="false">#REF!</definedName>
    <definedName function="false" hidden="false" name="NBY" vbProcedure="false">#N/A</definedName>
    <definedName function="false" hidden="false" name="NBYBD" vbProcedure="false">#N/A</definedName>
    <definedName function="false" hidden="false" name="ncong" vbProcedure="false">#REF!</definedName>
    <definedName function="false" hidden="false" name="ncr" vbProcedure="false">#REF!</definedName>
    <definedName function="false" hidden="false" name="NET" vbProcedure="false">#REF!</definedName>
    <definedName function="false" hidden="false" name="NET_1" vbProcedure="false">#REF!</definedName>
    <definedName function="false" hidden="false" name="NET_ANA" vbProcedure="false">#REF!</definedName>
    <definedName function="false" hidden="false" name="NET_ANA_1" vbProcedure="false">#REF!</definedName>
    <definedName function="false" hidden="false" name="NET_ANA_2" vbProcedure="false">#REF!</definedName>
    <definedName function="false" hidden="false" name="New" vbProcedure="false">#REF!</definedName>
    <definedName function="false" hidden="false" name="NH" vbProcedure="false">#REF!</definedName>
    <definedName function="false" hidden="false" name="NHot" vbProcedure="false">#REF!</definedName>
    <definedName function="false" hidden="false" name="NM1AD" vbProcedure="false">#REF!</definedName>
    <definedName function="false" hidden="false" name="NM1ARL" vbProcedure="false">#REF!</definedName>
    <definedName function="false" hidden="false" name="NM1BLD" vbProcedure="false">#REF!</definedName>
    <definedName function="false" hidden="false" name="NM1BRL" vbProcedure="false">#REF!</definedName>
    <definedName function="false" hidden="false" name="NM1CLCF" vbProcedure="false">#REF!</definedName>
    <definedName function="false" hidden="false" name="NM1CLCP" vbProcedure="false">#REF!</definedName>
    <definedName function="false" hidden="false" name="NM1CLF" vbProcedure="false">#REF!</definedName>
    <definedName function="false" hidden="false" name="NM1CLP" vbProcedure="false">#REF!</definedName>
    <definedName function="false" hidden="false" name="NM1DF" vbProcedure="false">#REF!</definedName>
    <definedName function="false" hidden="false" name="NM1DP" vbProcedure="false">#REF!</definedName>
    <definedName function="false" hidden="false" name="NM1MR" vbProcedure="false">#REF!</definedName>
    <definedName function="false" hidden="false" name="NM1OP" vbProcedure="false">#REF!</definedName>
    <definedName function="false" hidden="false" name="NM1RL" vbProcedure="false">#REF!</definedName>
    <definedName function="false" hidden="false" name="NM1SAF" vbProcedure="false">#REF!</definedName>
    <definedName function="false" hidden="false" name="NM1SAP" vbProcedure="false">#REF!</definedName>
    <definedName function="false" hidden="false" name="NM2CLF" vbProcedure="false">#REF!</definedName>
    <definedName function="false" hidden="false" name="NM2CLP" vbProcedure="false">#REF!</definedName>
    <definedName function="false" hidden="false" name="NM2DF" vbProcedure="false">#REF!</definedName>
    <definedName function="false" hidden="false" name="NM2DP" vbProcedure="false">#REF!</definedName>
    <definedName function="false" hidden="false" name="NM2MR" vbProcedure="false">#REF!</definedName>
    <definedName function="false" hidden="false" name="NM2RL" vbProcedure="false">#REF!</definedName>
    <definedName function="false" hidden="false" name="NM2SAF" vbProcedure="false">#REF!</definedName>
    <definedName function="false" hidden="false" name="NM2SAP" vbProcedure="false">#REF!</definedName>
    <definedName function="false" hidden="false" name="NM3CLF" vbProcedure="false">#REF!</definedName>
    <definedName function="false" hidden="false" name="NM3CLP" vbProcedure="false">#REF!</definedName>
    <definedName function="false" hidden="false" name="NM3DF" vbProcedure="false">#REF!</definedName>
    <definedName function="false" hidden="false" name="NM3DP" vbProcedure="false">#REF!</definedName>
    <definedName function="false" hidden="false" name="NM3MR" vbProcedure="false">#REF!</definedName>
    <definedName function="false" hidden="false" name="NM3RL" vbProcedure="false">#REF!</definedName>
    <definedName function="false" hidden="false" name="NM3SAF" vbProcedure="false">#REF!</definedName>
    <definedName function="false" hidden="false" name="NM3SAP" vbProcedure="false">#REF!</definedName>
    <definedName function="false" hidden="false" name="NNBY" vbProcedure="false">#N/A</definedName>
    <definedName function="false" hidden="false" name="NNBYBD" vbProcedure="false">#N/A</definedName>
    <definedName function="false" hidden="false" name="No" vbProcedure="false">#REF!</definedName>
    <definedName function="false" hidden="false" name="NORTH" vbProcedure="false">#REF!</definedName>
    <definedName function="false" hidden="false" name="NOTES" vbProcedure="false">[6]NOTES!$A$1:$J$191</definedName>
    <definedName function="false" hidden="false" name="Nov_04" vbProcedure="false">#REF!</definedName>
    <definedName function="false" hidden="false" name="Oct_04" vbProcedure="false">#REF!</definedName>
    <definedName function="false" hidden="false" name="odaki" vbProcedure="false">#REF!</definedName>
    <definedName function="false" hidden="false" name="OEM_PROGRAM" vbProcedure="false">#REF!</definedName>
    <definedName function="false" hidden="false" name="OH" vbProcedure="false">#REF!</definedName>
    <definedName function="false" hidden="false" name="ophom" vbProcedure="false">#REF!</definedName>
    <definedName function="false" hidden="false" name="Ord" vbProcedure="false">#REF!</definedName>
    <definedName function="false" hidden="false" name="otherincome" vbProcedure="false">#REF!</definedName>
    <definedName function="false" hidden="false" name="OTHER_MISC." vbProcedure="false">#REF!</definedName>
    <definedName function="false" hidden="false" name="Oth_data" vbProcedure="false">#REF!</definedName>
    <definedName function="false" hidden="false" name="P1_" vbProcedure="false">#REF!</definedName>
    <definedName function="false" hidden="false" name="P2_" vbProcedure="false">#REF!</definedName>
    <definedName function="false" hidden="false" name="P3_" vbProcedure="false">#REF!</definedName>
    <definedName function="false" hidden="false" name="P4_" vbProcedure="false">#REF!</definedName>
    <definedName function="false" hidden="false" name="P7b" vbProcedure="false">#REF!</definedName>
    <definedName function="false" hidden="false" name="PA" vbProcedure="false">#REF!</definedName>
    <definedName function="false" hidden="false" name="PAGE" vbProcedure="false">#REF!</definedName>
    <definedName function="false" hidden="false" name="PART" vbProcedure="false">#REF!</definedName>
    <definedName function="false" hidden="false" name="PBY" vbProcedure="false">#N/A</definedName>
    <definedName function="false" hidden="false" name="PBYBD" vbProcedure="false">#N/A</definedName>
    <definedName function="false" hidden="false" name="PC" vbProcedure="false">#REF!</definedName>
    <definedName function="false" hidden="false" name="Period_Calc" vbProcedure="false">#REF!</definedName>
    <definedName function="false" hidden="false" name="PERS" vbProcedure="false">#REF!</definedName>
    <definedName function="false" hidden="false" name="PERS1" vbProcedure="false">#REF!</definedName>
    <definedName function="false" hidden="false" name="personnelexp" vbProcedure="false">#REF!</definedName>
    <definedName function="false" hidden="false" name="PL" vbProcedure="false">#REF!</definedName>
    <definedName function="false" hidden="false" name="Plant1" vbProcedure="false">#REF!</definedName>
    <definedName function="false" hidden="false" name="Plant2" vbProcedure="false">#REF!</definedName>
    <definedName function="false" hidden="false" name="Plant4" vbProcedure="false">#REF!</definedName>
    <definedName function="false" hidden="false" name="Plant5" vbProcedure="false">#REF!</definedName>
    <definedName function="false" hidden="false" name="Plant6" vbProcedure="false">#REF!</definedName>
    <definedName function="false" hidden="false" name="PM" vbProcedure="false">#REF!</definedName>
    <definedName function="false" hidden="false" name="PMB" vbProcedure="false">#REF!</definedName>
    <definedName function="false" hidden="false" name="PMW" vbProcedure="false">#REF!</definedName>
    <definedName function="false" hidden="false" name="POFOBE_" vbProcedure="false">#REF!</definedName>
    <definedName function="false" hidden="false" name="POFOB_" vbProcedure="false">#REF!</definedName>
    <definedName function="false" hidden="false" name="POLDE_" vbProcedure="false">#REF!</definedName>
    <definedName function="false" hidden="false" name="POLDM_" vbProcedure="false">#REF!</definedName>
    <definedName function="false" hidden="false" name="POLD_" vbProcedure="false">#REF!</definedName>
    <definedName function="false" hidden="false" name="PO_E_" vbProcedure="false">#REF!</definedName>
    <definedName function="false" hidden="false" name="PP" vbProcedure="false">#REF!</definedName>
    <definedName function="false" hidden="false" name="PPBY" vbProcedure="false">#N/A</definedName>
    <definedName function="false" hidden="false" name="PPBYBD" vbProcedure="false">#N/A</definedName>
    <definedName function="false" hidden="false" name="PPMAM" vbProcedure="false">#REF!</definedName>
    <definedName function="false" hidden="false" name="PPMAY" vbProcedure="false">#REF!</definedName>
    <definedName function="false" hidden="false" name="PPMBM" vbProcedure="false">#REF!</definedName>
    <definedName function="false" hidden="false" name="PPMBY" vbProcedure="false">#REF!</definedName>
    <definedName function="false" hidden="false" name="PPMLM" vbProcedure="false">#REF!</definedName>
    <definedName function="false" hidden="false" name="PPMLY" vbProcedure="false">#REF!</definedName>
    <definedName function="false" hidden="false" name="PR" vbProcedure="false">#REF!</definedName>
    <definedName function="false" hidden="false" name="PRE" vbProcedure="false">#REF!</definedName>
    <definedName function="false" hidden="false" name="PREOP" vbProcedure="false">#REF!</definedName>
    <definedName function="false" hidden="false" name="PRES" vbProcedure="false">#REF!</definedName>
    <definedName function="false" hidden="false" name="PRFOBE_" vbProcedure="false">#REF!</definedName>
    <definedName function="false" hidden="false" name="PRFOB_" vbProcedure="false">#REF!</definedName>
    <definedName function="false" hidden="false" name="PRINTA" vbProcedure="false">#REF!</definedName>
    <definedName function="false" hidden="false" name="PRINTB" vbProcedure="false">#REF!</definedName>
    <definedName function="false" hidden="false" name="PRINTC" vbProcedure="false">#REF!</definedName>
    <definedName function="false" hidden="false" name="PRINT_AR06" vbProcedure="false">#REF!</definedName>
    <definedName function="false" hidden="false" name="PRINT_AREA_MI" vbProcedure="false">#REF!</definedName>
    <definedName function="false" hidden="false" name="Print_Titles2" vbProcedure="false">#REF!</definedName>
    <definedName function="false" hidden="false" name="PRINT_TITLES_MI" vbProcedure="false">#REF!</definedName>
    <definedName function="false" hidden="false" name="PRL" vbProcedure="false">#REF!</definedName>
    <definedName function="false" hidden="false" name="PRLDE_" vbProcedure="false">#REF!</definedName>
    <definedName function="false" hidden="false" name="PRLDM_" vbProcedure="false">#REF!</definedName>
    <definedName function="false" hidden="false" name="PRLD_" vbProcedure="false">#REF!</definedName>
    <definedName function="false" hidden="false" name="ProductCategory" vbProcedure="false">[1]List!$B$2:$B$50</definedName>
    <definedName function="false" hidden="false" name="Profit" vbProcedure="false">#REF!</definedName>
    <definedName function="false" hidden="false" name="PROPOSAL" vbProcedure="false">#REF!</definedName>
    <definedName function="false" hidden="false" name="PRS" vbProcedure="false">#REF!</definedName>
    <definedName function="false" hidden="false" name="PR_E_" vbProcedure="false">#REF!</definedName>
    <definedName function="false" hidden="false" name="PR__" vbProcedure="false">#REF!</definedName>
    <definedName function="false" hidden="false" name="PS" vbProcedure="false">#REF!</definedName>
    <definedName function="false" hidden="false" name="ptdg" vbProcedure="false">#REF!</definedName>
    <definedName function="false" hidden="false" name="PTDG_cau" vbProcedure="false">#REF!</definedName>
    <definedName function="false" hidden="false" name="ptdg_cong" vbProcedure="false">#REF!</definedName>
    <definedName function="false" hidden="false" name="ptdg_duong" vbProcedure="false">#REF!</definedName>
    <definedName function="false" hidden="false" name="PT_Duong" vbProcedure="false">#REF!</definedName>
    <definedName function="false" hidden="false" name="PWHT" vbProcedure="false">#REF!</definedName>
    <definedName function="false" hidden="false" name="Q" vbProcedure="false">#REF!</definedName>
    <definedName function="false" hidden="false" name="QCFOBE_" vbProcedure="false">#REF!</definedName>
    <definedName function="false" hidden="false" name="QCFOB_" vbProcedure="false">#REF!</definedName>
    <definedName function="false" hidden="false" name="QCLDE_" vbProcedure="false">#REF!</definedName>
    <definedName function="false" hidden="false" name="QCLDM_" vbProcedure="false">#REF!</definedName>
    <definedName function="false" hidden="false" name="QCLD_" vbProcedure="false">#REF!</definedName>
    <definedName function="false" hidden="false" name="QC_E_" vbProcedure="false">#REF!</definedName>
    <definedName function="false" hidden="false" name="QC__" vbProcedure="false">#REF!</definedName>
    <definedName function="false" hidden="false" name="qtdm" vbProcedure="false">#REF!</definedName>
    <definedName function="false" hidden="false" name="READ" vbProcedure="false">#REF!</definedName>
    <definedName function="false" hidden="false" name="readings" vbProcedure="false">#REF!</definedName>
    <definedName function="false" hidden="false" name="reconc" vbProcedure="false">#REF!</definedName>
    <definedName function="false" hidden="false" name="RECONCILIATION" vbProcedure="false">#REF!</definedName>
    <definedName function="false" hidden="false" name="RED_RIVER_BRIDGE__THANH_TRI_BRIDGE__CONSTRUCTION_PROJECT" vbProcedure="false">#REF!</definedName>
    <definedName function="false" hidden="false" name="refer3_1" vbProcedure="false">#REF!</definedName>
    <definedName function="false" hidden="false" name="refer5_1" vbProcedure="false">#REF!</definedName>
    <definedName function="false" hidden="false" name="REO" vbProcedure="false">#REF!</definedName>
    <definedName function="false" hidden="false" name="REP" vbProcedure="false">#REF!</definedName>
    <definedName function="false" hidden="false" name="REVISION_00" vbProcedure="false">#REF!</definedName>
    <definedName function="false" hidden="false" name="rmcsep" vbProcedure="false">#REF!</definedName>
    <definedName function="false" hidden="false" name="rmc_working" vbProcedure="false">#REF!</definedName>
    <definedName function="false" hidden="false" name="R_" vbProcedure="false">#REF!</definedName>
    <definedName function="false" hidden="false" name="R_1" vbProcedure="false">#REF!</definedName>
    <definedName function="false" hidden="false" name="R_2" vbProcedure="false">#REF!</definedName>
    <definedName function="false" hidden="false" name="R_3" vbProcedure="false">#REF!</definedName>
    <definedName function="false" hidden="false" name="SALE1" vbProcedure="false">#REF!</definedName>
    <definedName function="false" hidden="false" name="SALE7" vbProcedure="false">#REF!</definedName>
    <definedName function="false" hidden="false" name="Sales_plan" vbProcedure="false">#REF!</definedName>
    <definedName function="false" hidden="false" name="SAPBEXrevision" vbProcedure="false">1</definedName>
    <definedName function="false" hidden="false" name="SAPBEXsysID" vbProcedure="false">"BWP"</definedName>
    <definedName function="false" hidden="false" name="SAPBEXwbID" vbProcedure="false">"3UXN7LBTIX40QTRMZ79VG86CE"</definedName>
    <definedName function="false" hidden="false" name="satu" vbProcedure="false">#REF!</definedName>
    <definedName function="false" hidden="false" name="SAURAV" vbProcedure="false">#REF!</definedName>
    <definedName function="false" hidden="false" name="SD" vbProcedure="false">#REF!</definedName>
    <definedName function="false" hidden="false" name="Segment" vbProcedure="false">[1]List!$C$2:$C$10</definedName>
    <definedName function="false" hidden="false" name="SEGN_ALL_PQL" vbProcedure="false">#REF!</definedName>
    <definedName function="false" hidden="false" name="SEGN_HEALTH_PQL" vbProcedure="false">#REF!</definedName>
    <definedName function="false" hidden="false" name="SEGN_HOIKU_PQL" vbProcedure="false">#REF!</definedName>
    <definedName function="false" hidden="false" name="SEGN_IKUJI_PQL" vbProcedure="false">#REF!</definedName>
    <definedName function="false" hidden="false" name="SEGN_JYOSEI_PQL" vbProcedure="false">#REF!</definedName>
    <definedName function="false" hidden="false" name="SEGN_KAIGO_PQL" vbProcedure="false">#REF!</definedName>
    <definedName function="false" hidden="false" name="SEGN_OTHER_PQL" vbProcedure="false">#REF!</definedName>
    <definedName function="false" hidden="false" name="selldistexp" vbProcedure="false">#REF!</definedName>
    <definedName function="false" hidden="false" name="sencount" vbProcedure="false">26</definedName>
    <definedName function="false" hidden="false" name="Sep_04" vbProcedure="false">#REF!</definedName>
    <definedName function="false" hidden="false" name="Sheet1" vbProcedure="false">#REF!</definedName>
    <definedName function="false" hidden="false" name="sho" vbProcedure="false">#REF!</definedName>
    <definedName function="false" hidden="false" name="SM" vbProcedure="false">#REF!</definedName>
    <definedName function="false" hidden="false" name="SORT" vbProcedure="false">#REF!</definedName>
    <definedName function="false" hidden="false" name="SOUTH" vbProcedure="false">#REF!</definedName>
    <definedName function="false" hidden="false" name="SPEC" vbProcedure="false">#REF!</definedName>
    <definedName function="false" hidden="false" name="SPECSUMMARY" vbProcedure="false">#REF!</definedName>
    <definedName function="false" hidden="false" name="SP_SOB" vbProcedure="false">#REF!</definedName>
    <definedName function="false" hidden="false" name="SSTR" vbProcedure="false">#REF!</definedName>
    <definedName function="false" hidden="false" name="SSVITM" vbProcedure="false">'[5]L-Sale'!$C$62:$O$65</definedName>
    <definedName function="false" hidden="false" name="SSVYTD" vbProcedure="false">'[5]L-Sale'!$C$89:$O$92</definedName>
    <definedName function="false" hidden="false" name="ST" vbProcedure="false">#REF!</definedName>
    <definedName function="false" hidden="false" name="Start_1" vbProcedure="false">#REF!</definedName>
    <definedName function="false" hidden="false" name="Start_10" vbProcedure="false">#REF!</definedName>
    <definedName function="false" hidden="false" name="Start_11" vbProcedure="false">#REF!</definedName>
    <definedName function="false" hidden="false" name="Start_12" vbProcedure="false">#REF!</definedName>
    <definedName function="false" hidden="false" name="Start_13" vbProcedure="false">#REF!</definedName>
    <definedName function="false" hidden="false" name="Start_2" vbProcedure="false">#REF!</definedName>
    <definedName function="false" hidden="false" name="Start_3" vbProcedure="false">#REF!</definedName>
    <definedName function="false" hidden="false" name="Start_4" vbProcedure="false">#REF!</definedName>
    <definedName function="false" hidden="false" name="Start_5" vbProcedure="false">#REF!</definedName>
    <definedName function="false" hidden="false" name="Start_6" vbProcedure="false">#REF!</definedName>
    <definedName function="false" hidden="false" name="Start_7" vbProcedure="false">#REF!</definedName>
    <definedName function="false" hidden="false" name="Start_8" vbProcedure="false">#REF!</definedName>
    <definedName function="false" hidden="false" name="Start_9" vbProcedure="false">#REF!</definedName>
    <definedName function="false" hidden="false" name="STATUSREPORT_U" vbProcedure="false">#REF!</definedName>
    <definedName function="false" hidden="false" name="STATUSREPORT_Y" vbProcedure="false">#REF!</definedName>
    <definedName function="false" hidden="false" name="STFOBE_" vbProcedure="false">#REF!</definedName>
    <definedName function="false" hidden="false" name="STFOB_" vbProcedure="false">#REF!</definedName>
    <definedName function="false" hidden="false" name="STLDE_" vbProcedure="false">#REF!</definedName>
    <definedName function="false" hidden="false" name="STLDM_" vbProcedure="false">#REF!</definedName>
    <definedName function="false" hidden="false" name="STLD_" vbProcedure="false">#REF!</definedName>
    <definedName function="false" hidden="false" name="store" vbProcedure="false">#REF!</definedName>
    <definedName function="false" hidden="false" name="store1" vbProcedure="false">#REF!</definedName>
    <definedName function="false" hidden="false" name="storeFait" vbProcedure="false">#REF!</definedName>
    <definedName function="false" hidden="false" name="structure" vbProcedure="false">#REF!</definedName>
    <definedName function="false" hidden="false" name="ST_E_" vbProcedure="false">#REF!</definedName>
    <definedName function="false" hidden="false" name="ST__" vbProcedure="false">#REF!</definedName>
    <definedName function="false" hidden="false" name="SUMMARY" vbProcedure="false">#REF!</definedName>
    <definedName function="false" hidden="false" name="T.C.I.L." vbProcedure="false">#REF!</definedName>
    <definedName function="false" hidden="false" name="Table" vbProcedure="false">OFFSET([2]Master!$A$2,0,0,COUNTA([2]Master!$A$1:$A$1048576)-1,COUNTA([2]Master!$A$1:$AMJ$1))</definedName>
    <definedName function="false" hidden="false" name="Target" vbProcedure="false">#REF!</definedName>
    <definedName function="false" hidden="false" name="TaxTV" vbProcedure="false">10%</definedName>
    <definedName function="false" hidden="false" name="TaxXL" vbProcedure="false">5%</definedName>
    <definedName function="false" hidden="false" name="TBA" vbProcedure="false">#REF!</definedName>
    <definedName function="false" hidden="false" name="TCACP" vbProcedure="false">#N/A</definedName>
    <definedName function="false" hidden="false" name="TCAP" vbProcedure="false">#N/A</definedName>
    <definedName function="false" hidden="false" name="TCATP" vbProcedure="false">#N/A</definedName>
    <definedName function="false" hidden="false" name="tdia" vbProcedure="false">#REF!</definedName>
    <definedName function="false" hidden="false" name="tdt" vbProcedure="false">#REF!</definedName>
    <definedName function="false" hidden="false" name="test" vbProcedure="false">#REF!</definedName>
    <definedName function="false" hidden="false" name="TextRefCopy1" vbProcedure="false">#REF!</definedName>
    <definedName function="false" hidden="false" name="TextRefCopy10" vbProcedure="false">'[14]cashflow 31.05.08' #REF!</definedName>
    <definedName function="false" hidden="false" name="TextRefCopy11" vbProcedure="false">'[14]cashflow 31.05.08' #REF!</definedName>
    <definedName function="false" hidden="false" name="TextRefCopy12" vbProcedure="false">'[14]cashflow 31.05.08' #REF!</definedName>
    <definedName function="false" hidden="false" name="TextRefCopy13" vbProcedure="false">'[14]cashflow 31.05.08' #REF!</definedName>
    <definedName function="false" hidden="false" name="TextRefCopy14" vbProcedure="false">'[14]cashflow 31.05.08' #REF!</definedName>
    <definedName function="false" hidden="false" name="TextRefCopy15" vbProcedure="false">'[14]cashflow 31.05.08' #REF!</definedName>
    <definedName function="false" hidden="false" name="TextRefCopy16" vbProcedure="false">'[14]cashflow 31.05.08' #REF!</definedName>
    <definedName function="false" hidden="false" name="TextRefCopy2" vbProcedure="false">#REF!</definedName>
    <definedName function="false" hidden="false" name="TextRefCopy3" vbProcedure="false">#REF!</definedName>
    <definedName function="false" hidden="false" name="TextRefCopy4" vbProcedure="false">#REF!</definedName>
    <definedName function="false" hidden="false" name="TextRefCopy5" vbProcedure="false">#REF!</definedName>
    <definedName function="false" hidden="false" name="TextRefCopy6" vbProcedure="false">#REF!</definedName>
    <definedName function="false" hidden="false" name="TextRefCopy7" vbProcedure="false">#REF!</definedName>
    <definedName function="false" hidden="false" name="TextRefCopy8" vbProcedure="false">#REF!</definedName>
    <definedName function="false" hidden="false" name="TextRefCopy9" vbProcedure="false">#REF!</definedName>
    <definedName function="false" hidden="false" name="TextRefCopyRangeCount" vbProcedure="false">16</definedName>
    <definedName function="false" hidden="false" name="thdt" vbProcedure="false">#REF!</definedName>
    <definedName function="false" hidden="false" name="THREE02" vbProcedure="false">#REF!</definedName>
    <definedName function="false" hidden="false" name="THREE03" vbProcedure="false">#REF!</definedName>
    <definedName function="false" hidden="false" name="THREE04" vbProcedure="false">#REF!</definedName>
    <definedName function="false" hidden="false" name="THREE05" vbProcedure="false">#REF!</definedName>
    <definedName function="false" hidden="false" name="THREE06" vbProcedure="false">#REF!</definedName>
    <definedName function="false" hidden="false" name="THREE07" vbProcedure="false">#REF!</definedName>
    <definedName function="false" hidden="false" name="THREE08" vbProcedure="false">#REF!</definedName>
    <definedName function="false" hidden="false" name="THREE09" vbProcedure="false">#REF!</definedName>
    <definedName function="false" hidden="false" name="thue" vbProcedure="false">6</definedName>
    <definedName function="false" hidden="false" name="Tien" vbProcedure="false">#REF!</definedName>
    <definedName function="false" hidden="false" name="Tim_lan_xuat_hien" vbProcedure="false">#REF!</definedName>
    <definedName function="false" hidden="false" name="tim_xuat_hien" vbProcedure="false">#REF!</definedName>
    <definedName function="false" hidden="false" name="tld" vbProcedure="false">#REF!</definedName>
    <definedName function="false" hidden="false" name="tly" vbProcedure="false">#REF!</definedName>
    <definedName function="false" hidden="false" name="TMXCP" vbProcedure="false">#N/A</definedName>
    <definedName function="false" hidden="false" name="TMXP" vbProcedure="false">#N/A</definedName>
    <definedName function="false" hidden="false" name="TMXTP" vbProcedure="false">#N/A</definedName>
    <definedName function="false" hidden="false" name="tn" vbProcedure="false">#REF!</definedName>
    <definedName function="false" hidden="false" name="Tong" vbProcedure="false">#REF!</definedName>
    <definedName function="false" hidden="false" name="tongcong" vbProcedure="false">#REF!</definedName>
    <definedName function="false" hidden="false" name="Tooling" vbProcedure="false">#REF!</definedName>
    <definedName function="false" hidden="false" name="total" vbProcedure="false">#REF!</definedName>
    <definedName function="false" hidden="false" name="TRANSFERS" vbProcedure="false">#REF!</definedName>
    <definedName function="false" hidden="false" name="TRAVL" vbProcedure="false">#REF!</definedName>
    <definedName function="false" hidden="false" name="Tra_DM_su_dung" vbProcedure="false">#REF!</definedName>
    <definedName function="false" hidden="false" name="Tra_don_gia_KS" vbProcedure="false">#REF!</definedName>
    <definedName function="false" hidden="false" name="Tra_DTCT" vbProcedure="false">#REF!</definedName>
    <definedName function="false" hidden="false" name="Tra_tim_hang_mucPT_trung" vbProcedure="false">#REF!</definedName>
    <definedName function="false" hidden="false" name="TRA_VAT_LIEU" vbProcedure="false">#REF!</definedName>
    <definedName function="false" hidden="false" name="TRA_VL" vbProcedure="false">#REF!</definedName>
    <definedName function="false" hidden="false" name="trt" vbProcedure="false">#REF!</definedName>
    <definedName function="false" hidden="false" name="TSVITM" vbProcedure="false">'[5]L-Sale'!$C$80:$O$83</definedName>
    <definedName function="false" hidden="false" name="TSVYTD" vbProcedure="false">'[5]L-Sale'!$C$107:$O$110</definedName>
    <definedName function="false" hidden="false" name="tt" vbProcedure="false">#REF!</definedName>
    <definedName function="false" hidden="false" name="tthi" vbProcedure="false">#REF!</definedName>
    <definedName function="false" hidden="false" name="TTLB1" vbProcedure="false">#REF!</definedName>
    <definedName function="false" hidden="false" name="TTLB2" vbProcedure="false">#REF!</definedName>
    <definedName function="false" hidden="false" name="TTLB3" vbProcedure="false">#REF!</definedName>
    <definedName function="false" hidden="false" name="TUSCP" vbProcedure="false">#N/A</definedName>
    <definedName function="false" hidden="false" name="TUSP" vbProcedure="false">#N/A</definedName>
    <definedName function="false" hidden="false" name="TUSTP" vbProcedure="false">#N/A</definedName>
    <definedName function="false" hidden="false" name="TYMS" vbProcedure="false">#REF!</definedName>
    <definedName function="false" hidden="false" name="ty_le" vbProcedure="false">#REF!</definedName>
    <definedName function="false" hidden="false" name="Ty_le1" vbProcedure="false">#REF!</definedName>
    <definedName function="false" hidden="false" name="ty_le_BTN" vbProcedure="false">#REF!</definedName>
    <definedName function="false" hidden="false" name="UnitCurrency" vbProcedure="false">[1]List!$J$2:$J$5</definedName>
    <definedName function="false" hidden="false" name="UNO" vbProcedure="false">#REF!</definedName>
    <definedName function="false" hidden="false" name="UPLOAD" vbProcedure="false">#REF!</definedName>
    <definedName function="false" hidden="false" name="US___DETAIL" vbProcedure="false">#REF!</definedName>
    <definedName function="false" hidden="false" name="US___PRES" vbProcedure="false">#REF!</definedName>
    <definedName function="false" hidden="false" name="VARIINST" vbProcedure="false">#REF!</definedName>
    <definedName function="false" hidden="false" name="VARIPURC" vbProcedure="false">#REF!</definedName>
    <definedName function="false" hidden="false" name="vat" vbProcedure="false">#REF!</definedName>
    <definedName function="false" hidden="false" name="vbt400d" vbProcedure="false">#REF!</definedName>
    <definedName function="false" hidden="false" name="vbta" vbProcedure="false">#REF!</definedName>
    <definedName function="false" hidden="false" name="vbtB" vbProcedure="false">#REF!</definedName>
    <definedName function="false" hidden="false" name="vbtD" vbProcedure="false">#REF!</definedName>
    <definedName function="false" hidden="false" name="vbtE" vbProcedure="false">#REF!</definedName>
    <definedName function="false" hidden="false" name="vbtF" vbProcedure="false">#REF!</definedName>
    <definedName function="false" hidden="false" name="vbtg" vbProcedure="false">#REF!</definedName>
    <definedName function="false" hidden="false" name="VCM_Y" vbProcedure="false">#REF!</definedName>
    <definedName function="false" hidden="false" name="viet" vbProcedure="false">#REF!</definedName>
    <definedName function="false" hidden="false" name="vik" vbProcedure="false">#REF!</definedName>
    <definedName function="false" hidden="false" name="VOLUME" vbProcedure="false">#REF!</definedName>
    <definedName function="false" hidden="false" name="vtu" vbProcedure="false">#REF!</definedName>
    <definedName function="false" hidden="false" name="W" vbProcedure="false">#REF!</definedName>
    <definedName function="false" hidden="false" name="waterway" vbProcedure="false">#REF!</definedName>
    <definedName function="false" hidden="false" name="WEFOBE_" vbProcedure="false">#REF!</definedName>
    <definedName function="false" hidden="false" name="WEFOB_" vbProcedure="false">#REF!</definedName>
    <definedName function="false" hidden="false" name="WELDE_" vbProcedure="false">#REF!</definedName>
    <definedName function="false" hidden="false" name="WELDM_" vbProcedure="false">#REF!</definedName>
    <definedName function="false" hidden="false" name="WELD_" vbProcedure="false">#REF!</definedName>
    <definedName function="false" hidden="false" name="WEST" vbProcedure="false">#REF!</definedName>
    <definedName function="false" hidden="false" name="WE_E_" vbProcedure="false">#REF!</definedName>
    <definedName function="false" hidden="false" name="WE__" vbProcedure="false">#REF!</definedName>
    <definedName function="false" hidden="false" name="WITHMPBF" vbProcedure="false">#REF!</definedName>
    <definedName function="false" hidden="false"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name="wrn.Volumes." vbProcedure="false">{#N/A,#N/A,TRUE,"Volumes"}</definedName>
    <definedName function="false" hidden="false" name="X" vbProcedure="false">#REF!</definedName>
    <definedName function="false" hidden="false" name="xd0.6" vbProcedure="false">#REF!</definedName>
    <definedName function="false" hidden="false" name="xd1.3" vbProcedure="false">#REF!</definedName>
    <definedName function="false" hidden="false" name="xd1.5" vbProcedure="false">#REF!</definedName>
    <definedName function="false" hidden="false" name="xh" vbProcedure="false">#REF!</definedName>
    <definedName function="false" hidden="false" name="xk0.6" vbProcedure="false">#REF!</definedName>
    <definedName function="false" hidden="false" name="xk1.3" vbProcedure="false">#REF!</definedName>
    <definedName function="false" hidden="false" name="xk1.5" vbProcedure="false">#REF!</definedName>
    <definedName function="false" hidden="false" name="xl" vbProcedure="false">#REF!</definedName>
    <definedName function="false" hidden="false" name="xlc" vbProcedure="false">#REF!</definedName>
    <definedName function="false" hidden="false" name="xld1.4" vbProcedure="false">#REF!</definedName>
    <definedName function="false" hidden="false" name="xlk" vbProcedure="false">#REF!</definedName>
    <definedName function="false" hidden="false" name="xlk1.4" vbProcedure="false">#REF!</definedName>
    <definedName function="false" hidden="false" name="xn" vbProcedure="false">#REF!</definedName>
    <definedName function="false" hidden="false" name="xx" vbProcedure="false">#REF!</definedName>
    <definedName function="false" hidden="false" name="xxx" vbProcedure="false">#REF!</definedName>
    <definedName function="false" hidden="false" name="ytm_pbt" vbProcedure="false">#REF!</definedName>
    <definedName function="false" hidden="false" name="Z" vbProcedure="false">#REF!</definedName>
    <definedName function="false" hidden="false" name="ZAHEERABAD_D" vbProcedure="false">#REF!</definedName>
    <definedName function="false" hidden="false" name="ZAHEERABAD_P" vbProcedure="false">#REF!</definedName>
    <definedName function="false" hidden="false" name="ZAHEERABAD_S" vbProcedure="false">#REF!</definedName>
    <definedName function="false" hidden="false" name="ZYX" vbProcedure="false">#REF!</definedName>
    <definedName function="false" hidden="false" name="ZZZ" vbProcedure="false">#REF!</definedName>
    <definedName function="false" hidden="false" name="\0" vbProcedure="false">#REF!</definedName>
    <definedName function="false" hidden="false" name="\a" vbProcedure="false">#REF!</definedName>
    <definedName function="false" hidden="false" name="\e" vbProcedure="false">#REF!</definedName>
    <definedName function="false" hidden="false" name="\q" vbProcedure="false">#REF!</definedName>
    <definedName function="false" hidden="false" name="\r" vbProcedure="false">#REF!</definedName>
    <definedName function="false" hidden="false" name="\s" vbProcedure="false">#REF!</definedName>
    <definedName function="false" hidden="false" name="\t" vbProcedure="false">#REF!</definedName>
    <definedName function="false" hidden="false" name="\X" vbProcedure="false">#REF!</definedName>
    <definedName function="false" hidden="false" name="\z" vbProcedure="false">#REF!</definedName>
    <definedName function="false" hidden="false" name="_" vbProcedure="false">#REF!</definedName>
    <definedName function="false" hidden="false" name="_1" vbProcedure="false">#REF!</definedName>
    <definedName function="false" hidden="false" name="_10" vbProcedure="false">#REF!</definedName>
    <definedName function="false" hidden="false" name="_10_11" vbProcedure="false">#REF!</definedName>
    <definedName function="false" hidden="false" name="_12_6" vbProcedure="false">#REF!</definedName>
    <definedName function="false" hidden="false" name="_14_8" vbProcedure="false">#REF!</definedName>
    <definedName function="false" hidden="false" name="_16IN_LINE" vbProcedure="false">#REF!</definedName>
    <definedName function="false" hidden="false" name="_18_6" vbProcedure="false">#REF!</definedName>
    <definedName function="false" hidden="false" name="_19_8" vbProcedure="false">#REF!</definedName>
    <definedName function="false" hidden="false" name="_1PRINT_ALL_IN" vbProcedure="false">#REF!</definedName>
    <definedName function="false" hidden="false" name="_1__123Graph_ACHART_1" vbProcedure="false">[7]RATE!$C$6:$O$6</definedName>
    <definedName function="false" hidden="false" name="_2" vbProcedure="false">#REF!</definedName>
    <definedName function="false" hidden="false" name="_20IN_LINE" vbProcedure="false">#REF!</definedName>
    <definedName function="false" hidden="false" name="_2PRINT_ALL_IN" vbProcedure="false">#REF!</definedName>
    <definedName function="false" hidden="false" name="_2PRINT_DC" vbProcedure="false">#REF!</definedName>
    <definedName function="false" hidden="false" name="_2__123Graph_BCHART_1" vbProcedure="false">[7]RATE!$C$7:$O$7</definedName>
    <definedName function="false" hidden="false" name="_3" vbProcedure="false">#REF!</definedName>
    <definedName function="false" hidden="false" name="_3__123Graph_CCHART_1" vbProcedure="false">[7]RATE!$C$8:$O$8</definedName>
    <definedName function="false" hidden="false" name="_4" vbProcedure="false">#REF!</definedName>
    <definedName function="false" hidden="false" name="_4PRINT_DC" vbProcedure="false">#REF!</definedName>
    <definedName function="false" hidden="false" name="_4_5" vbProcedure="false">#REF!</definedName>
    <definedName function="false" hidden="false" name="_4__123Graph_DCHART_1" vbProcedure="false">[7]RATE!$C$9:$O$9</definedName>
    <definedName function="false" hidden="false" name="_5" vbProcedure="false">#REF!</definedName>
    <definedName function="false" hidden="false" name="_5__123Graph_ECHART_1" vbProcedure="false">[7]RATE!$C$10:$O$10</definedName>
    <definedName function="false" hidden="false" name="_6" vbProcedure="false">#REF!</definedName>
    <definedName function="false" hidden="false" name="_6_6" vbProcedure="false">#REF!</definedName>
    <definedName function="false" hidden="false" name="_7" vbProcedure="false">#REF!</definedName>
    <definedName function="false" hidden="false" name="_7_8" vbProcedure="false">#REF!</definedName>
    <definedName function="false" hidden="false" name="_8" vbProcedure="false">#REF!</definedName>
    <definedName function="false" hidden="false" name="_8IN_LINE" vbProcedure="false">#REF!</definedName>
    <definedName function="false" hidden="false" name="_9" vbProcedure="false">#REF!</definedName>
    <definedName function="false" hidden="false" name="_aug2" vbProcedure="false">#REF!</definedName>
    <definedName function="false" hidden="false" name="_BOM1" vbProcedure="false">#REF!</definedName>
    <definedName function="false" hidden="false" name="_BTM150" vbProcedure="false">#REF!</definedName>
    <definedName function="false" hidden="false" name="_BTM200" vbProcedure="false">#REF!</definedName>
    <definedName function="false" hidden="false" name="_BTM50" vbProcedure="false">#REF!</definedName>
    <definedName function="false" hidden="false" name="_C" vbProcedure="false">#REF!</definedName>
    <definedName function="false" hidden="false" name="_CAL02" vbProcedure="false">#REF!</definedName>
    <definedName function="false" hidden="false" name="_CAL03" vbProcedure="false">#REF!</definedName>
    <definedName function="false" hidden="false" name="_CAL04" vbProcedure="false">#REF!</definedName>
    <definedName function="false" hidden="false" name="_CAL05" vbProcedure="false">#REF!</definedName>
    <definedName function="false" hidden="false" name="_CAL06" vbProcedure="false">#REF!</definedName>
    <definedName function="false" hidden="false" name="_CAL07" vbProcedure="false">#REF!</definedName>
    <definedName function="false" hidden="false" name="_CAL08" vbProcedure="false">#REF!</definedName>
    <definedName function="false" hidden="false" name="_CAL09" vbProcedure="false">#REF!</definedName>
    <definedName function="false" hidden="false" name="_CFC214" vbProcedure="false">#REF!</definedName>
    <definedName function="false" hidden="false" name="_CFU377" vbProcedure="false">#REF!</definedName>
    <definedName function="false" hidden="false" name="_CGJ32" vbProcedure="false">#REF!</definedName>
    <definedName function="false" hidden="false" name="_CGW2" vbProcedure="false">#REF!</definedName>
    <definedName function="false" hidden="false" name="_CON1" vbProcedure="false">#REF!</definedName>
    <definedName function="false" hidden="false" name="_CON2" vbProcedure="false">#REF!</definedName>
    <definedName function="false" hidden="false" name="_EXC1" vbProcedure="false">#REF!</definedName>
    <definedName function="false" hidden="false" name="_EXC2" vbProcedure="false">#REF!</definedName>
    <definedName function="false" hidden="false" name="_Fill" vbProcedure="false">#REF!</definedName>
    <definedName function="false" hidden="false" name="_hom2" vbProcedure="false">#REF!</definedName>
    <definedName function="false" hidden="false" name="_JK00000412" vbProcedure="false">#REF!</definedName>
    <definedName function="false" hidden="false" name="_JK00000450" vbProcedure="false">#REF!</definedName>
    <definedName function="false" hidden="false" name="_JK00000456" vbProcedure="false">#REF!</definedName>
    <definedName function="false" hidden="false" name="_JK00000539" vbProcedure="false">#REF!</definedName>
    <definedName function="false" hidden="false" name="_JK00000573" vbProcedure="false">#REF!</definedName>
    <definedName function="false" hidden="false" name="_JK00000576" vbProcedure="false">#REF!</definedName>
    <definedName function="false" hidden="false" name="_JK00000577" vbProcedure="false">#REF!</definedName>
    <definedName function="false" hidden="false" name="_JK00000582" vbProcedure="false">#REF!</definedName>
    <definedName function="false" hidden="false" name="_JK00000923" vbProcedure="false">#REF!</definedName>
    <definedName function="false" hidden="false" name="_JK00000952" vbProcedure="false">#REF!</definedName>
    <definedName function="false" hidden="false" name="_JK00000961" vbProcedure="false">#REF!</definedName>
    <definedName function="false" hidden="false" name="_JK00000971" vbProcedure="false">#REF!</definedName>
    <definedName function="false" hidden="false" name="_JK00000979" vbProcedure="false">#REF!</definedName>
    <definedName function="false" hidden="false" name="_JK00000984" vbProcedure="false">#REF!</definedName>
    <definedName function="false" hidden="false" name="_JK00000986" vbProcedure="false">#REF!</definedName>
    <definedName function="false" hidden="false" name="_JK00001004" vbProcedure="false">#REF!</definedName>
    <definedName function="false" hidden="false" name="_JK00001010" vbProcedure="false">#REF!</definedName>
    <definedName function="false" hidden="false" name="_JK00001011" vbProcedure="false">#REF!</definedName>
    <definedName function="false" hidden="false" name="_JK00001013" vbProcedure="false">#REF!</definedName>
    <definedName function="false" hidden="false" name="_JK00001018" vbProcedure="false">#REF!</definedName>
    <definedName function="false" hidden="false" name="_JK00001019" vbProcedure="false">#REF!</definedName>
    <definedName function="false" hidden="false" name="_JK00001020" vbProcedure="false">#REF!</definedName>
    <definedName function="false" hidden="false" name="_JK00001023" vbProcedure="false">#REF!</definedName>
    <definedName function="false" hidden="false" name="_JK00001024" vbProcedure="false">#REF!</definedName>
    <definedName function="false" hidden="false" name="_JK00001028" vbProcedure="false">#REF!</definedName>
    <definedName function="false" hidden="false" name="_JK00001031" vbProcedure="false">#REF!</definedName>
    <definedName function="false" hidden="false" name="_JK00001032" vbProcedure="false">#REF!</definedName>
    <definedName function="false" hidden="false" name="_JK00001033" vbProcedure="false">#REF!</definedName>
    <definedName function="false" hidden="false" name="_JK00001038" vbProcedure="false">#REF!</definedName>
    <definedName function="false" hidden="false" name="_JK00001039" vbProcedure="false">#REF!</definedName>
    <definedName function="false" hidden="false" name="_JK00001040" vbProcedure="false">#REF!</definedName>
    <definedName function="false" hidden="false" name="_JK00001047" vbProcedure="false">#REF!</definedName>
    <definedName function="false" hidden="false" name="_JK00001058" vbProcedure="false">#REF!</definedName>
    <definedName function="false" hidden="false" name="_JK00001059" vbProcedure="false">#REF!</definedName>
    <definedName function="false" hidden="false" name="_JK00001063" vbProcedure="false">#REF!</definedName>
    <definedName function="false" hidden="false" name="_JK00001064" vbProcedure="false">#REF!</definedName>
    <definedName function="false" hidden="false" name="_JK00001065" vbProcedure="false">#REF!</definedName>
    <definedName function="false" hidden="false" name="_JK00001067" vbProcedure="false">#REF!</definedName>
    <definedName function="false" hidden="false" name="_JK00001068" vbProcedure="false">#REF!</definedName>
    <definedName function="false" hidden="false" name="_JK00001069" vbProcedure="false">#REF!</definedName>
    <definedName function="false" hidden="false" name="_JK00001072" vbProcedure="false">#REF!</definedName>
    <definedName function="false" hidden="false" name="_JK00001073" vbProcedure="false">#REF!</definedName>
    <definedName function="false" hidden="false" name="_JK00001075" vbProcedure="false">#REF!</definedName>
    <definedName function="false" hidden="false" name="_JK00001076" vbProcedure="false">#REF!</definedName>
    <definedName function="false" hidden="false" name="_JK00001077" vbProcedure="false">#REF!</definedName>
    <definedName function="false" hidden="false" name="_JK00001078" vbProcedure="false">#REF!</definedName>
    <definedName function="false" hidden="false" name="_JK00001081" vbProcedure="false">#REF!</definedName>
    <definedName function="false" hidden="false" name="_JK00001082" vbProcedure="false">#REF!</definedName>
    <definedName function="false" hidden="false" name="_JK00001083" vbProcedure="false">#REF!</definedName>
    <definedName function="false" hidden="false" name="_JK00001084" vbProcedure="false">#REF!</definedName>
    <definedName function="false" hidden="false" name="_JK00001085" vbProcedure="false">#REF!</definedName>
    <definedName function="false" hidden="false" name="_JK00001086" vbProcedure="false">#REF!</definedName>
    <definedName function="false" hidden="false" name="_JK00001087" vbProcedure="false">#REF!</definedName>
    <definedName function="false" hidden="false" name="_JK00001089" vbProcedure="false">#REF!</definedName>
    <definedName function="false" hidden="false" name="_JK00001091" vbProcedure="false">#REF!</definedName>
    <definedName function="false" hidden="false" name="_JK00001092" vbProcedure="false">#REF!</definedName>
    <definedName function="false" hidden="false" name="_JK00001100" vbProcedure="false">#REF!</definedName>
    <definedName function="false" hidden="false" name="_JK00001101" vbProcedure="false">#REF!</definedName>
    <definedName function="false" hidden="false" name="_JK00001107" vbProcedure="false">#REF!</definedName>
    <definedName function="false" hidden="false" name="_JK00001108" vbProcedure="false">#REF!</definedName>
    <definedName function="false" hidden="false" name="_JK00001109" vbProcedure="false">#REF!</definedName>
    <definedName function="false" hidden="false" name="_JK00001110" vbProcedure="false">#REF!</definedName>
    <definedName function="false" hidden="false" name="_JK00001111" vbProcedure="false">#REF!</definedName>
    <definedName function="false" hidden="false" name="_JK00001113" vbProcedure="false">#REF!</definedName>
    <definedName function="false" hidden="false" name="_JK00001116" vbProcedure="false">#REF!</definedName>
    <definedName function="false" hidden="false" name="_JK00001118" vbProcedure="false">#REF!</definedName>
    <definedName function="false" hidden="false" name="_JK00001119" vbProcedure="false">#REF!</definedName>
    <definedName function="false" hidden="false" name="_JK00001121" vbProcedure="false">#REF!</definedName>
    <definedName function="false" hidden="false" name="_JK00001122" vbProcedure="false">#REF!</definedName>
    <definedName function="false" hidden="false" name="_JK00001124" vbProcedure="false">#REF!</definedName>
    <definedName function="false" hidden="false" name="_JK00001125" vbProcedure="false">#REF!</definedName>
    <definedName function="false" hidden="false" name="_JK00001127" vbProcedure="false">#REF!</definedName>
    <definedName function="false" hidden="false" name="_JK00001128" vbProcedure="false">#REF!</definedName>
    <definedName function="false" hidden="false" name="_JK00001135" vbProcedure="false">#REF!</definedName>
    <definedName function="false" hidden="false" name="_JK00001136" vbProcedure="false">#REF!</definedName>
    <definedName function="false" hidden="false" name="_JK00001137" vbProcedure="false">#REF!</definedName>
    <definedName function="false" hidden="false" name="_JK00001139" vbProcedure="false">#REF!</definedName>
    <definedName function="false" hidden="false" name="_JK00001141" vbProcedure="false">#REF!</definedName>
    <definedName function="false" hidden="false" name="_JK00001142" vbProcedure="false">#REF!</definedName>
    <definedName function="false" hidden="false" name="_JK00001143" vbProcedure="false">#REF!</definedName>
    <definedName function="false" hidden="false" name="_JK00001146" vbProcedure="false">#REF!</definedName>
    <definedName function="false" hidden="false" name="_JK00001147" vbProcedure="false">#REF!</definedName>
    <definedName function="false" hidden="false" name="_JK00001148" vbProcedure="false">#REF!</definedName>
    <definedName function="false" hidden="false" name="_JK00001149" vbProcedure="false">#REF!</definedName>
    <definedName function="false" hidden="false" name="_JK00001150" vbProcedure="false">#REF!</definedName>
    <definedName function="false" hidden="false" name="_JK00001151" vbProcedure="false">#REF!</definedName>
    <definedName function="false" hidden="false" name="_JK00001152" vbProcedure="false">#REF!</definedName>
    <definedName function="false" hidden="false" name="_JK00001154" vbProcedure="false">#REF!</definedName>
    <definedName function="false" hidden="false" name="_JK00001159" vbProcedure="false">#REF!</definedName>
    <definedName function="false" hidden="false" name="_JK00001160" vbProcedure="false">#REF!</definedName>
    <definedName function="false" hidden="false" name="_JK00001161" vbProcedure="false">#REF!</definedName>
    <definedName function="false" hidden="false" name="_JK00001164" vbProcedure="false">#REF!</definedName>
    <definedName function="false" hidden="false" name="_JK00001165" vbProcedure="false">#REF!</definedName>
    <definedName function="false" hidden="false" name="_JK00001166" vbProcedure="false">#REF!</definedName>
    <definedName function="false" hidden="false" name="_JK00001168" vbProcedure="false">#REF!</definedName>
    <definedName function="false" hidden="false" name="_JK00001172" vbProcedure="false">#REF!</definedName>
    <definedName function="false" hidden="false" name="_JK00001177" vbProcedure="false">#REF!</definedName>
    <definedName function="false" hidden="false" name="_JK00001178" vbProcedure="false">#REF!</definedName>
    <definedName function="false" hidden="false" name="_JK00001179" vbProcedure="false">#REF!</definedName>
    <definedName function="false" hidden="false" name="_JK00001180" vbProcedure="false">#REF!</definedName>
    <definedName function="false" hidden="false" name="_JK00001181" vbProcedure="false">#REF!</definedName>
    <definedName function="false" hidden="false" name="_JK00001184" vbProcedure="false">#REF!</definedName>
    <definedName function="false" hidden="false" name="_JK00001200" vbProcedure="false">#REF!</definedName>
    <definedName function="false" hidden="false" name="_JK00001202" vbProcedure="false">#REF!</definedName>
    <definedName function="false" hidden="false" name="_JK00001203" vbProcedure="false">#REF!</definedName>
    <definedName function="false" hidden="false" name="_JK00001204" vbProcedure="false">#REF!</definedName>
    <definedName function="false" hidden="false" name="_JK00001206" vbProcedure="false">#REF!</definedName>
    <definedName function="false" hidden="false" name="_JK00001207" vbProcedure="false">#REF!</definedName>
    <definedName function="false" hidden="false" name="_JK00001209" vbProcedure="false">#REF!</definedName>
    <definedName function="false" hidden="false" name="_JK00001210" vbProcedure="false">#REF!</definedName>
    <definedName function="false" hidden="false" name="_JK00001212" vbProcedure="false">#REF!</definedName>
    <definedName function="false" hidden="false" name="_JK00001218" vbProcedure="false">#REF!</definedName>
    <definedName function="false" hidden="false" name="_JK00001219" vbProcedure="false">#REF!</definedName>
    <definedName function="false" hidden="false" name="_JK00001220" vbProcedure="false">#REF!</definedName>
    <definedName function="false" hidden="false" name="_JK00001221" vbProcedure="false">#REF!</definedName>
    <definedName function="false" hidden="false" name="_JK00001222" vbProcedure="false">#REF!</definedName>
    <definedName function="false" hidden="false" name="_JK00001223" vbProcedure="false">#REF!</definedName>
    <definedName function="false" hidden="false" name="_JK1002864" vbProcedure="false">#REF!</definedName>
    <definedName function="false" hidden="false" name="_JK1002917" vbProcedure="false">#REF!</definedName>
    <definedName function="false" hidden="false" name="_JK1002919" vbProcedure="false">#REF!</definedName>
    <definedName function="false" hidden="false" name="_JK1002921" vbProcedure="false">#REF!</definedName>
    <definedName function="false" hidden="false" name="_JK1002923" vbProcedure="false">#REF!</definedName>
    <definedName function="false" hidden="false" name="_JK1002925" vbProcedure="false">#REF!</definedName>
    <definedName function="false" hidden="false" name="_JK1002927" vbProcedure="false">#REF!</definedName>
    <definedName function="false" hidden="false" name="_JK1002931" vbProcedure="false">#REF!</definedName>
    <definedName function="false" hidden="false" name="_JK1002937" vbProcedure="false">#REF!</definedName>
    <definedName function="false" hidden="false" name="_JK1002939" vbProcedure="false">#REF!</definedName>
    <definedName function="false" hidden="false" name="_JK1002941" vbProcedure="false">#REF!</definedName>
    <definedName function="false" hidden="false" name="_JK1002943" vbProcedure="false">#REF!</definedName>
    <definedName function="false" hidden="false" name="_JK1003116" vbProcedure="false">#REF!</definedName>
    <definedName function="false" hidden="false" name="_JK1003119" vbProcedure="false">#REF!</definedName>
    <definedName function="false" hidden="false" name="_JK1003125" vbProcedure="false">#REF!</definedName>
    <definedName function="false" hidden="false" name="_JK1003128" vbProcedure="false">#REF!</definedName>
    <definedName function="false" hidden="false" name="_JK1003134" vbProcedure="false">#REF!</definedName>
    <definedName function="false" hidden="false" name="_JK1003184" vbProcedure="false">#REF!</definedName>
    <definedName function="false" hidden="false" name="_JK1003193" vbProcedure="false">#REF!</definedName>
    <definedName function="false" hidden="false" name="_JK1003229" vbProcedure="false">#REF!</definedName>
    <definedName function="false" hidden="false" name="_JK1003232" vbProcedure="false">#REF!</definedName>
    <definedName function="false" hidden="false" name="_JK1003235" vbProcedure="false">#REF!</definedName>
    <definedName function="false" hidden="false" name="_JK1003250" vbProcedure="false">#REF!</definedName>
    <definedName function="false" hidden="false" name="_JK1003253" vbProcedure="false">#REF!</definedName>
    <definedName function="false" hidden="false" name="_JK1003325" vbProcedure="false">#REF!</definedName>
    <definedName function="false" hidden="false" name="_JK1003337" vbProcedure="false">#REF!</definedName>
    <definedName function="false" hidden="false" name="_JK1003340" vbProcedure="false">#REF!</definedName>
    <definedName function="false" hidden="false" name="_JK1003397" vbProcedure="false">#REF!</definedName>
    <definedName function="false" hidden="false" name="_JK1003400" vbProcedure="false">#REF!</definedName>
    <definedName function="false" hidden="false" name="_JK1003403" vbProcedure="false">#REF!</definedName>
    <definedName function="false" hidden="false" name="_JK1003406" vbProcedure="false">#REF!</definedName>
    <definedName function="false" hidden="false" name="_JK1003409" vbProcedure="false">#REF!</definedName>
    <definedName function="false" hidden="false" name="_JK1003412" vbProcedure="false">#REF!</definedName>
    <definedName function="false" hidden="false" name="_JK1003415" vbProcedure="false">#REF!</definedName>
    <definedName function="false" hidden="false" name="_JK1003418" vbProcedure="false">#REF!</definedName>
    <definedName function="false" hidden="false" name="_JK1003427" vbProcedure="false">#REF!</definedName>
    <definedName function="false" hidden="false" name="_JK1003430" vbProcedure="false">#REF!</definedName>
    <definedName function="false" hidden="false" name="_JK1003433" vbProcedure="false">#REF!</definedName>
    <definedName function="false" hidden="false" name="_JK1003437" vbProcedure="false">#REF!</definedName>
    <definedName function="false" hidden="false" name="_JK1003440" vbProcedure="false">#REF!</definedName>
    <definedName function="false" hidden="false" name="_JK1003446" vbProcedure="false">#REF!</definedName>
    <definedName function="false" hidden="false" name="_JK1003449" vbProcedure="false">#REF!</definedName>
    <definedName function="false" hidden="false" name="_JK1003452" vbProcedure="false">#REF!</definedName>
    <definedName function="false" hidden="false" name="_JK1003462" vbProcedure="false">#REF!</definedName>
    <definedName function="false" hidden="false" name="_JK1003465" vbProcedure="false">#REF!</definedName>
    <definedName function="false" hidden="false" name="_JK1003468" vbProcedure="false">#REF!</definedName>
    <definedName function="false" hidden="false" name="_JK1003471" vbProcedure="false">#REF!</definedName>
    <definedName function="false" hidden="false" name="_JK1003474" vbProcedure="false">#REF!</definedName>
    <definedName function="false" hidden="false" name="_JK1003477" vbProcedure="false">#REF!</definedName>
    <definedName function="false" hidden="false" name="_JK1003485" vbProcedure="false">#REF!</definedName>
    <definedName function="false" hidden="false" name="_JK1003488" vbProcedure="false">#REF!</definedName>
    <definedName function="false" hidden="false" name="_JK1003525" vbProcedure="false">#REF!</definedName>
    <definedName function="false" hidden="false" name="_JK1003528" vbProcedure="false">#REF!</definedName>
    <definedName function="false" hidden="false" name="_JK1003660" vbProcedure="false">#REF!</definedName>
    <definedName function="false" hidden="false" name="_JK1003767" vbProcedure="false">#REF!</definedName>
    <definedName function="false" hidden="false" name="_JK1003800" vbProcedure="false">#REF!</definedName>
    <definedName function="false" hidden="false" name="_JK1003803" vbProcedure="false">#REF!</definedName>
    <definedName function="false" hidden="false" name="_JK1003819" vbProcedure="false">#REF!</definedName>
    <definedName function="false" hidden="false" name="_JK1003869" vbProcedure="false">#REF!</definedName>
    <definedName function="false" hidden="false" name="_JK1003872" vbProcedure="false">#REF!</definedName>
    <definedName function="false" hidden="false" name="_JK1003875" vbProcedure="false">#REF!</definedName>
    <definedName function="false" hidden="false" name="_JK1003878" vbProcedure="false">#REF!</definedName>
    <definedName function="false" hidden="false" name="_JK1003881" vbProcedure="false">#REF!</definedName>
    <definedName function="false" hidden="false" name="_JK1003884" vbProcedure="false">#REF!</definedName>
    <definedName function="false" hidden="false" name="_JK1003887" vbProcedure="false">#REF!</definedName>
    <definedName function="false" hidden="false" name="_JK1003897" vbProcedure="false">#REF!</definedName>
    <definedName function="false" hidden="false" name="_JK1003900" vbProcedure="false">#REF!</definedName>
    <definedName function="false" hidden="false" name="_JK1003903" vbProcedure="false">#REF!</definedName>
    <definedName function="false" hidden="false" name="_JK1003906" vbProcedure="false">#REF!</definedName>
    <definedName function="false" hidden="false" name="_JK1003909" vbProcedure="false">#REF!</definedName>
    <definedName function="false" hidden="false" name="_JK1003936" vbProcedure="false">#REF!</definedName>
    <definedName function="false" hidden="false" name="_JK1004071" vbProcedure="false">#REF!</definedName>
    <definedName function="false" hidden="false" name="_JK1004081" vbProcedure="false">#REF!</definedName>
    <definedName function="false" hidden="false" name="_JK1004091" vbProcedure="false">#REF!</definedName>
    <definedName function="false" hidden="false" name="_JK1004109" vbProcedure="false">#REF!</definedName>
    <definedName function="false" hidden="false" name="_JK1004114" vbProcedure="false">#REF!</definedName>
    <definedName function="false" hidden="false" name="_JK1004662" vbProcedure="false">#REF!</definedName>
    <definedName function="false" hidden="false" name="_JK1004665" vbProcedure="false">#REF!</definedName>
    <definedName function="false" hidden="false" name="_JK1004671" vbProcedure="false">#REF!</definedName>
    <definedName function="false" hidden="false" name="_JK1004674" vbProcedure="false">#REF!</definedName>
    <definedName function="false" hidden="false" name="_JK1004684" vbProcedure="false">#REF!</definedName>
    <definedName function="false" hidden="false" name="_JK1004688" vbProcedure="false">#REF!</definedName>
    <definedName function="false" hidden="false" name="_JK1004696" vbProcedure="false">#REF!</definedName>
    <definedName function="false" hidden="false" name="_JK1004970" vbProcedure="false">#REF!</definedName>
    <definedName function="false" hidden="false" name="_JK1005262" vbProcedure="false">#REF!</definedName>
    <definedName function="false" hidden="false" name="_JK1005299" vbProcedure="false">#REF!</definedName>
    <definedName function="false" hidden="false" name="_JK1005302" vbProcedure="false">#REF!</definedName>
    <definedName function="false" hidden="false" name="_JK1005305" vbProcedure="false">#REF!</definedName>
    <definedName function="false" hidden="false" name="_JK1005313" vbProcedure="false">#REF!</definedName>
    <definedName function="false" hidden="false" name="_JK1005534" vbProcedure="false">#REF!</definedName>
    <definedName function="false" hidden="false" name="_JK1005551" vbProcedure="false">#REF!</definedName>
    <definedName function="false" hidden="false" name="_Key1" vbProcedure="false">#REF!</definedName>
    <definedName function="false" hidden="false" name="_MI1" vbProcedure="false">#REF!</definedName>
    <definedName function="false" hidden="false" name="_MI2" vbProcedure="false">#REF!</definedName>
    <definedName function="false" hidden="false" name="_MI6" vbProcedure="false">#REF!</definedName>
    <definedName function="false" hidden="false" name="_MI7" vbProcedure="false">#REF!</definedName>
    <definedName function="false" hidden="false" name="_MI8" vbProcedure="false">#REF!</definedName>
    <definedName function="false" hidden="false" name="_mil1" vbProcedure="false">#REF!</definedName>
    <definedName function="false" hidden="false" name="_mil2" vbProcedure="false">#REF!</definedName>
    <definedName function="false" hidden="false" name="_mil6" vbProcedure="false">#REF!</definedName>
    <definedName function="false" hidden="false" name="_mil7" vbProcedure="false">#REF!</definedName>
    <definedName function="false" hidden="false" name="_mil8" vbProcedure="false">#REF!</definedName>
    <definedName function="false" hidden="false" name="_msl100" vbProcedure="false">#REF!</definedName>
    <definedName function="false" hidden="false" name="_msl200" vbProcedure="false">#REF!</definedName>
    <definedName function="false" hidden="false" name="_msl250" vbProcedure="false">#REF!</definedName>
    <definedName function="false" hidden="false" name="_msl300" vbProcedure="false">#REF!</definedName>
    <definedName function="false" hidden="false" name="_msl400" vbProcedure="false">#REF!</definedName>
    <definedName function="false" hidden="false" name="_msl800" vbProcedure="false">#REF!</definedName>
    <definedName function="false" hidden="false" name="_mui100" vbProcedure="false">#REF!</definedName>
    <definedName function="false" hidden="false" name="_mui105" vbProcedure="false">#REF!</definedName>
    <definedName function="false" hidden="false" name="_mui108" vbProcedure="false">#REF!</definedName>
    <definedName function="false" hidden="false" name="_mui130" vbProcedure="false">#REF!</definedName>
    <definedName function="false" hidden="false" name="_mui140" vbProcedure="false">#REF!</definedName>
    <definedName function="false" hidden="false" name="_mui160" vbProcedure="false">#REF!</definedName>
    <definedName function="false" hidden="false" name="_mui180" vbProcedure="false">#REF!</definedName>
    <definedName function="false" hidden="false" name="_mui250" vbProcedure="false">#REF!</definedName>
    <definedName function="false" hidden="false" name="_mui271" vbProcedure="false">#REF!</definedName>
    <definedName function="false" hidden="false" name="_mui320" vbProcedure="false">#REF!</definedName>
    <definedName function="false" hidden="false" name="_mui45" vbProcedure="false">#REF!</definedName>
    <definedName function="false" hidden="false" name="_mui50" vbProcedure="false">#REF!</definedName>
    <definedName function="false" hidden="false" name="_mui54" vbProcedure="false">#REF!</definedName>
    <definedName function="false" hidden="false" name="_mui65" vbProcedure="false">#REF!</definedName>
    <definedName function="false" hidden="false" name="_mui75" vbProcedure="false">#REF!</definedName>
    <definedName function="false" hidden="false" name="_mui80" vbProcedure="false">#REF!</definedName>
    <definedName function="false" hidden="false" name="_NET2" vbProcedure="false">#REF!</definedName>
    <definedName function="false" hidden="false" name="_new1" vbProcedure="false">#REF!</definedName>
    <definedName function="false" hidden="false" name="_new11" vbProcedure="false">#REF!</definedName>
    <definedName function="false" hidden="false" name="_new6" vbProcedure="false">#REF!</definedName>
    <definedName function="false" hidden="false" name="_OB1" vbProcedure="false">#REF!</definedName>
    <definedName function="false" hidden="false" name="_OH1" vbProcedure="false">#REF!</definedName>
    <definedName function="false" hidden="false" name="_ONE03" vbProcedure="false">#REF!</definedName>
    <definedName function="false" hidden="false" name="_ONE04" vbProcedure="false">#REF!</definedName>
    <definedName function="false" hidden="false" name="_ONE05" vbProcedure="false">#REF!</definedName>
    <definedName function="false" hidden="false" name="_ONE06" vbProcedure="false">#REF!</definedName>
    <definedName function="false" hidden="false" name="_ONE07" vbProcedure="false">#REF!</definedName>
    <definedName function="false" hidden="false" name="_ONE08" vbProcedure="false">#REF!</definedName>
    <definedName function="false" hidden="false" name="_ONE09" vbProcedure="false">#REF!</definedName>
    <definedName function="false" hidden="false" name="_Ord9" vbProcedure="false">#REF!</definedName>
    <definedName function="false" hidden="false" name="_Order1" vbProcedure="false">255</definedName>
    <definedName function="false" hidden="false" name="_Order2" vbProcedure="false">255</definedName>
    <definedName function="false" hidden="false" name="_PL1" vbProcedure="false">#REF!</definedName>
    <definedName function="false" hidden="false" name="_PL2" vbProcedure="false">#REF!</definedName>
    <definedName function="false" hidden="false" name="_PMY02" vbProcedure="false">#REF!</definedName>
    <definedName function="false" hidden="false" name="_PMY03" vbProcedure="false">#REF!</definedName>
    <definedName function="false" hidden="false" name="_PMY04" vbProcedure="false">#REF!</definedName>
    <definedName function="false" hidden="false" name="_PMY05" vbProcedure="false">#REF!</definedName>
    <definedName function="false" hidden="false" name="_PMY06" vbProcedure="false">#REF!</definedName>
    <definedName function="false" hidden="false" name="_PMY07" vbProcedure="false">#REF!</definedName>
    <definedName function="false" hidden="false" name="_PMY08" vbProcedure="false">#REF!</definedName>
    <definedName function="false" hidden="false" name="_PMY09" vbProcedure="false">#REF!</definedName>
    <definedName function="false" hidden="false" name="_R" vbProcedure="false">#REF!</definedName>
    <definedName function="false" hidden="false" name="_sat10" vbProcedure="false">#REF!</definedName>
    <definedName function="false" hidden="false" name="_sat12" vbProcedure="false">#REF!</definedName>
    <definedName function="false" hidden="false" name="_sat14" vbProcedure="false">#REF!</definedName>
    <definedName function="false" hidden="false" name="_sat16" vbProcedure="false">#REF!</definedName>
    <definedName function="false" hidden="false" name="_sat20" vbProcedure="false">#REF!</definedName>
    <definedName function="false" hidden="false" name="_sat8" vbProcedure="false">#REF!</definedName>
    <definedName function="false" hidden="false" name="_SMY01" vbProcedure="false">#REF!</definedName>
    <definedName function="false" hidden="false" name="_SMY02" vbProcedure="false">#REF!</definedName>
    <definedName function="false" hidden="false" name="_SMY03" vbProcedure="false">#REF!</definedName>
    <definedName function="false" hidden="false" name="_SMY04" vbProcedure="false">#REF!</definedName>
    <definedName function="false" hidden="false" name="_SMY05" vbProcedure="false">#REF!</definedName>
    <definedName function="false" hidden="false" name="_SMY06" vbProcedure="false">#REF!</definedName>
    <definedName function="false" hidden="false" name="_SMY07" vbProcedure="false">#REF!</definedName>
    <definedName function="false" hidden="false" name="_SMY08" vbProcedure="false">#REF!</definedName>
    <definedName function="false" hidden="false" name="_SMY09" vbProcedure="false">#REF!</definedName>
    <definedName function="false" hidden="false" name="_Sort" vbProcedure="false">#REF!</definedName>
    <definedName function="false" hidden="false" name="_sua20" vbProcedure="false">#REF!</definedName>
    <definedName function="false" hidden="false" name="_sua30" vbProcedure="false">#REF!</definedName>
    <definedName function="false" hidden="false" name="_TWO03" vbProcedure="false">#REF!</definedName>
    <definedName function="false" hidden="false" name="_TWO04" vbProcedure="false">#REF!</definedName>
    <definedName function="false" hidden="false" name="_TWO05" vbProcedure="false">#REF!</definedName>
    <definedName function="false" hidden="false" name="_TWO06" vbProcedure="false">#REF!</definedName>
    <definedName function="false" hidden="false" name="_TWO07" vbProcedure="false">#REF!</definedName>
    <definedName function="false" hidden="false" name="_TWO08" vbProcedure="false">#REF!</definedName>
    <definedName function="false" hidden="false" name="_TWO09" vbProcedure="false">#REF!</definedName>
    <definedName function="false" hidden="false" name="_vbt150" vbProcedure="false">#REF!</definedName>
    <definedName function="false" hidden="false" name="_vbt200" vbProcedure="false">#REF!</definedName>
    <definedName function="false" hidden="false" name="_vbt210" vbProcedure="false">#REF!</definedName>
    <definedName function="false" hidden="false" name="_vbt300" vbProcedure="false">#REF!</definedName>
    <definedName function="false" hidden="false" name="_vbt400" vbProcedure="false">#REF!</definedName>
    <definedName function="false" hidden="false" name="_vxm100" vbProcedure="false">#REF!</definedName>
    <definedName function="false" hidden="false" name="_vxm300" vbProcedure="false">#REF!</definedName>
    <definedName function="false" hidden="false" name="_vxm500" vbProcedure="false">#REF!</definedName>
    <definedName function="false" hidden="false" name="_vxm75" vbProcedure="false">#REF!</definedName>
    <definedName function="false" hidden="false" name="_wo2" vbProcedure="false">#REF!</definedName>
    <definedName function="false" hidden="false" name="_wo6" vbProcedure="false">#REF!</definedName>
    <definedName function="false" hidden="false" name="_wo62" vbProcedure="false">#REF!</definedName>
    <definedName function="false" hidden="false" name="_XG\_" vbProcedure="false">#REF!</definedName>
    <definedName function="false" hidden="false" name="_xlnm.Database" vbProcedure="false">#REF!</definedName>
    <definedName function="false" hidden="false" name="_xlnm.Extract" vbProcedure="false">#REF!</definedName>
    <definedName function="false" hidden="false" name="_xlnm.Print_Area" vbProcedure="false">#REF!</definedName>
    <definedName function="false" hidden="false" name="_xlnm.Print_Titles" vbProcedure="false">#REF!</definedName>
    <definedName function="false" hidden="false" name="__" vbProcedure="false">#REF!</definedName>
    <definedName function="false" hidden="false" name="__6" vbProcedure="false">#REF!</definedName>
    <definedName function="false" hidden="false" name="__7_8" vbProcedure="false">#REF!</definedName>
    <definedName function="false" hidden="false" name="__8" vbProcedure="false">#REF!</definedName>
    <definedName function="false" hidden="false" name="__aug2" vbProcedure="false">#REF!</definedName>
    <definedName function="false" hidden="false" name="__BOM1" vbProcedure="false">#REF!</definedName>
    <definedName function="false" hidden="false" name="__C" vbProcedure="false">#REF!</definedName>
    <definedName function="false" hidden="false" name="__hom2" vbProcedure="false">#REF!</definedName>
    <definedName function="false" hidden="false" name="__MI1" vbProcedure="false">#REF!</definedName>
    <definedName function="false" hidden="false" name="__MI2" vbProcedure="false">#REF!</definedName>
    <definedName function="false" hidden="false" name="__MI6" vbProcedure="false">#REF!</definedName>
    <definedName function="false" hidden="false" name="__MI7" vbProcedure="false">#REF!</definedName>
    <definedName function="false" hidden="false" name="__MI8" vbProcedure="false">#REF!</definedName>
    <definedName function="false" hidden="false" name="__mil1" vbProcedure="false">#REF!</definedName>
    <definedName function="false" hidden="false" name="__mil2" vbProcedure="false">#REF!</definedName>
    <definedName function="false" hidden="false" name="__mil6" vbProcedure="false">#REF!</definedName>
    <definedName function="false" hidden="false" name="__mil7" vbProcedure="false">#REF!</definedName>
    <definedName function="false" hidden="false" name="__mil8" vbProcedure="false">#REF!</definedName>
    <definedName function="false" hidden="false" name="__msl100" vbProcedure="false">#REF!</definedName>
    <definedName function="false" hidden="false" name="__msl200" vbProcedure="false">#REF!</definedName>
    <definedName function="false" hidden="false" name="__msl250" vbProcedure="false">#REF!</definedName>
    <definedName function="false" hidden="false" name="__msl300" vbProcedure="false">#REF!</definedName>
    <definedName function="false" hidden="false" name="__msl400" vbProcedure="false">#REF!</definedName>
    <definedName function="false" hidden="false" name="__msl800" vbProcedure="false">#REF!</definedName>
    <definedName function="false" hidden="false" name="__mui100" vbProcedure="false">#REF!</definedName>
    <definedName function="false" hidden="false" name="__mui105" vbProcedure="false">#REF!</definedName>
    <definedName function="false" hidden="false" name="__mui108" vbProcedure="false">#REF!</definedName>
    <definedName function="false" hidden="false" name="__mui130" vbProcedure="false">#REF!</definedName>
    <definedName function="false" hidden="false" name="__mui140" vbProcedure="false">#REF!</definedName>
    <definedName function="false" hidden="false" name="__mui160" vbProcedure="false">#REF!</definedName>
    <definedName function="false" hidden="false" name="__mui180" vbProcedure="false">#REF!</definedName>
    <definedName function="false" hidden="false" name="__mui250" vbProcedure="false">#REF!</definedName>
    <definedName function="false" hidden="false" name="__mui271" vbProcedure="false">#REF!</definedName>
    <definedName function="false" hidden="false" name="__mui320" vbProcedure="false">#REF!</definedName>
    <definedName function="false" hidden="false" name="__mui45" vbProcedure="false">#REF!</definedName>
    <definedName function="false" hidden="false" name="__mui50" vbProcedure="false">#REF!</definedName>
    <definedName function="false" hidden="false" name="__mui54" vbProcedure="false">#REF!</definedName>
    <definedName function="false" hidden="false" name="__mui65" vbProcedure="false">#REF!</definedName>
    <definedName function="false" hidden="false" name="__mui75" vbProcedure="false">#REF!</definedName>
    <definedName function="false" hidden="false" name="__mui80" vbProcedure="false">#REF!</definedName>
    <definedName function="false" hidden="false" name="__NET2" vbProcedure="false">#REF!</definedName>
    <definedName function="false" hidden="false" name="__new1" vbProcedure="false">#REF!</definedName>
    <definedName function="false" hidden="false" name="__new11" vbProcedure="false">#REF!</definedName>
    <definedName function="false" hidden="false" name="__new6" vbProcedure="false">#REF!</definedName>
    <definedName function="false" hidden="false" name="__OB1" vbProcedure="false">#REF!</definedName>
    <definedName function="false" hidden="false" name="__Ord9" vbProcedure="false">#REF!</definedName>
    <definedName function="false" hidden="false" name="__PL1" vbProcedure="false">#REF!</definedName>
    <definedName function="false" hidden="false" name="__PL2" vbProcedure="false">#REF!</definedName>
    <definedName function="false" hidden="false" name="__R" vbProcedure="false">#REF!</definedName>
    <definedName function="false" hidden="false" name="__sua20" vbProcedure="false">#REF!</definedName>
    <definedName function="false" hidden="false" name="__sua30" vbProcedure="false">#REF!</definedName>
    <definedName function="false" hidden="false" name="__wo2" vbProcedure="false">#REF!</definedName>
    <definedName function="false" hidden="false" name="__wo6" vbProcedure="false">#REF!</definedName>
    <definedName function="false" hidden="false" name="__wo62" vbProcedure="false">#REF!</definedName>
    <definedName function="false" hidden="false" name="___" vbProcedure="false">#REF!</definedName>
    <definedName function="false" hidden="false" name="___6" vbProcedure="false">#REF!</definedName>
    <definedName function="false" hidden="false" name="___8" vbProcedure="false">#REF!</definedName>
    <definedName function="false" hidden="false" name="___aug2" vbProcedure="false">#REF!</definedName>
    <definedName function="false" hidden="false" name="___BOM1" vbProcedure="false">#REF!</definedName>
    <definedName function="false" hidden="false" name="___BTM150" vbProcedure="false">#REF!</definedName>
    <definedName function="false" hidden="false" name="___BTM200" vbProcedure="false">#REF!</definedName>
    <definedName function="false" hidden="false" name="___BTM50" vbProcedure="false">#REF!</definedName>
    <definedName function="false" hidden="false" name="___C" vbProcedure="false">#REF!</definedName>
    <definedName function="false" hidden="false" name="___CON1" vbProcedure="false">#REF!</definedName>
    <definedName function="false" hidden="false" name="___CON2" vbProcedure="false">#REF!</definedName>
    <definedName function="false" hidden="false" name="___EXC1" vbProcedure="false">#REF!</definedName>
    <definedName function="false" hidden="false" name="___EXC2" vbProcedure="false">#REF!</definedName>
    <definedName function="false" hidden="false" name="___new1" vbProcedure="false">#REF!</definedName>
    <definedName function="false" hidden="false" name="___new11" vbProcedure="false">#REF!</definedName>
    <definedName function="false" hidden="false" name="___new6" vbProcedure="false">#REF!</definedName>
    <definedName function="false" hidden="false" name="___OH1" vbProcedure="false">#REF!</definedName>
    <definedName function="false" hidden="false" name="___PL1" vbProcedure="false">#REF!</definedName>
    <definedName function="false" hidden="false" name="___PL2" vbProcedure="false">#REF!</definedName>
    <definedName function="false" hidden="false" name="___R" vbProcedure="false">#REF!</definedName>
    <definedName function="false" hidden="false" name="___sat10" vbProcedure="false">#REF!</definedName>
    <definedName function="false" hidden="false" name="___sat12" vbProcedure="false">#REF!</definedName>
    <definedName function="false" hidden="false" name="___sat14" vbProcedure="false">#REF!</definedName>
    <definedName function="false" hidden="false" name="___sat16" vbProcedure="false">#REF!</definedName>
    <definedName function="false" hidden="false" name="___sat20" vbProcedure="false">#REF!</definedName>
    <definedName function="false" hidden="false" name="___sat8" vbProcedure="false">#REF!</definedName>
    <definedName function="false" hidden="false" name="___vbt150" vbProcedure="false">#REF!</definedName>
    <definedName function="false" hidden="false" name="___vbt200" vbProcedure="false">#REF!</definedName>
    <definedName function="false" hidden="false" name="___vbt210" vbProcedure="false">#REF!</definedName>
    <definedName function="false" hidden="false" name="___vbt300" vbProcedure="false">#REF!</definedName>
    <definedName function="false" hidden="false" name="___vbt400" vbProcedure="false">#REF!</definedName>
    <definedName function="false" hidden="false" name="___vxm100" vbProcedure="false">#REF!</definedName>
    <definedName function="false" hidden="false" name="___vxm300" vbProcedure="false">#REF!</definedName>
    <definedName function="false" hidden="false" name="___vxm500" vbProcedure="false">#REF!</definedName>
    <definedName function="false" hidden="false" name="___vxm75" vbProcedure="false">#REF!</definedName>
    <definedName function="false" hidden="false" name="____" vbProcedure="false">#REF!</definedName>
    <definedName function="false" hidden="false" name="____aug2" vbProcedure="false">#REF!</definedName>
    <definedName function="false" hidden="false" name="____C" vbProcedure="false">#REF!</definedName>
    <definedName function="false" hidden="false" name="____E_" vbProcedure="false">#REF!</definedName>
    <definedName function="false" hidden="false" name="____MI1" vbProcedure="false">#REF!</definedName>
    <definedName function="false" hidden="false" name="____MI2" vbProcedure="false">#REF!</definedName>
    <definedName function="false" hidden="false" name="____MI6" vbProcedure="false">#REF!</definedName>
    <definedName function="false" hidden="false" name="____MI7" vbProcedure="false">#REF!</definedName>
    <definedName function="false" hidden="false" name="____MI8" vbProcedure="false">#REF!</definedName>
    <definedName function="false" hidden="false" name="____mil1" vbProcedure="false">#REF!</definedName>
    <definedName function="false" hidden="false" name="____mil2" vbProcedure="false">#REF!</definedName>
    <definedName function="false" hidden="false" name="____mil6" vbProcedure="false">#REF!</definedName>
    <definedName function="false" hidden="false" name="____mil7" vbProcedure="false">#REF!</definedName>
    <definedName function="false" hidden="false" name="____mil8" vbProcedure="false">#REF!</definedName>
    <definedName function="false" hidden="false" name="____new1" vbProcedure="false">#REF!</definedName>
    <definedName function="false" hidden="false" name="____new11" vbProcedure="false">#REF!</definedName>
    <definedName function="false" hidden="false" name="____new6" vbProcedure="false">#REF!</definedName>
    <definedName function="false" hidden="false" name="____PL1" vbProcedure="false">#REF!</definedName>
    <definedName function="false" hidden="false" name="____PL2" vbProcedure="false">#REF!</definedName>
    <definedName function="false" hidden="false" name="____R" vbProcedure="false">#REF!</definedName>
    <definedName function="false" hidden="false" name="____wo2" vbProcedure="false">#REF!</definedName>
    <definedName function="false" hidden="false" name="____wo6" vbProcedure="false">#REF!</definedName>
    <definedName function="false" hidden="false" name="____wo62" vbProcedure="false">#REF!</definedName>
    <definedName function="false" hidden="false" name="_____" vbProcedure="false">#REF!</definedName>
    <definedName function="false" hidden="false" name="_____No_____No______" vbProcedure="false">#REF!</definedName>
    <definedName function="false" hidden="false" name="_______" vbProcedure="false">#REF!</definedName>
    <definedName function="false" hidden="false" localSheetId="5" name="_xlnm._FilterDatabase" vbProcedure="false">'Data Sheet Aug-2021'!$B$3:$FU$3020</definedName>
    <definedName function="false" hidden="false" localSheetId="10" name="_xlnm._FilterDatabase" vbProcedure="false">PVA!$E$153:$I$153</definedName>
    <definedName function="false" hidden="false" localSheetId="11" name="a" vbProcedure="false">#REF!</definedName>
    <definedName function="false" hidden="false" localSheetId="11" name="a277Print_Titles" vbProcedure="false">#REF!</definedName>
    <definedName function="false" hidden="false" localSheetId="11" name="aa" vbProcedure="false">#REF!</definedName>
    <definedName function="false" hidden="false" localSheetId="11" name="AA0160N" vbProcedure="false">#REF!</definedName>
    <definedName function="false" hidden="false" localSheetId="11" name="ab" vbProcedure="false">#REF!</definedName>
    <definedName function="false" hidden="false" localSheetId="11" name="abc" vbProcedure="false">#REF!</definedName>
    <definedName function="false" hidden="false" localSheetId="11" name="abnormal" vbProcedure="false">#REF!</definedName>
    <definedName function="false" hidden="false" localSheetId="11" name="ADDITIONS" vbProcedure="false">#REF!</definedName>
    <definedName function="false" hidden="false" localSheetId="11" name="ADJUSTMENTS" vbProcedure="false">#REF!</definedName>
    <definedName function="false" hidden="false" localSheetId="11" name="adminexp" vbProcedure="false">#REF!</definedName>
    <definedName function="false" hidden="false" localSheetId="11" name="AEFOBE_" vbProcedure="false">#REF!</definedName>
    <definedName function="false" hidden="false" localSheetId="11" name="AEFOB_" vbProcedure="false">#REF!</definedName>
    <definedName function="false" hidden="false" localSheetId="11" name="AELDE_" vbProcedure="false">#REF!</definedName>
    <definedName function="false" hidden="false" localSheetId="11" name="AELDM_" vbProcedure="false">#REF!</definedName>
    <definedName function="false" hidden="false" localSheetId="11" name="AELD_" vbProcedure="false">#REF!</definedName>
    <definedName function="false" hidden="false" localSheetId="11" name="AE_E_" vbProcedure="false">#REF!</definedName>
    <definedName function="false" hidden="false" localSheetId="11" name="AE__" vbProcedure="false">#REF!</definedName>
    <definedName function="false" hidden="false" localSheetId="11" name="aho" vbProcedure="false">#REF!</definedName>
    <definedName function="false" hidden="false" localSheetId="11" name="aircompressor" vbProcedure="false">#REF!</definedName>
    <definedName function="false" hidden="false" localSheetId="11" name="AK" vbProcedure="false">#REF!</definedName>
    <definedName function="false" hidden="false" localSheetId="11" name="ALFOBE_" vbProcedure="false">#REF!</definedName>
    <definedName function="false" hidden="false" localSheetId="11" name="ALFOB_" vbProcedure="false">#REF!</definedName>
    <definedName function="false" hidden="false" localSheetId="11" name="ALLDE_" vbProcedure="false">#REF!</definedName>
    <definedName function="false" hidden="false" localSheetId="11" name="ALLDM_" vbProcedure="false">#REF!</definedName>
    <definedName function="false" hidden="false" localSheetId="11" name="ALLD_" vbProcedure="false">#REF!</definedName>
    <definedName function="false" hidden="false" localSheetId="11" name="AL_E_" vbProcedure="false">#REF!</definedName>
    <definedName function="false" hidden="false" localSheetId="11" name="AL__" vbProcedure="false">#REF!</definedName>
    <definedName function="false" hidden="false" localSheetId="11" name="ANA" vbProcedure="false">#REF!</definedName>
    <definedName function="false" hidden="false" localSheetId="11" name="APEX1_S_06_List" vbProcedure="false">#REF!</definedName>
    <definedName function="false" hidden="false" localSheetId="11" name="appl" vbProcedure="false">#REF!</definedName>
    <definedName function="false" hidden="false" localSheetId="11" name="asa" vbProcedure="false">#REF!</definedName>
    <definedName function="false" hidden="false" localSheetId="11" name="ASP" vbProcedure="false">#REF!</definedName>
    <definedName function="false" hidden="false" localSheetId="11" name="Ass" vbProcedure="false">#REF!</definedName>
    <definedName function="false" hidden="false" localSheetId="11" name="asx" vbProcedure="false">#REF!</definedName>
    <definedName function="false" hidden="false" localSheetId="11" name="ATN" vbProcedure="false">#REF!</definedName>
    <definedName function="false" hidden="false" localSheetId="11" name="b" vbProcedure="false">#REF!</definedName>
    <definedName function="false" hidden="false" localSheetId="11" name="balancesheet" vbProcedure="false">#REF!</definedName>
    <definedName function="false" hidden="false" localSheetId="11" name="Bang_cly" vbProcedure="false">#REF!</definedName>
    <definedName function="false" hidden="false" localSheetId="11" name="Bang_CVC" vbProcedure="false">#REF!</definedName>
    <definedName function="false" hidden="false" localSheetId="11" name="bang_gia" vbProcedure="false">#REF!</definedName>
    <definedName function="false" hidden="false" localSheetId="11" name="Bang_travl" vbProcedure="false">#REF!</definedName>
    <definedName function="false" hidden="false" localSheetId="11" name="bentonite" vbProcedure="false">#REF!</definedName>
    <definedName function="false" hidden="false" localSheetId="11" name="BF1_" vbProcedure="false">#REF!</definedName>
    <definedName function="false" hidden="false" localSheetId="11" name="BF2_" vbProcedure="false">#REF!</definedName>
    <definedName function="false" hidden="false" localSheetId="11" name="BF3_" vbProcedure="false">#REF!</definedName>
    <definedName function="false" hidden="false" localSheetId="11" name="BFBS" vbProcedure="false">#REF!</definedName>
    <definedName function="false" hidden="false" localSheetId="11" name="BFES" vbProcedure="false">#REF!</definedName>
    <definedName function="false" hidden="false" localSheetId="11" name="BFS" vbProcedure="false">#REF!</definedName>
    <definedName function="false" hidden="false" localSheetId="11" name="Book2" vbProcedure="false">#REF!</definedName>
    <definedName function="false" hidden="false" localSheetId="11" name="BOQ" vbProcedure="false">#REF!</definedName>
    <definedName function="false" hidden="false" localSheetId="11" name="BORDER2" vbProcedure="false">#REF!</definedName>
    <definedName function="false" hidden="false" localSheetId="11" name="BS" vbProcedure="false">#REF!</definedName>
    <definedName function="false" hidden="false" localSheetId="11" name="BT" vbProcedure="false">#REF!</definedName>
    <definedName function="false" hidden="false" localSheetId="11" name="btcocnhoi" vbProcedure="false">#REF!</definedName>
    <definedName function="false" hidden="false" localSheetId="11" name="BVCISUMMARY" vbProcedure="false">#REF!</definedName>
    <definedName function="false" hidden="false" localSheetId="11" name="C.1.1..Phat_tuyen" vbProcedure="false">#REF!</definedName>
    <definedName function="false" hidden="false" localSheetId="11" name="C.1.10..VC_Thu_cong_CG" vbProcedure="false">#REF!</definedName>
    <definedName function="false" hidden="false" localSheetId="11" name="C.1.2..Chat_cay_thu_cong" vbProcedure="false">#REF!</definedName>
    <definedName function="false" hidden="false" localSheetId="11" name="C.1.3..Chat_cay_may" vbProcedure="false">#REF!</definedName>
    <definedName function="false" hidden="false" localSheetId="11" name="C.1.4..Dao_goc_cay" vbProcedure="false">#REF!</definedName>
    <definedName function="false" hidden="false" localSheetId="11" name="C.1.5..Lam_duong_tam" vbProcedure="false">#REF!</definedName>
    <definedName function="false" hidden="false" localSheetId="11" name="C.1.6..Lam_cau_tam" vbProcedure="false">#REF!</definedName>
    <definedName function="false" hidden="false" localSheetId="11" name="C.1.7..Rai_da_chong_lun" vbProcedure="false">#REF!</definedName>
    <definedName function="false" hidden="false" localSheetId="11" name="C.1.8..Lam_kho_tam" vbProcedure="false">#REF!</definedName>
    <definedName function="false" hidden="false" localSheetId="11" name="C.1.8..San_mat_bang" vbProcedure="false">#REF!</definedName>
    <definedName function="false" hidden="false" localSheetId="11" name="C.2.1..VC_Thu_cong" vbProcedure="false">#REF!</definedName>
    <definedName function="false" hidden="false" localSheetId="11" name="C.2.2..VC_T_cong_CG" vbProcedure="false">#REF!</definedName>
    <definedName function="false" hidden="false" localSheetId="11" name="C.2.3..Boc_do" vbProcedure="false">#REF!</definedName>
    <definedName function="false" hidden="false" localSheetId="11" name="C.3.1..Dao_dat_mong_cot" vbProcedure="false">#REF!</definedName>
    <definedName function="false" hidden="false" localSheetId="11" name="C.3.2..Dao_dat_de_dap" vbProcedure="false">#REF!</definedName>
    <definedName function="false" hidden="false" localSheetId="11" name="C.3.3..Dap_dat_mong" vbProcedure="false">#REF!</definedName>
    <definedName function="false" hidden="false" localSheetId="11" name="C.3.4..Dao_dap_TDia" vbProcedure="false">#REF!</definedName>
    <definedName function="false" hidden="false" localSheetId="11" name="C.3.5..Dap_bo_bao" vbProcedure="false">#REF!</definedName>
    <definedName function="false" hidden="false" localSheetId="11" name="C.3.6..Bom_tat_nuoc" vbProcedure="false">#REF!</definedName>
    <definedName function="false" hidden="false" localSheetId="11" name="C.3.7..Dao_bun" vbProcedure="false">#REF!</definedName>
    <definedName function="false" hidden="false" localSheetId="11" name="C.3.8..Dap_cat_CT" vbProcedure="false">#REF!</definedName>
    <definedName function="false" hidden="false" localSheetId="11" name="C.3.9..Dao_pha_da" vbProcedure="false">#REF!</definedName>
    <definedName function="false" hidden="false" localSheetId="11" name="C.4.1.Cot_thep" vbProcedure="false">#REF!</definedName>
    <definedName function="false" hidden="false" localSheetId="11" name="C.4.2..Van_khuon" vbProcedure="false">#REF!</definedName>
    <definedName function="false" hidden="false" localSheetId="11" name="C.4.3..Be_tong" vbProcedure="false">#REF!</definedName>
    <definedName function="false" hidden="false" localSheetId="11" name="C.4.4..Lap_BT_D.San" vbProcedure="false">#REF!</definedName>
    <definedName function="false" hidden="false" localSheetId="11" name="C.4.5..Xay_da_hoc" vbProcedure="false">#REF!</definedName>
    <definedName function="false" hidden="false" localSheetId="11" name="C.4.6..Dong_coc" vbProcedure="false">#REF!</definedName>
    <definedName function="false" hidden="false" localSheetId="11" name="C.4.7..Quet_Bi_tum" vbProcedure="false">#REF!</definedName>
    <definedName function="false" hidden="false" localSheetId="11" name="C.5.1..Lap_cot_thep" vbProcedure="false">#REF!</definedName>
    <definedName function="false" hidden="false" localSheetId="11" name="C.5.2..Lap_cot_BT" vbProcedure="false">#REF!</definedName>
    <definedName function="false" hidden="false" localSheetId="11" name="C.5.3..Lap_dat_xa" vbProcedure="false">#REF!</definedName>
    <definedName function="false" hidden="false" localSheetId="11" name="C.5.4..Lap_tiep_dia" vbProcedure="false">#REF!</definedName>
    <definedName function="false" hidden="false" localSheetId="11" name="C.5.5..Son_sat_thep" vbProcedure="false">#REF!</definedName>
    <definedName function="false" hidden="false" localSheetId="11" name="C.6.1..Lap_su_dung" vbProcedure="false">#REF!</definedName>
    <definedName function="false" hidden="false" localSheetId="11" name="C.6.2..Lap_su_CS" vbProcedure="false">#REF!</definedName>
    <definedName function="false" hidden="false" localSheetId="11" name="C.6.3..Su_chuoi_do" vbProcedure="false">#REF!</definedName>
    <definedName function="false" hidden="false" localSheetId="11" name="C.6.4..Su_chuoi_neo" vbProcedure="false">#REF!</definedName>
    <definedName function="false" hidden="false" localSheetId="11" name="C.6.5..Lap_phu_kien" vbProcedure="false">#REF!</definedName>
    <definedName function="false" hidden="false" localSheetId="11" name="C.6.6..Ep_noi_day" vbProcedure="false">#REF!</definedName>
    <definedName function="false" hidden="false" localSheetId="11" name="C.6.7..KD_vuot_CN" vbProcedure="false">#REF!</definedName>
    <definedName function="false" hidden="false" localSheetId="11" name="C.6.8..Rai_cang_day" vbProcedure="false">#REF!</definedName>
    <definedName function="false" hidden="false" localSheetId="11" name="C.6.9..Cap_quang" vbProcedure="false">#REF!</definedName>
    <definedName function="false" hidden="false" localSheetId="11" name="CAL" vbProcedure="false">#REF!</definedName>
    <definedName function="false" hidden="false" localSheetId="11" name="CAPEX" vbProcedure="false">#REF!</definedName>
    <definedName function="false" hidden="false" localSheetId="11" name="Car_Build" vbProcedure="false">#REF!</definedName>
    <definedName function="false" hidden="false" localSheetId="11" name="CAR_Volumes" vbProcedure="false">#REF!</definedName>
    <definedName function="false" hidden="false" localSheetId="11" name="cash" vbProcedure="false">#REF!</definedName>
    <definedName function="false" hidden="false" localSheetId="11" name="cash1" vbProcedure="false">#REF!</definedName>
    <definedName function="false" hidden="false" localSheetId="11" name="cash2" vbProcedure="false">#REF!</definedName>
    <definedName function="false" hidden="false" localSheetId="11" name="CCDCGR2" vbProcedure="false">#REF!</definedName>
    <definedName function="false" hidden="false" localSheetId="11" name="CCDJC" vbProcedure="false">#REF!</definedName>
    <definedName function="false" hidden="false" localSheetId="11" name="CCDJCP" vbProcedure="false">#REF!</definedName>
    <definedName function="false" hidden="false" localSheetId="11" name="CCDN2D" vbProcedure="false">#REF!</definedName>
    <definedName function="false" hidden="false" localSheetId="11" name="CCDSMG32" vbProcedure="false">#REF!</definedName>
    <definedName function="false" hidden="false" localSheetId="11" name="CCFUT3RXL" vbProcedure="false">#REF!</definedName>
    <definedName function="false" hidden="false" localSheetId="11" name="CCLH2NY" vbProcedure="false">#REF!</definedName>
    <definedName function="false" hidden="false" localSheetId="11" name="CCLH3CO" vbProcedure="false">#REF!</definedName>
    <definedName function="false" hidden="false" localSheetId="11" name="CCLH3IN2" vbProcedure="false">#REF!</definedName>
    <definedName function="false" hidden="false" localSheetId="11" name="CCLH3NY2" vbProcedure="false">#REF!</definedName>
    <definedName function="false" hidden="false" localSheetId="11" name="CCLLX2" vbProcedure="false">#REF!</definedName>
    <definedName function="false" hidden="false" localSheetId="11" name="CCNCV2" vbProcedure="false">#REF!</definedName>
    <definedName function="false" hidden="false" localSheetId="11" name="CCPL2SU" vbProcedure="false">#REF!</definedName>
    <definedName function="false" hidden="false" localSheetId="11" name="CCPLDMV2" vbProcedure="false">#REF!</definedName>
    <definedName function="false" hidden="false" localSheetId="11" name="CCPLDSU" vbProcedure="false">#REF!</definedName>
    <definedName function="false" hidden="false" localSheetId="11" name="CCPPROW" vbProcedure="false">#REF!</definedName>
    <definedName function="false" hidden="false" localSheetId="11" name="CCPS2" vbProcedure="false">#REF!</definedName>
    <definedName function="false" hidden="false" localSheetId="11" name="CCT33RM" vbProcedure="false">#REF!</definedName>
    <definedName function="false" hidden="false" localSheetId="11" name="CCT33W" vbProcedure="false">#REF!</definedName>
    <definedName function="false" hidden="false" localSheetId="11" name="CCTCSW2" vbProcedure="false">#REF!</definedName>
    <definedName function="false" hidden="false" localSheetId="11" name="CCTDGHWGN2" vbProcedure="false">#REF!</definedName>
    <definedName function="false" hidden="false" localSheetId="11" name="CCTDM80" vbProcedure="false">#REF!</definedName>
    <definedName function="false" hidden="false" localSheetId="11" name="CCTDSD" vbProcedure="false">#REF!</definedName>
    <definedName function="false" hidden="false" localSheetId="11" name="CCTDSM" vbProcedure="false">#REF!</definedName>
    <definedName function="false" hidden="false" localSheetId="11" name="CCTFVIA" vbProcedure="false">#REF!</definedName>
    <definedName function="false" hidden="false" localSheetId="11" name="CCTHMSPU" vbProcedure="false">#REF!</definedName>
    <definedName function="false" hidden="false" localSheetId="11" name="CCTLX2" vbProcedure="false">#REF!</definedName>
    <definedName function="false" hidden="false" localSheetId="11" name="CCTMSUV" vbProcedure="false">#REF!</definedName>
    <definedName function="false" hidden="false" localSheetId="11" name="CCTNSR2" vbProcedure="false">#REF!</definedName>
    <definedName function="false" hidden="false" localSheetId="11" name="CCTPT2" vbProcedure="false">#REF!</definedName>
    <definedName function="false" hidden="false" localSheetId="11" name="CCTRSRCAR" vbProcedure="false">#REF!</definedName>
    <definedName function="false" hidden="false" localSheetId="11" name="CCTRSRTC" vbProcedure="false">#REF!</definedName>
    <definedName function="false" hidden="false" localSheetId="11" name="CCTRTNCC" vbProcedure="false">#REF!</definedName>
    <definedName function="false" hidden="false" localSheetId="11" name="CCTRTRCRM" vbProcedure="false">#REF!</definedName>
    <definedName function="false" hidden="false" localSheetId="11" name="CCTXJ" vbProcedure="false">#REF!</definedName>
    <definedName function="false" hidden="false" localSheetId="11" name="CCTXJ3C" vbProcedure="false">#REF!</definedName>
    <definedName function="false" hidden="false" localSheetId="11" name="CCTXJC" vbProcedure="false">#REF!</definedName>
    <definedName function="false" hidden="false" localSheetId="11" name="CFCDMZM2" vbProcedure="false">#REF!</definedName>
    <definedName function="false" hidden="false" localSheetId="11" name="CFCDWE" vbProcedure="false">#REF!</definedName>
    <definedName function="false" hidden="false" localSheetId="11" name="CFCDWMXL" vbProcedure="false">#REF!</definedName>
    <definedName function="false" hidden="false" localSheetId="11" name="CFCW1702" vbProcedure="false">#REF!</definedName>
    <definedName function="false" hidden="false" localSheetId="11" name="CFCWFF" vbProcedure="false">#REF!</definedName>
    <definedName function="false" hidden="false" localSheetId="11" name="CFCWFOC2" vbProcedure="false">#REF!</definedName>
    <definedName function="false" hidden="false" localSheetId="11" name="CFD258M" vbProcedure="false">#REF!</definedName>
    <definedName function="false" hidden="false" localSheetId="11" name="CFDEW2LS" vbProcedure="false">#REF!</definedName>
    <definedName function="false" hidden="false" localSheetId="11" name="CFEA" vbProcedure="false">#REF!</definedName>
    <definedName function="false" hidden="false" localSheetId="11" name="CFEA2CV" vbProcedure="false">#REF!</definedName>
    <definedName function="false" hidden="false" localSheetId="11" name="CFEA2LTC" vbProcedure="false">#REF!</definedName>
    <definedName function="false" hidden="false" localSheetId="11" name="CFEA2MGM" vbProcedure="false">#REF!</definedName>
    <definedName function="false" hidden="false" localSheetId="11" name="cfk" vbProcedure="false">#REF!</definedName>
    <definedName function="false" hidden="false" localSheetId="11" name="CFLNCP2F" vbProcedure="false">#REF!</definedName>
    <definedName function="false" hidden="false" localSheetId="11" name="CFLNCP2M" vbProcedure="false">#REF!</definedName>
    <definedName function="false" hidden="false" localSheetId="11" name="CFLX" vbProcedure="false">#REF!</definedName>
    <definedName function="false" hidden="false" localSheetId="11" name="CFLX350" vbProcedure="false">#REF!</definedName>
    <definedName function="false" hidden="false" localSheetId="11" name="CFTCRS" vbProcedure="false">#REF!</definedName>
    <definedName function="false" hidden="false" localSheetId="11" name="CFTD258M" vbProcedure="false">#REF!</definedName>
    <definedName function="false" hidden="false" localSheetId="11" name="CFTE169" vbProcedure="false">#REF!</definedName>
    <definedName function="false" hidden="false" localSheetId="11" name="CFTFCMAV" vbProcedure="false">#REF!</definedName>
    <definedName function="false" hidden="false" localSheetId="11" name="CFTMCSUV" vbProcedure="false">#REF!</definedName>
    <definedName function="false" hidden="false" localSheetId="11" name="CFTPN" vbProcedure="false">#REF!</definedName>
    <definedName function="false" hidden="false" localSheetId="11" name="CFTV2" vbProcedure="false">#REF!</definedName>
    <definedName function="false" hidden="false" localSheetId="11" name="CFTV2E" vbProcedure="false">#REF!</definedName>
    <definedName function="false" hidden="false" localSheetId="11" name="CFU377F" vbProcedure="false">#REF!</definedName>
    <definedName function="false" hidden="false" localSheetId="11" name="CFU377M" vbProcedure="false">#REF!</definedName>
    <definedName function="false" hidden="false" localSheetId="11" name="CFU377MZ" vbProcedure="false">#REF!</definedName>
    <definedName function="false" hidden="false" localSheetId="11" name="CFUN1" vbProcedure="false">#REF!</definedName>
    <definedName function="false" hidden="false" localSheetId="11" name="CFUN1EX" vbProcedure="false">#REF!</definedName>
    <definedName function="false" hidden="false" localSheetId="11" name="CFWD379SP" vbProcedure="false">#REF!</definedName>
    <definedName function="false" hidden="false" localSheetId="11" name="CFWMD380" vbProcedure="false">#REF!</definedName>
    <definedName function="false" hidden="false" localSheetId="11" name="CGBEPTSN" vbProcedure="false">#REF!</definedName>
    <definedName function="false" hidden="false" localSheetId="11" name="CGBKVE" vbProcedure="false">#REF!</definedName>
    <definedName function="false" hidden="false" localSheetId="11" name="CGCCAM" vbProcedure="false">#REF!</definedName>
    <definedName function="false" hidden="false" localSheetId="11" name="CGCRS" vbProcedure="false">#REF!</definedName>
    <definedName function="false" hidden="false" localSheetId="11" name="CGDELBENG" vbProcedure="false">#REF!</definedName>
    <definedName function="false" hidden="false" localSheetId="11" name="CGEPLP2" vbProcedure="false">#REF!</definedName>
    <definedName function="false" hidden="false" localSheetId="11" name="CGEPMALI" vbProcedure="false">#REF!</definedName>
    <definedName function="false" hidden="false" localSheetId="11" name="CGEPS2" vbProcedure="false">#REF!</definedName>
    <definedName function="false" hidden="false" localSheetId="11" name="CGGAM1CCM" vbProcedure="false">#REF!</definedName>
    <definedName function="false" hidden="false" localSheetId="11" name="CGRDCA2" vbProcedure="false">#REF!</definedName>
    <definedName function="false" hidden="false" localSheetId="11" name="CGRDCS2" vbProcedure="false">#REF!</definedName>
    <definedName function="false" hidden="false" localSheetId="11" name="CGRDMAV2" vbProcedure="false">#REF!</definedName>
    <definedName function="false" hidden="false" localSheetId="11" name="CGSATION2" vbProcedure="false">#REF!</definedName>
    <definedName function="false" hidden="false" localSheetId="11" name="CGSCSKY" vbProcedure="false">#REF!</definedName>
    <definedName function="false" hidden="false" localSheetId="11" name="CGSIG2" vbProcedure="false">#REF!</definedName>
    <definedName function="false" hidden="false" localSheetId="11" name="CGSIGMAM" vbProcedure="false">#REF!</definedName>
    <definedName function="false" hidden="false" localSheetId="11" name="CGSIGMGP" vbProcedure="false">#REF!</definedName>
    <definedName function="false" hidden="false" localSheetId="11" name="CGSMGTO" vbProcedure="false">#REF!</definedName>
    <definedName function="false" hidden="false" localSheetId="11" name="CGT306GJS" vbProcedure="false">#REF!</definedName>
    <definedName function="false" hidden="false" localSheetId="11" name="CGT361B" vbProcedure="false">#REF!</definedName>
    <definedName function="false" hidden="false" localSheetId="11" name="CGT361B98" vbProcedure="false">#REF!</definedName>
    <definedName function="false" hidden="false" localSheetId="11" name="CGT361J" vbProcedure="false">#REF!</definedName>
    <definedName function="false" hidden="false" localSheetId="11" name="CGT371CB" vbProcedure="false">#REF!</definedName>
    <definedName function="false" hidden="false" localSheetId="11" name="CGT371GE" vbProcedure="false">#REF!</definedName>
    <definedName function="false" hidden="false" localSheetId="11" name="CGT900C" vbProcedure="false">#REF!</definedName>
    <definedName function="false" hidden="false" localSheetId="11" name="CGT900G" vbProcedure="false">#REF!</definedName>
    <definedName function="false" hidden="false" localSheetId="11" name="CGT990C" vbProcedure="false">#REF!</definedName>
    <definedName function="false" hidden="false" localSheetId="11" name="CGT990G" vbProcedure="false">#REF!</definedName>
    <definedName function="false" hidden="false" localSheetId="11" name="CGTAPV3B" vbProcedure="false">#REF!</definedName>
    <definedName function="false" hidden="false" localSheetId="11" name="CGTAPV3L" vbProcedure="false">#REF!</definedName>
    <definedName function="false" hidden="false" localSheetId="11" name="CGTBCSUV2" vbProcedure="false">#REF!</definedName>
    <definedName function="false" hidden="false" localSheetId="11" name="CGTBKVAN" vbProcedure="false">#REF!</definedName>
    <definedName function="false" hidden="false" localSheetId="11" name="CGTCK" vbProcedure="false">#REF!</definedName>
    <definedName function="false" hidden="false" localSheetId="11" name="CGTCKC" vbProcedure="false">#REF!</definedName>
    <definedName function="false" hidden="false" localSheetId="11" name="CGTCPU" vbProcedure="false">#REF!</definedName>
    <definedName function="false" hidden="false" localSheetId="11" name="CGTCTDEL2" vbProcedure="false">#REF!</definedName>
    <definedName function="false" hidden="false" localSheetId="11" name="CGTDLS2" vbProcedure="false">#REF!</definedName>
    <definedName function="false" hidden="false" localSheetId="11" name="CGTGAM" vbProcedure="false">#REF!</definedName>
    <definedName function="false" hidden="false" localSheetId="11" name="CGTHUMH22" vbProcedure="false">#REF!</definedName>
    <definedName function="false" hidden="false" localSheetId="11" name="CGTHUMHX" vbProcedure="false">#REF!</definedName>
    <definedName function="false" hidden="false" localSheetId="11" name="CGTLAMGES" vbProcedure="false">#REF!</definedName>
    <definedName function="false" hidden="false" localSheetId="11" name="CGTS3IZ" vbProcedure="false">#REF!</definedName>
    <definedName function="false" hidden="false" localSheetId="11" name="CGTSATVAN" vbProcedure="false">#REF!</definedName>
    <definedName function="false" hidden="false" localSheetId="11" name="CGTSIG2" vbProcedure="false">#REF!</definedName>
    <definedName function="false" hidden="false" localSheetId="11" name="CGTSSRTPV" vbProcedure="false">#REF!</definedName>
    <definedName function="false" hidden="false" localSheetId="11" name="CGTSU3O" vbProcedure="false">#REF!</definedName>
    <definedName function="false" hidden="false" localSheetId="11" name="CGTTHTA" vbProcedure="false">#REF!</definedName>
    <definedName function="false" hidden="false" localSheetId="11" name="CGW2LU" vbProcedure="false">#REF!</definedName>
    <definedName function="false" hidden="false" localSheetId="11" name="chiyoko" vbProcedure="false">#REF!</definedName>
    <definedName function="false" hidden="false" localSheetId="11" name="clip" vbProcedure="false">#REF!</definedName>
    <definedName function="false" hidden="false" localSheetId="11" name="CNmLst" vbProcedure="false">#REF!</definedName>
    <definedName function="false" hidden="false" localSheetId="11" name="Co" vbProcedure="false">#REF!</definedName>
    <definedName function="false" hidden="false" localSheetId="11" name="COAT" vbProcedure="false">#REF!</definedName>
    <definedName function="false" hidden="false" localSheetId="11" name="COLOR" vbProcedure="false">#REF!</definedName>
    <definedName function="false" hidden="false" localSheetId="11" name="COMMON" vbProcedure="false">#REF!</definedName>
    <definedName function="false" hidden="false" localSheetId="11" name="comp" vbProcedure="false">#REF!</definedName>
    <definedName function="false" hidden="false" localSheetId="11" name="CON" vbProcedure="false">#REF!</definedName>
    <definedName function="false" hidden="false" localSheetId="11" name="CONC25" vbProcedure="false">#REF!</definedName>
    <definedName function="false" hidden="false" localSheetId="11" name="CONC30" vbProcedure="false">#REF!</definedName>
    <definedName function="false" hidden="false" localSheetId="11" name="CONCS25" vbProcedure="false">#REF!</definedName>
    <definedName function="false" hidden="false" localSheetId="11" name="CONCS30" vbProcedure="false">#REF!</definedName>
    <definedName function="false" hidden="false" localSheetId="11" name="Cong_HM_DTCT" vbProcedure="false">#REF!</definedName>
    <definedName function="false" hidden="false" localSheetId="11" name="Cong_M_DTCT" vbProcedure="false">#REF!</definedName>
    <definedName function="false" hidden="false" localSheetId="11" name="Cong_NC_DTCT" vbProcedure="false">#REF!</definedName>
    <definedName function="false" hidden="false" localSheetId="11" name="Cong_VL_DTCT" vbProcedure="false">#REF!</definedName>
    <definedName function="false" hidden="false" localSheetId="11" name="CONS" vbProcedure="false">#REF!</definedName>
    <definedName function="false" hidden="false" localSheetId="11" name="Control" vbProcedure="false">#REF!</definedName>
    <definedName function="false" hidden="false" localSheetId="11" name="CON_EQP_COS" vbProcedure="false">#REF!</definedName>
    <definedName function="false" hidden="false" localSheetId="11" name="COPL" vbProcedure="false">#REF!</definedName>
    <definedName function="false" hidden="false" localSheetId="11" name="Cost_of_Material" vbProcedure="false">#REF!</definedName>
    <definedName function="false" hidden="false" localSheetId="11" name="Cost_of_Scrap" vbProcedure="false">#REF!</definedName>
    <definedName function="false" hidden="false" localSheetId="11" name="cot7.5" vbProcedure="false">#REF!</definedName>
    <definedName function="false" hidden="false" localSheetId="11" name="cot8.5" vbProcedure="false">#REF!</definedName>
    <definedName function="false" hidden="false" localSheetId="11" name="COVER" vbProcedure="false">#REF!</definedName>
    <definedName function="false" hidden="false" localSheetId="11" name="cpc" vbProcedure="false">#REF!</definedName>
    <definedName function="false" hidden="false" localSheetId="11" name="CRITINST" vbProcedure="false">#REF!</definedName>
    <definedName function="false" hidden="false" localSheetId="11" name="CRITPURC" vbProcedure="false">#REF!</definedName>
    <definedName function="false" hidden="false" localSheetId="11" name="CS" vbProcedure="false">#REF!</definedName>
    <definedName function="false" hidden="false" localSheetId="11" name="CS_10" vbProcedure="false">#REF!</definedName>
    <definedName function="false" hidden="false" localSheetId="11" name="CS_100" vbProcedure="false">#REF!</definedName>
    <definedName function="false" hidden="false" localSheetId="11" name="CS_10S" vbProcedure="false">#REF!</definedName>
    <definedName function="false" hidden="false" localSheetId="11" name="CS_120" vbProcedure="false">#REF!</definedName>
    <definedName function="false" hidden="false" localSheetId="11" name="CS_140" vbProcedure="false">#REF!</definedName>
    <definedName function="false" hidden="false" localSheetId="11" name="CS_160" vbProcedure="false">#REF!</definedName>
    <definedName function="false" hidden="false" localSheetId="11" name="CS_20" vbProcedure="false">#REF!</definedName>
    <definedName function="false" hidden="false" localSheetId="11" name="CS_30" vbProcedure="false">#REF!</definedName>
    <definedName function="false" hidden="false" localSheetId="11" name="CS_40" vbProcedure="false">#REF!</definedName>
    <definedName function="false" hidden="false" localSheetId="11" name="CS_40S" vbProcedure="false">#REF!</definedName>
    <definedName function="false" hidden="false" localSheetId="11" name="CS_5S" vbProcedure="false">#REF!</definedName>
    <definedName function="false" hidden="false" localSheetId="11" name="CS_60" vbProcedure="false">#REF!</definedName>
    <definedName function="false" hidden="false" localSheetId="11" name="CS_80" vbProcedure="false">#REF!</definedName>
    <definedName function="false" hidden="false" localSheetId="11" name="CS_80S" vbProcedure="false">#REF!</definedName>
    <definedName function="false" hidden="false" localSheetId="11" name="CS_STD" vbProcedure="false">#REF!</definedName>
    <definedName function="false" hidden="false" localSheetId="11" name="CS_XS" vbProcedure="false">#REF!</definedName>
    <definedName function="false" hidden="false" localSheetId="11" name="CS_XXS" vbProcedure="false">#REF!</definedName>
    <definedName function="false" hidden="false" localSheetId="11" name="CTBMWE39" vbProcedure="false">#REF!</definedName>
    <definedName function="false" hidden="false" localSheetId="11" name="CTBMWE90" vbProcedure="false">#REF!</definedName>
    <definedName function="false" hidden="false" localSheetId="11" name="CTBMWE90Z" vbProcedure="false">#REF!</definedName>
    <definedName function="false" hidden="false" localSheetId="11" name="CTCAM2" vbProcedure="false">#REF!</definedName>
    <definedName function="false" hidden="false" localSheetId="11" name="CTCAM2CGM" vbProcedure="false">#REF!</definedName>
    <definedName function="false" hidden="false" localSheetId="11" name="CTCAM2SS" vbProcedure="false">#REF!</definedName>
    <definedName function="false" hidden="false" localSheetId="11" name="CTCBMWE34" vbProcedure="false">#REF!</definedName>
    <definedName function="false" hidden="false" localSheetId="11" name="CTCSBB" vbProcedure="false">#REF!</definedName>
    <definedName function="false" hidden="false" localSheetId="11" name="CTHA9C" vbProcedure="false">#REF!</definedName>
    <definedName function="false" hidden="false" localSheetId="11" name="CTHFIT" vbProcedure="false">#REF!</definedName>
    <definedName function="false" hidden="false" localSheetId="11" name="CTHTL1A4" vbProcedure="false">#REF!</definedName>
    <definedName function="false" hidden="false" localSheetId="11" name="CTHUQ2" vbProcedure="false">#REF!</definedName>
    <definedName function="false" hidden="false" localSheetId="11" name="CTHVC3" vbProcedure="false">#REF!</definedName>
    <definedName function="false" hidden="false" localSheetId="11" name="ctiep" vbProcedure="false">#REF!</definedName>
    <definedName function="false" hidden="false" localSheetId="11" name="CTNRSC3XL" vbProcedure="false">#REF!</definedName>
    <definedName function="false" hidden="false" localSheetId="11" name="CTNSCW84" vbProcedure="false">#REF!</definedName>
    <definedName function="false" hidden="false" localSheetId="11" name="CTNSS2" vbProcedure="false">#REF!</definedName>
    <definedName function="false" hidden="false" localSheetId="11" name="CTNSS2EXL" vbProcedure="false">#REF!</definedName>
    <definedName function="false" hidden="false" localSheetId="11" name="CTNST2" vbProcedure="false">#REF!</definedName>
    <definedName function="false" hidden="false" localSheetId="11" name="CTNST3I2" vbProcedure="false">#REF!</definedName>
    <definedName function="false" hidden="false" localSheetId="11" name="CTNST3Q2" vbProcedure="false">#REF!</definedName>
    <definedName function="false" hidden="false" localSheetId="11" name="CTNSTSB" vbProcedure="false">#REF!</definedName>
    <definedName function="false" hidden="false" localSheetId="11" name="CTNSTZ2" vbProcedure="false">#REF!</definedName>
    <definedName function="false" hidden="false" localSheetId="11" name="CTNSUBBXL" vbProcedure="false">#REF!</definedName>
    <definedName function="false" hidden="false" localSheetId="11" name="CTNTK2" vbProcedure="false">#REF!</definedName>
    <definedName function="false" hidden="false" localSheetId="11" name="CTNUWGP3" vbProcedure="false">#REF!</definedName>
    <definedName function="false" hidden="false" localSheetId="11" name="CTSU55A" vbProcedure="false">#REF!</definedName>
    <definedName function="false" hidden="false" localSheetId="11" name="CTSUIMP" vbProcedure="false">#REF!</definedName>
    <definedName function="false" hidden="false" localSheetId="11" name="CTSUSA92" vbProcedure="false">#REF!</definedName>
    <definedName function="false" hidden="false" localSheetId="11" name="CTT330N2" vbProcedure="false">#REF!</definedName>
    <definedName function="false" hidden="false" localSheetId="11" name="CTT330N2TC" vbProcedure="false">#REF!</definedName>
    <definedName function="false" hidden="false" localSheetId="11" name="CTT4RNX" vbProcedure="false">#REF!</definedName>
    <definedName function="false" hidden="false" localSheetId="11" name="CTTCTWGN" vbProcedure="false">#REF!</definedName>
    <definedName function="false" hidden="false" localSheetId="11" name="CTTHEX2" vbProcedure="false">#REF!</definedName>
    <definedName function="false" hidden="false" localSheetId="11" name="CTTHPUM2" vbProcedure="false">#REF!</definedName>
    <definedName function="false" hidden="false" localSheetId="11" name="CTTHSUT2" vbProcedure="false">#REF!</definedName>
    <definedName function="false" hidden="false" localSheetId="11" name="CTTHSUV2" vbProcedure="false">#REF!</definedName>
    <definedName function="false" hidden="false" localSheetId="11" name="CTTLX470" vbProcedure="false">#REF!</definedName>
    <definedName function="false" hidden="false" localSheetId="11" name="CTTNST3CXL" vbProcedure="false">#REF!</definedName>
    <definedName function="false" hidden="false" localSheetId="11" name="CTTSEQA" vbProcedure="false">#REF!</definedName>
    <definedName function="false" hidden="false" localSheetId="11" name="CTTT4RUNX" vbProcedure="false">#REF!</definedName>
    <definedName function="false" hidden="false" localSheetId="11" name="CTTTMC" vbProcedure="false">#REF!</definedName>
    <definedName function="false" hidden="false" localSheetId="11" name="CTTTPMAV3" vbProcedure="false">#REF!</definedName>
    <definedName function="false" hidden="false" localSheetId="11" name="CTTTSBB" vbProcedure="false">#REF!</definedName>
    <definedName function="false" hidden="false" localSheetId="11" name="CTTTYC3TH" vbProcedure="false">#REF!</definedName>
    <definedName function="false" hidden="false" localSheetId="11" name="CTTTYC4" vbProcedure="false">#REF!</definedName>
    <definedName function="false" hidden="false" localSheetId="11" name="CTTTYPRV3" vbProcedure="false">#REF!</definedName>
    <definedName function="false" hidden="false" localSheetId="11" name="CTTTYRAVT2" vbProcedure="false">#REF!</definedName>
    <definedName function="false" hidden="false" localSheetId="11" name="CTTTYRX3" vbProcedure="false">#REF!</definedName>
    <definedName function="false" hidden="false" localSheetId="11" name="CTTTYS5" vbProcedure="false">#REF!</definedName>
    <definedName function="false" hidden="false" localSheetId="11" name="CTTVW350" vbProcedure="false">#REF!</definedName>
    <definedName function="false" hidden="false" localSheetId="11" name="CTTYC2" vbProcedure="false">#REF!</definedName>
    <definedName function="false" hidden="false" localSheetId="11" name="CTTYC2A" vbProcedure="false">#REF!</definedName>
    <definedName function="false" hidden="false" localSheetId="11" name="CTTYC3C2" vbProcedure="false">#REF!</definedName>
    <definedName function="false" hidden="false" localSheetId="11" name="CTTYC4" vbProcedure="false">#REF!</definedName>
    <definedName function="false" hidden="false" localSheetId="11" name="CTTYS3C" vbProcedure="false">#REF!</definedName>
    <definedName function="false" hidden="false" localSheetId="11" name="CTTYS3W" vbProcedure="false">#REF!</definedName>
    <definedName function="false" hidden="false" localSheetId="11" name="CTVW240" vbProcedure="false">#REF!</definedName>
    <definedName function="false" hidden="false" localSheetId="11" name="CTVWGMPV" vbProcedure="false">#REF!</definedName>
    <definedName function="false" hidden="false" localSheetId="11" name="CTVWGOL" vbProcedure="false">#REF!</definedName>
    <definedName function="false" hidden="false" localSheetId="11" name="cuoc_vc" vbProcedure="false">#REF!</definedName>
    <definedName function="false" hidden="false" localSheetId="11" name="current" vbProcedure="false">#REF!</definedName>
    <definedName function="false" hidden="false" localSheetId="11" name="CU_LY" vbProcedure="false">#REF!</definedName>
    <definedName function="false" hidden="false" localSheetId="11" name="cx" vbProcedure="false">#REF!</definedName>
    <definedName function="false" hidden="false" localSheetId="11" name="CY_PY" vbProcedure="false">#REF!</definedName>
    <definedName function="false" hidden="false" localSheetId="11" name="C_" vbProcedure="false">#REF!</definedName>
    <definedName function="false" hidden="false" localSheetId="11" name="data" vbProcedure="false">#REF!</definedName>
    <definedName function="false" hidden="false" localSheetId="11" name="DBE" vbProcedure="false">OFFSET(#REF!,0,0,COUNTA(#REF!),COUNTA(#REF!))</definedName>
    <definedName function="false" hidden="false" localSheetId="11" name="DBF" vbProcedure="false">OFFSET(#REF!,0,0,COUNTA(#REF!),COUNTA(#REF!))</definedName>
    <definedName function="false" hidden="false" localSheetId="11" name="DBQ" vbProcedure="false">OFFSET(#REF!,0,0,COUNTA(#REF!),COUNTA(#REF!))</definedName>
    <definedName function="false" hidden="false" localSheetId="11" name="denbu" vbProcedure="false">#REF!</definedName>
    <definedName function="false" hidden="false" localSheetId="11" name="den_bu" vbProcedure="false">#REF!</definedName>
    <definedName function="false" hidden="false" localSheetId="11" name="depre" vbProcedure="false">#REF!</definedName>
    <definedName function="false" hidden="false" localSheetId="11" name="Desc" vbProcedure="false">#REF!</definedName>
    <definedName function="false" hidden="false" localSheetId="11" name="DETAIL" vbProcedure="false">#REF!</definedName>
    <definedName function="false" hidden="false" localSheetId="11" name="DETAIL2" vbProcedure="false">#REF!</definedName>
    <definedName function="false" hidden="false" localSheetId="11" name="df" vbProcedure="false">#REF!</definedName>
    <definedName function="false" hidden="false" localSheetId="11" name="DGCTI592" vbProcedure="false">#REF!</definedName>
    <definedName function="false" hidden="false" localSheetId="11" name="dhom" vbProcedure="false">#REF!</definedName>
    <definedName function="false" hidden="false" localSheetId="11" name="DIS" vbProcedure="false">#REF!</definedName>
    <definedName function="false" hidden="false" localSheetId="11" name="DSUMDATA" vbProcedure="false">#REF!</definedName>
    <definedName function="false" hidden="false" localSheetId="11" name="duoi" vbProcedure="false">#REF!</definedName>
    <definedName function="false" hidden="false" localSheetId="11" name="DutoanDongmo" vbProcedure="false">#REF!</definedName>
    <definedName function="false" hidden="false" localSheetId="11" name="dw" vbProcedure="false">#REF!</definedName>
    <definedName function="false" hidden="false" localSheetId="11" name="e" vbProcedure="false">#REF!</definedName>
    <definedName function="false" hidden="false" localSheetId="11" name="ECON._ADJ." vbProcedure="false">#REF!</definedName>
    <definedName function="false" hidden="false" localSheetId="11" name="EDIT__END__LEFT__DEL___DOWN" vbProcedure="false">#REF!</definedName>
    <definedName function="false" hidden="false" localSheetId="11" name="EF" vbProcedure="false">#REF!</definedName>
    <definedName function="false" hidden="false" localSheetId="11" name="Elx" vbProcedure="false">#REF!,#REF!,#REF!,#REF!,#REF!,#REF!,#REF!,#REF!,#REF!</definedName>
    <definedName function="false" hidden="false" localSheetId="11" name="End_1" vbProcedure="false">#REF!</definedName>
    <definedName function="false" hidden="false" localSheetId="11" name="End_10" vbProcedure="false">#REF!</definedName>
    <definedName function="false" hidden="false" localSheetId="11" name="End_11" vbProcedure="false">#REF!</definedName>
    <definedName function="false" hidden="false" localSheetId="11" name="End_12" vbProcedure="false">#REF!</definedName>
    <definedName function="false" hidden="false" localSheetId="11" name="End_13" vbProcedure="false">#REF!</definedName>
    <definedName function="false" hidden="false" localSheetId="11" name="End_2" vbProcedure="false">#REF!</definedName>
    <definedName function="false" hidden="false" localSheetId="11" name="End_3" vbProcedure="false">#REF!</definedName>
    <definedName function="false" hidden="false" localSheetId="11" name="End_4" vbProcedure="false">#REF!</definedName>
    <definedName function="false" hidden="false" localSheetId="11" name="End_5" vbProcedure="false">#REF!</definedName>
    <definedName function="false" hidden="false" localSheetId="11" name="End_6" vbProcedure="false">#REF!</definedName>
    <definedName function="false" hidden="false" localSheetId="11" name="End_7" vbProcedure="false">#REF!</definedName>
    <definedName function="false" hidden="false" localSheetId="11" name="End_8" vbProcedure="false">#REF!</definedName>
    <definedName function="false" hidden="false" localSheetId="11" name="End_9" vbProcedure="false">#REF!</definedName>
    <definedName function="false" hidden="false" localSheetId="11" name="ENGINEERING__DEPARTMENT" vbProcedure="false">#REF!</definedName>
    <definedName function="false" hidden="false" localSheetId="11" name="Entity" vbProcedure="false">#REF!</definedName>
    <definedName function="false" hidden="false" localSheetId="11" name="EX" vbProcedure="false">#REF!</definedName>
    <definedName function="false" hidden="false" localSheetId="11" name="EXC" vbProcedure="false">#REF!</definedName>
    <definedName function="false" hidden="false" localSheetId="11" name="Excel_BuiltIn_Print_Area_1" vbProcedure="false">#REF!</definedName>
    <definedName function="false" hidden="false" localSheetId="11" name="Excel_BuiltIn__FilterDatabase_1" vbProcedure="false">#REF!</definedName>
    <definedName function="false" hidden="false" localSheetId="11" name="Excel_BuiltIn__FilterDatabase_2" vbProcedure="false">#REF!</definedName>
    <definedName function="false" hidden="false" localSheetId="11" name="EXCH" vbProcedure="false">#REF!</definedName>
    <definedName function="false" hidden="false" localSheetId="11" name="Expenses" vbProcedure="false">#REF!</definedName>
    <definedName function="false" hidden="false" localSheetId="11" name="EXPORT" vbProcedure="false">#REF!</definedName>
    <definedName function="false" hidden="false" localSheetId="11" name="F" vbProcedure="false">#REF!</definedName>
    <definedName function="false" hidden="false" localSheetId="11" name="FAXNO" vbProcedure="false">#REF!</definedName>
    <definedName function="false" hidden="false" localSheetId="11" name="FC5_total" vbProcedure="false">#REF!</definedName>
    <definedName function="false" hidden="false" localSheetId="11" name="FC6_total" vbProcedure="false">#REF!</definedName>
    <definedName function="false" hidden="false" localSheetId="11" name="ff_ap" vbProcedure="false">#REF!</definedName>
    <definedName function="false" hidden="false" localSheetId="11" name="ff_AR" vbProcedure="false">#REF!</definedName>
    <definedName function="false" hidden="false" localSheetId="11" name="ff_Inv" vbProcedure="false">#REF!</definedName>
    <definedName function="false" hidden="false" localSheetId="11" name="finexp" vbProcedure="false">#REF!</definedName>
    <definedName function="false" hidden="false" localSheetId="11" name="FOUR02" vbProcedure="false">#REF!</definedName>
    <definedName function="false" hidden="false" localSheetId="11" name="FOUR03" vbProcedure="false">#REF!</definedName>
    <definedName function="false" hidden="false" localSheetId="11" name="FOUR04" vbProcedure="false">#REF!</definedName>
    <definedName function="false" hidden="false" localSheetId="11" name="FOUR05" vbProcedure="false">#REF!</definedName>
    <definedName function="false" hidden="false" localSheetId="11" name="FOUR06" vbProcedure="false">#REF!</definedName>
    <definedName function="false" hidden="false" localSheetId="11" name="FOUR07" vbProcedure="false">#REF!</definedName>
    <definedName function="false" hidden="false" localSheetId="11" name="FOUR08" vbProcedure="false">#REF!</definedName>
    <definedName function="false" hidden="false" localSheetId="11" name="FOUR09" vbProcedure="false">#REF!</definedName>
    <definedName function="false" hidden="false" localSheetId="11" name="FTC" vbProcedure="false">#REF!</definedName>
    <definedName function="false" hidden="false" localSheetId="11" name="FUND" vbProcedure="false">#REF!</definedName>
    <definedName function="false" hidden="false" localSheetId="11" name="FUND2" vbProcedure="false">#REF!</definedName>
    <definedName function="false" hidden="false" localSheetId="11" name="fund3" vbProcedure="false">#REF!</definedName>
    <definedName function="false" hidden="false" localSheetId="11" name="ghip" vbProcedure="false">#REF!</definedName>
    <definedName function="false" hidden="false" localSheetId="11" name="gia" vbProcedure="false">#REF!</definedName>
    <definedName function="false" hidden="false" localSheetId="11" name="gia_tien" vbProcedure="false">#REF!</definedName>
    <definedName function="false" hidden="false" localSheetId="11" name="gia_tien_BTN" vbProcedure="false">#REF!</definedName>
    <definedName function="false" hidden="false" localSheetId="11" name="gt" vbProcedure="false">#REF!</definedName>
    <definedName function="false" hidden="false" localSheetId="11" name="HF" vbProcedure="false">#REF!</definedName>
    <definedName function="false" hidden="false" localSheetId="11" name="HHcat" vbProcedure="false">#REF!</definedName>
    <definedName function="false" hidden="false" localSheetId="11" name="HHda" vbProcedure="false">#REF!</definedName>
    <definedName function="false" hidden="false" localSheetId="11" name="HHL" vbProcedure="false">#REF!</definedName>
    <definedName function="false" hidden="false" localSheetId="11" name="HHxm" vbProcedure="false">#REF!</definedName>
    <definedName function="false" hidden="false" localSheetId="11" name="hien" vbProcedure="false">#REF!</definedName>
    <definedName function="false" hidden="false" localSheetId="11" name="HL" vbProcedure="false">#REF!</definedName>
    <definedName function="false" hidden="false" localSheetId="11" name="HO" vbProcedure="false">#REF!</definedName>
    <definedName function="false" hidden="false" localSheetId="11" name="HOMEOFFICE_COST" vbProcedure="false">#REF!</definedName>
    <definedName function="false" hidden="false" localSheetId="11" name="HOME_MANP" vbProcedure="false">#REF!</definedName>
    <definedName function="false" hidden="false" localSheetId="11" name="hrapr99" vbProcedure="false">#REF!</definedName>
    <definedName function="false" hidden="false" localSheetId="11" name="HTML_Control" vbProcedure="false">{"'Summary'!$A$1:$AF$43"}</definedName>
    <definedName function="false" hidden="false" localSheetId="11" name="huy" vbProcedure="false">{"'Sheet1'!$L$16"}</definedName>
    <definedName function="false" hidden="false" localSheetId="11" name="h_m4" vbProcedure="false">#REF!</definedName>
    <definedName function="false" hidden="false" localSheetId="11" name="IDLAB_COST" vbProcedure="false">#REF!</definedName>
    <definedName function="false" hidden="false" localSheetId="11" name="in" vbProcedure="false">#REF!</definedName>
    <definedName function="false" hidden="false" localSheetId="11" name="incomestat" vbProcedure="false">#REF!</definedName>
    <definedName function="false" hidden="false" localSheetId="11" name="INDMANP" vbProcedure="false">#REF!</definedName>
    <definedName function="false" hidden="false" localSheetId="11" name="INPUT" vbProcedure="false">#REF!</definedName>
    <definedName function="false" hidden="false" localSheetId="11" name="INT" vbProcedure="false">#REF!</definedName>
    <definedName function="false" hidden="false" localSheetId="11" name="INTT" vbProcedure="false">#REF!</definedName>
    <definedName function="false" hidden="false" localSheetId="11" name="INVEST" vbProcedure="false">#REF!</definedName>
    <definedName function="false" hidden="false" localSheetId="11" name="INVSTMNT" vbProcedure="false">#REF!</definedName>
    <definedName function="false" hidden="false" localSheetId="11" name="IT" vbProcedure="false">#REF!</definedName>
    <definedName function="false" hidden="false" localSheetId="11" name="IUMtx" vbProcedure="false">#REF!</definedName>
    <definedName function="false" hidden="false" localSheetId="11" name="Jan_Jun_04_Data_Base" vbProcedure="false">#REF!</definedName>
    <definedName function="false" hidden="false" localSheetId="11" name="JK100001362" vbProcedure="false">#REF!</definedName>
    <definedName function="false" hidden="false" localSheetId="11" name="JK100001365" vbProcedure="false">#REF!</definedName>
    <definedName function="false" hidden="false" localSheetId="11" name="JK100001462" vbProcedure="false">#REF!</definedName>
    <definedName function="false" hidden="false" localSheetId="11" name="JK100001466" vbProcedure="false">#REF!</definedName>
    <definedName function="false" hidden="false" localSheetId="11" name="JK100001467" vbProcedure="false">#REF!</definedName>
    <definedName function="false" hidden="false" localSheetId="11" name="JK100001485" vbProcedure="false">#REF!</definedName>
    <definedName function="false" hidden="false" localSheetId="11" name="JK100001495" vbProcedure="false">#REF!</definedName>
    <definedName function="false" hidden="false" localSheetId="11" name="JK100001497" vbProcedure="false">#REF!</definedName>
    <definedName function="false" hidden="false" localSheetId="11" name="JK100001502" vbProcedure="false">#REF!</definedName>
    <definedName function="false" hidden="false" localSheetId="11" name="JK10000600" vbProcedure="false">#REF!</definedName>
    <definedName function="false" hidden="false" localSheetId="11" name="JK10000601" vbProcedure="false">#REF!</definedName>
    <definedName function="false" hidden="false" localSheetId="11" name="JK10000636" vbProcedure="false">#REF!</definedName>
    <definedName function="false" hidden="false" localSheetId="11" name="JK10000642" vbProcedure="false">#REF!</definedName>
    <definedName function="false" hidden="false" localSheetId="11" name="JK10000644" vbProcedure="false">#REF!</definedName>
    <definedName function="false" hidden="false" localSheetId="11" name="JK10000645" vbProcedure="false">#REF!</definedName>
    <definedName function="false" hidden="false" localSheetId="11" name="JK10000704" vbProcedure="false">#REF!</definedName>
    <definedName function="false" hidden="false" localSheetId="11" name="JK10000725" vbProcedure="false">#REF!</definedName>
    <definedName function="false" hidden="false" localSheetId="11" name="JK10000813" vbProcedure="false">#REF!</definedName>
    <definedName function="false" hidden="false" localSheetId="11" name="JK10002356" vbProcedure="false">#REF!</definedName>
    <definedName function="false" hidden="false" localSheetId="11" name="JK10002358" vbProcedure="false">#REF!</definedName>
    <definedName function="false" hidden="false" localSheetId="11" name="JK10002371" vbProcedure="false">#REF!</definedName>
    <definedName function="false" hidden="false" localSheetId="11" name="JK10002375" vbProcedure="false">#REF!</definedName>
    <definedName function="false" hidden="false" localSheetId="11" name="JK10002378" vbProcedure="false">#REF!</definedName>
    <definedName function="false" hidden="false" localSheetId="11" name="JK10002398" vbProcedure="false">#REF!</definedName>
    <definedName function="false" hidden="false" localSheetId="11" name="JK10002401" vbProcedure="false">#REF!</definedName>
    <definedName function="false" hidden="false" localSheetId="11" name="JK10002404" vbProcedure="false">#REF!</definedName>
    <definedName function="false" hidden="false" localSheetId="11" name="JK10002407" vbProcedure="false">#REF!</definedName>
    <definedName function="false" hidden="false" localSheetId="11" name="JK10002409" vbProcedure="false">#REF!</definedName>
    <definedName function="false" hidden="false" localSheetId="11" name="JK10002410" vbProcedure="false">#REF!</definedName>
    <definedName function="false" hidden="false" localSheetId="11" name="JK10002414" vbProcedure="false">#REF!</definedName>
    <definedName function="false" hidden="false" localSheetId="11" name="JK10002944" vbProcedure="false">#REF!</definedName>
    <definedName function="false" hidden="false" localSheetId="11" name="JK10003822" vbProcedure="false">#REF!</definedName>
    <definedName function="false" hidden="false" localSheetId="11" name="Joy" vbProcedure="false">#REF!</definedName>
    <definedName function="false" hidden="false" localSheetId="11" name="KANDIVLI_D" vbProcedure="false">#REF!</definedName>
    <definedName function="false" hidden="false" localSheetId="11" name="KANDIVLI_P" vbProcedure="false">#REF!</definedName>
    <definedName function="false" hidden="false" localSheetId="11" name="KANDIVLI_S" vbProcedure="false">#REF!</definedName>
    <definedName function="false" hidden="false" localSheetId="11" name="kaori" vbProcedure="false">#REF!</definedName>
    <definedName function="false" hidden="false" localSheetId="11" name="kazuyo" vbProcedure="false">#REF!</definedName>
    <definedName function="false" hidden="false" localSheetId="11" name="kcong" vbProcedure="false">#REF!</definedName>
    <definedName function="false" hidden="false" localSheetId="11" name="Kiem_tra_trung_ten" vbProcedure="false">#REF!</definedName>
    <definedName function="false" hidden="false" localSheetId="11" name="KOMAX" vbProcedure="false">#REF!</definedName>
    <definedName function="false" hidden="false" localSheetId="11" name="lan" vbProcedure="false">#REF!</definedName>
    <definedName function="false" hidden="false" localSheetId="11" name="LC5_total" vbProcedure="false">#REF!</definedName>
    <definedName function="false" hidden="false" localSheetId="11" name="LC6_total" vbProcedure="false">#REF!</definedName>
    <definedName function="false" hidden="false" localSheetId="11" name="LG" vbProcedure="false">#REF!</definedName>
    <definedName function="false" hidden="false" localSheetId="11" name="List1" vbProcedure="false">#REF!</definedName>
    <definedName function="false" hidden="false" localSheetId="11" name="List10" vbProcedure="false">#REF!</definedName>
    <definedName function="false" hidden="false" localSheetId="11" name="List11" vbProcedure="false">#REF!</definedName>
    <definedName function="false" hidden="false" localSheetId="11" name="List12" vbProcedure="false">#REF!</definedName>
    <definedName function="false" hidden="false" localSheetId="11" name="List4" vbProcedure="false">#REF!</definedName>
    <definedName function="false" hidden="false" localSheetId="11" name="List5" vbProcedure="false">#REF!</definedName>
    <definedName function="false" hidden="false" localSheetId="11" name="List6" vbProcedure="false">#REF!</definedName>
    <definedName function="false" hidden="false" localSheetId="11" name="List7" vbProcedure="false">#REF!</definedName>
    <definedName function="false" hidden="false" localSheetId="11" name="List8" vbProcedure="false">#REF!</definedName>
    <definedName function="false" hidden="false" localSheetId="11" name="List9" vbProcedure="false">#REF!</definedName>
    <definedName function="false" hidden="false" localSheetId="11" name="LL" vbProcedure="false">#REF!</definedName>
    <definedName function="false" hidden="false" localSheetId="11" name="LOSS_K" vbProcedure="false">#REF!</definedName>
    <definedName function="false" hidden="false" localSheetId="11" name="LOSS_N" vbProcedure="false">#REF!</definedName>
    <definedName function="false" hidden="false" localSheetId="11" name="LOSS_Z" vbProcedure="false">#REF!</definedName>
    <definedName function="false" hidden="false" localSheetId="11" name="LOW_COST_PROD_R" vbProcedure="false">#REF!</definedName>
    <definedName function="false" hidden="false" localSheetId="11" name="LTA_S" vbProcedure="false">#REF!</definedName>
    <definedName function="false" hidden="false" localSheetId="11" name="MACHINING_AREA" vbProcedure="false">#REF!</definedName>
    <definedName function="false" hidden="false" localSheetId="11" name="MAJ_CON_EQP" vbProcedure="false">#REF!</definedName>
    <definedName function="false" hidden="false" localSheetId="11" name="masaru" vbProcedure="false">#REF!</definedName>
    <definedName function="false" hidden="false" localSheetId="11" name="master" vbProcedure="false">#REF!</definedName>
    <definedName function="false" hidden="false" localSheetId="11" name="masterBom" vbProcedure="false">#REF!</definedName>
    <definedName function="false" hidden="false" localSheetId="11" name="may" vbProcedure="false">#REF!</definedName>
    <definedName function="false" hidden="false" localSheetId="11" name="mayumi" vbProcedure="false">#REF!</definedName>
    <definedName function="false" hidden="false" localSheetId="11" name="mbangtai10" vbProcedure="false">#REF!</definedName>
    <definedName function="false" hidden="false" localSheetId="11" name="mbangtai100" vbProcedure="false">#REF!</definedName>
    <definedName function="false" hidden="false" localSheetId="11" name="mbangtai15" vbProcedure="false">#REF!</definedName>
    <definedName function="false" hidden="false" localSheetId="11" name="mbangtai150" vbProcedure="false">#REF!</definedName>
    <definedName function="false" hidden="false" localSheetId="11" name="mbangtai25" vbProcedure="false">#REF!</definedName>
    <definedName function="false" hidden="false" localSheetId="11" name="mbombtth50" vbProcedure="false">#REF!</definedName>
    <definedName function="false" hidden="false" localSheetId="11" name="mbombtth60" vbProcedure="false">#REF!</definedName>
    <definedName function="false" hidden="false" localSheetId="11" name="mbomdien0.55" vbProcedure="false">#REF!</definedName>
    <definedName function="false" hidden="false" localSheetId="11" name="mbomdien0.75" vbProcedure="false">#REF!</definedName>
    <definedName function="false" hidden="false" localSheetId="11" name="mbomdien1.1" vbProcedure="false">#REF!</definedName>
    <definedName function="false" hidden="false" localSheetId="11" name="mbomdien1.5" vbProcedure="false">#REF!</definedName>
    <definedName function="false" hidden="false" localSheetId="11" name="mbomdien10" vbProcedure="false">#REF!</definedName>
    <definedName function="false" hidden="false" localSheetId="11" name="mbomdien113" vbProcedure="false">#REF!</definedName>
    <definedName function="false" hidden="false" localSheetId="11" name="mbomdien14" vbProcedure="false">#REF!</definedName>
    <definedName function="false" hidden="false" localSheetId="11" name="mbomdien2" vbProcedure="false">#REF!</definedName>
    <definedName function="false" hidden="false" localSheetId="11" name="mbomdien2.8" vbProcedure="false">#REF!</definedName>
    <definedName function="false" hidden="false" localSheetId="11" name="mbomdien20" vbProcedure="false">#REF!</definedName>
    <definedName function="false" hidden="false" localSheetId="11" name="mbomdien22" vbProcedure="false">#REF!</definedName>
    <definedName function="false" hidden="false" localSheetId="11" name="mbomdien28" vbProcedure="false">#REF!</definedName>
    <definedName function="false" hidden="false" localSheetId="11" name="mbomdien30" vbProcedure="false">#REF!</definedName>
    <definedName function="false" hidden="false" localSheetId="11" name="mbomdien4" vbProcedure="false">#REF!</definedName>
    <definedName function="false" hidden="false" localSheetId="11" name="mbomdien4.5" vbProcedure="false">#REF!</definedName>
    <definedName function="false" hidden="false" localSheetId="11" name="mbomdien40" vbProcedure="false">#REF!</definedName>
    <definedName function="false" hidden="false" localSheetId="11" name="mbomdien50" vbProcedure="false">#REF!</definedName>
    <definedName function="false" hidden="false" localSheetId="11" name="mbomdien55" vbProcedure="false">#REF!</definedName>
    <definedName function="false" hidden="false" localSheetId="11" name="mbomdien7" vbProcedure="false">#REF!</definedName>
    <definedName function="false" hidden="false" localSheetId="11" name="mbomdien75" vbProcedure="false">#REF!</definedName>
    <definedName function="false" hidden="false" localSheetId="11" name="mbomth10" vbProcedure="false">#REF!</definedName>
    <definedName function="false" hidden="false" localSheetId="11" name="mbomth100" vbProcedure="false">#REF!</definedName>
    <definedName function="false" hidden="false" localSheetId="11" name="mbomth15" vbProcedure="false">#REF!</definedName>
    <definedName function="false" hidden="false" localSheetId="11" name="mbomth150" vbProcedure="false">#REF!</definedName>
    <definedName function="false" hidden="false" localSheetId="11" name="mbomth20" vbProcedure="false">#REF!</definedName>
    <definedName function="false" hidden="false" localSheetId="11" name="mbomth37" vbProcedure="false">#REF!</definedName>
    <definedName function="false" hidden="false" localSheetId="11" name="mbomth45" vbProcedure="false">#REF!</definedName>
    <definedName function="false" hidden="false" localSheetId="11" name="mbomth5" vbProcedure="false">#REF!</definedName>
    <definedName function="false" hidden="false" localSheetId="11" name="mbomth5.5" vbProcedure="false">#REF!</definedName>
    <definedName function="false" hidden="false" localSheetId="11" name="mbomth7" vbProcedure="false">#REF!</definedName>
    <definedName function="false" hidden="false" localSheetId="11" name="mbomth7.5" vbProcedure="false">#REF!</definedName>
    <definedName function="false" hidden="false" localSheetId="11" name="mbomth75" vbProcedure="false">#REF!</definedName>
    <definedName function="false" hidden="false" localSheetId="11" name="mbomthxang3" vbProcedure="false">#REF!</definedName>
    <definedName function="false" hidden="false" localSheetId="11" name="mbomthxang4" vbProcedure="false">#REF!</definedName>
    <definedName function="false" hidden="false" localSheetId="11" name="mbomthxang6" vbProcedure="false">#REF!</definedName>
    <definedName function="false" hidden="false" localSheetId="11" name="mbomthxang7" vbProcedure="false">#REF!</definedName>
    <definedName function="false" hidden="false" localSheetId="11" name="mbomthxang8" vbProcedure="false">#REF!</definedName>
    <definedName function="false" hidden="false" localSheetId="11" name="mbomvua2" vbProcedure="false">#REF!</definedName>
    <definedName function="false" hidden="false" localSheetId="11" name="mbomvua4" vbProcedure="false">#REF!</definedName>
    <definedName function="false" hidden="false" localSheetId="11" name="mbomvua6" vbProcedure="false">#REF!</definedName>
    <definedName function="false" hidden="false" localSheetId="11" name="mbomvua9" vbProcedure="false">#REF!</definedName>
    <definedName function="false" hidden="false" localSheetId="11" name="mbuacankhi1.5" vbProcedure="false">#REF!</definedName>
    <definedName function="false" hidden="false" localSheetId="11" name="mbuadcocnoi2.5" vbProcedure="false">#REF!</definedName>
    <definedName function="false" hidden="false" localSheetId="11" name="mbuadray1.2" vbProcedure="false">#REF!</definedName>
    <definedName function="false" hidden="false" localSheetId="11" name="mbuadray1.8" vbProcedure="false">#REF!</definedName>
    <definedName function="false" hidden="false" localSheetId="11" name="mbuadray2.2" vbProcedure="false">#REF!</definedName>
    <definedName function="false" hidden="false" localSheetId="11" name="mbuadray2.5" vbProcedure="false">#REF!</definedName>
    <definedName function="false" hidden="false" localSheetId="11" name="mbuadray3.5" vbProcedure="false">#REF!</definedName>
    <definedName function="false" hidden="false" localSheetId="11" name="mbuarung170" vbProcedure="false">#REF!</definedName>
    <definedName function="false" hidden="false" localSheetId="11" name="mbuarung40" vbProcedure="false">#REF!</definedName>
    <definedName function="false" hidden="false" localSheetId="11" name="mbuarung50" vbProcedure="false">#REF!</definedName>
    <definedName function="false" hidden="false" localSheetId="11" name="mbuarungccatth60" vbProcedure="false">#REF!</definedName>
    <definedName function="false" hidden="false" localSheetId="11" name="mbuathbx0.6" vbProcedure="false">#REF!</definedName>
    <definedName function="false" hidden="false" localSheetId="11" name="mbuathbx1.2" vbProcedure="false">#REF!</definedName>
    <definedName function="false" hidden="false" localSheetId="11" name="mbuathbx1.8" vbProcedure="false">#REF!</definedName>
    <definedName function="false" hidden="false" localSheetId="11" name="mbuathbx3.5" vbProcedure="false">#REF!</definedName>
    <definedName function="false" hidden="false" localSheetId="11" name="mbuathbx4.5" vbProcedure="false">#REF!</definedName>
    <definedName function="false" hidden="false" localSheetId="11" name="mc" vbProcedure="false">#REF!</definedName>
    <definedName function="false" hidden="false" localSheetId="11" name="mcambactham1" vbProcedure="false">#REF!</definedName>
    <definedName function="false" hidden="false" localSheetId="11" name="mcano30" vbProcedure="false">#REF!</definedName>
    <definedName function="false" hidden="false" localSheetId="11" name="mcano75" vbProcedure="false">#REF!</definedName>
    <definedName function="false" hidden="false" localSheetId="11" name="mcap1g10" vbProcedure="false">#REF!</definedName>
    <definedName function="false" hidden="false" localSheetId="11" name="mcap1g16" vbProcedure="false">#REF!</definedName>
    <definedName function="false" hidden="false" localSheetId="11" name="mcap1g25" vbProcedure="false">#REF!</definedName>
    <definedName function="false" hidden="false" localSheetId="11" name="mcap1g9" vbProcedure="false">#REF!</definedName>
    <definedName function="false" hidden="false" localSheetId="11" name="mcatdot2.8" vbProcedure="false">#REF!</definedName>
    <definedName function="false" hidden="false" localSheetId="11" name="mcatong5" vbProcedure="false">#REF!</definedName>
    <definedName function="false" hidden="false" localSheetId="11" name="mcatton15" vbProcedure="false">#REF!</definedName>
    <definedName function="false" hidden="false" localSheetId="11" name="mcatuonthep5" vbProcedure="false">#REF!</definedName>
    <definedName function="false" hidden="false" localSheetId="11" name="mcaulongmon10" vbProcedure="false">#REF!</definedName>
    <definedName function="false" hidden="false" localSheetId="11" name="mcaulongmon30" vbProcedure="false">#REF!</definedName>
    <definedName function="false" hidden="false" localSheetId="11" name="mcaulongmon60" vbProcedure="false">#REF!</definedName>
    <definedName function="false" hidden="false" localSheetId="11" name="mcauray20" vbProcedure="false">#REF!</definedName>
    <definedName function="false" hidden="false" localSheetId="11" name="mcauray25" vbProcedure="false">#REF!</definedName>
    <definedName function="false" hidden="false" localSheetId="11" name="mcayxoidk108" vbProcedure="false">#REF!</definedName>
    <definedName function="false" hidden="false" localSheetId="11" name="mcayxoidk60" vbProcedure="false">#REF!</definedName>
    <definedName function="false" hidden="false" localSheetId="11" name="mcayxoidk80" vbProcedure="false">#REF!</definedName>
    <definedName function="false" hidden="false" localSheetId="11" name="mccaubh10" vbProcedure="false">#REF!</definedName>
    <definedName function="false" hidden="false" localSheetId="11" name="mccaubh16" vbProcedure="false">#REF!</definedName>
    <definedName function="false" hidden="false" localSheetId="11" name="mccaubh25" vbProcedure="false">#REF!</definedName>
    <definedName function="false" hidden="false" localSheetId="11" name="mccaubh3" vbProcedure="false">#REF!</definedName>
    <definedName function="false" hidden="false" localSheetId="11" name="mccaubh4" vbProcedure="false">#REF!</definedName>
    <definedName function="false" hidden="false" localSheetId="11" name="mccaubh40" vbProcedure="false">#REF!</definedName>
    <definedName function="false" hidden="false" localSheetId="11" name="mccaubh5" vbProcedure="false">#REF!</definedName>
    <definedName function="false" hidden="false" localSheetId="11" name="mccaubh6" vbProcedure="false">#REF!</definedName>
    <definedName function="false" hidden="false" localSheetId="11" name="mccaubh65" vbProcedure="false">#REF!</definedName>
    <definedName function="false" hidden="false" localSheetId="11" name="mccaubh7" vbProcedure="false">#REF!</definedName>
    <definedName function="false" hidden="false" localSheetId="11" name="mccaubh8" vbProcedure="false">#REF!</definedName>
    <definedName function="false" hidden="false" localSheetId="11" name="mccaubh90" vbProcedure="false">#REF!</definedName>
    <definedName function="false" hidden="false" localSheetId="11" name="mccaubx10" vbProcedure="false">#REF!</definedName>
    <definedName function="false" hidden="false" localSheetId="11" name="mccaubx100" vbProcedure="false">#REF!</definedName>
    <definedName function="false" hidden="false" localSheetId="11" name="mccaubx16" vbProcedure="false">#REF!</definedName>
    <definedName function="false" hidden="false" localSheetId="11" name="mccaubx25" vbProcedure="false">#REF!</definedName>
    <definedName function="false" hidden="false" localSheetId="11" name="mccaubx28" vbProcedure="false">#REF!</definedName>
    <definedName function="false" hidden="false" localSheetId="11" name="mccaubx40" vbProcedure="false">#REF!</definedName>
    <definedName function="false" hidden="false" localSheetId="11" name="mccaubx5" vbProcedure="false">#REF!</definedName>
    <definedName function="false" hidden="false" localSheetId="11" name="mccaubx50" vbProcedure="false">#REF!</definedName>
    <definedName function="false" hidden="false" localSheetId="11" name="mccaubx63" vbProcedure="false">#REF!</definedName>
    <definedName function="false" hidden="false" localSheetId="11" name="mccaubx7" vbProcedure="false">#REF!</definedName>
    <definedName function="false" hidden="false" localSheetId="11" name="mccauladam60" vbProcedure="false">#REF!</definedName>
    <definedName function="false" hidden="false" localSheetId="11" name="mccaunoi100" vbProcedure="false">#REF!</definedName>
    <definedName function="false" hidden="false" localSheetId="11" name="mccaunoi30" vbProcedure="false">#REF!</definedName>
    <definedName function="false" hidden="false" localSheetId="11" name="mccauthap10" vbProcedure="false">#REF!</definedName>
    <definedName function="false" hidden="false" localSheetId="11" name="mccauthap12" vbProcedure="false">#REF!</definedName>
    <definedName function="false" hidden="false" localSheetId="11" name="mccauthap15" vbProcedure="false">#REF!</definedName>
    <definedName function="false" hidden="false" localSheetId="11" name="mccauthap20" vbProcedure="false">#REF!</definedName>
    <definedName function="false" hidden="false" localSheetId="11" name="mccauthap25" vbProcedure="false">#REF!</definedName>
    <definedName function="false" hidden="false" localSheetId="11" name="mccauthap3" vbProcedure="false">#REF!</definedName>
    <definedName function="false" hidden="false" localSheetId="11" name="mccauthap30" vbProcedure="false">#REF!</definedName>
    <definedName function="false" hidden="false" localSheetId="11" name="mccauthap40" vbProcedure="false">#REF!</definedName>
    <definedName function="false" hidden="false" localSheetId="11" name="mccauthap5" vbProcedure="false">#REF!</definedName>
    <definedName function="false" hidden="false" localSheetId="11" name="mccauthap50" vbProcedure="false">#REF!</definedName>
    <definedName function="false" hidden="false" localSheetId="11" name="mccauthap8" vbProcedure="false">#REF!</definedName>
    <definedName function="false" hidden="false" localSheetId="11" name="mccautnhi0.5" vbProcedure="false">#REF!</definedName>
    <definedName function="false" hidden="false" localSheetId="11" name="mcuakl1.7" vbProcedure="false">#REF!</definedName>
    <definedName function="false" hidden="false" localSheetId="11" name="md" vbProcedure="false">#REF!</definedName>
    <definedName function="false" hidden="false" localSheetId="11" name="mdamban0.4" vbProcedure="false">#REF!</definedName>
    <definedName function="false" hidden="false" localSheetId="11" name="mdamban0.6" vbProcedure="false">#REF!</definedName>
    <definedName function="false" hidden="false" localSheetId="11" name="mdamban0.8" vbProcedure="false">#REF!</definedName>
    <definedName function="false" hidden="false" localSheetId="11" name="mdamban1" vbProcedure="false">#REF!</definedName>
    <definedName function="false" hidden="false" localSheetId="11" name="mdambhdkbx12.5" vbProcedure="false">#REF!</definedName>
    <definedName function="false" hidden="false" localSheetId="11" name="mdambhdkbx18" vbProcedure="false">#REF!</definedName>
    <definedName function="false" hidden="false" localSheetId="11" name="mdambhdkbx25" vbProcedure="false">#REF!</definedName>
    <definedName function="false" hidden="false" localSheetId="11" name="mdambhdkbx26.5" vbProcedure="false">#REF!</definedName>
    <definedName function="false" hidden="false" localSheetId="11" name="mdambhdkbx9" vbProcedure="false">#REF!</definedName>
    <definedName function="false" hidden="false" localSheetId="11" name="mdambhth16" vbProcedure="false">#REF!</definedName>
    <definedName function="false" hidden="false" localSheetId="11" name="mdambhth17.5" vbProcedure="false">#REF!</definedName>
    <definedName function="false" hidden="false" localSheetId="11" name="mdambhth25" vbProcedure="false">#REF!</definedName>
    <definedName function="false" hidden="false" localSheetId="11" name="mdambthepth10" vbProcedure="false">#REF!</definedName>
    <definedName function="false" hidden="false" localSheetId="11" name="mdambthepth12.2" vbProcedure="false">#REF!</definedName>
    <definedName function="false" hidden="false" localSheetId="11" name="mdambthepth13" vbProcedure="false">#REF!</definedName>
    <definedName function="false" hidden="false" localSheetId="11" name="mdambthepth14.5" vbProcedure="false">#REF!</definedName>
    <definedName function="false" hidden="false" localSheetId="11" name="mdambthepth15.5" vbProcedure="false">#REF!</definedName>
    <definedName function="false" hidden="false" localSheetId="11" name="mdambthepth8.5" vbProcedure="false">#REF!</definedName>
    <definedName function="false" hidden="false" localSheetId="11" name="mdamcanh1" vbProcedure="false">#REF!</definedName>
    <definedName function="false" hidden="false" localSheetId="11" name="mdamccdk5.5" vbProcedure="false">#REF!</definedName>
    <definedName function="false" hidden="false" localSheetId="11" name="mdamccdk9" vbProcedure="false">#REF!</definedName>
    <definedName function="false" hidden="false" localSheetId="11" name="mdamdatct60" vbProcedure="false">#REF!</definedName>
    <definedName function="false" hidden="false" localSheetId="11" name="mdamdatct80" vbProcedure="false">#REF!</definedName>
    <definedName function="false" hidden="false" localSheetId="11" name="mdamdui0.6" vbProcedure="false">#REF!</definedName>
    <definedName function="false" hidden="false" localSheetId="11" name="mdamdui0.8" vbProcedure="false">#REF!</definedName>
    <definedName function="false" hidden="false" localSheetId="11" name="mdamdui1" vbProcedure="false">#REF!</definedName>
    <definedName function="false" hidden="false" localSheetId="11" name="mdamdui1.5" vbProcedure="false">#REF!</definedName>
    <definedName function="false" hidden="false" localSheetId="11" name="mdamdui2.8" vbProcedure="false">#REF!</definedName>
    <definedName function="false" hidden="false" localSheetId="11" name="mdamrung15" vbProcedure="false">#REF!</definedName>
    <definedName function="false" hidden="false" localSheetId="11" name="mdamrung18" vbProcedure="false">#REF!</definedName>
    <definedName function="false" hidden="false" localSheetId="11" name="mdamrung8" vbProcedure="false">#REF!</definedName>
    <definedName function="false" hidden="false" localSheetId="11" name="mdao1gbh0.15" vbProcedure="false">#REF!</definedName>
    <definedName function="false" hidden="false" localSheetId="11" name="mdao1gbh0.25" vbProcedure="false">#REF!</definedName>
    <definedName function="false" hidden="false" localSheetId="11" name="mdao1gbh0.30" vbProcedure="false">#REF!</definedName>
    <definedName function="false" hidden="false" localSheetId="11" name="mdao1gbh0.35" vbProcedure="false">#REF!</definedName>
    <definedName function="false" hidden="false" localSheetId="11" name="mdao1gbh0.40" vbProcedure="false">#REF!</definedName>
    <definedName function="false" hidden="false" localSheetId="11" name="mdao1gbh0.65" vbProcedure="false">#REF!</definedName>
    <definedName function="false" hidden="false" localSheetId="11" name="mdao1gbh0.75" vbProcedure="false">#REF!</definedName>
    <definedName function="false" hidden="false" localSheetId="11" name="mdao1gbh1.25" vbProcedure="false">#REF!</definedName>
    <definedName function="false" hidden="false" localSheetId="11" name="mdao1gbx0.22" vbProcedure="false">#REF!</definedName>
    <definedName function="false" hidden="false" localSheetId="11" name="mdao1gbx0.25" vbProcedure="false">#REF!</definedName>
    <definedName function="false" hidden="false" localSheetId="11" name="mdao1gbx0.30" vbProcedure="false">#REF!</definedName>
    <definedName function="false" hidden="false" localSheetId="11" name="mdao1gbx0.35" vbProcedure="false">#REF!</definedName>
    <definedName function="false" hidden="false" localSheetId="11" name="mdao1gbx0.40" vbProcedure="false">#REF!</definedName>
    <definedName function="false" hidden="false" localSheetId="11" name="mdao1gbx0.50" vbProcedure="false">#REF!</definedName>
    <definedName function="false" hidden="false" localSheetId="11" name="mdao1gbx0.65" vbProcedure="false">#REF!</definedName>
    <definedName function="false" hidden="false" localSheetId="11" name="mdao1gbx1.00" vbProcedure="false">#REF!</definedName>
    <definedName function="false" hidden="false" localSheetId="11" name="mdao1gbx1.20" vbProcedure="false">#REF!</definedName>
    <definedName function="false" hidden="false" localSheetId="11" name="mdao1gbx1.25" vbProcedure="false">#REF!</definedName>
    <definedName function="false" hidden="false" localSheetId="11" name="mdao1gbx1.60" vbProcedure="false">#REF!</definedName>
    <definedName function="false" hidden="false" localSheetId="11" name="mdao1gbx2.00" vbProcedure="false">#REF!</definedName>
    <definedName function="false" hidden="false" localSheetId="11" name="mdao1gbx2.50" vbProcedure="false">#REF!</definedName>
    <definedName function="false" hidden="false" localSheetId="11" name="mdao1gbx4.00" vbProcedure="false">#REF!</definedName>
    <definedName function="false" hidden="false" localSheetId="11" name="mdao1gbx4.60" vbProcedure="false">#REF!</definedName>
    <definedName function="false" hidden="false" localSheetId="11" name="mdao1gbx5.00" vbProcedure="false">#REF!</definedName>
    <definedName function="false" hidden="false" localSheetId="11" name="me" vbProcedure="false">#REF!</definedName>
    <definedName function="false" hidden="false" localSheetId="11" name="mepcocsau1" vbProcedure="false">#REF!</definedName>
    <definedName function="false" hidden="false" localSheetId="11" name="mepcoctr100" vbProcedure="false">#REF!</definedName>
    <definedName function="false" hidden="false" localSheetId="11" name="mepcoctr60" vbProcedure="false">#REF!</definedName>
    <definedName function="false" hidden="false" localSheetId="11" name="mf" vbProcedure="false">#REF!</definedName>
    <definedName function="false" hidden="false" localSheetId="11" name="MFG" vbProcedure="false">#REF!</definedName>
    <definedName function="false" hidden="false" localSheetId="11" name="mfgexp" vbProcedure="false">#REF!</definedName>
    <definedName function="false" hidden="false" localSheetId="11" name="MG_A" vbProcedure="false">#REF!</definedName>
    <definedName function="false" hidden="false" localSheetId="11" name="mhan1chieu40" vbProcedure="false">#REF!</definedName>
    <definedName function="false" hidden="false" localSheetId="11" name="mhan1chieu50" vbProcedure="false">#REF!</definedName>
    <definedName function="false" hidden="false" localSheetId="11" name="mhancatnuoc124" vbProcedure="false">#REF!</definedName>
    <definedName function="false" hidden="false" localSheetId="11" name="mhand10.2" vbProcedure="false">#REF!</definedName>
    <definedName function="false" hidden="false" localSheetId="11" name="mhand27.5" vbProcedure="false">#REF!</definedName>
    <definedName function="false" hidden="false" localSheetId="11" name="mhand4" vbProcedure="false">#REF!</definedName>
    <definedName function="false" hidden="false" localSheetId="11" name="mhanhoi1000" vbProcedure="false">#REF!</definedName>
    <definedName function="false" hidden="false" localSheetId="11" name="mhanhoi2000" vbProcedure="false">#REF!</definedName>
    <definedName function="false" hidden="false" localSheetId="11" name="mhanxang20" vbProcedure="false">#REF!</definedName>
    <definedName function="false" hidden="false" localSheetId="11" name="mhanxang9" vbProcedure="false">#REF!</definedName>
    <definedName function="false" hidden="false" localSheetId="11" name="mhanxchieu23" vbProcedure="false">#REF!</definedName>
    <definedName function="false" hidden="false" localSheetId="11" name="mhanxchieu29.2" vbProcedure="false">#REF!</definedName>
    <definedName function="false" hidden="false" localSheetId="11" name="mhanxchieu33.5" vbProcedure="false">#REF!</definedName>
    <definedName function="false" hidden="false" localSheetId="11" name="mkcnGPS15" vbProcedure="false">#REF!</definedName>
    <definedName function="false" hidden="false" localSheetId="11" name="mkcnTRC15" vbProcedure="false">#REF!</definedName>
    <definedName function="false" hidden="false" localSheetId="11" name="mkcnVRM" vbProcedure="false">#REF!</definedName>
    <definedName function="false" hidden="false" localSheetId="11" name="mkeobh165" vbProcedure="false">#REF!</definedName>
    <definedName function="false" hidden="false" localSheetId="11" name="mkeobh215" vbProcedure="false">#REF!</definedName>
    <definedName function="false" hidden="false" localSheetId="11" name="mkeobh28" vbProcedure="false">#REF!</definedName>
    <definedName function="false" hidden="false" localSheetId="11" name="mkeobh40" vbProcedure="false">#REF!</definedName>
    <definedName function="false" hidden="false" localSheetId="11" name="mkeobh50" vbProcedure="false">#REF!</definedName>
    <definedName function="false" hidden="false" localSheetId="11" name="mkeobh55" vbProcedure="false">#REF!</definedName>
    <definedName function="false" hidden="false" localSheetId="11" name="mkeobh60" vbProcedure="false">#REF!</definedName>
    <definedName function="false" hidden="false" localSheetId="11" name="mkeobh80" vbProcedure="false">#REF!</definedName>
    <definedName function="false" hidden="false" localSheetId="11" name="mkeobx108" vbProcedure="false">#REF!</definedName>
    <definedName function="false" hidden="false" localSheetId="11" name="mkeobx130" vbProcedure="false">#REF!</definedName>
    <definedName function="false" hidden="false" localSheetId="11" name="mkeobx45" vbProcedure="false">#REF!</definedName>
    <definedName function="false" hidden="false" localSheetId="11" name="mkeobx54" vbProcedure="false">#REF!</definedName>
    <definedName function="false" hidden="false" localSheetId="11" name="mkeobx60" vbProcedure="false">#REF!</definedName>
    <definedName function="false" hidden="false" localSheetId="11" name="mkeobx75" vbProcedure="false">#REF!</definedName>
    <definedName function="false" hidden="false" localSheetId="11" name="mkhoanbttay24" vbProcedure="false">#REF!</definedName>
    <definedName function="false" hidden="false" localSheetId="11" name="mkhoanbttay30" vbProcedure="false">#REF!</definedName>
    <definedName function="false" hidden="false" localSheetId="11" name="mkhoanbttay38" vbProcedure="false">#REF!</definedName>
    <definedName function="false" hidden="false" localSheetId="11" name="mkhoanbttay40" vbProcedure="false">#REF!</definedName>
    <definedName function="false" hidden="false" localSheetId="11" name="mkhoandatay30" vbProcedure="false">#REF!</definedName>
    <definedName function="false" hidden="false" localSheetId="11" name="mkhoandatay42" vbProcedure="false">#REF!</definedName>
    <definedName function="false" hidden="false" localSheetId="11" name="mkhoandung4.5" vbProcedure="false">#REF!</definedName>
    <definedName function="false" hidden="false" localSheetId="11" name="mkhoansattay13" vbProcedure="false">#REF!</definedName>
    <definedName function="false" hidden="false" localSheetId="11" name="mkhoanxoayth110" vbProcedure="false">#REF!</definedName>
    <definedName function="false" hidden="false" localSheetId="11" name="mkhoanxoayth95" vbProcedure="false">#REF!</definedName>
    <definedName function="false" hidden="false" localSheetId="11" name="mkichck18" vbProcedure="false">#REF!</definedName>
    <definedName function="false" hidden="false" localSheetId="11" name="mkichck250" vbProcedure="false">#REF!</definedName>
    <definedName function="false" hidden="false" localSheetId="11" name="mkichday60" vbProcedure="false">#REF!</definedName>
    <definedName function="false" hidden="false" localSheetId="11" name="mkichnang100" vbProcedure="false">#REF!</definedName>
    <definedName function="false" hidden="false" localSheetId="11" name="mkichnang250" vbProcedure="false">#REF!</definedName>
    <definedName function="false" hidden="false" localSheetId="11" name="mkichnang500" vbProcedure="false">#REF!</definedName>
    <definedName function="false" hidden="false" localSheetId="11" name="mluoncap15" vbProcedure="false">#REF!</definedName>
    <definedName function="false" hidden="false" localSheetId="11" name="mmai2.7" vbProcedure="false">#REF!</definedName>
    <definedName function="false" hidden="false" localSheetId="11" name="mminus1" vbProcedure="false">#REF!</definedName>
    <definedName function="false" hidden="false" localSheetId="11" name="mnenkhid102" vbProcedure="false">#REF!</definedName>
    <definedName function="false" hidden="false" localSheetId="11" name="mnenkhid120" vbProcedure="false">#REF!</definedName>
    <definedName function="false" hidden="false" localSheetId="11" name="mnenkhid1200" vbProcedure="false">#REF!</definedName>
    <definedName function="false" hidden="false" localSheetId="11" name="mnenkhid200" vbProcedure="false">#REF!</definedName>
    <definedName function="false" hidden="false" localSheetId="11" name="mnenkhid240" vbProcedure="false">#REF!</definedName>
    <definedName function="false" hidden="false" localSheetId="11" name="mnenkhid300" vbProcedure="false">#REF!</definedName>
    <definedName function="false" hidden="false" localSheetId="11" name="mnenkhid360" vbProcedure="false">#REF!</definedName>
    <definedName function="false" hidden="false" localSheetId="11" name="mnenkhid5.5" vbProcedure="false">#REF!</definedName>
    <definedName function="false" hidden="false" localSheetId="11" name="mnenkhid540" vbProcedure="false">#REF!</definedName>
    <definedName function="false" hidden="false" localSheetId="11" name="mnenkhid600" vbProcedure="false">#REF!</definedName>
    <definedName function="false" hidden="false" localSheetId="11" name="mnenkhid660" vbProcedure="false">#REF!</definedName>
    <definedName function="false" hidden="false" localSheetId="11" name="mnenkhid75" vbProcedure="false">#REF!</definedName>
    <definedName function="false" hidden="false" localSheetId="11" name="mnenkhidien10" vbProcedure="false">#REF!</definedName>
    <definedName function="false" hidden="false" localSheetId="11" name="mnenkhidien150" vbProcedure="false">#REF!</definedName>
    <definedName function="false" hidden="false" localSheetId="11" name="mnenkhidien216" vbProcedure="false">#REF!</definedName>
    <definedName function="false" hidden="false" localSheetId="11" name="mnenkhidien22" vbProcedure="false">#REF!</definedName>
    <definedName function="false" hidden="false" localSheetId="11" name="mnenkhidien270" vbProcedure="false">#REF!</definedName>
    <definedName function="false" hidden="false" localSheetId="11" name="mnenkhidien30" vbProcedure="false">#REF!</definedName>
    <definedName function="false" hidden="false" localSheetId="11" name="mnenkhidien300" vbProcedure="false">#REF!</definedName>
    <definedName function="false" hidden="false" localSheetId="11" name="mnenkhidien5" vbProcedure="false">#REF!</definedName>
    <definedName function="false" hidden="false" localSheetId="11" name="mnenkhidien56" vbProcedure="false">#REF!</definedName>
    <definedName function="false" hidden="false" localSheetId="11" name="mnenkhidien600" vbProcedure="false">#REF!</definedName>
    <definedName function="false" hidden="false" localSheetId="11" name="mnenkhixang11" vbProcedure="false">#REF!</definedName>
    <definedName function="false" hidden="false" localSheetId="11" name="mnenkhixang120" vbProcedure="false">#REF!</definedName>
    <definedName function="false" hidden="false" localSheetId="11" name="mnenkhixang200" vbProcedure="false">#REF!</definedName>
    <definedName function="false" hidden="false" localSheetId="11" name="mnenkhixang25" vbProcedure="false">#REF!</definedName>
    <definedName function="false" hidden="false" localSheetId="11" name="mnenkhixang3" vbProcedure="false">#REF!</definedName>
    <definedName function="false" hidden="false" localSheetId="11" name="mnenkhixang300" vbProcedure="false">#REF!</definedName>
    <definedName function="false" hidden="false" localSheetId="11" name="mnenkhixang40" vbProcedure="false">#REF!</definedName>
    <definedName function="false" hidden="false" localSheetId="11" name="mnenkhixang600" vbProcedure="false">#REF!</definedName>
    <definedName function="false" hidden="false" localSheetId="11" name="mnghiendad25" vbProcedure="false">#REF!</definedName>
    <definedName function="false" hidden="false" localSheetId="11" name="mnghiendadd20" vbProcedure="false">#REF!</definedName>
    <definedName function="false" hidden="false" localSheetId="11" name="mnghiendadd6" vbProcedure="false">#REF!</definedName>
    <definedName function="false" hidden="false" localSheetId="11" name="mnghiendatho14" vbProcedure="false">#REF!</definedName>
    <definedName function="false" hidden="false" localSheetId="11" name="mnghiendatho200" vbProcedure="false">#REF!</definedName>
    <definedName function="false" hidden="false" localSheetId="11" name="mnhogcaydk100" vbProcedure="false">#REF!</definedName>
    <definedName function="false" hidden="false" localSheetId="11" name="mnhogcaydk54" vbProcedure="false">#REF!</definedName>
    <definedName function="false" hidden="false" localSheetId="11" name="mnhogcaydk75" vbProcedure="false">#REF!</definedName>
    <definedName function="false" hidden="false" localSheetId="11" name="morita" vbProcedure="false">#REF!</definedName>
    <definedName function="false" hidden="false" localSheetId="11" name="moritavn" vbProcedure="false">#REF!</definedName>
    <definedName function="false" hidden="false" localSheetId="11" name="motodk150" vbProcedure="false">#REF!</definedName>
    <definedName function="false" hidden="false" localSheetId="11" name="motodk180" vbProcedure="false">#REF!</definedName>
    <definedName function="false" hidden="false" localSheetId="11" name="motodk200" vbProcedure="false">#REF!</definedName>
    <definedName function="false" hidden="false" localSheetId="11" name="motodk240" vbProcedure="false">#REF!</definedName>
    <definedName function="false" hidden="false" localSheetId="11" name="motodk255" vbProcedure="false">#REF!</definedName>
    <definedName function="false" hidden="false" localSheetId="11" name="motodk272" vbProcedure="false">#REF!</definedName>
    <definedName function="false" hidden="false" localSheetId="11" name="motothung10" vbProcedure="false">#REF!</definedName>
    <definedName function="false" hidden="false" localSheetId="11" name="motothung12" vbProcedure="false">#REF!</definedName>
    <definedName function="false" hidden="false" localSheetId="11" name="motothung12.5" vbProcedure="false">#REF!</definedName>
    <definedName function="false" hidden="false" localSheetId="11" name="motothung2" vbProcedure="false">#REF!</definedName>
    <definedName function="false" hidden="false" localSheetId="11" name="motothung2.5" vbProcedure="false">#REF!</definedName>
    <definedName function="false" hidden="false" localSheetId="11" name="motothung20" vbProcedure="false">#REF!</definedName>
    <definedName function="false" hidden="false" localSheetId="11" name="motothung4" vbProcedure="false">#REF!</definedName>
    <definedName function="false" hidden="false" localSheetId="11" name="motothung5" vbProcedure="false">#REF!</definedName>
    <definedName function="false" hidden="false" localSheetId="11" name="motothung6" vbProcedure="false">#REF!</definedName>
    <definedName function="false" hidden="false" localSheetId="11" name="motothung7" vbProcedure="false">#REF!</definedName>
    <definedName function="false" hidden="false" localSheetId="11" name="mototnuoc4" vbProcedure="false">#REF!</definedName>
    <definedName function="false" hidden="false" localSheetId="11" name="mototnuoc5" vbProcedure="false">#REF!</definedName>
    <definedName function="false" hidden="false" localSheetId="11" name="mototnuoc6" vbProcedure="false">#REF!</definedName>
    <definedName function="false" hidden="false" localSheetId="11" name="mototnuoc7" vbProcedure="false">#REF!</definedName>
    <definedName function="false" hidden="false" localSheetId="11" name="mototudo10" vbProcedure="false">#REF!</definedName>
    <definedName function="false" hidden="false" localSheetId="11" name="mototudo12" vbProcedure="false">#REF!</definedName>
    <definedName function="false" hidden="false" localSheetId="11" name="mototudo15" vbProcedure="false">#REF!</definedName>
    <definedName function="false" hidden="false" localSheetId="11" name="mototudo2.5" vbProcedure="false">#REF!</definedName>
    <definedName function="false" hidden="false" localSheetId="11" name="mototudo20" vbProcedure="false">#REF!</definedName>
    <definedName function="false" hidden="false" localSheetId="11" name="mototudo25" vbProcedure="false">#REF!</definedName>
    <definedName function="false" hidden="false" localSheetId="11" name="mototudo27" vbProcedure="false">#REF!</definedName>
    <definedName function="false" hidden="false" localSheetId="11" name="mototudo3.5" vbProcedure="false">#REF!</definedName>
    <definedName function="false" hidden="false" localSheetId="11" name="mototudo4" vbProcedure="false">#REF!</definedName>
    <definedName function="false" hidden="false" localSheetId="11" name="mototudo5" vbProcedure="false">#REF!</definedName>
    <definedName function="false" hidden="false" localSheetId="11" name="mototudo6" vbProcedure="false">#REF!</definedName>
    <definedName function="false" hidden="false" localSheetId="11" name="mototudo7" vbProcedure="false">#REF!</definedName>
    <definedName function="false" hidden="false" localSheetId="11" name="mototudo9" vbProcedure="false">#REF!</definedName>
    <definedName function="false" hidden="false" localSheetId="11" name="motovcbt6" vbProcedure="false">#REF!</definedName>
    <definedName function="false" hidden="false" localSheetId="11" name="mpha250" vbProcedure="false">#REF!</definedName>
    <definedName function="false" hidden="false" localSheetId="11" name="mphaothep10" vbProcedure="false">#REF!</definedName>
    <definedName function="false" hidden="false" localSheetId="11" name="mphaothep15" vbProcedure="false">#REF!</definedName>
    <definedName function="false" hidden="false" localSheetId="11" name="mphatdienld10" vbProcedure="false">#REF!</definedName>
    <definedName function="false" hidden="false" localSheetId="11" name="mphatdienld112" vbProcedure="false">#REF!</definedName>
    <definedName function="false" hidden="false" localSheetId="11" name="mphatdienld122" vbProcedure="false">#REF!</definedName>
    <definedName function="false" hidden="false" localSheetId="11" name="mphatdienld15" vbProcedure="false">#REF!</definedName>
    <definedName function="false" hidden="false" localSheetId="11" name="mphatdienld20" vbProcedure="false">#REF!</definedName>
    <definedName function="false" hidden="false" localSheetId="11" name="mphatdienld25" vbProcedure="false">#REF!</definedName>
    <definedName function="false" hidden="false" localSheetId="11" name="mphatdienld30" vbProcedure="false">#REF!</definedName>
    <definedName function="false" hidden="false" localSheetId="11" name="mphatdienld38" vbProcedure="false">#REF!</definedName>
    <definedName function="false" hidden="false" localSheetId="11" name="mphatdienld45" vbProcedure="false">#REF!</definedName>
    <definedName function="false" hidden="false" localSheetId="11" name="mphatdienld5.2" vbProcedure="false">#REF!</definedName>
    <definedName function="false" hidden="false" localSheetId="11" name="mphatdienld50" vbProcedure="false">#REF!</definedName>
    <definedName function="false" hidden="false" localSheetId="11" name="mphatdienld60" vbProcedure="false">#REF!</definedName>
    <definedName function="false" hidden="false" localSheetId="11" name="mphatdienld75" vbProcedure="false">#REF!</definedName>
    <definedName function="false" hidden="false" localSheetId="11" name="mphatdienld8" vbProcedure="false">#REF!</definedName>
    <definedName function="false" hidden="false" localSheetId="11" name="mphunson400" vbProcedure="false">#REF!</definedName>
    <definedName function="false" hidden="false" localSheetId="11" name="mphunvua2" vbProcedure="false">#REF!</definedName>
    <definedName function="false" hidden="false" localSheetId="11" name="mphunvua4" vbProcedure="false">#REF!</definedName>
    <definedName function="false" hidden="false" localSheetId="11" name="mplus1" vbProcedure="false">#REF!</definedName>
    <definedName function="false" hidden="false" localSheetId="11" name="mplus2" vbProcedure="false">#REF!</definedName>
    <definedName function="false" hidden="false" localSheetId="11" name="mplus3" vbProcedure="false">#REF!</definedName>
    <definedName function="false" hidden="false" localSheetId="11" name="mraibtsp500" vbProcedure="false">#REF!</definedName>
    <definedName function="false" hidden="false" localSheetId="11" name="mraintn100" vbProcedure="false">#REF!</definedName>
    <definedName function="false" hidden="false" localSheetId="11" name="mraintn65" vbProcedure="false">#REF!</definedName>
    <definedName function="false" hidden="false" localSheetId="11" name="mromooc14" vbProcedure="false">#REF!</definedName>
    <definedName function="false" hidden="false" localSheetId="11" name="mromooc15" vbProcedure="false">#REF!</definedName>
    <definedName function="false" hidden="false" localSheetId="11" name="mromooc2" vbProcedure="false">#REF!</definedName>
    <definedName function="false" hidden="false" localSheetId="11" name="mromooc21" vbProcedure="false">#REF!</definedName>
    <definedName function="false" hidden="false" localSheetId="11" name="mromooc4" vbProcedure="false">#REF!</definedName>
    <definedName function="false" hidden="false" localSheetId="11" name="mromooc7.5" vbProcedure="false">#REF!</definedName>
    <definedName function="false" hidden="false" localSheetId="11" name="msangbentontie1" vbProcedure="false">#REF!</definedName>
    <definedName function="false" hidden="false" localSheetId="11" name="msangruada11" vbProcedure="false">#REF!</definedName>
    <definedName function="false" hidden="false" localSheetId="11" name="msangruada35" vbProcedure="false">#REF!</definedName>
    <definedName function="false" hidden="false" localSheetId="11" name="msangruada45" vbProcedure="false">#REF!</definedName>
    <definedName function="false" hidden="false" localSheetId="11" name="msanth108" vbProcedure="false">#REF!</definedName>
    <definedName function="false" hidden="false" localSheetId="11" name="msanth180" vbProcedure="false">#REF!</definedName>
    <definedName function="false" hidden="false" localSheetId="11" name="msanth250" vbProcedure="false">#REF!</definedName>
    <definedName function="false" hidden="false" localSheetId="11" name="msanth54" vbProcedure="false">#REF!</definedName>
    <definedName function="false" hidden="false" localSheetId="11" name="msanth90" vbProcedure="false">#REF!</definedName>
    <definedName function="false" hidden="false" localSheetId="11" name="mtaukeo150" vbProcedure="false">#REF!</definedName>
    <definedName function="false" hidden="false" localSheetId="11" name="mtaukeo360" vbProcedure="false">#REF!</definedName>
    <definedName function="false" hidden="false" localSheetId="11" name="mtaukeo600" vbProcedure="false">#REF!</definedName>
    <definedName function="false" hidden="false" localSheetId="11" name="mtbipvlan150" vbProcedure="false">#REF!</definedName>
    <definedName function="false" hidden="false" localSheetId="11" name="mthungcapdkbx2.5" vbProcedure="false">#REF!</definedName>
    <definedName function="false" hidden="false" localSheetId="11" name="mthungcapdkbx2.75" vbProcedure="false">#REF!</definedName>
    <definedName function="false" hidden="false" localSheetId="11" name="mthungcapdkbx3" vbProcedure="false">#REF!</definedName>
    <definedName function="false" hidden="false" localSheetId="11" name="mthungcapdkbx4.5" vbProcedure="false">#REF!</definedName>
    <definedName function="false" hidden="false" localSheetId="11" name="mthungcapdkbx5" vbProcedure="false">#REF!</definedName>
    <definedName function="false" hidden="false" localSheetId="11" name="mthungcapdkbx8" vbProcedure="false">#REF!</definedName>
    <definedName function="false" hidden="false" localSheetId="11" name="mthungcapdkbx9" vbProcedure="false">#REF!</definedName>
    <definedName function="false" hidden="false" localSheetId="11" name="mtien4.5" vbProcedure="false">#REF!</definedName>
    <definedName function="false" hidden="false" localSheetId="11" name="mtoidien0.5" vbProcedure="false">#REF!</definedName>
    <definedName function="false" hidden="false" localSheetId="11" name="mtoidien1" vbProcedure="false">#REF!</definedName>
    <definedName function="false" hidden="false" localSheetId="11" name="mtoidien1.5" vbProcedure="false">#REF!</definedName>
    <definedName function="false" hidden="false" localSheetId="11" name="mtoidien2" vbProcedure="false">#REF!</definedName>
    <definedName function="false" hidden="false" localSheetId="11" name="mtoidien2.5" vbProcedure="false">#REF!</definedName>
    <definedName function="false" hidden="false" localSheetId="11" name="mtoidien3" vbProcedure="false">#REF!</definedName>
    <definedName function="false" hidden="false" localSheetId="11" name="mtoidien4" vbProcedure="false">#REF!</definedName>
    <definedName function="false" hidden="false" localSheetId="11" name="mtoidien5" vbProcedure="false">#REF!</definedName>
    <definedName function="false" hidden="false" localSheetId="11" name="mtrambomdau40" vbProcedure="false">#REF!</definedName>
    <definedName function="false" hidden="false" localSheetId="11" name="mtrambomdau50" vbProcedure="false">#REF!</definedName>
    <definedName function="false" hidden="false" localSheetId="11" name="mtramtronbt20" vbProcedure="false">#REF!</definedName>
    <definedName function="false" hidden="false" localSheetId="11" name="mtramtronbt22" vbProcedure="false">#REF!</definedName>
    <definedName function="false" hidden="false" localSheetId="11" name="mtramtronbt30" vbProcedure="false">#REF!</definedName>
    <definedName function="false" hidden="false" localSheetId="11" name="mtramtronbt60" vbProcedure="false">#REF!</definedName>
    <definedName function="false" hidden="false" localSheetId="11" name="mtramtronbtn25" vbProcedure="false">#REF!</definedName>
    <definedName function="false" hidden="false" localSheetId="11" name="mtramtronbtn30" vbProcedure="false">#REF!</definedName>
    <definedName function="false" hidden="false" localSheetId="11" name="mtramtronbtn40" vbProcedure="false">#REF!</definedName>
    <definedName function="false" hidden="false" localSheetId="11" name="mtramtronbtn50" vbProcedure="false">#REF!</definedName>
    <definedName function="false" hidden="false" localSheetId="11" name="mtramtronbtn60" vbProcedure="false">#REF!</definedName>
    <definedName function="false" hidden="false" localSheetId="11" name="mtramtronbtn80" vbProcedure="false">#REF!</definedName>
    <definedName function="false" hidden="false" localSheetId="11" name="mtronbentonite1" vbProcedure="false">#REF!</definedName>
    <definedName function="false" hidden="false" localSheetId="11" name="mtronbt100" vbProcedure="false">#REF!</definedName>
    <definedName function="false" hidden="false" localSheetId="11" name="mtronbt1150" vbProcedure="false">#REF!</definedName>
    <definedName function="false" hidden="false" localSheetId="11" name="mtronbt150" vbProcedure="false">#REF!</definedName>
    <definedName function="false" hidden="false" localSheetId="11" name="mtronbt1600" vbProcedure="false">#REF!</definedName>
    <definedName function="false" hidden="false" localSheetId="11" name="mtronbt200" vbProcedure="false">#REF!</definedName>
    <definedName function="false" hidden="false" localSheetId="11" name="mtronbt250" vbProcedure="false">#REF!</definedName>
    <definedName function="false" hidden="false" localSheetId="11" name="mtronbt425" vbProcedure="false">#REF!</definedName>
    <definedName function="false" hidden="false" localSheetId="11" name="mtronbt500" vbProcedure="false">#REF!</definedName>
    <definedName function="false" hidden="false" localSheetId="11" name="mtronbt800" vbProcedure="false">#REF!</definedName>
    <definedName function="false" hidden="false" localSheetId="11" name="mtronvua110" vbProcedure="false">#REF!</definedName>
    <definedName function="false" hidden="false" localSheetId="11" name="mtronvua150" vbProcedure="false">#REF!</definedName>
    <definedName function="false" hidden="false" localSheetId="11" name="mtronvua200" vbProcedure="false">#REF!</definedName>
    <definedName function="false" hidden="false" localSheetId="11" name="mtronvua250" vbProcedure="false">#REF!</definedName>
    <definedName function="false" hidden="false" localSheetId="11" name="mtronvua325" vbProcedure="false">#REF!</definedName>
    <definedName function="false" hidden="false" localSheetId="11" name="mtronvua80" vbProcedure="false">#REF!</definedName>
    <definedName function="false" hidden="false" localSheetId="11" name="muonong2.8" vbProcedure="false">#REF!</definedName>
    <definedName function="false" hidden="false" localSheetId="11" name="mvanthang0.3" vbProcedure="false">#REF!</definedName>
    <definedName function="false" hidden="false" localSheetId="11" name="mvanthang0.5" vbProcedure="false">#REF!</definedName>
    <definedName function="false" hidden="false" localSheetId="11" name="mvanthang2" vbProcedure="false">#REF!</definedName>
    <definedName function="false" hidden="false" localSheetId="11" name="mxebombt90" vbProcedure="false">#REF!</definedName>
    <definedName function="false" hidden="false" localSheetId="11" name="mxenanghang1.5" vbProcedure="false">#REF!</definedName>
    <definedName function="false" hidden="false" localSheetId="11" name="mxenanghang12" vbProcedure="false">#REF!</definedName>
    <definedName function="false" hidden="false" localSheetId="11" name="mxenanghang3" vbProcedure="false">#REF!</definedName>
    <definedName function="false" hidden="false" localSheetId="11" name="mxenanghang3.2" vbProcedure="false">#REF!</definedName>
    <definedName function="false" hidden="false" localSheetId="11" name="mxenanghang3.5" vbProcedure="false">#REF!</definedName>
    <definedName function="false" hidden="false" localSheetId="11" name="mxenanghang5" vbProcedure="false">#REF!</definedName>
    <definedName function="false" hidden="false" localSheetId="11" name="mxetuoinhua190" vbProcedure="false">#REF!</definedName>
    <definedName function="false" hidden="false" localSheetId="11" name="mxuclat0.40" vbProcedure="false">#REF!</definedName>
    <definedName function="false" hidden="false" localSheetId="11" name="mxuclat1.00" vbProcedure="false">#REF!</definedName>
    <definedName function="false" hidden="false" localSheetId="11" name="mxuclat1.65" vbProcedure="false">#REF!</definedName>
    <definedName function="false" hidden="false" localSheetId="11" name="mxuclat2.00" vbProcedure="false">#REF!</definedName>
    <definedName function="false" hidden="false" localSheetId="11" name="mxuclat2.80" vbProcedure="false">#REF!</definedName>
    <definedName function="false" hidden="false" localSheetId="11" name="myle" vbProcedure="false">#REF!</definedName>
    <definedName function="false" hidden="false" localSheetId="11" name="n" vbProcedure="false">#REF!</definedName>
    <definedName function="false" hidden="false" localSheetId="11" name="NASIK_D" vbProcedure="false">#REF!</definedName>
    <definedName function="false" hidden="false" localSheetId="11" name="NASIK_P" vbProcedure="false">#REF!</definedName>
    <definedName function="false" hidden="false" localSheetId="11" name="NASIK_S" vbProcedure="false">#REF!</definedName>
    <definedName function="false" hidden="false" localSheetId="11" name="ncong" vbProcedure="false">#REF!</definedName>
    <definedName function="false" hidden="false" localSheetId="11" name="ncr" vbProcedure="false">#REF!</definedName>
    <definedName function="false" hidden="false" localSheetId="11" name="NET" vbProcedure="false">#REF!</definedName>
    <definedName function="false" hidden="false" localSheetId="11" name="NET_1" vbProcedure="false">#REF!</definedName>
    <definedName function="false" hidden="false" localSheetId="11" name="NET_ANA" vbProcedure="false">#REF!</definedName>
    <definedName function="false" hidden="false" localSheetId="11" name="NET_ANA_1" vbProcedure="false">#REF!</definedName>
    <definedName function="false" hidden="false" localSheetId="11" name="NET_ANA_2" vbProcedure="false">#REF!</definedName>
    <definedName function="false" hidden="false" localSheetId="11" name="New" vbProcedure="false">#REF!</definedName>
    <definedName function="false" hidden="false" localSheetId="11" name="NH" vbProcedure="false">#REF!</definedName>
    <definedName function="false" hidden="false" localSheetId="11" name="NHot" vbProcedure="false">#REF!</definedName>
    <definedName function="false" hidden="false" localSheetId="11" name="NM1AD" vbProcedure="false">#REF!</definedName>
    <definedName function="false" hidden="false" localSheetId="11" name="NM1ARL" vbProcedure="false">#REF!</definedName>
    <definedName function="false" hidden="false" localSheetId="11" name="NM1BLD" vbProcedure="false">#REF!</definedName>
    <definedName function="false" hidden="false" localSheetId="11" name="NM1BRL" vbProcedure="false">#REF!</definedName>
    <definedName function="false" hidden="false" localSheetId="11" name="NM1CLCF" vbProcedure="false">#REF!</definedName>
    <definedName function="false" hidden="false" localSheetId="11" name="NM1CLCP" vbProcedure="false">#REF!</definedName>
    <definedName function="false" hidden="false" localSheetId="11" name="NM1CLF" vbProcedure="false">#REF!</definedName>
    <definedName function="false" hidden="false" localSheetId="11" name="NM1CLP" vbProcedure="false">#REF!</definedName>
    <definedName function="false" hidden="false" localSheetId="11" name="NM1DF" vbProcedure="false">#REF!</definedName>
    <definedName function="false" hidden="false" localSheetId="11" name="NM1DP" vbProcedure="false">#REF!</definedName>
    <definedName function="false" hidden="false" localSheetId="11" name="NM1MR" vbProcedure="false">#REF!</definedName>
    <definedName function="false" hidden="false" localSheetId="11" name="NM1OP" vbProcedure="false">#REF!</definedName>
    <definedName function="false" hidden="false" localSheetId="11" name="NM1RL" vbProcedure="false">#REF!</definedName>
    <definedName function="false" hidden="false" localSheetId="11" name="NM1SAF" vbProcedure="false">#REF!</definedName>
    <definedName function="false" hidden="false" localSheetId="11" name="NM1SAP" vbProcedure="false">#REF!</definedName>
    <definedName function="false" hidden="false" localSheetId="11" name="NM2CLF" vbProcedure="false">#REF!</definedName>
    <definedName function="false" hidden="false" localSheetId="11" name="NM2CLP" vbProcedure="false">#REF!</definedName>
    <definedName function="false" hidden="false" localSheetId="11" name="NM2DF" vbProcedure="false">#REF!</definedName>
    <definedName function="false" hidden="false" localSheetId="11" name="NM2DP" vbProcedure="false">#REF!</definedName>
    <definedName function="false" hidden="false" localSheetId="11" name="NM2MR" vbProcedure="false">#REF!</definedName>
    <definedName function="false" hidden="false" localSheetId="11" name="NM2RL" vbProcedure="false">#REF!</definedName>
    <definedName function="false" hidden="false" localSheetId="11" name="NM2SAF" vbProcedure="false">#REF!</definedName>
    <definedName function="false" hidden="false" localSheetId="11" name="NM2SAP" vbProcedure="false">#REF!</definedName>
    <definedName function="false" hidden="false" localSheetId="11" name="NM3CLF" vbProcedure="false">#REF!</definedName>
    <definedName function="false" hidden="false" localSheetId="11" name="NM3CLP" vbProcedure="false">#REF!</definedName>
    <definedName function="false" hidden="false" localSheetId="11" name="NM3DF" vbProcedure="false">#REF!</definedName>
    <definedName function="false" hidden="false" localSheetId="11" name="NM3DP" vbProcedure="false">#REF!</definedName>
    <definedName function="false" hidden="false" localSheetId="11" name="NM3MR" vbProcedure="false">#REF!</definedName>
    <definedName function="false" hidden="false" localSheetId="11" name="NM3RL" vbProcedure="false">#REF!</definedName>
    <definedName function="false" hidden="false" localSheetId="11" name="NM3SAF" vbProcedure="false">#REF!</definedName>
    <definedName function="false" hidden="false" localSheetId="11" name="NM3SAP" vbProcedure="false">#REF!</definedName>
    <definedName function="false" hidden="false" localSheetId="11" name="No" vbProcedure="false">#REF!</definedName>
    <definedName function="false" hidden="false" localSheetId="11" name="NORTH" vbProcedure="false">#REF!</definedName>
    <definedName function="false" hidden="false" localSheetId="11" name="Nov_04" vbProcedure="false">#REF!</definedName>
    <definedName function="false" hidden="false" localSheetId="11" name="Oct_04" vbProcedure="false">#REF!</definedName>
    <definedName function="false" hidden="false" localSheetId="11" name="odaki" vbProcedure="false">#REF!</definedName>
    <definedName function="false" hidden="false" localSheetId="11" name="OEM_PROGRAM" vbProcedure="false">#REF!</definedName>
    <definedName function="false" hidden="false" localSheetId="11" name="OH" vbProcedure="false">#REF!</definedName>
    <definedName function="false" hidden="false" localSheetId="11" name="ophom" vbProcedure="false">#REF!</definedName>
    <definedName function="false" hidden="false" localSheetId="11" name="Ord" vbProcedure="false">#REF!</definedName>
    <definedName function="false" hidden="false" localSheetId="11" name="otherincome" vbProcedure="false">#REF!</definedName>
    <definedName function="false" hidden="false" localSheetId="11" name="OTHER_MISC." vbProcedure="false">#REF!</definedName>
    <definedName function="false" hidden="false" localSheetId="11" name="Oth_data" vbProcedure="false">#REF!</definedName>
    <definedName function="false" hidden="false" localSheetId="11" name="P1_" vbProcedure="false">#REF!</definedName>
    <definedName function="false" hidden="false" localSheetId="11" name="P2_" vbProcedure="false">#REF!</definedName>
    <definedName function="false" hidden="false" localSheetId="11" name="P3_" vbProcedure="false">#REF!</definedName>
    <definedName function="false" hidden="false" localSheetId="11" name="P4_" vbProcedure="false">#REF!</definedName>
    <definedName function="false" hidden="false" localSheetId="11" name="P7b" vbProcedure="false">#REF!</definedName>
    <definedName function="false" hidden="false" localSheetId="11" name="PA" vbProcedure="false">#REF!</definedName>
    <definedName function="false" hidden="false" localSheetId="11" name="PAGE" vbProcedure="false">#REF!</definedName>
    <definedName function="false" hidden="false" localSheetId="11" name="PART" vbProcedure="false">#REF!</definedName>
    <definedName function="false" hidden="false" localSheetId="11" name="PC" vbProcedure="false">#REF!</definedName>
    <definedName function="false" hidden="false" localSheetId="11" name="Period_Calc" vbProcedure="false">#REF!</definedName>
    <definedName function="false" hidden="false" localSheetId="11" name="PERS" vbProcedure="false">#REF!</definedName>
    <definedName function="false" hidden="false" localSheetId="11" name="PERS1" vbProcedure="false">#REF!</definedName>
    <definedName function="false" hidden="false" localSheetId="11" name="personnelexp" vbProcedure="false">#REF!</definedName>
    <definedName function="false" hidden="false" localSheetId="11" name="PL" vbProcedure="false">#REF!</definedName>
    <definedName function="false" hidden="false" localSheetId="11" name="Plant1" vbProcedure="false">#REF!</definedName>
    <definedName function="false" hidden="false" localSheetId="11" name="Plant2" vbProcedure="false">#REF!</definedName>
    <definedName function="false" hidden="false" localSheetId="11" name="Plant4" vbProcedure="false">#REF!</definedName>
    <definedName function="false" hidden="false" localSheetId="11" name="Plant5" vbProcedure="false">#REF!</definedName>
    <definedName function="false" hidden="false" localSheetId="11" name="Plant6" vbProcedure="false">#REF!</definedName>
    <definedName function="false" hidden="false" localSheetId="11" name="POFOBE_" vbProcedure="false">#REF!</definedName>
    <definedName function="false" hidden="false" localSheetId="11" name="POFOB_" vbProcedure="false">#REF!</definedName>
    <definedName function="false" hidden="false" localSheetId="11" name="POLDE_" vbProcedure="false">#REF!</definedName>
    <definedName function="false" hidden="false" localSheetId="11" name="POLDM_" vbProcedure="false">#REF!</definedName>
    <definedName function="false" hidden="false" localSheetId="11" name="POLD_" vbProcedure="false">#REF!</definedName>
    <definedName function="false" hidden="false" localSheetId="11" name="PO_E_" vbProcedure="false">#REF!</definedName>
    <definedName function="false" hidden="false" localSheetId="11" name="PP" vbProcedure="false">#REF!</definedName>
    <definedName function="false" hidden="false" localSheetId="11" name="PR" vbProcedure="false">#REF!</definedName>
    <definedName function="false" hidden="false" localSheetId="11" name="PRE" vbProcedure="false">#REF!</definedName>
    <definedName function="false" hidden="false" localSheetId="11" name="PREOP" vbProcedure="false">#REF!</definedName>
    <definedName function="false" hidden="false" localSheetId="11" name="PRES" vbProcedure="false">#REF!</definedName>
    <definedName function="false" hidden="false" localSheetId="11" name="PRFOBE_" vbProcedure="false">#REF!</definedName>
    <definedName function="false" hidden="false" localSheetId="11" name="PRFOB_" vbProcedure="false">#REF!</definedName>
    <definedName function="false" hidden="false" localSheetId="11" name="PRINTA" vbProcedure="false">#REF!</definedName>
    <definedName function="false" hidden="false" localSheetId="11" name="PRINTB" vbProcedure="false">#REF!</definedName>
    <definedName function="false" hidden="false" localSheetId="11" name="PRINTC" vbProcedure="false">#REF!</definedName>
    <definedName function="false" hidden="false" localSheetId="11" name="PRINT_AR06" vbProcedure="false">#REF!</definedName>
    <definedName function="false" hidden="false" localSheetId="11" name="PRINT_TITLES_MI" vbProcedure="false">#REF!</definedName>
    <definedName function="false" hidden="false" localSheetId="11" name="PRL" vbProcedure="false">#REF!</definedName>
    <definedName function="false" hidden="false" localSheetId="11" name="PRLDE_" vbProcedure="false">#REF!</definedName>
    <definedName function="false" hidden="false" localSheetId="11" name="PRLDM_" vbProcedure="false">#REF!</definedName>
    <definedName function="false" hidden="false" localSheetId="11" name="PRLD_" vbProcedure="false">#REF!</definedName>
    <definedName function="false" hidden="false" localSheetId="11" name="PROPOSAL" vbProcedure="false">#REF!</definedName>
    <definedName function="false" hidden="false" localSheetId="11" name="PRS" vbProcedure="false">#REF!</definedName>
    <definedName function="false" hidden="false" localSheetId="11" name="PR_E_" vbProcedure="false">#REF!</definedName>
    <definedName function="false" hidden="false" localSheetId="11" name="PR__" vbProcedure="false">#REF!</definedName>
    <definedName function="false" hidden="false" localSheetId="11" name="ptdg" vbProcedure="false">#REF!</definedName>
    <definedName function="false" hidden="false" localSheetId="11" name="PTDG_cau" vbProcedure="false">#REF!</definedName>
    <definedName function="false" hidden="false" localSheetId="11" name="ptdg_cong" vbProcedure="false">#REF!</definedName>
    <definedName function="false" hidden="false" localSheetId="11" name="ptdg_duong" vbProcedure="false">#REF!</definedName>
    <definedName function="false" hidden="false" localSheetId="11" name="PT_Duong" vbProcedure="false">#REF!</definedName>
    <definedName function="false" hidden="false" localSheetId="11" name="PWHT" vbProcedure="false">#REF!</definedName>
    <definedName function="false" hidden="false" localSheetId="11" name="Q" vbProcedure="false">#REF!</definedName>
    <definedName function="false" hidden="false" localSheetId="11" name="QCFOBE_" vbProcedure="false">#REF!</definedName>
    <definedName function="false" hidden="false" localSheetId="11" name="QCFOB_" vbProcedure="false">#REF!</definedName>
    <definedName function="false" hidden="false" localSheetId="11" name="QCLDE_" vbProcedure="false">#REF!</definedName>
    <definedName function="false" hidden="false" localSheetId="11" name="QCLDM_" vbProcedure="false">#REF!</definedName>
    <definedName function="false" hidden="false" localSheetId="11" name="QCLD_" vbProcedure="false">#REF!</definedName>
    <definedName function="false" hidden="false" localSheetId="11" name="QC_E_" vbProcedure="false">#REF!</definedName>
    <definedName function="false" hidden="false" localSheetId="11" name="QC__" vbProcedure="false">#REF!</definedName>
    <definedName function="false" hidden="false" localSheetId="11" name="qtdm" vbProcedure="false">#REF!</definedName>
    <definedName function="false" hidden="false" localSheetId="11" name="READ" vbProcedure="false">#REF!</definedName>
    <definedName function="false" hidden="false" localSheetId="11" name="readings" vbProcedure="false">#REF!</definedName>
    <definedName function="false" hidden="false" localSheetId="11" name="reconc" vbProcedure="false">#REF!</definedName>
    <definedName function="false" hidden="false" localSheetId="11" name="RECONCILIATION" vbProcedure="false">#REF!</definedName>
    <definedName function="false" hidden="false" localSheetId="11" name="RED_RIVER_BRIDGE__THANH_TRI_BRIDGE__CONSTRUCTION_PROJECT" vbProcedure="false">#REF!</definedName>
    <definedName function="false" hidden="false" localSheetId="11" name="REO" vbProcedure="false">#REF!</definedName>
    <definedName function="false" hidden="false" localSheetId="11" name="REP" vbProcedure="false">#REF!</definedName>
    <definedName function="false" hidden="false" localSheetId="11" name="REVISION_00" vbProcedure="false">#REF!</definedName>
    <definedName function="false" hidden="false" localSheetId="11" name="rmcsep" vbProcedure="false">#REF!</definedName>
    <definedName function="false" hidden="false" localSheetId="11" name="rmc_working" vbProcedure="false">#REF!</definedName>
    <definedName function="false" hidden="false" localSheetId="11" name="R_" vbProcedure="false">#REF!</definedName>
    <definedName function="false" hidden="false" localSheetId="11" name="R_1" vbProcedure="false">#REF!</definedName>
    <definedName function="false" hidden="false" localSheetId="11" name="R_2" vbProcedure="false">#REF!</definedName>
    <definedName function="false" hidden="false" localSheetId="11" name="R_3" vbProcedure="false">#REF!</definedName>
    <definedName function="false" hidden="false" localSheetId="11" name="SALE1" vbProcedure="false">#REF!</definedName>
    <definedName function="false" hidden="false" localSheetId="11" name="SALE7" vbProcedure="false">#REF!</definedName>
    <definedName function="false" hidden="false" localSheetId="11" name="Sales_plan" vbProcedure="false">#REF!</definedName>
    <definedName function="false" hidden="false" localSheetId="11" name="satu" vbProcedure="false">#REF!</definedName>
    <definedName function="false" hidden="false" localSheetId="11" name="SD" vbProcedure="false">#REF!</definedName>
    <definedName function="false" hidden="false" localSheetId="11" name="selldistexp" vbProcedure="false">#REF!</definedName>
    <definedName function="false" hidden="false" localSheetId="11" name="Sep_04" vbProcedure="false">#REF!</definedName>
    <definedName function="false" hidden="false" localSheetId="11" name="Sheet1" vbProcedure="false">#REF!</definedName>
    <definedName function="false" hidden="false" localSheetId="11" name="sho" vbProcedure="false">#REF!</definedName>
    <definedName function="false" hidden="false" localSheetId="11" name="SM" vbProcedure="false">#REF!</definedName>
    <definedName function="false" hidden="false" localSheetId="11" name="SORT" vbProcedure="false">#REF!</definedName>
    <definedName function="false" hidden="false" localSheetId="11" name="SOUTH" vbProcedure="false">#REF!</definedName>
    <definedName function="false" hidden="false" localSheetId="11" name="SPEC" vbProcedure="false">#REF!</definedName>
    <definedName function="false" hidden="false" localSheetId="11" name="SPECSUMMARY" vbProcedure="false">#REF!</definedName>
    <definedName function="false" hidden="false" localSheetId="11" name="SP_SOB" vbProcedure="false">#REF!</definedName>
    <definedName function="false" hidden="false" localSheetId="11" name="SSTR" vbProcedure="false">#REF!</definedName>
    <definedName function="false" hidden="false" localSheetId="11" name="ST" vbProcedure="false">#REF!</definedName>
    <definedName function="false" hidden="false" localSheetId="11" name="Start_1" vbProcedure="false">#REF!</definedName>
    <definedName function="false" hidden="false" localSheetId="11" name="Start_10" vbProcedure="false">#REF!</definedName>
    <definedName function="false" hidden="false" localSheetId="11" name="Start_11" vbProcedure="false">#REF!</definedName>
    <definedName function="false" hidden="false" localSheetId="11" name="Start_12" vbProcedure="false">#REF!</definedName>
    <definedName function="false" hidden="false" localSheetId="11" name="Start_13" vbProcedure="false">#REF!</definedName>
    <definedName function="false" hidden="false" localSheetId="11" name="Start_2" vbProcedure="false">#REF!</definedName>
    <definedName function="false" hidden="false" localSheetId="11" name="Start_3" vbProcedure="false">#REF!</definedName>
    <definedName function="false" hidden="false" localSheetId="11" name="Start_4" vbProcedure="false">#REF!</definedName>
    <definedName function="false" hidden="false" localSheetId="11" name="Start_5" vbProcedure="false">#REF!</definedName>
    <definedName function="false" hidden="false" localSheetId="11" name="Start_6" vbProcedure="false">#REF!</definedName>
    <definedName function="false" hidden="false" localSheetId="11" name="Start_7" vbProcedure="false">#REF!</definedName>
    <definedName function="false" hidden="false" localSheetId="11" name="Start_8" vbProcedure="false">#REF!</definedName>
    <definedName function="false" hidden="false" localSheetId="11" name="Start_9" vbProcedure="false">#REF!</definedName>
    <definedName function="false" hidden="false" localSheetId="11" name="STATUSREPORT_U" vbProcedure="false">#REF!</definedName>
    <definedName function="false" hidden="false" localSheetId="11" name="STATUSREPORT_Y" vbProcedure="false">#REF!</definedName>
    <definedName function="false" hidden="false" localSheetId="11" name="STFOBE_" vbProcedure="false">#REF!</definedName>
    <definedName function="false" hidden="false" localSheetId="11" name="STFOB_" vbProcedure="false">#REF!</definedName>
    <definedName function="false" hidden="false" localSheetId="11" name="STLDE_" vbProcedure="false">#REF!</definedName>
    <definedName function="false" hidden="false" localSheetId="11" name="STLDM_" vbProcedure="false">#REF!</definedName>
    <definedName function="false" hidden="false" localSheetId="11" name="STLD_" vbProcedure="false">#REF!</definedName>
    <definedName function="false" hidden="false" localSheetId="11" name="store" vbProcedure="false">#REF!</definedName>
    <definedName function="false" hidden="false" localSheetId="11" name="store1" vbProcedure="false">#REF!</definedName>
    <definedName function="false" hidden="false" localSheetId="11" name="storeFait" vbProcedure="false">#REF!</definedName>
    <definedName function="false" hidden="false" localSheetId="11" name="structure" vbProcedure="false">#REF!</definedName>
    <definedName function="false" hidden="false" localSheetId="11" name="ST_E_" vbProcedure="false">#REF!</definedName>
    <definedName function="false" hidden="false" localSheetId="11" name="ST__" vbProcedure="false">#REF!</definedName>
    <definedName function="false" hidden="false" localSheetId="11" name="SUMMARY" vbProcedure="false">#REF!</definedName>
    <definedName function="false" hidden="false" localSheetId="11" name="T.C.I.L." vbProcedure="false">#REF!</definedName>
    <definedName function="false" hidden="false" localSheetId="11" name="TBA" vbProcedure="false">#REF!</definedName>
    <definedName function="false" hidden="false" localSheetId="11" name="tdia" vbProcedure="false">#REF!</definedName>
    <definedName function="false" hidden="false" localSheetId="11" name="tdt" vbProcedure="false">#REF!</definedName>
    <definedName function="false" hidden="false" localSheetId="11" name="test" vbProcedure="false">#REF!</definedName>
    <definedName function="false" hidden="false" localSheetId="11" name="thdt" vbProcedure="false">#REF!</definedName>
    <definedName function="false" hidden="false" localSheetId="11" name="THREE02" vbProcedure="false">#REF!</definedName>
    <definedName function="false" hidden="false" localSheetId="11" name="THREE03" vbProcedure="false">#REF!</definedName>
    <definedName function="false" hidden="false" localSheetId="11" name="THREE04" vbProcedure="false">#REF!</definedName>
    <definedName function="false" hidden="false" localSheetId="11" name="THREE05" vbProcedure="false">#REF!</definedName>
    <definedName function="false" hidden="false" localSheetId="11" name="THREE06" vbProcedure="false">#REF!</definedName>
    <definedName function="false" hidden="false" localSheetId="11" name="THREE07" vbProcedure="false">#REF!</definedName>
    <definedName function="false" hidden="false" localSheetId="11" name="THREE08" vbProcedure="false">#REF!</definedName>
    <definedName function="false" hidden="false" localSheetId="11" name="THREE09" vbProcedure="false">#REF!</definedName>
    <definedName function="false" hidden="false" localSheetId="11" name="Tien" vbProcedure="false">#REF!</definedName>
    <definedName function="false" hidden="false" localSheetId="11" name="Tim_lan_xuat_hien" vbProcedure="false">#REF!</definedName>
    <definedName function="false" hidden="false" localSheetId="11" name="tim_xuat_hien" vbProcedure="false">#REF!</definedName>
    <definedName function="false" hidden="false" localSheetId="11" name="tld" vbProcedure="false">#REF!</definedName>
    <definedName function="false" hidden="false" localSheetId="11" name="tly" vbProcedure="false">#REF!</definedName>
    <definedName function="false" hidden="false" localSheetId="11" name="tn" vbProcedure="false">#REF!</definedName>
    <definedName function="false" hidden="false" localSheetId="11" name="Tong" vbProcedure="false">#REF!</definedName>
    <definedName function="false" hidden="false" localSheetId="11" name="tongcong" vbProcedure="false">#REF!</definedName>
    <definedName function="false" hidden="false" localSheetId="11" name="Tooling" vbProcedure="false">#REF!</definedName>
    <definedName function="false" hidden="false" localSheetId="11" name="total" vbProcedure="false">#REF!</definedName>
    <definedName function="false" hidden="false" localSheetId="11" name="TRANSFERS" vbProcedure="false">#REF!</definedName>
    <definedName function="false" hidden="false" localSheetId="11" name="TRAVL" vbProcedure="false">#REF!</definedName>
    <definedName function="false" hidden="false" localSheetId="11" name="Tra_DM_su_dung" vbProcedure="false">#REF!</definedName>
    <definedName function="false" hidden="false" localSheetId="11" name="Tra_don_gia_KS" vbProcedure="false">#REF!</definedName>
    <definedName function="false" hidden="false" localSheetId="11" name="Tra_DTCT" vbProcedure="false">#REF!</definedName>
    <definedName function="false" hidden="false" localSheetId="11" name="Tra_tim_hang_mucPT_trung" vbProcedure="false">#REF!</definedName>
    <definedName function="false" hidden="false" localSheetId="11" name="TRA_VAT_LIEU" vbProcedure="false">#REF!</definedName>
    <definedName function="false" hidden="false" localSheetId="11" name="TRA_VL" vbProcedure="false">#REF!</definedName>
    <definedName function="false" hidden="false" localSheetId="11" name="trt" vbProcedure="false">#REF!</definedName>
    <definedName function="false" hidden="false" localSheetId="11" name="tt" vbProcedure="false">#REF!</definedName>
    <definedName function="false" hidden="false" localSheetId="11" name="tthi" vbProcedure="false">#REF!</definedName>
    <definedName function="false" hidden="false" localSheetId="11" name="TTLB1" vbProcedure="false">#REF!</definedName>
    <definedName function="false" hidden="false" localSheetId="11" name="TTLB2" vbProcedure="false">#REF!</definedName>
    <definedName function="false" hidden="false" localSheetId="11" name="TTLB3" vbProcedure="false">#REF!</definedName>
    <definedName function="false" hidden="false" localSheetId="11" name="ty_le" vbProcedure="false">#REF!</definedName>
    <definedName function="false" hidden="false" localSheetId="11" name="Ty_le1" vbProcedure="false">#REF!</definedName>
    <definedName function="false" hidden="false" localSheetId="11" name="ty_le_BTN" vbProcedure="false">#REF!</definedName>
    <definedName function="false" hidden="false" localSheetId="11" name="UNO" vbProcedure="false">#REF!</definedName>
    <definedName function="false" hidden="false" localSheetId="11" name="UPLOAD" vbProcedure="false">#REF!</definedName>
    <definedName function="false" hidden="false" localSheetId="11" name="US___DETAIL" vbProcedure="false">#REF!</definedName>
    <definedName function="false" hidden="false" localSheetId="11" name="US___PRES" vbProcedure="false">#REF!</definedName>
    <definedName function="false" hidden="false" localSheetId="11" name="VARIINST" vbProcedure="false">#REF!</definedName>
    <definedName function="false" hidden="false" localSheetId="11" name="VARIPURC" vbProcedure="false">#REF!</definedName>
    <definedName function="false" hidden="false" localSheetId="11" name="vat" vbProcedure="false">#REF!</definedName>
    <definedName function="false" hidden="false" localSheetId="11" name="vbt400d" vbProcedure="false">#REF!</definedName>
    <definedName function="false" hidden="false" localSheetId="11" name="vbta" vbProcedure="false">#REF!</definedName>
    <definedName function="false" hidden="false" localSheetId="11" name="vbtB" vbProcedure="false">#REF!</definedName>
    <definedName function="false" hidden="false" localSheetId="11" name="vbtD" vbProcedure="false">#REF!</definedName>
    <definedName function="false" hidden="false" localSheetId="11" name="vbtE" vbProcedure="false">#REF!</definedName>
    <definedName function="false" hidden="false" localSheetId="11" name="vbtF" vbProcedure="false">#REF!</definedName>
    <definedName function="false" hidden="false" localSheetId="11" name="vbtg" vbProcedure="false">#REF!</definedName>
    <definedName function="false" hidden="false" localSheetId="11" name="VCM_Y" vbProcedure="false">#REF!</definedName>
    <definedName function="false" hidden="false" localSheetId="11" name="viet" vbProcedure="false">#REF!</definedName>
    <definedName function="false" hidden="false" localSheetId="11" name="vik" vbProcedure="false">#REF!</definedName>
    <definedName function="false" hidden="false" localSheetId="11" name="VOLUME" vbProcedure="false">#REF!</definedName>
    <definedName function="false" hidden="false" localSheetId="11" name="vtu" vbProcedure="false">#REF!</definedName>
    <definedName function="false" hidden="false" localSheetId="11" name="W" vbProcedure="false">#REF!</definedName>
    <definedName function="false" hidden="false" localSheetId="11" name="waterway" vbProcedure="false">#REF!</definedName>
    <definedName function="false" hidden="false" localSheetId="11" name="WEFOBE_" vbProcedure="false">#REF!</definedName>
    <definedName function="false" hidden="false" localSheetId="11" name="WEFOB_" vbProcedure="false">#REF!</definedName>
    <definedName function="false" hidden="false" localSheetId="11" name="WELDE_" vbProcedure="false">#REF!</definedName>
    <definedName function="false" hidden="false" localSheetId="11" name="WELDM_" vbProcedure="false">#REF!</definedName>
    <definedName function="false" hidden="false" localSheetId="11" name="WELD_" vbProcedure="false">#REF!</definedName>
    <definedName function="false" hidden="false" localSheetId="11" name="WEST" vbProcedure="false">#REF!</definedName>
    <definedName function="false" hidden="false" localSheetId="11" name="WE_E_" vbProcedure="false">#REF!</definedName>
    <definedName function="false" hidden="false" localSheetId="11" name="WE__" vbProcedure="false">#REF!</definedName>
    <definedName function="false" hidden="false" localSheetId="11" name="WITHMPBF" vbProcedure="false">#REF!</definedName>
    <definedName function="false" hidden="false" localSheetId="11"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1" name="wrn.Volumes." vbProcedure="false">{#N/A,#N/A,TRUE,"Volumes"}</definedName>
    <definedName function="false" hidden="false" localSheetId="11" name="X" vbProcedure="false">#REF!</definedName>
    <definedName function="false" hidden="false" localSheetId="11" name="xd0.6" vbProcedure="false">#REF!</definedName>
    <definedName function="false" hidden="false" localSheetId="11" name="xd1.3" vbProcedure="false">#REF!</definedName>
    <definedName function="false" hidden="false" localSheetId="11" name="xd1.5" vbProcedure="false">#REF!</definedName>
    <definedName function="false" hidden="false" localSheetId="11" name="xh" vbProcedure="false">#REF!</definedName>
    <definedName function="false" hidden="false" localSheetId="11" name="xk0.6" vbProcedure="false">#REF!</definedName>
    <definedName function="false" hidden="false" localSheetId="11" name="xk1.3" vbProcedure="false">#REF!</definedName>
    <definedName function="false" hidden="false" localSheetId="11" name="xk1.5" vbProcedure="false">#REF!</definedName>
    <definedName function="false" hidden="false" localSheetId="11" name="xl" vbProcedure="false">#REF!</definedName>
    <definedName function="false" hidden="false" localSheetId="11" name="xlc" vbProcedure="false">#REF!</definedName>
    <definedName function="false" hidden="false" localSheetId="11" name="xld1.4" vbProcedure="false">#REF!</definedName>
    <definedName function="false" hidden="false" localSheetId="11" name="xlk" vbProcedure="false">#REF!</definedName>
    <definedName function="false" hidden="false" localSheetId="11" name="xlk1.4" vbProcedure="false">#REF!</definedName>
    <definedName function="false" hidden="false" localSheetId="11" name="xn" vbProcedure="false">#REF!</definedName>
    <definedName function="false" hidden="false" localSheetId="11" name="xx" vbProcedure="false">#REF!</definedName>
    <definedName function="false" hidden="false" localSheetId="11" name="xxx" vbProcedure="false">#REF!</definedName>
    <definedName function="false" hidden="false" localSheetId="11" name="ytm_pbt" vbProcedure="false">#REF!</definedName>
    <definedName function="false" hidden="false" localSheetId="11" name="Z" vbProcedure="false">#REF!</definedName>
    <definedName function="false" hidden="false" localSheetId="11" name="ZAHEERABAD_D" vbProcedure="false">#REF!</definedName>
    <definedName function="false" hidden="false" localSheetId="11" name="ZAHEERABAD_P" vbProcedure="false">#REF!</definedName>
    <definedName function="false" hidden="false" localSheetId="11" name="ZAHEERABAD_S" vbProcedure="false">#REF!</definedName>
    <definedName function="false" hidden="false" localSheetId="11" name="ZYX" vbProcedure="false">#REF!</definedName>
    <definedName function="false" hidden="false" localSheetId="11" name="ZZZ" vbProcedure="false">#REF!</definedName>
    <definedName function="false" hidden="false" localSheetId="11" name="\0" vbProcedure="false">#REF!</definedName>
    <definedName function="false" hidden="false" localSheetId="11" name="\a" vbProcedure="false">#REF!</definedName>
    <definedName function="false" hidden="false" localSheetId="11" name="\e" vbProcedure="false">#REF!</definedName>
    <definedName function="false" hidden="false" localSheetId="11" name="\q" vbProcedure="false">#REF!</definedName>
    <definedName function="false" hidden="false" localSheetId="11" name="\r" vbProcedure="false">#REF!</definedName>
    <definedName function="false" hidden="false" localSheetId="11" name="\s" vbProcedure="false">#REF!</definedName>
    <definedName function="false" hidden="false" localSheetId="11" name="\t" vbProcedure="false">#REF!</definedName>
    <definedName function="false" hidden="false" localSheetId="11" name="\X" vbProcedure="false">#REF!</definedName>
    <definedName function="false" hidden="false" localSheetId="11" name="\z" vbProcedure="false">#REF!</definedName>
    <definedName function="false" hidden="false" localSheetId="11" name="_" vbProcedure="false">#REF!</definedName>
    <definedName function="false" hidden="false" localSheetId="11" name="_1" vbProcedure="false">#REF!</definedName>
    <definedName function="false" hidden="false" localSheetId="11" name="_10" vbProcedure="false">#REF!</definedName>
    <definedName function="false" hidden="false" localSheetId="11" name="_10_11" vbProcedure="false">#REF!</definedName>
    <definedName function="false" hidden="false" localSheetId="11" name="_12_6" vbProcedure="false">#REF!</definedName>
    <definedName function="false" hidden="false" localSheetId="11" name="_14_8" vbProcedure="false">#REF!</definedName>
    <definedName function="false" hidden="false" localSheetId="11" name="_16IN_LINE" vbProcedure="false">#REF!</definedName>
    <definedName function="false" hidden="false" localSheetId="11" name="_18_6" vbProcedure="false">#REF!</definedName>
    <definedName function="false" hidden="false" localSheetId="11" name="_19_8" vbProcedure="false">#REF!</definedName>
    <definedName function="false" hidden="false" localSheetId="11" name="_1PRINT_ALL_IN" vbProcedure="false">#REF!</definedName>
    <definedName function="false" hidden="false" localSheetId="11" name="_2" vbProcedure="false">#REF!</definedName>
    <definedName function="false" hidden="false" localSheetId="11" name="_20IN_LINE" vbProcedure="false">#REF!</definedName>
    <definedName function="false" hidden="false" localSheetId="11" name="_2PRINT_ALL_IN" vbProcedure="false">#REF!</definedName>
    <definedName function="false" hidden="false" localSheetId="11" name="_2PRINT_DC" vbProcedure="false">#REF!</definedName>
    <definedName function="false" hidden="false" localSheetId="11" name="_3" vbProcedure="false">#REF!</definedName>
    <definedName function="false" hidden="false" localSheetId="11" name="_4" vbProcedure="false">#REF!</definedName>
    <definedName function="false" hidden="false" localSheetId="11" name="_4PRINT_DC" vbProcedure="false">#REF!</definedName>
    <definedName function="false" hidden="false" localSheetId="11" name="_4_5" vbProcedure="false">#REF!</definedName>
    <definedName function="false" hidden="false" localSheetId="11" name="_5" vbProcedure="false">#REF!</definedName>
    <definedName function="false" hidden="false" localSheetId="11" name="_6" vbProcedure="false">#REF!</definedName>
    <definedName function="false" hidden="false" localSheetId="11" name="_6_6" vbProcedure="false">#REF!</definedName>
    <definedName function="false" hidden="false" localSheetId="11" name="_7" vbProcedure="false">#REF!</definedName>
    <definedName function="false" hidden="false" localSheetId="11" name="_7_8" vbProcedure="false">#REF!</definedName>
    <definedName function="false" hidden="false" localSheetId="11" name="_8" vbProcedure="false">#REF!</definedName>
    <definedName function="false" hidden="false" localSheetId="11" name="_8IN_LINE" vbProcedure="false">#REF!</definedName>
    <definedName function="false" hidden="false" localSheetId="11" name="_9" vbProcedure="false">#REF!</definedName>
    <definedName function="false" hidden="false" localSheetId="11" name="_aug2" vbProcedure="false">#REF!</definedName>
    <definedName function="false" hidden="false" localSheetId="11" name="_BOM1" vbProcedure="false">#REF!</definedName>
    <definedName function="false" hidden="false" localSheetId="11" name="_BTM150" vbProcedure="false">#REF!</definedName>
    <definedName function="false" hidden="false" localSheetId="11" name="_BTM200" vbProcedure="false">#REF!</definedName>
    <definedName function="false" hidden="false" localSheetId="11" name="_BTM50" vbProcedure="false">#REF!</definedName>
    <definedName function="false" hidden="false" localSheetId="11" name="_C" vbProcedure="false">#REF!</definedName>
    <definedName function="false" hidden="false" localSheetId="11" name="_CAL02" vbProcedure="false">#REF!</definedName>
    <definedName function="false" hidden="false" localSheetId="11" name="_CAL03" vbProcedure="false">#REF!</definedName>
    <definedName function="false" hidden="false" localSheetId="11" name="_CAL04" vbProcedure="false">#REF!</definedName>
    <definedName function="false" hidden="false" localSheetId="11" name="_CAL05" vbProcedure="false">#REF!</definedName>
    <definedName function="false" hidden="false" localSheetId="11" name="_CAL06" vbProcedure="false">#REF!</definedName>
    <definedName function="false" hidden="false" localSheetId="11" name="_CAL07" vbProcedure="false">#REF!</definedName>
    <definedName function="false" hidden="false" localSheetId="11" name="_CAL08" vbProcedure="false">#REF!</definedName>
    <definedName function="false" hidden="false" localSheetId="11" name="_CAL09" vbProcedure="false">#REF!</definedName>
    <definedName function="false" hidden="false" localSheetId="11" name="_CFC214" vbProcedure="false">#REF!</definedName>
    <definedName function="false" hidden="false" localSheetId="11" name="_CFU377" vbProcedure="false">#REF!</definedName>
    <definedName function="false" hidden="false" localSheetId="11" name="_CGJ32" vbProcedure="false">#REF!</definedName>
    <definedName function="false" hidden="false" localSheetId="11" name="_CGW2" vbProcedure="false">#REF!</definedName>
    <definedName function="false" hidden="false" localSheetId="11" name="_CON1" vbProcedure="false">#REF!</definedName>
    <definedName function="false" hidden="false" localSheetId="11" name="_CON2" vbProcedure="false">#REF!</definedName>
    <definedName function="false" hidden="false" localSheetId="11" name="_EXC1" vbProcedure="false">#REF!</definedName>
    <definedName function="false" hidden="false" localSheetId="11" name="_EXC2" vbProcedure="false">#REF!</definedName>
    <definedName function="false" hidden="false" localSheetId="11" name="_Fill" vbProcedure="false">#REF!</definedName>
    <definedName function="false" hidden="false" localSheetId="11" name="_hom2" vbProcedure="false">#REF!</definedName>
    <definedName function="false" hidden="false" localSheetId="11" name="_JK00000412" vbProcedure="false">#REF!</definedName>
    <definedName function="false" hidden="false" localSheetId="11" name="_JK00000450" vbProcedure="false">#REF!</definedName>
    <definedName function="false" hidden="false" localSheetId="11" name="_JK00000456" vbProcedure="false">#REF!</definedName>
    <definedName function="false" hidden="false" localSheetId="11" name="_JK00000539" vbProcedure="false">#REF!</definedName>
    <definedName function="false" hidden="false" localSheetId="11" name="_JK00000573" vbProcedure="false">#REF!</definedName>
    <definedName function="false" hidden="false" localSheetId="11" name="_JK00000576" vbProcedure="false">#REF!</definedName>
    <definedName function="false" hidden="false" localSheetId="11" name="_JK00000577" vbProcedure="false">#REF!</definedName>
    <definedName function="false" hidden="false" localSheetId="11" name="_JK00000582" vbProcedure="false">#REF!</definedName>
    <definedName function="false" hidden="false" localSheetId="11" name="_JK00000923" vbProcedure="false">#REF!</definedName>
    <definedName function="false" hidden="false" localSheetId="11" name="_JK00000952" vbProcedure="false">#REF!</definedName>
    <definedName function="false" hidden="false" localSheetId="11" name="_JK00000961" vbProcedure="false">#REF!</definedName>
    <definedName function="false" hidden="false" localSheetId="11" name="_JK00000971" vbProcedure="false">#REF!</definedName>
    <definedName function="false" hidden="false" localSheetId="11" name="_JK00000979" vbProcedure="false">#REF!</definedName>
    <definedName function="false" hidden="false" localSheetId="11" name="_JK00000984" vbProcedure="false">#REF!</definedName>
    <definedName function="false" hidden="false" localSheetId="11" name="_JK00000986" vbProcedure="false">#REF!</definedName>
    <definedName function="false" hidden="false" localSheetId="11" name="_JK00001004" vbProcedure="false">#REF!</definedName>
    <definedName function="false" hidden="false" localSheetId="11" name="_JK00001010" vbProcedure="false">#REF!</definedName>
    <definedName function="false" hidden="false" localSheetId="11" name="_JK00001011" vbProcedure="false">#REF!</definedName>
    <definedName function="false" hidden="false" localSheetId="11" name="_JK00001013" vbProcedure="false">#REF!</definedName>
    <definedName function="false" hidden="false" localSheetId="11" name="_JK00001018" vbProcedure="false">#REF!</definedName>
    <definedName function="false" hidden="false" localSheetId="11" name="_JK00001019" vbProcedure="false">#REF!</definedName>
    <definedName function="false" hidden="false" localSheetId="11" name="_JK00001020" vbProcedure="false">#REF!</definedName>
    <definedName function="false" hidden="false" localSheetId="11" name="_JK00001023" vbProcedure="false">#REF!</definedName>
    <definedName function="false" hidden="false" localSheetId="11" name="_JK00001024" vbProcedure="false">#REF!</definedName>
    <definedName function="false" hidden="false" localSheetId="11" name="_JK00001028" vbProcedure="false">#REF!</definedName>
    <definedName function="false" hidden="false" localSheetId="11" name="_JK00001031" vbProcedure="false">#REF!</definedName>
    <definedName function="false" hidden="false" localSheetId="11" name="_JK00001032" vbProcedure="false">#REF!</definedName>
    <definedName function="false" hidden="false" localSheetId="11" name="_JK00001033" vbProcedure="false">#REF!</definedName>
    <definedName function="false" hidden="false" localSheetId="11" name="_JK00001038" vbProcedure="false">#REF!</definedName>
    <definedName function="false" hidden="false" localSheetId="11" name="_JK00001039" vbProcedure="false">#REF!</definedName>
    <definedName function="false" hidden="false" localSheetId="11" name="_JK00001040" vbProcedure="false">#REF!</definedName>
    <definedName function="false" hidden="false" localSheetId="11" name="_JK00001047" vbProcedure="false">#REF!</definedName>
    <definedName function="false" hidden="false" localSheetId="11" name="_JK00001058" vbProcedure="false">#REF!</definedName>
    <definedName function="false" hidden="false" localSheetId="11" name="_JK00001059" vbProcedure="false">#REF!</definedName>
    <definedName function="false" hidden="false" localSheetId="11" name="_JK00001063" vbProcedure="false">#REF!</definedName>
    <definedName function="false" hidden="false" localSheetId="11" name="_JK00001064" vbProcedure="false">#REF!</definedName>
    <definedName function="false" hidden="false" localSheetId="11" name="_JK00001065" vbProcedure="false">#REF!</definedName>
    <definedName function="false" hidden="false" localSheetId="11" name="_JK00001067" vbProcedure="false">#REF!</definedName>
    <definedName function="false" hidden="false" localSheetId="11" name="_JK00001068" vbProcedure="false">#REF!</definedName>
    <definedName function="false" hidden="false" localSheetId="11" name="_JK00001069" vbProcedure="false">#REF!</definedName>
    <definedName function="false" hidden="false" localSheetId="11" name="_JK00001072" vbProcedure="false">#REF!</definedName>
    <definedName function="false" hidden="false" localSheetId="11" name="_JK00001073" vbProcedure="false">#REF!</definedName>
    <definedName function="false" hidden="false" localSheetId="11" name="_JK00001075" vbProcedure="false">#REF!</definedName>
    <definedName function="false" hidden="false" localSheetId="11" name="_JK00001076" vbProcedure="false">#REF!</definedName>
    <definedName function="false" hidden="false" localSheetId="11" name="_JK00001077" vbProcedure="false">#REF!</definedName>
    <definedName function="false" hidden="false" localSheetId="11" name="_JK00001078" vbProcedure="false">#REF!</definedName>
    <definedName function="false" hidden="false" localSheetId="11" name="_JK00001081" vbProcedure="false">#REF!</definedName>
    <definedName function="false" hidden="false" localSheetId="11" name="_JK00001082" vbProcedure="false">#REF!</definedName>
    <definedName function="false" hidden="false" localSheetId="11" name="_JK00001083" vbProcedure="false">#REF!</definedName>
    <definedName function="false" hidden="false" localSheetId="11" name="_JK00001084" vbProcedure="false">#REF!</definedName>
    <definedName function="false" hidden="false" localSheetId="11" name="_JK00001085" vbProcedure="false">#REF!</definedName>
    <definedName function="false" hidden="false" localSheetId="11" name="_JK00001086" vbProcedure="false">#REF!</definedName>
    <definedName function="false" hidden="false" localSheetId="11" name="_JK00001087" vbProcedure="false">#REF!</definedName>
    <definedName function="false" hidden="false" localSheetId="11" name="_JK00001089" vbProcedure="false">#REF!</definedName>
    <definedName function="false" hidden="false" localSheetId="11" name="_JK00001091" vbProcedure="false">#REF!</definedName>
    <definedName function="false" hidden="false" localSheetId="11" name="_JK00001092" vbProcedure="false">#REF!</definedName>
    <definedName function="false" hidden="false" localSheetId="11" name="_JK00001100" vbProcedure="false">#REF!</definedName>
    <definedName function="false" hidden="false" localSheetId="11" name="_JK00001101" vbProcedure="false">#REF!</definedName>
    <definedName function="false" hidden="false" localSheetId="11" name="_JK00001107" vbProcedure="false">#REF!</definedName>
    <definedName function="false" hidden="false" localSheetId="11" name="_JK00001108" vbProcedure="false">#REF!</definedName>
    <definedName function="false" hidden="false" localSheetId="11" name="_JK00001109" vbProcedure="false">#REF!</definedName>
    <definedName function="false" hidden="false" localSheetId="11" name="_JK00001110" vbProcedure="false">#REF!</definedName>
    <definedName function="false" hidden="false" localSheetId="11" name="_JK00001111" vbProcedure="false">#REF!</definedName>
    <definedName function="false" hidden="false" localSheetId="11" name="_JK00001113" vbProcedure="false">#REF!</definedName>
    <definedName function="false" hidden="false" localSheetId="11" name="_JK00001116" vbProcedure="false">#REF!</definedName>
    <definedName function="false" hidden="false" localSheetId="11" name="_JK00001118" vbProcedure="false">#REF!</definedName>
    <definedName function="false" hidden="false" localSheetId="11" name="_JK00001119" vbProcedure="false">#REF!</definedName>
    <definedName function="false" hidden="false" localSheetId="11" name="_JK00001121" vbProcedure="false">#REF!</definedName>
    <definedName function="false" hidden="false" localSheetId="11" name="_JK00001122" vbProcedure="false">#REF!</definedName>
    <definedName function="false" hidden="false" localSheetId="11" name="_JK00001124" vbProcedure="false">#REF!</definedName>
    <definedName function="false" hidden="false" localSheetId="11" name="_JK00001125" vbProcedure="false">#REF!</definedName>
    <definedName function="false" hidden="false" localSheetId="11" name="_JK00001127" vbProcedure="false">#REF!</definedName>
    <definedName function="false" hidden="false" localSheetId="11" name="_JK00001128" vbProcedure="false">#REF!</definedName>
    <definedName function="false" hidden="false" localSheetId="11" name="_JK00001135" vbProcedure="false">#REF!</definedName>
    <definedName function="false" hidden="false" localSheetId="11" name="_JK00001136" vbProcedure="false">#REF!</definedName>
    <definedName function="false" hidden="false" localSheetId="11" name="_JK00001137" vbProcedure="false">#REF!</definedName>
    <definedName function="false" hidden="false" localSheetId="11" name="_JK00001139" vbProcedure="false">#REF!</definedName>
    <definedName function="false" hidden="false" localSheetId="11" name="_JK00001141" vbProcedure="false">#REF!</definedName>
    <definedName function="false" hidden="false" localSheetId="11" name="_JK00001142" vbProcedure="false">#REF!</definedName>
    <definedName function="false" hidden="false" localSheetId="11" name="_JK00001143" vbProcedure="false">#REF!</definedName>
    <definedName function="false" hidden="false" localSheetId="11" name="_JK00001146" vbProcedure="false">#REF!</definedName>
    <definedName function="false" hidden="false" localSheetId="11" name="_JK00001147" vbProcedure="false">#REF!</definedName>
    <definedName function="false" hidden="false" localSheetId="11" name="_JK00001148" vbProcedure="false">#REF!</definedName>
    <definedName function="false" hidden="false" localSheetId="11" name="_JK00001149" vbProcedure="false">#REF!</definedName>
    <definedName function="false" hidden="false" localSheetId="11" name="_JK00001150" vbProcedure="false">#REF!</definedName>
    <definedName function="false" hidden="false" localSheetId="11" name="_JK00001151" vbProcedure="false">#REF!</definedName>
    <definedName function="false" hidden="false" localSheetId="11" name="_JK00001152" vbProcedure="false">#REF!</definedName>
    <definedName function="false" hidden="false" localSheetId="11" name="_JK00001154" vbProcedure="false">#REF!</definedName>
    <definedName function="false" hidden="false" localSheetId="11" name="_JK00001159" vbProcedure="false">#REF!</definedName>
    <definedName function="false" hidden="false" localSheetId="11" name="_JK00001160" vbProcedure="false">#REF!</definedName>
    <definedName function="false" hidden="false" localSheetId="11" name="_JK00001161" vbProcedure="false">#REF!</definedName>
    <definedName function="false" hidden="false" localSheetId="11" name="_JK00001164" vbProcedure="false">#REF!</definedName>
    <definedName function="false" hidden="false" localSheetId="11" name="_JK00001165" vbProcedure="false">#REF!</definedName>
    <definedName function="false" hidden="false" localSheetId="11" name="_JK00001166" vbProcedure="false">#REF!</definedName>
    <definedName function="false" hidden="false" localSheetId="11" name="_JK00001168" vbProcedure="false">#REF!</definedName>
    <definedName function="false" hidden="false" localSheetId="11" name="_JK00001172" vbProcedure="false">#REF!</definedName>
    <definedName function="false" hidden="false" localSheetId="11" name="_JK00001177" vbProcedure="false">#REF!</definedName>
    <definedName function="false" hidden="false" localSheetId="11" name="_JK00001178" vbProcedure="false">#REF!</definedName>
    <definedName function="false" hidden="false" localSheetId="11" name="_JK00001179" vbProcedure="false">#REF!</definedName>
    <definedName function="false" hidden="false" localSheetId="11" name="_JK00001180" vbProcedure="false">#REF!</definedName>
    <definedName function="false" hidden="false" localSheetId="11" name="_JK00001181" vbProcedure="false">#REF!</definedName>
    <definedName function="false" hidden="false" localSheetId="11" name="_JK00001184" vbProcedure="false">#REF!</definedName>
    <definedName function="false" hidden="false" localSheetId="11" name="_JK00001200" vbProcedure="false">#REF!</definedName>
    <definedName function="false" hidden="false" localSheetId="11" name="_JK00001202" vbProcedure="false">#REF!</definedName>
    <definedName function="false" hidden="false" localSheetId="11" name="_JK00001203" vbProcedure="false">#REF!</definedName>
    <definedName function="false" hidden="false" localSheetId="11" name="_JK00001204" vbProcedure="false">#REF!</definedName>
    <definedName function="false" hidden="false" localSheetId="11" name="_JK00001206" vbProcedure="false">#REF!</definedName>
    <definedName function="false" hidden="false" localSheetId="11" name="_JK00001207" vbProcedure="false">#REF!</definedName>
    <definedName function="false" hidden="false" localSheetId="11" name="_JK00001209" vbProcedure="false">#REF!</definedName>
    <definedName function="false" hidden="false" localSheetId="11" name="_JK00001210" vbProcedure="false">#REF!</definedName>
    <definedName function="false" hidden="false" localSheetId="11" name="_JK00001212" vbProcedure="false">#REF!</definedName>
    <definedName function="false" hidden="false" localSheetId="11" name="_JK00001218" vbProcedure="false">#REF!</definedName>
    <definedName function="false" hidden="false" localSheetId="11" name="_JK00001219" vbProcedure="false">#REF!</definedName>
    <definedName function="false" hidden="false" localSheetId="11" name="_JK00001220" vbProcedure="false">#REF!</definedName>
    <definedName function="false" hidden="false" localSheetId="11" name="_JK00001221" vbProcedure="false">#REF!</definedName>
    <definedName function="false" hidden="false" localSheetId="11" name="_JK00001222" vbProcedure="false">#REF!</definedName>
    <definedName function="false" hidden="false" localSheetId="11" name="_JK00001223" vbProcedure="false">#REF!</definedName>
    <definedName function="false" hidden="false" localSheetId="11" name="_JK1002864" vbProcedure="false">#REF!</definedName>
    <definedName function="false" hidden="false" localSheetId="11" name="_JK1002917" vbProcedure="false">#REF!</definedName>
    <definedName function="false" hidden="false" localSheetId="11" name="_JK1002919" vbProcedure="false">#REF!</definedName>
    <definedName function="false" hidden="false" localSheetId="11" name="_JK1002921" vbProcedure="false">#REF!</definedName>
    <definedName function="false" hidden="false" localSheetId="11" name="_JK1002923" vbProcedure="false">#REF!</definedName>
    <definedName function="false" hidden="false" localSheetId="11" name="_JK1002925" vbProcedure="false">#REF!</definedName>
    <definedName function="false" hidden="false" localSheetId="11" name="_JK1002927" vbProcedure="false">#REF!</definedName>
    <definedName function="false" hidden="false" localSheetId="11" name="_JK1002931" vbProcedure="false">#REF!</definedName>
    <definedName function="false" hidden="false" localSheetId="11" name="_JK1002937" vbProcedure="false">#REF!</definedName>
    <definedName function="false" hidden="false" localSheetId="11" name="_JK1002939" vbProcedure="false">#REF!</definedName>
    <definedName function="false" hidden="false" localSheetId="11" name="_JK1002941" vbProcedure="false">#REF!</definedName>
    <definedName function="false" hidden="false" localSheetId="11" name="_JK1002943" vbProcedure="false">#REF!</definedName>
    <definedName function="false" hidden="false" localSheetId="11" name="_JK1003116" vbProcedure="false">#REF!</definedName>
    <definedName function="false" hidden="false" localSheetId="11" name="_JK1003119" vbProcedure="false">#REF!</definedName>
    <definedName function="false" hidden="false" localSheetId="11" name="_JK1003125" vbProcedure="false">#REF!</definedName>
    <definedName function="false" hidden="false" localSheetId="11" name="_JK1003128" vbProcedure="false">#REF!</definedName>
    <definedName function="false" hidden="false" localSheetId="11" name="_JK1003134" vbProcedure="false">#REF!</definedName>
    <definedName function="false" hidden="false" localSheetId="11" name="_JK1003184" vbProcedure="false">#REF!</definedName>
    <definedName function="false" hidden="false" localSheetId="11" name="_JK1003193" vbProcedure="false">#REF!</definedName>
    <definedName function="false" hidden="false" localSheetId="11" name="_JK1003229" vbProcedure="false">#REF!</definedName>
    <definedName function="false" hidden="false" localSheetId="11" name="_JK1003232" vbProcedure="false">#REF!</definedName>
    <definedName function="false" hidden="false" localSheetId="11" name="_JK1003235" vbProcedure="false">#REF!</definedName>
    <definedName function="false" hidden="false" localSheetId="11" name="_JK1003250" vbProcedure="false">#REF!</definedName>
    <definedName function="false" hidden="false" localSheetId="11" name="_JK1003253" vbProcedure="false">#REF!</definedName>
    <definedName function="false" hidden="false" localSheetId="11" name="_JK1003325" vbProcedure="false">#REF!</definedName>
    <definedName function="false" hidden="false" localSheetId="11" name="_JK1003337" vbProcedure="false">#REF!</definedName>
    <definedName function="false" hidden="false" localSheetId="11" name="_JK1003340" vbProcedure="false">#REF!</definedName>
    <definedName function="false" hidden="false" localSheetId="11" name="_JK1003397" vbProcedure="false">#REF!</definedName>
    <definedName function="false" hidden="false" localSheetId="11" name="_JK1003400" vbProcedure="false">#REF!</definedName>
    <definedName function="false" hidden="false" localSheetId="11" name="_JK1003403" vbProcedure="false">#REF!</definedName>
    <definedName function="false" hidden="false" localSheetId="11" name="_JK1003406" vbProcedure="false">#REF!</definedName>
    <definedName function="false" hidden="false" localSheetId="11" name="_JK1003409" vbProcedure="false">#REF!</definedName>
    <definedName function="false" hidden="false" localSheetId="11" name="_JK1003412" vbProcedure="false">#REF!</definedName>
    <definedName function="false" hidden="false" localSheetId="11" name="_JK1003415" vbProcedure="false">#REF!</definedName>
    <definedName function="false" hidden="false" localSheetId="11" name="_JK1003418" vbProcedure="false">#REF!</definedName>
    <definedName function="false" hidden="false" localSheetId="11" name="_JK1003427" vbProcedure="false">#REF!</definedName>
    <definedName function="false" hidden="false" localSheetId="11" name="_JK1003430" vbProcedure="false">#REF!</definedName>
    <definedName function="false" hidden="false" localSheetId="11" name="_JK1003433" vbProcedure="false">#REF!</definedName>
    <definedName function="false" hidden="false" localSheetId="11" name="_JK1003437" vbProcedure="false">#REF!</definedName>
    <definedName function="false" hidden="false" localSheetId="11" name="_JK1003440" vbProcedure="false">#REF!</definedName>
    <definedName function="false" hidden="false" localSheetId="11" name="_JK1003446" vbProcedure="false">#REF!</definedName>
    <definedName function="false" hidden="false" localSheetId="11" name="_JK1003449" vbProcedure="false">#REF!</definedName>
    <definedName function="false" hidden="false" localSheetId="11" name="_JK1003452" vbProcedure="false">#REF!</definedName>
    <definedName function="false" hidden="false" localSheetId="11" name="_JK1003462" vbProcedure="false">#REF!</definedName>
    <definedName function="false" hidden="false" localSheetId="11" name="_JK1003465" vbProcedure="false">#REF!</definedName>
    <definedName function="false" hidden="false" localSheetId="11" name="_JK1003468" vbProcedure="false">#REF!</definedName>
    <definedName function="false" hidden="false" localSheetId="11" name="_JK1003471" vbProcedure="false">#REF!</definedName>
    <definedName function="false" hidden="false" localSheetId="11" name="_JK1003474" vbProcedure="false">#REF!</definedName>
    <definedName function="false" hidden="false" localSheetId="11" name="_JK1003477" vbProcedure="false">#REF!</definedName>
    <definedName function="false" hidden="false" localSheetId="11" name="_JK1003485" vbProcedure="false">#REF!</definedName>
    <definedName function="false" hidden="false" localSheetId="11" name="_JK1003488" vbProcedure="false">#REF!</definedName>
    <definedName function="false" hidden="false" localSheetId="11" name="_JK1003525" vbProcedure="false">#REF!</definedName>
    <definedName function="false" hidden="false" localSheetId="11" name="_JK1003528" vbProcedure="false">#REF!</definedName>
    <definedName function="false" hidden="false" localSheetId="11" name="_JK1003660" vbProcedure="false">#REF!</definedName>
    <definedName function="false" hidden="false" localSheetId="11" name="_JK1003767" vbProcedure="false">#REF!</definedName>
    <definedName function="false" hidden="false" localSheetId="11" name="_JK1003800" vbProcedure="false">#REF!</definedName>
    <definedName function="false" hidden="false" localSheetId="11" name="_JK1003803" vbProcedure="false">#REF!</definedName>
    <definedName function="false" hidden="false" localSheetId="11" name="_JK1003819" vbProcedure="false">#REF!</definedName>
    <definedName function="false" hidden="false" localSheetId="11" name="_JK1003869" vbProcedure="false">#REF!</definedName>
    <definedName function="false" hidden="false" localSheetId="11" name="_JK1003872" vbProcedure="false">#REF!</definedName>
    <definedName function="false" hidden="false" localSheetId="11" name="_JK1003875" vbProcedure="false">#REF!</definedName>
    <definedName function="false" hidden="false" localSheetId="11" name="_JK1003878" vbProcedure="false">#REF!</definedName>
    <definedName function="false" hidden="false" localSheetId="11" name="_JK1003881" vbProcedure="false">#REF!</definedName>
    <definedName function="false" hidden="false" localSheetId="11" name="_JK1003884" vbProcedure="false">#REF!</definedName>
    <definedName function="false" hidden="false" localSheetId="11" name="_JK1003887" vbProcedure="false">#REF!</definedName>
    <definedName function="false" hidden="false" localSheetId="11" name="_JK1003897" vbProcedure="false">#REF!</definedName>
    <definedName function="false" hidden="false" localSheetId="11" name="_JK1003900" vbProcedure="false">#REF!</definedName>
    <definedName function="false" hidden="false" localSheetId="11" name="_JK1003903" vbProcedure="false">#REF!</definedName>
    <definedName function="false" hidden="false" localSheetId="11" name="_JK1003906" vbProcedure="false">#REF!</definedName>
    <definedName function="false" hidden="false" localSheetId="11" name="_JK1003909" vbProcedure="false">#REF!</definedName>
    <definedName function="false" hidden="false" localSheetId="11" name="_JK1003936" vbProcedure="false">#REF!</definedName>
    <definedName function="false" hidden="false" localSheetId="11" name="_JK1004071" vbProcedure="false">#REF!</definedName>
    <definedName function="false" hidden="false" localSheetId="11" name="_JK1004081" vbProcedure="false">#REF!</definedName>
    <definedName function="false" hidden="false" localSheetId="11" name="_JK1004091" vbProcedure="false">#REF!</definedName>
    <definedName function="false" hidden="false" localSheetId="11" name="_JK1004109" vbProcedure="false">#REF!</definedName>
    <definedName function="false" hidden="false" localSheetId="11" name="_JK1004114" vbProcedure="false">#REF!</definedName>
    <definedName function="false" hidden="false" localSheetId="11" name="_JK1004662" vbProcedure="false">#REF!</definedName>
    <definedName function="false" hidden="false" localSheetId="11" name="_JK1004665" vbProcedure="false">#REF!</definedName>
    <definedName function="false" hidden="false" localSheetId="11" name="_JK1004671" vbProcedure="false">#REF!</definedName>
    <definedName function="false" hidden="false" localSheetId="11" name="_JK1004674" vbProcedure="false">#REF!</definedName>
    <definedName function="false" hidden="false" localSheetId="11" name="_JK1004684" vbProcedure="false">#REF!</definedName>
    <definedName function="false" hidden="false" localSheetId="11" name="_JK1004688" vbProcedure="false">#REF!</definedName>
    <definedName function="false" hidden="false" localSheetId="11" name="_JK1004696" vbProcedure="false">#REF!</definedName>
    <definedName function="false" hidden="false" localSheetId="11" name="_JK1004970" vbProcedure="false">#REF!</definedName>
    <definedName function="false" hidden="false" localSheetId="11" name="_JK1005262" vbProcedure="false">#REF!</definedName>
    <definedName function="false" hidden="false" localSheetId="11" name="_JK1005299" vbProcedure="false">#REF!</definedName>
    <definedName function="false" hidden="false" localSheetId="11" name="_JK1005302" vbProcedure="false">#REF!</definedName>
    <definedName function="false" hidden="false" localSheetId="11" name="_JK1005305" vbProcedure="false">#REF!</definedName>
    <definedName function="false" hidden="false" localSheetId="11" name="_JK1005313" vbProcedure="false">#REF!</definedName>
    <definedName function="false" hidden="false" localSheetId="11" name="_JK1005534" vbProcedure="false">#REF!</definedName>
    <definedName function="false" hidden="false" localSheetId="11" name="_JK1005551" vbProcedure="false">#REF!</definedName>
    <definedName function="false" hidden="false" localSheetId="11" name="_Key1" vbProcedure="false">#REF!</definedName>
    <definedName function="false" hidden="false" localSheetId="11" name="_MI1" vbProcedure="false">#REF!</definedName>
    <definedName function="false" hidden="false" localSheetId="11" name="_MI2" vbProcedure="false">#REF!</definedName>
    <definedName function="false" hidden="false" localSheetId="11" name="_MI6" vbProcedure="false">#REF!</definedName>
    <definedName function="false" hidden="false" localSheetId="11" name="_MI7" vbProcedure="false">#REF!</definedName>
    <definedName function="false" hidden="false" localSheetId="11" name="_MI8" vbProcedure="false">#REF!</definedName>
    <definedName function="false" hidden="false" localSheetId="11" name="_mil1" vbProcedure="false">#REF!</definedName>
    <definedName function="false" hidden="false" localSheetId="11" name="_mil2" vbProcedure="false">#REF!</definedName>
    <definedName function="false" hidden="false" localSheetId="11" name="_mil6" vbProcedure="false">#REF!</definedName>
    <definedName function="false" hidden="false" localSheetId="11" name="_mil7" vbProcedure="false">#REF!</definedName>
    <definedName function="false" hidden="false" localSheetId="11" name="_mil8" vbProcedure="false">#REF!</definedName>
    <definedName function="false" hidden="false" localSheetId="11" name="_msl100" vbProcedure="false">#REF!</definedName>
    <definedName function="false" hidden="false" localSheetId="11" name="_msl200" vbProcedure="false">#REF!</definedName>
    <definedName function="false" hidden="false" localSheetId="11" name="_msl250" vbProcedure="false">#REF!</definedName>
    <definedName function="false" hidden="false" localSheetId="11" name="_msl300" vbProcedure="false">#REF!</definedName>
    <definedName function="false" hidden="false" localSheetId="11" name="_msl400" vbProcedure="false">#REF!</definedName>
    <definedName function="false" hidden="false" localSheetId="11" name="_msl800" vbProcedure="false">#REF!</definedName>
    <definedName function="false" hidden="false" localSheetId="11" name="_mui100" vbProcedure="false">#REF!</definedName>
    <definedName function="false" hidden="false" localSheetId="11" name="_mui105" vbProcedure="false">#REF!</definedName>
    <definedName function="false" hidden="false" localSheetId="11" name="_mui108" vbProcedure="false">#REF!</definedName>
    <definedName function="false" hidden="false" localSheetId="11" name="_mui130" vbProcedure="false">#REF!</definedName>
    <definedName function="false" hidden="false" localSheetId="11" name="_mui140" vbProcedure="false">#REF!</definedName>
    <definedName function="false" hidden="false" localSheetId="11" name="_mui160" vbProcedure="false">#REF!</definedName>
    <definedName function="false" hidden="false" localSheetId="11" name="_mui180" vbProcedure="false">#REF!</definedName>
    <definedName function="false" hidden="false" localSheetId="11" name="_mui250" vbProcedure="false">#REF!</definedName>
    <definedName function="false" hidden="false" localSheetId="11" name="_mui271" vbProcedure="false">#REF!</definedName>
    <definedName function="false" hidden="false" localSheetId="11" name="_mui320" vbProcedure="false">#REF!</definedName>
    <definedName function="false" hidden="false" localSheetId="11" name="_mui45" vbProcedure="false">#REF!</definedName>
    <definedName function="false" hidden="false" localSheetId="11" name="_mui50" vbProcedure="false">#REF!</definedName>
    <definedName function="false" hidden="false" localSheetId="11" name="_mui54" vbProcedure="false">#REF!</definedName>
    <definedName function="false" hidden="false" localSheetId="11" name="_mui65" vbProcedure="false">#REF!</definedName>
    <definedName function="false" hidden="false" localSheetId="11" name="_mui75" vbProcedure="false">#REF!</definedName>
    <definedName function="false" hidden="false" localSheetId="11" name="_mui80" vbProcedure="false">#REF!</definedName>
    <definedName function="false" hidden="false" localSheetId="11" name="_NET2" vbProcedure="false">#REF!</definedName>
    <definedName function="false" hidden="false" localSheetId="11" name="_new1" vbProcedure="false">#REF!</definedName>
    <definedName function="false" hidden="false" localSheetId="11" name="_new11" vbProcedure="false">#REF!</definedName>
    <definedName function="false" hidden="false" localSheetId="11" name="_new6" vbProcedure="false">#REF!</definedName>
    <definedName function="false" hidden="false" localSheetId="11" name="_OB1" vbProcedure="false">#REF!</definedName>
    <definedName function="false" hidden="false" localSheetId="11" name="_OH1" vbProcedure="false">#REF!</definedName>
    <definedName function="false" hidden="false" localSheetId="11" name="_ONE03" vbProcedure="false">#REF!</definedName>
    <definedName function="false" hidden="false" localSheetId="11" name="_ONE04" vbProcedure="false">#REF!</definedName>
    <definedName function="false" hidden="false" localSheetId="11" name="_ONE05" vbProcedure="false">#REF!</definedName>
    <definedName function="false" hidden="false" localSheetId="11" name="_ONE06" vbProcedure="false">#REF!</definedName>
    <definedName function="false" hidden="false" localSheetId="11" name="_ONE07" vbProcedure="false">#REF!</definedName>
    <definedName function="false" hidden="false" localSheetId="11" name="_ONE08" vbProcedure="false">#REF!</definedName>
    <definedName function="false" hidden="false" localSheetId="11" name="_ONE09" vbProcedure="false">#REF!</definedName>
    <definedName function="false" hidden="false" localSheetId="11" name="_Ord9" vbProcedure="false">#REF!</definedName>
    <definedName function="false" hidden="false" localSheetId="11" name="_PL1" vbProcedure="false">#REF!</definedName>
    <definedName function="false" hidden="false" localSheetId="11" name="_PL2" vbProcedure="false">#REF!</definedName>
    <definedName function="false" hidden="false" localSheetId="11" name="_PMY02" vbProcedure="false">#REF!</definedName>
    <definedName function="false" hidden="false" localSheetId="11" name="_PMY03" vbProcedure="false">#REF!</definedName>
    <definedName function="false" hidden="false" localSheetId="11" name="_PMY04" vbProcedure="false">#REF!</definedName>
    <definedName function="false" hidden="false" localSheetId="11" name="_PMY05" vbProcedure="false">#REF!</definedName>
    <definedName function="false" hidden="false" localSheetId="11" name="_PMY06" vbProcedure="false">#REF!</definedName>
    <definedName function="false" hidden="false" localSheetId="11" name="_PMY07" vbProcedure="false">#REF!</definedName>
    <definedName function="false" hidden="false" localSheetId="11" name="_PMY08" vbProcedure="false">#REF!</definedName>
    <definedName function="false" hidden="false" localSheetId="11" name="_PMY09" vbProcedure="false">#REF!</definedName>
    <definedName function="false" hidden="false" localSheetId="11" name="_R" vbProcedure="false">#REF!</definedName>
    <definedName function="false" hidden="false" localSheetId="11" name="_sat10" vbProcedure="false">#REF!</definedName>
    <definedName function="false" hidden="false" localSheetId="11" name="_sat12" vbProcedure="false">#REF!</definedName>
    <definedName function="false" hidden="false" localSheetId="11" name="_sat14" vbProcedure="false">#REF!</definedName>
    <definedName function="false" hidden="false" localSheetId="11" name="_sat16" vbProcedure="false">#REF!</definedName>
    <definedName function="false" hidden="false" localSheetId="11" name="_sat20" vbProcedure="false">#REF!</definedName>
    <definedName function="false" hidden="false" localSheetId="11" name="_sat8" vbProcedure="false">#REF!</definedName>
    <definedName function="false" hidden="false" localSheetId="11" name="_SMY01" vbProcedure="false">#REF!</definedName>
    <definedName function="false" hidden="false" localSheetId="11" name="_SMY02" vbProcedure="false">#REF!</definedName>
    <definedName function="false" hidden="false" localSheetId="11" name="_SMY03" vbProcedure="false">#REF!</definedName>
    <definedName function="false" hidden="false" localSheetId="11" name="_SMY04" vbProcedure="false">#REF!</definedName>
    <definedName function="false" hidden="false" localSheetId="11" name="_SMY05" vbProcedure="false">#REF!</definedName>
    <definedName function="false" hidden="false" localSheetId="11" name="_SMY06" vbProcedure="false">#REF!</definedName>
    <definedName function="false" hidden="false" localSheetId="11" name="_SMY07" vbProcedure="false">#REF!</definedName>
    <definedName function="false" hidden="false" localSheetId="11" name="_SMY08" vbProcedure="false">#REF!</definedName>
    <definedName function="false" hidden="false" localSheetId="11" name="_SMY09" vbProcedure="false">#REF!</definedName>
    <definedName function="false" hidden="false" localSheetId="11" name="_Sort" vbProcedure="false">#REF!</definedName>
    <definedName function="false" hidden="false" localSheetId="11" name="_sua20" vbProcedure="false">#REF!</definedName>
    <definedName function="false" hidden="false" localSheetId="11" name="_sua30" vbProcedure="false">#REF!</definedName>
    <definedName function="false" hidden="false" localSheetId="11" name="_TWO03" vbProcedure="false">#REF!</definedName>
    <definedName function="false" hidden="false" localSheetId="11" name="_TWO04" vbProcedure="false">#REF!</definedName>
    <definedName function="false" hidden="false" localSheetId="11" name="_TWO05" vbProcedure="false">#REF!</definedName>
    <definedName function="false" hidden="false" localSheetId="11" name="_TWO06" vbProcedure="false">#REF!</definedName>
    <definedName function="false" hidden="false" localSheetId="11" name="_TWO07" vbProcedure="false">#REF!</definedName>
    <definedName function="false" hidden="false" localSheetId="11" name="_TWO08" vbProcedure="false">#REF!</definedName>
    <definedName function="false" hidden="false" localSheetId="11" name="_TWO09" vbProcedure="false">#REF!</definedName>
    <definedName function="false" hidden="false" localSheetId="11" name="_vbt150" vbProcedure="false">#REF!</definedName>
    <definedName function="false" hidden="false" localSheetId="11" name="_vbt200" vbProcedure="false">#REF!</definedName>
    <definedName function="false" hidden="false" localSheetId="11" name="_vbt210" vbProcedure="false">#REF!</definedName>
    <definedName function="false" hidden="false" localSheetId="11" name="_vbt300" vbProcedure="false">#REF!</definedName>
    <definedName function="false" hidden="false" localSheetId="11" name="_vbt400" vbProcedure="false">#REF!</definedName>
    <definedName function="false" hidden="false" localSheetId="11" name="_vxm100" vbProcedure="false">#REF!</definedName>
    <definedName function="false" hidden="false" localSheetId="11" name="_vxm300" vbProcedure="false">#REF!</definedName>
    <definedName function="false" hidden="false" localSheetId="11" name="_vxm500" vbProcedure="false">#REF!</definedName>
    <definedName function="false" hidden="false" localSheetId="11" name="_vxm75" vbProcedure="false">#REF!</definedName>
    <definedName function="false" hidden="false" localSheetId="11" name="_wo2" vbProcedure="false">#REF!</definedName>
    <definedName function="false" hidden="false" localSheetId="11" name="_wo6" vbProcedure="false">#REF!</definedName>
    <definedName function="false" hidden="false" localSheetId="11" name="_wo62" vbProcedure="false">#REF!</definedName>
    <definedName function="false" hidden="false" localSheetId="11" name="_XG\_" vbProcedure="false">#REF!</definedName>
    <definedName function="false" hidden="false" localSheetId="11" name="_xlnm.Database" vbProcedure="false">#REF!</definedName>
    <definedName function="false" hidden="false" localSheetId="11" name="_xlnm.Extract" vbProcedure="false">#REF!</definedName>
    <definedName function="false" hidden="false" localSheetId="11" name="_xlnm.Print_Area" vbProcedure="false">#REF!</definedName>
    <definedName function="false" hidden="false" localSheetId="11" name="_xlnm.Print_Titles" vbProcedure="false">#REF!</definedName>
    <definedName function="false" hidden="false" localSheetId="11" name="__" vbProcedure="false">#REF!</definedName>
    <definedName function="false" hidden="false" localSheetId="11" name="__6" vbProcedure="false">#REF!</definedName>
    <definedName function="false" hidden="false" localSheetId="11" name="__7_8" vbProcedure="false">#REF!</definedName>
    <definedName function="false" hidden="false" localSheetId="11" name="__8" vbProcedure="false">#REF!</definedName>
    <definedName function="false" hidden="false" localSheetId="11" name="__aug2" vbProcedure="false">#REF!</definedName>
    <definedName function="false" hidden="false" localSheetId="11" name="__BOM1" vbProcedure="false">#REF!</definedName>
    <definedName function="false" hidden="false" localSheetId="11" name="__C" vbProcedure="false">#REF!</definedName>
    <definedName function="false" hidden="false" localSheetId="11" name="__hom2" vbProcedure="false">#REF!</definedName>
    <definedName function="false" hidden="false" localSheetId="11" name="__MI1" vbProcedure="false">#REF!</definedName>
    <definedName function="false" hidden="false" localSheetId="11" name="__MI2" vbProcedure="false">#REF!</definedName>
    <definedName function="false" hidden="false" localSheetId="11" name="__MI6" vbProcedure="false">#REF!</definedName>
    <definedName function="false" hidden="false" localSheetId="11" name="__MI7" vbProcedure="false">#REF!</definedName>
    <definedName function="false" hidden="false" localSheetId="11" name="__MI8" vbProcedure="false">#REF!</definedName>
    <definedName function="false" hidden="false" localSheetId="11" name="__mil1" vbProcedure="false">#REF!</definedName>
    <definedName function="false" hidden="false" localSheetId="11" name="__mil2" vbProcedure="false">#REF!</definedName>
    <definedName function="false" hidden="false" localSheetId="11" name="__mil6" vbProcedure="false">#REF!</definedName>
    <definedName function="false" hidden="false" localSheetId="11" name="__mil7" vbProcedure="false">#REF!</definedName>
    <definedName function="false" hidden="false" localSheetId="11" name="__mil8" vbProcedure="false">#REF!</definedName>
    <definedName function="false" hidden="false" localSheetId="11" name="__msl100" vbProcedure="false">#REF!</definedName>
    <definedName function="false" hidden="false" localSheetId="11" name="__msl200" vbProcedure="false">#REF!</definedName>
    <definedName function="false" hidden="false" localSheetId="11" name="__msl250" vbProcedure="false">#REF!</definedName>
    <definedName function="false" hidden="false" localSheetId="11" name="__msl300" vbProcedure="false">#REF!</definedName>
    <definedName function="false" hidden="false" localSheetId="11" name="__msl400" vbProcedure="false">#REF!</definedName>
    <definedName function="false" hidden="false" localSheetId="11" name="__msl800" vbProcedure="false">#REF!</definedName>
    <definedName function="false" hidden="false" localSheetId="11" name="__mui100" vbProcedure="false">#REF!</definedName>
    <definedName function="false" hidden="false" localSheetId="11" name="__mui105" vbProcedure="false">#REF!</definedName>
    <definedName function="false" hidden="false" localSheetId="11" name="__mui108" vbProcedure="false">#REF!</definedName>
    <definedName function="false" hidden="false" localSheetId="11" name="__mui130" vbProcedure="false">#REF!</definedName>
    <definedName function="false" hidden="false" localSheetId="11" name="__mui140" vbProcedure="false">#REF!</definedName>
    <definedName function="false" hidden="false" localSheetId="11" name="__mui160" vbProcedure="false">#REF!</definedName>
    <definedName function="false" hidden="false" localSheetId="11" name="__mui180" vbProcedure="false">#REF!</definedName>
    <definedName function="false" hidden="false" localSheetId="11" name="__mui250" vbProcedure="false">#REF!</definedName>
    <definedName function="false" hidden="false" localSheetId="11" name="__mui271" vbProcedure="false">#REF!</definedName>
    <definedName function="false" hidden="false" localSheetId="11" name="__mui320" vbProcedure="false">#REF!</definedName>
    <definedName function="false" hidden="false" localSheetId="11" name="__mui45" vbProcedure="false">#REF!</definedName>
    <definedName function="false" hidden="false" localSheetId="11" name="__mui50" vbProcedure="false">#REF!</definedName>
    <definedName function="false" hidden="false" localSheetId="11" name="__mui54" vbProcedure="false">#REF!</definedName>
    <definedName function="false" hidden="false" localSheetId="11" name="__mui65" vbProcedure="false">#REF!</definedName>
    <definedName function="false" hidden="false" localSheetId="11" name="__mui75" vbProcedure="false">#REF!</definedName>
    <definedName function="false" hidden="false" localSheetId="11" name="__mui80" vbProcedure="false">#REF!</definedName>
    <definedName function="false" hidden="false" localSheetId="11" name="__NET2" vbProcedure="false">#REF!</definedName>
    <definedName function="false" hidden="false" localSheetId="11" name="__new1" vbProcedure="false">#REF!</definedName>
    <definedName function="false" hidden="false" localSheetId="11" name="__new11" vbProcedure="false">#REF!</definedName>
    <definedName function="false" hidden="false" localSheetId="11" name="__new6" vbProcedure="false">#REF!</definedName>
    <definedName function="false" hidden="false" localSheetId="11" name="__OB1" vbProcedure="false">#REF!</definedName>
    <definedName function="false" hidden="false" localSheetId="11" name="__Ord9" vbProcedure="false">#REF!</definedName>
    <definedName function="false" hidden="false" localSheetId="11" name="__PL1" vbProcedure="false">#REF!</definedName>
    <definedName function="false" hidden="false" localSheetId="11" name="__PL2" vbProcedure="false">#REF!</definedName>
    <definedName function="false" hidden="false" localSheetId="11" name="__R" vbProcedure="false">#REF!</definedName>
    <definedName function="false" hidden="false" localSheetId="11" name="__sua20" vbProcedure="false">#REF!</definedName>
    <definedName function="false" hidden="false" localSheetId="11" name="__sua30" vbProcedure="false">#REF!</definedName>
    <definedName function="false" hidden="false" localSheetId="11" name="__wo2" vbProcedure="false">#REF!</definedName>
    <definedName function="false" hidden="false" localSheetId="11" name="__wo6" vbProcedure="false">#REF!</definedName>
    <definedName function="false" hidden="false" localSheetId="11" name="__wo62" vbProcedure="false">#REF!</definedName>
    <definedName function="false" hidden="false" localSheetId="11" name="___" vbProcedure="false">#REF!</definedName>
    <definedName function="false" hidden="false" localSheetId="11" name="___6" vbProcedure="false">#REF!</definedName>
    <definedName function="false" hidden="false" localSheetId="11" name="___8" vbProcedure="false">#REF!</definedName>
    <definedName function="false" hidden="false" localSheetId="11" name="___aug2" vbProcedure="false">#REF!</definedName>
    <definedName function="false" hidden="false" localSheetId="11" name="___BOM1" vbProcedure="false">#REF!</definedName>
    <definedName function="false" hidden="false" localSheetId="11" name="___BTM150" vbProcedure="false">#REF!</definedName>
    <definedName function="false" hidden="false" localSheetId="11" name="___BTM200" vbProcedure="false">#REF!</definedName>
    <definedName function="false" hidden="false" localSheetId="11" name="___BTM50" vbProcedure="false">#REF!</definedName>
    <definedName function="false" hidden="false" localSheetId="11" name="___C" vbProcedure="false">#REF!</definedName>
    <definedName function="false" hidden="false" localSheetId="11" name="___CON1" vbProcedure="false">#REF!</definedName>
    <definedName function="false" hidden="false" localSheetId="11" name="___CON2" vbProcedure="false">#REF!</definedName>
    <definedName function="false" hidden="false" localSheetId="11" name="___EXC1" vbProcedure="false">#REF!</definedName>
    <definedName function="false" hidden="false" localSheetId="11" name="___EXC2" vbProcedure="false">#REF!</definedName>
    <definedName function="false" hidden="false" localSheetId="11" name="___new1" vbProcedure="false">#REF!</definedName>
    <definedName function="false" hidden="false" localSheetId="11" name="___new11" vbProcedure="false">#REF!</definedName>
    <definedName function="false" hidden="false" localSheetId="11" name="___new6" vbProcedure="false">#REF!</definedName>
    <definedName function="false" hidden="false" localSheetId="11" name="___OH1" vbProcedure="false">#REF!</definedName>
    <definedName function="false" hidden="false" localSheetId="11" name="___PL1" vbProcedure="false">#REF!</definedName>
    <definedName function="false" hidden="false" localSheetId="11" name="___PL2" vbProcedure="false">#REF!</definedName>
    <definedName function="false" hidden="false" localSheetId="11" name="___R" vbProcedure="false">#REF!</definedName>
    <definedName function="false" hidden="false" localSheetId="11" name="___sat10" vbProcedure="false">#REF!</definedName>
    <definedName function="false" hidden="false" localSheetId="11" name="___sat12" vbProcedure="false">#REF!</definedName>
    <definedName function="false" hidden="false" localSheetId="11" name="___sat14" vbProcedure="false">#REF!</definedName>
    <definedName function="false" hidden="false" localSheetId="11" name="___sat16" vbProcedure="false">#REF!</definedName>
    <definedName function="false" hidden="false" localSheetId="11" name="___sat20" vbProcedure="false">#REF!</definedName>
    <definedName function="false" hidden="false" localSheetId="11" name="___sat8" vbProcedure="false">#REF!</definedName>
    <definedName function="false" hidden="false" localSheetId="11" name="___vbt150" vbProcedure="false">#REF!</definedName>
    <definedName function="false" hidden="false" localSheetId="11" name="___vbt200" vbProcedure="false">#REF!</definedName>
    <definedName function="false" hidden="false" localSheetId="11" name="___vbt210" vbProcedure="false">#REF!</definedName>
    <definedName function="false" hidden="false" localSheetId="11" name="___vbt300" vbProcedure="false">#REF!</definedName>
    <definedName function="false" hidden="false" localSheetId="11" name="___vbt400" vbProcedure="false">#REF!</definedName>
    <definedName function="false" hidden="false" localSheetId="11" name="___vxm100" vbProcedure="false">#REF!</definedName>
    <definedName function="false" hidden="false" localSheetId="11" name="___vxm300" vbProcedure="false">#REF!</definedName>
    <definedName function="false" hidden="false" localSheetId="11" name="___vxm500" vbProcedure="false">#REF!</definedName>
    <definedName function="false" hidden="false" localSheetId="11" name="___vxm75" vbProcedure="false">#REF!</definedName>
    <definedName function="false" hidden="false" localSheetId="11" name="____" vbProcedure="false">#REF!</definedName>
    <definedName function="false" hidden="false" localSheetId="11" name="____aug2" vbProcedure="false">#REF!</definedName>
    <definedName function="false" hidden="false" localSheetId="11" name="____C" vbProcedure="false">#REF!</definedName>
    <definedName function="false" hidden="false" localSheetId="11" name="____E_" vbProcedure="false">#REF!</definedName>
    <definedName function="false" hidden="false" localSheetId="11" name="____MI1" vbProcedure="false">#REF!</definedName>
    <definedName function="false" hidden="false" localSheetId="11" name="____MI2" vbProcedure="false">#REF!</definedName>
    <definedName function="false" hidden="false" localSheetId="11" name="____MI6" vbProcedure="false">#REF!</definedName>
    <definedName function="false" hidden="false" localSheetId="11" name="____MI7" vbProcedure="false">#REF!</definedName>
    <definedName function="false" hidden="false" localSheetId="11" name="____MI8" vbProcedure="false">#REF!</definedName>
    <definedName function="false" hidden="false" localSheetId="11" name="____mil1" vbProcedure="false">#REF!</definedName>
    <definedName function="false" hidden="false" localSheetId="11" name="____mil2" vbProcedure="false">#REF!</definedName>
    <definedName function="false" hidden="false" localSheetId="11" name="____mil6" vbProcedure="false">#REF!</definedName>
    <definedName function="false" hidden="false" localSheetId="11" name="____mil7" vbProcedure="false">#REF!</definedName>
    <definedName function="false" hidden="false" localSheetId="11" name="____mil8" vbProcedure="false">#REF!</definedName>
    <definedName function="false" hidden="false" localSheetId="11" name="____new1" vbProcedure="false">#REF!</definedName>
    <definedName function="false" hidden="false" localSheetId="11" name="____new11" vbProcedure="false">#REF!</definedName>
    <definedName function="false" hidden="false" localSheetId="11" name="____new6" vbProcedure="false">#REF!</definedName>
    <definedName function="false" hidden="false" localSheetId="11" name="____PL1" vbProcedure="false">#REF!</definedName>
    <definedName function="false" hidden="false" localSheetId="11" name="____PL2" vbProcedure="false">#REF!</definedName>
    <definedName function="false" hidden="false" localSheetId="11" name="____R" vbProcedure="false">#REF!</definedName>
    <definedName function="false" hidden="false" localSheetId="11" name="____wo2" vbProcedure="false">#REF!</definedName>
    <definedName function="false" hidden="false" localSheetId="11" name="____wo6" vbProcedure="false">#REF!</definedName>
    <definedName function="false" hidden="false" localSheetId="11" name="____wo62" vbProcedure="false">#REF!</definedName>
    <definedName function="false" hidden="false" localSheetId="11" name="_____" vbProcedure="false">#REF!</definedName>
    <definedName function="false" hidden="false" localSheetId="11" name="_____No_____No______" vbProcedure="false">#REF!</definedName>
    <definedName function="false" hidden="false" localSheetId="11" name="_______" vbProcedure="false">#REF!</definedName>
    <definedName function="false" hidden="false" localSheetId="16" name="a" vbProcedure="false">#REF!</definedName>
    <definedName function="false" hidden="false" localSheetId="16" name="a277Print_Titles" vbProcedure="false">#REF!</definedName>
    <definedName function="false" hidden="false" localSheetId="16" name="aa" vbProcedure="false">#REF!</definedName>
    <definedName function="false" hidden="false" localSheetId="16" name="AA0160N" vbProcedure="false">#REF!</definedName>
    <definedName function="false" hidden="false" localSheetId="16" name="ab" vbProcedure="false">#REF!</definedName>
    <definedName function="false" hidden="false" localSheetId="16" name="abc" vbProcedure="false">#REF!</definedName>
    <definedName function="false" hidden="false" localSheetId="16" name="abnormal" vbProcedure="false">#REF!</definedName>
    <definedName function="false" hidden="false" localSheetId="16" name="account_sum" vbProcedure="false">'[3]科目（fs-311）' #REF!</definedName>
    <definedName function="false" hidden="false" localSheetId="16" name="ADDITIONS" vbProcedure="false">#REF!</definedName>
    <definedName function="false" hidden="false" localSheetId="16" name="ADJUSTMENTS" vbProcedure="false">#REF!</definedName>
    <definedName function="false" hidden="false" localSheetId="16" name="adminexp" vbProcedure="false">#REF!</definedName>
    <definedName function="false" hidden="false" localSheetId="16" name="AEFOBE_" vbProcedure="false">#REF!</definedName>
    <definedName function="false" hidden="false" localSheetId="16" name="AEFOB_" vbProcedure="false">#REF!</definedName>
    <definedName function="false" hidden="false" localSheetId="16" name="AELDE_" vbProcedure="false">#REF!</definedName>
    <definedName function="false" hidden="false" localSheetId="16" name="AELDM_" vbProcedure="false">#REF!</definedName>
    <definedName function="false" hidden="false" localSheetId="16" name="AELD_" vbProcedure="false">#REF!</definedName>
    <definedName function="false" hidden="false" localSheetId="16" name="AE_E_" vbProcedure="false">#REF!</definedName>
    <definedName function="false" hidden="false" localSheetId="16" name="AE__" vbProcedure="false">#REF!</definedName>
    <definedName function="false" hidden="false" localSheetId="16" name="aho" vbProcedure="false">#REF!</definedName>
    <definedName function="false" hidden="false" localSheetId="16" name="aircompressor" vbProcedure="false">#REF!</definedName>
    <definedName function="false" hidden="false" localSheetId="16" name="AK" vbProcedure="false">#REF!</definedName>
    <definedName function="false" hidden="false" localSheetId="16" name="ALFOBE_" vbProcedure="false">#REF!</definedName>
    <definedName function="false" hidden="false" localSheetId="16" name="ALFOB_" vbProcedure="false">#REF!</definedName>
    <definedName function="false" hidden="false" localSheetId="16" name="ALLDE_" vbProcedure="false">#REF!</definedName>
    <definedName function="false" hidden="false" localSheetId="16" name="ALLDM_" vbProcedure="false">#REF!</definedName>
    <definedName function="false" hidden="false" localSheetId="16" name="ALLD_" vbProcedure="false">#REF!</definedName>
    <definedName function="false" hidden="false" localSheetId="16" name="ALLO_C_ALL" vbProcedure="false">#REF!</definedName>
    <definedName function="false" hidden="false" localSheetId="16" name="ALLO_C_HEALTH" vbProcedure="false">#REF!</definedName>
    <definedName function="false" hidden="false" localSheetId="16" name="ALLO_C_IKUJI" vbProcedure="false">#REF!</definedName>
    <definedName function="false" hidden="false" localSheetId="16" name="ALLO_C_KAIGO" vbProcedure="false">#REF!</definedName>
    <definedName function="false" hidden="false" localSheetId="16" name="ALLO_C_OTHER" vbProcedure="false">#REF!</definedName>
    <definedName function="false" hidden="false" localSheetId="16" name="ALLO_I_ALL" vbProcedure="false">#REF!</definedName>
    <definedName function="false" hidden="false" localSheetId="16" name="ALLO_I_HEALTH" vbProcedure="false">#REF!</definedName>
    <definedName function="false" hidden="false" localSheetId="16" name="ALLO_I_HOIKU" vbProcedure="false">#REF!</definedName>
    <definedName function="false" hidden="false" localSheetId="16" name="ALLO_I_IKUJI" vbProcedure="false">#REF!</definedName>
    <definedName function="false" hidden="false" localSheetId="16" name="ALLO_I_JYOSEI" vbProcedure="false">#REF!</definedName>
    <definedName function="false" hidden="false" localSheetId="16" name="ALLO_I_KAIGO" vbProcedure="false">#REF!</definedName>
    <definedName function="false" hidden="false" localSheetId="16" name="ALLO_I_OTHER" vbProcedure="false">#REF!</definedName>
    <definedName function="false" hidden="false" localSheetId="16" name="AL_E_" vbProcedure="false">#REF!</definedName>
    <definedName function="false" hidden="false" localSheetId="16" name="AL__" vbProcedure="false">#REF!</definedName>
    <definedName function="false" hidden="false" localSheetId="16" name="ANA" vbProcedure="false">#REF!</definedName>
    <definedName function="false" hidden="false" localSheetId="16" name="APEX1_S_06_List" vbProcedure="false">#REF!</definedName>
    <definedName function="false" hidden="false" localSheetId="16" name="appl" vbProcedure="false">#REF!</definedName>
    <definedName function="false" hidden="false" localSheetId="16" name="asa" vbProcedure="false">#REF!</definedName>
    <definedName function="false" hidden="false" localSheetId="16" name="ASP" vbProcedure="false">#REF!</definedName>
    <definedName function="false" hidden="false" localSheetId="16" name="Ass" vbProcedure="false">#REF!</definedName>
    <definedName function="false" hidden="false" localSheetId="16" name="asx" vbProcedure="false">#REF!</definedName>
    <definedName function="false" hidden="false" localSheetId="16" name="ATN" vbProcedure="false">#REF!</definedName>
    <definedName function="false" hidden="false" localSheetId="16" name="AUGST" vbProcedure="false">#REF!</definedName>
    <definedName function="false" hidden="false" localSheetId="16" name="b" vbProcedure="false">#REF!</definedName>
    <definedName function="false" hidden="false" localSheetId="16" name="balancesheet" vbProcedure="false">#REF!</definedName>
    <definedName function="false" hidden="false" localSheetId="16" name="Bang_cly" vbProcedure="false">#REF!</definedName>
    <definedName function="false" hidden="false" localSheetId="16" name="Bang_CVC" vbProcedure="false">#REF!</definedName>
    <definedName function="false" hidden="false" localSheetId="16" name="bang_gia" vbProcedure="false">#REF!</definedName>
    <definedName function="false" hidden="false" localSheetId="16" name="Bang_travl" vbProcedure="false">#REF!</definedName>
    <definedName function="false" hidden="false" localSheetId="16" name="bentonite" vbProcedure="false">#REF!</definedName>
    <definedName function="false" hidden="false" localSheetId="16" name="BF1_" vbProcedure="false">#REF!</definedName>
    <definedName function="false" hidden="false" localSheetId="16" name="BF2_" vbProcedure="false">#REF!</definedName>
    <definedName function="false" hidden="false" localSheetId="16" name="BF3_" vbProcedure="false">#REF!</definedName>
    <definedName function="false" hidden="false" localSheetId="16" name="BFBS" vbProcedure="false">#REF!</definedName>
    <definedName function="false" hidden="false" localSheetId="16" name="BFES" vbProcedure="false">#REF!</definedName>
    <definedName function="false" hidden="false" localSheetId="16" name="BFS" vbProcedure="false">#REF!</definedName>
    <definedName function="false" hidden="false" localSheetId="16" name="Book2" vbProcedure="false">#REF!</definedName>
    <definedName function="false" hidden="false" localSheetId="16" name="BOQ" vbProcedure="false">#REF!</definedName>
    <definedName function="false" hidden="false" localSheetId="16" name="BORDER2" vbProcedure="false">#REF!</definedName>
    <definedName function="false" hidden="false" localSheetId="16" name="BS" vbProcedure="false">#REF!</definedName>
    <definedName function="false" hidden="false" localSheetId="16" name="BT" vbProcedure="false">#REF!</definedName>
    <definedName function="false" hidden="false" localSheetId="16" name="btcocnhoi" vbProcedure="false">#REF!</definedName>
    <definedName function="false" hidden="false" localSheetId="16" name="BVCISUMMARY" vbProcedure="false">#REF!</definedName>
    <definedName function="false" hidden="false" localSheetId="16" name="C.1.1..Phat_tuyen" vbProcedure="false">#REF!</definedName>
    <definedName function="false" hidden="false" localSheetId="16" name="C.1.10..VC_Thu_cong_CG" vbProcedure="false">#REF!</definedName>
    <definedName function="false" hidden="false" localSheetId="16" name="C.1.2..Chat_cay_thu_cong" vbProcedure="false">#REF!</definedName>
    <definedName function="false" hidden="false" localSheetId="16" name="C.1.3..Chat_cay_may" vbProcedure="false">#REF!</definedName>
    <definedName function="false" hidden="false" localSheetId="16" name="C.1.4..Dao_goc_cay" vbProcedure="false">#REF!</definedName>
    <definedName function="false" hidden="false" localSheetId="16" name="C.1.5..Lam_duong_tam" vbProcedure="false">#REF!</definedName>
    <definedName function="false" hidden="false" localSheetId="16" name="C.1.6..Lam_cau_tam" vbProcedure="false">#REF!</definedName>
    <definedName function="false" hidden="false" localSheetId="16" name="C.1.7..Rai_da_chong_lun" vbProcedure="false">#REF!</definedName>
    <definedName function="false" hidden="false" localSheetId="16" name="C.1.8..Lam_kho_tam" vbProcedure="false">#REF!</definedName>
    <definedName function="false" hidden="false" localSheetId="16" name="C.1.8..San_mat_bang" vbProcedure="false">#REF!</definedName>
    <definedName function="false" hidden="false" localSheetId="16" name="C.2.1..VC_Thu_cong" vbProcedure="false">#REF!</definedName>
    <definedName function="false" hidden="false" localSheetId="16" name="C.2.2..VC_T_cong_CG" vbProcedure="false">#REF!</definedName>
    <definedName function="false" hidden="false" localSheetId="16" name="C.2.3..Boc_do" vbProcedure="false">#REF!</definedName>
    <definedName function="false" hidden="false" localSheetId="16" name="C.3.1..Dao_dat_mong_cot" vbProcedure="false">#REF!</definedName>
    <definedName function="false" hidden="false" localSheetId="16" name="C.3.2..Dao_dat_de_dap" vbProcedure="false">#REF!</definedName>
    <definedName function="false" hidden="false" localSheetId="16" name="C.3.3..Dap_dat_mong" vbProcedure="false">#REF!</definedName>
    <definedName function="false" hidden="false" localSheetId="16" name="C.3.4..Dao_dap_TDia" vbProcedure="false">#REF!</definedName>
    <definedName function="false" hidden="false" localSheetId="16" name="C.3.5..Dap_bo_bao" vbProcedure="false">#REF!</definedName>
    <definedName function="false" hidden="false" localSheetId="16" name="C.3.6..Bom_tat_nuoc" vbProcedure="false">#REF!</definedName>
    <definedName function="false" hidden="false" localSheetId="16" name="C.3.7..Dao_bun" vbProcedure="false">#REF!</definedName>
    <definedName function="false" hidden="false" localSheetId="16" name="C.3.8..Dap_cat_CT" vbProcedure="false">#REF!</definedName>
    <definedName function="false" hidden="false" localSheetId="16" name="C.3.9..Dao_pha_da" vbProcedure="false">#REF!</definedName>
    <definedName function="false" hidden="false" localSheetId="16" name="C.4.1.Cot_thep" vbProcedure="false">#REF!</definedName>
    <definedName function="false" hidden="false" localSheetId="16" name="C.4.2..Van_khuon" vbProcedure="false">#REF!</definedName>
    <definedName function="false" hidden="false" localSheetId="16" name="C.4.3..Be_tong" vbProcedure="false">#REF!</definedName>
    <definedName function="false" hidden="false" localSheetId="16" name="C.4.4..Lap_BT_D.San" vbProcedure="false">#REF!</definedName>
    <definedName function="false" hidden="false" localSheetId="16" name="C.4.5..Xay_da_hoc" vbProcedure="false">#REF!</definedName>
    <definedName function="false" hidden="false" localSheetId="16" name="C.4.6..Dong_coc" vbProcedure="false">#REF!</definedName>
    <definedName function="false" hidden="false" localSheetId="16" name="C.4.7..Quet_Bi_tum" vbProcedure="false">#REF!</definedName>
    <definedName function="false" hidden="false" localSheetId="16" name="C.5.1..Lap_cot_thep" vbProcedure="false">#REF!</definedName>
    <definedName function="false" hidden="false" localSheetId="16" name="C.5.2..Lap_cot_BT" vbProcedure="false">#REF!</definedName>
    <definedName function="false" hidden="false" localSheetId="16" name="C.5.3..Lap_dat_xa" vbProcedure="false">#REF!</definedName>
    <definedName function="false" hidden="false" localSheetId="16" name="C.5.4..Lap_tiep_dia" vbProcedure="false">#REF!</definedName>
    <definedName function="false" hidden="false" localSheetId="16" name="C.5.5..Son_sat_thep" vbProcedure="false">#REF!</definedName>
    <definedName function="false" hidden="false" localSheetId="16" name="C.6.1..Lap_su_dung" vbProcedure="false">#REF!</definedName>
    <definedName function="false" hidden="false" localSheetId="16" name="C.6.2..Lap_su_CS" vbProcedure="false">#REF!</definedName>
    <definedName function="false" hidden="false" localSheetId="16" name="C.6.3..Su_chuoi_do" vbProcedure="false">#REF!</definedName>
    <definedName function="false" hidden="false" localSheetId="16" name="C.6.4..Su_chuoi_neo" vbProcedure="false">#REF!</definedName>
    <definedName function="false" hidden="false" localSheetId="16" name="C.6.5..Lap_phu_kien" vbProcedure="false">#REF!</definedName>
    <definedName function="false" hidden="false" localSheetId="16" name="C.6.6..Ep_noi_day" vbProcedure="false">#REF!</definedName>
    <definedName function="false" hidden="false" localSheetId="16" name="C.6.7..KD_vuot_CN" vbProcedure="false">#REF!</definedName>
    <definedName function="false" hidden="false" localSheetId="16" name="C.6.8..Rai_cang_day" vbProcedure="false">#REF!</definedName>
    <definedName function="false" hidden="false" localSheetId="16" name="C.6.9..Cap_quang" vbProcedure="false">#REF!</definedName>
    <definedName function="false" hidden="false" localSheetId="16" name="CAL" vbProcedure="false">#REF!</definedName>
    <definedName function="false" hidden="false" localSheetId="16" name="CAPEX" vbProcedure="false">#REF!</definedName>
    <definedName function="false" hidden="false" localSheetId="16" name="Car_Build" vbProcedure="false">#REF!</definedName>
    <definedName function="false" hidden="false" localSheetId="16" name="CAR_Volumes" vbProcedure="false">#REF!</definedName>
    <definedName function="false" hidden="false" localSheetId="16" name="cash" vbProcedure="false">#REF!</definedName>
    <definedName function="false" hidden="false" localSheetId="16" name="cash1" vbProcedure="false">#REF!</definedName>
    <definedName function="false" hidden="false" localSheetId="16" name="cash2" vbProcedure="false">#REF!</definedName>
    <definedName function="false" hidden="false" localSheetId="16" name="CCDCGR2" vbProcedure="false">#REF!</definedName>
    <definedName function="false" hidden="false" localSheetId="16" name="CCDJC" vbProcedure="false">#REF!</definedName>
    <definedName function="false" hidden="false" localSheetId="16" name="CCDJCP" vbProcedure="false">#REF!</definedName>
    <definedName function="false" hidden="false" localSheetId="16" name="CCDN2D" vbProcedure="false">#REF!</definedName>
    <definedName function="false" hidden="false" localSheetId="16" name="CCDSMG32" vbProcedure="false">#REF!</definedName>
    <definedName function="false" hidden="false" localSheetId="16" name="CCFUT3RXL" vbProcedure="false">#REF!</definedName>
    <definedName function="false" hidden="false" localSheetId="16" name="CCLH2NY" vbProcedure="false">#REF!</definedName>
    <definedName function="false" hidden="false" localSheetId="16" name="CCLH3CO" vbProcedure="false">#REF!</definedName>
    <definedName function="false" hidden="false" localSheetId="16" name="CCLH3IN2" vbProcedure="false">#REF!</definedName>
    <definedName function="false" hidden="false" localSheetId="16" name="CCLH3NY2" vbProcedure="false">#REF!</definedName>
    <definedName function="false" hidden="false" localSheetId="16" name="CCLLX2" vbProcedure="false">#REF!</definedName>
    <definedName function="false" hidden="false" localSheetId="16" name="CCNCV2" vbProcedure="false">#REF!</definedName>
    <definedName function="false" hidden="false" localSheetId="16" name="CCPL2SU" vbProcedure="false">#REF!</definedName>
    <definedName function="false" hidden="false" localSheetId="16" name="CCPLDMV2" vbProcedure="false">#REF!</definedName>
    <definedName function="false" hidden="false" localSheetId="16" name="CCPLDSU" vbProcedure="false">#REF!</definedName>
    <definedName function="false" hidden="false" localSheetId="16" name="CCPPROW" vbProcedure="false">#REF!</definedName>
    <definedName function="false" hidden="false" localSheetId="16" name="CCPS2" vbProcedure="false">#REF!</definedName>
    <definedName function="false" hidden="false" localSheetId="16" name="CCT33RM" vbProcedure="false">#REF!</definedName>
    <definedName function="false" hidden="false" localSheetId="16" name="CCT33W" vbProcedure="false">#REF!</definedName>
    <definedName function="false" hidden="false" localSheetId="16" name="CCTCSW2" vbProcedure="false">#REF!</definedName>
    <definedName function="false" hidden="false" localSheetId="16" name="CCTDGHWGN2" vbProcedure="false">#REF!</definedName>
    <definedName function="false" hidden="false" localSheetId="16" name="CCTDM80" vbProcedure="false">#REF!</definedName>
    <definedName function="false" hidden="false" localSheetId="16" name="CCTDSD" vbProcedure="false">#REF!</definedName>
    <definedName function="false" hidden="false" localSheetId="16" name="CCTDSM" vbProcedure="false">#REF!</definedName>
    <definedName function="false" hidden="false" localSheetId="16" name="CCTFVIA" vbProcedure="false">#REF!</definedName>
    <definedName function="false" hidden="false" localSheetId="16" name="CCTHMSPU" vbProcedure="false">#REF!</definedName>
    <definedName function="false" hidden="false" localSheetId="16" name="CCTLX2" vbProcedure="false">#REF!</definedName>
    <definedName function="false" hidden="false" localSheetId="16" name="CCTMSUV" vbProcedure="false">#REF!</definedName>
    <definedName function="false" hidden="false" localSheetId="16" name="CCTNSR2" vbProcedure="false">#REF!</definedName>
    <definedName function="false" hidden="false" localSheetId="16" name="CCTPT2" vbProcedure="false">#REF!</definedName>
    <definedName function="false" hidden="false" localSheetId="16" name="CCTRSRCAR" vbProcedure="false">#REF!</definedName>
    <definedName function="false" hidden="false" localSheetId="16" name="CCTRSRTC" vbProcedure="false">#REF!</definedName>
    <definedName function="false" hidden="false" localSheetId="16" name="CCTRTNCC" vbProcedure="false">#REF!</definedName>
    <definedName function="false" hidden="false" localSheetId="16" name="CCTRTRCRM" vbProcedure="false">#REF!</definedName>
    <definedName function="false" hidden="false" localSheetId="16" name="CCTXJ" vbProcedure="false">#REF!</definedName>
    <definedName function="false" hidden="false" localSheetId="16" name="CCTXJ3C" vbProcedure="false">#REF!</definedName>
    <definedName function="false" hidden="false" localSheetId="16" name="CCTXJC" vbProcedure="false">#REF!</definedName>
    <definedName function="false" hidden="false" localSheetId="16" name="CFCDMZM2" vbProcedure="false">#REF!</definedName>
    <definedName function="false" hidden="false" localSheetId="16" name="CFCDWE" vbProcedure="false">#REF!</definedName>
    <definedName function="false" hidden="false" localSheetId="16" name="CFCDWMXL" vbProcedure="false">#REF!</definedName>
    <definedName function="false" hidden="false" localSheetId="16" name="CFCW1702" vbProcedure="false">#REF!</definedName>
    <definedName function="false" hidden="false" localSheetId="16" name="CFCWFF" vbProcedure="false">#REF!</definedName>
    <definedName function="false" hidden="false" localSheetId="16" name="CFCWFOC2" vbProcedure="false">#REF!</definedName>
    <definedName function="false" hidden="false" localSheetId="16" name="CFD258M" vbProcedure="false">#REF!</definedName>
    <definedName function="false" hidden="false" localSheetId="16" name="CFDEW2LS" vbProcedure="false">#REF!</definedName>
    <definedName function="false" hidden="false" localSheetId="16" name="CFEA" vbProcedure="false">#REF!</definedName>
    <definedName function="false" hidden="false" localSheetId="16" name="CFEA2CV" vbProcedure="false">#REF!</definedName>
    <definedName function="false" hidden="false" localSheetId="16" name="CFEA2LTC" vbProcedure="false">#REF!</definedName>
    <definedName function="false" hidden="false" localSheetId="16" name="CFEA2MGM" vbProcedure="false">#REF!</definedName>
    <definedName function="false" hidden="false" localSheetId="16" name="cfk" vbProcedure="false">#REF!</definedName>
    <definedName function="false" hidden="false" localSheetId="16" name="CFLNCP2F" vbProcedure="false">#REF!</definedName>
    <definedName function="false" hidden="false" localSheetId="16" name="CFLNCP2M" vbProcedure="false">#REF!</definedName>
    <definedName function="false" hidden="false" localSheetId="16" name="CFLX" vbProcedure="false">#REF!</definedName>
    <definedName function="false" hidden="false" localSheetId="16" name="CFLX350" vbProcedure="false">#REF!</definedName>
    <definedName function="false" hidden="false" localSheetId="16" name="CFTCRS" vbProcedure="false">#REF!</definedName>
    <definedName function="false" hidden="false" localSheetId="16" name="CFTD258M" vbProcedure="false">#REF!</definedName>
    <definedName function="false" hidden="false" localSheetId="16" name="CFTE169" vbProcedure="false">#REF!</definedName>
    <definedName function="false" hidden="false" localSheetId="16" name="CFTFCMAV" vbProcedure="false">#REF!</definedName>
    <definedName function="false" hidden="false" localSheetId="16" name="CFTMCSUV" vbProcedure="false">#REF!</definedName>
    <definedName function="false" hidden="false" localSheetId="16" name="CFTPN" vbProcedure="false">#REF!</definedName>
    <definedName function="false" hidden="false" localSheetId="16" name="CFTV2" vbProcedure="false">#REF!</definedName>
    <definedName function="false" hidden="false" localSheetId="16" name="CFTV2E" vbProcedure="false">#REF!</definedName>
    <definedName function="false" hidden="false" localSheetId="16" name="CFU377F" vbProcedure="false">#REF!</definedName>
    <definedName function="false" hidden="false" localSheetId="16" name="CFU377M" vbProcedure="false">#REF!</definedName>
    <definedName function="false" hidden="false" localSheetId="16" name="CFU377MZ" vbProcedure="false">#REF!</definedName>
    <definedName function="false" hidden="false" localSheetId="16" name="CFUN1" vbProcedure="false">#REF!</definedName>
    <definedName function="false" hidden="false" localSheetId="16" name="CFUN1EX" vbProcedure="false">#REF!</definedName>
    <definedName function="false" hidden="false" localSheetId="16" name="CFWD379SP" vbProcedure="false">#REF!</definedName>
    <definedName function="false" hidden="false" localSheetId="16" name="CFWMD380" vbProcedure="false">#REF!</definedName>
    <definedName function="false" hidden="false" localSheetId="16" name="CGBEPTSN" vbProcedure="false">#REF!</definedName>
    <definedName function="false" hidden="false" localSheetId="16" name="CGBKVE" vbProcedure="false">#REF!</definedName>
    <definedName function="false" hidden="false" localSheetId="16" name="CGCCAM" vbProcedure="false">#REF!</definedName>
    <definedName function="false" hidden="false" localSheetId="16" name="CGCRS" vbProcedure="false">#REF!</definedName>
    <definedName function="false" hidden="false" localSheetId="16" name="CGDELBENG" vbProcedure="false">#REF!</definedName>
    <definedName function="false" hidden="false" localSheetId="16" name="CGEPLP2" vbProcedure="false">#REF!</definedName>
    <definedName function="false" hidden="false" localSheetId="16" name="CGEPMALI" vbProcedure="false">#REF!</definedName>
    <definedName function="false" hidden="false" localSheetId="16" name="CGEPS2" vbProcedure="false">#REF!</definedName>
    <definedName function="false" hidden="false" localSheetId="16" name="CGGAM1CCM" vbProcedure="false">#REF!</definedName>
    <definedName function="false" hidden="false" localSheetId="16" name="CGRDCA2" vbProcedure="false">#REF!</definedName>
    <definedName function="false" hidden="false" localSheetId="16" name="CGRDCS2" vbProcedure="false">#REF!</definedName>
    <definedName function="false" hidden="false" localSheetId="16" name="CGRDMAV2" vbProcedure="false">#REF!</definedName>
    <definedName function="false" hidden="false" localSheetId="16" name="CGSATION2" vbProcedure="false">#REF!</definedName>
    <definedName function="false" hidden="false" localSheetId="16" name="CGSCSKY" vbProcedure="false">#REF!</definedName>
    <definedName function="false" hidden="false" localSheetId="16" name="CGSIG2" vbProcedure="false">#REF!</definedName>
    <definedName function="false" hidden="false" localSheetId="16" name="CGSIGMAM" vbProcedure="false">#REF!</definedName>
    <definedName function="false" hidden="false" localSheetId="16" name="CGSIGMGP" vbProcedure="false">#REF!</definedName>
    <definedName function="false" hidden="false" localSheetId="16" name="CGSMGTO" vbProcedure="false">#REF!</definedName>
    <definedName function="false" hidden="false" localSheetId="16" name="CGT306GJS" vbProcedure="false">#REF!</definedName>
    <definedName function="false" hidden="false" localSheetId="16" name="CGT361B" vbProcedure="false">#REF!</definedName>
    <definedName function="false" hidden="false" localSheetId="16" name="CGT361B98" vbProcedure="false">#REF!</definedName>
    <definedName function="false" hidden="false" localSheetId="16" name="CGT361J" vbProcedure="false">#REF!</definedName>
    <definedName function="false" hidden="false" localSheetId="16" name="CGT371CB" vbProcedure="false">#REF!</definedName>
    <definedName function="false" hidden="false" localSheetId="16" name="CGT371GE" vbProcedure="false">#REF!</definedName>
    <definedName function="false" hidden="false" localSheetId="16" name="CGT900C" vbProcedure="false">#REF!</definedName>
    <definedName function="false" hidden="false" localSheetId="16" name="CGT900G" vbProcedure="false">#REF!</definedName>
    <definedName function="false" hidden="false" localSheetId="16" name="CGT990C" vbProcedure="false">#REF!</definedName>
    <definedName function="false" hidden="false" localSheetId="16" name="CGT990G" vbProcedure="false">#REF!</definedName>
    <definedName function="false" hidden="false" localSheetId="16" name="CGTAPV3B" vbProcedure="false">#REF!</definedName>
    <definedName function="false" hidden="false" localSheetId="16" name="CGTAPV3L" vbProcedure="false">#REF!</definedName>
    <definedName function="false" hidden="false" localSheetId="16" name="CGTBCSUV2" vbProcedure="false">#REF!</definedName>
    <definedName function="false" hidden="false" localSheetId="16" name="CGTBKVAN" vbProcedure="false">#REF!</definedName>
    <definedName function="false" hidden="false" localSheetId="16" name="CGTCK" vbProcedure="false">#REF!</definedName>
    <definedName function="false" hidden="false" localSheetId="16" name="CGTCKC" vbProcedure="false">#REF!</definedName>
    <definedName function="false" hidden="false" localSheetId="16" name="CGTCPU" vbProcedure="false">#REF!</definedName>
    <definedName function="false" hidden="false" localSheetId="16" name="CGTCTDEL2" vbProcedure="false">#REF!</definedName>
    <definedName function="false" hidden="false" localSheetId="16" name="CGTDLS2" vbProcedure="false">#REF!</definedName>
    <definedName function="false" hidden="false" localSheetId="16" name="CGTGAM" vbProcedure="false">#REF!</definedName>
    <definedName function="false" hidden="false" localSheetId="16" name="CGTHUMH22" vbProcedure="false">#REF!</definedName>
    <definedName function="false" hidden="false" localSheetId="16" name="CGTHUMHX" vbProcedure="false">#REF!</definedName>
    <definedName function="false" hidden="false" localSheetId="16" name="CGTLAMGES" vbProcedure="false">#REF!</definedName>
    <definedName function="false" hidden="false" localSheetId="16" name="CGTS3IZ" vbProcedure="false">#REF!</definedName>
    <definedName function="false" hidden="false" localSheetId="16" name="CGTSATVAN" vbProcedure="false">#REF!</definedName>
    <definedName function="false" hidden="false" localSheetId="16" name="CGTSIG2" vbProcedure="false">#REF!</definedName>
    <definedName function="false" hidden="false" localSheetId="16" name="CGTSSRTPV" vbProcedure="false">#REF!</definedName>
    <definedName function="false" hidden="false" localSheetId="16" name="CGTSU3O" vbProcedure="false">#REF!</definedName>
    <definedName function="false" hidden="false" localSheetId="16" name="CGTTHTA" vbProcedure="false">#REF!</definedName>
    <definedName function="false" hidden="false" localSheetId="16" name="CGW2LU" vbProcedure="false">#REF!</definedName>
    <definedName function="false" hidden="false" localSheetId="16" name="chiyoko" vbProcedure="false">#REF!</definedName>
    <definedName function="false" hidden="false" localSheetId="16" name="clip" vbProcedure="false">#REF!</definedName>
    <definedName function="false" hidden="false" localSheetId="16" name="CNmLst" vbProcedure="false">#REF!</definedName>
    <definedName function="false" hidden="false" localSheetId="16" name="Co" vbProcedure="false">#REF!</definedName>
    <definedName function="false" hidden="false" localSheetId="16" name="COAT" vbProcedure="false">#REF!</definedName>
    <definedName function="false" hidden="false" localSheetId="16" name="COLOR" vbProcedure="false">#REF!</definedName>
    <definedName function="false" hidden="false" localSheetId="16" name="COMMON" vbProcedure="false">#REF!</definedName>
    <definedName function="false" hidden="false" localSheetId="16" name="comp" vbProcedure="false">#REF!</definedName>
    <definedName function="false" hidden="false" localSheetId="16" name="CON" vbProcedure="false">#REF!</definedName>
    <definedName function="false" hidden="false" localSheetId="16" name="CONC25" vbProcedure="false">#REF!</definedName>
    <definedName function="false" hidden="false" localSheetId="16" name="CONC30" vbProcedure="false">#REF!</definedName>
    <definedName function="false" hidden="false" localSheetId="16" name="CONCS25" vbProcedure="false">#REF!</definedName>
    <definedName function="false" hidden="false" localSheetId="16" name="CONCS30" vbProcedure="false">#REF!</definedName>
    <definedName function="false" hidden="false" localSheetId="16" name="Cong_HM_DTCT" vbProcedure="false">#REF!</definedName>
    <definedName function="false" hidden="false" localSheetId="16" name="Cong_M_DTCT" vbProcedure="false">#REF!</definedName>
    <definedName function="false" hidden="false" localSheetId="16" name="Cong_NC_DTCT" vbProcedure="false">#REF!</definedName>
    <definedName function="false" hidden="false" localSheetId="16" name="Cong_VL_DTCT" vbProcedure="false">#REF!</definedName>
    <definedName function="false" hidden="false" localSheetId="16" name="CONS" vbProcedure="false">#REF!</definedName>
    <definedName function="false" hidden="false" localSheetId="16" name="Control" vbProcedure="false">#REF!</definedName>
    <definedName function="false" hidden="false" localSheetId="16" name="CON_EQP_COS" vbProcedure="false">#REF!</definedName>
    <definedName function="false" hidden="false" localSheetId="16" name="COPL" vbProcedure="false">#REF!</definedName>
    <definedName function="false" hidden="false" localSheetId="16" name="Cost_of_Material" vbProcedure="false">#REF!</definedName>
    <definedName function="false" hidden="false" localSheetId="16" name="Cost_of_Scrap" vbProcedure="false">#REF!</definedName>
    <definedName function="false" hidden="false" localSheetId="16" name="cot7.5" vbProcedure="false">#REF!</definedName>
    <definedName function="false" hidden="false" localSheetId="16" name="cot8.5" vbProcedure="false">#REF!</definedName>
    <definedName function="false" hidden="false" localSheetId="16" name="COVER" vbProcedure="false">#REF!</definedName>
    <definedName function="false" hidden="false" localSheetId="16" name="cpc" vbProcedure="false">#REF!</definedName>
    <definedName function="false" hidden="false" localSheetId="16" name="CRITINST" vbProcedure="false">#REF!</definedName>
    <definedName function="false" hidden="false" localSheetId="16" name="CRITPURC" vbProcedure="false">#REF!</definedName>
    <definedName function="false" hidden="false" localSheetId="16" name="CS" vbProcedure="false">#REF!</definedName>
    <definedName function="false" hidden="false" localSheetId="16" name="CS_10" vbProcedure="false">#REF!</definedName>
    <definedName function="false" hidden="false" localSheetId="16" name="CS_100" vbProcedure="false">#REF!</definedName>
    <definedName function="false" hidden="false" localSheetId="16" name="CS_10S" vbProcedure="false">#REF!</definedName>
    <definedName function="false" hidden="false" localSheetId="16" name="CS_120" vbProcedure="false">#REF!</definedName>
    <definedName function="false" hidden="false" localSheetId="16" name="CS_140" vbProcedure="false">#REF!</definedName>
    <definedName function="false" hidden="false" localSheetId="16" name="CS_160" vbProcedure="false">#REF!</definedName>
    <definedName function="false" hidden="false" localSheetId="16" name="CS_20" vbProcedure="false">#REF!</definedName>
    <definedName function="false" hidden="false" localSheetId="16" name="CS_30" vbProcedure="false">#REF!</definedName>
    <definedName function="false" hidden="false" localSheetId="16" name="CS_40" vbProcedure="false">#REF!</definedName>
    <definedName function="false" hidden="false" localSheetId="16" name="CS_40S" vbProcedure="false">#REF!</definedName>
    <definedName function="false" hidden="false" localSheetId="16" name="CS_5S" vbProcedure="false">#REF!</definedName>
    <definedName function="false" hidden="false" localSheetId="16" name="CS_60" vbProcedure="false">#REF!</definedName>
    <definedName function="false" hidden="false" localSheetId="16" name="CS_80" vbProcedure="false">#REF!</definedName>
    <definedName function="false" hidden="false" localSheetId="16" name="CS_80S" vbProcedure="false">#REF!</definedName>
    <definedName function="false" hidden="false" localSheetId="16" name="CS_STD" vbProcedure="false">#REF!</definedName>
    <definedName function="false" hidden="false" localSheetId="16" name="CS_XS" vbProcedure="false">#REF!</definedName>
    <definedName function="false" hidden="false" localSheetId="16" name="CS_XXS" vbProcedure="false">#REF!</definedName>
    <definedName function="false" hidden="false" localSheetId="16" name="CTBMWE39" vbProcedure="false">#REF!</definedName>
    <definedName function="false" hidden="false" localSheetId="16" name="CTBMWE90" vbProcedure="false">#REF!</definedName>
    <definedName function="false" hidden="false" localSheetId="16" name="CTBMWE90Z" vbProcedure="false">#REF!</definedName>
    <definedName function="false" hidden="false" localSheetId="16" name="CTCAM2" vbProcedure="false">#REF!</definedName>
    <definedName function="false" hidden="false" localSheetId="16" name="CTCAM2CGM" vbProcedure="false">#REF!</definedName>
    <definedName function="false" hidden="false" localSheetId="16" name="CTCAM2SS" vbProcedure="false">#REF!</definedName>
    <definedName function="false" hidden="false" localSheetId="16" name="CTCBMWE34" vbProcedure="false">#REF!</definedName>
    <definedName function="false" hidden="false" localSheetId="16" name="CTCSBB" vbProcedure="false">#REF!</definedName>
    <definedName function="false" hidden="false" localSheetId="16" name="CTHA9C" vbProcedure="false">#REF!</definedName>
    <definedName function="false" hidden="false" localSheetId="16" name="CTHFIT" vbProcedure="false">#REF!</definedName>
    <definedName function="false" hidden="false" localSheetId="16" name="CTHTL1A4" vbProcedure="false">#REF!</definedName>
    <definedName function="false" hidden="false" localSheetId="16" name="CTHUQ2" vbProcedure="false">#REF!</definedName>
    <definedName function="false" hidden="false" localSheetId="16" name="CTHVC3" vbProcedure="false">#REF!</definedName>
    <definedName function="false" hidden="false" localSheetId="16" name="ctiep" vbProcedure="false">#REF!</definedName>
    <definedName function="false" hidden="false" localSheetId="16" name="CTNRSC3XL" vbProcedure="false">#REF!</definedName>
    <definedName function="false" hidden="false" localSheetId="16" name="CTNSCW84" vbProcedure="false">#REF!</definedName>
    <definedName function="false" hidden="false" localSheetId="16" name="CTNSS2" vbProcedure="false">#REF!</definedName>
    <definedName function="false" hidden="false" localSheetId="16" name="CTNSS2EXL" vbProcedure="false">#REF!</definedName>
    <definedName function="false" hidden="false" localSheetId="16" name="CTNST2" vbProcedure="false">#REF!</definedName>
    <definedName function="false" hidden="false" localSheetId="16" name="CTNST3I2" vbProcedure="false">#REF!</definedName>
    <definedName function="false" hidden="false" localSheetId="16" name="CTNST3Q2" vbProcedure="false">#REF!</definedName>
    <definedName function="false" hidden="false" localSheetId="16" name="CTNSTSB" vbProcedure="false">#REF!</definedName>
    <definedName function="false" hidden="false" localSheetId="16" name="CTNSTZ2" vbProcedure="false">#REF!</definedName>
    <definedName function="false" hidden="false" localSheetId="16" name="CTNSUBBXL" vbProcedure="false">#REF!</definedName>
    <definedName function="false" hidden="false" localSheetId="16" name="CTNTK2" vbProcedure="false">#REF!</definedName>
    <definedName function="false" hidden="false" localSheetId="16" name="CTNUWGP3" vbProcedure="false">#REF!</definedName>
    <definedName function="false" hidden="false" localSheetId="16" name="CTSU55A" vbProcedure="false">#REF!</definedName>
    <definedName function="false" hidden="false" localSheetId="16" name="CTSUIMP" vbProcedure="false">#REF!</definedName>
    <definedName function="false" hidden="false" localSheetId="16" name="CTSUSA92" vbProcedure="false">#REF!</definedName>
    <definedName function="false" hidden="false" localSheetId="16" name="CTT330N2" vbProcedure="false">#REF!</definedName>
    <definedName function="false" hidden="false" localSheetId="16" name="CTT330N2TC" vbProcedure="false">#REF!</definedName>
    <definedName function="false" hidden="false" localSheetId="16" name="CTT4RNX" vbProcedure="false">#REF!</definedName>
    <definedName function="false" hidden="false" localSheetId="16" name="CTTCTWGN" vbProcedure="false">#REF!</definedName>
    <definedName function="false" hidden="false" localSheetId="16" name="CTTHEX2" vbProcedure="false">#REF!</definedName>
    <definedName function="false" hidden="false" localSheetId="16" name="CTTHPUM2" vbProcedure="false">#REF!</definedName>
    <definedName function="false" hidden="false" localSheetId="16" name="CTTHSUT2" vbProcedure="false">#REF!</definedName>
    <definedName function="false" hidden="false" localSheetId="16" name="CTTHSUV2" vbProcedure="false">#REF!</definedName>
    <definedName function="false" hidden="false" localSheetId="16" name="CTTLX470" vbProcedure="false">#REF!</definedName>
    <definedName function="false" hidden="false" localSheetId="16" name="CTTNST3CXL" vbProcedure="false">#REF!</definedName>
    <definedName function="false" hidden="false" localSheetId="16" name="CTTSEQA" vbProcedure="false">#REF!</definedName>
    <definedName function="false" hidden="false" localSheetId="16" name="CTTT4RUNX" vbProcedure="false">#REF!</definedName>
    <definedName function="false" hidden="false" localSheetId="16" name="CTTTMC" vbProcedure="false">#REF!</definedName>
    <definedName function="false" hidden="false" localSheetId="16" name="CTTTPMAV3" vbProcedure="false">#REF!</definedName>
    <definedName function="false" hidden="false" localSheetId="16" name="CTTTSBB" vbProcedure="false">#REF!</definedName>
    <definedName function="false" hidden="false" localSheetId="16" name="CTTTYC3TH" vbProcedure="false">#REF!</definedName>
    <definedName function="false" hidden="false" localSheetId="16" name="CTTTYC4" vbProcedure="false">#REF!</definedName>
    <definedName function="false" hidden="false" localSheetId="16" name="CTTTYPRV3" vbProcedure="false">#REF!</definedName>
    <definedName function="false" hidden="false" localSheetId="16" name="CTTTYRAVT2" vbProcedure="false">#REF!</definedName>
    <definedName function="false" hidden="false" localSheetId="16" name="CTTTYRX3" vbProcedure="false">#REF!</definedName>
    <definedName function="false" hidden="false" localSheetId="16" name="CTTTYS5" vbProcedure="false">#REF!</definedName>
    <definedName function="false" hidden="false" localSheetId="16" name="CTTVW350" vbProcedure="false">#REF!</definedName>
    <definedName function="false" hidden="false" localSheetId="16" name="CTTYC2" vbProcedure="false">#REF!</definedName>
    <definedName function="false" hidden="false" localSheetId="16" name="CTTYC2A" vbProcedure="false">#REF!</definedName>
    <definedName function="false" hidden="false" localSheetId="16" name="CTTYC3C2" vbProcedure="false">#REF!</definedName>
    <definedName function="false" hidden="false" localSheetId="16" name="CTTYC4" vbProcedure="false">#REF!</definedName>
    <definedName function="false" hidden="false" localSheetId="16" name="CTTYS3C" vbProcedure="false">#REF!</definedName>
    <definedName function="false" hidden="false" localSheetId="16" name="CTTYS3W" vbProcedure="false">#REF!</definedName>
    <definedName function="false" hidden="false" localSheetId="16" name="CTVW240" vbProcedure="false">#REF!</definedName>
    <definedName function="false" hidden="false" localSheetId="16" name="CTVWGMPV" vbProcedure="false">#REF!</definedName>
    <definedName function="false" hidden="false" localSheetId="16" name="CTVWGOL" vbProcedure="false">#REF!</definedName>
    <definedName function="false" hidden="false" localSheetId="16" name="cuoc_vc" vbProcedure="false">#REF!</definedName>
    <definedName function="false" hidden="false" localSheetId="16" name="current" vbProcedure="false">#REF!</definedName>
    <definedName function="false" hidden="false" localSheetId="16" name="CU_LY" vbProcedure="false">#REF!</definedName>
    <definedName function="false" hidden="false" localSheetId="16" name="cx" vbProcedure="false">#REF!</definedName>
    <definedName function="false" hidden="false" localSheetId="16" name="CY_PY" vbProcedure="false">#REF!</definedName>
    <definedName function="false" hidden="false" localSheetId="16" name="C_" vbProcedure="false">#REF!</definedName>
    <definedName function="false" hidden="false" localSheetId="16" name="d" vbProcedure="false">#ref!assembly #REF!</definedName>
    <definedName function="false" hidden="false" localSheetId="16" name="data" vbProcedure="false">#REF!</definedName>
    <definedName function="false" hidden="false" localSheetId="16" name="DBE" vbProcedure="false">OFFSET(#REF!,0,0,COUNTA(#REF!),COUNTA(#REF!))</definedName>
    <definedName function="false" hidden="false" localSheetId="16" name="DBE_CH" vbProcedure="false">INDEX('Rej Trend'!DBE,1, )</definedName>
    <definedName function="false" hidden="false" localSheetId="16" name="DBE_LnHdr" vbProcedure="false">INDEX('Rej Trend'!DBE, ,MATCH("LnHdr",'Rej Trend'!DBE_CH,0))</definedName>
    <definedName function="false" hidden="false" localSheetId="16" name="DBE_Mnt" vbProcedure="false">INDEX('Rej Trend'!DBE, ,MATCH("Month",'Rej Trend'!DBE_CH,0))</definedName>
    <definedName function="false" hidden="false" localSheetId="16" name="DBE_Unt" vbProcedure="false">INDEX('Rej Trend'!DBE, ,MATCH("Unit",'Rej Trend'!DBE_CH,0))</definedName>
    <definedName function="false" hidden="false" localSheetId="16" name="DBF" vbProcedure="false">OFFSET(#REF!,0,0,COUNTA(#REF!),COUNTA(#REF!))</definedName>
    <definedName function="false" hidden="false" localSheetId="16" name="DBF_CH" vbProcedure="false">INDEX('Rej Trend'!DBF,1, )</definedName>
    <definedName function="false" hidden="false" localSheetId="16" name="DBF_LnHdr" vbProcedure="false">INDEX('Rej Trend'!DBF, ,MATCH("LnHdr",'Rej Trend'!DBF_CH,0))</definedName>
    <definedName function="false" hidden="false" localSheetId="16" name="DBF_Mnt" vbProcedure="false">INDEX('Rej Trend'!DBF, ,MATCH("Month",'Rej Trend'!DBF_CH,0))</definedName>
    <definedName function="false" hidden="false" localSheetId="16" name="DBF_Unt" vbProcedure="false">INDEX('Rej Trend'!DBF, ,MATCH("Unit",'Rej Trend'!DBF_CH,0))</definedName>
    <definedName function="false" hidden="false" localSheetId="16" name="DBQ" vbProcedure="false">OFFSET(#REF!,0,0,COUNTA(#REF!),COUNTA(#REF!))</definedName>
    <definedName function="false" hidden="false" localSheetId="16" name="DBQ_CH" vbProcedure="false">INDEX('Rej Trend'!DBQ,1, )</definedName>
    <definedName function="false" hidden="false" localSheetId="16" name="DBq_LnHdr" vbProcedure="false">INDEX('Rej Trend'!DBQ, ,MATCH("LnHdr",'Rej Trend'!DBQ_CH,0))</definedName>
    <definedName function="false" hidden="false" localSheetId="16" name="DBQ_Mnt" vbProcedure="false">INDEX('Rej Trend'!DBQ, ,MATCH("Month",'Rej Trend'!DBQ_CH,0))</definedName>
    <definedName function="false" hidden="false" localSheetId="16" name="DBQ_Unt" vbProcedure="false">INDEX('Rej Trend'!DBQ, ,MATCH("Unit",'Rej Trend'!DBQ_CH,0))</definedName>
    <definedName function="false" hidden="false" localSheetId="16" name="denbu" vbProcedure="false">#REF!</definedName>
    <definedName function="false" hidden="false" localSheetId="16" name="den_bu" vbProcedure="false">#REF!</definedName>
    <definedName function="false" hidden="false" localSheetId="16" name="depre" vbProcedure="false">#REF!</definedName>
    <definedName function="false" hidden="false" localSheetId="16" name="Desc" vbProcedure="false">#REF!</definedName>
    <definedName function="false" hidden="false" localSheetId="16" name="DETAIL" vbProcedure="false">#REF!</definedName>
    <definedName function="false" hidden="false" localSheetId="16" name="DETAIL2" vbProcedure="false">#REF!</definedName>
    <definedName function="false" hidden="false" localSheetId="16" name="df" vbProcedure="false">#REF!</definedName>
    <definedName function="false" hidden="false" localSheetId="16" name="DGCTI592" vbProcedure="false">#REF!</definedName>
    <definedName function="false" hidden="false" localSheetId="16" name="dhom" vbProcedure="false">#REF!</definedName>
    <definedName function="false" hidden="false" localSheetId="16" name="DIS" vbProcedure="false">#REF!</definedName>
    <definedName function="false" hidden="false" localSheetId="16" name="DSUMDATA" vbProcedure="false">#REF!</definedName>
    <definedName function="false" hidden="false" localSheetId="16" name="duoi" vbProcedure="false">#REF!</definedName>
    <definedName function="false" hidden="false" localSheetId="16" name="DutoanDongmo" vbProcedure="false">#REF!</definedName>
    <definedName function="false" hidden="false" localSheetId="16" name="dw" vbProcedure="false">#REF!</definedName>
    <definedName function="false" hidden="false" localSheetId="16" name="e" vbProcedure="false">#REF!</definedName>
    <definedName function="false" hidden="false" localSheetId="16" name="ECON._ADJ." vbProcedure="false">#REF!</definedName>
    <definedName function="false" hidden="false" localSheetId="16" name="EDIT__END__LEFT__DEL___DOWN" vbProcedure="false">#REF!</definedName>
    <definedName function="false" hidden="false" localSheetId="16" name="EF" vbProcedure="false">#REF!</definedName>
    <definedName function="false" hidden="false" localSheetId="16" name="Elx" vbProcedure="false">#REF!,#REF!,#REF!,#REF!,#REF!,#REF!,#REF!,#REF!,#REF!</definedName>
    <definedName function="false" hidden="false" localSheetId="16" name="End_1" vbProcedure="false">#REF!</definedName>
    <definedName function="false" hidden="false" localSheetId="16" name="End_10" vbProcedure="false">#REF!</definedName>
    <definedName function="false" hidden="false" localSheetId="16" name="End_11" vbProcedure="false">#REF!</definedName>
    <definedName function="false" hidden="false" localSheetId="16" name="End_12" vbProcedure="false">#REF!</definedName>
    <definedName function="false" hidden="false" localSheetId="16" name="End_13" vbProcedure="false">#REF!</definedName>
    <definedName function="false" hidden="false" localSheetId="16" name="End_2" vbProcedure="false">#REF!</definedName>
    <definedName function="false" hidden="false" localSheetId="16" name="End_3" vbProcedure="false">#REF!</definedName>
    <definedName function="false" hidden="false" localSheetId="16" name="End_4" vbProcedure="false">#REF!</definedName>
    <definedName function="false" hidden="false" localSheetId="16" name="End_5" vbProcedure="false">#REF!</definedName>
    <definedName function="false" hidden="false" localSheetId="16" name="End_6" vbProcedure="false">#REF!</definedName>
    <definedName function="false" hidden="false" localSheetId="16" name="End_7" vbProcedure="false">#REF!</definedName>
    <definedName function="false" hidden="false" localSheetId="16" name="End_8" vbProcedure="false">#REF!</definedName>
    <definedName function="false" hidden="false" localSheetId="16" name="End_9" vbProcedure="false">#REF!</definedName>
    <definedName function="false" hidden="false" localSheetId="16" name="ENGINEERING__DEPARTMENT" vbProcedure="false">#REF!</definedName>
    <definedName function="false" hidden="false" localSheetId="16" name="Entity" vbProcedure="false">#REF!</definedName>
    <definedName function="false" hidden="false" localSheetId="16" name="EX" vbProcedure="false">#REF!</definedName>
    <definedName function="false" hidden="false" localSheetId="16" name="EXC" vbProcedure="false">#REF!</definedName>
    <definedName function="false" hidden="false" localSheetId="16" name="Excel_BuiltIn_Print_Area_1" vbProcedure="false">#REF!</definedName>
    <definedName function="false" hidden="false" localSheetId="16" name="Excel_BuiltIn__FilterDatabase_1" vbProcedure="false">#REF!</definedName>
    <definedName function="false" hidden="false" localSheetId="16" name="Excel_BuiltIn__FilterDatabase_2" vbProcedure="false">#REF!</definedName>
    <definedName function="false" hidden="false" localSheetId="16" name="EXCH" vbProcedure="false">#REF!</definedName>
    <definedName function="false" hidden="false" localSheetId="16" name="Expenses" vbProcedure="false">#REF!</definedName>
    <definedName function="false" hidden="false" localSheetId="16" name="EXPORT" vbProcedure="false">#REF!</definedName>
    <definedName function="false" hidden="false" localSheetId="16" name="F" vbProcedure="false">#REF!</definedName>
    <definedName function="false" hidden="false" localSheetId="16" name="FAXNO" vbProcedure="false">#REF!</definedName>
    <definedName function="false" hidden="false" localSheetId="16" name="FC5_total" vbProcedure="false">#REF!</definedName>
    <definedName function="false" hidden="false" localSheetId="16" name="FC6_total" vbProcedure="false">#REF!</definedName>
    <definedName function="false" hidden="false" localSheetId="16" name="ff_ap" vbProcedure="false">#REF!</definedName>
    <definedName function="false" hidden="false" localSheetId="16" name="ff_AR" vbProcedure="false">#REF!</definedName>
    <definedName function="false" hidden="false" localSheetId="16" name="ff_Inv" vbProcedure="false">#REF!</definedName>
    <definedName function="false" hidden="false" localSheetId="16" name="finexp" vbProcedure="false">#REF!</definedName>
    <definedName function="false" hidden="false" localSheetId="16" name="FixIndex3_1" vbProcedure="false">#REF!</definedName>
    <definedName function="false" hidden="false" localSheetId="16" name="FixIndex4_1" vbProcedure="false">#REF!</definedName>
    <definedName function="false" hidden="false" localSheetId="16" name="FixIndex6_1" vbProcedure="false">#REF!</definedName>
    <definedName function="false" hidden="false" localSheetId="16" name="FOUR02" vbProcedure="false">#REF!</definedName>
    <definedName function="false" hidden="false" localSheetId="16" name="FOUR03" vbProcedure="false">#REF!</definedName>
    <definedName function="false" hidden="false" localSheetId="16" name="FOUR04" vbProcedure="false">#REF!</definedName>
    <definedName function="false" hidden="false" localSheetId="16" name="FOUR05" vbProcedure="false">#REF!</definedName>
    <definedName function="false" hidden="false" localSheetId="16" name="FOUR06" vbProcedure="false">#REF!</definedName>
    <definedName function="false" hidden="false" localSheetId="16" name="FOUR07" vbProcedure="false">#REF!</definedName>
    <definedName function="false" hidden="false" localSheetId="16" name="FOUR08" vbProcedure="false">#REF!</definedName>
    <definedName function="false" hidden="false" localSheetId="16" name="FOUR09" vbProcedure="false">#REF!</definedName>
    <definedName function="false" hidden="false" localSheetId="16" name="FTC" vbProcedure="false">#REF!</definedName>
    <definedName function="false" hidden="false" localSheetId="16" name="FUND" vbProcedure="false">#REF!</definedName>
    <definedName function="false" hidden="false" localSheetId="16" name="FUND2" vbProcedure="false">#REF!</definedName>
    <definedName function="false" hidden="false" localSheetId="16" name="fund3" vbProcedure="false">#REF!</definedName>
    <definedName function="false" hidden="false" localSheetId="16" name="ghip" vbProcedure="false">#REF!</definedName>
    <definedName function="false" hidden="false" localSheetId="16" name="gia" vbProcedure="false">#REF!</definedName>
    <definedName function="false" hidden="false" localSheetId="16" name="gia_tien" vbProcedure="false">#REF!</definedName>
    <definedName function="false" hidden="false" localSheetId="16" name="gia_tien_BTN" vbProcedure="false">#REF!</definedName>
    <definedName function="false" hidden="false" localSheetId="16" name="gt" vbProcedure="false">#REF!</definedName>
    <definedName function="false" hidden="false" localSheetId="16" name="HF" vbProcedure="false">#REF!</definedName>
    <definedName function="false" hidden="false" localSheetId="16" name="HHcat" vbProcedure="false">#REF!</definedName>
    <definedName function="false" hidden="false" localSheetId="16" name="HHda" vbProcedure="false">#REF!</definedName>
    <definedName function="false" hidden="false" localSheetId="16" name="HHL" vbProcedure="false">#REF!</definedName>
    <definedName function="false" hidden="false" localSheetId="16" name="HHxm" vbProcedure="false">#REF!</definedName>
    <definedName function="false" hidden="false" localSheetId="16" name="hien" vbProcedure="false">#REF!</definedName>
    <definedName function="false" hidden="false" localSheetId="16" name="HL" vbProcedure="false">#REF!</definedName>
    <definedName function="false" hidden="false" localSheetId="16" name="HO" vbProcedure="false">#REF!</definedName>
    <definedName function="false" hidden="false" localSheetId="16" name="HOMEOFFICE_COST" vbProcedure="false">#REF!</definedName>
    <definedName function="false" hidden="false" localSheetId="16" name="HOME_MANP" vbProcedure="false">#REF!</definedName>
    <definedName function="false" hidden="false" localSheetId="16" name="hrapr99" vbProcedure="false">#REF!</definedName>
    <definedName function="false" hidden="false" localSheetId="16" name="HTML_Control" vbProcedure="false">{"'Summary'!$A$1:$AF$43"}</definedName>
    <definedName function="false" hidden="false" localSheetId="16" name="huy" vbProcedure="false">{"'Sheet1'!$L$16"}</definedName>
    <definedName function="false" hidden="false" localSheetId="16" name="h_m4" vbProcedure="false">#REF!</definedName>
    <definedName function="false" hidden="false" localSheetId="16" name="IDLAB_COST" vbProcedure="false">#REF!</definedName>
    <definedName function="false" hidden="false" localSheetId="16" name="in" vbProcedure="false">#REF!</definedName>
    <definedName function="false" hidden="false" localSheetId="16" name="incomestat" vbProcedure="false">#REF!</definedName>
    <definedName function="false" hidden="false" localSheetId="16" name="INDMANP" vbProcedure="false">#REF!</definedName>
    <definedName function="false" hidden="false" localSheetId="16" name="INPUT" vbProcedure="false">#REF!</definedName>
    <definedName function="false" hidden="false" localSheetId="16" name="input2_1" vbProcedure="false">#REF!</definedName>
    <definedName function="false" hidden="false" localSheetId="16" name="input4_1" vbProcedure="false">#REF!</definedName>
    <definedName function="false" hidden="false" localSheetId="16" name="input6_1" vbProcedure="false">#REF!</definedName>
    <definedName function="false" hidden="false" localSheetId="16" name="input74_1" vbProcedure="false">#REF!</definedName>
    <definedName function="false" hidden="false" localSheetId="16" name="INT" vbProcedure="false">#REF!</definedName>
    <definedName function="false" hidden="false" localSheetId="16" name="IntFS" vbProcedure="false">#REF!</definedName>
    <definedName function="false" hidden="false" localSheetId="16" name="IntSales" vbProcedure="false">#REF!</definedName>
    <definedName function="false" hidden="false" localSheetId="16" name="INTT" vbProcedure="false">#REF!</definedName>
    <definedName function="false" hidden="false" localSheetId="16" name="INVEST" vbProcedure="false">#REF!</definedName>
    <definedName function="false" hidden="false" localSheetId="16" name="INVSTMNT" vbProcedure="false">#REF!</definedName>
    <definedName function="false" hidden="false" localSheetId="16" name="IPL" vbProcedure="false">#ref!nplc #REF!</definedName>
    <definedName function="false" hidden="false" localSheetId="16" name="IT" vbProcedure="false">#REF!</definedName>
    <definedName function="false" hidden="false" localSheetId="16" name="itemcode" vbProcedure="false">#REF!</definedName>
    <definedName function="false" hidden="false" localSheetId="16" name="itemlist" vbProcedure="false">#REF!</definedName>
    <definedName function="false" hidden="false" localSheetId="16" name="IUMtx" vbProcedure="false">#REF!</definedName>
    <definedName function="false" hidden="false" localSheetId="16" name="Jan_Jun_04_Data_Base" vbProcedure="false">#REF!</definedName>
    <definedName function="false" hidden="false" localSheetId="16" name="JK100001362" vbProcedure="false">#REF!</definedName>
    <definedName function="false" hidden="false" localSheetId="16" name="JK100001365" vbProcedure="false">#REF!</definedName>
    <definedName function="false" hidden="false" localSheetId="16" name="JK100001462" vbProcedure="false">#REF!</definedName>
    <definedName function="false" hidden="false" localSheetId="16" name="JK100001466" vbProcedure="false">#REF!</definedName>
    <definedName function="false" hidden="false" localSheetId="16" name="JK100001467" vbProcedure="false">#REF!</definedName>
    <definedName function="false" hidden="false" localSheetId="16" name="JK100001485" vbProcedure="false">#REF!</definedName>
    <definedName function="false" hidden="false" localSheetId="16" name="JK100001495" vbProcedure="false">#REF!</definedName>
    <definedName function="false" hidden="false" localSheetId="16" name="JK100001497" vbProcedure="false">#REF!</definedName>
    <definedName function="false" hidden="false" localSheetId="16" name="JK100001502" vbProcedure="false">#REF!</definedName>
    <definedName function="false" hidden="false" localSheetId="16" name="JK10000600" vbProcedure="false">#REF!</definedName>
    <definedName function="false" hidden="false" localSheetId="16" name="JK10000601" vbProcedure="false">#REF!</definedName>
    <definedName function="false" hidden="false" localSheetId="16" name="JK10000636" vbProcedure="false">#REF!</definedName>
    <definedName function="false" hidden="false" localSheetId="16" name="JK10000642" vbProcedure="false">#REF!</definedName>
    <definedName function="false" hidden="false" localSheetId="16" name="JK10000644" vbProcedure="false">#REF!</definedName>
    <definedName function="false" hidden="false" localSheetId="16" name="JK10000645" vbProcedure="false">#REF!</definedName>
    <definedName function="false" hidden="false" localSheetId="16" name="JK10000704" vbProcedure="false">#REF!</definedName>
    <definedName function="false" hidden="false" localSheetId="16" name="JK10000725" vbProcedure="false">#REF!</definedName>
    <definedName function="false" hidden="false" localSheetId="16" name="JK10000813" vbProcedure="false">#REF!</definedName>
    <definedName function="false" hidden="false" localSheetId="16" name="JK10002356" vbProcedure="false">#REF!</definedName>
    <definedName function="false" hidden="false" localSheetId="16" name="JK10002358" vbProcedure="false">#REF!</definedName>
    <definedName function="false" hidden="false" localSheetId="16" name="JK10002371" vbProcedure="false">#REF!</definedName>
    <definedName function="false" hidden="false" localSheetId="16" name="JK10002375" vbProcedure="false">#REF!</definedName>
    <definedName function="false" hidden="false" localSheetId="16" name="JK10002378" vbProcedure="false">#REF!</definedName>
    <definedName function="false" hidden="false" localSheetId="16" name="JK10002398" vbProcedure="false">#REF!</definedName>
    <definedName function="false" hidden="false" localSheetId="16" name="JK10002401" vbProcedure="false">#REF!</definedName>
    <definedName function="false" hidden="false" localSheetId="16" name="JK10002404" vbProcedure="false">#REF!</definedName>
    <definedName function="false" hidden="false" localSheetId="16" name="JK10002407" vbProcedure="false">#REF!</definedName>
    <definedName function="false" hidden="false" localSheetId="16" name="JK10002409" vbProcedure="false">#REF!</definedName>
    <definedName function="false" hidden="false" localSheetId="16" name="JK10002410" vbProcedure="false">#REF!</definedName>
    <definedName function="false" hidden="false" localSheetId="16" name="JK10002414" vbProcedure="false">#REF!</definedName>
    <definedName function="false" hidden="false" localSheetId="16" name="JK10002944" vbProcedure="false">#REF!</definedName>
    <definedName function="false" hidden="false" localSheetId="16" name="JK10003822" vbProcedure="false">#REF!</definedName>
    <definedName function="false" hidden="false" localSheetId="16" name="Joy" vbProcedure="false">#REF!</definedName>
    <definedName function="false" hidden="false" localSheetId="16" name="KANDIVLI_D" vbProcedure="false">#REF!</definedName>
    <definedName function="false" hidden="false" localSheetId="16" name="KANDIVLI_P" vbProcedure="false">#REF!</definedName>
    <definedName function="false" hidden="false" localSheetId="16" name="KANDIVLI_S" vbProcedure="false">#REF!</definedName>
    <definedName function="false" hidden="false" localSheetId="16" name="kaori" vbProcedure="false">#REF!</definedName>
    <definedName function="false" hidden="false" localSheetId="16" name="kazuyo" vbProcedure="false">#REF!</definedName>
    <definedName function="false" hidden="false" localSheetId="16" name="kcong" vbProcedure="false">#REF!</definedName>
    <definedName function="false" hidden="false" localSheetId="16" name="Kiem_tra_trung_ten" vbProcedure="false">#REF!</definedName>
    <definedName function="false" hidden="false" localSheetId="16" name="KOMAX" vbProcedure="false">#REF!</definedName>
    <definedName function="false" hidden="false" localSheetId="16" name="lan" vbProcedure="false">#REF!</definedName>
    <definedName function="false" hidden="false" localSheetId="16" name="LC5_total" vbProcedure="false">#REF!</definedName>
    <definedName function="false" hidden="false" localSheetId="16" name="LC6_total" vbProcedure="false">#REF!</definedName>
    <definedName function="false" hidden="false" localSheetId="16" name="LG" vbProcedure="false">#REF!</definedName>
    <definedName function="false" hidden="false" localSheetId="16" name="List1" vbProcedure="false">#REF!</definedName>
    <definedName function="false" hidden="false" localSheetId="16" name="List10" vbProcedure="false">#REF!</definedName>
    <definedName function="false" hidden="false" localSheetId="16" name="List11" vbProcedure="false">#REF!</definedName>
    <definedName function="false" hidden="false" localSheetId="16" name="List12" vbProcedure="false">#REF!</definedName>
    <definedName function="false" hidden="false" localSheetId="16" name="List4" vbProcedure="false">#REF!</definedName>
    <definedName function="false" hidden="false" localSheetId="16" name="List5" vbProcedure="false">#REF!</definedName>
    <definedName function="false" hidden="false" localSheetId="16" name="List6" vbProcedure="false">#REF!</definedName>
    <definedName function="false" hidden="false" localSheetId="16" name="List7" vbProcedure="false">#REF!</definedName>
    <definedName function="false" hidden="false" localSheetId="16" name="List8" vbProcedure="false">#REF!</definedName>
    <definedName function="false" hidden="false" localSheetId="16" name="List9" vbProcedure="false">#REF!</definedName>
    <definedName function="false" hidden="false" localSheetId="16" name="LL" vbProcedure="false">#REF!</definedName>
    <definedName function="false" hidden="false" localSheetId="16" name="LOSS_K" vbProcedure="false">#REF!</definedName>
    <definedName function="false" hidden="false" localSheetId="16" name="LOSS_N" vbProcedure="false">#REF!</definedName>
    <definedName function="false" hidden="false" localSheetId="16" name="LOSS_Z" vbProcedure="false">#REF!</definedName>
    <definedName function="false" hidden="false" localSheetId="16" name="LOW_COST_PROD_R" vbProcedure="false">#REF!</definedName>
    <definedName function="false" hidden="false" localSheetId="16" name="LTA_S" vbProcedure="false">#REF!</definedName>
    <definedName function="false" hidden="false" localSheetId="16" name="MACHINING_AREA" vbProcedure="false">#REF!</definedName>
    <definedName function="false" hidden="false" localSheetId="16" name="MAJ_CON_EQP" vbProcedure="false">#REF!</definedName>
    <definedName function="false" hidden="false" localSheetId="16" name="masaru" vbProcedure="false">#REF!</definedName>
    <definedName function="false" hidden="false" localSheetId="16" name="master" vbProcedure="false">#REF!</definedName>
    <definedName function="false" hidden="false" localSheetId="16" name="masterBom" vbProcedure="false">#REF!</definedName>
    <definedName function="false" hidden="false" localSheetId="16" name="may" vbProcedure="false">#REF!</definedName>
    <definedName function="false" hidden="false" localSheetId="16" name="mayumi" vbProcedure="false">#REF!</definedName>
    <definedName function="false" hidden="false" localSheetId="16" name="mbangtai10" vbProcedure="false">#REF!</definedName>
    <definedName function="false" hidden="false" localSheetId="16" name="mbangtai100" vbProcedure="false">#REF!</definedName>
    <definedName function="false" hidden="false" localSheetId="16" name="mbangtai15" vbProcedure="false">#REF!</definedName>
    <definedName function="false" hidden="false" localSheetId="16" name="mbangtai150" vbProcedure="false">#REF!</definedName>
    <definedName function="false" hidden="false" localSheetId="16" name="mbangtai25" vbProcedure="false">#REF!</definedName>
    <definedName function="false" hidden="false" localSheetId="16" name="mbombtth50" vbProcedure="false">#REF!</definedName>
    <definedName function="false" hidden="false" localSheetId="16" name="mbombtth60" vbProcedure="false">#REF!</definedName>
    <definedName function="false" hidden="false" localSheetId="16" name="mbomdien0.55" vbProcedure="false">#REF!</definedName>
    <definedName function="false" hidden="false" localSheetId="16" name="mbomdien0.75" vbProcedure="false">#REF!</definedName>
    <definedName function="false" hidden="false" localSheetId="16" name="mbomdien1.1" vbProcedure="false">#REF!</definedName>
    <definedName function="false" hidden="false" localSheetId="16" name="mbomdien1.5" vbProcedure="false">#REF!</definedName>
    <definedName function="false" hidden="false" localSheetId="16" name="mbomdien10" vbProcedure="false">#REF!</definedName>
    <definedName function="false" hidden="false" localSheetId="16" name="mbomdien113" vbProcedure="false">#REF!</definedName>
    <definedName function="false" hidden="false" localSheetId="16" name="mbomdien14" vbProcedure="false">#REF!</definedName>
    <definedName function="false" hidden="false" localSheetId="16" name="mbomdien2" vbProcedure="false">#REF!</definedName>
    <definedName function="false" hidden="false" localSheetId="16" name="mbomdien2.8" vbProcedure="false">#REF!</definedName>
    <definedName function="false" hidden="false" localSheetId="16" name="mbomdien20" vbProcedure="false">#REF!</definedName>
    <definedName function="false" hidden="false" localSheetId="16" name="mbomdien22" vbProcedure="false">#REF!</definedName>
    <definedName function="false" hidden="false" localSheetId="16" name="mbomdien28" vbProcedure="false">#REF!</definedName>
    <definedName function="false" hidden="false" localSheetId="16" name="mbomdien30" vbProcedure="false">#REF!</definedName>
    <definedName function="false" hidden="false" localSheetId="16" name="mbomdien4" vbProcedure="false">#REF!</definedName>
    <definedName function="false" hidden="false" localSheetId="16" name="mbomdien4.5" vbProcedure="false">#REF!</definedName>
    <definedName function="false" hidden="false" localSheetId="16" name="mbomdien40" vbProcedure="false">#REF!</definedName>
    <definedName function="false" hidden="false" localSheetId="16" name="mbomdien50" vbProcedure="false">#REF!</definedName>
    <definedName function="false" hidden="false" localSheetId="16" name="mbomdien55" vbProcedure="false">#REF!</definedName>
    <definedName function="false" hidden="false" localSheetId="16" name="mbomdien7" vbProcedure="false">#REF!</definedName>
    <definedName function="false" hidden="false" localSheetId="16" name="mbomdien75" vbProcedure="false">#REF!</definedName>
    <definedName function="false" hidden="false" localSheetId="16" name="mbomth10" vbProcedure="false">#REF!</definedName>
    <definedName function="false" hidden="false" localSheetId="16" name="mbomth100" vbProcedure="false">#REF!</definedName>
    <definedName function="false" hidden="false" localSheetId="16" name="mbomth15" vbProcedure="false">#REF!</definedName>
    <definedName function="false" hidden="false" localSheetId="16" name="mbomth150" vbProcedure="false">#REF!</definedName>
    <definedName function="false" hidden="false" localSheetId="16" name="mbomth20" vbProcedure="false">#REF!</definedName>
    <definedName function="false" hidden="false" localSheetId="16" name="mbomth37" vbProcedure="false">#REF!</definedName>
    <definedName function="false" hidden="false" localSheetId="16" name="mbomth45" vbProcedure="false">#REF!</definedName>
    <definedName function="false" hidden="false" localSheetId="16" name="mbomth5" vbProcedure="false">#REF!</definedName>
    <definedName function="false" hidden="false" localSheetId="16" name="mbomth5.5" vbProcedure="false">#REF!</definedName>
    <definedName function="false" hidden="false" localSheetId="16" name="mbomth7" vbProcedure="false">#REF!</definedName>
    <definedName function="false" hidden="false" localSheetId="16" name="mbomth7.5" vbProcedure="false">#REF!</definedName>
    <definedName function="false" hidden="false" localSheetId="16" name="mbomth75" vbProcedure="false">#REF!</definedName>
    <definedName function="false" hidden="false" localSheetId="16" name="mbomthxang3" vbProcedure="false">#REF!</definedName>
    <definedName function="false" hidden="false" localSheetId="16" name="mbomthxang4" vbProcedure="false">#REF!</definedName>
    <definedName function="false" hidden="false" localSheetId="16" name="mbomthxang6" vbProcedure="false">#REF!</definedName>
    <definedName function="false" hidden="false" localSheetId="16" name="mbomthxang7" vbProcedure="false">#REF!</definedName>
    <definedName function="false" hidden="false" localSheetId="16" name="mbomthxang8" vbProcedure="false">#REF!</definedName>
    <definedName function="false" hidden="false" localSheetId="16" name="mbomvua2" vbProcedure="false">#REF!</definedName>
    <definedName function="false" hidden="false" localSheetId="16" name="mbomvua4" vbProcedure="false">#REF!</definedName>
    <definedName function="false" hidden="false" localSheetId="16" name="mbomvua6" vbProcedure="false">#REF!</definedName>
    <definedName function="false" hidden="false" localSheetId="16" name="mbomvua9" vbProcedure="false">#REF!</definedName>
    <definedName function="false" hidden="false" localSheetId="16" name="mbuacankhi1.5" vbProcedure="false">#REF!</definedName>
    <definedName function="false" hidden="false" localSheetId="16" name="mbuadcocnoi2.5" vbProcedure="false">#REF!</definedName>
    <definedName function="false" hidden="false" localSheetId="16" name="mbuadray1.2" vbProcedure="false">#REF!</definedName>
    <definedName function="false" hidden="false" localSheetId="16" name="mbuadray1.8" vbProcedure="false">#REF!</definedName>
    <definedName function="false" hidden="false" localSheetId="16" name="mbuadray2.2" vbProcedure="false">#REF!</definedName>
    <definedName function="false" hidden="false" localSheetId="16" name="mbuadray2.5" vbProcedure="false">#REF!</definedName>
    <definedName function="false" hidden="false" localSheetId="16" name="mbuadray3.5" vbProcedure="false">#REF!</definedName>
    <definedName function="false" hidden="false" localSheetId="16" name="mbuarung170" vbProcedure="false">#REF!</definedName>
    <definedName function="false" hidden="false" localSheetId="16" name="mbuarung40" vbProcedure="false">#REF!</definedName>
    <definedName function="false" hidden="false" localSheetId="16" name="mbuarung50" vbProcedure="false">#REF!</definedName>
    <definedName function="false" hidden="false" localSheetId="16" name="mbuarungccatth60" vbProcedure="false">#REF!</definedName>
    <definedName function="false" hidden="false" localSheetId="16" name="mbuathbx0.6" vbProcedure="false">#REF!</definedName>
    <definedName function="false" hidden="false" localSheetId="16" name="mbuathbx1.2" vbProcedure="false">#REF!</definedName>
    <definedName function="false" hidden="false" localSheetId="16" name="mbuathbx1.8" vbProcedure="false">#REF!</definedName>
    <definedName function="false" hidden="false" localSheetId="16" name="mbuathbx3.5" vbProcedure="false">#REF!</definedName>
    <definedName function="false" hidden="false" localSheetId="16" name="mbuathbx4.5" vbProcedure="false">#REF!</definedName>
    <definedName function="false" hidden="false" localSheetId="16" name="mc" vbProcedure="false">#REF!</definedName>
    <definedName function="false" hidden="false" localSheetId="16" name="mcambactham1" vbProcedure="false">#REF!</definedName>
    <definedName function="false" hidden="false" localSheetId="16" name="mcano30" vbProcedure="false">#REF!</definedName>
    <definedName function="false" hidden="false" localSheetId="16" name="mcano75" vbProcedure="false">#REF!</definedName>
    <definedName function="false" hidden="false" localSheetId="16" name="mcap1g10" vbProcedure="false">#REF!</definedName>
    <definedName function="false" hidden="false" localSheetId="16" name="mcap1g16" vbProcedure="false">#REF!</definedName>
    <definedName function="false" hidden="false" localSheetId="16" name="mcap1g25" vbProcedure="false">#REF!</definedName>
    <definedName function="false" hidden="false" localSheetId="16" name="mcap1g9" vbProcedure="false">#REF!</definedName>
    <definedName function="false" hidden="false" localSheetId="16" name="mcatdot2.8" vbProcedure="false">#REF!</definedName>
    <definedName function="false" hidden="false" localSheetId="16" name="mcatong5" vbProcedure="false">#REF!</definedName>
    <definedName function="false" hidden="false" localSheetId="16" name="mcatton15" vbProcedure="false">#REF!</definedName>
    <definedName function="false" hidden="false" localSheetId="16" name="mcatuonthep5" vbProcedure="false">#REF!</definedName>
    <definedName function="false" hidden="false" localSheetId="16" name="mcaulongmon10" vbProcedure="false">#REF!</definedName>
    <definedName function="false" hidden="false" localSheetId="16" name="mcaulongmon30" vbProcedure="false">#REF!</definedName>
    <definedName function="false" hidden="false" localSheetId="16" name="mcaulongmon60" vbProcedure="false">#REF!</definedName>
    <definedName function="false" hidden="false" localSheetId="16" name="mcauray20" vbProcedure="false">#REF!</definedName>
    <definedName function="false" hidden="false" localSheetId="16" name="mcauray25" vbProcedure="false">#REF!</definedName>
    <definedName function="false" hidden="false" localSheetId="16" name="mcayxoidk108" vbProcedure="false">#REF!</definedName>
    <definedName function="false" hidden="false" localSheetId="16" name="mcayxoidk60" vbProcedure="false">#REF!</definedName>
    <definedName function="false" hidden="false" localSheetId="16" name="mcayxoidk80" vbProcedure="false">#REF!</definedName>
    <definedName function="false" hidden="false" localSheetId="16" name="mccaubh10" vbProcedure="false">#REF!</definedName>
    <definedName function="false" hidden="false" localSheetId="16" name="mccaubh16" vbProcedure="false">#REF!</definedName>
    <definedName function="false" hidden="false" localSheetId="16" name="mccaubh25" vbProcedure="false">#REF!</definedName>
    <definedName function="false" hidden="false" localSheetId="16" name="mccaubh3" vbProcedure="false">#REF!</definedName>
    <definedName function="false" hidden="false" localSheetId="16" name="mccaubh4" vbProcedure="false">#REF!</definedName>
    <definedName function="false" hidden="false" localSheetId="16" name="mccaubh40" vbProcedure="false">#REF!</definedName>
    <definedName function="false" hidden="false" localSheetId="16" name="mccaubh5" vbProcedure="false">#REF!</definedName>
    <definedName function="false" hidden="false" localSheetId="16" name="mccaubh6" vbProcedure="false">#REF!</definedName>
    <definedName function="false" hidden="false" localSheetId="16" name="mccaubh65" vbProcedure="false">#REF!</definedName>
    <definedName function="false" hidden="false" localSheetId="16" name="mccaubh7" vbProcedure="false">#REF!</definedName>
    <definedName function="false" hidden="false" localSheetId="16" name="mccaubh8" vbProcedure="false">#REF!</definedName>
    <definedName function="false" hidden="false" localSheetId="16" name="mccaubh90" vbProcedure="false">#REF!</definedName>
    <definedName function="false" hidden="false" localSheetId="16" name="mccaubx10" vbProcedure="false">#REF!</definedName>
    <definedName function="false" hidden="false" localSheetId="16" name="mccaubx100" vbProcedure="false">#REF!</definedName>
    <definedName function="false" hidden="false" localSheetId="16" name="mccaubx16" vbProcedure="false">#REF!</definedName>
    <definedName function="false" hidden="false" localSheetId="16" name="mccaubx25" vbProcedure="false">#REF!</definedName>
    <definedName function="false" hidden="false" localSheetId="16" name="mccaubx28" vbProcedure="false">#REF!</definedName>
    <definedName function="false" hidden="false" localSheetId="16" name="mccaubx40" vbProcedure="false">#REF!</definedName>
    <definedName function="false" hidden="false" localSheetId="16" name="mccaubx5" vbProcedure="false">#REF!</definedName>
    <definedName function="false" hidden="false" localSheetId="16" name="mccaubx50" vbProcedure="false">#REF!</definedName>
    <definedName function="false" hidden="false" localSheetId="16" name="mccaubx63" vbProcedure="false">#REF!</definedName>
    <definedName function="false" hidden="false" localSheetId="16" name="mccaubx7" vbProcedure="false">#REF!</definedName>
    <definedName function="false" hidden="false" localSheetId="16" name="mccauladam60" vbProcedure="false">#REF!</definedName>
    <definedName function="false" hidden="false" localSheetId="16" name="mccaunoi100" vbProcedure="false">#REF!</definedName>
    <definedName function="false" hidden="false" localSheetId="16" name="mccaunoi30" vbProcedure="false">#REF!</definedName>
    <definedName function="false" hidden="false" localSheetId="16" name="mccauthap10" vbProcedure="false">#REF!</definedName>
    <definedName function="false" hidden="false" localSheetId="16" name="mccauthap12" vbProcedure="false">#REF!</definedName>
    <definedName function="false" hidden="false" localSheetId="16" name="mccauthap15" vbProcedure="false">#REF!</definedName>
    <definedName function="false" hidden="false" localSheetId="16" name="mccauthap20" vbProcedure="false">#REF!</definedName>
    <definedName function="false" hidden="false" localSheetId="16" name="mccauthap25" vbProcedure="false">#REF!</definedName>
    <definedName function="false" hidden="false" localSheetId="16" name="mccauthap3" vbProcedure="false">#REF!</definedName>
    <definedName function="false" hidden="false" localSheetId="16" name="mccauthap30" vbProcedure="false">#REF!</definedName>
    <definedName function="false" hidden="false" localSheetId="16" name="mccauthap40" vbProcedure="false">#REF!</definedName>
    <definedName function="false" hidden="false" localSheetId="16" name="mccauthap5" vbProcedure="false">#REF!</definedName>
    <definedName function="false" hidden="false" localSheetId="16" name="mccauthap50" vbProcedure="false">#REF!</definedName>
    <definedName function="false" hidden="false" localSheetId="16" name="mccauthap8" vbProcedure="false">#REF!</definedName>
    <definedName function="false" hidden="false" localSheetId="16" name="mccautnhi0.5" vbProcedure="false">#REF!</definedName>
    <definedName function="false" hidden="false" localSheetId="16" name="mcuakl1.7" vbProcedure="false">#REF!</definedName>
    <definedName function="false" hidden="false" localSheetId="16" name="md" vbProcedure="false">#REF!</definedName>
    <definedName function="false" hidden="false" localSheetId="16" name="mdamban0.4" vbProcedure="false">#REF!</definedName>
    <definedName function="false" hidden="false" localSheetId="16" name="mdamban0.6" vbProcedure="false">#REF!</definedName>
    <definedName function="false" hidden="false" localSheetId="16" name="mdamban0.8" vbProcedure="false">#REF!</definedName>
    <definedName function="false" hidden="false" localSheetId="16" name="mdamban1" vbProcedure="false">#REF!</definedName>
    <definedName function="false" hidden="false" localSheetId="16" name="mdambhdkbx12.5" vbProcedure="false">#REF!</definedName>
    <definedName function="false" hidden="false" localSheetId="16" name="mdambhdkbx18" vbProcedure="false">#REF!</definedName>
    <definedName function="false" hidden="false" localSheetId="16" name="mdambhdkbx25" vbProcedure="false">#REF!</definedName>
    <definedName function="false" hidden="false" localSheetId="16" name="mdambhdkbx26.5" vbProcedure="false">#REF!</definedName>
    <definedName function="false" hidden="false" localSheetId="16" name="mdambhdkbx9" vbProcedure="false">#REF!</definedName>
    <definedName function="false" hidden="false" localSheetId="16" name="mdambhth16" vbProcedure="false">#REF!</definedName>
    <definedName function="false" hidden="false" localSheetId="16" name="mdambhth17.5" vbProcedure="false">#REF!</definedName>
    <definedName function="false" hidden="false" localSheetId="16" name="mdambhth25" vbProcedure="false">#REF!</definedName>
    <definedName function="false" hidden="false" localSheetId="16" name="mdambthepth10" vbProcedure="false">#REF!</definedName>
    <definedName function="false" hidden="false" localSheetId="16" name="mdambthepth12.2" vbProcedure="false">#REF!</definedName>
    <definedName function="false" hidden="false" localSheetId="16" name="mdambthepth13" vbProcedure="false">#REF!</definedName>
    <definedName function="false" hidden="false" localSheetId="16" name="mdambthepth14.5" vbProcedure="false">#REF!</definedName>
    <definedName function="false" hidden="false" localSheetId="16" name="mdambthepth15.5" vbProcedure="false">#REF!</definedName>
    <definedName function="false" hidden="false" localSheetId="16" name="mdambthepth8.5" vbProcedure="false">#REF!</definedName>
    <definedName function="false" hidden="false" localSheetId="16" name="mdamcanh1" vbProcedure="false">#REF!</definedName>
    <definedName function="false" hidden="false" localSheetId="16" name="mdamccdk5.5" vbProcedure="false">#REF!</definedName>
    <definedName function="false" hidden="false" localSheetId="16" name="mdamccdk9" vbProcedure="false">#REF!</definedName>
    <definedName function="false" hidden="false" localSheetId="16" name="mdamdatct60" vbProcedure="false">#REF!</definedName>
    <definedName function="false" hidden="false" localSheetId="16" name="mdamdatct80" vbProcedure="false">#REF!</definedName>
    <definedName function="false" hidden="false" localSheetId="16" name="mdamdui0.6" vbProcedure="false">#REF!</definedName>
    <definedName function="false" hidden="false" localSheetId="16" name="mdamdui0.8" vbProcedure="false">#REF!</definedName>
    <definedName function="false" hidden="false" localSheetId="16" name="mdamdui1" vbProcedure="false">#REF!</definedName>
    <definedName function="false" hidden="false" localSheetId="16" name="mdamdui1.5" vbProcedure="false">#REF!</definedName>
    <definedName function="false" hidden="false" localSheetId="16" name="mdamdui2.8" vbProcedure="false">#REF!</definedName>
    <definedName function="false" hidden="false" localSheetId="16" name="mdamrung15" vbProcedure="false">#REF!</definedName>
    <definedName function="false" hidden="false" localSheetId="16" name="mdamrung18" vbProcedure="false">#REF!</definedName>
    <definedName function="false" hidden="false" localSheetId="16" name="mdamrung8" vbProcedure="false">#REF!</definedName>
    <definedName function="false" hidden="false" localSheetId="16" name="mdao1gbh0.15" vbProcedure="false">#REF!</definedName>
    <definedName function="false" hidden="false" localSheetId="16" name="mdao1gbh0.25" vbProcedure="false">#REF!</definedName>
    <definedName function="false" hidden="false" localSheetId="16" name="mdao1gbh0.30" vbProcedure="false">#REF!</definedName>
    <definedName function="false" hidden="false" localSheetId="16" name="mdao1gbh0.35" vbProcedure="false">#REF!</definedName>
    <definedName function="false" hidden="false" localSheetId="16" name="mdao1gbh0.40" vbProcedure="false">#REF!</definedName>
    <definedName function="false" hidden="false" localSheetId="16" name="mdao1gbh0.65" vbProcedure="false">#REF!</definedName>
    <definedName function="false" hidden="false" localSheetId="16" name="mdao1gbh0.75" vbProcedure="false">#REF!</definedName>
    <definedName function="false" hidden="false" localSheetId="16" name="mdao1gbh1.25" vbProcedure="false">#REF!</definedName>
    <definedName function="false" hidden="false" localSheetId="16" name="mdao1gbx0.22" vbProcedure="false">#REF!</definedName>
    <definedName function="false" hidden="false" localSheetId="16" name="mdao1gbx0.25" vbProcedure="false">#REF!</definedName>
    <definedName function="false" hidden="false" localSheetId="16" name="mdao1gbx0.30" vbProcedure="false">#REF!</definedName>
    <definedName function="false" hidden="false" localSheetId="16" name="mdao1gbx0.35" vbProcedure="false">#REF!</definedName>
    <definedName function="false" hidden="false" localSheetId="16" name="mdao1gbx0.40" vbProcedure="false">#REF!</definedName>
    <definedName function="false" hidden="false" localSheetId="16" name="mdao1gbx0.50" vbProcedure="false">#REF!</definedName>
    <definedName function="false" hidden="false" localSheetId="16" name="mdao1gbx0.65" vbProcedure="false">#REF!</definedName>
    <definedName function="false" hidden="false" localSheetId="16" name="mdao1gbx1.00" vbProcedure="false">#REF!</definedName>
    <definedName function="false" hidden="false" localSheetId="16" name="mdao1gbx1.20" vbProcedure="false">#REF!</definedName>
    <definedName function="false" hidden="false" localSheetId="16" name="mdao1gbx1.25" vbProcedure="false">#REF!</definedName>
    <definedName function="false" hidden="false" localSheetId="16" name="mdao1gbx1.60" vbProcedure="false">#REF!</definedName>
    <definedName function="false" hidden="false" localSheetId="16" name="mdao1gbx2.00" vbProcedure="false">#REF!</definedName>
    <definedName function="false" hidden="false" localSheetId="16" name="mdao1gbx2.50" vbProcedure="false">#REF!</definedName>
    <definedName function="false" hidden="false" localSheetId="16" name="mdao1gbx4.00" vbProcedure="false">#REF!</definedName>
    <definedName function="false" hidden="false" localSheetId="16" name="mdao1gbx4.60" vbProcedure="false">#REF!</definedName>
    <definedName function="false" hidden="false" localSheetId="16" name="mdao1gbx5.00" vbProcedure="false">#REF!</definedName>
    <definedName function="false" hidden="false" localSheetId="16" name="me" vbProcedure="false">#REF!</definedName>
    <definedName function="false" hidden="false" localSheetId="16" name="mepcocsau1" vbProcedure="false">#REF!</definedName>
    <definedName function="false" hidden="false" localSheetId="16" name="mepcoctr100" vbProcedure="false">#REF!</definedName>
    <definedName function="false" hidden="false" localSheetId="16" name="mepcoctr60" vbProcedure="false">#REF!</definedName>
    <definedName function="false" hidden="false" localSheetId="16" name="mf" vbProcedure="false">#REF!</definedName>
    <definedName function="false" hidden="false" localSheetId="16" name="MFG" vbProcedure="false">#REF!</definedName>
    <definedName function="false" hidden="false" localSheetId="16" name="mfgexp" vbProcedure="false">#REF!</definedName>
    <definedName function="false" hidden="false" localSheetId="16" name="MG_A" vbProcedure="false">#REF!</definedName>
    <definedName function="false" hidden="false" localSheetId="16" name="mhan1chieu40" vbProcedure="false">#REF!</definedName>
    <definedName function="false" hidden="false" localSheetId="16" name="mhan1chieu50" vbProcedure="false">#REF!</definedName>
    <definedName function="false" hidden="false" localSheetId="16" name="mhancatnuoc124" vbProcedure="false">#REF!</definedName>
    <definedName function="false" hidden="false" localSheetId="16" name="mhand10.2" vbProcedure="false">#REF!</definedName>
    <definedName function="false" hidden="false" localSheetId="16" name="mhand27.5" vbProcedure="false">#REF!</definedName>
    <definedName function="false" hidden="false" localSheetId="16" name="mhand4" vbProcedure="false">#REF!</definedName>
    <definedName function="false" hidden="false" localSheetId="16" name="mhanhoi1000" vbProcedure="false">#REF!</definedName>
    <definedName function="false" hidden="false" localSheetId="16" name="mhanhoi2000" vbProcedure="false">#REF!</definedName>
    <definedName function="false" hidden="false" localSheetId="16" name="mhanxang20" vbProcedure="false">#REF!</definedName>
    <definedName function="false" hidden="false" localSheetId="16" name="mhanxang9" vbProcedure="false">#REF!</definedName>
    <definedName function="false" hidden="false" localSheetId="16" name="mhanxchieu23" vbProcedure="false">#REF!</definedName>
    <definedName function="false" hidden="false" localSheetId="16" name="mhanxchieu29.2" vbProcedure="false">#REF!</definedName>
    <definedName function="false" hidden="false" localSheetId="16" name="mhanxchieu33.5" vbProcedure="false">#REF!</definedName>
    <definedName function="false" hidden="false" localSheetId="16" name="MIS_Jun10" vbProcedure="false">#REF!</definedName>
    <definedName function="false" hidden="false" localSheetId="16" name="mkcnGPS15" vbProcedure="false">#REF!</definedName>
    <definedName function="false" hidden="false" localSheetId="16" name="mkcnTRC15" vbProcedure="false">#REF!</definedName>
    <definedName function="false" hidden="false" localSheetId="16" name="mkcnVRM" vbProcedure="false">#REF!</definedName>
    <definedName function="false" hidden="false" localSheetId="16" name="mkeobh165" vbProcedure="false">#REF!</definedName>
    <definedName function="false" hidden="false" localSheetId="16" name="mkeobh215" vbProcedure="false">#REF!</definedName>
    <definedName function="false" hidden="false" localSheetId="16" name="mkeobh28" vbProcedure="false">#REF!</definedName>
    <definedName function="false" hidden="false" localSheetId="16" name="mkeobh40" vbProcedure="false">#REF!</definedName>
    <definedName function="false" hidden="false" localSheetId="16" name="mkeobh50" vbProcedure="false">#REF!</definedName>
    <definedName function="false" hidden="false" localSheetId="16" name="mkeobh55" vbProcedure="false">#REF!</definedName>
    <definedName function="false" hidden="false" localSheetId="16" name="mkeobh60" vbProcedure="false">#REF!</definedName>
    <definedName function="false" hidden="false" localSheetId="16" name="mkeobh80" vbProcedure="false">#REF!</definedName>
    <definedName function="false" hidden="false" localSheetId="16" name="mkeobx108" vbProcedure="false">#REF!</definedName>
    <definedName function="false" hidden="false" localSheetId="16" name="mkeobx130" vbProcedure="false">#REF!</definedName>
    <definedName function="false" hidden="false" localSheetId="16" name="mkeobx45" vbProcedure="false">#REF!</definedName>
    <definedName function="false" hidden="false" localSheetId="16" name="mkeobx54" vbProcedure="false">#REF!</definedName>
    <definedName function="false" hidden="false" localSheetId="16" name="mkeobx60" vbProcedure="false">#REF!</definedName>
    <definedName function="false" hidden="false" localSheetId="16" name="mkeobx75" vbProcedure="false">#REF!</definedName>
    <definedName function="false" hidden="false" localSheetId="16" name="mkhoanbttay24" vbProcedure="false">#REF!</definedName>
    <definedName function="false" hidden="false" localSheetId="16" name="mkhoanbttay30" vbProcedure="false">#REF!</definedName>
    <definedName function="false" hidden="false" localSheetId="16" name="mkhoanbttay38" vbProcedure="false">#REF!</definedName>
    <definedName function="false" hidden="false" localSheetId="16" name="mkhoanbttay40" vbProcedure="false">#REF!</definedName>
    <definedName function="false" hidden="false" localSheetId="16" name="mkhoandatay30" vbProcedure="false">#REF!</definedName>
    <definedName function="false" hidden="false" localSheetId="16" name="mkhoandatay42" vbProcedure="false">#REF!</definedName>
    <definedName function="false" hidden="false" localSheetId="16" name="mkhoandung4.5" vbProcedure="false">#REF!</definedName>
    <definedName function="false" hidden="false" localSheetId="16" name="mkhoansattay13" vbProcedure="false">#REF!</definedName>
    <definedName function="false" hidden="false" localSheetId="16" name="mkhoanxoayth110" vbProcedure="false">#REF!</definedName>
    <definedName function="false" hidden="false" localSheetId="16" name="mkhoanxoayth95" vbProcedure="false">#REF!</definedName>
    <definedName function="false" hidden="false" localSheetId="16" name="mkichck18" vbProcedure="false">#REF!</definedName>
    <definedName function="false" hidden="false" localSheetId="16" name="mkichck250" vbProcedure="false">#REF!</definedName>
    <definedName function="false" hidden="false" localSheetId="16" name="mkichday60" vbProcedure="false">#REF!</definedName>
    <definedName function="false" hidden="false" localSheetId="16" name="mkichnang100" vbProcedure="false">#REF!</definedName>
    <definedName function="false" hidden="false" localSheetId="16" name="mkichnang250" vbProcedure="false">#REF!</definedName>
    <definedName function="false" hidden="false" localSheetId="16" name="mkichnang500" vbProcedure="false">#REF!</definedName>
    <definedName function="false" hidden="false" localSheetId="16" name="mluoncap15" vbProcedure="false">#REF!</definedName>
    <definedName function="false" hidden="false" localSheetId="16" name="mmai2.7" vbProcedure="false">#REF!</definedName>
    <definedName function="false" hidden="false" localSheetId="16" name="mminus1" vbProcedure="false">#REF!</definedName>
    <definedName function="false" hidden="false" localSheetId="16" name="mnenkhid102" vbProcedure="false">#REF!</definedName>
    <definedName function="false" hidden="false" localSheetId="16" name="mnenkhid120" vbProcedure="false">#REF!</definedName>
    <definedName function="false" hidden="false" localSheetId="16" name="mnenkhid1200" vbProcedure="false">#REF!</definedName>
    <definedName function="false" hidden="false" localSheetId="16" name="mnenkhid200" vbProcedure="false">#REF!</definedName>
    <definedName function="false" hidden="false" localSheetId="16" name="mnenkhid240" vbProcedure="false">#REF!</definedName>
    <definedName function="false" hidden="false" localSheetId="16" name="mnenkhid300" vbProcedure="false">#REF!</definedName>
    <definedName function="false" hidden="false" localSheetId="16" name="mnenkhid360" vbProcedure="false">#REF!</definedName>
    <definedName function="false" hidden="false" localSheetId="16" name="mnenkhid5.5" vbProcedure="false">#REF!</definedName>
    <definedName function="false" hidden="false" localSheetId="16" name="mnenkhid540" vbProcedure="false">#REF!</definedName>
    <definedName function="false" hidden="false" localSheetId="16" name="mnenkhid600" vbProcedure="false">#REF!</definedName>
    <definedName function="false" hidden="false" localSheetId="16" name="mnenkhid660" vbProcedure="false">#REF!</definedName>
    <definedName function="false" hidden="false" localSheetId="16" name="mnenkhid75" vbProcedure="false">#REF!</definedName>
    <definedName function="false" hidden="false" localSheetId="16" name="mnenkhidien10" vbProcedure="false">#REF!</definedName>
    <definedName function="false" hidden="false" localSheetId="16" name="mnenkhidien150" vbProcedure="false">#REF!</definedName>
    <definedName function="false" hidden="false" localSheetId="16" name="mnenkhidien216" vbProcedure="false">#REF!</definedName>
    <definedName function="false" hidden="false" localSheetId="16" name="mnenkhidien22" vbProcedure="false">#REF!</definedName>
    <definedName function="false" hidden="false" localSheetId="16" name="mnenkhidien270" vbProcedure="false">#REF!</definedName>
    <definedName function="false" hidden="false" localSheetId="16" name="mnenkhidien30" vbProcedure="false">#REF!</definedName>
    <definedName function="false" hidden="false" localSheetId="16" name="mnenkhidien300" vbProcedure="false">#REF!</definedName>
    <definedName function="false" hidden="false" localSheetId="16" name="mnenkhidien5" vbProcedure="false">#REF!</definedName>
    <definedName function="false" hidden="false" localSheetId="16" name="mnenkhidien56" vbProcedure="false">#REF!</definedName>
    <definedName function="false" hidden="false" localSheetId="16" name="mnenkhidien600" vbProcedure="false">#REF!</definedName>
    <definedName function="false" hidden="false" localSheetId="16" name="mnenkhixang11" vbProcedure="false">#REF!</definedName>
    <definedName function="false" hidden="false" localSheetId="16" name="mnenkhixang120" vbProcedure="false">#REF!</definedName>
    <definedName function="false" hidden="false" localSheetId="16" name="mnenkhixang200" vbProcedure="false">#REF!</definedName>
    <definedName function="false" hidden="false" localSheetId="16" name="mnenkhixang25" vbProcedure="false">#REF!</definedName>
    <definedName function="false" hidden="false" localSheetId="16" name="mnenkhixang3" vbProcedure="false">#REF!</definedName>
    <definedName function="false" hidden="false" localSheetId="16" name="mnenkhixang300" vbProcedure="false">#REF!</definedName>
    <definedName function="false" hidden="false" localSheetId="16" name="mnenkhixang40" vbProcedure="false">#REF!</definedName>
    <definedName function="false" hidden="false" localSheetId="16" name="mnenkhixang600" vbProcedure="false">#REF!</definedName>
    <definedName function="false" hidden="false" localSheetId="16" name="mnghiendad25" vbProcedure="false">#REF!</definedName>
    <definedName function="false" hidden="false" localSheetId="16" name="mnghiendadd20" vbProcedure="false">#REF!</definedName>
    <definedName function="false" hidden="false" localSheetId="16" name="mnghiendadd6" vbProcedure="false">#REF!</definedName>
    <definedName function="false" hidden="false" localSheetId="16" name="mnghiendatho14" vbProcedure="false">#REF!</definedName>
    <definedName function="false" hidden="false" localSheetId="16" name="mnghiendatho200" vbProcedure="false">#REF!</definedName>
    <definedName function="false" hidden="false" localSheetId="16" name="mnhogcaydk100" vbProcedure="false">#REF!</definedName>
    <definedName function="false" hidden="false" localSheetId="16" name="mnhogcaydk54" vbProcedure="false">#REF!</definedName>
    <definedName function="false" hidden="false" localSheetId="16" name="mnhogcaydk75" vbProcedure="false">#REF!</definedName>
    <definedName function="false" hidden="false" localSheetId="16" name="morita" vbProcedure="false">#REF!</definedName>
    <definedName function="false" hidden="false" localSheetId="16" name="moritavn" vbProcedure="false">#REF!</definedName>
    <definedName function="false" hidden="false" localSheetId="16" name="motodk150" vbProcedure="false">#REF!</definedName>
    <definedName function="false" hidden="false" localSheetId="16" name="motodk180" vbProcedure="false">#REF!</definedName>
    <definedName function="false" hidden="false" localSheetId="16" name="motodk200" vbProcedure="false">#REF!</definedName>
    <definedName function="false" hidden="false" localSheetId="16" name="motodk240" vbProcedure="false">#REF!</definedName>
    <definedName function="false" hidden="false" localSheetId="16" name="motodk255" vbProcedure="false">#REF!</definedName>
    <definedName function="false" hidden="false" localSheetId="16" name="motodk272" vbProcedure="false">#REF!</definedName>
    <definedName function="false" hidden="false" localSheetId="16" name="motothung10" vbProcedure="false">#REF!</definedName>
    <definedName function="false" hidden="false" localSheetId="16" name="motothung12" vbProcedure="false">#REF!</definedName>
    <definedName function="false" hidden="false" localSheetId="16" name="motothung12.5" vbProcedure="false">#REF!</definedName>
    <definedName function="false" hidden="false" localSheetId="16" name="motothung2" vbProcedure="false">#REF!</definedName>
    <definedName function="false" hidden="false" localSheetId="16" name="motothung2.5" vbProcedure="false">#REF!</definedName>
    <definedName function="false" hidden="false" localSheetId="16" name="motothung20" vbProcedure="false">#REF!</definedName>
    <definedName function="false" hidden="false" localSheetId="16" name="motothung4" vbProcedure="false">#REF!</definedName>
    <definedName function="false" hidden="false" localSheetId="16" name="motothung5" vbProcedure="false">#REF!</definedName>
    <definedName function="false" hidden="false" localSheetId="16" name="motothung6" vbProcedure="false">#REF!</definedName>
    <definedName function="false" hidden="false" localSheetId="16" name="motothung7" vbProcedure="false">#REF!</definedName>
    <definedName function="false" hidden="false" localSheetId="16" name="mototnuoc4" vbProcedure="false">#REF!</definedName>
    <definedName function="false" hidden="false" localSheetId="16" name="mototnuoc5" vbProcedure="false">#REF!</definedName>
    <definedName function="false" hidden="false" localSheetId="16" name="mototnuoc6" vbProcedure="false">#REF!</definedName>
    <definedName function="false" hidden="false" localSheetId="16" name="mototnuoc7" vbProcedure="false">#REF!</definedName>
    <definedName function="false" hidden="false" localSheetId="16" name="mototudo10" vbProcedure="false">#REF!</definedName>
    <definedName function="false" hidden="false" localSheetId="16" name="mototudo12" vbProcedure="false">#REF!</definedName>
    <definedName function="false" hidden="false" localSheetId="16" name="mototudo15" vbProcedure="false">#REF!</definedName>
    <definedName function="false" hidden="false" localSheetId="16" name="mototudo2.5" vbProcedure="false">#REF!</definedName>
    <definedName function="false" hidden="false" localSheetId="16" name="mototudo20" vbProcedure="false">#REF!</definedName>
    <definedName function="false" hidden="false" localSheetId="16" name="mototudo25" vbProcedure="false">#REF!</definedName>
    <definedName function="false" hidden="false" localSheetId="16" name="mototudo27" vbProcedure="false">#REF!</definedName>
    <definedName function="false" hidden="false" localSheetId="16" name="mototudo3.5" vbProcedure="false">#REF!</definedName>
    <definedName function="false" hidden="false" localSheetId="16" name="mototudo4" vbProcedure="false">#REF!</definedName>
    <definedName function="false" hidden="false" localSheetId="16" name="mototudo5" vbProcedure="false">#REF!</definedName>
    <definedName function="false" hidden="false" localSheetId="16" name="mototudo6" vbProcedure="false">#REF!</definedName>
    <definedName function="false" hidden="false" localSheetId="16" name="mototudo7" vbProcedure="false">#REF!</definedName>
    <definedName function="false" hidden="false" localSheetId="16" name="mototudo9" vbProcedure="false">#REF!</definedName>
    <definedName function="false" hidden="false" localSheetId="16" name="motovcbt6" vbProcedure="false">#REF!</definedName>
    <definedName function="false" hidden="false" localSheetId="16" name="mpha250" vbProcedure="false">#REF!</definedName>
    <definedName function="false" hidden="false" localSheetId="16" name="mphaothep10" vbProcedure="false">#REF!</definedName>
    <definedName function="false" hidden="false" localSheetId="16" name="mphaothep15" vbProcedure="false">#REF!</definedName>
    <definedName function="false" hidden="false" localSheetId="16" name="mphatdienld10" vbProcedure="false">#REF!</definedName>
    <definedName function="false" hidden="false" localSheetId="16" name="mphatdienld112" vbProcedure="false">#REF!</definedName>
    <definedName function="false" hidden="false" localSheetId="16" name="mphatdienld122" vbProcedure="false">#REF!</definedName>
    <definedName function="false" hidden="false" localSheetId="16" name="mphatdienld15" vbProcedure="false">#REF!</definedName>
    <definedName function="false" hidden="false" localSheetId="16" name="mphatdienld20" vbProcedure="false">#REF!</definedName>
    <definedName function="false" hidden="false" localSheetId="16" name="mphatdienld25" vbProcedure="false">#REF!</definedName>
    <definedName function="false" hidden="false" localSheetId="16" name="mphatdienld30" vbProcedure="false">#REF!</definedName>
    <definedName function="false" hidden="false" localSheetId="16" name="mphatdienld38" vbProcedure="false">#REF!</definedName>
    <definedName function="false" hidden="false" localSheetId="16" name="mphatdienld45" vbProcedure="false">#REF!</definedName>
    <definedName function="false" hidden="false" localSheetId="16" name="mphatdienld5.2" vbProcedure="false">#REF!</definedName>
    <definedName function="false" hidden="false" localSheetId="16" name="mphatdienld50" vbProcedure="false">#REF!</definedName>
    <definedName function="false" hidden="false" localSheetId="16" name="mphatdienld60" vbProcedure="false">#REF!</definedName>
    <definedName function="false" hidden="false" localSheetId="16" name="mphatdienld75" vbProcedure="false">#REF!</definedName>
    <definedName function="false" hidden="false" localSheetId="16" name="mphatdienld8" vbProcedure="false">#REF!</definedName>
    <definedName function="false" hidden="false" localSheetId="16" name="mphunson400" vbProcedure="false">#REF!</definedName>
    <definedName function="false" hidden="false" localSheetId="16" name="mphunvua2" vbProcedure="false">#REF!</definedName>
    <definedName function="false" hidden="false" localSheetId="16" name="mphunvua4" vbProcedure="false">#REF!</definedName>
    <definedName function="false" hidden="false" localSheetId="16" name="mplus1" vbProcedure="false">#REF!</definedName>
    <definedName function="false" hidden="false" localSheetId="16" name="mplus2" vbProcedure="false">#REF!</definedName>
    <definedName function="false" hidden="false" localSheetId="16" name="mplus3" vbProcedure="false">#REF!</definedName>
    <definedName function="false" hidden="false" localSheetId="16" name="mraibtsp500" vbProcedure="false">#REF!</definedName>
    <definedName function="false" hidden="false" localSheetId="16" name="mraintn100" vbProcedure="false">#REF!</definedName>
    <definedName function="false" hidden="false" localSheetId="16" name="mraintn65" vbProcedure="false">#REF!</definedName>
    <definedName function="false" hidden="false" localSheetId="16" name="mromooc14" vbProcedure="false">#REF!</definedName>
    <definedName function="false" hidden="false" localSheetId="16" name="mromooc15" vbProcedure="false">#REF!</definedName>
    <definedName function="false" hidden="false" localSheetId="16" name="mromooc2" vbProcedure="false">#REF!</definedName>
    <definedName function="false" hidden="false" localSheetId="16" name="mromooc21" vbProcedure="false">#REF!</definedName>
    <definedName function="false" hidden="false" localSheetId="16" name="mromooc4" vbProcedure="false">#REF!</definedName>
    <definedName function="false" hidden="false" localSheetId="16" name="mromooc7.5" vbProcedure="false">#REF!</definedName>
    <definedName function="false" hidden="false" localSheetId="16" name="msangbentontie1" vbProcedure="false">#REF!</definedName>
    <definedName function="false" hidden="false" localSheetId="16" name="msangruada11" vbProcedure="false">#REF!</definedName>
    <definedName function="false" hidden="false" localSheetId="16" name="msangruada35" vbProcedure="false">#REF!</definedName>
    <definedName function="false" hidden="false" localSheetId="16" name="msangruada45" vbProcedure="false">#REF!</definedName>
    <definedName function="false" hidden="false" localSheetId="16" name="msanth108" vbProcedure="false">#REF!</definedName>
    <definedName function="false" hidden="false" localSheetId="16" name="msanth180" vbProcedure="false">#REF!</definedName>
    <definedName function="false" hidden="false" localSheetId="16" name="msanth250" vbProcedure="false">#REF!</definedName>
    <definedName function="false" hidden="false" localSheetId="16" name="msanth54" vbProcedure="false">#REF!</definedName>
    <definedName function="false" hidden="false" localSheetId="16" name="msanth90" vbProcedure="false">#REF!</definedName>
    <definedName function="false" hidden="false" localSheetId="16" name="mtaukeo150" vbProcedure="false">#REF!</definedName>
    <definedName function="false" hidden="false" localSheetId="16" name="mtaukeo360" vbProcedure="false">#REF!</definedName>
    <definedName function="false" hidden="false" localSheetId="16" name="mtaukeo600" vbProcedure="false">#REF!</definedName>
    <definedName function="false" hidden="false" localSheetId="16" name="mtbipvlan150" vbProcedure="false">#REF!</definedName>
    <definedName function="false" hidden="false" localSheetId="16" name="mthungcapdkbx2.5" vbProcedure="false">#REF!</definedName>
    <definedName function="false" hidden="false" localSheetId="16" name="mthungcapdkbx2.75" vbProcedure="false">#REF!</definedName>
    <definedName function="false" hidden="false" localSheetId="16" name="mthungcapdkbx3" vbProcedure="false">#REF!</definedName>
    <definedName function="false" hidden="false" localSheetId="16" name="mthungcapdkbx4.5" vbProcedure="false">#REF!</definedName>
    <definedName function="false" hidden="false" localSheetId="16" name="mthungcapdkbx5" vbProcedure="false">#REF!</definedName>
    <definedName function="false" hidden="false" localSheetId="16" name="mthungcapdkbx8" vbProcedure="false">#REF!</definedName>
    <definedName function="false" hidden="false" localSheetId="16" name="mthungcapdkbx9" vbProcedure="false">#REF!</definedName>
    <definedName function="false" hidden="false" localSheetId="16" name="mtien4.5" vbProcedure="false">#REF!</definedName>
    <definedName function="false" hidden="false" localSheetId="16" name="mtoidien0.5" vbProcedure="false">#REF!</definedName>
    <definedName function="false" hidden="false" localSheetId="16" name="mtoidien1" vbProcedure="false">#REF!</definedName>
    <definedName function="false" hidden="false" localSheetId="16" name="mtoidien1.5" vbProcedure="false">#REF!</definedName>
    <definedName function="false" hidden="false" localSheetId="16" name="mtoidien2" vbProcedure="false">#REF!</definedName>
    <definedName function="false" hidden="false" localSheetId="16" name="mtoidien2.5" vbProcedure="false">#REF!</definedName>
    <definedName function="false" hidden="false" localSheetId="16" name="mtoidien3" vbProcedure="false">#REF!</definedName>
    <definedName function="false" hidden="false" localSheetId="16" name="mtoidien4" vbProcedure="false">#REF!</definedName>
    <definedName function="false" hidden="false" localSheetId="16" name="mtoidien5" vbProcedure="false">#REF!</definedName>
    <definedName function="false" hidden="false" localSheetId="16" name="mtrambomdau40" vbProcedure="false">#REF!</definedName>
    <definedName function="false" hidden="false" localSheetId="16" name="mtrambomdau50" vbProcedure="false">#REF!</definedName>
    <definedName function="false" hidden="false" localSheetId="16" name="mtramtronbt20" vbProcedure="false">#REF!</definedName>
    <definedName function="false" hidden="false" localSheetId="16" name="mtramtronbt22" vbProcedure="false">#REF!</definedName>
    <definedName function="false" hidden="false" localSheetId="16" name="mtramtronbt30" vbProcedure="false">#REF!</definedName>
    <definedName function="false" hidden="false" localSheetId="16" name="mtramtronbt60" vbProcedure="false">#REF!</definedName>
    <definedName function="false" hidden="false" localSheetId="16" name="mtramtronbtn25" vbProcedure="false">#REF!</definedName>
    <definedName function="false" hidden="false" localSheetId="16" name="mtramtronbtn30" vbProcedure="false">#REF!</definedName>
    <definedName function="false" hidden="false" localSheetId="16" name="mtramtronbtn40" vbProcedure="false">#REF!</definedName>
    <definedName function="false" hidden="false" localSheetId="16" name="mtramtronbtn50" vbProcedure="false">#REF!</definedName>
    <definedName function="false" hidden="false" localSheetId="16" name="mtramtronbtn60" vbProcedure="false">#REF!</definedName>
    <definedName function="false" hidden="false" localSheetId="16" name="mtramtronbtn80" vbProcedure="false">#REF!</definedName>
    <definedName function="false" hidden="false" localSheetId="16" name="mtronbentonite1" vbProcedure="false">#REF!</definedName>
    <definedName function="false" hidden="false" localSheetId="16" name="mtronbt100" vbProcedure="false">#REF!</definedName>
    <definedName function="false" hidden="false" localSheetId="16" name="mtronbt1150" vbProcedure="false">#REF!</definedName>
    <definedName function="false" hidden="false" localSheetId="16" name="mtronbt150" vbProcedure="false">#REF!</definedName>
    <definedName function="false" hidden="false" localSheetId="16" name="mtronbt1600" vbProcedure="false">#REF!</definedName>
    <definedName function="false" hidden="false" localSheetId="16" name="mtronbt200" vbProcedure="false">#REF!</definedName>
    <definedName function="false" hidden="false" localSheetId="16" name="mtronbt250" vbProcedure="false">#REF!</definedName>
    <definedName function="false" hidden="false" localSheetId="16" name="mtronbt425" vbProcedure="false">#REF!</definedName>
    <definedName function="false" hidden="false" localSheetId="16" name="mtronbt500" vbProcedure="false">#REF!</definedName>
    <definedName function="false" hidden="false" localSheetId="16" name="mtronbt800" vbProcedure="false">#REF!</definedName>
    <definedName function="false" hidden="false" localSheetId="16" name="mtronvua110" vbProcedure="false">#REF!</definedName>
    <definedName function="false" hidden="false" localSheetId="16" name="mtronvua150" vbProcedure="false">#REF!</definedName>
    <definedName function="false" hidden="false" localSheetId="16" name="mtronvua200" vbProcedure="false">#REF!</definedName>
    <definedName function="false" hidden="false" localSheetId="16" name="mtronvua250" vbProcedure="false">#REF!</definedName>
    <definedName function="false" hidden="false" localSheetId="16" name="mtronvua325" vbProcedure="false">#REF!</definedName>
    <definedName function="false" hidden="false" localSheetId="16" name="mtronvua80" vbProcedure="false">#REF!</definedName>
    <definedName function="false" hidden="false" localSheetId="16" name="muonong2.8" vbProcedure="false">#REF!</definedName>
    <definedName function="false" hidden="false" localSheetId="16" name="mvanthang0.3" vbProcedure="false">#REF!</definedName>
    <definedName function="false" hidden="false" localSheetId="16" name="mvanthang0.5" vbProcedure="false">#REF!</definedName>
    <definedName function="false" hidden="false" localSheetId="16" name="mvanthang2" vbProcedure="false">#REF!</definedName>
    <definedName function="false" hidden="false" localSheetId="16" name="mxebombt90" vbProcedure="false">#REF!</definedName>
    <definedName function="false" hidden="false" localSheetId="16" name="mxenanghang1.5" vbProcedure="false">#REF!</definedName>
    <definedName function="false" hidden="false" localSheetId="16" name="mxenanghang12" vbProcedure="false">#REF!</definedName>
    <definedName function="false" hidden="false" localSheetId="16" name="mxenanghang3" vbProcedure="false">#REF!</definedName>
    <definedName function="false" hidden="false" localSheetId="16" name="mxenanghang3.2" vbProcedure="false">#REF!</definedName>
    <definedName function="false" hidden="false" localSheetId="16" name="mxenanghang3.5" vbProcedure="false">#REF!</definedName>
    <definedName function="false" hidden="false" localSheetId="16" name="mxenanghang5" vbProcedure="false">#REF!</definedName>
    <definedName function="false" hidden="false" localSheetId="16" name="mxetuoinhua190" vbProcedure="false">#REF!</definedName>
    <definedName function="false" hidden="false" localSheetId="16" name="mxuclat0.40" vbProcedure="false">#REF!</definedName>
    <definedName function="false" hidden="false" localSheetId="16" name="mxuclat1.00" vbProcedure="false">#REF!</definedName>
    <definedName function="false" hidden="false" localSheetId="16" name="mxuclat1.65" vbProcedure="false">#REF!</definedName>
    <definedName function="false" hidden="false" localSheetId="16" name="mxuclat2.00" vbProcedure="false">#REF!</definedName>
    <definedName function="false" hidden="false" localSheetId="16" name="mxuclat2.80" vbProcedure="false">#REF!</definedName>
    <definedName function="false" hidden="false" localSheetId="16" name="myle" vbProcedure="false">#REF!</definedName>
    <definedName function="false" hidden="false" localSheetId="16" name="n" vbProcedure="false">#REF!</definedName>
    <definedName function="false" hidden="false" localSheetId="16" name="NASIK_D" vbProcedure="false">#REF!</definedName>
    <definedName function="false" hidden="false" localSheetId="16" name="NASIK_P" vbProcedure="false">#REF!</definedName>
    <definedName function="false" hidden="false" localSheetId="16" name="NASIK_S" vbProcedure="false">#REF!</definedName>
    <definedName function="false" hidden="false" localSheetId="16" name="ncong" vbProcedure="false">#REF!</definedName>
    <definedName function="false" hidden="false" localSheetId="16" name="ncr" vbProcedure="false">#REF!</definedName>
    <definedName function="false" hidden="false" localSheetId="16" name="NET" vbProcedure="false">#REF!</definedName>
    <definedName function="false" hidden="false" localSheetId="16" name="NET_1" vbProcedure="false">#REF!</definedName>
    <definedName function="false" hidden="false" localSheetId="16" name="NET_ANA" vbProcedure="false">#REF!</definedName>
    <definedName function="false" hidden="false" localSheetId="16" name="NET_ANA_1" vbProcedure="false">#REF!</definedName>
    <definedName function="false" hidden="false" localSheetId="16" name="NET_ANA_2" vbProcedure="false">#REF!</definedName>
    <definedName function="false" hidden="false" localSheetId="16" name="New" vbProcedure="false">#REF!</definedName>
    <definedName function="false" hidden="false" localSheetId="16" name="NH" vbProcedure="false">#REF!</definedName>
    <definedName function="false" hidden="false" localSheetId="16" name="NHot" vbProcedure="false">#REF!</definedName>
    <definedName function="false" hidden="false" localSheetId="16" name="NM1AD" vbProcedure="false">#REF!</definedName>
    <definedName function="false" hidden="false" localSheetId="16" name="NM1ARL" vbProcedure="false">#REF!</definedName>
    <definedName function="false" hidden="false" localSheetId="16" name="NM1BLD" vbProcedure="false">#REF!</definedName>
    <definedName function="false" hidden="false" localSheetId="16" name="NM1BRL" vbProcedure="false">#REF!</definedName>
    <definedName function="false" hidden="false" localSheetId="16" name="NM1CLCF" vbProcedure="false">#REF!</definedName>
    <definedName function="false" hidden="false" localSheetId="16" name="NM1CLCP" vbProcedure="false">#REF!</definedName>
    <definedName function="false" hidden="false" localSheetId="16" name="NM1CLF" vbProcedure="false">#REF!</definedName>
    <definedName function="false" hidden="false" localSheetId="16" name="NM1CLP" vbProcedure="false">#REF!</definedName>
    <definedName function="false" hidden="false" localSheetId="16" name="NM1DF" vbProcedure="false">#REF!</definedName>
    <definedName function="false" hidden="false" localSheetId="16" name="NM1DP" vbProcedure="false">#REF!</definedName>
    <definedName function="false" hidden="false" localSheetId="16" name="NM1MR" vbProcedure="false">#REF!</definedName>
    <definedName function="false" hidden="false" localSheetId="16" name="NM1OP" vbProcedure="false">#REF!</definedName>
    <definedName function="false" hidden="false" localSheetId="16" name="NM1RL" vbProcedure="false">#REF!</definedName>
    <definedName function="false" hidden="false" localSheetId="16" name="NM1SAF" vbProcedure="false">#REF!</definedName>
    <definedName function="false" hidden="false" localSheetId="16" name="NM1SAP" vbProcedure="false">#REF!</definedName>
    <definedName function="false" hidden="false" localSheetId="16" name="NM2CLF" vbProcedure="false">#REF!</definedName>
    <definedName function="false" hidden="false" localSheetId="16" name="NM2CLP" vbProcedure="false">#REF!</definedName>
    <definedName function="false" hidden="false" localSheetId="16" name="NM2DF" vbProcedure="false">#REF!</definedName>
    <definedName function="false" hidden="false" localSheetId="16" name="NM2DP" vbProcedure="false">#REF!</definedName>
    <definedName function="false" hidden="false" localSheetId="16" name="NM2MR" vbProcedure="false">#REF!</definedName>
    <definedName function="false" hidden="false" localSheetId="16" name="NM2RL" vbProcedure="false">#REF!</definedName>
    <definedName function="false" hidden="false" localSheetId="16" name="NM2SAF" vbProcedure="false">#REF!</definedName>
    <definedName function="false" hidden="false" localSheetId="16" name="NM2SAP" vbProcedure="false">#REF!</definedName>
    <definedName function="false" hidden="false" localSheetId="16" name="NM3CLF" vbProcedure="false">#REF!</definedName>
    <definedName function="false" hidden="false" localSheetId="16" name="NM3CLP" vbProcedure="false">#REF!</definedName>
    <definedName function="false" hidden="false" localSheetId="16" name="NM3DF" vbProcedure="false">#REF!</definedName>
    <definedName function="false" hidden="false" localSheetId="16" name="NM3DP" vbProcedure="false">#REF!</definedName>
    <definedName function="false" hidden="false" localSheetId="16" name="NM3MR" vbProcedure="false">#REF!</definedName>
    <definedName function="false" hidden="false" localSheetId="16" name="NM3RL" vbProcedure="false">#REF!</definedName>
    <definedName function="false" hidden="false" localSheetId="16" name="NM3SAF" vbProcedure="false">#REF!</definedName>
    <definedName function="false" hidden="false" localSheetId="16" name="NM3SAP" vbProcedure="false">#REF!</definedName>
    <definedName function="false" hidden="false" localSheetId="16" name="No" vbProcedure="false">#REF!</definedName>
    <definedName function="false" hidden="false" localSheetId="16" name="NORTH" vbProcedure="false">#REF!</definedName>
    <definedName function="false" hidden="false" localSheetId="16" name="Nov_04" vbProcedure="false">#REF!</definedName>
    <definedName function="false" hidden="false" localSheetId="16" name="Oct_04" vbProcedure="false">#REF!</definedName>
    <definedName function="false" hidden="false" localSheetId="16" name="odaki" vbProcedure="false">#REF!</definedName>
    <definedName function="false" hidden="false" localSheetId="16" name="OEM_PROGRAM" vbProcedure="false">#REF!</definedName>
    <definedName function="false" hidden="false" localSheetId="16" name="OH" vbProcedure="false">#REF!</definedName>
    <definedName function="false" hidden="false" localSheetId="16" name="ophom" vbProcedure="false">#REF!</definedName>
    <definedName function="false" hidden="false" localSheetId="16" name="Ord" vbProcedure="false">#REF!</definedName>
    <definedName function="false" hidden="false" localSheetId="16" name="otherincome" vbProcedure="false">#REF!</definedName>
    <definedName function="false" hidden="false" localSheetId="16" name="OTHER_MISC." vbProcedure="false">#REF!</definedName>
    <definedName function="false" hidden="false" localSheetId="16" name="Oth_data" vbProcedure="false">#REF!</definedName>
    <definedName function="false" hidden="false" localSheetId="16" name="P1_" vbProcedure="false">#REF!</definedName>
    <definedName function="false" hidden="false" localSheetId="16" name="P2_" vbProcedure="false">#REF!</definedName>
    <definedName function="false" hidden="false" localSheetId="16" name="P3_" vbProcedure="false">#REF!</definedName>
    <definedName function="false" hidden="false" localSheetId="16" name="P4_" vbProcedure="false">#REF!</definedName>
    <definedName function="false" hidden="false" localSheetId="16" name="P7b" vbProcedure="false">#REF!</definedName>
    <definedName function="false" hidden="false" localSheetId="16" name="PA" vbProcedure="false">#REF!</definedName>
    <definedName function="false" hidden="false" localSheetId="16" name="PAGE" vbProcedure="false">#REF!</definedName>
    <definedName function="false" hidden="false" localSheetId="16" name="PART" vbProcedure="false">#REF!</definedName>
    <definedName function="false" hidden="false" localSheetId="16" name="PC" vbProcedure="false">#REF!</definedName>
    <definedName function="false" hidden="false" localSheetId="16" name="Period_Calc" vbProcedure="false">#REF!</definedName>
    <definedName function="false" hidden="false" localSheetId="16" name="PERS" vbProcedure="false">#REF!</definedName>
    <definedName function="false" hidden="false" localSheetId="16" name="PERS1" vbProcedure="false">#REF!</definedName>
    <definedName function="false" hidden="false" localSheetId="16" name="personnelexp" vbProcedure="false">#REF!</definedName>
    <definedName function="false" hidden="false" localSheetId="16" name="PL" vbProcedure="false">#REF!</definedName>
    <definedName function="false" hidden="false" localSheetId="16" name="Plant1" vbProcedure="false">#REF!</definedName>
    <definedName function="false" hidden="false" localSheetId="16" name="Plant2" vbProcedure="false">#REF!</definedName>
    <definedName function="false" hidden="false" localSheetId="16" name="Plant4" vbProcedure="false">#REF!</definedName>
    <definedName function="false" hidden="false" localSheetId="16" name="Plant5" vbProcedure="false">#REF!</definedName>
    <definedName function="false" hidden="false" localSheetId="16" name="Plant6" vbProcedure="false">#REF!</definedName>
    <definedName function="false" hidden="false" localSheetId="16" name="PM" vbProcedure="false">#REF!</definedName>
    <definedName function="false" hidden="false" localSheetId="16" name="PMB" vbProcedure="false">#REF!</definedName>
    <definedName function="false" hidden="false" localSheetId="16" name="PMW" vbProcedure="false">#REF!</definedName>
    <definedName function="false" hidden="false" localSheetId="16" name="POFOBE_" vbProcedure="false">#REF!</definedName>
    <definedName function="false" hidden="false" localSheetId="16" name="POFOB_" vbProcedure="false">#REF!</definedName>
    <definedName function="false" hidden="false" localSheetId="16" name="POLDE_" vbProcedure="false">#REF!</definedName>
    <definedName function="false" hidden="false" localSheetId="16" name="POLDM_" vbProcedure="false">#REF!</definedName>
    <definedName function="false" hidden="false" localSheetId="16" name="POLD_" vbProcedure="false">#REF!</definedName>
    <definedName function="false" hidden="false" localSheetId="16" name="PO_E_" vbProcedure="false">#REF!</definedName>
    <definedName function="false" hidden="false" localSheetId="16" name="PP" vbProcedure="false">#REF!</definedName>
    <definedName function="false" hidden="false" localSheetId="16" name="PPMAM" vbProcedure="false">#REF!</definedName>
    <definedName function="false" hidden="false" localSheetId="16" name="PPMAY" vbProcedure="false">#REF!</definedName>
    <definedName function="false" hidden="false" localSheetId="16" name="PPMBM" vbProcedure="false">#REF!</definedName>
    <definedName function="false" hidden="false" localSheetId="16" name="PPMBY" vbProcedure="false">#REF!</definedName>
    <definedName function="false" hidden="false" localSheetId="16" name="PPMLM" vbProcedure="false">#REF!</definedName>
    <definedName function="false" hidden="false" localSheetId="16" name="PPMLY" vbProcedure="false">#REF!</definedName>
    <definedName function="false" hidden="false" localSheetId="16" name="PR" vbProcedure="false">#REF!</definedName>
    <definedName function="false" hidden="false" localSheetId="16" name="PRE" vbProcedure="false">#REF!</definedName>
    <definedName function="false" hidden="false" localSheetId="16" name="PREOP" vbProcedure="false">#REF!</definedName>
    <definedName function="false" hidden="false" localSheetId="16" name="PRES" vbProcedure="false">#REF!</definedName>
    <definedName function="false" hidden="false" localSheetId="16" name="PRFOBE_" vbProcedure="false">#REF!</definedName>
    <definedName function="false" hidden="false" localSheetId="16" name="PRFOB_" vbProcedure="false">#REF!</definedName>
    <definedName function="false" hidden="false" localSheetId="16" name="PRINTA" vbProcedure="false">#REF!</definedName>
    <definedName function="false" hidden="false" localSheetId="16" name="PRINTB" vbProcedure="false">#REF!</definedName>
    <definedName function="false" hidden="false" localSheetId="16" name="PRINTC" vbProcedure="false">#REF!</definedName>
    <definedName function="false" hidden="false" localSheetId="16" name="PRINT_AR06" vbProcedure="false">#REF!</definedName>
    <definedName function="false" hidden="false" localSheetId="16" name="PRINT_AREA_MI" vbProcedure="false">#REF!</definedName>
    <definedName function="false" hidden="false" localSheetId="16" name="Print_Titles2" vbProcedure="false">#REF!</definedName>
    <definedName function="false" hidden="false" localSheetId="16" name="PRINT_TITLES_MI" vbProcedure="false">#REF!</definedName>
    <definedName function="false" hidden="false" localSheetId="16" name="PRL" vbProcedure="false">#REF!</definedName>
    <definedName function="false" hidden="false" localSheetId="16" name="PRLDE_" vbProcedure="false">#REF!</definedName>
    <definedName function="false" hidden="false" localSheetId="16" name="PRLDM_" vbProcedure="false">#REF!</definedName>
    <definedName function="false" hidden="false" localSheetId="16" name="PRLD_" vbProcedure="false">#REF!</definedName>
    <definedName function="false" hidden="false" localSheetId="16" name="Profit" vbProcedure="false">#REF!</definedName>
    <definedName function="false" hidden="false" localSheetId="16" name="PROPOSAL" vbProcedure="false">#REF!</definedName>
    <definedName function="false" hidden="false" localSheetId="16" name="PRS" vbProcedure="false">#REF!</definedName>
    <definedName function="false" hidden="false" localSheetId="16" name="PR_E_" vbProcedure="false">#REF!</definedName>
    <definedName function="false" hidden="false" localSheetId="16" name="PR__" vbProcedure="false">#REF!</definedName>
    <definedName function="false" hidden="false" localSheetId="16" name="PS" vbProcedure="false">#REF!</definedName>
    <definedName function="false" hidden="false" localSheetId="16" name="ptdg" vbProcedure="false">#REF!</definedName>
    <definedName function="false" hidden="false" localSheetId="16" name="PTDG_cau" vbProcedure="false">#REF!</definedName>
    <definedName function="false" hidden="false" localSheetId="16" name="ptdg_cong" vbProcedure="false">#REF!</definedName>
    <definedName function="false" hidden="false" localSheetId="16" name="ptdg_duong" vbProcedure="false">#REF!</definedName>
    <definedName function="false" hidden="false" localSheetId="16" name="PT_Duong" vbProcedure="false">#REF!</definedName>
    <definedName function="false" hidden="false" localSheetId="16" name="PWHT" vbProcedure="false">#REF!</definedName>
    <definedName function="false" hidden="false" localSheetId="16" name="Q" vbProcedure="false">#REF!</definedName>
    <definedName function="false" hidden="false" localSheetId="16" name="QCFOBE_" vbProcedure="false">#REF!</definedName>
    <definedName function="false" hidden="false" localSheetId="16" name="QCFOB_" vbProcedure="false">#REF!</definedName>
    <definedName function="false" hidden="false" localSheetId="16" name="QCLDE_" vbProcedure="false">#REF!</definedName>
    <definedName function="false" hidden="false" localSheetId="16" name="QCLDM_" vbProcedure="false">#REF!</definedName>
    <definedName function="false" hidden="false" localSheetId="16" name="QCLD_" vbProcedure="false">#REF!</definedName>
    <definedName function="false" hidden="false" localSheetId="16" name="QC_E_" vbProcedure="false">#REF!</definedName>
    <definedName function="false" hidden="false" localSheetId="16" name="QC__" vbProcedure="false">#REF!</definedName>
    <definedName function="false" hidden="false" localSheetId="16" name="qtdm" vbProcedure="false">#REF!</definedName>
    <definedName function="false" hidden="false" localSheetId="16" name="READ" vbProcedure="false">#REF!</definedName>
    <definedName function="false" hidden="false" localSheetId="16" name="readings" vbProcedure="false">#REF!</definedName>
    <definedName function="false" hidden="false" localSheetId="16" name="reconc" vbProcedure="false">#REF!</definedName>
    <definedName function="false" hidden="false" localSheetId="16" name="RECONCILIATION" vbProcedure="false">#REF!</definedName>
    <definedName function="false" hidden="false" localSheetId="16" name="RED_RIVER_BRIDGE__THANH_TRI_BRIDGE__CONSTRUCTION_PROJECT" vbProcedure="false">#REF!</definedName>
    <definedName function="false" hidden="false" localSheetId="16" name="refer3_1" vbProcedure="false">#REF!</definedName>
    <definedName function="false" hidden="false" localSheetId="16" name="refer5_1" vbProcedure="false">#REF!</definedName>
    <definedName function="false" hidden="false" localSheetId="16" name="REO" vbProcedure="false">#REF!</definedName>
    <definedName function="false" hidden="false" localSheetId="16" name="REP" vbProcedure="false">#REF!</definedName>
    <definedName function="false" hidden="false" localSheetId="16" name="REVISION_00" vbProcedure="false">#REF!</definedName>
    <definedName function="false" hidden="false" localSheetId="16" name="rmcsep" vbProcedure="false">#REF!</definedName>
    <definedName function="false" hidden="false" localSheetId="16" name="rmc_working" vbProcedure="false">#REF!</definedName>
    <definedName function="false" hidden="false" localSheetId="16" name="R_" vbProcedure="false">#REF!</definedName>
    <definedName function="false" hidden="false" localSheetId="16" name="R_1" vbProcedure="false">#REF!</definedName>
    <definedName function="false" hidden="false" localSheetId="16" name="R_2" vbProcedure="false">#REF!</definedName>
    <definedName function="false" hidden="false" localSheetId="16" name="R_3" vbProcedure="false">#REF!</definedName>
    <definedName function="false" hidden="false" localSheetId="16" name="SALE1" vbProcedure="false">#REF!</definedName>
    <definedName function="false" hidden="false" localSheetId="16" name="SALE7" vbProcedure="false">#REF!</definedName>
    <definedName function="false" hidden="false" localSheetId="16" name="Sales_plan" vbProcedure="false">#REF!</definedName>
    <definedName function="false" hidden="false" localSheetId="16" name="satu" vbProcedure="false">#REF!</definedName>
    <definedName function="false" hidden="false" localSheetId="16" name="SD" vbProcedure="false">#REF!</definedName>
    <definedName function="false" hidden="false" localSheetId="16" name="SEGN_ALL_PQL" vbProcedure="false">#REF!</definedName>
    <definedName function="false" hidden="false" localSheetId="16" name="SEGN_HEALTH_PQL" vbProcedure="false">#REF!</definedName>
    <definedName function="false" hidden="false" localSheetId="16" name="SEGN_HOIKU_PQL" vbProcedure="false">#REF!</definedName>
    <definedName function="false" hidden="false" localSheetId="16" name="SEGN_IKUJI_PQL" vbProcedure="false">#REF!</definedName>
    <definedName function="false" hidden="false" localSheetId="16" name="SEGN_JYOSEI_PQL" vbProcedure="false">#REF!</definedName>
    <definedName function="false" hidden="false" localSheetId="16" name="SEGN_KAIGO_PQL" vbProcedure="false">#REF!</definedName>
    <definedName function="false" hidden="false" localSheetId="16" name="SEGN_OTHER_PQL" vbProcedure="false">#REF!</definedName>
    <definedName function="false" hidden="false" localSheetId="16" name="selldistexp" vbProcedure="false">#REF!</definedName>
    <definedName function="false" hidden="false" localSheetId="16" name="Sep_04" vbProcedure="false">#REF!</definedName>
    <definedName function="false" hidden="false" localSheetId="16" name="Sheet1" vbProcedure="false">#REF!</definedName>
    <definedName function="false" hidden="false" localSheetId="16" name="sho" vbProcedure="false">#REF!</definedName>
    <definedName function="false" hidden="false" localSheetId="16" name="SM" vbProcedure="false">#REF!</definedName>
    <definedName function="false" hidden="false" localSheetId="16" name="SORT" vbProcedure="false">#REF!</definedName>
    <definedName function="false" hidden="false" localSheetId="16" name="SOUTH" vbProcedure="false">#REF!</definedName>
    <definedName function="false" hidden="false" localSheetId="16" name="SPEC" vbProcedure="false">#REF!</definedName>
    <definedName function="false" hidden="false" localSheetId="16" name="SPECSUMMARY" vbProcedure="false">#REF!</definedName>
    <definedName function="false" hidden="false" localSheetId="16" name="SP_SOB" vbProcedure="false">#REF!</definedName>
    <definedName function="false" hidden="false" localSheetId="16" name="SSTR" vbProcedure="false">#REF!</definedName>
    <definedName function="false" hidden="false" localSheetId="16" name="ST" vbProcedure="false">#REF!</definedName>
    <definedName function="false" hidden="false" localSheetId="16" name="Start_1" vbProcedure="false">#REF!</definedName>
    <definedName function="false" hidden="false" localSheetId="16" name="Start_10" vbProcedure="false">#REF!</definedName>
    <definedName function="false" hidden="false" localSheetId="16" name="Start_11" vbProcedure="false">#REF!</definedName>
    <definedName function="false" hidden="false" localSheetId="16" name="Start_12" vbProcedure="false">#REF!</definedName>
    <definedName function="false" hidden="false" localSheetId="16" name="Start_13" vbProcedure="false">#REF!</definedName>
    <definedName function="false" hidden="false" localSheetId="16" name="Start_2" vbProcedure="false">#REF!</definedName>
    <definedName function="false" hidden="false" localSheetId="16" name="Start_3" vbProcedure="false">#REF!</definedName>
    <definedName function="false" hidden="false" localSheetId="16" name="Start_4" vbProcedure="false">#REF!</definedName>
    <definedName function="false" hidden="false" localSheetId="16" name="Start_5" vbProcedure="false">#REF!</definedName>
    <definedName function="false" hidden="false" localSheetId="16" name="Start_6" vbProcedure="false">#REF!</definedName>
    <definedName function="false" hidden="false" localSheetId="16" name="Start_7" vbProcedure="false">#REF!</definedName>
    <definedName function="false" hidden="false" localSheetId="16" name="Start_8" vbProcedure="false">#REF!</definedName>
    <definedName function="false" hidden="false" localSheetId="16" name="Start_9" vbProcedure="false">#REF!</definedName>
    <definedName function="false" hidden="false" localSheetId="16" name="STATUSREPORT_U" vbProcedure="false">#REF!</definedName>
    <definedName function="false" hidden="false" localSheetId="16" name="STATUSREPORT_Y" vbProcedure="false">#REF!</definedName>
    <definedName function="false" hidden="false" localSheetId="16" name="STFOBE_" vbProcedure="false">#REF!</definedName>
    <definedName function="false" hidden="false" localSheetId="16" name="STFOB_" vbProcedure="false">#REF!</definedName>
    <definedName function="false" hidden="false" localSheetId="16" name="STLDE_" vbProcedure="false">#REF!</definedName>
    <definedName function="false" hidden="false" localSheetId="16" name="STLDM_" vbProcedure="false">#REF!</definedName>
    <definedName function="false" hidden="false" localSheetId="16" name="STLD_" vbProcedure="false">#REF!</definedName>
    <definedName function="false" hidden="false" localSheetId="16" name="store" vbProcedure="false">#REF!</definedName>
    <definedName function="false" hidden="false" localSheetId="16" name="store1" vbProcedure="false">#REF!</definedName>
    <definedName function="false" hidden="false" localSheetId="16" name="storeFait" vbProcedure="false">#REF!</definedName>
    <definedName function="false" hidden="false" localSheetId="16" name="structure" vbProcedure="false">#REF!</definedName>
    <definedName function="false" hidden="false" localSheetId="16" name="ST_E_" vbProcedure="false">#REF!</definedName>
    <definedName function="false" hidden="false" localSheetId="16" name="ST__" vbProcedure="false">#REF!</definedName>
    <definedName function="false" hidden="false" localSheetId="16" name="SUMMARY" vbProcedure="false">#REF!</definedName>
    <definedName function="false" hidden="false" localSheetId="16" name="T.C.I.L." vbProcedure="false">#REF!</definedName>
    <definedName function="false" hidden="false" localSheetId="16" name="Target" vbProcedure="false">#REF!</definedName>
    <definedName function="false" hidden="false" localSheetId="16" name="TBA" vbProcedure="false">#REF!</definedName>
    <definedName function="false" hidden="false" localSheetId="16" name="tdia" vbProcedure="false">#REF!</definedName>
    <definedName function="false" hidden="false" localSheetId="16" name="tdt" vbProcedure="false">#REF!</definedName>
    <definedName function="false" hidden="false" localSheetId="16" name="test" vbProcedure="false">#REF!</definedName>
    <definedName function="false" hidden="false" localSheetId="16" name="TextRefCopy1" vbProcedure="false">#REF!</definedName>
    <definedName function="false" hidden="false" localSheetId="16" name="TextRefCopy10" vbProcedure="false">'[14]cashflow 31.05.08' #REF!</definedName>
    <definedName function="false" hidden="false" localSheetId="16" name="TextRefCopy11" vbProcedure="false">'[14]cashflow 31.05.08' #REF!</definedName>
    <definedName function="false" hidden="false" localSheetId="16" name="TextRefCopy12" vbProcedure="false">'[14]cashflow 31.05.08' #REF!</definedName>
    <definedName function="false" hidden="false" localSheetId="16" name="TextRefCopy13" vbProcedure="false">'[14]cashflow 31.05.08' #REF!</definedName>
    <definedName function="false" hidden="false" localSheetId="16" name="TextRefCopy14" vbProcedure="false">'[14]cashflow 31.05.08' #REF!</definedName>
    <definedName function="false" hidden="false" localSheetId="16" name="TextRefCopy15" vbProcedure="false">'[14]cashflow 31.05.08' #REF!</definedName>
    <definedName function="false" hidden="false" localSheetId="16" name="TextRefCopy16" vbProcedure="false">'[14]cashflow 31.05.08' #REF!</definedName>
    <definedName function="false" hidden="false" localSheetId="16" name="TextRefCopy2" vbProcedure="false">#REF!</definedName>
    <definedName function="false" hidden="false" localSheetId="16" name="TextRefCopy3" vbProcedure="false">#REF!</definedName>
    <definedName function="false" hidden="false" localSheetId="16" name="TextRefCopy4" vbProcedure="false">#REF!</definedName>
    <definedName function="false" hidden="false" localSheetId="16" name="TextRefCopy5" vbProcedure="false">#REF!</definedName>
    <definedName function="false" hidden="false" localSheetId="16" name="TextRefCopy6" vbProcedure="false">#REF!</definedName>
    <definedName function="false" hidden="false" localSheetId="16" name="TextRefCopy7" vbProcedure="false">#REF!</definedName>
    <definedName function="false" hidden="false" localSheetId="16" name="TextRefCopy8" vbProcedure="false">#REF!</definedName>
    <definedName function="false" hidden="false" localSheetId="16" name="TextRefCopy9" vbProcedure="false">#REF!</definedName>
    <definedName function="false" hidden="false" localSheetId="16" name="thdt" vbProcedure="false">#REF!</definedName>
    <definedName function="false" hidden="false" localSheetId="16" name="THREE02" vbProcedure="false">#REF!</definedName>
    <definedName function="false" hidden="false" localSheetId="16" name="THREE03" vbProcedure="false">#REF!</definedName>
    <definedName function="false" hidden="false" localSheetId="16" name="THREE04" vbProcedure="false">#REF!</definedName>
    <definedName function="false" hidden="false" localSheetId="16" name="THREE05" vbProcedure="false">#REF!</definedName>
    <definedName function="false" hidden="false" localSheetId="16" name="THREE06" vbProcedure="false">#REF!</definedName>
    <definedName function="false" hidden="false" localSheetId="16" name="THREE07" vbProcedure="false">#REF!</definedName>
    <definedName function="false" hidden="false" localSheetId="16" name="THREE08" vbProcedure="false">#REF!</definedName>
    <definedName function="false" hidden="false" localSheetId="16" name="THREE09" vbProcedure="false">#REF!</definedName>
    <definedName function="false" hidden="false" localSheetId="16" name="Tien" vbProcedure="false">#REF!</definedName>
    <definedName function="false" hidden="false" localSheetId="16" name="Tim_lan_xuat_hien" vbProcedure="false">#REF!</definedName>
    <definedName function="false" hidden="false" localSheetId="16" name="tim_xuat_hien" vbProcedure="false">#REF!</definedName>
    <definedName function="false" hidden="false" localSheetId="16" name="tld" vbProcedure="false">#REF!</definedName>
    <definedName function="false" hidden="false" localSheetId="16" name="tly" vbProcedure="false">#REF!</definedName>
    <definedName function="false" hidden="false" localSheetId="16" name="tn" vbProcedure="false">#REF!</definedName>
    <definedName function="false" hidden="false" localSheetId="16" name="Tong" vbProcedure="false">#REF!</definedName>
    <definedName function="false" hidden="false" localSheetId="16" name="tongcong" vbProcedure="false">#REF!</definedName>
    <definedName function="false" hidden="false" localSheetId="16" name="Tooling" vbProcedure="false">#REF!</definedName>
    <definedName function="false" hidden="false" localSheetId="16" name="total" vbProcedure="false">#REF!</definedName>
    <definedName function="false" hidden="false" localSheetId="16" name="TRANSFERS" vbProcedure="false">#REF!</definedName>
    <definedName function="false" hidden="false" localSheetId="16" name="TRAVL" vbProcedure="false">#REF!</definedName>
    <definedName function="false" hidden="false" localSheetId="16" name="Tra_DM_su_dung" vbProcedure="false">#REF!</definedName>
    <definedName function="false" hidden="false" localSheetId="16" name="Tra_don_gia_KS" vbProcedure="false">#REF!</definedName>
    <definedName function="false" hidden="false" localSheetId="16" name="Tra_DTCT" vbProcedure="false">#REF!</definedName>
    <definedName function="false" hidden="false" localSheetId="16" name="Tra_tim_hang_mucPT_trung" vbProcedure="false">#REF!</definedName>
    <definedName function="false" hidden="false" localSheetId="16" name="TRA_VAT_LIEU" vbProcedure="false">#REF!</definedName>
    <definedName function="false" hidden="false" localSheetId="16" name="TRA_VL" vbProcedure="false">#REF!</definedName>
    <definedName function="false" hidden="false" localSheetId="16" name="trt" vbProcedure="false">#REF!</definedName>
    <definedName function="false" hidden="false" localSheetId="16" name="tt" vbProcedure="false">#REF!</definedName>
    <definedName function="false" hidden="false" localSheetId="16" name="tthi" vbProcedure="false">#REF!</definedName>
    <definedName function="false" hidden="false" localSheetId="16" name="TTLB1" vbProcedure="false">#REF!</definedName>
    <definedName function="false" hidden="false" localSheetId="16" name="TTLB2" vbProcedure="false">#REF!</definedName>
    <definedName function="false" hidden="false" localSheetId="16" name="TTLB3" vbProcedure="false">#REF!</definedName>
    <definedName function="false" hidden="false" localSheetId="16" name="TYMS" vbProcedure="false">#REF!</definedName>
    <definedName function="false" hidden="false" localSheetId="16" name="ty_le" vbProcedure="false">#REF!</definedName>
    <definedName function="false" hidden="false" localSheetId="16" name="Ty_le1" vbProcedure="false">#REF!</definedName>
    <definedName function="false" hidden="false" localSheetId="16" name="ty_le_BTN" vbProcedure="false">#REF!</definedName>
    <definedName function="false" hidden="false" localSheetId="16" name="UNO" vbProcedure="false">#REF!</definedName>
    <definedName function="false" hidden="false" localSheetId="16" name="UPLOAD" vbProcedure="false">#REF!</definedName>
    <definedName function="false" hidden="false" localSheetId="16" name="US___DETAIL" vbProcedure="false">#REF!</definedName>
    <definedName function="false" hidden="false" localSheetId="16" name="US___PRES" vbProcedure="false">#REF!</definedName>
    <definedName function="false" hidden="false" localSheetId="16" name="VARIINST" vbProcedure="false">#REF!</definedName>
    <definedName function="false" hidden="false" localSheetId="16" name="VARIPURC" vbProcedure="false">#REF!</definedName>
    <definedName function="false" hidden="false" localSheetId="16" name="vat" vbProcedure="false">#REF!</definedName>
    <definedName function="false" hidden="false" localSheetId="16" name="vbt400d" vbProcedure="false">#REF!</definedName>
    <definedName function="false" hidden="false" localSheetId="16" name="vbta" vbProcedure="false">#REF!</definedName>
    <definedName function="false" hidden="false" localSheetId="16" name="vbtB" vbProcedure="false">#REF!</definedName>
    <definedName function="false" hidden="false" localSheetId="16" name="vbtD" vbProcedure="false">#REF!</definedName>
    <definedName function="false" hidden="false" localSheetId="16" name="vbtE" vbProcedure="false">#REF!</definedName>
    <definedName function="false" hidden="false" localSheetId="16" name="vbtF" vbProcedure="false">#REF!</definedName>
    <definedName function="false" hidden="false" localSheetId="16" name="vbtg" vbProcedure="false">#REF!</definedName>
    <definedName function="false" hidden="false" localSheetId="16" name="VCM_Y" vbProcedure="false">#REF!</definedName>
    <definedName function="false" hidden="false" localSheetId="16" name="viet" vbProcedure="false">#REF!</definedName>
    <definedName function="false" hidden="false" localSheetId="16" name="vik" vbProcedure="false">#REF!</definedName>
    <definedName function="false" hidden="false" localSheetId="16" name="VOLUME" vbProcedure="false">#REF!</definedName>
    <definedName function="false" hidden="false" localSheetId="16" name="vtu" vbProcedure="false">#REF!</definedName>
    <definedName function="false" hidden="false" localSheetId="16" name="W" vbProcedure="false">#REF!</definedName>
    <definedName function="false" hidden="false" localSheetId="16" name="waterway" vbProcedure="false">#REF!</definedName>
    <definedName function="false" hidden="false" localSheetId="16" name="WEFOBE_" vbProcedure="false">#REF!</definedName>
    <definedName function="false" hidden="false" localSheetId="16" name="WEFOB_" vbProcedure="false">#REF!</definedName>
    <definedName function="false" hidden="false" localSheetId="16" name="WELDE_" vbProcedure="false">#REF!</definedName>
    <definedName function="false" hidden="false" localSheetId="16" name="WELDM_" vbProcedure="false">#REF!</definedName>
    <definedName function="false" hidden="false" localSheetId="16" name="WELD_" vbProcedure="false">#REF!</definedName>
    <definedName function="false" hidden="false" localSheetId="16" name="WEST" vbProcedure="false">#REF!</definedName>
    <definedName function="false" hidden="false" localSheetId="16" name="WE_E_" vbProcedure="false">#REF!</definedName>
    <definedName function="false" hidden="false" localSheetId="16" name="WE__" vbProcedure="false">#REF!</definedName>
    <definedName function="false" hidden="false" localSheetId="16" name="WITHMPBF" vbProcedure="false">#REF!</definedName>
    <definedName function="false" hidden="false" localSheetId="16"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6" name="wrn.Volumes." vbProcedure="false">{#N/A,#N/A,TRUE,"Volumes"}</definedName>
    <definedName function="false" hidden="false" localSheetId="16" name="X" vbProcedure="false">#REF!</definedName>
    <definedName function="false" hidden="false" localSheetId="16" name="xd0.6" vbProcedure="false">#REF!</definedName>
    <definedName function="false" hidden="false" localSheetId="16" name="xd1.3" vbProcedure="false">#REF!</definedName>
    <definedName function="false" hidden="false" localSheetId="16" name="xd1.5" vbProcedure="false">#REF!</definedName>
    <definedName function="false" hidden="false" localSheetId="16" name="xh" vbProcedure="false">#REF!</definedName>
    <definedName function="false" hidden="false" localSheetId="16" name="xk0.6" vbProcedure="false">#REF!</definedName>
    <definedName function="false" hidden="false" localSheetId="16" name="xk1.3" vbProcedure="false">#REF!</definedName>
    <definedName function="false" hidden="false" localSheetId="16" name="xk1.5" vbProcedure="false">#REF!</definedName>
    <definedName function="false" hidden="false" localSheetId="16" name="xl" vbProcedure="false">#REF!</definedName>
    <definedName function="false" hidden="false" localSheetId="16" name="xlc" vbProcedure="false">#REF!</definedName>
    <definedName function="false" hidden="false" localSheetId="16" name="xld1.4" vbProcedure="false">#REF!</definedName>
    <definedName function="false" hidden="false" localSheetId="16" name="xlk" vbProcedure="false">#REF!</definedName>
    <definedName function="false" hidden="false" localSheetId="16" name="xlk1.4" vbProcedure="false">#REF!</definedName>
    <definedName function="false" hidden="false" localSheetId="16" name="xn" vbProcedure="false">#REF!</definedName>
    <definedName function="false" hidden="false" localSheetId="16" name="xx" vbProcedure="false">#REF!</definedName>
    <definedName function="false" hidden="false" localSheetId="16" name="xxx" vbProcedure="false">#REF!</definedName>
    <definedName function="false" hidden="false" localSheetId="16" name="ytm_pbt" vbProcedure="false">#REF!</definedName>
    <definedName function="false" hidden="false" localSheetId="16" name="Z" vbProcedure="false">#REF!</definedName>
    <definedName function="false" hidden="false" localSheetId="16" name="ZAHEERABAD_D" vbProcedure="false">#REF!</definedName>
    <definedName function="false" hidden="false" localSheetId="16" name="ZAHEERABAD_P" vbProcedure="false">#REF!</definedName>
    <definedName function="false" hidden="false" localSheetId="16" name="ZAHEERABAD_S" vbProcedure="false">#REF!</definedName>
    <definedName function="false" hidden="false" localSheetId="16" name="ZYX" vbProcedure="false">#REF!</definedName>
    <definedName function="false" hidden="false" localSheetId="16" name="ZZZ" vbProcedure="false">#REF!</definedName>
    <definedName function="false" hidden="false" localSheetId="16" name="\0" vbProcedure="false">#REF!</definedName>
    <definedName function="false" hidden="false" localSheetId="16" name="\a" vbProcedure="false">#REF!</definedName>
    <definedName function="false" hidden="false" localSheetId="16" name="\e" vbProcedure="false">#REF!</definedName>
    <definedName function="false" hidden="false" localSheetId="16" name="\q" vbProcedure="false">#REF!</definedName>
    <definedName function="false" hidden="false" localSheetId="16" name="\r" vbProcedure="false">#REF!</definedName>
    <definedName function="false" hidden="false" localSheetId="16" name="\s" vbProcedure="false">#REF!</definedName>
    <definedName function="false" hidden="false" localSheetId="16" name="\t" vbProcedure="false">#REF!</definedName>
    <definedName function="false" hidden="false" localSheetId="16" name="\X" vbProcedure="false">#REF!</definedName>
    <definedName function="false" hidden="false" localSheetId="16" name="\z" vbProcedure="false">#REF!</definedName>
    <definedName function="false" hidden="false" localSheetId="16" name="_" vbProcedure="false">#REF!</definedName>
    <definedName function="false" hidden="false" localSheetId="16" name="_1" vbProcedure="false">#REF!</definedName>
    <definedName function="false" hidden="false" localSheetId="16" name="_10" vbProcedure="false">#REF!</definedName>
    <definedName function="false" hidden="false" localSheetId="16" name="_10_11" vbProcedure="false">#REF!</definedName>
    <definedName function="false" hidden="false" localSheetId="16" name="_12_6" vbProcedure="false">#REF!</definedName>
    <definedName function="false" hidden="false" localSheetId="16" name="_14_8" vbProcedure="false">#REF!</definedName>
    <definedName function="false" hidden="false" localSheetId="16" name="_16IN_LINE" vbProcedure="false">#REF!</definedName>
    <definedName function="false" hidden="false" localSheetId="16" name="_18_6" vbProcedure="false">#REF!</definedName>
    <definedName function="false" hidden="false" localSheetId="16" name="_19_8" vbProcedure="false">#REF!</definedName>
    <definedName function="false" hidden="false" localSheetId="16" name="_1PRINT_ALL_IN" vbProcedure="false">#REF!</definedName>
    <definedName function="false" hidden="false" localSheetId="16" name="_2" vbProcedure="false">#REF!</definedName>
    <definedName function="false" hidden="false" localSheetId="16" name="_20IN_LINE" vbProcedure="false">#REF!</definedName>
    <definedName function="false" hidden="false" localSheetId="16" name="_2PRINT_ALL_IN" vbProcedure="false">#REF!</definedName>
    <definedName function="false" hidden="false" localSheetId="16" name="_2PRINT_DC" vbProcedure="false">#REF!</definedName>
    <definedName function="false" hidden="false" localSheetId="16" name="_3" vbProcedure="false">#REF!</definedName>
    <definedName function="false" hidden="false" localSheetId="16" name="_4" vbProcedure="false">#REF!</definedName>
    <definedName function="false" hidden="false" localSheetId="16" name="_4PRINT_DC" vbProcedure="false">#REF!</definedName>
    <definedName function="false" hidden="false" localSheetId="16" name="_4_5" vbProcedure="false">#REF!</definedName>
    <definedName function="false" hidden="false" localSheetId="16" name="_5" vbProcedure="false">#REF!</definedName>
    <definedName function="false" hidden="false" localSheetId="16" name="_6" vbProcedure="false">#REF!</definedName>
    <definedName function="false" hidden="false" localSheetId="16" name="_6_6" vbProcedure="false">#REF!</definedName>
    <definedName function="false" hidden="false" localSheetId="16" name="_7" vbProcedure="false">#REF!</definedName>
    <definedName function="false" hidden="false" localSheetId="16" name="_7_8" vbProcedure="false">#REF!</definedName>
    <definedName function="false" hidden="false" localSheetId="16" name="_8" vbProcedure="false">#REF!</definedName>
    <definedName function="false" hidden="false" localSheetId="16" name="_8IN_LINE" vbProcedure="false">#REF!</definedName>
    <definedName function="false" hidden="false" localSheetId="16" name="_9" vbProcedure="false">#REF!</definedName>
    <definedName function="false" hidden="false" localSheetId="16" name="_aug2" vbProcedure="false">#REF!</definedName>
    <definedName function="false" hidden="false" localSheetId="16" name="_BOM1" vbProcedure="false">#REF!</definedName>
    <definedName function="false" hidden="false" localSheetId="16" name="_BTM150" vbProcedure="false">#REF!</definedName>
    <definedName function="false" hidden="false" localSheetId="16" name="_BTM200" vbProcedure="false">#REF!</definedName>
    <definedName function="false" hidden="false" localSheetId="16" name="_BTM50" vbProcedure="false">#REF!</definedName>
    <definedName function="false" hidden="false" localSheetId="16" name="_C" vbProcedure="false">#REF!</definedName>
    <definedName function="false" hidden="false" localSheetId="16" name="_CAL02" vbProcedure="false">#REF!</definedName>
    <definedName function="false" hidden="false" localSheetId="16" name="_CAL03" vbProcedure="false">#REF!</definedName>
    <definedName function="false" hidden="false" localSheetId="16" name="_CAL04" vbProcedure="false">#REF!</definedName>
    <definedName function="false" hidden="false" localSheetId="16" name="_CAL05" vbProcedure="false">#REF!</definedName>
    <definedName function="false" hidden="false" localSheetId="16" name="_CAL06" vbProcedure="false">#REF!</definedName>
    <definedName function="false" hidden="false" localSheetId="16" name="_CAL07" vbProcedure="false">#REF!</definedName>
    <definedName function="false" hidden="false" localSheetId="16" name="_CAL08" vbProcedure="false">#REF!</definedName>
    <definedName function="false" hidden="false" localSheetId="16" name="_CAL09" vbProcedure="false">#REF!</definedName>
    <definedName function="false" hidden="false" localSheetId="16" name="_CFC214" vbProcedure="false">#REF!</definedName>
    <definedName function="false" hidden="false" localSheetId="16" name="_CFU377" vbProcedure="false">#REF!</definedName>
    <definedName function="false" hidden="false" localSheetId="16" name="_CGJ32" vbProcedure="false">#REF!</definedName>
    <definedName function="false" hidden="false" localSheetId="16" name="_CGW2" vbProcedure="false">#REF!</definedName>
    <definedName function="false" hidden="false" localSheetId="16" name="_CON1" vbProcedure="false">#REF!</definedName>
    <definedName function="false" hidden="false" localSheetId="16" name="_CON2" vbProcedure="false">#REF!</definedName>
    <definedName function="false" hidden="false" localSheetId="16" name="_EXC1" vbProcedure="false">#REF!</definedName>
    <definedName function="false" hidden="false" localSheetId="16" name="_EXC2" vbProcedure="false">#REF!</definedName>
    <definedName function="false" hidden="false" localSheetId="16" name="_Fill" vbProcedure="false">#REF!</definedName>
    <definedName function="false" hidden="false" localSheetId="16" name="_hom2" vbProcedure="false">#REF!</definedName>
    <definedName function="false" hidden="false" localSheetId="16" name="_JK00000412" vbProcedure="false">#REF!</definedName>
    <definedName function="false" hidden="false" localSheetId="16" name="_JK00000450" vbProcedure="false">#REF!</definedName>
    <definedName function="false" hidden="false" localSheetId="16" name="_JK00000456" vbProcedure="false">#REF!</definedName>
    <definedName function="false" hidden="false" localSheetId="16" name="_JK00000539" vbProcedure="false">#REF!</definedName>
    <definedName function="false" hidden="false" localSheetId="16" name="_JK00000573" vbProcedure="false">#REF!</definedName>
    <definedName function="false" hidden="false" localSheetId="16" name="_JK00000576" vbProcedure="false">#REF!</definedName>
    <definedName function="false" hidden="false" localSheetId="16" name="_JK00000577" vbProcedure="false">#REF!</definedName>
    <definedName function="false" hidden="false" localSheetId="16" name="_JK00000582" vbProcedure="false">#REF!</definedName>
    <definedName function="false" hidden="false" localSheetId="16" name="_JK00000923" vbProcedure="false">#REF!</definedName>
    <definedName function="false" hidden="false" localSheetId="16" name="_JK00000952" vbProcedure="false">#REF!</definedName>
    <definedName function="false" hidden="false" localSheetId="16" name="_JK00000961" vbProcedure="false">#REF!</definedName>
    <definedName function="false" hidden="false" localSheetId="16" name="_JK00000971" vbProcedure="false">#REF!</definedName>
    <definedName function="false" hidden="false" localSheetId="16" name="_JK00000979" vbProcedure="false">#REF!</definedName>
    <definedName function="false" hidden="false" localSheetId="16" name="_JK00000984" vbProcedure="false">#REF!</definedName>
    <definedName function="false" hidden="false" localSheetId="16" name="_JK00000986" vbProcedure="false">#REF!</definedName>
    <definedName function="false" hidden="false" localSheetId="16" name="_JK00001004" vbProcedure="false">#REF!</definedName>
    <definedName function="false" hidden="false" localSheetId="16" name="_JK00001010" vbProcedure="false">#REF!</definedName>
    <definedName function="false" hidden="false" localSheetId="16" name="_JK00001011" vbProcedure="false">#REF!</definedName>
    <definedName function="false" hidden="false" localSheetId="16" name="_JK00001013" vbProcedure="false">#REF!</definedName>
    <definedName function="false" hidden="false" localSheetId="16" name="_JK00001018" vbProcedure="false">#REF!</definedName>
    <definedName function="false" hidden="false" localSheetId="16" name="_JK00001019" vbProcedure="false">#REF!</definedName>
    <definedName function="false" hidden="false" localSheetId="16" name="_JK00001020" vbProcedure="false">#REF!</definedName>
    <definedName function="false" hidden="false" localSheetId="16" name="_JK00001023" vbProcedure="false">#REF!</definedName>
    <definedName function="false" hidden="false" localSheetId="16" name="_JK00001024" vbProcedure="false">#REF!</definedName>
    <definedName function="false" hidden="false" localSheetId="16" name="_JK00001028" vbProcedure="false">#REF!</definedName>
    <definedName function="false" hidden="false" localSheetId="16" name="_JK00001031" vbProcedure="false">#REF!</definedName>
    <definedName function="false" hidden="false" localSheetId="16" name="_JK00001032" vbProcedure="false">#REF!</definedName>
    <definedName function="false" hidden="false" localSheetId="16" name="_JK00001033" vbProcedure="false">#REF!</definedName>
    <definedName function="false" hidden="false" localSheetId="16" name="_JK00001038" vbProcedure="false">#REF!</definedName>
    <definedName function="false" hidden="false" localSheetId="16" name="_JK00001039" vbProcedure="false">#REF!</definedName>
    <definedName function="false" hidden="false" localSheetId="16" name="_JK00001040" vbProcedure="false">#REF!</definedName>
    <definedName function="false" hidden="false" localSheetId="16" name="_JK00001047" vbProcedure="false">#REF!</definedName>
    <definedName function="false" hidden="false" localSheetId="16" name="_JK00001058" vbProcedure="false">#REF!</definedName>
    <definedName function="false" hidden="false" localSheetId="16" name="_JK00001059" vbProcedure="false">#REF!</definedName>
    <definedName function="false" hidden="false" localSheetId="16" name="_JK00001063" vbProcedure="false">#REF!</definedName>
    <definedName function="false" hidden="false" localSheetId="16" name="_JK00001064" vbProcedure="false">#REF!</definedName>
    <definedName function="false" hidden="false" localSheetId="16" name="_JK00001065" vbProcedure="false">#REF!</definedName>
    <definedName function="false" hidden="false" localSheetId="16" name="_JK00001067" vbProcedure="false">#REF!</definedName>
    <definedName function="false" hidden="false" localSheetId="16" name="_JK00001068" vbProcedure="false">#REF!</definedName>
    <definedName function="false" hidden="false" localSheetId="16" name="_JK00001069" vbProcedure="false">#REF!</definedName>
    <definedName function="false" hidden="false" localSheetId="16" name="_JK00001072" vbProcedure="false">#REF!</definedName>
    <definedName function="false" hidden="false" localSheetId="16" name="_JK00001073" vbProcedure="false">#REF!</definedName>
    <definedName function="false" hidden="false" localSheetId="16" name="_JK00001075" vbProcedure="false">#REF!</definedName>
    <definedName function="false" hidden="false" localSheetId="16" name="_JK00001076" vbProcedure="false">#REF!</definedName>
    <definedName function="false" hidden="false" localSheetId="16" name="_JK00001077" vbProcedure="false">#REF!</definedName>
    <definedName function="false" hidden="false" localSheetId="16" name="_JK00001078" vbProcedure="false">#REF!</definedName>
    <definedName function="false" hidden="false" localSheetId="16" name="_JK00001081" vbProcedure="false">#REF!</definedName>
    <definedName function="false" hidden="false" localSheetId="16" name="_JK00001082" vbProcedure="false">#REF!</definedName>
    <definedName function="false" hidden="false" localSheetId="16" name="_JK00001083" vbProcedure="false">#REF!</definedName>
    <definedName function="false" hidden="false" localSheetId="16" name="_JK00001084" vbProcedure="false">#REF!</definedName>
    <definedName function="false" hidden="false" localSheetId="16" name="_JK00001085" vbProcedure="false">#REF!</definedName>
    <definedName function="false" hidden="false" localSheetId="16" name="_JK00001086" vbProcedure="false">#REF!</definedName>
    <definedName function="false" hidden="false" localSheetId="16" name="_JK00001087" vbProcedure="false">#REF!</definedName>
    <definedName function="false" hidden="false" localSheetId="16" name="_JK00001089" vbProcedure="false">#REF!</definedName>
    <definedName function="false" hidden="false" localSheetId="16" name="_JK00001091" vbProcedure="false">#REF!</definedName>
    <definedName function="false" hidden="false" localSheetId="16" name="_JK00001092" vbProcedure="false">#REF!</definedName>
    <definedName function="false" hidden="false" localSheetId="16" name="_JK00001100" vbProcedure="false">#REF!</definedName>
    <definedName function="false" hidden="false" localSheetId="16" name="_JK00001101" vbProcedure="false">#REF!</definedName>
    <definedName function="false" hidden="false" localSheetId="16" name="_JK00001107" vbProcedure="false">#REF!</definedName>
    <definedName function="false" hidden="false" localSheetId="16" name="_JK00001108" vbProcedure="false">#REF!</definedName>
    <definedName function="false" hidden="false" localSheetId="16" name="_JK00001109" vbProcedure="false">#REF!</definedName>
    <definedName function="false" hidden="false" localSheetId="16" name="_JK00001110" vbProcedure="false">#REF!</definedName>
    <definedName function="false" hidden="false" localSheetId="16" name="_JK00001111" vbProcedure="false">#REF!</definedName>
    <definedName function="false" hidden="false" localSheetId="16" name="_JK00001113" vbProcedure="false">#REF!</definedName>
    <definedName function="false" hidden="false" localSheetId="16" name="_JK00001116" vbProcedure="false">#REF!</definedName>
    <definedName function="false" hidden="false" localSheetId="16" name="_JK00001118" vbProcedure="false">#REF!</definedName>
    <definedName function="false" hidden="false" localSheetId="16" name="_JK00001119" vbProcedure="false">#REF!</definedName>
    <definedName function="false" hidden="false" localSheetId="16" name="_JK00001121" vbProcedure="false">#REF!</definedName>
    <definedName function="false" hidden="false" localSheetId="16" name="_JK00001122" vbProcedure="false">#REF!</definedName>
    <definedName function="false" hidden="false" localSheetId="16" name="_JK00001124" vbProcedure="false">#REF!</definedName>
    <definedName function="false" hidden="false" localSheetId="16" name="_JK00001125" vbProcedure="false">#REF!</definedName>
    <definedName function="false" hidden="false" localSheetId="16" name="_JK00001127" vbProcedure="false">#REF!</definedName>
    <definedName function="false" hidden="false" localSheetId="16" name="_JK00001128" vbProcedure="false">#REF!</definedName>
    <definedName function="false" hidden="false" localSheetId="16" name="_JK00001135" vbProcedure="false">#REF!</definedName>
    <definedName function="false" hidden="false" localSheetId="16" name="_JK00001136" vbProcedure="false">#REF!</definedName>
    <definedName function="false" hidden="false" localSheetId="16" name="_JK00001137" vbProcedure="false">#REF!</definedName>
    <definedName function="false" hidden="false" localSheetId="16" name="_JK00001139" vbProcedure="false">#REF!</definedName>
    <definedName function="false" hidden="false" localSheetId="16" name="_JK00001141" vbProcedure="false">#REF!</definedName>
    <definedName function="false" hidden="false" localSheetId="16" name="_JK00001142" vbProcedure="false">#REF!</definedName>
    <definedName function="false" hidden="false" localSheetId="16" name="_JK00001143" vbProcedure="false">#REF!</definedName>
    <definedName function="false" hidden="false" localSheetId="16" name="_JK00001146" vbProcedure="false">#REF!</definedName>
    <definedName function="false" hidden="false" localSheetId="16" name="_JK00001147" vbProcedure="false">#REF!</definedName>
    <definedName function="false" hidden="false" localSheetId="16" name="_JK00001148" vbProcedure="false">#REF!</definedName>
    <definedName function="false" hidden="false" localSheetId="16" name="_JK00001149" vbProcedure="false">#REF!</definedName>
    <definedName function="false" hidden="false" localSheetId="16" name="_JK00001150" vbProcedure="false">#REF!</definedName>
    <definedName function="false" hidden="false" localSheetId="16" name="_JK00001151" vbProcedure="false">#REF!</definedName>
    <definedName function="false" hidden="false" localSheetId="16" name="_JK00001152" vbProcedure="false">#REF!</definedName>
    <definedName function="false" hidden="false" localSheetId="16" name="_JK00001154" vbProcedure="false">#REF!</definedName>
    <definedName function="false" hidden="false" localSheetId="16" name="_JK00001159" vbProcedure="false">#REF!</definedName>
    <definedName function="false" hidden="false" localSheetId="16" name="_JK00001160" vbProcedure="false">#REF!</definedName>
    <definedName function="false" hidden="false" localSheetId="16" name="_JK00001161" vbProcedure="false">#REF!</definedName>
    <definedName function="false" hidden="false" localSheetId="16" name="_JK00001164" vbProcedure="false">#REF!</definedName>
    <definedName function="false" hidden="false" localSheetId="16" name="_JK00001165" vbProcedure="false">#REF!</definedName>
    <definedName function="false" hidden="false" localSheetId="16" name="_JK00001166" vbProcedure="false">#REF!</definedName>
    <definedName function="false" hidden="false" localSheetId="16" name="_JK00001168" vbProcedure="false">#REF!</definedName>
    <definedName function="false" hidden="false" localSheetId="16" name="_JK00001172" vbProcedure="false">#REF!</definedName>
    <definedName function="false" hidden="false" localSheetId="16" name="_JK00001177" vbProcedure="false">#REF!</definedName>
    <definedName function="false" hidden="false" localSheetId="16" name="_JK00001178" vbProcedure="false">#REF!</definedName>
    <definedName function="false" hidden="false" localSheetId="16" name="_JK00001179" vbProcedure="false">#REF!</definedName>
    <definedName function="false" hidden="false" localSheetId="16" name="_JK00001180" vbProcedure="false">#REF!</definedName>
    <definedName function="false" hidden="false" localSheetId="16" name="_JK00001181" vbProcedure="false">#REF!</definedName>
    <definedName function="false" hidden="false" localSheetId="16" name="_JK00001184" vbProcedure="false">#REF!</definedName>
    <definedName function="false" hidden="false" localSheetId="16" name="_JK00001200" vbProcedure="false">#REF!</definedName>
    <definedName function="false" hidden="false" localSheetId="16" name="_JK00001202" vbProcedure="false">#REF!</definedName>
    <definedName function="false" hidden="false" localSheetId="16" name="_JK00001203" vbProcedure="false">#REF!</definedName>
    <definedName function="false" hidden="false" localSheetId="16" name="_JK00001204" vbProcedure="false">#REF!</definedName>
    <definedName function="false" hidden="false" localSheetId="16" name="_JK00001206" vbProcedure="false">#REF!</definedName>
    <definedName function="false" hidden="false" localSheetId="16" name="_JK00001207" vbProcedure="false">#REF!</definedName>
    <definedName function="false" hidden="false" localSheetId="16" name="_JK00001209" vbProcedure="false">#REF!</definedName>
    <definedName function="false" hidden="false" localSheetId="16" name="_JK00001210" vbProcedure="false">#REF!</definedName>
    <definedName function="false" hidden="false" localSheetId="16" name="_JK00001212" vbProcedure="false">#REF!</definedName>
    <definedName function="false" hidden="false" localSheetId="16" name="_JK00001218" vbProcedure="false">#REF!</definedName>
    <definedName function="false" hidden="false" localSheetId="16" name="_JK00001219" vbProcedure="false">#REF!</definedName>
    <definedName function="false" hidden="false" localSheetId="16" name="_JK00001220" vbProcedure="false">#REF!</definedName>
    <definedName function="false" hidden="false" localSheetId="16" name="_JK00001221" vbProcedure="false">#REF!</definedName>
    <definedName function="false" hidden="false" localSheetId="16" name="_JK00001222" vbProcedure="false">#REF!</definedName>
    <definedName function="false" hidden="false" localSheetId="16" name="_JK00001223" vbProcedure="false">#REF!</definedName>
    <definedName function="false" hidden="false" localSheetId="16" name="_JK1002864" vbProcedure="false">#REF!</definedName>
    <definedName function="false" hidden="false" localSheetId="16" name="_JK1002917" vbProcedure="false">#REF!</definedName>
    <definedName function="false" hidden="false" localSheetId="16" name="_JK1002919" vbProcedure="false">#REF!</definedName>
    <definedName function="false" hidden="false" localSheetId="16" name="_JK1002921" vbProcedure="false">#REF!</definedName>
    <definedName function="false" hidden="false" localSheetId="16" name="_JK1002923" vbProcedure="false">#REF!</definedName>
    <definedName function="false" hidden="false" localSheetId="16" name="_JK1002925" vbProcedure="false">#REF!</definedName>
    <definedName function="false" hidden="false" localSheetId="16" name="_JK1002927" vbProcedure="false">#REF!</definedName>
    <definedName function="false" hidden="false" localSheetId="16" name="_JK1002931" vbProcedure="false">#REF!</definedName>
    <definedName function="false" hidden="false" localSheetId="16" name="_JK1002937" vbProcedure="false">#REF!</definedName>
    <definedName function="false" hidden="false" localSheetId="16" name="_JK1002939" vbProcedure="false">#REF!</definedName>
    <definedName function="false" hidden="false" localSheetId="16" name="_JK1002941" vbProcedure="false">#REF!</definedName>
    <definedName function="false" hidden="false" localSheetId="16" name="_JK1002943" vbProcedure="false">#REF!</definedName>
    <definedName function="false" hidden="false" localSheetId="16" name="_JK1003116" vbProcedure="false">#REF!</definedName>
    <definedName function="false" hidden="false" localSheetId="16" name="_JK1003119" vbProcedure="false">#REF!</definedName>
    <definedName function="false" hidden="false" localSheetId="16" name="_JK1003125" vbProcedure="false">#REF!</definedName>
    <definedName function="false" hidden="false" localSheetId="16" name="_JK1003128" vbProcedure="false">#REF!</definedName>
    <definedName function="false" hidden="false" localSheetId="16" name="_JK1003134" vbProcedure="false">#REF!</definedName>
    <definedName function="false" hidden="false" localSheetId="16" name="_JK1003184" vbProcedure="false">#REF!</definedName>
    <definedName function="false" hidden="false" localSheetId="16" name="_JK1003193" vbProcedure="false">#REF!</definedName>
    <definedName function="false" hidden="false" localSheetId="16" name="_JK1003229" vbProcedure="false">#REF!</definedName>
    <definedName function="false" hidden="false" localSheetId="16" name="_JK1003232" vbProcedure="false">#REF!</definedName>
    <definedName function="false" hidden="false" localSheetId="16" name="_JK1003235" vbProcedure="false">#REF!</definedName>
    <definedName function="false" hidden="false" localSheetId="16" name="_JK1003250" vbProcedure="false">#REF!</definedName>
    <definedName function="false" hidden="false" localSheetId="16" name="_JK1003253" vbProcedure="false">#REF!</definedName>
    <definedName function="false" hidden="false" localSheetId="16" name="_JK1003325" vbProcedure="false">#REF!</definedName>
    <definedName function="false" hidden="false" localSheetId="16" name="_JK1003337" vbProcedure="false">#REF!</definedName>
    <definedName function="false" hidden="false" localSheetId="16" name="_JK1003340" vbProcedure="false">#REF!</definedName>
    <definedName function="false" hidden="false" localSheetId="16" name="_JK1003397" vbProcedure="false">#REF!</definedName>
    <definedName function="false" hidden="false" localSheetId="16" name="_JK1003400" vbProcedure="false">#REF!</definedName>
    <definedName function="false" hidden="false" localSheetId="16" name="_JK1003403" vbProcedure="false">#REF!</definedName>
    <definedName function="false" hidden="false" localSheetId="16" name="_JK1003406" vbProcedure="false">#REF!</definedName>
    <definedName function="false" hidden="false" localSheetId="16" name="_JK1003409" vbProcedure="false">#REF!</definedName>
    <definedName function="false" hidden="false" localSheetId="16" name="_JK1003412" vbProcedure="false">#REF!</definedName>
    <definedName function="false" hidden="false" localSheetId="16" name="_JK1003415" vbProcedure="false">#REF!</definedName>
    <definedName function="false" hidden="false" localSheetId="16" name="_JK1003418" vbProcedure="false">#REF!</definedName>
    <definedName function="false" hidden="false" localSheetId="16" name="_JK1003427" vbProcedure="false">#REF!</definedName>
    <definedName function="false" hidden="false" localSheetId="16" name="_JK1003430" vbProcedure="false">#REF!</definedName>
    <definedName function="false" hidden="false" localSheetId="16" name="_JK1003433" vbProcedure="false">#REF!</definedName>
    <definedName function="false" hidden="false" localSheetId="16" name="_JK1003437" vbProcedure="false">#REF!</definedName>
    <definedName function="false" hidden="false" localSheetId="16" name="_JK1003440" vbProcedure="false">#REF!</definedName>
    <definedName function="false" hidden="false" localSheetId="16" name="_JK1003446" vbProcedure="false">#REF!</definedName>
    <definedName function="false" hidden="false" localSheetId="16" name="_JK1003449" vbProcedure="false">#REF!</definedName>
    <definedName function="false" hidden="false" localSheetId="16" name="_JK1003452" vbProcedure="false">#REF!</definedName>
    <definedName function="false" hidden="false" localSheetId="16" name="_JK1003462" vbProcedure="false">#REF!</definedName>
    <definedName function="false" hidden="false" localSheetId="16" name="_JK1003465" vbProcedure="false">#REF!</definedName>
    <definedName function="false" hidden="false" localSheetId="16" name="_JK1003468" vbProcedure="false">#REF!</definedName>
    <definedName function="false" hidden="false" localSheetId="16" name="_JK1003471" vbProcedure="false">#REF!</definedName>
    <definedName function="false" hidden="false" localSheetId="16" name="_JK1003474" vbProcedure="false">#REF!</definedName>
    <definedName function="false" hidden="false" localSheetId="16" name="_JK1003477" vbProcedure="false">#REF!</definedName>
    <definedName function="false" hidden="false" localSheetId="16" name="_JK1003485" vbProcedure="false">#REF!</definedName>
    <definedName function="false" hidden="false" localSheetId="16" name="_JK1003488" vbProcedure="false">#REF!</definedName>
    <definedName function="false" hidden="false" localSheetId="16" name="_JK1003525" vbProcedure="false">#REF!</definedName>
    <definedName function="false" hidden="false" localSheetId="16" name="_JK1003528" vbProcedure="false">#REF!</definedName>
    <definedName function="false" hidden="false" localSheetId="16" name="_JK1003660" vbProcedure="false">#REF!</definedName>
    <definedName function="false" hidden="false" localSheetId="16" name="_JK1003767" vbProcedure="false">#REF!</definedName>
    <definedName function="false" hidden="false" localSheetId="16" name="_JK1003800" vbProcedure="false">#REF!</definedName>
    <definedName function="false" hidden="false" localSheetId="16" name="_JK1003803" vbProcedure="false">#REF!</definedName>
    <definedName function="false" hidden="false" localSheetId="16" name="_JK1003819" vbProcedure="false">#REF!</definedName>
    <definedName function="false" hidden="false" localSheetId="16" name="_JK1003869" vbProcedure="false">#REF!</definedName>
    <definedName function="false" hidden="false" localSheetId="16" name="_JK1003872" vbProcedure="false">#REF!</definedName>
    <definedName function="false" hidden="false" localSheetId="16" name="_JK1003875" vbProcedure="false">#REF!</definedName>
    <definedName function="false" hidden="false" localSheetId="16" name="_JK1003878" vbProcedure="false">#REF!</definedName>
    <definedName function="false" hidden="false" localSheetId="16" name="_JK1003881" vbProcedure="false">#REF!</definedName>
    <definedName function="false" hidden="false" localSheetId="16" name="_JK1003884" vbProcedure="false">#REF!</definedName>
    <definedName function="false" hidden="false" localSheetId="16" name="_JK1003887" vbProcedure="false">#REF!</definedName>
    <definedName function="false" hidden="false" localSheetId="16" name="_JK1003897" vbProcedure="false">#REF!</definedName>
    <definedName function="false" hidden="false" localSheetId="16" name="_JK1003900" vbProcedure="false">#REF!</definedName>
    <definedName function="false" hidden="false" localSheetId="16" name="_JK1003903" vbProcedure="false">#REF!</definedName>
    <definedName function="false" hidden="false" localSheetId="16" name="_JK1003906" vbProcedure="false">#REF!</definedName>
    <definedName function="false" hidden="false" localSheetId="16" name="_JK1003909" vbProcedure="false">#REF!</definedName>
    <definedName function="false" hidden="false" localSheetId="16" name="_JK1003936" vbProcedure="false">#REF!</definedName>
    <definedName function="false" hidden="false" localSheetId="16" name="_JK1004071" vbProcedure="false">#REF!</definedName>
    <definedName function="false" hidden="false" localSheetId="16" name="_JK1004081" vbProcedure="false">#REF!</definedName>
    <definedName function="false" hidden="false" localSheetId="16" name="_JK1004091" vbProcedure="false">#REF!</definedName>
    <definedName function="false" hidden="false" localSheetId="16" name="_JK1004109" vbProcedure="false">#REF!</definedName>
    <definedName function="false" hidden="false" localSheetId="16" name="_JK1004114" vbProcedure="false">#REF!</definedName>
    <definedName function="false" hidden="false" localSheetId="16" name="_JK1004662" vbProcedure="false">#REF!</definedName>
    <definedName function="false" hidden="false" localSheetId="16" name="_JK1004665" vbProcedure="false">#REF!</definedName>
    <definedName function="false" hidden="false" localSheetId="16" name="_JK1004671" vbProcedure="false">#REF!</definedName>
    <definedName function="false" hidden="false" localSheetId="16" name="_JK1004674" vbProcedure="false">#REF!</definedName>
    <definedName function="false" hidden="false" localSheetId="16" name="_JK1004684" vbProcedure="false">#REF!</definedName>
    <definedName function="false" hidden="false" localSheetId="16" name="_JK1004688" vbProcedure="false">#REF!</definedName>
    <definedName function="false" hidden="false" localSheetId="16" name="_JK1004696" vbProcedure="false">#REF!</definedName>
    <definedName function="false" hidden="false" localSheetId="16" name="_JK1004970" vbProcedure="false">#REF!</definedName>
    <definedName function="false" hidden="false" localSheetId="16" name="_JK1005262" vbProcedure="false">#REF!</definedName>
    <definedName function="false" hidden="false" localSheetId="16" name="_JK1005299" vbProcedure="false">#REF!</definedName>
    <definedName function="false" hidden="false" localSheetId="16" name="_JK1005302" vbProcedure="false">#REF!</definedName>
    <definedName function="false" hidden="false" localSheetId="16" name="_JK1005305" vbProcedure="false">#REF!</definedName>
    <definedName function="false" hidden="false" localSheetId="16" name="_JK1005313" vbProcedure="false">#REF!</definedName>
    <definedName function="false" hidden="false" localSheetId="16" name="_JK1005534" vbProcedure="false">#REF!</definedName>
    <definedName function="false" hidden="false" localSheetId="16" name="_JK1005551" vbProcedure="false">#REF!</definedName>
    <definedName function="false" hidden="false" localSheetId="16" name="_Key1" vbProcedure="false">#REF!</definedName>
    <definedName function="false" hidden="false" localSheetId="16" name="_MI1" vbProcedure="false">#REF!</definedName>
    <definedName function="false" hidden="false" localSheetId="16" name="_MI2" vbProcedure="false">#REF!</definedName>
    <definedName function="false" hidden="false" localSheetId="16" name="_MI6" vbProcedure="false">#REF!</definedName>
    <definedName function="false" hidden="false" localSheetId="16" name="_MI7" vbProcedure="false">#REF!</definedName>
    <definedName function="false" hidden="false" localSheetId="16" name="_MI8" vbProcedure="false">#REF!</definedName>
    <definedName function="false" hidden="false" localSheetId="16" name="_mil1" vbProcedure="false">#REF!</definedName>
    <definedName function="false" hidden="false" localSheetId="16" name="_mil2" vbProcedure="false">#REF!</definedName>
    <definedName function="false" hidden="false" localSheetId="16" name="_mil6" vbProcedure="false">#REF!</definedName>
    <definedName function="false" hidden="false" localSheetId="16" name="_mil7" vbProcedure="false">#REF!</definedName>
    <definedName function="false" hidden="false" localSheetId="16" name="_mil8" vbProcedure="false">#REF!</definedName>
    <definedName function="false" hidden="false" localSheetId="16" name="_msl100" vbProcedure="false">#REF!</definedName>
    <definedName function="false" hidden="false" localSheetId="16" name="_msl200" vbProcedure="false">#REF!</definedName>
    <definedName function="false" hidden="false" localSheetId="16" name="_msl250" vbProcedure="false">#REF!</definedName>
    <definedName function="false" hidden="false" localSheetId="16" name="_msl300" vbProcedure="false">#REF!</definedName>
    <definedName function="false" hidden="false" localSheetId="16" name="_msl400" vbProcedure="false">#REF!</definedName>
    <definedName function="false" hidden="false" localSheetId="16" name="_msl800" vbProcedure="false">#REF!</definedName>
    <definedName function="false" hidden="false" localSheetId="16" name="_mui100" vbProcedure="false">#REF!</definedName>
    <definedName function="false" hidden="false" localSheetId="16" name="_mui105" vbProcedure="false">#REF!</definedName>
    <definedName function="false" hidden="false" localSheetId="16" name="_mui108" vbProcedure="false">#REF!</definedName>
    <definedName function="false" hidden="false" localSheetId="16" name="_mui130" vbProcedure="false">#REF!</definedName>
    <definedName function="false" hidden="false" localSheetId="16" name="_mui140" vbProcedure="false">#REF!</definedName>
    <definedName function="false" hidden="false" localSheetId="16" name="_mui160" vbProcedure="false">#REF!</definedName>
    <definedName function="false" hidden="false" localSheetId="16" name="_mui180" vbProcedure="false">#REF!</definedName>
    <definedName function="false" hidden="false" localSheetId="16" name="_mui250" vbProcedure="false">#REF!</definedName>
    <definedName function="false" hidden="false" localSheetId="16" name="_mui271" vbProcedure="false">#REF!</definedName>
    <definedName function="false" hidden="false" localSheetId="16" name="_mui320" vbProcedure="false">#REF!</definedName>
    <definedName function="false" hidden="false" localSheetId="16" name="_mui45" vbProcedure="false">#REF!</definedName>
    <definedName function="false" hidden="false" localSheetId="16" name="_mui50" vbProcedure="false">#REF!</definedName>
    <definedName function="false" hidden="false" localSheetId="16" name="_mui54" vbProcedure="false">#REF!</definedName>
    <definedName function="false" hidden="false" localSheetId="16" name="_mui65" vbProcedure="false">#REF!</definedName>
    <definedName function="false" hidden="false" localSheetId="16" name="_mui75" vbProcedure="false">#REF!</definedName>
    <definedName function="false" hidden="false" localSheetId="16" name="_mui80" vbProcedure="false">#REF!</definedName>
    <definedName function="false" hidden="false" localSheetId="16" name="_NET2" vbProcedure="false">#REF!</definedName>
    <definedName function="false" hidden="false" localSheetId="16" name="_new1" vbProcedure="false">#REF!</definedName>
    <definedName function="false" hidden="false" localSheetId="16" name="_new11" vbProcedure="false">#REF!</definedName>
    <definedName function="false" hidden="false" localSheetId="16" name="_new6" vbProcedure="false">#REF!</definedName>
    <definedName function="false" hidden="false" localSheetId="16" name="_OB1" vbProcedure="false">#REF!</definedName>
    <definedName function="false" hidden="false" localSheetId="16" name="_OH1" vbProcedure="false">#REF!</definedName>
    <definedName function="false" hidden="false" localSheetId="16" name="_ONE03" vbProcedure="false">#REF!</definedName>
    <definedName function="false" hidden="false" localSheetId="16" name="_ONE04" vbProcedure="false">#REF!</definedName>
    <definedName function="false" hidden="false" localSheetId="16" name="_ONE05" vbProcedure="false">#REF!</definedName>
    <definedName function="false" hidden="false" localSheetId="16" name="_ONE06" vbProcedure="false">#REF!</definedName>
    <definedName function="false" hidden="false" localSheetId="16" name="_ONE07" vbProcedure="false">#REF!</definedName>
    <definedName function="false" hidden="false" localSheetId="16" name="_ONE08" vbProcedure="false">#REF!</definedName>
    <definedName function="false" hidden="false" localSheetId="16" name="_ONE09" vbProcedure="false">#REF!</definedName>
    <definedName function="false" hidden="false" localSheetId="16" name="_Ord9" vbProcedure="false">#REF!</definedName>
    <definedName function="false" hidden="false" localSheetId="16" name="_PL1" vbProcedure="false">#REF!</definedName>
    <definedName function="false" hidden="false" localSheetId="16" name="_PL2" vbProcedure="false">#REF!</definedName>
    <definedName function="false" hidden="false" localSheetId="16" name="_PMY02" vbProcedure="false">#REF!</definedName>
    <definedName function="false" hidden="false" localSheetId="16" name="_PMY03" vbProcedure="false">#REF!</definedName>
    <definedName function="false" hidden="false" localSheetId="16" name="_PMY04" vbProcedure="false">#REF!</definedName>
    <definedName function="false" hidden="false" localSheetId="16" name="_PMY05" vbProcedure="false">#REF!</definedName>
    <definedName function="false" hidden="false" localSheetId="16" name="_PMY06" vbProcedure="false">#REF!</definedName>
    <definedName function="false" hidden="false" localSheetId="16" name="_PMY07" vbProcedure="false">#REF!</definedName>
    <definedName function="false" hidden="false" localSheetId="16" name="_PMY08" vbProcedure="false">#REF!</definedName>
    <definedName function="false" hidden="false" localSheetId="16" name="_PMY09" vbProcedure="false">#REF!</definedName>
    <definedName function="false" hidden="false" localSheetId="16" name="_R" vbProcedure="false">#REF!</definedName>
    <definedName function="false" hidden="false" localSheetId="16" name="_sat10" vbProcedure="false">#REF!</definedName>
    <definedName function="false" hidden="false" localSheetId="16" name="_sat12" vbProcedure="false">#REF!</definedName>
    <definedName function="false" hidden="false" localSheetId="16" name="_sat14" vbProcedure="false">#REF!</definedName>
    <definedName function="false" hidden="false" localSheetId="16" name="_sat16" vbProcedure="false">#REF!</definedName>
    <definedName function="false" hidden="false" localSheetId="16" name="_sat20" vbProcedure="false">#REF!</definedName>
    <definedName function="false" hidden="false" localSheetId="16" name="_sat8" vbProcedure="false">#REF!</definedName>
    <definedName function="false" hidden="false" localSheetId="16" name="_SMY01" vbProcedure="false">#REF!</definedName>
    <definedName function="false" hidden="false" localSheetId="16" name="_SMY02" vbProcedure="false">#REF!</definedName>
    <definedName function="false" hidden="false" localSheetId="16" name="_SMY03" vbProcedure="false">#REF!</definedName>
    <definedName function="false" hidden="false" localSheetId="16" name="_SMY04" vbProcedure="false">#REF!</definedName>
    <definedName function="false" hidden="false" localSheetId="16" name="_SMY05" vbProcedure="false">#REF!</definedName>
    <definedName function="false" hidden="false" localSheetId="16" name="_SMY06" vbProcedure="false">#REF!</definedName>
    <definedName function="false" hidden="false" localSheetId="16" name="_SMY07" vbProcedure="false">#REF!</definedName>
    <definedName function="false" hidden="false" localSheetId="16" name="_SMY08" vbProcedure="false">#REF!</definedName>
    <definedName function="false" hidden="false" localSheetId="16" name="_SMY09" vbProcedure="false">#REF!</definedName>
    <definedName function="false" hidden="false" localSheetId="16" name="_Sort" vbProcedure="false">#REF!</definedName>
    <definedName function="false" hidden="false" localSheetId="16" name="_sua20" vbProcedure="false">#REF!</definedName>
    <definedName function="false" hidden="false" localSheetId="16" name="_sua30" vbProcedure="false">#REF!</definedName>
    <definedName function="false" hidden="false" localSheetId="16" name="_TWO03" vbProcedure="false">#REF!</definedName>
    <definedName function="false" hidden="false" localSheetId="16" name="_TWO04" vbProcedure="false">#REF!</definedName>
    <definedName function="false" hidden="false" localSheetId="16" name="_TWO05" vbProcedure="false">#REF!</definedName>
    <definedName function="false" hidden="false" localSheetId="16" name="_TWO06" vbProcedure="false">#REF!</definedName>
    <definedName function="false" hidden="false" localSheetId="16" name="_TWO07" vbProcedure="false">#REF!</definedName>
    <definedName function="false" hidden="false" localSheetId="16" name="_TWO08" vbProcedure="false">#REF!</definedName>
    <definedName function="false" hidden="false" localSheetId="16" name="_TWO09" vbProcedure="false">#REF!</definedName>
    <definedName function="false" hidden="false" localSheetId="16" name="_vbt150" vbProcedure="false">#REF!</definedName>
    <definedName function="false" hidden="false" localSheetId="16" name="_vbt200" vbProcedure="false">#REF!</definedName>
    <definedName function="false" hidden="false" localSheetId="16" name="_vbt210" vbProcedure="false">#REF!</definedName>
    <definedName function="false" hidden="false" localSheetId="16" name="_vbt300" vbProcedure="false">#REF!</definedName>
    <definedName function="false" hidden="false" localSheetId="16" name="_vbt400" vbProcedure="false">#REF!</definedName>
    <definedName function="false" hidden="false" localSheetId="16" name="_vxm100" vbProcedure="false">#REF!</definedName>
    <definedName function="false" hidden="false" localSheetId="16" name="_vxm300" vbProcedure="false">#REF!</definedName>
    <definedName function="false" hidden="false" localSheetId="16" name="_vxm500" vbProcedure="false">#REF!</definedName>
    <definedName function="false" hidden="false" localSheetId="16" name="_vxm75" vbProcedure="false">#REF!</definedName>
    <definedName function="false" hidden="false" localSheetId="16" name="_wo2" vbProcedure="false">#REF!</definedName>
    <definedName function="false" hidden="false" localSheetId="16" name="_wo6" vbProcedure="false">#REF!</definedName>
    <definedName function="false" hidden="false" localSheetId="16" name="_wo62" vbProcedure="false">#REF!</definedName>
    <definedName function="false" hidden="false" localSheetId="16" name="_XG\_" vbProcedure="false">#REF!</definedName>
    <definedName function="false" hidden="false" localSheetId="16" name="_xlnm.Database" vbProcedure="false">#REF!</definedName>
    <definedName function="false" hidden="false" localSheetId="16" name="_xlnm.Extract" vbProcedure="false">#REF!</definedName>
    <definedName function="false" hidden="false" localSheetId="16" name="_xlnm.Print_Area" vbProcedure="false">#REF!</definedName>
    <definedName function="false" hidden="false" localSheetId="16" name="_xlnm.Print_Titles" vbProcedure="false">#REF!</definedName>
    <definedName function="false" hidden="false" localSheetId="16" name="__" vbProcedure="false">#REF!</definedName>
    <definedName function="false" hidden="false" localSheetId="16" name="__6" vbProcedure="false">#REF!</definedName>
    <definedName function="false" hidden="false" localSheetId="16" name="__7_8" vbProcedure="false">#REF!</definedName>
    <definedName function="false" hidden="false" localSheetId="16" name="__8" vbProcedure="false">#REF!</definedName>
    <definedName function="false" hidden="false" localSheetId="16" name="__aug2" vbProcedure="false">#REF!</definedName>
    <definedName function="false" hidden="false" localSheetId="16" name="__BOM1" vbProcedure="false">#REF!</definedName>
    <definedName function="false" hidden="false" localSheetId="16" name="__C" vbProcedure="false">#REF!</definedName>
    <definedName function="false" hidden="false" localSheetId="16" name="__hom2" vbProcedure="false">#REF!</definedName>
    <definedName function="false" hidden="false" localSheetId="16" name="__MI1" vbProcedure="false">#REF!</definedName>
    <definedName function="false" hidden="false" localSheetId="16" name="__MI2" vbProcedure="false">#REF!</definedName>
    <definedName function="false" hidden="false" localSheetId="16" name="__MI6" vbProcedure="false">#REF!</definedName>
    <definedName function="false" hidden="false" localSheetId="16" name="__MI7" vbProcedure="false">#REF!</definedName>
    <definedName function="false" hidden="false" localSheetId="16" name="__MI8" vbProcedure="false">#REF!</definedName>
    <definedName function="false" hidden="false" localSheetId="16" name="__mil1" vbProcedure="false">#REF!</definedName>
    <definedName function="false" hidden="false" localSheetId="16" name="__mil2" vbProcedure="false">#REF!</definedName>
    <definedName function="false" hidden="false" localSheetId="16" name="__mil6" vbProcedure="false">#REF!</definedName>
    <definedName function="false" hidden="false" localSheetId="16" name="__mil7" vbProcedure="false">#REF!</definedName>
    <definedName function="false" hidden="false" localSheetId="16" name="__mil8" vbProcedure="false">#REF!</definedName>
    <definedName function="false" hidden="false" localSheetId="16" name="__msl100" vbProcedure="false">#REF!</definedName>
    <definedName function="false" hidden="false" localSheetId="16" name="__msl200" vbProcedure="false">#REF!</definedName>
    <definedName function="false" hidden="false" localSheetId="16" name="__msl250" vbProcedure="false">#REF!</definedName>
    <definedName function="false" hidden="false" localSheetId="16" name="__msl300" vbProcedure="false">#REF!</definedName>
    <definedName function="false" hidden="false" localSheetId="16" name="__msl400" vbProcedure="false">#REF!</definedName>
    <definedName function="false" hidden="false" localSheetId="16" name="__msl800" vbProcedure="false">#REF!</definedName>
    <definedName function="false" hidden="false" localSheetId="16" name="__mui100" vbProcedure="false">#REF!</definedName>
    <definedName function="false" hidden="false" localSheetId="16" name="__mui105" vbProcedure="false">#REF!</definedName>
    <definedName function="false" hidden="false" localSheetId="16" name="__mui108" vbProcedure="false">#REF!</definedName>
    <definedName function="false" hidden="false" localSheetId="16" name="__mui130" vbProcedure="false">#REF!</definedName>
    <definedName function="false" hidden="false" localSheetId="16" name="__mui140" vbProcedure="false">#REF!</definedName>
    <definedName function="false" hidden="false" localSheetId="16" name="__mui160" vbProcedure="false">#REF!</definedName>
    <definedName function="false" hidden="false" localSheetId="16" name="__mui180" vbProcedure="false">#REF!</definedName>
    <definedName function="false" hidden="false" localSheetId="16" name="__mui250" vbProcedure="false">#REF!</definedName>
    <definedName function="false" hidden="false" localSheetId="16" name="__mui271" vbProcedure="false">#REF!</definedName>
    <definedName function="false" hidden="false" localSheetId="16" name="__mui320" vbProcedure="false">#REF!</definedName>
    <definedName function="false" hidden="false" localSheetId="16" name="__mui45" vbProcedure="false">#REF!</definedName>
    <definedName function="false" hidden="false" localSheetId="16" name="__mui50" vbProcedure="false">#REF!</definedName>
    <definedName function="false" hidden="false" localSheetId="16" name="__mui54" vbProcedure="false">#REF!</definedName>
    <definedName function="false" hidden="false" localSheetId="16" name="__mui65" vbProcedure="false">#REF!</definedName>
    <definedName function="false" hidden="false" localSheetId="16" name="__mui75" vbProcedure="false">#REF!</definedName>
    <definedName function="false" hidden="false" localSheetId="16" name="__mui80" vbProcedure="false">#REF!</definedName>
    <definedName function="false" hidden="false" localSheetId="16" name="__NET2" vbProcedure="false">#REF!</definedName>
    <definedName function="false" hidden="false" localSheetId="16" name="__new1" vbProcedure="false">#REF!</definedName>
    <definedName function="false" hidden="false" localSheetId="16" name="__new11" vbProcedure="false">#REF!</definedName>
    <definedName function="false" hidden="false" localSheetId="16" name="__new6" vbProcedure="false">#REF!</definedName>
    <definedName function="false" hidden="false" localSheetId="16" name="__OB1" vbProcedure="false">#REF!</definedName>
    <definedName function="false" hidden="false" localSheetId="16" name="__Ord9" vbProcedure="false">#REF!</definedName>
    <definedName function="false" hidden="false" localSheetId="16" name="__PL1" vbProcedure="false">#REF!</definedName>
    <definedName function="false" hidden="false" localSheetId="16" name="__PL2" vbProcedure="false">#REF!</definedName>
    <definedName function="false" hidden="false" localSheetId="16" name="__R" vbProcedure="false">#REF!</definedName>
    <definedName function="false" hidden="false" localSheetId="16" name="__sua20" vbProcedure="false">#REF!</definedName>
    <definedName function="false" hidden="false" localSheetId="16" name="__sua30" vbProcedure="false">#REF!</definedName>
    <definedName function="false" hidden="false" localSheetId="16" name="__wo2" vbProcedure="false">#REF!</definedName>
    <definedName function="false" hidden="false" localSheetId="16" name="__wo6" vbProcedure="false">#REF!</definedName>
    <definedName function="false" hidden="false" localSheetId="16" name="__wo62" vbProcedure="false">#REF!</definedName>
    <definedName function="false" hidden="false" localSheetId="16" name="___" vbProcedure="false">#REF!</definedName>
    <definedName function="false" hidden="false" localSheetId="16" name="___6" vbProcedure="false">#REF!</definedName>
    <definedName function="false" hidden="false" localSheetId="16" name="___8" vbProcedure="false">#REF!</definedName>
    <definedName function="false" hidden="false" localSheetId="16" name="___aug2" vbProcedure="false">#REF!</definedName>
    <definedName function="false" hidden="false" localSheetId="16" name="___BOM1" vbProcedure="false">#REF!</definedName>
    <definedName function="false" hidden="false" localSheetId="16" name="___BTM150" vbProcedure="false">#REF!</definedName>
    <definedName function="false" hidden="false" localSheetId="16" name="___BTM200" vbProcedure="false">#REF!</definedName>
    <definedName function="false" hidden="false" localSheetId="16" name="___BTM50" vbProcedure="false">#REF!</definedName>
    <definedName function="false" hidden="false" localSheetId="16" name="___C" vbProcedure="false">#REF!</definedName>
    <definedName function="false" hidden="false" localSheetId="16" name="___CON1" vbProcedure="false">#REF!</definedName>
    <definedName function="false" hidden="false" localSheetId="16" name="___CON2" vbProcedure="false">#REF!</definedName>
    <definedName function="false" hidden="false" localSheetId="16" name="___EXC1" vbProcedure="false">#REF!</definedName>
    <definedName function="false" hidden="false" localSheetId="16" name="___EXC2" vbProcedure="false">#REF!</definedName>
    <definedName function="false" hidden="false" localSheetId="16" name="___new1" vbProcedure="false">#REF!</definedName>
    <definedName function="false" hidden="false" localSheetId="16" name="___new11" vbProcedure="false">#REF!</definedName>
    <definedName function="false" hidden="false" localSheetId="16" name="___new6" vbProcedure="false">#REF!</definedName>
    <definedName function="false" hidden="false" localSheetId="16" name="___OH1" vbProcedure="false">#REF!</definedName>
    <definedName function="false" hidden="false" localSheetId="16" name="___PL1" vbProcedure="false">#REF!</definedName>
    <definedName function="false" hidden="false" localSheetId="16" name="___PL2" vbProcedure="false">#REF!</definedName>
    <definedName function="false" hidden="false" localSheetId="16" name="___R" vbProcedure="false">#REF!</definedName>
    <definedName function="false" hidden="false" localSheetId="16" name="___sat10" vbProcedure="false">#REF!</definedName>
    <definedName function="false" hidden="false" localSheetId="16" name="___sat12" vbProcedure="false">#REF!</definedName>
    <definedName function="false" hidden="false" localSheetId="16" name="___sat14" vbProcedure="false">#REF!</definedName>
    <definedName function="false" hidden="false" localSheetId="16" name="___sat16" vbProcedure="false">#REF!</definedName>
    <definedName function="false" hidden="false" localSheetId="16" name="___sat20" vbProcedure="false">#REF!</definedName>
    <definedName function="false" hidden="false" localSheetId="16" name="___sat8" vbProcedure="false">#REF!</definedName>
    <definedName function="false" hidden="false" localSheetId="16" name="___vbt150" vbProcedure="false">#REF!</definedName>
    <definedName function="false" hidden="false" localSheetId="16" name="___vbt200" vbProcedure="false">#REF!</definedName>
    <definedName function="false" hidden="false" localSheetId="16" name="___vbt210" vbProcedure="false">#REF!</definedName>
    <definedName function="false" hidden="false" localSheetId="16" name="___vbt300" vbProcedure="false">#REF!</definedName>
    <definedName function="false" hidden="false" localSheetId="16" name="___vbt400" vbProcedure="false">#REF!</definedName>
    <definedName function="false" hidden="false" localSheetId="16" name="___vxm100" vbProcedure="false">#REF!</definedName>
    <definedName function="false" hidden="false" localSheetId="16" name="___vxm300" vbProcedure="false">#REF!</definedName>
    <definedName function="false" hidden="false" localSheetId="16" name="___vxm500" vbProcedure="false">#REF!</definedName>
    <definedName function="false" hidden="false" localSheetId="16" name="___vxm75" vbProcedure="false">#REF!</definedName>
    <definedName function="false" hidden="false" localSheetId="16" name="____" vbProcedure="false">#REF!</definedName>
    <definedName function="false" hidden="false" localSheetId="16" name="____aug2" vbProcedure="false">#REF!</definedName>
    <definedName function="false" hidden="false" localSheetId="16" name="____C" vbProcedure="false">#REF!</definedName>
    <definedName function="false" hidden="false" localSheetId="16" name="____E_" vbProcedure="false">#REF!</definedName>
    <definedName function="false" hidden="false" localSheetId="16" name="____MI1" vbProcedure="false">#REF!</definedName>
    <definedName function="false" hidden="false" localSheetId="16" name="____MI2" vbProcedure="false">#REF!</definedName>
    <definedName function="false" hidden="false" localSheetId="16" name="____MI6" vbProcedure="false">#REF!</definedName>
    <definedName function="false" hidden="false" localSheetId="16" name="____MI7" vbProcedure="false">#REF!</definedName>
    <definedName function="false" hidden="false" localSheetId="16" name="____MI8" vbProcedure="false">#REF!</definedName>
    <definedName function="false" hidden="false" localSheetId="16" name="____mil1" vbProcedure="false">#REF!</definedName>
    <definedName function="false" hidden="false" localSheetId="16" name="____mil2" vbProcedure="false">#REF!</definedName>
    <definedName function="false" hidden="false" localSheetId="16" name="____mil6" vbProcedure="false">#REF!</definedName>
    <definedName function="false" hidden="false" localSheetId="16" name="____mil7" vbProcedure="false">#REF!</definedName>
    <definedName function="false" hidden="false" localSheetId="16" name="____mil8" vbProcedure="false">#REF!</definedName>
    <definedName function="false" hidden="false" localSheetId="16" name="____new1" vbProcedure="false">#REF!</definedName>
    <definedName function="false" hidden="false" localSheetId="16" name="____new11" vbProcedure="false">#REF!</definedName>
    <definedName function="false" hidden="false" localSheetId="16" name="____new6" vbProcedure="false">#REF!</definedName>
    <definedName function="false" hidden="false" localSheetId="16" name="____PL1" vbProcedure="false">#REF!</definedName>
    <definedName function="false" hidden="false" localSheetId="16" name="____PL2" vbProcedure="false">#REF!</definedName>
    <definedName function="false" hidden="false" localSheetId="16" name="____R" vbProcedure="false">#REF!</definedName>
    <definedName function="false" hidden="false" localSheetId="16" name="____wo2" vbProcedure="false">#REF!</definedName>
    <definedName function="false" hidden="false" localSheetId="16" name="____wo6" vbProcedure="false">#REF!</definedName>
    <definedName function="false" hidden="false" localSheetId="16" name="____wo62" vbProcedure="false">#REF!</definedName>
    <definedName function="false" hidden="false" localSheetId="16" name="_____" vbProcedure="false">#REF!</definedName>
    <definedName function="false" hidden="false" localSheetId="16" name="_____No_____No______" vbProcedure="false">#REF!</definedName>
    <definedName function="false" hidden="false" localSheetId="16" name="_______" vbProcedure="false">#REF!</definedName>
    <definedName function="false" hidden="false" localSheetId="18" name="a" vbProcedure="false">#REF!</definedName>
    <definedName function="false" hidden="false" localSheetId="18" name="a277Print_Titles" vbProcedure="false">#REF!</definedName>
    <definedName function="false" hidden="false" localSheetId="18" name="aa" vbProcedure="false">#REF!</definedName>
    <definedName function="false" hidden="false" localSheetId="18" name="AA0160N" vbProcedure="false">#REF!</definedName>
    <definedName function="false" hidden="false" localSheetId="18" name="ab" vbProcedure="false">#REF!</definedName>
    <definedName function="false" hidden="false" localSheetId="18" name="abc" vbProcedure="false">#REF!</definedName>
    <definedName function="false" hidden="false" localSheetId="18" name="abnormal" vbProcedure="false">#REF!</definedName>
    <definedName function="false" hidden="false" localSheetId="18" name="ADDITIONS" vbProcedure="false">#REF!</definedName>
    <definedName function="false" hidden="false" localSheetId="18" name="ADJUSTMENTS" vbProcedure="false">#REF!</definedName>
    <definedName function="false" hidden="false" localSheetId="18" name="adminexp" vbProcedure="false">#REF!</definedName>
    <definedName function="false" hidden="false" localSheetId="18" name="AEFOBE_" vbProcedure="false">#REF!</definedName>
    <definedName function="false" hidden="false" localSheetId="18" name="AEFOB_" vbProcedure="false">#REF!</definedName>
    <definedName function="false" hidden="false" localSheetId="18" name="AELDE_" vbProcedure="false">#REF!</definedName>
    <definedName function="false" hidden="false" localSheetId="18" name="AELDM_" vbProcedure="false">#REF!</definedName>
    <definedName function="false" hidden="false" localSheetId="18" name="AELD_" vbProcedure="false">#REF!</definedName>
    <definedName function="false" hidden="false" localSheetId="18" name="AE_E_" vbProcedure="false">#REF!</definedName>
    <definedName function="false" hidden="false" localSheetId="18" name="AE__" vbProcedure="false">#REF!</definedName>
    <definedName function="false" hidden="false" localSheetId="18" name="aho" vbProcedure="false">#REF!</definedName>
    <definedName function="false" hidden="false" localSheetId="18" name="aircompressor" vbProcedure="false">#REF!</definedName>
    <definedName function="false" hidden="false" localSheetId="18" name="AK" vbProcedure="false">#REF!</definedName>
    <definedName function="false" hidden="false" localSheetId="18" name="ALFOBE_" vbProcedure="false">#REF!</definedName>
    <definedName function="false" hidden="false" localSheetId="18" name="ALFOB_" vbProcedure="false">#REF!</definedName>
    <definedName function="false" hidden="false" localSheetId="18" name="ALLDE_" vbProcedure="false">#REF!</definedName>
    <definedName function="false" hidden="false" localSheetId="18" name="ALLDM_" vbProcedure="false">#REF!</definedName>
    <definedName function="false" hidden="false" localSheetId="18" name="ALLD_" vbProcedure="false">#REF!</definedName>
    <definedName function="false" hidden="false" localSheetId="18" name="AL_E_" vbProcedure="false">#REF!</definedName>
    <definedName function="false" hidden="false" localSheetId="18" name="AL__" vbProcedure="false">#REF!</definedName>
    <definedName function="false" hidden="false" localSheetId="18" name="ANA" vbProcedure="false">#REF!</definedName>
    <definedName function="false" hidden="false" localSheetId="18" name="APEX1_S_06_List" vbProcedure="false">#REF!</definedName>
    <definedName function="false" hidden="false" localSheetId="18" name="appl" vbProcedure="false">#REF!</definedName>
    <definedName function="false" hidden="false" localSheetId="18" name="asa" vbProcedure="false">#REF!</definedName>
    <definedName function="false" hidden="false" localSheetId="18" name="ASP" vbProcedure="false">#REF!</definedName>
    <definedName function="false" hidden="false" localSheetId="18" name="Ass" vbProcedure="false">#REF!</definedName>
    <definedName function="false" hidden="false" localSheetId="18" name="asx" vbProcedure="false">#REF!</definedName>
    <definedName function="false" hidden="false" localSheetId="18" name="ATN" vbProcedure="false">#REF!</definedName>
    <definedName function="false" hidden="false" localSheetId="18" name="AUGST" vbProcedure="false">#REF!</definedName>
    <definedName function="false" hidden="false" localSheetId="18" name="b" vbProcedure="false">'[8]SALES 2003'!$D$1003</definedName>
    <definedName function="false" hidden="false" localSheetId="18" name="balancesheet" vbProcedure="false">#REF!</definedName>
    <definedName function="false" hidden="false" localSheetId="18" name="Bang_cly" vbProcedure="false">#REF!</definedName>
    <definedName function="false" hidden="false" localSheetId="18" name="Bang_CVC" vbProcedure="false">#REF!</definedName>
    <definedName function="false" hidden="false" localSheetId="18" name="bang_gia" vbProcedure="false">#REF!</definedName>
    <definedName function="false" hidden="false" localSheetId="18" name="Bang_travl" vbProcedure="false">#REF!</definedName>
    <definedName function="false" hidden="false" localSheetId="18" name="bentonite" vbProcedure="false">#REF!</definedName>
    <definedName function="false" hidden="false" localSheetId="18" name="BF1_" vbProcedure="false">#REF!</definedName>
    <definedName function="false" hidden="false" localSheetId="18" name="BF2_" vbProcedure="false">#REF!</definedName>
    <definedName function="false" hidden="false" localSheetId="18" name="BF3_" vbProcedure="false">#REF!</definedName>
    <definedName function="false" hidden="false" localSheetId="18" name="BFBS" vbProcedure="false">#REF!</definedName>
    <definedName function="false" hidden="false" localSheetId="18" name="BFES" vbProcedure="false">#REF!</definedName>
    <definedName function="false" hidden="false" localSheetId="18" name="BFS" vbProcedure="false">#REF!</definedName>
    <definedName function="false" hidden="false" localSheetId="18" name="Book2" vbProcedure="false">#REF!</definedName>
    <definedName function="false" hidden="false" localSheetId="18" name="BOQ" vbProcedure="false">#REF!</definedName>
    <definedName function="false" hidden="false" localSheetId="18" name="BORDER2" vbProcedure="false">#REF!</definedName>
    <definedName function="false" hidden="false" localSheetId="18" name="BS" vbProcedure="false">#REF!</definedName>
    <definedName function="false" hidden="false" localSheetId="18" name="BT" vbProcedure="false">#REF!</definedName>
    <definedName function="false" hidden="false" localSheetId="18" name="btcocnhoi" vbProcedure="false">#REF!</definedName>
    <definedName function="false" hidden="false" localSheetId="18" name="BVCISUMMARY" vbProcedure="false">#REF!</definedName>
    <definedName function="false" hidden="false" localSheetId="18" name="C.1.1..Phat_tuyen" vbProcedure="false">#REF!</definedName>
    <definedName function="false" hidden="false" localSheetId="18" name="C.1.10..VC_Thu_cong_CG" vbProcedure="false">#REF!</definedName>
    <definedName function="false" hidden="false" localSheetId="18" name="C.1.2..Chat_cay_thu_cong" vbProcedure="false">#REF!</definedName>
    <definedName function="false" hidden="false" localSheetId="18" name="C.1.3..Chat_cay_may" vbProcedure="false">#REF!</definedName>
    <definedName function="false" hidden="false" localSheetId="18" name="C.1.4..Dao_goc_cay" vbProcedure="false">#REF!</definedName>
    <definedName function="false" hidden="false" localSheetId="18" name="C.1.5..Lam_duong_tam" vbProcedure="false">#REF!</definedName>
    <definedName function="false" hidden="false" localSheetId="18" name="C.1.6..Lam_cau_tam" vbProcedure="false">#REF!</definedName>
    <definedName function="false" hidden="false" localSheetId="18" name="C.1.7..Rai_da_chong_lun" vbProcedure="false">#REF!</definedName>
    <definedName function="false" hidden="false" localSheetId="18" name="C.1.8..Lam_kho_tam" vbProcedure="false">#REF!</definedName>
    <definedName function="false" hidden="false" localSheetId="18" name="C.1.8..San_mat_bang" vbProcedure="false">#REF!</definedName>
    <definedName function="false" hidden="false" localSheetId="18" name="C.2.1..VC_Thu_cong" vbProcedure="false">#REF!</definedName>
    <definedName function="false" hidden="false" localSheetId="18" name="C.2.2..VC_T_cong_CG" vbProcedure="false">#REF!</definedName>
    <definedName function="false" hidden="false" localSheetId="18" name="C.2.3..Boc_do" vbProcedure="false">#REF!</definedName>
    <definedName function="false" hidden="false" localSheetId="18" name="C.3.1..Dao_dat_mong_cot" vbProcedure="false">#REF!</definedName>
    <definedName function="false" hidden="false" localSheetId="18" name="C.3.2..Dao_dat_de_dap" vbProcedure="false">#REF!</definedName>
    <definedName function="false" hidden="false" localSheetId="18" name="C.3.3..Dap_dat_mong" vbProcedure="false">#REF!</definedName>
    <definedName function="false" hidden="false" localSheetId="18" name="C.3.4..Dao_dap_TDia" vbProcedure="false">#REF!</definedName>
    <definedName function="false" hidden="false" localSheetId="18" name="C.3.5..Dap_bo_bao" vbProcedure="false">#REF!</definedName>
    <definedName function="false" hidden="false" localSheetId="18" name="C.3.6..Bom_tat_nuoc" vbProcedure="false">#REF!</definedName>
    <definedName function="false" hidden="false" localSheetId="18" name="C.3.7..Dao_bun" vbProcedure="false">#REF!</definedName>
    <definedName function="false" hidden="false" localSheetId="18" name="C.3.8..Dap_cat_CT" vbProcedure="false">#REF!</definedName>
    <definedName function="false" hidden="false" localSheetId="18" name="C.3.9..Dao_pha_da" vbProcedure="false">#REF!</definedName>
    <definedName function="false" hidden="false" localSheetId="18" name="C.4.1.Cot_thep" vbProcedure="false">#REF!</definedName>
    <definedName function="false" hidden="false" localSheetId="18" name="C.4.2..Van_khuon" vbProcedure="false">#REF!</definedName>
    <definedName function="false" hidden="false" localSheetId="18" name="C.4.3..Be_tong" vbProcedure="false">#REF!</definedName>
    <definedName function="false" hidden="false" localSheetId="18" name="C.4.4..Lap_BT_D.San" vbProcedure="false">#REF!</definedName>
    <definedName function="false" hidden="false" localSheetId="18" name="C.4.5..Xay_da_hoc" vbProcedure="false">#REF!</definedName>
    <definedName function="false" hidden="false" localSheetId="18" name="C.4.6..Dong_coc" vbProcedure="false">#REF!</definedName>
    <definedName function="false" hidden="false" localSheetId="18" name="C.4.7..Quet_Bi_tum" vbProcedure="false">#REF!</definedName>
    <definedName function="false" hidden="false" localSheetId="18" name="C.5.1..Lap_cot_thep" vbProcedure="false">#REF!</definedName>
    <definedName function="false" hidden="false" localSheetId="18" name="C.5.2..Lap_cot_BT" vbProcedure="false">#REF!</definedName>
    <definedName function="false" hidden="false" localSheetId="18" name="C.5.3..Lap_dat_xa" vbProcedure="false">#REF!</definedName>
    <definedName function="false" hidden="false" localSheetId="18" name="C.5.4..Lap_tiep_dia" vbProcedure="false">#REF!</definedName>
    <definedName function="false" hidden="false" localSheetId="18" name="C.5.5..Son_sat_thep" vbProcedure="false">#REF!</definedName>
    <definedName function="false" hidden="false" localSheetId="18" name="C.6.1..Lap_su_dung" vbProcedure="false">#REF!</definedName>
    <definedName function="false" hidden="false" localSheetId="18" name="C.6.2..Lap_su_CS" vbProcedure="false">#REF!</definedName>
    <definedName function="false" hidden="false" localSheetId="18" name="C.6.3..Su_chuoi_do" vbProcedure="false">#REF!</definedName>
    <definedName function="false" hidden="false" localSheetId="18" name="C.6.4..Su_chuoi_neo" vbProcedure="false">#REF!</definedName>
    <definedName function="false" hidden="false" localSheetId="18" name="C.6.5..Lap_phu_kien" vbProcedure="false">#REF!</definedName>
    <definedName function="false" hidden="false" localSheetId="18" name="C.6.6..Ep_noi_day" vbProcedure="false">#REF!</definedName>
    <definedName function="false" hidden="false" localSheetId="18" name="C.6.7..KD_vuot_CN" vbProcedure="false">#REF!</definedName>
    <definedName function="false" hidden="false" localSheetId="18" name="C.6.8..Rai_cang_day" vbProcedure="false">#REF!</definedName>
    <definedName function="false" hidden="false" localSheetId="18" name="C.6.9..Cap_quang" vbProcedure="false">#REF!</definedName>
    <definedName function="false" hidden="false" localSheetId="18" name="CAL" vbProcedure="false">#REF!</definedName>
    <definedName function="false" hidden="false" localSheetId="18" name="CAPEX" vbProcedure="false">#REF!</definedName>
    <definedName function="false" hidden="false" localSheetId="18" name="Car_Build" vbProcedure="false">#REF!</definedName>
    <definedName function="false" hidden="false" localSheetId="18" name="CAR_Volumes" vbProcedure="false">#REF!</definedName>
    <definedName function="false" hidden="false" localSheetId="18" name="cash" vbProcedure="false">#REF!</definedName>
    <definedName function="false" hidden="false" localSheetId="18" name="cash1" vbProcedure="false">#REF!</definedName>
    <definedName function="false" hidden="false" localSheetId="18" name="cash2" vbProcedure="false">#REF!</definedName>
    <definedName function="false" hidden="false" localSheetId="18" name="CCDCGR2" vbProcedure="false">#REF!</definedName>
    <definedName function="false" hidden="false" localSheetId="18" name="CCDJC" vbProcedure="false">#REF!</definedName>
    <definedName function="false" hidden="false" localSheetId="18" name="CCDJCP" vbProcedure="false">#REF!</definedName>
    <definedName function="false" hidden="false" localSheetId="18" name="CCDN2D" vbProcedure="false">#REF!</definedName>
    <definedName function="false" hidden="false" localSheetId="18" name="CCDSMG32" vbProcedure="false">#REF!</definedName>
    <definedName function="false" hidden="false" localSheetId="18" name="CCFUT3RXL" vbProcedure="false">#REF!</definedName>
    <definedName function="false" hidden="false" localSheetId="18" name="CCLH2NY" vbProcedure="false">#REF!</definedName>
    <definedName function="false" hidden="false" localSheetId="18" name="CCLH3CO" vbProcedure="false">#REF!</definedName>
    <definedName function="false" hidden="false" localSheetId="18" name="CCLH3IN2" vbProcedure="false">#REF!</definedName>
    <definedName function="false" hidden="false" localSheetId="18" name="CCLH3NY2" vbProcedure="false">#REF!</definedName>
    <definedName function="false" hidden="false" localSheetId="18" name="CCLLX2" vbProcedure="false">#REF!</definedName>
    <definedName function="false" hidden="false" localSheetId="18" name="CCNCV2" vbProcedure="false">#REF!</definedName>
    <definedName function="false" hidden="false" localSheetId="18" name="CCPL2SU" vbProcedure="false">#REF!</definedName>
    <definedName function="false" hidden="false" localSheetId="18" name="CCPLDMV2" vbProcedure="false">#REF!</definedName>
    <definedName function="false" hidden="false" localSheetId="18" name="CCPLDSU" vbProcedure="false">#REF!</definedName>
    <definedName function="false" hidden="false" localSheetId="18" name="CCPPROW" vbProcedure="false">#REF!</definedName>
    <definedName function="false" hidden="false" localSheetId="18" name="CCPS2" vbProcedure="false">#REF!</definedName>
    <definedName function="false" hidden="false" localSheetId="18" name="CCT33RM" vbProcedure="false">#REF!</definedName>
    <definedName function="false" hidden="false" localSheetId="18" name="CCT33W" vbProcedure="false">#REF!</definedName>
    <definedName function="false" hidden="false" localSheetId="18" name="CCTCSW2" vbProcedure="false">#REF!</definedName>
    <definedName function="false" hidden="false" localSheetId="18" name="CCTDGHWGN2" vbProcedure="false">#REF!</definedName>
    <definedName function="false" hidden="false" localSheetId="18" name="CCTDM80" vbProcedure="false">#REF!</definedName>
    <definedName function="false" hidden="false" localSheetId="18" name="CCTDSD" vbProcedure="false">#REF!</definedName>
    <definedName function="false" hidden="false" localSheetId="18" name="CCTDSM" vbProcedure="false">#REF!</definedName>
    <definedName function="false" hidden="false" localSheetId="18" name="CCTFVIA" vbProcedure="false">#REF!</definedName>
    <definedName function="false" hidden="false" localSheetId="18" name="CCTHMSPU" vbProcedure="false">#REF!</definedName>
    <definedName function="false" hidden="false" localSheetId="18" name="CCTLX2" vbProcedure="false">#REF!</definedName>
    <definedName function="false" hidden="false" localSheetId="18" name="CCTMSUV" vbProcedure="false">#REF!</definedName>
    <definedName function="false" hidden="false" localSheetId="18" name="CCTNSR2" vbProcedure="false">#REF!</definedName>
    <definedName function="false" hidden="false" localSheetId="18" name="CCTPT2" vbProcedure="false">#REF!</definedName>
    <definedName function="false" hidden="false" localSheetId="18" name="CCTRSRCAR" vbProcedure="false">#REF!</definedName>
    <definedName function="false" hidden="false" localSheetId="18" name="CCTRSRTC" vbProcedure="false">#REF!</definedName>
    <definedName function="false" hidden="false" localSheetId="18" name="CCTRTNCC" vbProcedure="false">#REF!</definedName>
    <definedName function="false" hidden="false" localSheetId="18" name="CCTRTRCRM" vbProcedure="false">#REF!</definedName>
    <definedName function="false" hidden="false" localSheetId="18" name="CCTXJ" vbProcedure="false">#REF!</definedName>
    <definedName function="false" hidden="false" localSheetId="18" name="CCTXJ3C" vbProcedure="false">#REF!</definedName>
    <definedName function="false" hidden="false" localSheetId="18" name="CCTXJC" vbProcedure="false">#REF!</definedName>
    <definedName function="false" hidden="false" localSheetId="18" name="CFCDMZM2" vbProcedure="false">#REF!</definedName>
    <definedName function="false" hidden="false" localSheetId="18" name="CFCDWE" vbProcedure="false">#REF!</definedName>
    <definedName function="false" hidden="false" localSheetId="18" name="CFCDWMXL" vbProcedure="false">#REF!</definedName>
    <definedName function="false" hidden="false" localSheetId="18" name="CFCW1702" vbProcedure="false">#REF!</definedName>
    <definedName function="false" hidden="false" localSheetId="18" name="CFCWFF" vbProcedure="false">#REF!</definedName>
    <definedName function="false" hidden="false" localSheetId="18" name="CFCWFOC2" vbProcedure="false">#REF!</definedName>
    <definedName function="false" hidden="false" localSheetId="18" name="CFD258M" vbProcedure="false">#REF!</definedName>
    <definedName function="false" hidden="false" localSheetId="18" name="CFDEW2LS" vbProcedure="false">#REF!</definedName>
    <definedName function="false" hidden="false" localSheetId="18" name="CFEA" vbProcedure="false">#REF!</definedName>
    <definedName function="false" hidden="false" localSheetId="18" name="CFEA2CV" vbProcedure="false">#REF!</definedName>
    <definedName function="false" hidden="false" localSheetId="18" name="CFEA2LTC" vbProcedure="false">#REF!</definedName>
    <definedName function="false" hidden="false" localSheetId="18" name="CFEA2MGM" vbProcedure="false">#REF!</definedName>
    <definedName function="false" hidden="false" localSheetId="18" name="cfk" vbProcedure="false">#REF!</definedName>
    <definedName function="false" hidden="false" localSheetId="18" name="CFLNCP2F" vbProcedure="false">#REF!</definedName>
    <definedName function="false" hidden="false" localSheetId="18" name="CFLNCP2M" vbProcedure="false">#REF!</definedName>
    <definedName function="false" hidden="false" localSheetId="18" name="CFLX" vbProcedure="false">#REF!</definedName>
    <definedName function="false" hidden="false" localSheetId="18" name="CFLX350" vbProcedure="false">#REF!</definedName>
    <definedName function="false" hidden="false" localSheetId="18" name="CFTCRS" vbProcedure="false">#REF!</definedName>
    <definedName function="false" hidden="false" localSheetId="18" name="CFTD258M" vbProcedure="false">#REF!</definedName>
    <definedName function="false" hidden="false" localSheetId="18" name="CFTE169" vbProcedure="false">#REF!</definedName>
    <definedName function="false" hidden="false" localSheetId="18" name="CFTFCMAV" vbProcedure="false">#REF!</definedName>
    <definedName function="false" hidden="false" localSheetId="18" name="CFTMCSUV" vbProcedure="false">#REF!</definedName>
    <definedName function="false" hidden="false" localSheetId="18" name="CFTPN" vbProcedure="false">#REF!</definedName>
    <definedName function="false" hidden="false" localSheetId="18" name="CFTV2" vbProcedure="false">#REF!</definedName>
    <definedName function="false" hidden="false" localSheetId="18" name="CFTV2E" vbProcedure="false">#REF!</definedName>
    <definedName function="false" hidden="false" localSheetId="18" name="CFU377F" vbProcedure="false">#REF!</definedName>
    <definedName function="false" hidden="false" localSheetId="18" name="CFU377M" vbProcedure="false">#REF!</definedName>
    <definedName function="false" hidden="false" localSheetId="18" name="CFU377MZ" vbProcedure="false">#REF!</definedName>
    <definedName function="false" hidden="false" localSheetId="18" name="CFUN1" vbProcedure="false">#REF!</definedName>
    <definedName function="false" hidden="false" localSheetId="18" name="CFUN1EX" vbProcedure="false">#REF!</definedName>
    <definedName function="false" hidden="false" localSheetId="18" name="CFWD379SP" vbProcedure="false">#REF!</definedName>
    <definedName function="false" hidden="false" localSheetId="18" name="CFWMD380" vbProcedure="false">#REF!</definedName>
    <definedName function="false" hidden="false" localSheetId="18" name="CGBEPTSN" vbProcedure="false">#REF!</definedName>
    <definedName function="false" hidden="false" localSheetId="18" name="CGBKVE" vbProcedure="false">#REF!</definedName>
    <definedName function="false" hidden="false" localSheetId="18" name="CGCCAM" vbProcedure="false">#REF!</definedName>
    <definedName function="false" hidden="false" localSheetId="18" name="CGCRS" vbProcedure="false">#REF!</definedName>
    <definedName function="false" hidden="false" localSheetId="18" name="CGDELBENG" vbProcedure="false">#REF!</definedName>
    <definedName function="false" hidden="false" localSheetId="18" name="CGEPLP2" vbProcedure="false">#REF!</definedName>
    <definedName function="false" hidden="false" localSheetId="18" name="CGEPMALI" vbProcedure="false">#REF!</definedName>
    <definedName function="false" hidden="false" localSheetId="18" name="CGEPS2" vbProcedure="false">#REF!</definedName>
    <definedName function="false" hidden="false" localSheetId="18" name="CGGAM1CCM" vbProcedure="false">#REF!</definedName>
    <definedName function="false" hidden="false" localSheetId="18" name="CGRDCA2" vbProcedure="false">#REF!</definedName>
    <definedName function="false" hidden="false" localSheetId="18" name="CGRDCS2" vbProcedure="false">#REF!</definedName>
    <definedName function="false" hidden="false" localSheetId="18" name="CGRDMAV2" vbProcedure="false">#REF!</definedName>
    <definedName function="false" hidden="false" localSheetId="18" name="CGSATION2" vbProcedure="false">#REF!</definedName>
    <definedName function="false" hidden="false" localSheetId="18" name="CGSCSKY" vbProcedure="false">#REF!</definedName>
    <definedName function="false" hidden="false" localSheetId="18" name="CGSIG2" vbProcedure="false">#REF!</definedName>
    <definedName function="false" hidden="false" localSheetId="18" name="CGSIGMAM" vbProcedure="false">#REF!</definedName>
    <definedName function="false" hidden="false" localSheetId="18" name="CGSIGMGP" vbProcedure="false">#REF!</definedName>
    <definedName function="false" hidden="false" localSheetId="18" name="CGSMGTO" vbProcedure="false">#REF!</definedName>
    <definedName function="false" hidden="false" localSheetId="18" name="CGT306GJS" vbProcedure="false">#REF!</definedName>
    <definedName function="false" hidden="false" localSheetId="18" name="CGT361B" vbProcedure="false">#REF!</definedName>
    <definedName function="false" hidden="false" localSheetId="18" name="CGT361B98" vbProcedure="false">#REF!</definedName>
    <definedName function="false" hidden="false" localSheetId="18" name="CGT361J" vbProcedure="false">#REF!</definedName>
    <definedName function="false" hidden="false" localSheetId="18" name="CGT371CB" vbProcedure="false">#REF!</definedName>
    <definedName function="false" hidden="false" localSheetId="18" name="CGT371GE" vbProcedure="false">#REF!</definedName>
    <definedName function="false" hidden="false" localSheetId="18" name="CGT900C" vbProcedure="false">#REF!</definedName>
    <definedName function="false" hidden="false" localSheetId="18" name="CGT900G" vbProcedure="false">#REF!</definedName>
    <definedName function="false" hidden="false" localSheetId="18" name="CGT990C" vbProcedure="false">#REF!</definedName>
    <definedName function="false" hidden="false" localSheetId="18" name="CGT990G" vbProcedure="false">#REF!</definedName>
    <definedName function="false" hidden="false" localSheetId="18" name="CGTAPV3B" vbProcedure="false">#REF!</definedName>
    <definedName function="false" hidden="false" localSheetId="18" name="CGTAPV3L" vbProcedure="false">#REF!</definedName>
    <definedName function="false" hidden="false" localSheetId="18" name="CGTBCSUV2" vbProcedure="false">#REF!</definedName>
    <definedName function="false" hidden="false" localSheetId="18" name="CGTBKVAN" vbProcedure="false">#REF!</definedName>
    <definedName function="false" hidden="false" localSheetId="18" name="CGTCK" vbProcedure="false">#REF!</definedName>
    <definedName function="false" hidden="false" localSheetId="18" name="CGTCKC" vbProcedure="false">#REF!</definedName>
    <definedName function="false" hidden="false" localSheetId="18" name="CGTCPU" vbProcedure="false">#REF!</definedName>
    <definedName function="false" hidden="false" localSheetId="18" name="CGTCTDEL2" vbProcedure="false">#REF!</definedName>
    <definedName function="false" hidden="false" localSheetId="18" name="CGTDLS2" vbProcedure="false">#REF!</definedName>
    <definedName function="false" hidden="false" localSheetId="18" name="CGTGAM" vbProcedure="false">#REF!</definedName>
    <definedName function="false" hidden="false" localSheetId="18" name="CGTHUMH22" vbProcedure="false">#REF!</definedName>
    <definedName function="false" hidden="false" localSheetId="18" name="CGTHUMHX" vbProcedure="false">#REF!</definedName>
    <definedName function="false" hidden="false" localSheetId="18" name="CGTLAMGES" vbProcedure="false">#REF!</definedName>
    <definedName function="false" hidden="false" localSheetId="18" name="CGTS3IZ" vbProcedure="false">#REF!</definedName>
    <definedName function="false" hidden="false" localSheetId="18" name="CGTSATVAN" vbProcedure="false">#REF!</definedName>
    <definedName function="false" hidden="false" localSheetId="18" name="CGTSIG2" vbProcedure="false">#REF!</definedName>
    <definedName function="false" hidden="false" localSheetId="18" name="CGTSSRTPV" vbProcedure="false">#REF!</definedName>
    <definedName function="false" hidden="false" localSheetId="18" name="CGTSU3O" vbProcedure="false">#REF!</definedName>
    <definedName function="false" hidden="false" localSheetId="18" name="CGTTHTA" vbProcedure="false">#REF!</definedName>
    <definedName function="false" hidden="false" localSheetId="18" name="CGW2LU" vbProcedure="false">#REF!</definedName>
    <definedName function="false" hidden="false" localSheetId="18" name="chiyoko" vbProcedure="false">#REF!</definedName>
    <definedName function="false" hidden="false" localSheetId="18" name="clip" vbProcedure="false">#REF!</definedName>
    <definedName function="false" hidden="false" localSheetId="18" name="CNmLst" vbProcedure="false">#REF!</definedName>
    <definedName function="false" hidden="false" localSheetId="18" name="Co" vbProcedure="false">#REF!</definedName>
    <definedName function="false" hidden="false" localSheetId="18" name="COAT" vbProcedure="false">#REF!</definedName>
    <definedName function="false" hidden="false" localSheetId="18" name="COLOR" vbProcedure="false">#REF!</definedName>
    <definedName function="false" hidden="false" localSheetId="18" name="COMMON" vbProcedure="false">#REF!</definedName>
    <definedName function="false" hidden="false" localSheetId="18" name="comp" vbProcedure="false">#REF!</definedName>
    <definedName function="false" hidden="false" localSheetId="18" name="CON" vbProcedure="false">#REF!</definedName>
    <definedName function="false" hidden="false" localSheetId="18" name="CONC25" vbProcedure="false">#REF!</definedName>
    <definedName function="false" hidden="false" localSheetId="18" name="CONC30" vbProcedure="false">#REF!</definedName>
    <definedName function="false" hidden="false" localSheetId="18" name="CONCS25" vbProcedure="false">#REF!</definedName>
    <definedName function="false" hidden="false" localSheetId="18" name="CONCS30" vbProcedure="false">#REF!</definedName>
    <definedName function="false" hidden="false" localSheetId="18" name="Cong_HM_DTCT" vbProcedure="false">#REF!</definedName>
    <definedName function="false" hidden="false" localSheetId="18" name="Cong_M_DTCT" vbProcedure="false">#REF!</definedName>
    <definedName function="false" hidden="false" localSheetId="18" name="Cong_NC_DTCT" vbProcedure="false">#REF!</definedName>
    <definedName function="false" hidden="false" localSheetId="18" name="Cong_VL_DTCT" vbProcedure="false">#REF!</definedName>
    <definedName function="false" hidden="false" localSheetId="18" name="CONS" vbProcedure="false">#REF!</definedName>
    <definedName function="false" hidden="false" localSheetId="18" name="Control" vbProcedure="false">#REF!</definedName>
    <definedName function="false" hidden="false" localSheetId="18" name="CON_EQP_COS" vbProcedure="false">#REF!</definedName>
    <definedName function="false" hidden="false" localSheetId="18" name="COPL" vbProcedure="false">#REF!</definedName>
    <definedName function="false" hidden="false" localSheetId="18" name="Cost_of_Material" vbProcedure="false">#REF!</definedName>
    <definedName function="false" hidden="false" localSheetId="18" name="Cost_of_Scrap" vbProcedure="false">#REF!</definedName>
    <definedName function="false" hidden="false" localSheetId="18" name="cot7.5" vbProcedure="false">#REF!</definedName>
    <definedName function="false" hidden="false" localSheetId="18" name="cot8.5" vbProcedure="false">#REF!</definedName>
    <definedName function="false" hidden="false" localSheetId="18" name="COVER" vbProcedure="false">#REF!</definedName>
    <definedName function="false" hidden="false" localSheetId="18" name="cpc" vbProcedure="false">#REF!</definedName>
    <definedName function="false" hidden="false" localSheetId="18" name="CRITINST" vbProcedure="false">#REF!</definedName>
    <definedName function="false" hidden="false" localSheetId="18" name="CRITPURC" vbProcedure="false">#REF!</definedName>
    <definedName function="false" hidden="false" localSheetId="18" name="CS" vbProcedure="false">#REF!</definedName>
    <definedName function="false" hidden="false" localSheetId="18" name="CS_10" vbProcedure="false">#REF!</definedName>
    <definedName function="false" hidden="false" localSheetId="18" name="CS_100" vbProcedure="false">#REF!</definedName>
    <definedName function="false" hidden="false" localSheetId="18" name="CS_10S" vbProcedure="false">#REF!</definedName>
    <definedName function="false" hidden="false" localSheetId="18" name="CS_120" vbProcedure="false">#REF!</definedName>
    <definedName function="false" hidden="false" localSheetId="18" name="CS_140" vbProcedure="false">#REF!</definedName>
    <definedName function="false" hidden="false" localSheetId="18" name="CS_160" vbProcedure="false">#REF!</definedName>
    <definedName function="false" hidden="false" localSheetId="18" name="CS_20" vbProcedure="false">#REF!</definedName>
    <definedName function="false" hidden="false" localSheetId="18" name="CS_30" vbProcedure="false">#REF!</definedName>
    <definedName function="false" hidden="false" localSheetId="18" name="CS_40" vbProcedure="false">#REF!</definedName>
    <definedName function="false" hidden="false" localSheetId="18" name="CS_40S" vbProcedure="false">#REF!</definedName>
    <definedName function="false" hidden="false" localSheetId="18" name="CS_5S" vbProcedure="false">#REF!</definedName>
    <definedName function="false" hidden="false" localSheetId="18" name="CS_60" vbProcedure="false">#REF!</definedName>
    <definedName function="false" hidden="false" localSheetId="18" name="CS_80" vbProcedure="false">#REF!</definedName>
    <definedName function="false" hidden="false" localSheetId="18" name="CS_80S" vbProcedure="false">#REF!</definedName>
    <definedName function="false" hidden="false" localSheetId="18" name="CS_STD" vbProcedure="false">#REF!</definedName>
    <definedName function="false" hidden="false" localSheetId="18" name="CS_XS" vbProcedure="false">#REF!</definedName>
    <definedName function="false" hidden="false" localSheetId="18" name="CS_XXS" vbProcedure="false">#REF!</definedName>
    <definedName function="false" hidden="false" localSheetId="18" name="CTBMWE39" vbProcedure="false">#REF!</definedName>
    <definedName function="false" hidden="false" localSheetId="18" name="CTBMWE90" vbProcedure="false">#REF!</definedName>
    <definedName function="false" hidden="false" localSheetId="18" name="CTBMWE90Z" vbProcedure="false">#REF!</definedName>
    <definedName function="false" hidden="false" localSheetId="18" name="CTCAM2" vbProcedure="false">#REF!</definedName>
    <definedName function="false" hidden="false" localSheetId="18" name="CTCAM2CGM" vbProcedure="false">#REF!</definedName>
    <definedName function="false" hidden="false" localSheetId="18" name="CTCAM2SS" vbProcedure="false">#REF!</definedName>
    <definedName function="false" hidden="false" localSheetId="18" name="CTCBMWE34" vbProcedure="false">#REF!</definedName>
    <definedName function="false" hidden="false" localSheetId="18" name="CTCSBB" vbProcedure="false">#REF!</definedName>
    <definedName function="false" hidden="false" localSheetId="18" name="CTHA9C" vbProcedure="false">#REF!</definedName>
    <definedName function="false" hidden="false" localSheetId="18" name="CTHFIT" vbProcedure="false">#REF!</definedName>
    <definedName function="false" hidden="false" localSheetId="18" name="CTHTL1A4" vbProcedure="false">#REF!</definedName>
    <definedName function="false" hidden="false" localSheetId="18" name="CTHUQ2" vbProcedure="false">#REF!</definedName>
    <definedName function="false" hidden="false" localSheetId="18" name="CTHVC3" vbProcedure="false">#REF!</definedName>
    <definedName function="false" hidden="false" localSheetId="18" name="ctiep" vbProcedure="false">#REF!</definedName>
    <definedName function="false" hidden="false" localSheetId="18" name="CTNRSC3XL" vbProcedure="false">#REF!</definedName>
    <definedName function="false" hidden="false" localSheetId="18" name="CTNSCW84" vbProcedure="false">#REF!</definedName>
    <definedName function="false" hidden="false" localSheetId="18" name="CTNSS2" vbProcedure="false">#REF!</definedName>
    <definedName function="false" hidden="false" localSheetId="18" name="CTNSS2EXL" vbProcedure="false">#REF!</definedName>
    <definedName function="false" hidden="false" localSheetId="18" name="CTNST2" vbProcedure="false">#REF!</definedName>
    <definedName function="false" hidden="false" localSheetId="18" name="CTNST3I2" vbProcedure="false">#REF!</definedName>
    <definedName function="false" hidden="false" localSheetId="18" name="CTNST3Q2" vbProcedure="false">#REF!</definedName>
    <definedName function="false" hidden="false" localSheetId="18" name="CTNSTSB" vbProcedure="false">#REF!</definedName>
    <definedName function="false" hidden="false" localSheetId="18" name="CTNSTZ2" vbProcedure="false">#REF!</definedName>
    <definedName function="false" hidden="false" localSheetId="18" name="CTNSUBBXL" vbProcedure="false">#REF!</definedName>
    <definedName function="false" hidden="false" localSheetId="18" name="CTNTK2" vbProcedure="false">#REF!</definedName>
    <definedName function="false" hidden="false" localSheetId="18" name="CTNUWGP3" vbProcedure="false">#REF!</definedName>
    <definedName function="false" hidden="false" localSheetId="18" name="CTSU55A" vbProcedure="false">#REF!</definedName>
    <definedName function="false" hidden="false" localSheetId="18" name="CTSUIMP" vbProcedure="false">#REF!</definedName>
    <definedName function="false" hidden="false" localSheetId="18" name="CTSUSA92" vbProcedure="false">#REF!</definedName>
    <definedName function="false" hidden="false" localSheetId="18" name="CTT330N2" vbProcedure="false">#REF!</definedName>
    <definedName function="false" hidden="false" localSheetId="18" name="CTT330N2TC" vbProcedure="false">#REF!</definedName>
    <definedName function="false" hidden="false" localSheetId="18" name="CTT4RNX" vbProcedure="false">#REF!</definedName>
    <definedName function="false" hidden="false" localSheetId="18" name="CTTCTWGN" vbProcedure="false">#REF!</definedName>
    <definedName function="false" hidden="false" localSheetId="18" name="CTTHEX2" vbProcedure="false">#REF!</definedName>
    <definedName function="false" hidden="false" localSheetId="18" name="CTTHPUM2" vbProcedure="false">#REF!</definedName>
    <definedName function="false" hidden="false" localSheetId="18" name="CTTHSUT2" vbProcedure="false">#REF!</definedName>
    <definedName function="false" hidden="false" localSheetId="18" name="CTTHSUV2" vbProcedure="false">#REF!</definedName>
    <definedName function="false" hidden="false" localSheetId="18" name="CTTLX470" vbProcedure="false">#REF!</definedName>
    <definedName function="false" hidden="false" localSheetId="18" name="CTTNST3CXL" vbProcedure="false">#REF!</definedName>
    <definedName function="false" hidden="false" localSheetId="18" name="CTTSEQA" vbProcedure="false">#REF!</definedName>
    <definedName function="false" hidden="false" localSheetId="18" name="CTTT4RUNX" vbProcedure="false">#REF!</definedName>
    <definedName function="false" hidden="false" localSheetId="18" name="CTTTMC" vbProcedure="false">#REF!</definedName>
    <definedName function="false" hidden="false" localSheetId="18" name="CTTTPMAV3" vbProcedure="false">#REF!</definedName>
    <definedName function="false" hidden="false" localSheetId="18" name="CTTTSBB" vbProcedure="false">#REF!</definedName>
    <definedName function="false" hidden="false" localSheetId="18" name="CTTTYC3TH" vbProcedure="false">#REF!</definedName>
    <definedName function="false" hidden="false" localSheetId="18" name="CTTTYC4" vbProcedure="false">#REF!</definedName>
    <definedName function="false" hidden="false" localSheetId="18" name="CTTTYPRV3" vbProcedure="false">#REF!</definedName>
    <definedName function="false" hidden="false" localSheetId="18" name="CTTTYRAVT2" vbProcedure="false">#REF!</definedName>
    <definedName function="false" hidden="false" localSheetId="18" name="CTTTYRX3" vbProcedure="false">#REF!</definedName>
    <definedName function="false" hidden="false" localSheetId="18" name="CTTTYS5" vbProcedure="false">#REF!</definedName>
    <definedName function="false" hidden="false" localSheetId="18" name="CTTVW350" vbProcedure="false">#REF!</definedName>
    <definedName function="false" hidden="false" localSheetId="18" name="CTTYC2" vbProcedure="false">#REF!</definedName>
    <definedName function="false" hidden="false" localSheetId="18" name="CTTYC2A" vbProcedure="false">#REF!</definedName>
    <definedName function="false" hidden="false" localSheetId="18" name="CTTYC3C2" vbProcedure="false">#REF!</definedName>
    <definedName function="false" hidden="false" localSheetId="18" name="CTTYC4" vbProcedure="false">#REF!</definedName>
    <definedName function="false" hidden="false" localSheetId="18" name="CTTYS3C" vbProcedure="false">#REF!</definedName>
    <definedName function="false" hidden="false" localSheetId="18" name="CTTYS3W" vbProcedure="false">#REF!</definedName>
    <definedName function="false" hidden="false" localSheetId="18" name="CTVW240" vbProcedure="false">#REF!</definedName>
    <definedName function="false" hidden="false" localSheetId="18" name="CTVWGMPV" vbProcedure="false">#REF!</definedName>
    <definedName function="false" hidden="false" localSheetId="18" name="CTVWGOL" vbProcedure="false">#REF!</definedName>
    <definedName function="false" hidden="false" localSheetId="18" name="cuoc_vc" vbProcedure="false">#REF!</definedName>
    <definedName function="false" hidden="false" localSheetId="18" name="current" vbProcedure="false">#REF!</definedName>
    <definedName function="false" hidden="false" localSheetId="18" name="CU_LY" vbProcedure="false">#REF!</definedName>
    <definedName function="false" hidden="false" localSheetId="18" name="cx" vbProcedure="false">#REF!</definedName>
    <definedName function="false" hidden="false" localSheetId="18" name="CY_PY" vbProcedure="false">#REF!</definedName>
    <definedName function="false" hidden="false" localSheetId="18" name="C_" vbProcedure="false">#REF!</definedName>
    <definedName function="false" hidden="false" localSheetId="18" name="data" vbProcedure="false">#REF!</definedName>
    <definedName function="false" hidden="false" localSheetId="18" name="DBE" vbProcedure="false">OFFSET(#REF!,0,0,COUNTA(#REF!),COUNTA(#REF!))</definedName>
    <definedName function="false" hidden="false" localSheetId="18" name="DBF" vbProcedure="false">OFFSET(#REF!,0,0,COUNTA(#REF!),COUNTA(#REF!))</definedName>
    <definedName function="false" hidden="false" localSheetId="18" name="DBQ" vbProcedure="false">OFFSET(#REF!,0,0,COUNTA(#REF!),COUNTA(#REF!))</definedName>
    <definedName function="false" hidden="false" localSheetId="18" name="denbu" vbProcedure="false">#REF!</definedName>
    <definedName function="false" hidden="false" localSheetId="18" name="den_bu" vbProcedure="false">#REF!</definedName>
    <definedName function="false" hidden="false" localSheetId="18" name="depre" vbProcedure="false">#REF!</definedName>
    <definedName function="false" hidden="false" localSheetId="18" name="Desc" vbProcedure="false">#REF!</definedName>
    <definedName function="false" hidden="false" localSheetId="18" name="DETAIL" vbProcedure="false">#REF!</definedName>
    <definedName function="false" hidden="false" localSheetId="18" name="DETAIL2" vbProcedure="false">#REF!</definedName>
    <definedName function="false" hidden="false" localSheetId="18" name="df" vbProcedure="false">#REF!</definedName>
    <definedName function="false" hidden="false" localSheetId="18" name="DGCTI592" vbProcedure="false">#REF!</definedName>
    <definedName function="false" hidden="false" localSheetId="18" name="dhom" vbProcedure="false">#REF!</definedName>
    <definedName function="false" hidden="false" localSheetId="18" name="DIS" vbProcedure="false">#REF!</definedName>
    <definedName function="false" hidden="false" localSheetId="18" name="DSUMDATA" vbProcedure="false">#REF!</definedName>
    <definedName function="false" hidden="false" localSheetId="18" name="duoi" vbProcedure="false">#REF!</definedName>
    <definedName function="false" hidden="false" localSheetId="18" name="DutoanDongmo" vbProcedure="false">#REF!</definedName>
    <definedName function="false" hidden="false" localSheetId="18" name="dw" vbProcedure="false">#REF!</definedName>
    <definedName function="false" hidden="false" localSheetId="18" name="e" vbProcedure="false">#REF!</definedName>
    <definedName function="false" hidden="false" localSheetId="18" name="ECON._ADJ." vbProcedure="false">#REF!</definedName>
    <definedName function="false" hidden="false" localSheetId="18" name="EDIT__END__LEFT__DEL___DOWN" vbProcedure="false">#REF!</definedName>
    <definedName function="false" hidden="false" localSheetId="18" name="EF" vbProcedure="false">#REF!</definedName>
    <definedName function="false" hidden="false" localSheetId="18" name="Elx" vbProcedure="false">#REF!,#REF!,#REF!,#REF!,#REF!,#REF!,#REF!,#REF!,#REF!</definedName>
    <definedName function="false" hidden="false" localSheetId="18" name="End_1" vbProcedure="false">#REF!</definedName>
    <definedName function="false" hidden="false" localSheetId="18" name="End_10" vbProcedure="false">#REF!</definedName>
    <definedName function="false" hidden="false" localSheetId="18" name="End_11" vbProcedure="false">#REF!</definedName>
    <definedName function="false" hidden="false" localSheetId="18" name="End_12" vbProcedure="false">#REF!</definedName>
    <definedName function="false" hidden="false" localSheetId="18" name="End_13" vbProcedure="false">#REF!</definedName>
    <definedName function="false" hidden="false" localSheetId="18" name="End_2" vbProcedure="false">#REF!</definedName>
    <definedName function="false" hidden="false" localSheetId="18" name="End_3" vbProcedure="false">#REF!</definedName>
    <definedName function="false" hidden="false" localSheetId="18" name="End_4" vbProcedure="false">#REF!</definedName>
    <definedName function="false" hidden="false" localSheetId="18" name="End_5" vbProcedure="false">#REF!</definedName>
    <definedName function="false" hidden="false" localSheetId="18" name="End_6" vbProcedure="false">#REF!</definedName>
    <definedName function="false" hidden="false" localSheetId="18" name="End_7" vbProcedure="false">#REF!</definedName>
    <definedName function="false" hidden="false" localSheetId="18" name="End_8" vbProcedure="false">#REF!</definedName>
    <definedName function="false" hidden="false" localSheetId="18" name="End_9" vbProcedure="false">#REF!</definedName>
    <definedName function="false" hidden="false" localSheetId="18" name="ENGINEERING__DEPARTMENT" vbProcedure="false">#REF!</definedName>
    <definedName function="false" hidden="false" localSheetId="18" name="Entity" vbProcedure="false">#REF!</definedName>
    <definedName function="false" hidden="false" localSheetId="18" name="EX" vbProcedure="false">#REF!</definedName>
    <definedName function="false" hidden="false" localSheetId="18" name="EXC" vbProcedure="false">#REF!</definedName>
    <definedName function="false" hidden="false" localSheetId="18" name="Excel_BuiltIn_Print_Area_1" vbProcedure="false">#REF!</definedName>
    <definedName function="false" hidden="false" localSheetId="18" name="Excel_BuiltIn__FilterDatabase_1" vbProcedure="false">#REF!</definedName>
    <definedName function="false" hidden="false" localSheetId="18" name="Excel_BuiltIn__FilterDatabase_2" vbProcedure="false">#REF!</definedName>
    <definedName function="false" hidden="false" localSheetId="18" name="EXCH" vbProcedure="false">#REF!</definedName>
    <definedName function="false" hidden="false" localSheetId="18" name="Expenses" vbProcedure="false">#REF!</definedName>
    <definedName function="false" hidden="false" localSheetId="18" name="EXPORT" vbProcedure="false">#REF!</definedName>
    <definedName function="false" hidden="false" localSheetId="18" name="F" vbProcedure="false">#REF!</definedName>
    <definedName function="false" hidden="false" localSheetId="18" name="FAXNO" vbProcedure="false">#REF!</definedName>
    <definedName function="false" hidden="false" localSheetId="18" name="FC5_total" vbProcedure="false">#REF!</definedName>
    <definedName function="false" hidden="false" localSheetId="18" name="FC6_total" vbProcedure="false">#REF!</definedName>
    <definedName function="false" hidden="false" localSheetId="18" name="ff_ap" vbProcedure="false">#REF!</definedName>
    <definedName function="false" hidden="false" localSheetId="18" name="ff_AR" vbProcedure="false">#REF!</definedName>
    <definedName function="false" hidden="false" localSheetId="18" name="ff_Inv" vbProcedure="false">#REF!</definedName>
    <definedName function="false" hidden="false" localSheetId="18" name="finexp" vbProcedure="false">#REF!</definedName>
    <definedName function="false" hidden="false" localSheetId="18" name="FOUR02" vbProcedure="false">#REF!</definedName>
    <definedName function="false" hidden="false" localSheetId="18" name="FOUR03" vbProcedure="false">#REF!</definedName>
    <definedName function="false" hidden="false" localSheetId="18" name="FOUR04" vbProcedure="false">#REF!</definedName>
    <definedName function="false" hidden="false" localSheetId="18" name="FOUR05" vbProcedure="false">#REF!</definedName>
    <definedName function="false" hidden="false" localSheetId="18" name="FOUR06" vbProcedure="false">#REF!</definedName>
    <definedName function="false" hidden="false" localSheetId="18" name="FOUR07" vbProcedure="false">#REF!</definedName>
    <definedName function="false" hidden="false" localSheetId="18" name="FOUR08" vbProcedure="false">#REF!</definedName>
    <definedName function="false" hidden="false" localSheetId="18" name="FOUR09" vbProcedure="false">#REF!</definedName>
    <definedName function="false" hidden="false" localSheetId="18" name="FTC" vbProcedure="false">#REF!</definedName>
    <definedName function="false" hidden="false" localSheetId="18" name="FUND" vbProcedure="false">#REF!</definedName>
    <definedName function="false" hidden="false" localSheetId="18" name="FUND2" vbProcedure="false">#REF!</definedName>
    <definedName function="false" hidden="false" localSheetId="18" name="fund3" vbProcedure="false">#REF!</definedName>
    <definedName function="false" hidden="false" localSheetId="18" name="ghip" vbProcedure="false">#REF!</definedName>
    <definedName function="false" hidden="false" localSheetId="18" name="gia" vbProcedure="false">#REF!</definedName>
    <definedName function="false" hidden="false" localSheetId="18" name="gia_tien" vbProcedure="false">#REF!</definedName>
    <definedName function="false" hidden="false" localSheetId="18" name="gia_tien_BTN" vbProcedure="false">#REF!</definedName>
    <definedName function="false" hidden="false" localSheetId="18" name="gt" vbProcedure="false">#REF!</definedName>
    <definedName function="false" hidden="false" localSheetId="18" name="HF" vbProcedure="false">#REF!</definedName>
    <definedName function="false" hidden="false" localSheetId="18" name="HHcat" vbProcedure="false">#REF!</definedName>
    <definedName function="false" hidden="false" localSheetId="18" name="HHda" vbProcedure="false">#REF!</definedName>
    <definedName function="false" hidden="false" localSheetId="18" name="HHL" vbProcedure="false">#REF!</definedName>
    <definedName function="false" hidden="false" localSheetId="18" name="HHxm" vbProcedure="false">#REF!</definedName>
    <definedName function="false" hidden="false" localSheetId="18" name="hien" vbProcedure="false">#REF!</definedName>
    <definedName function="false" hidden="false" localSheetId="18" name="HL" vbProcedure="false">#REF!</definedName>
    <definedName function="false" hidden="false" localSheetId="18" name="HO" vbProcedure="false">#REF!</definedName>
    <definedName function="false" hidden="false" localSheetId="18" name="HOMEOFFICE_COST" vbProcedure="false">#REF!</definedName>
    <definedName function="false" hidden="false" localSheetId="18" name="HOME_MANP" vbProcedure="false">#REF!</definedName>
    <definedName function="false" hidden="false" localSheetId="18" name="hrapr99" vbProcedure="false">#REF!</definedName>
    <definedName function="false" hidden="false" localSheetId="18" name="HTML_Control" vbProcedure="false">{"'Summary'!$A$1:$AF$43"}</definedName>
    <definedName function="false" hidden="false" localSheetId="18" name="huy" vbProcedure="false">{"'Sheet1'!$L$16"}</definedName>
    <definedName function="false" hidden="false" localSheetId="18" name="h_m4" vbProcedure="false">#REF!</definedName>
    <definedName function="false" hidden="false" localSheetId="18" name="IDLAB_COST" vbProcedure="false">#REF!</definedName>
    <definedName function="false" hidden="false" localSheetId="18" name="in" vbProcedure="false">#REF!</definedName>
    <definedName function="false" hidden="false" localSheetId="18" name="incomestat" vbProcedure="false">#REF!</definedName>
    <definedName function="false" hidden="false" localSheetId="18" name="INDMANP" vbProcedure="false">#REF!</definedName>
    <definedName function="false" hidden="false" localSheetId="18" name="INPUT" vbProcedure="false">#REF!</definedName>
    <definedName function="false" hidden="false" localSheetId="18" name="INT" vbProcedure="false">#REF!</definedName>
    <definedName function="false" hidden="false" localSheetId="18" name="INTT" vbProcedure="false">#REF!</definedName>
    <definedName function="false" hidden="false" localSheetId="18" name="INVEST" vbProcedure="false">#REF!</definedName>
    <definedName function="false" hidden="false" localSheetId="18" name="INVSTMNT" vbProcedure="false">#REF!</definedName>
    <definedName function="false" hidden="false" localSheetId="18" name="IT" vbProcedure="false">#REF!</definedName>
    <definedName function="false" hidden="false" localSheetId="18" name="itemcode" vbProcedure="false">'[9]Item Master'!$C$2:$C$65536</definedName>
    <definedName function="false" hidden="false" localSheetId="18" name="itemlist" vbProcedure="false">'[9]Item Master'!$B$2:$B$65536</definedName>
    <definedName function="false" hidden="false" localSheetId="18" name="IUMtx" vbProcedure="false">#REF!</definedName>
    <definedName function="false" hidden="false" localSheetId="18" name="Jan_Jun_04_Data_Base" vbProcedure="false">#REF!</definedName>
    <definedName function="false" hidden="false" localSheetId="18" name="JK100001362" vbProcedure="false">#REF!</definedName>
    <definedName function="false" hidden="false" localSheetId="18" name="JK100001365" vbProcedure="false">#REF!</definedName>
    <definedName function="false" hidden="false" localSheetId="18" name="JK100001462" vbProcedure="false">#REF!</definedName>
    <definedName function="false" hidden="false" localSheetId="18" name="JK100001466" vbProcedure="false">#REF!</definedName>
    <definedName function="false" hidden="false" localSheetId="18" name="JK100001467" vbProcedure="false">#REF!</definedName>
    <definedName function="false" hidden="false" localSheetId="18" name="JK100001485" vbProcedure="false">#REF!</definedName>
    <definedName function="false" hidden="false" localSheetId="18" name="JK100001495" vbProcedure="false">#REF!</definedName>
    <definedName function="false" hidden="false" localSheetId="18" name="JK100001497" vbProcedure="false">#REF!</definedName>
    <definedName function="false" hidden="false" localSheetId="18" name="JK100001502" vbProcedure="false">#REF!</definedName>
    <definedName function="false" hidden="false" localSheetId="18" name="JK10000600" vbProcedure="false">#REF!</definedName>
    <definedName function="false" hidden="false" localSheetId="18" name="JK10000601" vbProcedure="false">#REF!</definedName>
    <definedName function="false" hidden="false" localSheetId="18" name="JK10000636" vbProcedure="false">#REF!</definedName>
    <definedName function="false" hidden="false" localSheetId="18" name="JK10000642" vbProcedure="false">#REF!</definedName>
    <definedName function="false" hidden="false" localSheetId="18" name="JK10000644" vbProcedure="false">#REF!</definedName>
    <definedName function="false" hidden="false" localSheetId="18" name="JK10000645" vbProcedure="false">#REF!</definedName>
    <definedName function="false" hidden="false" localSheetId="18" name="JK10000704" vbProcedure="false">#REF!</definedName>
    <definedName function="false" hidden="false" localSheetId="18" name="JK10000725" vbProcedure="false">#REF!</definedName>
    <definedName function="false" hidden="false" localSheetId="18" name="JK10000813" vbProcedure="false">#REF!</definedName>
    <definedName function="false" hidden="false" localSheetId="18" name="JK10002356" vbProcedure="false">#REF!</definedName>
    <definedName function="false" hidden="false" localSheetId="18" name="JK10002358" vbProcedure="false">#REF!</definedName>
    <definedName function="false" hidden="false" localSheetId="18" name="JK10002371" vbProcedure="false">#REF!</definedName>
    <definedName function="false" hidden="false" localSheetId="18" name="JK10002375" vbProcedure="false">#REF!</definedName>
    <definedName function="false" hidden="false" localSheetId="18" name="JK10002378" vbProcedure="false">#REF!</definedName>
    <definedName function="false" hidden="false" localSheetId="18" name="JK10002398" vbProcedure="false">#REF!</definedName>
    <definedName function="false" hidden="false" localSheetId="18" name="JK10002401" vbProcedure="false">#REF!</definedName>
    <definedName function="false" hidden="false" localSheetId="18" name="JK10002404" vbProcedure="false">#REF!</definedName>
    <definedName function="false" hidden="false" localSheetId="18" name="JK10002407" vbProcedure="false">#REF!</definedName>
    <definedName function="false" hidden="false" localSheetId="18" name="JK10002409" vbProcedure="false">#REF!</definedName>
    <definedName function="false" hidden="false" localSheetId="18" name="JK10002410" vbProcedure="false">#REF!</definedName>
    <definedName function="false" hidden="false" localSheetId="18" name="JK10002414" vbProcedure="false">#REF!</definedName>
    <definedName function="false" hidden="false" localSheetId="18" name="JK10002944" vbProcedure="false">#REF!</definedName>
    <definedName function="false" hidden="false" localSheetId="18" name="JK10003822" vbProcedure="false">#REF!</definedName>
    <definedName function="false" hidden="false" localSheetId="18" name="Joy" vbProcedure="false">#REF!</definedName>
    <definedName function="false" hidden="false" localSheetId="18" name="KANDIVLI_D" vbProcedure="false">#REF!</definedName>
    <definedName function="false" hidden="false" localSheetId="18" name="KANDIVLI_P" vbProcedure="false">#REF!</definedName>
    <definedName function="false" hidden="false" localSheetId="18" name="KANDIVLI_S" vbProcedure="false">#REF!</definedName>
    <definedName function="false" hidden="false" localSheetId="18" name="kaori" vbProcedure="false">#REF!</definedName>
    <definedName function="false" hidden="false" localSheetId="18" name="kazuyo" vbProcedure="false">#REF!</definedName>
    <definedName function="false" hidden="false" localSheetId="18" name="kcong" vbProcedure="false">#REF!</definedName>
    <definedName function="false" hidden="false" localSheetId="18" name="Kiem_tra_trung_ten" vbProcedure="false">#REF!</definedName>
    <definedName function="false" hidden="false" localSheetId="18" name="KOMAX" vbProcedure="false">#REF!</definedName>
    <definedName function="false" hidden="false" localSheetId="18" name="lan" vbProcedure="false">#REF!</definedName>
    <definedName function="false" hidden="false" localSheetId="18" name="LC5_total" vbProcedure="false">#REF!</definedName>
    <definedName function="false" hidden="false" localSheetId="18" name="LC6_total" vbProcedure="false">#REF!</definedName>
    <definedName function="false" hidden="false" localSheetId="18" name="LG" vbProcedure="false">#REF!</definedName>
    <definedName function="false" hidden="false" localSheetId="18" name="List1" vbProcedure="false">#REF!</definedName>
    <definedName function="false" hidden="false" localSheetId="18" name="List10" vbProcedure="false">#REF!</definedName>
    <definedName function="false" hidden="false" localSheetId="18" name="List11" vbProcedure="false">#REF!</definedName>
    <definedName function="false" hidden="false" localSheetId="18" name="List12" vbProcedure="false">#REF!</definedName>
    <definedName function="false" hidden="false" localSheetId="18" name="List4" vbProcedure="false">#REF!</definedName>
    <definedName function="false" hidden="false" localSheetId="18" name="List5" vbProcedure="false">#REF!</definedName>
    <definedName function="false" hidden="false" localSheetId="18" name="List6" vbProcedure="false">#REF!</definedName>
    <definedName function="false" hidden="false" localSheetId="18" name="List7" vbProcedure="false">#REF!</definedName>
    <definedName function="false" hidden="false" localSheetId="18" name="List8" vbProcedure="false">#REF!</definedName>
    <definedName function="false" hidden="false" localSheetId="18" name="List9" vbProcedure="false">#REF!</definedName>
    <definedName function="false" hidden="false" localSheetId="18" name="LL" vbProcedure="false">#REF!</definedName>
    <definedName function="false" hidden="false" localSheetId="18" name="LOSS_K" vbProcedure="false">#REF!</definedName>
    <definedName function="false" hidden="false" localSheetId="18" name="LOSS_N" vbProcedure="false">#REF!</definedName>
    <definedName function="false" hidden="false" localSheetId="18" name="LOSS_Z" vbProcedure="false">#REF!</definedName>
    <definedName function="false" hidden="false" localSheetId="18" name="LOW_COST_PROD_R" vbProcedure="false">#REF!</definedName>
    <definedName function="false" hidden="false" localSheetId="18" name="LTA_S" vbProcedure="false">#REF!</definedName>
    <definedName function="false" hidden="false" localSheetId="18" name="MACHINING_AREA" vbProcedure="false">#REF!</definedName>
    <definedName function="false" hidden="false" localSheetId="18" name="MAJ_CON_EQP" vbProcedure="false">#REF!</definedName>
    <definedName function="false" hidden="false" localSheetId="18" name="masaru" vbProcedure="false">#REF!</definedName>
    <definedName function="false" hidden="false" localSheetId="18" name="master" vbProcedure="false">#REF!</definedName>
    <definedName function="false" hidden="false" localSheetId="18" name="masterBom" vbProcedure="false">#REF!</definedName>
    <definedName function="false" hidden="false" localSheetId="18" name="may" vbProcedure="false">#REF!</definedName>
    <definedName function="false" hidden="false" localSheetId="18" name="mayumi" vbProcedure="false">#REF!</definedName>
    <definedName function="false" hidden="false" localSheetId="18" name="mbangtai10" vbProcedure="false">#REF!</definedName>
    <definedName function="false" hidden="false" localSheetId="18" name="mbangtai100" vbProcedure="false">#REF!</definedName>
    <definedName function="false" hidden="false" localSheetId="18" name="mbangtai15" vbProcedure="false">#REF!</definedName>
    <definedName function="false" hidden="false" localSheetId="18" name="mbangtai150" vbProcedure="false">#REF!</definedName>
    <definedName function="false" hidden="false" localSheetId="18" name="mbangtai25" vbProcedure="false">#REF!</definedName>
    <definedName function="false" hidden="false" localSheetId="18" name="mbombtth50" vbProcedure="false">#REF!</definedName>
    <definedName function="false" hidden="false" localSheetId="18" name="mbombtth60" vbProcedure="false">#REF!</definedName>
    <definedName function="false" hidden="false" localSheetId="18" name="mbomdien0.55" vbProcedure="false">#REF!</definedName>
    <definedName function="false" hidden="false" localSheetId="18" name="mbomdien0.75" vbProcedure="false">#REF!</definedName>
    <definedName function="false" hidden="false" localSheetId="18" name="mbomdien1.1" vbProcedure="false">#REF!</definedName>
    <definedName function="false" hidden="false" localSheetId="18" name="mbomdien1.5" vbProcedure="false">#REF!</definedName>
    <definedName function="false" hidden="false" localSheetId="18" name="mbomdien10" vbProcedure="false">#REF!</definedName>
    <definedName function="false" hidden="false" localSheetId="18" name="mbomdien113" vbProcedure="false">#REF!</definedName>
    <definedName function="false" hidden="false" localSheetId="18" name="mbomdien14" vbProcedure="false">#REF!</definedName>
    <definedName function="false" hidden="false" localSheetId="18" name="mbomdien2" vbProcedure="false">#REF!</definedName>
    <definedName function="false" hidden="false" localSheetId="18" name="mbomdien2.8" vbProcedure="false">#REF!</definedName>
    <definedName function="false" hidden="false" localSheetId="18" name="mbomdien20" vbProcedure="false">#REF!</definedName>
    <definedName function="false" hidden="false" localSheetId="18" name="mbomdien22" vbProcedure="false">#REF!</definedName>
    <definedName function="false" hidden="false" localSheetId="18" name="mbomdien28" vbProcedure="false">#REF!</definedName>
    <definedName function="false" hidden="false" localSheetId="18" name="mbomdien30" vbProcedure="false">#REF!</definedName>
    <definedName function="false" hidden="false" localSheetId="18" name="mbomdien4" vbProcedure="false">#REF!</definedName>
    <definedName function="false" hidden="false" localSheetId="18" name="mbomdien4.5" vbProcedure="false">#REF!</definedName>
    <definedName function="false" hidden="false" localSheetId="18" name="mbomdien40" vbProcedure="false">#REF!</definedName>
    <definedName function="false" hidden="false" localSheetId="18" name="mbomdien50" vbProcedure="false">#REF!</definedName>
    <definedName function="false" hidden="false" localSheetId="18" name="mbomdien55" vbProcedure="false">#REF!</definedName>
    <definedName function="false" hidden="false" localSheetId="18" name="mbomdien7" vbProcedure="false">#REF!</definedName>
    <definedName function="false" hidden="false" localSheetId="18" name="mbomdien75" vbProcedure="false">#REF!</definedName>
    <definedName function="false" hidden="false" localSheetId="18" name="mbomth10" vbProcedure="false">#REF!</definedName>
    <definedName function="false" hidden="false" localSheetId="18" name="mbomth100" vbProcedure="false">#REF!</definedName>
    <definedName function="false" hidden="false" localSheetId="18" name="mbomth15" vbProcedure="false">#REF!</definedName>
    <definedName function="false" hidden="false" localSheetId="18" name="mbomth150" vbProcedure="false">#REF!</definedName>
    <definedName function="false" hidden="false" localSheetId="18" name="mbomth20" vbProcedure="false">#REF!</definedName>
    <definedName function="false" hidden="false" localSheetId="18" name="mbomth37" vbProcedure="false">#REF!</definedName>
    <definedName function="false" hidden="false" localSheetId="18" name="mbomth45" vbProcedure="false">#REF!</definedName>
    <definedName function="false" hidden="false" localSheetId="18" name="mbomth5" vbProcedure="false">#REF!</definedName>
    <definedName function="false" hidden="false" localSheetId="18" name="mbomth5.5" vbProcedure="false">#REF!</definedName>
    <definedName function="false" hidden="false" localSheetId="18" name="mbomth7" vbProcedure="false">#REF!</definedName>
    <definedName function="false" hidden="false" localSheetId="18" name="mbomth7.5" vbProcedure="false">#REF!</definedName>
    <definedName function="false" hidden="false" localSheetId="18" name="mbomth75" vbProcedure="false">#REF!</definedName>
    <definedName function="false" hidden="false" localSheetId="18" name="mbomthxang3" vbProcedure="false">#REF!</definedName>
    <definedName function="false" hidden="false" localSheetId="18" name="mbomthxang4" vbProcedure="false">#REF!</definedName>
    <definedName function="false" hidden="false" localSheetId="18" name="mbomthxang6" vbProcedure="false">#REF!</definedName>
    <definedName function="false" hidden="false" localSheetId="18" name="mbomthxang7" vbProcedure="false">#REF!</definedName>
    <definedName function="false" hidden="false" localSheetId="18" name="mbomthxang8" vbProcedure="false">#REF!</definedName>
    <definedName function="false" hidden="false" localSheetId="18" name="mbomvua2" vbProcedure="false">#REF!</definedName>
    <definedName function="false" hidden="false" localSheetId="18" name="mbomvua4" vbProcedure="false">#REF!</definedName>
    <definedName function="false" hidden="false" localSheetId="18" name="mbomvua6" vbProcedure="false">#REF!</definedName>
    <definedName function="false" hidden="false" localSheetId="18" name="mbomvua9" vbProcedure="false">#REF!</definedName>
    <definedName function="false" hidden="false" localSheetId="18" name="mbuacankhi1.5" vbProcedure="false">#REF!</definedName>
    <definedName function="false" hidden="false" localSheetId="18" name="mbuadcocnoi2.5" vbProcedure="false">#REF!</definedName>
    <definedName function="false" hidden="false" localSheetId="18" name="mbuadray1.2" vbProcedure="false">#REF!</definedName>
    <definedName function="false" hidden="false" localSheetId="18" name="mbuadray1.8" vbProcedure="false">#REF!</definedName>
    <definedName function="false" hidden="false" localSheetId="18" name="mbuadray2.2" vbProcedure="false">#REF!</definedName>
    <definedName function="false" hidden="false" localSheetId="18" name="mbuadray2.5" vbProcedure="false">#REF!</definedName>
    <definedName function="false" hidden="false" localSheetId="18" name="mbuadray3.5" vbProcedure="false">#REF!</definedName>
    <definedName function="false" hidden="false" localSheetId="18" name="mbuarung170" vbProcedure="false">#REF!</definedName>
    <definedName function="false" hidden="false" localSheetId="18" name="mbuarung40" vbProcedure="false">#REF!</definedName>
    <definedName function="false" hidden="false" localSheetId="18" name="mbuarung50" vbProcedure="false">#REF!</definedName>
    <definedName function="false" hidden="false" localSheetId="18" name="mbuarungccatth60" vbProcedure="false">#REF!</definedName>
    <definedName function="false" hidden="false" localSheetId="18" name="mbuathbx0.6" vbProcedure="false">#REF!</definedName>
    <definedName function="false" hidden="false" localSheetId="18" name="mbuathbx1.2" vbProcedure="false">#REF!</definedName>
    <definedName function="false" hidden="false" localSheetId="18" name="mbuathbx1.8" vbProcedure="false">#REF!</definedName>
    <definedName function="false" hidden="false" localSheetId="18" name="mbuathbx3.5" vbProcedure="false">#REF!</definedName>
    <definedName function="false" hidden="false" localSheetId="18" name="mbuathbx4.5" vbProcedure="false">#REF!</definedName>
    <definedName function="false" hidden="false" localSheetId="18" name="mc" vbProcedure="false">#REF!</definedName>
    <definedName function="false" hidden="false" localSheetId="18" name="mcambactham1" vbProcedure="false">#REF!</definedName>
    <definedName function="false" hidden="false" localSheetId="18" name="mcano30" vbProcedure="false">#REF!</definedName>
    <definedName function="false" hidden="false" localSheetId="18" name="mcano75" vbProcedure="false">#REF!</definedName>
    <definedName function="false" hidden="false" localSheetId="18" name="mcap1g10" vbProcedure="false">#REF!</definedName>
    <definedName function="false" hidden="false" localSheetId="18" name="mcap1g16" vbProcedure="false">#REF!</definedName>
    <definedName function="false" hidden="false" localSheetId="18" name="mcap1g25" vbProcedure="false">#REF!</definedName>
    <definedName function="false" hidden="false" localSheetId="18" name="mcap1g9" vbProcedure="false">#REF!</definedName>
    <definedName function="false" hidden="false" localSheetId="18" name="mcatdot2.8" vbProcedure="false">#REF!</definedName>
    <definedName function="false" hidden="false" localSheetId="18" name="mcatong5" vbProcedure="false">#REF!</definedName>
    <definedName function="false" hidden="false" localSheetId="18" name="mcatton15" vbProcedure="false">#REF!</definedName>
    <definedName function="false" hidden="false" localSheetId="18" name="mcatuonthep5" vbProcedure="false">#REF!</definedName>
    <definedName function="false" hidden="false" localSheetId="18" name="mcaulongmon10" vbProcedure="false">#REF!</definedName>
    <definedName function="false" hidden="false" localSheetId="18" name="mcaulongmon30" vbProcedure="false">#REF!</definedName>
    <definedName function="false" hidden="false" localSheetId="18" name="mcaulongmon60" vbProcedure="false">#REF!</definedName>
    <definedName function="false" hidden="false" localSheetId="18" name="mcauray20" vbProcedure="false">#REF!</definedName>
    <definedName function="false" hidden="false" localSheetId="18" name="mcauray25" vbProcedure="false">#REF!</definedName>
    <definedName function="false" hidden="false" localSheetId="18" name="mcayxoidk108" vbProcedure="false">#REF!</definedName>
    <definedName function="false" hidden="false" localSheetId="18" name="mcayxoidk60" vbProcedure="false">#REF!</definedName>
    <definedName function="false" hidden="false" localSheetId="18" name="mcayxoidk80" vbProcedure="false">#REF!</definedName>
    <definedName function="false" hidden="false" localSheetId="18" name="mccaubh10" vbProcedure="false">#REF!</definedName>
    <definedName function="false" hidden="false" localSheetId="18" name="mccaubh16" vbProcedure="false">#REF!</definedName>
    <definedName function="false" hidden="false" localSheetId="18" name="mccaubh25" vbProcedure="false">#REF!</definedName>
    <definedName function="false" hidden="false" localSheetId="18" name="mccaubh3" vbProcedure="false">#REF!</definedName>
    <definedName function="false" hidden="false" localSheetId="18" name="mccaubh4" vbProcedure="false">#REF!</definedName>
    <definedName function="false" hidden="false" localSheetId="18" name="mccaubh40" vbProcedure="false">#REF!</definedName>
    <definedName function="false" hidden="false" localSheetId="18" name="mccaubh5" vbProcedure="false">#REF!</definedName>
    <definedName function="false" hidden="false" localSheetId="18" name="mccaubh6" vbProcedure="false">#REF!</definedName>
    <definedName function="false" hidden="false" localSheetId="18" name="mccaubh65" vbProcedure="false">#REF!</definedName>
    <definedName function="false" hidden="false" localSheetId="18" name="mccaubh7" vbProcedure="false">#REF!</definedName>
    <definedName function="false" hidden="false" localSheetId="18" name="mccaubh8" vbProcedure="false">#REF!</definedName>
    <definedName function="false" hidden="false" localSheetId="18" name="mccaubh90" vbProcedure="false">#REF!</definedName>
    <definedName function="false" hidden="false" localSheetId="18" name="mccaubx10" vbProcedure="false">#REF!</definedName>
    <definedName function="false" hidden="false" localSheetId="18" name="mccaubx100" vbProcedure="false">#REF!</definedName>
    <definedName function="false" hidden="false" localSheetId="18" name="mccaubx16" vbProcedure="false">#REF!</definedName>
    <definedName function="false" hidden="false" localSheetId="18" name="mccaubx25" vbProcedure="false">#REF!</definedName>
    <definedName function="false" hidden="false" localSheetId="18" name="mccaubx28" vbProcedure="false">#REF!</definedName>
    <definedName function="false" hidden="false" localSheetId="18" name="mccaubx40" vbProcedure="false">#REF!</definedName>
    <definedName function="false" hidden="false" localSheetId="18" name="mccaubx5" vbProcedure="false">#REF!</definedName>
    <definedName function="false" hidden="false" localSheetId="18" name="mccaubx50" vbProcedure="false">#REF!</definedName>
    <definedName function="false" hidden="false" localSheetId="18" name="mccaubx63" vbProcedure="false">#REF!</definedName>
    <definedName function="false" hidden="false" localSheetId="18" name="mccaubx7" vbProcedure="false">#REF!</definedName>
    <definedName function="false" hidden="false" localSheetId="18" name="mccauladam60" vbProcedure="false">#REF!</definedName>
    <definedName function="false" hidden="false" localSheetId="18" name="mccaunoi100" vbProcedure="false">#REF!</definedName>
    <definedName function="false" hidden="false" localSheetId="18" name="mccaunoi30" vbProcedure="false">#REF!</definedName>
    <definedName function="false" hidden="false" localSheetId="18" name="mccauthap10" vbProcedure="false">#REF!</definedName>
    <definedName function="false" hidden="false" localSheetId="18" name="mccauthap12" vbProcedure="false">#REF!</definedName>
    <definedName function="false" hidden="false" localSheetId="18" name="mccauthap15" vbProcedure="false">#REF!</definedName>
    <definedName function="false" hidden="false" localSheetId="18" name="mccauthap20" vbProcedure="false">#REF!</definedName>
    <definedName function="false" hidden="false" localSheetId="18" name="mccauthap25" vbProcedure="false">#REF!</definedName>
    <definedName function="false" hidden="false" localSheetId="18" name="mccauthap3" vbProcedure="false">#REF!</definedName>
    <definedName function="false" hidden="false" localSheetId="18" name="mccauthap30" vbProcedure="false">#REF!</definedName>
    <definedName function="false" hidden="false" localSheetId="18" name="mccauthap40" vbProcedure="false">#REF!</definedName>
    <definedName function="false" hidden="false" localSheetId="18" name="mccauthap5" vbProcedure="false">#REF!</definedName>
    <definedName function="false" hidden="false" localSheetId="18" name="mccauthap50" vbProcedure="false">#REF!</definedName>
    <definedName function="false" hidden="false" localSheetId="18" name="mccauthap8" vbProcedure="false">#REF!</definedName>
    <definedName function="false" hidden="false" localSheetId="18" name="mccautnhi0.5" vbProcedure="false">#REF!</definedName>
    <definedName function="false" hidden="false" localSheetId="18" name="mcuakl1.7" vbProcedure="false">#REF!</definedName>
    <definedName function="false" hidden="false" localSheetId="18" name="md" vbProcedure="false">#REF!</definedName>
    <definedName function="false" hidden="false" localSheetId="18" name="mdamban0.4" vbProcedure="false">#REF!</definedName>
    <definedName function="false" hidden="false" localSheetId="18" name="mdamban0.6" vbProcedure="false">#REF!</definedName>
    <definedName function="false" hidden="false" localSheetId="18" name="mdamban0.8" vbProcedure="false">#REF!</definedName>
    <definedName function="false" hidden="false" localSheetId="18" name="mdamban1" vbProcedure="false">#REF!</definedName>
    <definedName function="false" hidden="false" localSheetId="18" name="mdambhdkbx12.5" vbProcedure="false">#REF!</definedName>
    <definedName function="false" hidden="false" localSheetId="18" name="mdambhdkbx18" vbProcedure="false">#REF!</definedName>
    <definedName function="false" hidden="false" localSheetId="18" name="mdambhdkbx25" vbProcedure="false">#REF!</definedName>
    <definedName function="false" hidden="false" localSheetId="18" name="mdambhdkbx26.5" vbProcedure="false">#REF!</definedName>
    <definedName function="false" hidden="false" localSheetId="18" name="mdambhdkbx9" vbProcedure="false">#REF!</definedName>
    <definedName function="false" hidden="false" localSheetId="18" name="mdambhth16" vbProcedure="false">#REF!</definedName>
    <definedName function="false" hidden="false" localSheetId="18" name="mdambhth17.5" vbProcedure="false">#REF!</definedName>
    <definedName function="false" hidden="false" localSheetId="18" name="mdambhth25" vbProcedure="false">#REF!</definedName>
    <definedName function="false" hidden="false" localSheetId="18" name="mdambthepth10" vbProcedure="false">#REF!</definedName>
    <definedName function="false" hidden="false" localSheetId="18" name="mdambthepth12.2" vbProcedure="false">#REF!</definedName>
    <definedName function="false" hidden="false" localSheetId="18" name="mdambthepth13" vbProcedure="false">#REF!</definedName>
    <definedName function="false" hidden="false" localSheetId="18" name="mdambthepth14.5" vbProcedure="false">#REF!</definedName>
    <definedName function="false" hidden="false" localSheetId="18" name="mdambthepth15.5" vbProcedure="false">#REF!</definedName>
    <definedName function="false" hidden="false" localSheetId="18" name="mdambthepth8.5" vbProcedure="false">#REF!</definedName>
    <definedName function="false" hidden="false" localSheetId="18" name="mdamcanh1" vbProcedure="false">#REF!</definedName>
    <definedName function="false" hidden="false" localSheetId="18" name="mdamccdk5.5" vbProcedure="false">#REF!</definedName>
    <definedName function="false" hidden="false" localSheetId="18" name="mdamccdk9" vbProcedure="false">#REF!</definedName>
    <definedName function="false" hidden="false" localSheetId="18" name="mdamdatct60" vbProcedure="false">#REF!</definedName>
    <definedName function="false" hidden="false" localSheetId="18" name="mdamdatct80" vbProcedure="false">#REF!</definedName>
    <definedName function="false" hidden="false" localSheetId="18" name="mdamdui0.6" vbProcedure="false">#REF!</definedName>
    <definedName function="false" hidden="false" localSheetId="18" name="mdamdui0.8" vbProcedure="false">#REF!</definedName>
    <definedName function="false" hidden="false" localSheetId="18" name="mdamdui1" vbProcedure="false">#REF!</definedName>
    <definedName function="false" hidden="false" localSheetId="18" name="mdamdui1.5" vbProcedure="false">#REF!</definedName>
    <definedName function="false" hidden="false" localSheetId="18" name="mdamdui2.8" vbProcedure="false">#REF!</definedName>
    <definedName function="false" hidden="false" localSheetId="18" name="mdamrung15" vbProcedure="false">#REF!</definedName>
    <definedName function="false" hidden="false" localSheetId="18" name="mdamrung18" vbProcedure="false">#REF!</definedName>
    <definedName function="false" hidden="false" localSheetId="18" name="mdamrung8" vbProcedure="false">#REF!</definedName>
    <definedName function="false" hidden="false" localSheetId="18" name="mdao1gbh0.15" vbProcedure="false">#REF!</definedName>
    <definedName function="false" hidden="false" localSheetId="18" name="mdao1gbh0.25" vbProcedure="false">#REF!</definedName>
    <definedName function="false" hidden="false" localSheetId="18" name="mdao1gbh0.30" vbProcedure="false">#REF!</definedName>
    <definedName function="false" hidden="false" localSheetId="18" name="mdao1gbh0.35" vbProcedure="false">#REF!</definedName>
    <definedName function="false" hidden="false" localSheetId="18" name="mdao1gbh0.40" vbProcedure="false">#REF!</definedName>
    <definedName function="false" hidden="false" localSheetId="18" name="mdao1gbh0.65" vbProcedure="false">#REF!</definedName>
    <definedName function="false" hidden="false" localSheetId="18" name="mdao1gbh0.75" vbProcedure="false">#REF!</definedName>
    <definedName function="false" hidden="false" localSheetId="18" name="mdao1gbh1.25" vbProcedure="false">#REF!</definedName>
    <definedName function="false" hidden="false" localSheetId="18" name="mdao1gbx0.22" vbProcedure="false">#REF!</definedName>
    <definedName function="false" hidden="false" localSheetId="18" name="mdao1gbx0.25" vbProcedure="false">#REF!</definedName>
    <definedName function="false" hidden="false" localSheetId="18" name="mdao1gbx0.30" vbProcedure="false">#REF!</definedName>
    <definedName function="false" hidden="false" localSheetId="18" name="mdao1gbx0.35" vbProcedure="false">#REF!</definedName>
    <definedName function="false" hidden="false" localSheetId="18" name="mdao1gbx0.40" vbProcedure="false">#REF!</definedName>
    <definedName function="false" hidden="false" localSheetId="18" name="mdao1gbx0.50" vbProcedure="false">#REF!</definedName>
    <definedName function="false" hidden="false" localSheetId="18" name="mdao1gbx0.65" vbProcedure="false">#REF!</definedName>
    <definedName function="false" hidden="false" localSheetId="18" name="mdao1gbx1.00" vbProcedure="false">#REF!</definedName>
    <definedName function="false" hidden="false" localSheetId="18" name="mdao1gbx1.20" vbProcedure="false">#REF!</definedName>
    <definedName function="false" hidden="false" localSheetId="18" name="mdao1gbx1.25" vbProcedure="false">#REF!</definedName>
    <definedName function="false" hidden="false" localSheetId="18" name="mdao1gbx1.60" vbProcedure="false">#REF!</definedName>
    <definedName function="false" hidden="false" localSheetId="18" name="mdao1gbx2.00" vbProcedure="false">#REF!</definedName>
    <definedName function="false" hidden="false" localSheetId="18" name="mdao1gbx2.50" vbProcedure="false">#REF!</definedName>
    <definedName function="false" hidden="false" localSheetId="18" name="mdao1gbx4.00" vbProcedure="false">#REF!</definedName>
    <definedName function="false" hidden="false" localSheetId="18" name="mdao1gbx4.60" vbProcedure="false">#REF!</definedName>
    <definedName function="false" hidden="false" localSheetId="18" name="mdao1gbx5.00" vbProcedure="false">#REF!</definedName>
    <definedName function="false" hidden="false" localSheetId="18" name="me" vbProcedure="false">#REF!</definedName>
    <definedName function="false" hidden="false" localSheetId="18" name="mepcocsau1" vbProcedure="false">#REF!</definedName>
    <definedName function="false" hidden="false" localSheetId="18" name="mepcoctr100" vbProcedure="false">#REF!</definedName>
    <definedName function="false" hidden="false" localSheetId="18" name="mepcoctr60" vbProcedure="false">#REF!</definedName>
    <definedName function="false" hidden="false" localSheetId="18" name="mf" vbProcedure="false">#REF!</definedName>
    <definedName function="false" hidden="false" localSheetId="18" name="MFG" vbProcedure="false">#REF!</definedName>
    <definedName function="false" hidden="false" localSheetId="18" name="mfgexp" vbProcedure="false">#REF!</definedName>
    <definedName function="false" hidden="false" localSheetId="18" name="MG_A" vbProcedure="false">#REF!</definedName>
    <definedName function="false" hidden="false" localSheetId="18" name="mhan1chieu40" vbProcedure="false">#REF!</definedName>
    <definedName function="false" hidden="false" localSheetId="18" name="mhan1chieu50" vbProcedure="false">#REF!</definedName>
    <definedName function="false" hidden="false" localSheetId="18" name="mhancatnuoc124" vbProcedure="false">#REF!</definedName>
    <definedName function="false" hidden="false" localSheetId="18" name="mhand10.2" vbProcedure="false">#REF!</definedName>
    <definedName function="false" hidden="false" localSheetId="18" name="mhand27.5" vbProcedure="false">#REF!</definedName>
    <definedName function="false" hidden="false" localSheetId="18" name="mhand4" vbProcedure="false">#REF!</definedName>
    <definedName function="false" hidden="false" localSheetId="18" name="mhanhoi1000" vbProcedure="false">#REF!</definedName>
    <definedName function="false" hidden="false" localSheetId="18" name="mhanhoi2000" vbProcedure="false">#REF!</definedName>
    <definedName function="false" hidden="false" localSheetId="18" name="mhanxang20" vbProcedure="false">#REF!</definedName>
    <definedName function="false" hidden="false" localSheetId="18" name="mhanxang9" vbProcedure="false">#REF!</definedName>
    <definedName function="false" hidden="false" localSheetId="18" name="mhanxchieu23" vbProcedure="false">#REF!</definedName>
    <definedName function="false" hidden="false" localSheetId="18" name="mhanxchieu29.2" vbProcedure="false">#REF!</definedName>
    <definedName function="false" hidden="false" localSheetId="18" name="mhanxchieu33.5" vbProcedure="false">#REF!</definedName>
    <definedName function="false" hidden="false" localSheetId="18" name="mkcnGPS15" vbProcedure="false">#REF!</definedName>
    <definedName function="false" hidden="false" localSheetId="18" name="mkcnTRC15" vbProcedure="false">#REF!</definedName>
    <definedName function="false" hidden="false" localSheetId="18" name="mkcnVRM" vbProcedure="false">#REF!</definedName>
    <definedName function="false" hidden="false" localSheetId="18" name="mkeobh165" vbProcedure="false">#REF!</definedName>
    <definedName function="false" hidden="false" localSheetId="18" name="mkeobh215" vbProcedure="false">#REF!</definedName>
    <definedName function="false" hidden="false" localSheetId="18" name="mkeobh28" vbProcedure="false">#REF!</definedName>
    <definedName function="false" hidden="false" localSheetId="18" name="mkeobh40" vbProcedure="false">#REF!</definedName>
    <definedName function="false" hidden="false" localSheetId="18" name="mkeobh50" vbProcedure="false">#REF!</definedName>
    <definedName function="false" hidden="false" localSheetId="18" name="mkeobh55" vbProcedure="false">#REF!</definedName>
    <definedName function="false" hidden="false" localSheetId="18" name="mkeobh60" vbProcedure="false">#REF!</definedName>
    <definedName function="false" hidden="false" localSheetId="18" name="mkeobh80" vbProcedure="false">#REF!</definedName>
    <definedName function="false" hidden="false" localSheetId="18" name="mkeobx108" vbProcedure="false">#REF!</definedName>
    <definedName function="false" hidden="false" localSheetId="18" name="mkeobx130" vbProcedure="false">#REF!</definedName>
    <definedName function="false" hidden="false" localSheetId="18" name="mkeobx45" vbProcedure="false">#REF!</definedName>
    <definedName function="false" hidden="false" localSheetId="18" name="mkeobx54" vbProcedure="false">#REF!</definedName>
    <definedName function="false" hidden="false" localSheetId="18" name="mkeobx60" vbProcedure="false">#REF!</definedName>
    <definedName function="false" hidden="false" localSheetId="18" name="mkeobx75" vbProcedure="false">#REF!</definedName>
    <definedName function="false" hidden="false" localSheetId="18" name="mkhoanbttay24" vbProcedure="false">#REF!</definedName>
    <definedName function="false" hidden="false" localSheetId="18" name="mkhoanbttay30" vbProcedure="false">#REF!</definedName>
    <definedName function="false" hidden="false" localSheetId="18" name="mkhoanbttay38" vbProcedure="false">#REF!</definedName>
    <definedName function="false" hidden="false" localSheetId="18" name="mkhoanbttay40" vbProcedure="false">#REF!</definedName>
    <definedName function="false" hidden="false" localSheetId="18" name="mkhoandatay30" vbProcedure="false">#REF!</definedName>
    <definedName function="false" hidden="false" localSheetId="18" name="mkhoandatay42" vbProcedure="false">#REF!</definedName>
    <definedName function="false" hidden="false" localSheetId="18" name="mkhoandung4.5" vbProcedure="false">#REF!</definedName>
    <definedName function="false" hidden="false" localSheetId="18" name="mkhoansattay13" vbProcedure="false">#REF!</definedName>
    <definedName function="false" hidden="false" localSheetId="18" name="mkhoanxoayth110" vbProcedure="false">#REF!</definedName>
    <definedName function="false" hidden="false" localSheetId="18" name="mkhoanxoayth95" vbProcedure="false">#REF!</definedName>
    <definedName function="false" hidden="false" localSheetId="18" name="mkichck18" vbProcedure="false">#REF!</definedName>
    <definedName function="false" hidden="false" localSheetId="18" name="mkichck250" vbProcedure="false">#REF!</definedName>
    <definedName function="false" hidden="false" localSheetId="18" name="mkichday60" vbProcedure="false">#REF!</definedName>
    <definedName function="false" hidden="false" localSheetId="18" name="mkichnang100" vbProcedure="false">#REF!</definedName>
    <definedName function="false" hidden="false" localSheetId="18" name="mkichnang250" vbProcedure="false">#REF!</definedName>
    <definedName function="false" hidden="false" localSheetId="18" name="mkichnang500" vbProcedure="false">#REF!</definedName>
    <definedName function="false" hidden="false" localSheetId="18" name="mluoncap15" vbProcedure="false">#REF!</definedName>
    <definedName function="false" hidden="false" localSheetId="18" name="mmai2.7" vbProcedure="false">#REF!</definedName>
    <definedName function="false" hidden="false" localSheetId="18" name="mminus1" vbProcedure="false">#REF!</definedName>
    <definedName function="false" hidden="false" localSheetId="18" name="mnenkhid102" vbProcedure="false">#REF!</definedName>
    <definedName function="false" hidden="false" localSheetId="18" name="mnenkhid120" vbProcedure="false">#REF!</definedName>
    <definedName function="false" hidden="false" localSheetId="18" name="mnenkhid1200" vbProcedure="false">#REF!</definedName>
    <definedName function="false" hidden="false" localSheetId="18" name="mnenkhid200" vbProcedure="false">#REF!</definedName>
    <definedName function="false" hidden="false" localSheetId="18" name="mnenkhid240" vbProcedure="false">#REF!</definedName>
    <definedName function="false" hidden="false" localSheetId="18" name="mnenkhid300" vbProcedure="false">#REF!</definedName>
    <definedName function="false" hidden="false" localSheetId="18" name="mnenkhid360" vbProcedure="false">#REF!</definedName>
    <definedName function="false" hidden="false" localSheetId="18" name="mnenkhid5.5" vbProcedure="false">#REF!</definedName>
    <definedName function="false" hidden="false" localSheetId="18" name="mnenkhid540" vbProcedure="false">#REF!</definedName>
    <definedName function="false" hidden="false" localSheetId="18" name="mnenkhid600" vbProcedure="false">#REF!</definedName>
    <definedName function="false" hidden="false" localSheetId="18" name="mnenkhid660" vbProcedure="false">#REF!</definedName>
    <definedName function="false" hidden="false" localSheetId="18" name="mnenkhid75" vbProcedure="false">#REF!</definedName>
    <definedName function="false" hidden="false" localSheetId="18" name="mnenkhidien10" vbProcedure="false">#REF!</definedName>
    <definedName function="false" hidden="false" localSheetId="18" name="mnenkhidien150" vbProcedure="false">#REF!</definedName>
    <definedName function="false" hidden="false" localSheetId="18" name="mnenkhidien216" vbProcedure="false">#REF!</definedName>
    <definedName function="false" hidden="false" localSheetId="18" name="mnenkhidien22" vbProcedure="false">#REF!</definedName>
    <definedName function="false" hidden="false" localSheetId="18" name="mnenkhidien270" vbProcedure="false">#REF!</definedName>
    <definedName function="false" hidden="false" localSheetId="18" name="mnenkhidien30" vbProcedure="false">#REF!</definedName>
    <definedName function="false" hidden="false" localSheetId="18" name="mnenkhidien300" vbProcedure="false">#REF!</definedName>
    <definedName function="false" hidden="false" localSheetId="18" name="mnenkhidien5" vbProcedure="false">#REF!</definedName>
    <definedName function="false" hidden="false" localSheetId="18" name="mnenkhidien56" vbProcedure="false">#REF!</definedName>
    <definedName function="false" hidden="false" localSheetId="18" name="mnenkhidien600" vbProcedure="false">#REF!</definedName>
    <definedName function="false" hidden="false" localSheetId="18" name="mnenkhixang11" vbProcedure="false">#REF!</definedName>
    <definedName function="false" hidden="false" localSheetId="18" name="mnenkhixang120" vbProcedure="false">#REF!</definedName>
    <definedName function="false" hidden="false" localSheetId="18" name="mnenkhixang200" vbProcedure="false">#REF!</definedName>
    <definedName function="false" hidden="false" localSheetId="18" name="mnenkhixang25" vbProcedure="false">#REF!</definedName>
    <definedName function="false" hidden="false" localSheetId="18" name="mnenkhixang3" vbProcedure="false">#REF!</definedName>
    <definedName function="false" hidden="false" localSheetId="18" name="mnenkhixang300" vbProcedure="false">#REF!</definedName>
    <definedName function="false" hidden="false" localSheetId="18" name="mnenkhixang40" vbProcedure="false">#REF!</definedName>
    <definedName function="false" hidden="false" localSheetId="18" name="mnenkhixang600" vbProcedure="false">#REF!</definedName>
    <definedName function="false" hidden="false" localSheetId="18" name="mnghiendad25" vbProcedure="false">#REF!</definedName>
    <definedName function="false" hidden="false" localSheetId="18" name="mnghiendadd20" vbProcedure="false">#REF!</definedName>
    <definedName function="false" hidden="false" localSheetId="18" name="mnghiendadd6" vbProcedure="false">#REF!</definedName>
    <definedName function="false" hidden="false" localSheetId="18" name="mnghiendatho14" vbProcedure="false">#REF!</definedName>
    <definedName function="false" hidden="false" localSheetId="18" name="mnghiendatho200" vbProcedure="false">#REF!</definedName>
    <definedName function="false" hidden="false" localSheetId="18" name="mnhogcaydk100" vbProcedure="false">#REF!</definedName>
    <definedName function="false" hidden="false" localSheetId="18" name="mnhogcaydk54" vbProcedure="false">#REF!</definedName>
    <definedName function="false" hidden="false" localSheetId="18" name="mnhogcaydk75" vbProcedure="false">#REF!</definedName>
    <definedName function="false" hidden="false" localSheetId="18" name="morita" vbProcedure="false">#REF!</definedName>
    <definedName function="false" hidden="false" localSheetId="18" name="moritavn" vbProcedure="false">#REF!</definedName>
    <definedName function="false" hidden="false" localSheetId="18" name="motodk150" vbProcedure="false">#REF!</definedName>
    <definedName function="false" hidden="false" localSheetId="18" name="motodk180" vbProcedure="false">#REF!</definedName>
    <definedName function="false" hidden="false" localSheetId="18" name="motodk200" vbProcedure="false">#REF!</definedName>
    <definedName function="false" hidden="false" localSheetId="18" name="motodk240" vbProcedure="false">#REF!</definedName>
    <definedName function="false" hidden="false" localSheetId="18" name="motodk255" vbProcedure="false">#REF!</definedName>
    <definedName function="false" hidden="false" localSheetId="18" name="motodk272" vbProcedure="false">#REF!</definedName>
    <definedName function="false" hidden="false" localSheetId="18" name="motothung10" vbProcedure="false">#REF!</definedName>
    <definedName function="false" hidden="false" localSheetId="18" name="motothung12" vbProcedure="false">#REF!</definedName>
    <definedName function="false" hidden="false" localSheetId="18" name="motothung12.5" vbProcedure="false">#REF!</definedName>
    <definedName function="false" hidden="false" localSheetId="18" name="motothung2" vbProcedure="false">#REF!</definedName>
    <definedName function="false" hidden="false" localSheetId="18" name="motothung2.5" vbProcedure="false">#REF!</definedName>
    <definedName function="false" hidden="false" localSheetId="18" name="motothung20" vbProcedure="false">#REF!</definedName>
    <definedName function="false" hidden="false" localSheetId="18" name="motothung4" vbProcedure="false">#REF!</definedName>
    <definedName function="false" hidden="false" localSheetId="18" name="motothung5" vbProcedure="false">#REF!</definedName>
    <definedName function="false" hidden="false" localSheetId="18" name="motothung6" vbProcedure="false">#REF!</definedName>
    <definedName function="false" hidden="false" localSheetId="18" name="motothung7" vbProcedure="false">#REF!</definedName>
    <definedName function="false" hidden="false" localSheetId="18" name="mototnuoc4" vbProcedure="false">#REF!</definedName>
    <definedName function="false" hidden="false" localSheetId="18" name="mototnuoc5" vbProcedure="false">#REF!</definedName>
    <definedName function="false" hidden="false" localSheetId="18" name="mototnuoc6" vbProcedure="false">#REF!</definedName>
    <definedName function="false" hidden="false" localSheetId="18" name="mototnuoc7" vbProcedure="false">#REF!</definedName>
    <definedName function="false" hidden="false" localSheetId="18" name="mototudo10" vbProcedure="false">#REF!</definedName>
    <definedName function="false" hidden="false" localSheetId="18" name="mototudo12" vbProcedure="false">#REF!</definedName>
    <definedName function="false" hidden="false" localSheetId="18" name="mototudo15" vbProcedure="false">#REF!</definedName>
    <definedName function="false" hidden="false" localSheetId="18" name="mototudo2.5" vbProcedure="false">#REF!</definedName>
    <definedName function="false" hidden="false" localSheetId="18" name="mototudo20" vbProcedure="false">#REF!</definedName>
    <definedName function="false" hidden="false" localSheetId="18" name="mototudo25" vbProcedure="false">#REF!</definedName>
    <definedName function="false" hidden="false" localSheetId="18" name="mototudo27" vbProcedure="false">#REF!</definedName>
    <definedName function="false" hidden="false" localSheetId="18" name="mototudo3.5" vbProcedure="false">#REF!</definedName>
    <definedName function="false" hidden="false" localSheetId="18" name="mototudo4" vbProcedure="false">#REF!</definedName>
    <definedName function="false" hidden="false" localSheetId="18" name="mototudo5" vbProcedure="false">#REF!</definedName>
    <definedName function="false" hidden="false" localSheetId="18" name="mototudo6" vbProcedure="false">#REF!</definedName>
    <definedName function="false" hidden="false" localSheetId="18" name="mototudo7" vbProcedure="false">#REF!</definedName>
    <definedName function="false" hidden="false" localSheetId="18" name="mototudo9" vbProcedure="false">#REF!</definedName>
    <definedName function="false" hidden="false" localSheetId="18" name="motovcbt6" vbProcedure="false">#REF!</definedName>
    <definedName function="false" hidden="false" localSheetId="18" name="mpha250" vbProcedure="false">#REF!</definedName>
    <definedName function="false" hidden="false" localSheetId="18" name="mphaothep10" vbProcedure="false">#REF!</definedName>
    <definedName function="false" hidden="false" localSheetId="18" name="mphaothep15" vbProcedure="false">#REF!</definedName>
    <definedName function="false" hidden="false" localSheetId="18" name="mphatdienld10" vbProcedure="false">#REF!</definedName>
    <definedName function="false" hidden="false" localSheetId="18" name="mphatdienld112" vbProcedure="false">#REF!</definedName>
    <definedName function="false" hidden="false" localSheetId="18" name="mphatdienld122" vbProcedure="false">#REF!</definedName>
    <definedName function="false" hidden="false" localSheetId="18" name="mphatdienld15" vbProcedure="false">#REF!</definedName>
    <definedName function="false" hidden="false" localSheetId="18" name="mphatdienld20" vbProcedure="false">#REF!</definedName>
    <definedName function="false" hidden="false" localSheetId="18" name="mphatdienld25" vbProcedure="false">#REF!</definedName>
    <definedName function="false" hidden="false" localSheetId="18" name="mphatdienld30" vbProcedure="false">#REF!</definedName>
    <definedName function="false" hidden="false" localSheetId="18" name="mphatdienld38" vbProcedure="false">#REF!</definedName>
    <definedName function="false" hidden="false" localSheetId="18" name="mphatdienld45" vbProcedure="false">#REF!</definedName>
    <definedName function="false" hidden="false" localSheetId="18" name="mphatdienld5.2" vbProcedure="false">#REF!</definedName>
    <definedName function="false" hidden="false" localSheetId="18" name="mphatdienld50" vbProcedure="false">#REF!</definedName>
    <definedName function="false" hidden="false" localSheetId="18" name="mphatdienld60" vbProcedure="false">#REF!</definedName>
    <definedName function="false" hidden="false" localSheetId="18" name="mphatdienld75" vbProcedure="false">#REF!</definedName>
    <definedName function="false" hidden="false" localSheetId="18" name="mphatdienld8" vbProcedure="false">#REF!</definedName>
    <definedName function="false" hidden="false" localSheetId="18" name="mphunson400" vbProcedure="false">#REF!</definedName>
    <definedName function="false" hidden="false" localSheetId="18" name="mphunvua2" vbProcedure="false">#REF!</definedName>
    <definedName function="false" hidden="false" localSheetId="18" name="mphunvua4" vbProcedure="false">#REF!</definedName>
    <definedName function="false" hidden="false" localSheetId="18" name="mplus1" vbProcedure="false">#REF!</definedName>
    <definedName function="false" hidden="false" localSheetId="18" name="mplus2" vbProcedure="false">#REF!</definedName>
    <definedName function="false" hidden="false" localSheetId="18" name="mplus3" vbProcedure="false">#REF!</definedName>
    <definedName function="false" hidden="false" localSheetId="18" name="mraibtsp500" vbProcedure="false">#REF!</definedName>
    <definedName function="false" hidden="false" localSheetId="18" name="mraintn100" vbProcedure="false">#REF!</definedName>
    <definedName function="false" hidden="false" localSheetId="18" name="mraintn65" vbProcedure="false">#REF!</definedName>
    <definedName function="false" hidden="false" localSheetId="18" name="mromooc14" vbProcedure="false">#REF!</definedName>
    <definedName function="false" hidden="false" localSheetId="18" name="mromooc15" vbProcedure="false">#REF!</definedName>
    <definedName function="false" hidden="false" localSheetId="18" name="mromooc2" vbProcedure="false">#REF!</definedName>
    <definedName function="false" hidden="false" localSheetId="18" name="mromooc21" vbProcedure="false">#REF!</definedName>
    <definedName function="false" hidden="false" localSheetId="18" name="mromooc4" vbProcedure="false">#REF!</definedName>
    <definedName function="false" hidden="false" localSheetId="18" name="mromooc7.5" vbProcedure="false">#REF!</definedName>
    <definedName function="false" hidden="false" localSheetId="18" name="msangbentontie1" vbProcedure="false">#REF!</definedName>
    <definedName function="false" hidden="false" localSheetId="18" name="msangruada11" vbProcedure="false">#REF!</definedName>
    <definedName function="false" hidden="false" localSheetId="18" name="msangruada35" vbProcedure="false">#REF!</definedName>
    <definedName function="false" hidden="false" localSheetId="18" name="msangruada45" vbProcedure="false">#REF!</definedName>
    <definedName function="false" hidden="false" localSheetId="18" name="msanth108" vbProcedure="false">#REF!</definedName>
    <definedName function="false" hidden="false" localSheetId="18" name="msanth180" vbProcedure="false">#REF!</definedName>
    <definedName function="false" hidden="false" localSheetId="18" name="msanth250" vbProcedure="false">#REF!</definedName>
    <definedName function="false" hidden="false" localSheetId="18" name="msanth54" vbProcedure="false">#REF!</definedName>
    <definedName function="false" hidden="false" localSheetId="18" name="msanth90" vbProcedure="false">#REF!</definedName>
    <definedName function="false" hidden="false" localSheetId="18" name="mtaukeo150" vbProcedure="false">#REF!</definedName>
    <definedName function="false" hidden="false" localSheetId="18" name="mtaukeo360" vbProcedure="false">#REF!</definedName>
    <definedName function="false" hidden="false" localSheetId="18" name="mtaukeo600" vbProcedure="false">#REF!</definedName>
    <definedName function="false" hidden="false" localSheetId="18" name="mtbipvlan150" vbProcedure="false">#REF!</definedName>
    <definedName function="false" hidden="false" localSheetId="18" name="mthungcapdkbx2.5" vbProcedure="false">#REF!</definedName>
    <definedName function="false" hidden="false" localSheetId="18" name="mthungcapdkbx2.75" vbProcedure="false">#REF!</definedName>
    <definedName function="false" hidden="false" localSheetId="18" name="mthungcapdkbx3" vbProcedure="false">#REF!</definedName>
    <definedName function="false" hidden="false" localSheetId="18" name="mthungcapdkbx4.5" vbProcedure="false">#REF!</definedName>
    <definedName function="false" hidden="false" localSheetId="18" name="mthungcapdkbx5" vbProcedure="false">#REF!</definedName>
    <definedName function="false" hidden="false" localSheetId="18" name="mthungcapdkbx8" vbProcedure="false">#REF!</definedName>
    <definedName function="false" hidden="false" localSheetId="18" name="mthungcapdkbx9" vbProcedure="false">#REF!</definedName>
    <definedName function="false" hidden="false" localSheetId="18" name="mtien4.5" vbProcedure="false">#REF!</definedName>
    <definedName function="false" hidden="false" localSheetId="18" name="mtoidien0.5" vbProcedure="false">#REF!</definedName>
    <definedName function="false" hidden="false" localSheetId="18" name="mtoidien1" vbProcedure="false">#REF!</definedName>
    <definedName function="false" hidden="false" localSheetId="18" name="mtoidien1.5" vbProcedure="false">#REF!</definedName>
    <definedName function="false" hidden="false" localSheetId="18" name="mtoidien2" vbProcedure="false">#REF!</definedName>
    <definedName function="false" hidden="false" localSheetId="18" name="mtoidien2.5" vbProcedure="false">#REF!</definedName>
    <definedName function="false" hidden="false" localSheetId="18" name="mtoidien3" vbProcedure="false">#REF!</definedName>
    <definedName function="false" hidden="false" localSheetId="18" name="mtoidien4" vbProcedure="false">#REF!</definedName>
    <definedName function="false" hidden="false" localSheetId="18" name="mtoidien5" vbProcedure="false">#REF!</definedName>
    <definedName function="false" hidden="false" localSheetId="18" name="mtrambomdau40" vbProcedure="false">#REF!</definedName>
    <definedName function="false" hidden="false" localSheetId="18" name="mtrambomdau50" vbProcedure="false">#REF!</definedName>
    <definedName function="false" hidden="false" localSheetId="18" name="mtramtronbt20" vbProcedure="false">#REF!</definedName>
    <definedName function="false" hidden="false" localSheetId="18" name="mtramtronbt22" vbProcedure="false">#REF!</definedName>
    <definedName function="false" hidden="false" localSheetId="18" name="mtramtronbt30" vbProcedure="false">#REF!</definedName>
    <definedName function="false" hidden="false" localSheetId="18" name="mtramtronbt60" vbProcedure="false">#REF!</definedName>
    <definedName function="false" hidden="false" localSheetId="18" name="mtramtronbtn25" vbProcedure="false">#REF!</definedName>
    <definedName function="false" hidden="false" localSheetId="18" name="mtramtronbtn30" vbProcedure="false">#REF!</definedName>
    <definedName function="false" hidden="false" localSheetId="18" name="mtramtronbtn40" vbProcedure="false">#REF!</definedName>
    <definedName function="false" hidden="false" localSheetId="18" name="mtramtronbtn50" vbProcedure="false">#REF!</definedName>
    <definedName function="false" hidden="false" localSheetId="18" name="mtramtronbtn60" vbProcedure="false">#REF!</definedName>
    <definedName function="false" hidden="false" localSheetId="18" name="mtramtronbtn80" vbProcedure="false">#REF!</definedName>
    <definedName function="false" hidden="false" localSheetId="18" name="mtronbentonite1" vbProcedure="false">#REF!</definedName>
    <definedName function="false" hidden="false" localSheetId="18" name="mtronbt100" vbProcedure="false">#REF!</definedName>
    <definedName function="false" hidden="false" localSheetId="18" name="mtronbt1150" vbProcedure="false">#REF!</definedName>
    <definedName function="false" hidden="false" localSheetId="18" name="mtronbt150" vbProcedure="false">#REF!</definedName>
    <definedName function="false" hidden="false" localSheetId="18" name="mtronbt1600" vbProcedure="false">#REF!</definedName>
    <definedName function="false" hidden="false" localSheetId="18" name="mtronbt200" vbProcedure="false">#REF!</definedName>
    <definedName function="false" hidden="false" localSheetId="18" name="mtronbt250" vbProcedure="false">#REF!</definedName>
    <definedName function="false" hidden="false" localSheetId="18" name="mtronbt425" vbProcedure="false">#REF!</definedName>
    <definedName function="false" hidden="false" localSheetId="18" name="mtronbt500" vbProcedure="false">#REF!</definedName>
    <definedName function="false" hidden="false" localSheetId="18" name="mtronbt800" vbProcedure="false">#REF!</definedName>
    <definedName function="false" hidden="false" localSheetId="18" name="mtronvua110" vbProcedure="false">#REF!</definedName>
    <definedName function="false" hidden="false" localSheetId="18" name="mtronvua150" vbProcedure="false">#REF!</definedName>
    <definedName function="false" hidden="false" localSheetId="18" name="mtronvua200" vbProcedure="false">#REF!</definedName>
    <definedName function="false" hidden="false" localSheetId="18" name="mtronvua250" vbProcedure="false">#REF!</definedName>
    <definedName function="false" hidden="false" localSheetId="18" name="mtronvua325" vbProcedure="false">#REF!</definedName>
    <definedName function="false" hidden="false" localSheetId="18" name="mtronvua80" vbProcedure="false">#REF!</definedName>
    <definedName function="false" hidden="false" localSheetId="18" name="muonong2.8" vbProcedure="false">#REF!</definedName>
    <definedName function="false" hidden="false" localSheetId="18" name="mvanthang0.3" vbProcedure="false">#REF!</definedName>
    <definedName function="false" hidden="false" localSheetId="18" name="mvanthang0.5" vbProcedure="false">#REF!</definedName>
    <definedName function="false" hidden="false" localSheetId="18" name="mvanthang2" vbProcedure="false">#REF!</definedName>
    <definedName function="false" hidden="false" localSheetId="18" name="mxebombt90" vbProcedure="false">#REF!</definedName>
    <definedName function="false" hidden="false" localSheetId="18" name="mxenanghang1.5" vbProcedure="false">#REF!</definedName>
    <definedName function="false" hidden="false" localSheetId="18" name="mxenanghang12" vbProcedure="false">#REF!</definedName>
    <definedName function="false" hidden="false" localSheetId="18" name="mxenanghang3" vbProcedure="false">#REF!</definedName>
    <definedName function="false" hidden="false" localSheetId="18" name="mxenanghang3.2" vbProcedure="false">#REF!</definedName>
    <definedName function="false" hidden="false" localSheetId="18" name="mxenanghang3.5" vbProcedure="false">#REF!</definedName>
    <definedName function="false" hidden="false" localSheetId="18" name="mxenanghang5" vbProcedure="false">#REF!</definedName>
    <definedName function="false" hidden="false" localSheetId="18" name="mxetuoinhua190" vbProcedure="false">#REF!</definedName>
    <definedName function="false" hidden="false" localSheetId="18" name="mxuclat0.40" vbProcedure="false">#REF!</definedName>
    <definedName function="false" hidden="false" localSheetId="18" name="mxuclat1.00" vbProcedure="false">#REF!</definedName>
    <definedName function="false" hidden="false" localSheetId="18" name="mxuclat1.65" vbProcedure="false">#REF!</definedName>
    <definedName function="false" hidden="false" localSheetId="18" name="mxuclat2.00" vbProcedure="false">#REF!</definedName>
    <definedName function="false" hidden="false" localSheetId="18" name="mxuclat2.80" vbProcedure="false">#REF!</definedName>
    <definedName function="false" hidden="false" localSheetId="18" name="myle" vbProcedure="false">#REF!</definedName>
    <definedName function="false" hidden="false" localSheetId="18" name="n" vbProcedure="false">#REF!</definedName>
    <definedName function="false" hidden="false" localSheetId="18" name="NASIK_D" vbProcedure="false">#REF!</definedName>
    <definedName function="false" hidden="false" localSheetId="18" name="NASIK_P" vbProcedure="false">#REF!</definedName>
    <definedName function="false" hidden="false" localSheetId="18" name="NASIK_S" vbProcedure="false">#REF!</definedName>
    <definedName function="false" hidden="false" localSheetId="18" name="ncong" vbProcedure="false">#REF!</definedName>
    <definedName function="false" hidden="false" localSheetId="18" name="ncr" vbProcedure="false">#REF!</definedName>
    <definedName function="false" hidden="false" localSheetId="18" name="NET" vbProcedure="false">#REF!</definedName>
    <definedName function="false" hidden="false" localSheetId="18" name="NET_1" vbProcedure="false">#REF!</definedName>
    <definedName function="false" hidden="false" localSheetId="18" name="NET_ANA" vbProcedure="false">#REF!</definedName>
    <definedName function="false" hidden="false" localSheetId="18" name="NET_ANA_1" vbProcedure="false">#REF!</definedName>
    <definedName function="false" hidden="false" localSheetId="18" name="NET_ANA_2" vbProcedure="false">#REF!</definedName>
    <definedName function="false" hidden="false" localSheetId="18" name="New" vbProcedure="false">#REF!</definedName>
    <definedName function="false" hidden="false" localSheetId="18" name="NH" vbProcedure="false">#REF!</definedName>
    <definedName function="false" hidden="false" localSheetId="18" name="NHot" vbProcedure="false">#REF!</definedName>
    <definedName function="false" hidden="false" localSheetId="18" name="NM1AD" vbProcedure="false">#REF!</definedName>
    <definedName function="false" hidden="false" localSheetId="18" name="NM1ARL" vbProcedure="false">#REF!</definedName>
    <definedName function="false" hidden="false" localSheetId="18" name="NM1BLD" vbProcedure="false">#REF!</definedName>
    <definedName function="false" hidden="false" localSheetId="18" name="NM1BRL" vbProcedure="false">#REF!</definedName>
    <definedName function="false" hidden="false" localSheetId="18" name="NM1CLCF" vbProcedure="false">#REF!</definedName>
    <definedName function="false" hidden="false" localSheetId="18" name="NM1CLCP" vbProcedure="false">#REF!</definedName>
    <definedName function="false" hidden="false" localSheetId="18" name="NM1CLF" vbProcedure="false">#REF!</definedName>
    <definedName function="false" hidden="false" localSheetId="18" name="NM1CLP" vbProcedure="false">#REF!</definedName>
    <definedName function="false" hidden="false" localSheetId="18" name="NM1DF" vbProcedure="false">#REF!</definedName>
    <definedName function="false" hidden="false" localSheetId="18" name="NM1DP" vbProcedure="false">#REF!</definedName>
    <definedName function="false" hidden="false" localSheetId="18" name="NM1MR" vbProcedure="false">#REF!</definedName>
    <definedName function="false" hidden="false" localSheetId="18" name="NM1OP" vbProcedure="false">#REF!</definedName>
    <definedName function="false" hidden="false" localSheetId="18" name="NM1RL" vbProcedure="false">#REF!</definedName>
    <definedName function="false" hidden="false" localSheetId="18" name="NM1SAF" vbProcedure="false">#REF!</definedName>
    <definedName function="false" hidden="false" localSheetId="18" name="NM1SAP" vbProcedure="false">#REF!</definedName>
    <definedName function="false" hidden="false" localSheetId="18" name="NM2CLF" vbProcedure="false">#REF!</definedName>
    <definedName function="false" hidden="false" localSheetId="18" name="NM2CLP" vbProcedure="false">#REF!</definedName>
    <definedName function="false" hidden="false" localSheetId="18" name="NM2DF" vbProcedure="false">#REF!</definedName>
    <definedName function="false" hidden="false" localSheetId="18" name="NM2DP" vbProcedure="false">#REF!</definedName>
    <definedName function="false" hidden="false" localSheetId="18" name="NM2MR" vbProcedure="false">#REF!</definedName>
    <definedName function="false" hidden="false" localSheetId="18" name="NM2RL" vbProcedure="false">#REF!</definedName>
    <definedName function="false" hidden="false" localSheetId="18" name="NM2SAF" vbProcedure="false">#REF!</definedName>
    <definedName function="false" hidden="false" localSheetId="18" name="NM2SAP" vbProcedure="false">#REF!</definedName>
    <definedName function="false" hidden="false" localSheetId="18" name="NM3CLF" vbProcedure="false">#REF!</definedName>
    <definedName function="false" hidden="false" localSheetId="18" name="NM3CLP" vbProcedure="false">#REF!</definedName>
    <definedName function="false" hidden="false" localSheetId="18" name="NM3DF" vbProcedure="false">#REF!</definedName>
    <definedName function="false" hidden="false" localSheetId="18" name="NM3DP" vbProcedure="false">#REF!</definedName>
    <definedName function="false" hidden="false" localSheetId="18" name="NM3MR" vbProcedure="false">#REF!</definedName>
    <definedName function="false" hidden="false" localSheetId="18" name="NM3RL" vbProcedure="false">#REF!</definedName>
    <definedName function="false" hidden="false" localSheetId="18" name="NM3SAF" vbProcedure="false">#REF!</definedName>
    <definedName function="false" hidden="false" localSheetId="18" name="NM3SAP" vbProcedure="false">#REF!</definedName>
    <definedName function="false" hidden="false" localSheetId="18" name="No" vbProcedure="false">#REF!</definedName>
    <definedName function="false" hidden="false" localSheetId="18" name="NORTH" vbProcedure="false">#REF!</definedName>
    <definedName function="false" hidden="false" localSheetId="18" name="NOTES" vbProcedure="false">[10]NOTES!$A$1:$J$190</definedName>
    <definedName function="false" hidden="false" localSheetId="18" name="Nov_04" vbProcedure="false">#REF!</definedName>
    <definedName function="false" hidden="false" localSheetId="18" name="Oct_04" vbProcedure="false">#REF!</definedName>
    <definedName function="false" hidden="false" localSheetId="18" name="odaki" vbProcedure="false">#REF!</definedName>
    <definedName function="false" hidden="false" localSheetId="18" name="OEM_PROGRAM" vbProcedure="false">#REF!</definedName>
    <definedName function="false" hidden="false" localSheetId="18" name="OH" vbProcedure="false">#REF!</definedName>
    <definedName function="false" hidden="false" localSheetId="18" name="ophom" vbProcedure="false">#REF!</definedName>
    <definedName function="false" hidden="false" localSheetId="18" name="Ord" vbProcedure="false">#REF!</definedName>
    <definedName function="false" hidden="false" localSheetId="18" name="otherincome" vbProcedure="false">#REF!</definedName>
    <definedName function="false" hidden="false" localSheetId="18" name="OTHER_MISC." vbProcedure="false">#REF!</definedName>
    <definedName function="false" hidden="false" localSheetId="18" name="Oth_data" vbProcedure="false">#REF!</definedName>
    <definedName function="false" hidden="false" localSheetId="18" name="P1_" vbProcedure="false">#REF!</definedName>
    <definedName function="false" hidden="false" localSheetId="18" name="P2_" vbProcedure="false">#REF!</definedName>
    <definedName function="false" hidden="false" localSheetId="18" name="P3_" vbProcedure="false">#REF!</definedName>
    <definedName function="false" hidden="false" localSheetId="18" name="P4_" vbProcedure="false">#REF!</definedName>
    <definedName function="false" hidden="false" localSheetId="18" name="P7b" vbProcedure="false">#REF!</definedName>
    <definedName function="false" hidden="false" localSheetId="18" name="PA" vbProcedure="false">#REF!</definedName>
    <definedName function="false" hidden="false" localSheetId="18" name="PAGE" vbProcedure="false">#REF!</definedName>
    <definedName function="false" hidden="false" localSheetId="18" name="PART" vbProcedure="false">#REF!</definedName>
    <definedName function="false" hidden="false" localSheetId="18" name="PC" vbProcedure="false">#REF!</definedName>
    <definedName function="false" hidden="false" localSheetId="18" name="Period_Calc" vbProcedure="false">#REF!</definedName>
    <definedName function="false" hidden="false" localSheetId="18" name="PERS" vbProcedure="false">#REF!</definedName>
    <definedName function="false" hidden="false" localSheetId="18" name="PERS1" vbProcedure="false">#REF!</definedName>
    <definedName function="false" hidden="false" localSheetId="18" name="personnelexp" vbProcedure="false">#REF!</definedName>
    <definedName function="false" hidden="false" localSheetId="18" name="PL" vbProcedure="false">#REF!</definedName>
    <definedName function="false" hidden="false" localSheetId="18" name="Plant1" vbProcedure="false">#REF!</definedName>
    <definedName function="false" hidden="false" localSheetId="18" name="Plant2" vbProcedure="false">#REF!</definedName>
    <definedName function="false" hidden="false" localSheetId="18" name="Plant4" vbProcedure="false">#REF!</definedName>
    <definedName function="false" hidden="false" localSheetId="18" name="Plant5" vbProcedure="false">#REF!</definedName>
    <definedName function="false" hidden="false" localSheetId="18" name="Plant6" vbProcedure="false">#REF!</definedName>
    <definedName function="false" hidden="false" localSheetId="18" name="POFOBE_" vbProcedure="false">#REF!</definedName>
    <definedName function="false" hidden="false" localSheetId="18" name="POFOB_" vbProcedure="false">#REF!</definedName>
    <definedName function="false" hidden="false" localSheetId="18" name="POLDE_" vbProcedure="false">#REF!</definedName>
    <definedName function="false" hidden="false" localSheetId="18" name="POLDM_" vbProcedure="false">#REF!</definedName>
    <definedName function="false" hidden="false" localSheetId="18" name="POLD_" vbProcedure="false">#REF!</definedName>
    <definedName function="false" hidden="false" localSheetId="18" name="PO_E_" vbProcedure="false">#REF!</definedName>
    <definedName function="false" hidden="false" localSheetId="18" name="PP" vbProcedure="false">#REF!</definedName>
    <definedName function="false" hidden="false" localSheetId="18" name="PR" vbProcedure="false">#REF!</definedName>
    <definedName function="false" hidden="false" localSheetId="18" name="PRE" vbProcedure="false">#REF!</definedName>
    <definedName function="false" hidden="false" localSheetId="18" name="PREOP" vbProcedure="false">#REF!</definedName>
    <definedName function="false" hidden="false" localSheetId="18" name="PRES" vbProcedure="false">#REF!</definedName>
    <definedName function="false" hidden="false" localSheetId="18" name="PRFOBE_" vbProcedure="false">#REF!</definedName>
    <definedName function="false" hidden="false" localSheetId="18" name="PRFOB_" vbProcedure="false">#REF!</definedName>
    <definedName function="false" hidden="false" localSheetId="18" name="PRINTA" vbProcedure="false">#REF!</definedName>
    <definedName function="false" hidden="false" localSheetId="18" name="PRINTB" vbProcedure="false">#REF!</definedName>
    <definedName function="false" hidden="false" localSheetId="18" name="PRINTC" vbProcedure="false">#REF!</definedName>
    <definedName function="false" hidden="false" localSheetId="18" name="PRINT_AR06" vbProcedure="false">#REF!</definedName>
    <definedName function="false" hidden="false" localSheetId="18" name="PRINT_AREA_MI" vbProcedure="false">#REF!</definedName>
    <definedName function="false" hidden="false" localSheetId="18" name="Print_Titles2" vbProcedure="false">#REF!</definedName>
    <definedName function="false" hidden="false" localSheetId="18" name="PRINT_TITLES_MI" vbProcedure="false">#REF!</definedName>
    <definedName function="false" hidden="false" localSheetId="18" name="PRL" vbProcedure="false">#REF!</definedName>
    <definedName function="false" hidden="false" localSheetId="18" name="PRLDE_" vbProcedure="false">#REF!</definedName>
    <definedName function="false" hidden="false" localSheetId="18" name="PRLDM_" vbProcedure="false">#REF!</definedName>
    <definedName function="false" hidden="false" localSheetId="18" name="PRLD_" vbProcedure="false">#REF!</definedName>
    <definedName function="false" hidden="false" localSheetId="18" name="Profit" vbProcedure="false">#REF!</definedName>
    <definedName function="false" hidden="false" localSheetId="18" name="PROPOSAL" vbProcedure="false">#REF!</definedName>
    <definedName function="false" hidden="false" localSheetId="18" name="PRS" vbProcedure="false">#REF!</definedName>
    <definedName function="false" hidden="false" localSheetId="18" name="PR_E_" vbProcedure="false">#REF!</definedName>
    <definedName function="false" hidden="false" localSheetId="18" name="PR__" vbProcedure="false">#REF!</definedName>
    <definedName function="false" hidden="false" localSheetId="18" name="ptdg" vbProcedure="false">#REF!</definedName>
    <definedName function="false" hidden="false" localSheetId="18" name="PTDG_cau" vbProcedure="false">#REF!</definedName>
    <definedName function="false" hidden="false" localSheetId="18" name="ptdg_cong" vbProcedure="false">#REF!</definedName>
    <definedName function="false" hidden="false" localSheetId="18" name="ptdg_duong" vbProcedure="false">#REF!</definedName>
    <definedName function="false" hidden="false" localSheetId="18" name="PT_Duong" vbProcedure="false">#REF!</definedName>
    <definedName function="false" hidden="false" localSheetId="18" name="PWHT" vbProcedure="false">#REF!</definedName>
    <definedName function="false" hidden="false" localSheetId="18" name="Q" vbProcedure="false">#REF!</definedName>
    <definedName function="false" hidden="false" localSheetId="18" name="QCFOBE_" vbProcedure="false">#REF!</definedName>
    <definedName function="false" hidden="false" localSheetId="18" name="QCFOB_" vbProcedure="false">#REF!</definedName>
    <definedName function="false" hidden="false" localSheetId="18" name="QCLDE_" vbProcedure="false">#REF!</definedName>
    <definedName function="false" hidden="false" localSheetId="18" name="QCLDM_" vbProcedure="false">#REF!</definedName>
    <definedName function="false" hidden="false" localSheetId="18" name="QCLD_" vbProcedure="false">#REF!</definedName>
    <definedName function="false" hidden="false" localSheetId="18" name="QC_E_" vbProcedure="false">#REF!</definedName>
    <definedName function="false" hidden="false" localSheetId="18" name="QC__" vbProcedure="false">#REF!</definedName>
    <definedName function="false" hidden="false" localSheetId="18" name="qtdm" vbProcedure="false">#REF!</definedName>
    <definedName function="false" hidden="false" localSheetId="18" name="READ" vbProcedure="false">#REF!</definedName>
    <definedName function="false" hidden="false" localSheetId="18" name="readings" vbProcedure="false">#REF!</definedName>
    <definedName function="false" hidden="false" localSheetId="18" name="reconc" vbProcedure="false">#REF!</definedName>
    <definedName function="false" hidden="false" localSheetId="18" name="RECONCILIATION" vbProcedure="false">#REF!</definedName>
    <definedName function="false" hidden="false" localSheetId="18" name="RED_RIVER_BRIDGE__THANH_TRI_BRIDGE__CONSTRUCTION_PROJECT" vbProcedure="false">#REF!</definedName>
    <definedName function="false" hidden="false" localSheetId="18" name="REO" vbProcedure="false">#REF!</definedName>
    <definedName function="false" hidden="false" localSheetId="18" name="REP" vbProcedure="false">#REF!</definedName>
    <definedName function="false" hidden="false" localSheetId="18" name="REVISION_00" vbProcedure="false">#REF!</definedName>
    <definedName function="false" hidden="false" localSheetId="18" name="rmcsep" vbProcedure="false">#REF!</definedName>
    <definedName function="false" hidden="false" localSheetId="18" name="rmc_working" vbProcedure="false">#REF!</definedName>
    <definedName function="false" hidden="false" localSheetId="18" name="R_" vbProcedure="false">#REF!</definedName>
    <definedName function="false" hidden="false" localSheetId="18" name="R_1" vbProcedure="false">#REF!</definedName>
    <definedName function="false" hidden="false" localSheetId="18" name="R_2" vbProcedure="false">#REF!</definedName>
    <definedName function="false" hidden="false" localSheetId="18" name="R_3" vbProcedure="false">#REF!</definedName>
    <definedName function="false" hidden="false" localSheetId="18" name="SALE1" vbProcedure="false">#REF!</definedName>
    <definedName function="false" hidden="false" localSheetId="18" name="SALE7" vbProcedure="false">#REF!</definedName>
    <definedName function="false" hidden="false" localSheetId="18" name="Sales_plan" vbProcedure="false">#REF!</definedName>
    <definedName function="false" hidden="false" localSheetId="18" name="satu" vbProcedure="false">#REF!</definedName>
    <definedName function="false" hidden="false" localSheetId="18" name="SD" vbProcedure="false">#REF!</definedName>
    <definedName function="false" hidden="false" localSheetId="18" name="selldistexp" vbProcedure="false">#REF!</definedName>
    <definedName function="false" hidden="false" localSheetId="18" name="Sep_04" vbProcedure="false">#REF!</definedName>
    <definedName function="false" hidden="false" localSheetId="18" name="Sheet1" vbProcedure="false">#REF!</definedName>
    <definedName function="false" hidden="false" localSheetId="18" name="sho" vbProcedure="false">#REF!</definedName>
    <definedName function="false" hidden="false" localSheetId="18" name="SM" vbProcedure="false">#REF!</definedName>
    <definedName function="false" hidden="false" localSheetId="18" name="SORT" vbProcedure="false">#REF!</definedName>
    <definedName function="false" hidden="false" localSheetId="18" name="SOUTH" vbProcedure="false">#REF!</definedName>
    <definedName function="false" hidden="false" localSheetId="18" name="Spec" vbProcedure="false">#REF!</definedName>
    <definedName function="false" hidden="false" localSheetId="18" name="SPECSUMMARY" vbProcedure="false">#REF!</definedName>
    <definedName function="false" hidden="false" localSheetId="18" name="SP_SOB" vbProcedure="false">#REF!</definedName>
    <definedName function="false" hidden="false" localSheetId="18" name="SSTR" vbProcedure="false">#REF!</definedName>
    <definedName function="false" hidden="false" localSheetId="18" name="ST" vbProcedure="false">#REF!</definedName>
    <definedName function="false" hidden="false" localSheetId="18" name="Start_1" vbProcedure="false">#REF!</definedName>
    <definedName function="false" hidden="false" localSheetId="18" name="Start_10" vbProcedure="false">#REF!</definedName>
    <definedName function="false" hidden="false" localSheetId="18" name="Start_11" vbProcedure="false">#REF!</definedName>
    <definedName function="false" hidden="false" localSheetId="18" name="Start_12" vbProcedure="false">#REF!</definedName>
    <definedName function="false" hidden="false" localSheetId="18" name="Start_13" vbProcedure="false">#REF!</definedName>
    <definedName function="false" hidden="false" localSheetId="18" name="Start_2" vbProcedure="false">#REF!</definedName>
    <definedName function="false" hidden="false" localSheetId="18" name="Start_3" vbProcedure="false">#REF!</definedName>
    <definedName function="false" hidden="false" localSheetId="18" name="Start_4" vbProcedure="false">#REF!</definedName>
    <definedName function="false" hidden="false" localSheetId="18" name="Start_5" vbProcedure="false">#REF!</definedName>
    <definedName function="false" hidden="false" localSheetId="18" name="Start_6" vbProcedure="false">#REF!</definedName>
    <definedName function="false" hidden="false" localSheetId="18" name="Start_7" vbProcedure="false">#REF!</definedName>
    <definedName function="false" hidden="false" localSheetId="18" name="Start_8" vbProcedure="false">#REF!</definedName>
    <definedName function="false" hidden="false" localSheetId="18" name="Start_9" vbProcedure="false">#REF!</definedName>
    <definedName function="false" hidden="false" localSheetId="18" name="STATUSREPORT_U" vbProcedure="false">#REF!</definedName>
    <definedName function="false" hidden="false" localSheetId="18" name="STATUSREPORT_Y" vbProcedure="false">#REF!</definedName>
    <definedName function="false" hidden="false" localSheetId="18" name="STFOBE_" vbProcedure="false">#REF!</definedName>
    <definedName function="false" hidden="false" localSheetId="18" name="STFOB_" vbProcedure="false">#REF!</definedName>
    <definedName function="false" hidden="false" localSheetId="18" name="STLDE_" vbProcedure="false">#REF!</definedName>
    <definedName function="false" hidden="false" localSheetId="18" name="STLDM_" vbProcedure="false">#REF!</definedName>
    <definedName function="false" hidden="false" localSheetId="18" name="STLD_" vbProcedure="false">#REF!</definedName>
    <definedName function="false" hidden="false" localSheetId="18" name="store" vbProcedure="false">#REF!</definedName>
    <definedName function="false" hidden="false" localSheetId="18" name="store1" vbProcedure="false">#REF!</definedName>
    <definedName function="false" hidden="false" localSheetId="18" name="storeFait" vbProcedure="false">#REF!</definedName>
    <definedName function="false" hidden="false" localSheetId="18" name="structure" vbProcedure="false">#REF!</definedName>
    <definedName function="false" hidden="false" localSheetId="18" name="ST_E_" vbProcedure="false">#REF!</definedName>
    <definedName function="false" hidden="false" localSheetId="18" name="ST__" vbProcedure="false">#REF!</definedName>
    <definedName function="false" hidden="false" localSheetId="18" name="SUMMARY" vbProcedure="false">#REF!</definedName>
    <definedName function="false" hidden="false" localSheetId="18" name="T.C.I.L." vbProcedure="false">#REF!</definedName>
    <definedName function="false" hidden="false" localSheetId="18" name="Target" vbProcedure="false">#REF!</definedName>
    <definedName function="false" hidden="false" localSheetId="18" name="TBA" vbProcedure="false">#REF!</definedName>
    <definedName function="false" hidden="false" localSheetId="18" name="tdia" vbProcedure="false">#REF!</definedName>
    <definedName function="false" hidden="false" localSheetId="18" name="tdt" vbProcedure="false">#REF!</definedName>
    <definedName function="false" hidden="false" localSheetId="18" name="test" vbProcedure="false">#REF!</definedName>
    <definedName function="false" hidden="false" localSheetId="18" name="thdt" vbProcedure="false">#REF!</definedName>
    <definedName function="false" hidden="false" localSheetId="18" name="THREE02" vbProcedure="false">#REF!</definedName>
    <definedName function="false" hidden="false" localSheetId="18" name="THREE03" vbProcedure="false">#REF!</definedName>
    <definedName function="false" hidden="false" localSheetId="18" name="THREE04" vbProcedure="false">#REF!</definedName>
    <definedName function="false" hidden="false" localSheetId="18" name="THREE05" vbProcedure="false">#REF!</definedName>
    <definedName function="false" hidden="false" localSheetId="18" name="THREE06" vbProcedure="false">#REF!</definedName>
    <definedName function="false" hidden="false" localSheetId="18" name="THREE07" vbProcedure="false">#REF!</definedName>
    <definedName function="false" hidden="false" localSheetId="18" name="THREE08" vbProcedure="false">#REF!</definedName>
    <definedName function="false" hidden="false" localSheetId="18" name="THREE09" vbProcedure="false">#REF!</definedName>
    <definedName function="false" hidden="false" localSheetId="18" name="Tien" vbProcedure="false">#REF!</definedName>
    <definedName function="false" hidden="false" localSheetId="18" name="Tim_lan_xuat_hien" vbProcedure="false">#REF!</definedName>
    <definedName function="false" hidden="false" localSheetId="18" name="tim_xuat_hien" vbProcedure="false">#REF!</definedName>
    <definedName function="false" hidden="false" localSheetId="18" name="tld" vbProcedure="false">#REF!</definedName>
    <definedName function="false" hidden="false" localSheetId="18" name="tly" vbProcedure="false">#REF!</definedName>
    <definedName function="false" hidden="false" localSheetId="18" name="tn" vbProcedure="false">#REF!</definedName>
    <definedName function="false" hidden="false" localSheetId="18" name="Tong" vbProcedure="false">#REF!</definedName>
    <definedName function="false" hidden="false" localSheetId="18" name="tongcong" vbProcedure="false">#REF!</definedName>
    <definedName function="false" hidden="false" localSheetId="18" name="Tooling" vbProcedure="false">#REF!</definedName>
    <definedName function="false" hidden="false" localSheetId="18" name="total" vbProcedure="false">#REF!</definedName>
    <definedName function="false" hidden="false" localSheetId="18" name="TRANSFERS" vbProcedure="false">#REF!</definedName>
    <definedName function="false" hidden="false" localSheetId="18" name="TRAVL" vbProcedure="false">#REF!</definedName>
    <definedName function="false" hidden="false" localSheetId="18" name="Tra_DM_su_dung" vbProcedure="false">#REF!</definedName>
    <definedName function="false" hidden="false" localSheetId="18" name="Tra_don_gia_KS" vbProcedure="false">#REF!</definedName>
    <definedName function="false" hidden="false" localSheetId="18" name="Tra_DTCT" vbProcedure="false">#REF!</definedName>
    <definedName function="false" hidden="false" localSheetId="18" name="Tra_tim_hang_mucPT_trung" vbProcedure="false">#REF!</definedName>
    <definedName function="false" hidden="false" localSheetId="18" name="TRA_VAT_LIEU" vbProcedure="false">#REF!</definedName>
    <definedName function="false" hidden="false" localSheetId="18" name="TRA_VL" vbProcedure="false">#REF!</definedName>
    <definedName function="false" hidden="false" localSheetId="18" name="trt" vbProcedure="false">#REF!</definedName>
    <definedName function="false" hidden="false" localSheetId="18" name="tt" vbProcedure="false">#REF!</definedName>
    <definedName function="false" hidden="false" localSheetId="18" name="tthi" vbProcedure="false">#REF!</definedName>
    <definedName function="false" hidden="false" localSheetId="18" name="TTLB1" vbProcedure="false">#REF!</definedName>
    <definedName function="false" hidden="false" localSheetId="18" name="TTLB2" vbProcedure="false">#REF!</definedName>
    <definedName function="false" hidden="false" localSheetId="18" name="TTLB3" vbProcedure="false">#REF!</definedName>
    <definedName function="false" hidden="false" localSheetId="18" name="ty_le" vbProcedure="false">#REF!</definedName>
    <definedName function="false" hidden="false" localSheetId="18" name="Ty_le1" vbProcedure="false">#REF!</definedName>
    <definedName function="false" hidden="false" localSheetId="18" name="ty_le_BTN" vbProcedure="false">#REF!</definedName>
    <definedName function="false" hidden="false" localSheetId="18" name="UNO" vbProcedure="false">#REF!</definedName>
    <definedName function="false" hidden="false" localSheetId="18" name="UPLOAD" vbProcedure="false">#REF!</definedName>
    <definedName function="false" hidden="false" localSheetId="18" name="US___DETAIL" vbProcedure="false">#REF!</definedName>
    <definedName function="false" hidden="false" localSheetId="18" name="US___PRES" vbProcedure="false">#REF!</definedName>
    <definedName function="false" hidden="false" localSheetId="18" name="VARIINST" vbProcedure="false">#REF!</definedName>
    <definedName function="false" hidden="false" localSheetId="18" name="VARIPURC" vbProcedure="false">#REF!</definedName>
    <definedName function="false" hidden="false" localSheetId="18" name="vat" vbProcedure="false">#REF!</definedName>
    <definedName function="false" hidden="false" localSheetId="18" name="vbt400d" vbProcedure="false">#REF!</definedName>
    <definedName function="false" hidden="false" localSheetId="18" name="vbta" vbProcedure="false">#REF!</definedName>
    <definedName function="false" hidden="false" localSheetId="18" name="vbtB" vbProcedure="false">#REF!</definedName>
    <definedName function="false" hidden="false" localSheetId="18" name="vbtD" vbProcedure="false">#REF!</definedName>
    <definedName function="false" hidden="false" localSheetId="18" name="vbtE" vbProcedure="false">#REF!</definedName>
    <definedName function="false" hidden="false" localSheetId="18" name="vbtF" vbProcedure="false">#REF!</definedName>
    <definedName function="false" hidden="false" localSheetId="18" name="vbtg" vbProcedure="false">#REF!</definedName>
    <definedName function="false" hidden="false" localSheetId="18" name="VCM_Y" vbProcedure="false">#REF!</definedName>
    <definedName function="false" hidden="false" localSheetId="18" name="viet" vbProcedure="false">#REF!</definedName>
    <definedName function="false" hidden="false" localSheetId="18" name="vik" vbProcedure="false">#REF!</definedName>
    <definedName function="false" hidden="false" localSheetId="18" name="VOLUME" vbProcedure="false">#REF!</definedName>
    <definedName function="false" hidden="false" localSheetId="18" name="vtu" vbProcedure="false">#REF!</definedName>
    <definedName function="false" hidden="false" localSheetId="18" name="W" vbProcedure="false">#REF!</definedName>
    <definedName function="false" hidden="false" localSheetId="18" name="waterway" vbProcedure="false">#REF!</definedName>
    <definedName function="false" hidden="false" localSheetId="18" name="WEFOBE_" vbProcedure="false">#REF!</definedName>
    <definedName function="false" hidden="false" localSheetId="18" name="WEFOB_" vbProcedure="false">#REF!</definedName>
    <definedName function="false" hidden="false" localSheetId="18" name="WELDE_" vbProcedure="false">#REF!</definedName>
    <definedName function="false" hidden="false" localSheetId="18" name="WELDM_" vbProcedure="false">#REF!</definedName>
    <definedName function="false" hidden="false" localSheetId="18" name="WELD_" vbProcedure="false">#REF!</definedName>
    <definedName function="false" hidden="false" localSheetId="18" name="WEST" vbProcedure="false">#REF!</definedName>
    <definedName function="false" hidden="false" localSheetId="18" name="WE_E_" vbProcedure="false">#REF!</definedName>
    <definedName function="false" hidden="false" localSheetId="18" name="WE__" vbProcedure="false">#REF!</definedName>
    <definedName function="false" hidden="false" localSheetId="18" name="WITHMPBF" vbProcedure="false">#REF!</definedName>
    <definedName function="false" hidden="false" localSheetId="18"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8" name="wrn.Volumes." vbProcedure="false">{#N/A,#N/A,TRUE,"Volumes"}</definedName>
    <definedName function="false" hidden="false" localSheetId="18" name="X" vbProcedure="false">#REF!</definedName>
    <definedName function="false" hidden="false" localSheetId="18" name="xd0.6" vbProcedure="false">#REF!</definedName>
    <definedName function="false" hidden="false" localSheetId="18" name="xd1.3" vbProcedure="false">#REF!</definedName>
    <definedName function="false" hidden="false" localSheetId="18" name="xd1.5" vbProcedure="false">#REF!</definedName>
    <definedName function="false" hidden="false" localSheetId="18" name="xh" vbProcedure="false">#REF!</definedName>
    <definedName function="false" hidden="false" localSheetId="18" name="xk0.6" vbProcedure="false">#REF!</definedName>
    <definedName function="false" hidden="false" localSheetId="18" name="xk1.3" vbProcedure="false">#REF!</definedName>
    <definedName function="false" hidden="false" localSheetId="18" name="xk1.5" vbProcedure="false">#REF!</definedName>
    <definedName function="false" hidden="false" localSheetId="18" name="xl" vbProcedure="false">#REF!</definedName>
    <definedName function="false" hidden="false" localSheetId="18" name="xlc" vbProcedure="false">#REF!</definedName>
    <definedName function="false" hidden="false" localSheetId="18" name="xld1.4" vbProcedure="false">#REF!</definedName>
    <definedName function="false" hidden="false" localSheetId="18" name="xlk" vbProcedure="false">#REF!</definedName>
    <definedName function="false" hidden="false" localSheetId="18" name="xlk1.4" vbProcedure="false">#REF!</definedName>
    <definedName function="false" hidden="false" localSheetId="18" name="xn" vbProcedure="false">#REF!</definedName>
    <definedName function="false" hidden="false" localSheetId="18" name="xx" vbProcedure="false">#REF!</definedName>
    <definedName function="false" hidden="false" localSheetId="18" name="xxx" vbProcedure="false">#REF!</definedName>
    <definedName function="false" hidden="false" localSheetId="18" name="ytm_pbt" vbProcedure="false">#REF!</definedName>
    <definedName function="false" hidden="false" localSheetId="18" name="Z" vbProcedure="false">#REF!</definedName>
    <definedName function="false" hidden="false" localSheetId="18" name="ZAHEERABAD_D" vbProcedure="false">#REF!</definedName>
    <definedName function="false" hidden="false" localSheetId="18" name="ZAHEERABAD_P" vbProcedure="false">#REF!</definedName>
    <definedName function="false" hidden="false" localSheetId="18" name="ZAHEERABAD_S" vbProcedure="false">#REF!</definedName>
    <definedName function="false" hidden="false" localSheetId="18" name="ZYX" vbProcedure="false">#REF!</definedName>
    <definedName function="false" hidden="false" localSheetId="18" name="ZZZ" vbProcedure="false">#REF!</definedName>
    <definedName function="false" hidden="false" localSheetId="18" name="\0" vbProcedure="false">#REF!</definedName>
    <definedName function="false" hidden="false" localSheetId="18" name="\a" vbProcedure="false">#REF!</definedName>
    <definedName function="false" hidden="false" localSheetId="18" name="\e" vbProcedure="false">#REF!</definedName>
    <definedName function="false" hidden="false" localSheetId="18" name="\q" vbProcedure="false">#REF!</definedName>
    <definedName function="false" hidden="false" localSheetId="18" name="\r" vbProcedure="false">#REF!</definedName>
    <definedName function="false" hidden="false" localSheetId="18" name="\s" vbProcedure="false">#REF!</definedName>
    <definedName function="false" hidden="false" localSheetId="18" name="\t" vbProcedure="false">#REF!</definedName>
    <definedName function="false" hidden="false" localSheetId="18" name="\X" vbProcedure="false">#REF!</definedName>
    <definedName function="false" hidden="false" localSheetId="18" name="\z" vbProcedure="false">#REF!</definedName>
    <definedName function="false" hidden="false" localSheetId="18" name="_" vbProcedure="false">#REF!</definedName>
    <definedName function="false" hidden="false" localSheetId="18" name="_1" vbProcedure="false">#REF!</definedName>
    <definedName function="false" hidden="false" localSheetId="18" name="_10" vbProcedure="false">#REF!</definedName>
    <definedName function="false" hidden="false" localSheetId="18" name="_10_11" vbProcedure="false">#REF!</definedName>
    <definedName function="false" hidden="false" localSheetId="18" name="_12_6" vbProcedure="false">#REF!</definedName>
    <definedName function="false" hidden="false" localSheetId="18" name="_14_8" vbProcedure="false">#REF!</definedName>
    <definedName function="false" hidden="false" localSheetId="18" name="_16IN_LINE" vbProcedure="false">#REF!</definedName>
    <definedName function="false" hidden="false" localSheetId="18" name="_18_6" vbProcedure="false">#REF!</definedName>
    <definedName function="false" hidden="false" localSheetId="18" name="_19_8" vbProcedure="false">#REF!</definedName>
    <definedName function="false" hidden="false" localSheetId="18" name="_1PRINT_ALL_IN" vbProcedure="false">#REF!</definedName>
    <definedName function="false" hidden="false" localSheetId="18" name="_2" vbProcedure="false">#REF!</definedName>
    <definedName function="false" hidden="false" localSheetId="18" name="_20IN_LINE" vbProcedure="false">#REF!</definedName>
    <definedName function="false" hidden="false" localSheetId="18" name="_2PRINT_ALL_IN" vbProcedure="false">#REF!</definedName>
    <definedName function="false" hidden="false" localSheetId="18" name="_2PRINT_DC" vbProcedure="false">#REF!</definedName>
    <definedName function="false" hidden="false" localSheetId="18" name="_3" vbProcedure="false">#REF!</definedName>
    <definedName function="false" hidden="false" localSheetId="18" name="_4" vbProcedure="false">#REF!</definedName>
    <definedName function="false" hidden="false" localSheetId="18" name="_4PRINT_DC" vbProcedure="false">#REF!</definedName>
    <definedName function="false" hidden="false" localSheetId="18" name="_4_5" vbProcedure="false">#REF!</definedName>
    <definedName function="false" hidden="false" localSheetId="18" name="_5" vbProcedure="false">#REF!</definedName>
    <definedName function="false" hidden="false" localSheetId="18" name="_6" vbProcedure="false">#REF!</definedName>
    <definedName function="false" hidden="false" localSheetId="18" name="_6_6" vbProcedure="false">#REF!</definedName>
    <definedName function="false" hidden="false" localSheetId="18" name="_7" vbProcedure="false">#REF!</definedName>
    <definedName function="false" hidden="false" localSheetId="18" name="_7_8" vbProcedure="false">#REF!</definedName>
    <definedName function="false" hidden="false" localSheetId="18" name="_8" vbProcedure="false">#REF!</definedName>
    <definedName function="false" hidden="false" localSheetId="18" name="_8IN_LINE" vbProcedure="false">#REF!</definedName>
    <definedName function="false" hidden="false" localSheetId="18" name="_9" vbProcedure="false">#REF!</definedName>
    <definedName function="false" hidden="false" localSheetId="18" name="_aug2" vbProcedure="false">#REF!</definedName>
    <definedName function="false" hidden="false" localSheetId="18" name="_BOM1" vbProcedure="false">#REF!</definedName>
    <definedName function="false" hidden="false" localSheetId="18" name="_BTM150" vbProcedure="false">#REF!</definedName>
    <definedName function="false" hidden="false" localSheetId="18" name="_BTM200" vbProcedure="false">#REF!</definedName>
    <definedName function="false" hidden="false" localSheetId="18" name="_BTM50" vbProcedure="false">#REF!</definedName>
    <definedName function="false" hidden="false" localSheetId="18" name="_C" vbProcedure="false">#REF!</definedName>
    <definedName function="false" hidden="false" localSheetId="18" name="_CAL02" vbProcedure="false">#REF!</definedName>
    <definedName function="false" hidden="false" localSheetId="18" name="_CAL03" vbProcedure="false">#REF!</definedName>
    <definedName function="false" hidden="false" localSheetId="18" name="_CAL04" vbProcedure="false">#REF!</definedName>
    <definedName function="false" hidden="false" localSheetId="18" name="_CAL05" vbProcedure="false">#REF!</definedName>
    <definedName function="false" hidden="false" localSheetId="18" name="_CAL06" vbProcedure="false">#REF!</definedName>
    <definedName function="false" hidden="false" localSheetId="18" name="_CAL07" vbProcedure="false">#REF!</definedName>
    <definedName function="false" hidden="false" localSheetId="18" name="_CAL08" vbProcedure="false">#REF!</definedName>
    <definedName function="false" hidden="false" localSheetId="18" name="_CAL09" vbProcedure="false">#REF!</definedName>
    <definedName function="false" hidden="false" localSheetId="18" name="_CFC214" vbProcedure="false">#REF!</definedName>
    <definedName function="false" hidden="false" localSheetId="18" name="_CFU377" vbProcedure="false">#REF!</definedName>
    <definedName function="false" hidden="false" localSheetId="18" name="_CGJ32" vbProcedure="false">#REF!</definedName>
    <definedName function="false" hidden="false" localSheetId="18" name="_CGW2" vbProcedure="false">#REF!</definedName>
    <definedName function="false" hidden="false" localSheetId="18" name="_CON1" vbProcedure="false">#REF!</definedName>
    <definedName function="false" hidden="false" localSheetId="18" name="_CON2" vbProcedure="false">#REF!</definedName>
    <definedName function="false" hidden="false" localSheetId="18" name="_EXC1" vbProcedure="false">#REF!</definedName>
    <definedName function="false" hidden="false" localSheetId="18" name="_EXC2" vbProcedure="false">#REF!</definedName>
    <definedName function="false" hidden="false" localSheetId="18" name="_Fill" vbProcedure="false">#REF!</definedName>
    <definedName function="false" hidden="false" localSheetId="18" name="_hom2" vbProcedure="false">#REF!</definedName>
    <definedName function="false" hidden="false" localSheetId="18" name="_JK00000412" vbProcedure="false">#REF!</definedName>
    <definedName function="false" hidden="false" localSheetId="18" name="_JK00000450" vbProcedure="false">#REF!</definedName>
    <definedName function="false" hidden="false" localSheetId="18" name="_JK00000456" vbProcedure="false">#REF!</definedName>
    <definedName function="false" hidden="false" localSheetId="18" name="_JK00000539" vbProcedure="false">#REF!</definedName>
    <definedName function="false" hidden="false" localSheetId="18" name="_JK00000573" vbProcedure="false">#REF!</definedName>
    <definedName function="false" hidden="false" localSheetId="18" name="_JK00000576" vbProcedure="false">#REF!</definedName>
    <definedName function="false" hidden="false" localSheetId="18" name="_JK00000577" vbProcedure="false">#REF!</definedName>
    <definedName function="false" hidden="false" localSheetId="18" name="_JK00000582" vbProcedure="false">#REF!</definedName>
    <definedName function="false" hidden="false" localSheetId="18" name="_JK00000923" vbProcedure="false">#REF!</definedName>
    <definedName function="false" hidden="false" localSheetId="18" name="_JK00000952" vbProcedure="false">#REF!</definedName>
    <definedName function="false" hidden="false" localSheetId="18" name="_JK00000961" vbProcedure="false">#REF!</definedName>
    <definedName function="false" hidden="false" localSheetId="18" name="_JK00000971" vbProcedure="false">#REF!</definedName>
    <definedName function="false" hidden="false" localSheetId="18" name="_JK00000979" vbProcedure="false">#REF!</definedName>
    <definedName function="false" hidden="false" localSheetId="18" name="_JK00000984" vbProcedure="false">#REF!</definedName>
    <definedName function="false" hidden="false" localSheetId="18" name="_JK00000986" vbProcedure="false">#REF!</definedName>
    <definedName function="false" hidden="false" localSheetId="18" name="_JK00001004" vbProcedure="false">#REF!</definedName>
    <definedName function="false" hidden="false" localSheetId="18" name="_JK00001010" vbProcedure="false">#REF!</definedName>
    <definedName function="false" hidden="false" localSheetId="18" name="_JK00001011" vbProcedure="false">#REF!</definedName>
    <definedName function="false" hidden="false" localSheetId="18" name="_JK00001013" vbProcedure="false">#REF!</definedName>
    <definedName function="false" hidden="false" localSheetId="18" name="_JK00001018" vbProcedure="false">#REF!</definedName>
    <definedName function="false" hidden="false" localSheetId="18" name="_JK00001019" vbProcedure="false">#REF!</definedName>
    <definedName function="false" hidden="false" localSheetId="18" name="_JK00001020" vbProcedure="false">#REF!</definedName>
    <definedName function="false" hidden="false" localSheetId="18" name="_JK00001023" vbProcedure="false">#REF!</definedName>
    <definedName function="false" hidden="false" localSheetId="18" name="_JK00001024" vbProcedure="false">#REF!</definedName>
    <definedName function="false" hidden="false" localSheetId="18" name="_JK00001028" vbProcedure="false">#REF!</definedName>
    <definedName function="false" hidden="false" localSheetId="18" name="_JK00001031" vbProcedure="false">#REF!</definedName>
    <definedName function="false" hidden="false" localSheetId="18" name="_JK00001032" vbProcedure="false">#REF!</definedName>
    <definedName function="false" hidden="false" localSheetId="18" name="_JK00001033" vbProcedure="false">#REF!</definedName>
    <definedName function="false" hidden="false" localSheetId="18" name="_JK00001038" vbProcedure="false">#REF!</definedName>
    <definedName function="false" hidden="false" localSheetId="18" name="_JK00001039" vbProcedure="false">#REF!</definedName>
    <definedName function="false" hidden="false" localSheetId="18" name="_JK00001040" vbProcedure="false">#REF!</definedName>
    <definedName function="false" hidden="false" localSheetId="18" name="_JK00001047" vbProcedure="false">#REF!</definedName>
    <definedName function="false" hidden="false" localSheetId="18" name="_JK00001058" vbProcedure="false">#REF!</definedName>
    <definedName function="false" hidden="false" localSheetId="18" name="_JK00001059" vbProcedure="false">#REF!</definedName>
    <definedName function="false" hidden="false" localSheetId="18" name="_JK00001063" vbProcedure="false">#REF!</definedName>
    <definedName function="false" hidden="false" localSheetId="18" name="_JK00001064" vbProcedure="false">#REF!</definedName>
    <definedName function="false" hidden="false" localSheetId="18" name="_JK00001065" vbProcedure="false">#REF!</definedName>
    <definedName function="false" hidden="false" localSheetId="18" name="_JK00001067" vbProcedure="false">#REF!</definedName>
    <definedName function="false" hidden="false" localSheetId="18" name="_JK00001068" vbProcedure="false">#REF!</definedName>
    <definedName function="false" hidden="false" localSheetId="18" name="_JK00001069" vbProcedure="false">#REF!</definedName>
    <definedName function="false" hidden="false" localSheetId="18" name="_JK00001072" vbProcedure="false">#REF!</definedName>
    <definedName function="false" hidden="false" localSheetId="18" name="_JK00001073" vbProcedure="false">#REF!</definedName>
    <definedName function="false" hidden="false" localSheetId="18" name="_JK00001075" vbProcedure="false">#REF!</definedName>
    <definedName function="false" hidden="false" localSheetId="18" name="_JK00001076" vbProcedure="false">#REF!</definedName>
    <definedName function="false" hidden="false" localSheetId="18" name="_JK00001077" vbProcedure="false">#REF!</definedName>
    <definedName function="false" hidden="false" localSheetId="18" name="_JK00001078" vbProcedure="false">#REF!</definedName>
    <definedName function="false" hidden="false" localSheetId="18" name="_JK00001081" vbProcedure="false">#REF!</definedName>
    <definedName function="false" hidden="false" localSheetId="18" name="_JK00001082" vbProcedure="false">#REF!</definedName>
    <definedName function="false" hidden="false" localSheetId="18" name="_JK00001083" vbProcedure="false">#REF!</definedName>
    <definedName function="false" hidden="false" localSheetId="18" name="_JK00001084" vbProcedure="false">#REF!</definedName>
    <definedName function="false" hidden="false" localSheetId="18" name="_JK00001085" vbProcedure="false">#REF!</definedName>
    <definedName function="false" hidden="false" localSheetId="18" name="_JK00001086" vbProcedure="false">#REF!</definedName>
    <definedName function="false" hidden="false" localSheetId="18" name="_JK00001087" vbProcedure="false">#REF!</definedName>
    <definedName function="false" hidden="false" localSheetId="18" name="_JK00001089" vbProcedure="false">#REF!</definedName>
    <definedName function="false" hidden="false" localSheetId="18" name="_JK00001091" vbProcedure="false">#REF!</definedName>
    <definedName function="false" hidden="false" localSheetId="18" name="_JK00001092" vbProcedure="false">#REF!</definedName>
    <definedName function="false" hidden="false" localSheetId="18" name="_JK00001100" vbProcedure="false">#REF!</definedName>
    <definedName function="false" hidden="false" localSheetId="18" name="_JK00001101" vbProcedure="false">#REF!</definedName>
    <definedName function="false" hidden="false" localSheetId="18" name="_JK00001107" vbProcedure="false">#REF!</definedName>
    <definedName function="false" hidden="false" localSheetId="18" name="_JK00001108" vbProcedure="false">#REF!</definedName>
    <definedName function="false" hidden="false" localSheetId="18" name="_JK00001109" vbProcedure="false">#REF!</definedName>
    <definedName function="false" hidden="false" localSheetId="18" name="_JK00001110" vbProcedure="false">#REF!</definedName>
    <definedName function="false" hidden="false" localSheetId="18" name="_JK00001111" vbProcedure="false">#REF!</definedName>
    <definedName function="false" hidden="false" localSheetId="18" name="_JK00001113" vbProcedure="false">#REF!</definedName>
    <definedName function="false" hidden="false" localSheetId="18" name="_JK00001116" vbProcedure="false">#REF!</definedName>
    <definedName function="false" hidden="false" localSheetId="18" name="_JK00001118" vbProcedure="false">#REF!</definedName>
    <definedName function="false" hidden="false" localSheetId="18" name="_JK00001119" vbProcedure="false">#REF!</definedName>
    <definedName function="false" hidden="false" localSheetId="18" name="_JK00001121" vbProcedure="false">#REF!</definedName>
    <definedName function="false" hidden="false" localSheetId="18" name="_JK00001122" vbProcedure="false">#REF!</definedName>
    <definedName function="false" hidden="false" localSheetId="18" name="_JK00001124" vbProcedure="false">#REF!</definedName>
    <definedName function="false" hidden="false" localSheetId="18" name="_JK00001125" vbProcedure="false">#REF!</definedName>
    <definedName function="false" hidden="false" localSheetId="18" name="_JK00001127" vbProcedure="false">#REF!</definedName>
    <definedName function="false" hidden="false" localSheetId="18" name="_JK00001128" vbProcedure="false">#REF!</definedName>
    <definedName function="false" hidden="false" localSheetId="18" name="_JK00001135" vbProcedure="false">#REF!</definedName>
    <definedName function="false" hidden="false" localSheetId="18" name="_JK00001136" vbProcedure="false">#REF!</definedName>
    <definedName function="false" hidden="false" localSheetId="18" name="_JK00001137" vbProcedure="false">#REF!</definedName>
    <definedName function="false" hidden="false" localSheetId="18" name="_JK00001139" vbProcedure="false">#REF!</definedName>
    <definedName function="false" hidden="false" localSheetId="18" name="_JK00001141" vbProcedure="false">#REF!</definedName>
    <definedName function="false" hidden="false" localSheetId="18" name="_JK00001142" vbProcedure="false">#REF!</definedName>
    <definedName function="false" hidden="false" localSheetId="18" name="_JK00001143" vbProcedure="false">#REF!</definedName>
    <definedName function="false" hidden="false" localSheetId="18" name="_JK00001146" vbProcedure="false">#REF!</definedName>
    <definedName function="false" hidden="false" localSheetId="18" name="_JK00001147" vbProcedure="false">#REF!</definedName>
    <definedName function="false" hidden="false" localSheetId="18" name="_JK00001148" vbProcedure="false">#REF!</definedName>
    <definedName function="false" hidden="false" localSheetId="18" name="_JK00001149" vbProcedure="false">#REF!</definedName>
    <definedName function="false" hidden="false" localSheetId="18" name="_JK00001150" vbProcedure="false">#REF!</definedName>
    <definedName function="false" hidden="false" localSheetId="18" name="_JK00001151" vbProcedure="false">#REF!</definedName>
    <definedName function="false" hidden="false" localSheetId="18" name="_JK00001152" vbProcedure="false">#REF!</definedName>
    <definedName function="false" hidden="false" localSheetId="18" name="_JK00001154" vbProcedure="false">#REF!</definedName>
    <definedName function="false" hidden="false" localSheetId="18" name="_JK00001159" vbProcedure="false">#REF!</definedName>
    <definedName function="false" hidden="false" localSheetId="18" name="_JK00001160" vbProcedure="false">#REF!</definedName>
    <definedName function="false" hidden="false" localSheetId="18" name="_JK00001161" vbProcedure="false">#REF!</definedName>
    <definedName function="false" hidden="false" localSheetId="18" name="_JK00001164" vbProcedure="false">#REF!</definedName>
    <definedName function="false" hidden="false" localSheetId="18" name="_JK00001165" vbProcedure="false">#REF!</definedName>
    <definedName function="false" hidden="false" localSheetId="18" name="_JK00001166" vbProcedure="false">#REF!</definedName>
    <definedName function="false" hidden="false" localSheetId="18" name="_JK00001168" vbProcedure="false">#REF!</definedName>
    <definedName function="false" hidden="false" localSheetId="18" name="_JK00001172" vbProcedure="false">#REF!</definedName>
    <definedName function="false" hidden="false" localSheetId="18" name="_JK00001177" vbProcedure="false">#REF!</definedName>
    <definedName function="false" hidden="false" localSheetId="18" name="_JK00001178" vbProcedure="false">#REF!</definedName>
    <definedName function="false" hidden="false" localSheetId="18" name="_JK00001179" vbProcedure="false">#REF!</definedName>
    <definedName function="false" hidden="false" localSheetId="18" name="_JK00001180" vbProcedure="false">#REF!</definedName>
    <definedName function="false" hidden="false" localSheetId="18" name="_JK00001181" vbProcedure="false">#REF!</definedName>
    <definedName function="false" hidden="false" localSheetId="18" name="_JK00001184" vbProcedure="false">#REF!</definedName>
    <definedName function="false" hidden="false" localSheetId="18" name="_JK00001200" vbProcedure="false">#REF!</definedName>
    <definedName function="false" hidden="false" localSheetId="18" name="_JK00001202" vbProcedure="false">#REF!</definedName>
    <definedName function="false" hidden="false" localSheetId="18" name="_JK00001203" vbProcedure="false">#REF!</definedName>
    <definedName function="false" hidden="false" localSheetId="18" name="_JK00001204" vbProcedure="false">#REF!</definedName>
    <definedName function="false" hidden="false" localSheetId="18" name="_JK00001206" vbProcedure="false">#REF!</definedName>
    <definedName function="false" hidden="false" localSheetId="18" name="_JK00001207" vbProcedure="false">#REF!</definedName>
    <definedName function="false" hidden="false" localSheetId="18" name="_JK00001209" vbProcedure="false">#REF!</definedName>
    <definedName function="false" hidden="false" localSheetId="18" name="_JK00001210" vbProcedure="false">#REF!</definedName>
    <definedName function="false" hidden="false" localSheetId="18" name="_JK00001212" vbProcedure="false">#REF!</definedName>
    <definedName function="false" hidden="false" localSheetId="18" name="_JK00001218" vbProcedure="false">#REF!</definedName>
    <definedName function="false" hidden="false" localSheetId="18" name="_JK00001219" vbProcedure="false">#REF!</definedName>
    <definedName function="false" hidden="false" localSheetId="18" name="_JK00001220" vbProcedure="false">#REF!</definedName>
    <definedName function="false" hidden="false" localSheetId="18" name="_JK00001221" vbProcedure="false">#REF!</definedName>
    <definedName function="false" hidden="false" localSheetId="18" name="_JK00001222" vbProcedure="false">#REF!</definedName>
    <definedName function="false" hidden="false" localSheetId="18" name="_JK00001223" vbProcedure="false">#REF!</definedName>
    <definedName function="false" hidden="false" localSheetId="18" name="_JK1002864" vbProcedure="false">#REF!</definedName>
    <definedName function="false" hidden="false" localSheetId="18" name="_JK1002917" vbProcedure="false">#REF!</definedName>
    <definedName function="false" hidden="false" localSheetId="18" name="_JK1002919" vbProcedure="false">#REF!</definedName>
    <definedName function="false" hidden="false" localSheetId="18" name="_JK1002921" vbProcedure="false">#REF!</definedName>
    <definedName function="false" hidden="false" localSheetId="18" name="_JK1002923" vbProcedure="false">#REF!</definedName>
    <definedName function="false" hidden="false" localSheetId="18" name="_JK1002925" vbProcedure="false">#REF!</definedName>
    <definedName function="false" hidden="false" localSheetId="18" name="_JK1002927" vbProcedure="false">#REF!</definedName>
    <definedName function="false" hidden="false" localSheetId="18" name="_JK1002931" vbProcedure="false">#REF!</definedName>
    <definedName function="false" hidden="false" localSheetId="18" name="_JK1002937" vbProcedure="false">#REF!</definedName>
    <definedName function="false" hidden="false" localSheetId="18" name="_JK1002939" vbProcedure="false">#REF!</definedName>
    <definedName function="false" hidden="false" localSheetId="18" name="_JK1002941" vbProcedure="false">#REF!</definedName>
    <definedName function="false" hidden="false" localSheetId="18" name="_JK1002943" vbProcedure="false">#REF!</definedName>
    <definedName function="false" hidden="false" localSheetId="18" name="_JK1003116" vbProcedure="false">#REF!</definedName>
    <definedName function="false" hidden="false" localSheetId="18" name="_JK1003119" vbProcedure="false">#REF!</definedName>
    <definedName function="false" hidden="false" localSheetId="18" name="_JK1003125" vbProcedure="false">#REF!</definedName>
    <definedName function="false" hidden="false" localSheetId="18" name="_JK1003128" vbProcedure="false">#REF!</definedName>
    <definedName function="false" hidden="false" localSheetId="18" name="_JK1003134" vbProcedure="false">#REF!</definedName>
    <definedName function="false" hidden="false" localSheetId="18" name="_JK1003184" vbProcedure="false">#REF!</definedName>
    <definedName function="false" hidden="false" localSheetId="18" name="_JK1003193" vbProcedure="false">#REF!</definedName>
    <definedName function="false" hidden="false" localSheetId="18" name="_JK1003229" vbProcedure="false">#REF!</definedName>
    <definedName function="false" hidden="false" localSheetId="18" name="_JK1003232" vbProcedure="false">#REF!</definedName>
    <definedName function="false" hidden="false" localSheetId="18" name="_JK1003235" vbProcedure="false">#REF!</definedName>
    <definedName function="false" hidden="false" localSheetId="18" name="_JK1003250" vbProcedure="false">#REF!</definedName>
    <definedName function="false" hidden="false" localSheetId="18" name="_JK1003253" vbProcedure="false">#REF!</definedName>
    <definedName function="false" hidden="false" localSheetId="18" name="_JK1003325" vbProcedure="false">#REF!</definedName>
    <definedName function="false" hidden="false" localSheetId="18" name="_JK1003337" vbProcedure="false">#REF!</definedName>
    <definedName function="false" hidden="false" localSheetId="18" name="_JK1003340" vbProcedure="false">#REF!</definedName>
    <definedName function="false" hidden="false" localSheetId="18" name="_JK1003397" vbProcedure="false">#REF!</definedName>
    <definedName function="false" hidden="false" localSheetId="18" name="_JK1003400" vbProcedure="false">#REF!</definedName>
    <definedName function="false" hidden="false" localSheetId="18" name="_JK1003403" vbProcedure="false">#REF!</definedName>
    <definedName function="false" hidden="false" localSheetId="18" name="_JK1003406" vbProcedure="false">#REF!</definedName>
    <definedName function="false" hidden="false" localSheetId="18" name="_JK1003409" vbProcedure="false">#REF!</definedName>
    <definedName function="false" hidden="false" localSheetId="18" name="_JK1003412" vbProcedure="false">#REF!</definedName>
    <definedName function="false" hidden="false" localSheetId="18" name="_JK1003415" vbProcedure="false">#REF!</definedName>
    <definedName function="false" hidden="false" localSheetId="18" name="_JK1003418" vbProcedure="false">#REF!</definedName>
    <definedName function="false" hidden="false" localSheetId="18" name="_JK1003427" vbProcedure="false">#REF!</definedName>
    <definedName function="false" hidden="false" localSheetId="18" name="_JK1003430" vbProcedure="false">#REF!</definedName>
    <definedName function="false" hidden="false" localSheetId="18" name="_JK1003433" vbProcedure="false">#REF!</definedName>
    <definedName function="false" hidden="false" localSheetId="18" name="_JK1003437" vbProcedure="false">#REF!</definedName>
    <definedName function="false" hidden="false" localSheetId="18" name="_JK1003440" vbProcedure="false">#REF!</definedName>
    <definedName function="false" hidden="false" localSheetId="18" name="_JK1003446" vbProcedure="false">#REF!</definedName>
    <definedName function="false" hidden="false" localSheetId="18" name="_JK1003449" vbProcedure="false">#REF!</definedName>
    <definedName function="false" hidden="false" localSheetId="18" name="_JK1003452" vbProcedure="false">#REF!</definedName>
    <definedName function="false" hidden="false" localSheetId="18" name="_JK1003462" vbProcedure="false">#REF!</definedName>
    <definedName function="false" hidden="false" localSheetId="18" name="_JK1003465" vbProcedure="false">#REF!</definedName>
    <definedName function="false" hidden="false" localSheetId="18" name="_JK1003468" vbProcedure="false">#REF!</definedName>
    <definedName function="false" hidden="false" localSheetId="18" name="_JK1003471" vbProcedure="false">#REF!</definedName>
    <definedName function="false" hidden="false" localSheetId="18" name="_JK1003474" vbProcedure="false">#REF!</definedName>
    <definedName function="false" hidden="false" localSheetId="18" name="_JK1003477" vbProcedure="false">#REF!</definedName>
    <definedName function="false" hidden="false" localSheetId="18" name="_JK1003485" vbProcedure="false">#REF!</definedName>
    <definedName function="false" hidden="false" localSheetId="18" name="_JK1003488" vbProcedure="false">#REF!</definedName>
    <definedName function="false" hidden="false" localSheetId="18" name="_JK1003525" vbProcedure="false">#REF!</definedName>
    <definedName function="false" hidden="false" localSheetId="18" name="_JK1003528" vbProcedure="false">#REF!</definedName>
    <definedName function="false" hidden="false" localSheetId="18" name="_JK1003660" vbProcedure="false">#REF!</definedName>
    <definedName function="false" hidden="false" localSheetId="18" name="_JK1003767" vbProcedure="false">#REF!</definedName>
    <definedName function="false" hidden="false" localSheetId="18" name="_JK1003800" vbProcedure="false">#REF!</definedName>
    <definedName function="false" hidden="false" localSheetId="18" name="_JK1003803" vbProcedure="false">#REF!</definedName>
    <definedName function="false" hidden="false" localSheetId="18" name="_JK1003819" vbProcedure="false">#REF!</definedName>
    <definedName function="false" hidden="false" localSheetId="18" name="_JK1003869" vbProcedure="false">#REF!</definedName>
    <definedName function="false" hidden="false" localSheetId="18" name="_JK1003872" vbProcedure="false">#REF!</definedName>
    <definedName function="false" hidden="false" localSheetId="18" name="_JK1003875" vbProcedure="false">#REF!</definedName>
    <definedName function="false" hidden="false" localSheetId="18" name="_JK1003878" vbProcedure="false">#REF!</definedName>
    <definedName function="false" hidden="false" localSheetId="18" name="_JK1003881" vbProcedure="false">#REF!</definedName>
    <definedName function="false" hidden="false" localSheetId="18" name="_JK1003884" vbProcedure="false">#REF!</definedName>
    <definedName function="false" hidden="false" localSheetId="18" name="_JK1003887" vbProcedure="false">#REF!</definedName>
    <definedName function="false" hidden="false" localSheetId="18" name="_JK1003897" vbProcedure="false">#REF!</definedName>
    <definedName function="false" hidden="false" localSheetId="18" name="_JK1003900" vbProcedure="false">#REF!</definedName>
    <definedName function="false" hidden="false" localSheetId="18" name="_JK1003903" vbProcedure="false">#REF!</definedName>
    <definedName function="false" hidden="false" localSheetId="18" name="_JK1003906" vbProcedure="false">#REF!</definedName>
    <definedName function="false" hidden="false" localSheetId="18" name="_JK1003909" vbProcedure="false">#REF!</definedName>
    <definedName function="false" hidden="false" localSheetId="18" name="_JK1003936" vbProcedure="false">#REF!</definedName>
    <definedName function="false" hidden="false" localSheetId="18" name="_JK1004071" vbProcedure="false">#REF!</definedName>
    <definedName function="false" hidden="false" localSheetId="18" name="_JK1004081" vbProcedure="false">#REF!</definedName>
    <definedName function="false" hidden="false" localSheetId="18" name="_JK1004091" vbProcedure="false">#REF!</definedName>
    <definedName function="false" hidden="false" localSheetId="18" name="_JK1004109" vbProcedure="false">#REF!</definedName>
    <definedName function="false" hidden="false" localSheetId="18" name="_JK1004114" vbProcedure="false">#REF!</definedName>
    <definedName function="false" hidden="false" localSheetId="18" name="_JK1004662" vbProcedure="false">#REF!</definedName>
    <definedName function="false" hidden="false" localSheetId="18" name="_JK1004665" vbProcedure="false">#REF!</definedName>
    <definedName function="false" hidden="false" localSheetId="18" name="_JK1004671" vbProcedure="false">#REF!</definedName>
    <definedName function="false" hidden="false" localSheetId="18" name="_JK1004674" vbProcedure="false">#REF!</definedName>
    <definedName function="false" hidden="false" localSheetId="18" name="_JK1004684" vbProcedure="false">#REF!</definedName>
    <definedName function="false" hidden="false" localSheetId="18" name="_JK1004688" vbProcedure="false">#REF!</definedName>
    <definedName function="false" hidden="false" localSheetId="18" name="_JK1004696" vbProcedure="false">#REF!</definedName>
    <definedName function="false" hidden="false" localSheetId="18" name="_JK1004970" vbProcedure="false">#REF!</definedName>
    <definedName function="false" hidden="false" localSheetId="18" name="_JK1005262" vbProcedure="false">#REF!</definedName>
    <definedName function="false" hidden="false" localSheetId="18" name="_JK1005299" vbProcedure="false">#REF!</definedName>
    <definedName function="false" hidden="false" localSheetId="18" name="_JK1005302" vbProcedure="false">#REF!</definedName>
    <definedName function="false" hidden="false" localSheetId="18" name="_JK1005305" vbProcedure="false">#REF!</definedName>
    <definedName function="false" hidden="false" localSheetId="18" name="_JK1005313" vbProcedure="false">#REF!</definedName>
    <definedName function="false" hidden="false" localSheetId="18" name="_JK1005534" vbProcedure="false">#REF!</definedName>
    <definedName function="false" hidden="false" localSheetId="18" name="_JK1005551" vbProcedure="false">#REF!</definedName>
    <definedName function="false" hidden="false" localSheetId="18" name="_Key1" vbProcedure="false">#REF!</definedName>
    <definedName function="false" hidden="false" localSheetId="18" name="_MI1" vbProcedure="false">#REF!</definedName>
    <definedName function="false" hidden="false" localSheetId="18" name="_MI2" vbProcedure="false">#REF!</definedName>
    <definedName function="false" hidden="false" localSheetId="18" name="_MI6" vbProcedure="false">#REF!</definedName>
    <definedName function="false" hidden="false" localSheetId="18" name="_MI7" vbProcedure="false">#REF!</definedName>
    <definedName function="false" hidden="false" localSheetId="18" name="_MI8" vbProcedure="false">#REF!</definedName>
    <definedName function="false" hidden="false" localSheetId="18" name="_mil1" vbProcedure="false">#REF!</definedName>
    <definedName function="false" hidden="false" localSheetId="18" name="_mil2" vbProcedure="false">#REF!</definedName>
    <definedName function="false" hidden="false" localSheetId="18" name="_mil6" vbProcedure="false">#REF!</definedName>
    <definedName function="false" hidden="false" localSheetId="18" name="_mil7" vbProcedure="false">#REF!</definedName>
    <definedName function="false" hidden="false" localSheetId="18" name="_mil8" vbProcedure="false">#REF!</definedName>
    <definedName function="false" hidden="false" localSheetId="18" name="_msl100" vbProcedure="false">#REF!</definedName>
    <definedName function="false" hidden="false" localSheetId="18" name="_msl200" vbProcedure="false">#REF!</definedName>
    <definedName function="false" hidden="false" localSheetId="18" name="_msl250" vbProcedure="false">#REF!</definedName>
    <definedName function="false" hidden="false" localSheetId="18" name="_msl300" vbProcedure="false">#REF!</definedName>
    <definedName function="false" hidden="false" localSheetId="18" name="_msl400" vbProcedure="false">#REF!</definedName>
    <definedName function="false" hidden="false" localSheetId="18" name="_msl800" vbProcedure="false">#REF!</definedName>
    <definedName function="false" hidden="false" localSheetId="18" name="_mui100" vbProcedure="false">#REF!</definedName>
    <definedName function="false" hidden="false" localSheetId="18" name="_mui105" vbProcedure="false">#REF!</definedName>
    <definedName function="false" hidden="false" localSheetId="18" name="_mui108" vbProcedure="false">#REF!</definedName>
    <definedName function="false" hidden="false" localSheetId="18" name="_mui130" vbProcedure="false">#REF!</definedName>
    <definedName function="false" hidden="false" localSheetId="18" name="_mui140" vbProcedure="false">#REF!</definedName>
    <definedName function="false" hidden="false" localSheetId="18" name="_mui160" vbProcedure="false">#REF!</definedName>
    <definedName function="false" hidden="false" localSheetId="18" name="_mui180" vbProcedure="false">#REF!</definedName>
    <definedName function="false" hidden="false" localSheetId="18" name="_mui250" vbProcedure="false">#REF!</definedName>
    <definedName function="false" hidden="false" localSheetId="18" name="_mui271" vbProcedure="false">#REF!</definedName>
    <definedName function="false" hidden="false" localSheetId="18" name="_mui320" vbProcedure="false">#REF!</definedName>
    <definedName function="false" hidden="false" localSheetId="18" name="_mui45" vbProcedure="false">#REF!</definedName>
    <definedName function="false" hidden="false" localSheetId="18" name="_mui50" vbProcedure="false">#REF!</definedName>
    <definedName function="false" hidden="false" localSheetId="18" name="_mui54" vbProcedure="false">#REF!</definedName>
    <definedName function="false" hidden="false" localSheetId="18" name="_mui65" vbProcedure="false">#REF!</definedName>
    <definedName function="false" hidden="false" localSheetId="18" name="_mui75" vbProcedure="false">#REF!</definedName>
    <definedName function="false" hidden="false" localSheetId="18" name="_mui80" vbProcedure="false">#REF!</definedName>
    <definedName function="false" hidden="false" localSheetId="18" name="_NET2" vbProcedure="false">#REF!</definedName>
    <definedName function="false" hidden="false" localSheetId="18" name="_new1" vbProcedure="false">#REF!</definedName>
    <definedName function="false" hidden="false" localSheetId="18" name="_new11" vbProcedure="false">#REF!</definedName>
    <definedName function="false" hidden="false" localSheetId="18" name="_new6" vbProcedure="false">#REF!</definedName>
    <definedName function="false" hidden="false" localSheetId="18" name="_OB1" vbProcedure="false">#REF!</definedName>
    <definedName function="false" hidden="false" localSheetId="18" name="_OH1" vbProcedure="false">#REF!</definedName>
    <definedName function="false" hidden="false" localSheetId="18" name="_ONE03" vbProcedure="false">#REF!</definedName>
    <definedName function="false" hidden="false" localSheetId="18" name="_ONE04" vbProcedure="false">#REF!</definedName>
    <definedName function="false" hidden="false" localSheetId="18" name="_ONE05" vbProcedure="false">#REF!</definedName>
    <definedName function="false" hidden="false" localSheetId="18" name="_ONE06" vbProcedure="false">#REF!</definedName>
    <definedName function="false" hidden="false" localSheetId="18" name="_ONE07" vbProcedure="false">#REF!</definedName>
    <definedName function="false" hidden="false" localSheetId="18" name="_ONE08" vbProcedure="false">#REF!</definedName>
    <definedName function="false" hidden="false" localSheetId="18" name="_ONE09" vbProcedure="false">#REF!</definedName>
    <definedName function="false" hidden="false" localSheetId="18" name="_Ord9" vbProcedure="false">#REF!</definedName>
    <definedName function="false" hidden="false" localSheetId="18" name="_PL1" vbProcedure="false">#REF!</definedName>
    <definedName function="false" hidden="false" localSheetId="18" name="_PL2" vbProcedure="false">#REF!</definedName>
    <definedName function="false" hidden="false" localSheetId="18" name="_PMY02" vbProcedure="false">#REF!</definedName>
    <definedName function="false" hidden="false" localSheetId="18" name="_PMY03" vbProcedure="false">#REF!</definedName>
    <definedName function="false" hidden="false" localSheetId="18" name="_PMY04" vbProcedure="false">#REF!</definedName>
    <definedName function="false" hidden="false" localSheetId="18" name="_PMY05" vbProcedure="false">#REF!</definedName>
    <definedName function="false" hidden="false" localSheetId="18" name="_PMY06" vbProcedure="false">#REF!</definedName>
    <definedName function="false" hidden="false" localSheetId="18" name="_PMY07" vbProcedure="false">#REF!</definedName>
    <definedName function="false" hidden="false" localSheetId="18" name="_PMY08" vbProcedure="false">#REF!</definedName>
    <definedName function="false" hidden="false" localSheetId="18" name="_PMY09" vbProcedure="false">#REF!</definedName>
    <definedName function="false" hidden="false" localSheetId="18" name="_R" vbProcedure="false">#REF!</definedName>
    <definedName function="false" hidden="false" localSheetId="18" name="_sat10" vbProcedure="false">#REF!</definedName>
    <definedName function="false" hidden="false" localSheetId="18" name="_sat12" vbProcedure="false">#REF!</definedName>
    <definedName function="false" hidden="false" localSheetId="18" name="_sat14" vbProcedure="false">#REF!</definedName>
    <definedName function="false" hidden="false" localSheetId="18" name="_sat16" vbProcedure="false">#REF!</definedName>
    <definedName function="false" hidden="false" localSheetId="18" name="_sat20" vbProcedure="false">#REF!</definedName>
    <definedName function="false" hidden="false" localSheetId="18" name="_sat8" vbProcedure="false">#REF!</definedName>
    <definedName function="false" hidden="false" localSheetId="18" name="_SMY01" vbProcedure="false">#REF!</definedName>
    <definedName function="false" hidden="false" localSheetId="18" name="_SMY02" vbProcedure="false">#REF!</definedName>
    <definedName function="false" hidden="false" localSheetId="18" name="_SMY03" vbProcedure="false">#REF!</definedName>
    <definedName function="false" hidden="false" localSheetId="18" name="_SMY04" vbProcedure="false">#REF!</definedName>
    <definedName function="false" hidden="false" localSheetId="18" name="_SMY05" vbProcedure="false">#REF!</definedName>
    <definedName function="false" hidden="false" localSheetId="18" name="_SMY06" vbProcedure="false">#REF!</definedName>
    <definedName function="false" hidden="false" localSheetId="18" name="_SMY07" vbProcedure="false">#REF!</definedName>
    <definedName function="false" hidden="false" localSheetId="18" name="_SMY08" vbProcedure="false">#REF!</definedName>
    <definedName function="false" hidden="false" localSheetId="18" name="_SMY09" vbProcedure="false">#REF!</definedName>
    <definedName function="false" hidden="false" localSheetId="18" name="_Sort" vbProcedure="false">#REF!</definedName>
    <definedName function="false" hidden="false" localSheetId="18" name="_sua20" vbProcedure="false">#REF!</definedName>
    <definedName function="false" hidden="false" localSheetId="18" name="_sua30" vbProcedure="false">#REF!</definedName>
    <definedName function="false" hidden="false" localSheetId="18" name="_TWO03" vbProcedure="false">#REF!</definedName>
    <definedName function="false" hidden="false" localSheetId="18" name="_TWO04" vbProcedure="false">#REF!</definedName>
    <definedName function="false" hidden="false" localSheetId="18" name="_TWO05" vbProcedure="false">#REF!</definedName>
    <definedName function="false" hidden="false" localSheetId="18" name="_TWO06" vbProcedure="false">#REF!</definedName>
    <definedName function="false" hidden="false" localSheetId="18" name="_TWO07" vbProcedure="false">#REF!</definedName>
    <definedName function="false" hidden="false" localSheetId="18" name="_TWO08" vbProcedure="false">#REF!</definedName>
    <definedName function="false" hidden="false" localSheetId="18" name="_TWO09" vbProcedure="false">#REF!</definedName>
    <definedName function="false" hidden="false" localSheetId="18" name="_vbt150" vbProcedure="false">#REF!</definedName>
    <definedName function="false" hidden="false" localSheetId="18" name="_vbt200" vbProcedure="false">#REF!</definedName>
    <definedName function="false" hidden="false" localSheetId="18" name="_vbt210" vbProcedure="false">#REF!</definedName>
    <definedName function="false" hidden="false" localSheetId="18" name="_vbt300" vbProcedure="false">#REF!</definedName>
    <definedName function="false" hidden="false" localSheetId="18" name="_vbt400" vbProcedure="false">#REF!</definedName>
    <definedName function="false" hidden="false" localSheetId="18" name="_vxm100" vbProcedure="false">#REF!</definedName>
    <definedName function="false" hidden="false" localSheetId="18" name="_vxm300" vbProcedure="false">#REF!</definedName>
    <definedName function="false" hidden="false" localSheetId="18" name="_vxm500" vbProcedure="false">#REF!</definedName>
    <definedName function="false" hidden="false" localSheetId="18" name="_vxm75" vbProcedure="false">#REF!</definedName>
    <definedName function="false" hidden="false" localSheetId="18" name="_wo2" vbProcedure="false">#REF!</definedName>
    <definedName function="false" hidden="false" localSheetId="18" name="_wo6" vbProcedure="false">#REF!</definedName>
    <definedName function="false" hidden="false" localSheetId="18" name="_wo62" vbProcedure="false">#REF!</definedName>
    <definedName function="false" hidden="false" localSheetId="18" name="_XG\_" vbProcedure="false">#REF!</definedName>
    <definedName function="false" hidden="false" localSheetId="18" name="_xlnm.Database" vbProcedure="false">#REF!</definedName>
    <definedName function="false" hidden="false" localSheetId="18" name="_xlnm.Extract" vbProcedure="false">#REF!</definedName>
    <definedName function="false" hidden="false" localSheetId="18" name="_xlnm.Print_Area" vbProcedure="false">#REF!</definedName>
    <definedName function="false" hidden="false" localSheetId="18" name="_xlnm.Print_Titles" vbProcedure="false">#REF!</definedName>
    <definedName function="false" hidden="false" localSheetId="18" name="__" vbProcedure="false">#REF!</definedName>
    <definedName function="false" hidden="false" localSheetId="18" name="__6" vbProcedure="false">#REF!</definedName>
    <definedName function="false" hidden="false" localSheetId="18" name="__7_8" vbProcedure="false">#REF!</definedName>
    <definedName function="false" hidden="false" localSheetId="18" name="__8" vbProcedure="false">#REF!</definedName>
    <definedName function="false" hidden="false" localSheetId="18" name="__aug2" vbProcedure="false">#REF!</definedName>
    <definedName function="false" hidden="false" localSheetId="18" name="__BOM1" vbProcedure="false">#REF!</definedName>
    <definedName function="false" hidden="false" localSheetId="18" name="__C" vbProcedure="false">#REF!</definedName>
    <definedName function="false" hidden="false" localSheetId="18" name="__hom2" vbProcedure="false">#REF!</definedName>
    <definedName function="false" hidden="false" localSheetId="18" name="__MI1" vbProcedure="false">#REF!</definedName>
    <definedName function="false" hidden="false" localSheetId="18" name="__MI2" vbProcedure="false">#REF!</definedName>
    <definedName function="false" hidden="false" localSheetId="18" name="__MI6" vbProcedure="false">#REF!</definedName>
    <definedName function="false" hidden="false" localSheetId="18" name="__MI7" vbProcedure="false">#REF!</definedName>
    <definedName function="false" hidden="false" localSheetId="18" name="__MI8" vbProcedure="false">#REF!</definedName>
    <definedName function="false" hidden="false" localSheetId="18" name="__mil1" vbProcedure="false">#REF!</definedName>
    <definedName function="false" hidden="false" localSheetId="18" name="__mil2" vbProcedure="false">#REF!</definedName>
    <definedName function="false" hidden="false" localSheetId="18" name="__mil6" vbProcedure="false">#REF!</definedName>
    <definedName function="false" hidden="false" localSheetId="18" name="__mil7" vbProcedure="false">#REF!</definedName>
    <definedName function="false" hidden="false" localSheetId="18" name="__mil8" vbProcedure="false">#REF!</definedName>
    <definedName function="false" hidden="false" localSheetId="18" name="__msl100" vbProcedure="false">#REF!</definedName>
    <definedName function="false" hidden="false" localSheetId="18" name="__msl200" vbProcedure="false">#REF!</definedName>
    <definedName function="false" hidden="false" localSheetId="18" name="__msl250" vbProcedure="false">#REF!</definedName>
    <definedName function="false" hidden="false" localSheetId="18" name="__msl300" vbProcedure="false">#REF!</definedName>
    <definedName function="false" hidden="false" localSheetId="18" name="__msl400" vbProcedure="false">#REF!</definedName>
    <definedName function="false" hidden="false" localSheetId="18" name="__msl800" vbProcedure="false">#REF!</definedName>
    <definedName function="false" hidden="false" localSheetId="18" name="__mui100" vbProcedure="false">#REF!</definedName>
    <definedName function="false" hidden="false" localSheetId="18" name="__mui105" vbProcedure="false">#REF!</definedName>
    <definedName function="false" hidden="false" localSheetId="18" name="__mui108" vbProcedure="false">#REF!</definedName>
    <definedName function="false" hidden="false" localSheetId="18" name="__mui130" vbProcedure="false">#REF!</definedName>
    <definedName function="false" hidden="false" localSheetId="18" name="__mui140" vbProcedure="false">#REF!</definedName>
    <definedName function="false" hidden="false" localSheetId="18" name="__mui160" vbProcedure="false">#REF!</definedName>
    <definedName function="false" hidden="false" localSheetId="18" name="__mui180" vbProcedure="false">#REF!</definedName>
    <definedName function="false" hidden="false" localSheetId="18" name="__mui250" vbProcedure="false">#REF!</definedName>
    <definedName function="false" hidden="false" localSheetId="18" name="__mui271" vbProcedure="false">#REF!</definedName>
    <definedName function="false" hidden="false" localSheetId="18" name="__mui320" vbProcedure="false">#REF!</definedName>
    <definedName function="false" hidden="false" localSheetId="18" name="__mui45" vbProcedure="false">#REF!</definedName>
    <definedName function="false" hidden="false" localSheetId="18" name="__mui50" vbProcedure="false">#REF!</definedName>
    <definedName function="false" hidden="false" localSheetId="18" name="__mui54" vbProcedure="false">#REF!</definedName>
    <definedName function="false" hidden="false" localSheetId="18" name="__mui65" vbProcedure="false">#REF!</definedName>
    <definedName function="false" hidden="false" localSheetId="18" name="__mui75" vbProcedure="false">#REF!</definedName>
    <definedName function="false" hidden="false" localSheetId="18" name="__mui80" vbProcedure="false">#REF!</definedName>
    <definedName function="false" hidden="false" localSheetId="18" name="__NET2" vbProcedure="false">#REF!</definedName>
    <definedName function="false" hidden="false" localSheetId="18" name="__new1" vbProcedure="false">#REF!</definedName>
    <definedName function="false" hidden="false" localSheetId="18" name="__new11" vbProcedure="false">#REF!</definedName>
    <definedName function="false" hidden="false" localSheetId="18" name="__new6" vbProcedure="false">#REF!</definedName>
    <definedName function="false" hidden="false" localSheetId="18" name="__OB1" vbProcedure="false">#REF!</definedName>
    <definedName function="false" hidden="false" localSheetId="18" name="__Ord9" vbProcedure="false">#REF!</definedName>
    <definedName function="false" hidden="false" localSheetId="18" name="__PL1" vbProcedure="false">#REF!</definedName>
    <definedName function="false" hidden="false" localSheetId="18" name="__PL2" vbProcedure="false">#REF!</definedName>
    <definedName function="false" hidden="false" localSheetId="18" name="__R" vbProcedure="false">#REF!</definedName>
    <definedName function="false" hidden="false" localSheetId="18" name="__sua20" vbProcedure="false">#REF!</definedName>
    <definedName function="false" hidden="false" localSheetId="18" name="__sua30" vbProcedure="false">#REF!</definedName>
    <definedName function="false" hidden="false" localSheetId="18" name="__wo2" vbProcedure="false">#REF!</definedName>
    <definedName function="false" hidden="false" localSheetId="18" name="__wo6" vbProcedure="false">#REF!</definedName>
    <definedName function="false" hidden="false" localSheetId="18" name="__wo62" vbProcedure="false">#REF!</definedName>
    <definedName function="false" hidden="false" localSheetId="18" name="___" vbProcedure="false">#REF!</definedName>
    <definedName function="false" hidden="false" localSheetId="18" name="___6" vbProcedure="false">#REF!</definedName>
    <definedName function="false" hidden="false" localSheetId="18" name="___8" vbProcedure="false">#REF!</definedName>
    <definedName function="false" hidden="false" localSheetId="18" name="___aug2" vbProcedure="false">#REF!</definedName>
    <definedName function="false" hidden="false" localSheetId="18" name="___BOM1" vbProcedure="false">#REF!</definedName>
    <definedName function="false" hidden="false" localSheetId="18" name="___BTM150" vbProcedure="false">#REF!</definedName>
    <definedName function="false" hidden="false" localSheetId="18" name="___BTM200" vbProcedure="false">#REF!</definedName>
    <definedName function="false" hidden="false" localSheetId="18" name="___BTM50" vbProcedure="false">#REF!</definedName>
    <definedName function="false" hidden="false" localSheetId="18" name="___C" vbProcedure="false">#REF!</definedName>
    <definedName function="false" hidden="false" localSheetId="18" name="___CON1" vbProcedure="false">#REF!</definedName>
    <definedName function="false" hidden="false" localSheetId="18" name="___CON2" vbProcedure="false">#REF!</definedName>
    <definedName function="false" hidden="false" localSheetId="18" name="___EXC1" vbProcedure="false">#REF!</definedName>
    <definedName function="false" hidden="false" localSheetId="18" name="___EXC2" vbProcedure="false">#REF!</definedName>
    <definedName function="false" hidden="false" localSheetId="18" name="___new1" vbProcedure="false">#REF!</definedName>
    <definedName function="false" hidden="false" localSheetId="18" name="___new11" vbProcedure="false">#REF!</definedName>
    <definedName function="false" hidden="false" localSheetId="18" name="___new6" vbProcedure="false">#REF!</definedName>
    <definedName function="false" hidden="false" localSheetId="18" name="___OH1" vbProcedure="false">#REF!</definedName>
    <definedName function="false" hidden="false" localSheetId="18" name="___PL1" vbProcedure="false">#REF!</definedName>
    <definedName function="false" hidden="false" localSheetId="18" name="___PL2" vbProcedure="false">#REF!</definedName>
    <definedName function="false" hidden="false" localSheetId="18" name="___R" vbProcedure="false">#REF!</definedName>
    <definedName function="false" hidden="false" localSheetId="18" name="___sat10" vbProcedure="false">#REF!</definedName>
    <definedName function="false" hidden="false" localSheetId="18" name="___sat12" vbProcedure="false">#REF!</definedName>
    <definedName function="false" hidden="false" localSheetId="18" name="___sat14" vbProcedure="false">#REF!</definedName>
    <definedName function="false" hidden="false" localSheetId="18" name="___sat16" vbProcedure="false">#REF!</definedName>
    <definedName function="false" hidden="false" localSheetId="18" name="___sat20" vbProcedure="false">#REF!</definedName>
    <definedName function="false" hidden="false" localSheetId="18" name="___sat8" vbProcedure="false">#REF!</definedName>
    <definedName function="false" hidden="false" localSheetId="18" name="___vbt150" vbProcedure="false">#REF!</definedName>
    <definedName function="false" hidden="false" localSheetId="18" name="___vbt200" vbProcedure="false">#REF!</definedName>
    <definedName function="false" hidden="false" localSheetId="18" name="___vbt210" vbProcedure="false">#REF!</definedName>
    <definedName function="false" hidden="false" localSheetId="18" name="___vbt300" vbProcedure="false">#REF!</definedName>
    <definedName function="false" hidden="false" localSheetId="18" name="___vbt400" vbProcedure="false">#REF!</definedName>
    <definedName function="false" hidden="false" localSheetId="18" name="___vxm100" vbProcedure="false">#REF!</definedName>
    <definedName function="false" hidden="false" localSheetId="18" name="___vxm300" vbProcedure="false">#REF!</definedName>
    <definedName function="false" hidden="false" localSheetId="18" name="___vxm500" vbProcedure="false">#REF!</definedName>
    <definedName function="false" hidden="false" localSheetId="18" name="___vxm75" vbProcedure="false">#REF!</definedName>
    <definedName function="false" hidden="false" localSheetId="18" name="____" vbProcedure="false">#REF!</definedName>
    <definedName function="false" hidden="false" localSheetId="18" name="____aug2" vbProcedure="false">#REF!</definedName>
    <definedName function="false" hidden="false" localSheetId="18" name="____C" vbProcedure="false">#REF!</definedName>
    <definedName function="false" hidden="false" localSheetId="18" name="____E_" vbProcedure="false">#REF!</definedName>
    <definedName function="false" hidden="false" localSheetId="18" name="____MI1" vbProcedure="false">#REF!</definedName>
    <definedName function="false" hidden="false" localSheetId="18" name="____MI2" vbProcedure="false">#REF!</definedName>
    <definedName function="false" hidden="false" localSheetId="18" name="____MI6" vbProcedure="false">#REF!</definedName>
    <definedName function="false" hidden="false" localSheetId="18" name="____MI7" vbProcedure="false">#REF!</definedName>
    <definedName function="false" hidden="false" localSheetId="18" name="____MI8" vbProcedure="false">#REF!</definedName>
    <definedName function="false" hidden="false" localSheetId="18" name="____mil1" vbProcedure="false">#REF!</definedName>
    <definedName function="false" hidden="false" localSheetId="18" name="____mil2" vbProcedure="false">#REF!</definedName>
    <definedName function="false" hidden="false" localSheetId="18" name="____mil6" vbProcedure="false">#REF!</definedName>
    <definedName function="false" hidden="false" localSheetId="18" name="____mil7" vbProcedure="false">#REF!</definedName>
    <definedName function="false" hidden="false" localSheetId="18" name="____mil8" vbProcedure="false">#REF!</definedName>
    <definedName function="false" hidden="false" localSheetId="18" name="____new1" vbProcedure="false">#REF!</definedName>
    <definedName function="false" hidden="false" localSheetId="18" name="____new11" vbProcedure="false">#REF!</definedName>
    <definedName function="false" hidden="false" localSheetId="18" name="____new6" vbProcedure="false">#REF!</definedName>
    <definedName function="false" hidden="false" localSheetId="18" name="____PL1" vbProcedure="false">#REF!</definedName>
    <definedName function="false" hidden="false" localSheetId="18" name="____PL2" vbProcedure="false">#REF!</definedName>
    <definedName function="false" hidden="false" localSheetId="18" name="____R" vbProcedure="false">#REF!</definedName>
    <definedName function="false" hidden="false" localSheetId="18" name="____wo2" vbProcedure="false">#REF!</definedName>
    <definedName function="false" hidden="false" localSheetId="18" name="____wo6" vbProcedure="false">#REF!</definedName>
    <definedName function="false" hidden="false" localSheetId="18" name="____wo62" vbProcedure="false">#REF!</definedName>
    <definedName function="false" hidden="false" localSheetId="18" name="_____" vbProcedure="false">#REF!</definedName>
    <definedName function="false" hidden="false" localSheetId="18" name="_____No_____No______" vbProcedure="false">#REF!</definedName>
    <definedName function="false" hidden="false" localSheetId="18" name="_______" vbProcedure="false">#REF!</definedName>
    <definedName function="false" hidden="false" localSheetId="19" name="_Fill" vbProcedure="false">#REF!</definedName>
  </definedNames>
  <calcPr iterateCount="100" refMode="A1" iterate="false" iterateDelta="0.0001"/>
  <pivotCaches>
    <pivotCache cacheId="1" r:id="rId43"/>
    <pivotCache cacheId="2" r:id="rId44"/>
    <pivotCache cacheId="3" r:id="rId45"/>
  </pivotCaches>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P43" authorId="0">
      <text>
        <r>
          <rPr>
            <sz val="11"/>
            <color rgb="FF000000"/>
            <rFont val="Calibri"/>
            <family val="0"/>
          </rPr>
          <t xml:space="preserve">Nitin Awasthi:
</t>
        </r>
        <r>
          <rPr>
            <sz val="9"/>
            <color rgb="FF000000"/>
            <rFont val="Tahoma"/>
            <family val="2"/>
          </rPr>
          <t xml:space="preserve">purgr material after drum change 1.8 kg
</t>
        </r>
      </text>
    </comment>
    <comment ref="P109" authorId="0">
      <text>
        <r>
          <rPr>
            <sz val="11"/>
            <color rgb="FF000000"/>
            <rFont val="Calibri"/>
            <family val="0"/>
          </rPr>
          <t xml:space="preserve">production:
</t>
        </r>
        <r>
          <rPr>
            <b val="true"/>
            <sz val="9"/>
            <color rgb="FF000000"/>
            <rFont val="Tahoma"/>
            <family val="2"/>
          </rPr>
          <t xml:space="preserve">Drum change over
</t>
        </r>
        <r>
          <rPr>
            <sz val="9"/>
            <color rgb="FF000000"/>
            <rFont val="Tahoma"/>
            <family val="2"/>
          </rPr>
          <t xml:space="preserve">Drum-A : 1.360kg
Drum-B : 3.260kg
Purge    : 3.260kg
</t>
        </r>
        <r>
          <rPr>
            <b val="true"/>
            <sz val="9"/>
            <color rgb="FF000000"/>
            <rFont val="Tahoma"/>
            <family val="2"/>
          </rPr>
          <t xml:space="preserve">material leakage wastage
</t>
        </r>
        <r>
          <rPr>
            <sz val="9"/>
            <color rgb="FF000000"/>
            <rFont val="Tahoma"/>
            <family val="2"/>
          </rPr>
          <t xml:space="preserve">Drum-A : 25kg
Drum-B : 25kg
Purge   :  07kg</t>
        </r>
      </text>
    </comment>
    <comment ref="P174" authorId="0">
      <text>
        <r>
          <rPr>
            <sz val="11"/>
            <color rgb="FF000000"/>
            <rFont val="Calibri"/>
            <family val="0"/>
          </rPr>
          <t xml:space="preserve">Nitin Awasthi:
</t>
        </r>
        <r>
          <rPr>
            <sz val="9"/>
            <color rgb="FF000000"/>
            <rFont val="Tahoma"/>
            <family val="2"/>
          </rPr>
          <t xml:space="preserve">drum change wastage A=1.48 KG
B=1.53 KG
Purge included of 17.8.21 startup and during holiday
a= 1.48 kg
b= 1.45 kg</t>
        </r>
      </text>
    </comment>
    <comment ref="P279" authorId="0">
      <text>
        <r>
          <rPr>
            <sz val="11"/>
            <color rgb="FF000000"/>
            <rFont val="Calibri"/>
            <family val="0"/>
          </rPr>
          <t xml:space="preserve">production:
</t>
        </r>
        <r>
          <rPr>
            <sz val="9"/>
            <color rgb="FF000000"/>
            <rFont val="Tahoma"/>
            <family val="2"/>
          </rPr>
          <t xml:space="preserve">A=5.2
B=4.1
Purge=0.650</t>
        </r>
      </text>
    </comment>
    <comment ref="U256" authorId="0">
      <text>
        <r>
          <rPr>
            <sz val="11"/>
            <color rgb="FF000000"/>
            <rFont val="Calibri"/>
            <family val="0"/>
          </rPr>
          <t xml:space="preserve">Nitin Awasthi:
</t>
        </r>
        <r>
          <rPr>
            <sz val="9"/>
            <color rgb="FF000000"/>
            <rFont val="Tahoma"/>
            <family val="2"/>
          </rPr>
          <t xml:space="preserve">qc extra sample taken on hourly due to thickness issue.</t>
        </r>
      </text>
    </comment>
    <comment ref="U293" authorId="0">
      <text>
        <r>
          <rPr>
            <sz val="11"/>
            <color rgb="FF000000"/>
            <rFont val="Calibri"/>
            <family val="0"/>
          </rPr>
          <t xml:space="preserve">Nitin Awasthi:
</t>
        </r>
        <r>
          <rPr>
            <sz val="9"/>
            <color rgb="FF000000"/>
            <rFont val="Tahoma"/>
            <family val="2"/>
          </rPr>
          <t xml:space="preserve">taken extra sample due to thickness checking in kpp 4 .</t>
        </r>
      </text>
    </comment>
  </commentList>
</comments>
</file>

<file path=xl/sharedStrings.xml><?xml version="1.0" encoding="utf-8"?>
<sst xmlns="http://schemas.openxmlformats.org/spreadsheetml/2006/main" count="16595" uniqueCount="4297">
  <si>
    <t xml:space="preserve">KPP-8 BOTTLE (FO044) TRIAL WMG3B BLOW 2ND MACHINE</t>
  </si>
  <si>
    <t xml:space="preserve">24-10-2020</t>
  </si>
  <si>
    <t xml:space="preserve">Bin no</t>
  </si>
  <si>
    <t xml:space="preserve">Ok Qty</t>
  </si>
  <si>
    <t xml:space="preserve">Dust Ng</t>
  </si>
  <si>
    <t xml:space="preserve">Stringe</t>
  </si>
  <si>
    <t xml:space="preserve">Scratch mark</t>
  </si>
  <si>
    <t xml:space="preserve">Flow mark</t>
  </si>
  <si>
    <t xml:space="preserve">Total Qty</t>
  </si>
  <si>
    <t xml:space="preserve">Total</t>
  </si>
  <si>
    <t xml:space="preserve">Remark:- total setup Qty =37 (23 bottle and 14 Preform)</t>
  </si>
  <si>
    <t xml:space="preserve">QC semple =08 Pcs</t>
  </si>
  <si>
    <t xml:space="preserve">DATE</t>
  </si>
  <si>
    <t xml:space="preserve">Shift</t>
  </si>
  <si>
    <t xml:space="preserve">Section</t>
  </si>
  <si>
    <t xml:space="preserve">Item Code</t>
  </si>
  <si>
    <t xml:space="preserve">Mold No</t>
  </si>
  <si>
    <t xml:space="preserve">Machine No</t>
  </si>
  <si>
    <t xml:space="preserve">Category</t>
  </si>
  <si>
    <t xml:space="preserve">SKU</t>
  </si>
  <si>
    <t xml:space="preserve">Lot No.</t>
  </si>
  <si>
    <t xml:space="preserve">Plan Hrs</t>
  </si>
  <si>
    <t xml:space="preserve">Plan Qty</t>
  </si>
  <si>
    <t xml:space="preserve">Plan Qty per Hr</t>
  </si>
  <si>
    <t xml:space="preserve">Total Produced Qty.</t>
  </si>
  <si>
    <t xml:space="preserve">Total Good Pc's</t>
  </si>
  <si>
    <t xml:space="preserve">Purge Material (in KG.)</t>
  </si>
  <si>
    <t xml:space="preserve">Setup Qty.</t>
  </si>
  <si>
    <t xml:space="preserve">Rework Qty.</t>
  </si>
  <si>
    <t xml:space="preserve">Hold Qty.</t>
  </si>
  <si>
    <t xml:space="preserve">Line rej Qty.</t>
  </si>
  <si>
    <t xml:space="preserve">QC Sample Qty.</t>
  </si>
  <si>
    <t xml:space="preserve">Man Power</t>
  </si>
  <si>
    <t xml:space="preserve">P.P. Output </t>
  </si>
  <si>
    <t xml:space="preserve">Plan vs Actual Achievement %</t>
  </si>
  <si>
    <t xml:space="preserve">Material Type Consumed</t>
  </si>
  <si>
    <t xml:space="preserve">Prod. Wt./Piece (in gm)</t>
  </si>
  <si>
    <t xml:space="preserve">Total Mtl. Consump. (KG)</t>
  </si>
  <si>
    <t xml:space="preserve">Material Yield %</t>
  </si>
  <si>
    <t xml:space="preserve">% Rej.</t>
  </si>
  <si>
    <t xml:space="preserve">% Setup rej </t>
  </si>
  <si>
    <t xml:space="preserve">Quality Ratio</t>
  </si>
  <si>
    <t xml:space="preserve">Break down Hrs</t>
  </si>
  <si>
    <t xml:space="preserve">Total Running Hrs</t>
  </si>
  <si>
    <t xml:space="preserve">Machine Availability</t>
  </si>
  <si>
    <t xml:space="preserve">Actual output per hr</t>
  </si>
  <si>
    <t xml:space="preserve">Standard Cycle Time/Piece (In sec.)</t>
  </si>
  <si>
    <t xml:space="preserve">Actual Cycle Time per Piece 
(in sec.)</t>
  </si>
  <si>
    <t xml:space="preserve">Effieciency</t>
  </si>
  <si>
    <t xml:space="preserve">OEE</t>
  </si>
  <si>
    <t xml:space="preserve">ERP ENTRY NO</t>
  </si>
  <si>
    <t xml:space="preserve">A</t>
  </si>
  <si>
    <t xml:space="preserve">NIPPLE PUNCH</t>
  </si>
  <si>
    <t xml:space="preserve">FO019</t>
  </si>
  <si>
    <t xml:space="preserve">P1</t>
  </si>
  <si>
    <t xml:space="preserve">NIPPLE S TYPE S SIZE PUNCHED</t>
  </si>
  <si>
    <t xml:space="preserve">HDG24NaG24PaG29Pa</t>
  </si>
  <si>
    <t xml:space="preserve">FO015</t>
  </si>
  <si>
    <t xml:space="preserve"> </t>
  </si>
  <si>
    <t xml:space="preserve">PENDING</t>
  </si>
  <si>
    <t xml:space="preserve">FO020</t>
  </si>
  <si>
    <t xml:space="preserve">NIPPLE S TYPE M SIZE PUNCHED</t>
  </si>
  <si>
    <t xml:space="preserve">FO016</t>
  </si>
  <si>
    <t xml:space="preserve">G</t>
  </si>
  <si>
    <t xml:space="preserve">BOTTLE PRINTED</t>
  </si>
  <si>
    <t xml:space="preserve">FO008</t>
  </si>
  <si>
    <t xml:space="preserve">PR1</t>
  </si>
  <si>
    <t xml:space="preserve">KPP 240 ML BOTTLE PRINTED</t>
  </si>
  <si>
    <t xml:space="preserve">DJ22BB2J24PA</t>
  </si>
  <si>
    <t xml:space="preserve">FO003</t>
  </si>
  <si>
    <t xml:space="preserve">B</t>
  </si>
  <si>
    <t xml:space="preserve">BOTTLE MOLDED</t>
  </si>
  <si>
    <t xml:space="preserve">FO044</t>
  </si>
  <si>
    <t xml:space="preserve">BM3</t>
  </si>
  <si>
    <t xml:space="preserve">B2</t>
  </si>
  <si>
    <t xml:space="preserve">KPP BOTTLE 240 ML MOULDED-WMG3B</t>
  </si>
  <si>
    <t xml:space="preserve">DJ24Bb2</t>
  </si>
  <si>
    <t xml:space="preserve">WMG3B</t>
  </si>
  <si>
    <t xml:space="preserve">FO004</t>
  </si>
  <si>
    <t xml:space="preserve">BM4</t>
  </si>
  <si>
    <t xml:space="preserve">B1</t>
  </si>
  <si>
    <t xml:space="preserve">RPP 120 ML BOTTLE MOLDED</t>
  </si>
  <si>
    <t xml:space="preserve">DJ24Ba1</t>
  </si>
  <si>
    <t xml:space="preserve">P750J</t>
  </si>
  <si>
    <t xml:space="preserve">AUTO</t>
  </si>
  <si>
    <t xml:space="preserve">Auto</t>
  </si>
  <si>
    <t xml:space="preserve">Breakdown(Min)</t>
  </si>
  <si>
    <t xml:space="preserve">Month</t>
  </si>
  <si>
    <t xml:space="preserve">Date</t>
  </si>
  <si>
    <t xml:space="preserve">M/c No</t>
  </si>
  <si>
    <t xml:space="preserve">Shift Incharge</t>
  </si>
  <si>
    <t xml:space="preserve">Total Produced Qty</t>
  </si>
  <si>
    <t xml:space="preserve">Purge Material (in KG)</t>
  </si>
  <si>
    <t xml:space="preserve">Setup Qty</t>
  </si>
  <si>
    <t xml:space="preserve">Rework Qty</t>
  </si>
  <si>
    <t xml:space="preserve">Hold Qty</t>
  </si>
  <si>
    <t xml:space="preserve">Line rej Qty</t>
  </si>
  <si>
    <t xml:space="preserve">Plan vs Actual Achievement</t>
  </si>
  <si>
    <t xml:space="preserve">Prod. Wt/Piece (in gm)</t>
  </si>
  <si>
    <t xml:space="preserve">Total Mtl. Con(KG)</t>
  </si>
  <si>
    <t xml:space="preserve">Material Yield</t>
  </si>
  <si>
    <t xml:space="preserve">Rej.</t>
  </si>
  <si>
    <t xml:space="preserve"> Setup rej </t>
  </si>
  <si>
    <t xml:space="preserve">Standard Cycle Time/Piece (sec)</t>
  </si>
  <si>
    <t xml:space="preserve">Actual Cycle Time per Piece 
(in sec)</t>
  </si>
  <si>
    <t xml:space="preserve">Production Remark</t>
  </si>
  <si>
    <t xml:space="preserve">Lunch Tea break</t>
  </si>
  <si>
    <t xml:space="preserve">SKU change</t>
  </si>
  <si>
    <t xml:space="preserve">Heat Test</t>
  </si>
  <si>
    <t xml:space="preserve">MATERIAL SHORT/MATERIAL RECHECKING</t>
  </si>
  <si>
    <t xml:space="preserve">MP SHORT/NEW MP</t>
  </si>
  <si>
    <t xml:space="preserve">MIDDLE PLATE AND BACK PLATE CLEANING</t>
  </si>
  <si>
    <t xml:space="preserve">PROCESS SET UP</t>
  </si>
  <si>
    <t xml:space="preserve">Process optimization</t>
  </si>
  <si>
    <t xml:space="preserve">Drum change</t>
  </si>
  <si>
    <t xml:space="preserve">Dust Problem</t>
  </si>
  <si>
    <t xml:space="preserve">Mold &amp; Filter cleaning </t>
  </si>
  <si>
    <t xml:space="preserve">Trial</t>
  </si>
  <si>
    <t xml:space="preserve">Heating ON/OFF</t>
  </si>
  <si>
    <t xml:space="preserve">Oil Temp High Issue</t>
  </si>
  <si>
    <t xml:space="preserve">printed Bottle cleaning</t>
  </si>
  <si>
    <t xml:space="preserve">No Plan</t>
  </si>
  <si>
    <t xml:space="preserve">Silicon cutting issue</t>
  </si>
  <si>
    <t xml:space="preserve">Trainings/Medical Checkup </t>
  </si>
  <si>
    <t xml:space="preserve">Cavity stopped</t>
  </si>
  <si>
    <t xml:space="preserve">Auxiliary issue</t>
  </si>
  <si>
    <t xml:space="preserve">Manual hole checking </t>
  </si>
  <si>
    <t xml:space="preserve">Machine/Mould  issue</t>
  </si>
  <si>
    <t xml:space="preserve">Pin die damage/Change</t>
  </si>
  <si>
    <t xml:space="preserve">Material changeover</t>
  </si>
  <si>
    <t xml:space="preserve">Heater tip cleaning</t>
  </si>
  <si>
    <t xml:space="preserve">ISI PRINTING</t>
  </si>
  <si>
    <t xml:space="preserve">Roll change</t>
  </si>
  <si>
    <t xml:space="preserve">Pin/die cleaning</t>
  </si>
  <si>
    <t xml:space="preserve">Total Braekdown Hrs</t>
  </si>
  <si>
    <t xml:space="preserve">Shift Incharge name</t>
  </si>
  <si>
    <t xml:space="preserve">FO012</t>
  </si>
  <si>
    <t xml:space="preserve">M2</t>
  </si>
  <si>
    <t xml:space="preserve">L2</t>
  </si>
  <si>
    <t xml:space="preserve">HEH02Nb</t>
  </si>
  <si>
    <t xml:space="preserve">Saurav</t>
  </si>
  <si>
    <t xml:space="preserve">2176</t>
  </si>
  <si>
    <t xml:space="preserve">Nipple sticking at cavity due to polishing done during this preventive maintenance</t>
  </si>
  <si>
    <t xml:space="preserve">Nitin</t>
  </si>
  <si>
    <t xml:space="preserve">BM1</t>
  </si>
  <si>
    <t xml:space="preserve">EH02Bb1</t>
  </si>
  <si>
    <t xml:space="preserve">2175/2177</t>
  </si>
  <si>
    <t xml:space="preserve">Condensation,Fume,Bubble at thread area replaced with old lip cavity</t>
  </si>
  <si>
    <t xml:space="preserve">Himanshu</t>
  </si>
  <si>
    <t xml:space="preserve">PC1</t>
  </si>
  <si>
    <t xml:space="preserve">HEH02NbH02Pb</t>
  </si>
  <si>
    <t xml:space="preserve">2178</t>
  </si>
  <si>
    <t xml:space="preserve">C</t>
  </si>
  <si>
    <t xml:space="preserve">HEH02Nc</t>
  </si>
  <si>
    <t xml:space="preserve">Drum Change over</t>
  </si>
  <si>
    <t xml:space="preserve">Badelal</t>
  </si>
  <si>
    <t xml:space="preserve">EH02BC1</t>
  </si>
  <si>
    <t xml:space="preserve">2179</t>
  </si>
  <si>
    <t xml:space="preserve">Vivek</t>
  </si>
  <si>
    <t xml:space="preserve">HEH02NbH02PbH03Pa</t>
  </si>
  <si>
    <t xml:space="preserve">Material short from postcure stage</t>
  </si>
  <si>
    <t xml:space="preserve">Pintu</t>
  </si>
  <si>
    <t xml:space="preserve">EH03Ba1</t>
  </si>
  <si>
    <t xml:space="preserve">ERP Entry pending due to material not issue in erp</t>
  </si>
  <si>
    <t xml:space="preserve">4 time back plate open to cleane round block due to whit spot issue</t>
  </si>
  <si>
    <t xml:space="preserve">HEH03NaH03Pb</t>
  </si>
  <si>
    <t xml:space="preserve">2183/2184/2185/2189</t>
  </si>
  <si>
    <t xml:space="preserve">HEH03Nb</t>
  </si>
  <si>
    <t xml:space="preserve">EH03Bb1</t>
  </si>
  <si>
    <t xml:space="preserve">Material short in ERP.</t>
  </si>
  <si>
    <t xml:space="preserve">HEH02NcH03PbH03Pb</t>
  </si>
  <si>
    <t xml:space="preserve">2186/2187</t>
  </si>
  <si>
    <t xml:space="preserve">EH03Bc1</t>
  </si>
  <si>
    <t xml:space="preserve">FR101 Material short in ERP</t>
  </si>
  <si>
    <t xml:space="preserve">HEH03Nc</t>
  </si>
  <si>
    <t xml:space="preserve">2190</t>
  </si>
  <si>
    <t xml:space="preserve">HEH03NaH03PbH04Pa</t>
  </si>
  <si>
    <t xml:space="preserve">2191/2192</t>
  </si>
  <si>
    <t xml:space="preserve">Lot qty pending , 300 pcs punched handover to next shift</t>
  </si>
  <si>
    <t xml:space="preserve">EH04Ba1</t>
  </si>
  <si>
    <t xml:space="preserve">Thickness issue coming </t>
  </si>
  <si>
    <t xml:space="preserve">HEH04Na</t>
  </si>
  <si>
    <t xml:space="preserve">FO109</t>
  </si>
  <si>
    <t xml:space="preserve">2198/2199/2200</t>
  </si>
  <si>
    <t xml:space="preserve">Material short in punching stage</t>
  </si>
  <si>
    <t xml:space="preserve">EH04Bb1</t>
  </si>
  <si>
    <t xml:space="preserve">Thickness issue coming and heat test fail.</t>
  </si>
  <si>
    <t xml:space="preserve">HEH03NbH04PbH04Pb</t>
  </si>
  <si>
    <t xml:space="preserve">2206/2207/2208</t>
  </si>
  <si>
    <t xml:space="preserve">HEH03NbH04Pb</t>
  </si>
  <si>
    <t xml:space="preserve">2202/2203/2204</t>
  </si>
  <si>
    <t xml:space="preserve">HEH04Nb</t>
  </si>
  <si>
    <t xml:space="preserve">EH04Bc1</t>
  </si>
  <si>
    <t xml:space="preserve">Monthly plan completed</t>
  </si>
  <si>
    <t xml:space="preserve">HEH04Nc</t>
  </si>
  <si>
    <t xml:space="preserve">HEH05Na</t>
  </si>
  <si>
    <t xml:space="preserve">HEH04NbH05Pa</t>
  </si>
  <si>
    <t xml:space="preserve">HEH04NaH04Pb</t>
  </si>
  <si>
    <t xml:space="preserve">2216/2217</t>
  </si>
  <si>
    <t xml:space="preserve">FO142</t>
  </si>
  <si>
    <t xml:space="preserve">INJ-1</t>
  </si>
  <si>
    <t xml:space="preserve">EH05Ca</t>
  </si>
  <si>
    <t xml:space="preserve">1.701 Kg booked as Runner wastage</t>
  </si>
  <si>
    <t xml:space="preserve">EH05CRa</t>
  </si>
  <si>
    <t xml:space="preserve">FO113</t>
  </si>
  <si>
    <t xml:space="preserve">DA30Ba2EG05Pa</t>
  </si>
  <si>
    <t xml:space="preserve">PINPM/21-22/2237</t>
  </si>
  <si>
    <t xml:space="preserve">SKU change over FO048 to FO113 total loss time 220 min .</t>
  </si>
  <si>
    <t xml:space="preserve">2220/2221/2222/2223</t>
  </si>
  <si>
    <t xml:space="preserve">HEH05Nb</t>
  </si>
  <si>
    <t xml:space="preserve">Production loss due to middle plate and back plate cleaning.</t>
  </si>
  <si>
    <t xml:space="preserve">HEH04NbH05PaH05Pb</t>
  </si>
  <si>
    <t xml:space="preserve">2227/2229</t>
  </si>
  <si>
    <t xml:space="preserve">HEH04NbH05Pb</t>
  </si>
  <si>
    <t xml:space="preserve">2224/2225/2226</t>
  </si>
  <si>
    <t xml:space="preserve">FO043</t>
  </si>
  <si>
    <t xml:space="preserve">BM2</t>
  </si>
  <si>
    <t xml:space="preserve">EH05Bb2</t>
  </si>
  <si>
    <t xml:space="preserve">HEH05Nc</t>
  </si>
  <si>
    <t xml:space="preserve">2231</t>
  </si>
  <si>
    <t xml:space="preserve">EH05Bc2</t>
  </si>
  <si>
    <t xml:space="preserve">EH05CRc</t>
  </si>
  <si>
    <t xml:space="preserve">HEH06Na</t>
  </si>
  <si>
    <t xml:space="preserve">Material drum change over and middle plate and back plate cleane 2 time due to bubble and deformation issue</t>
  </si>
  <si>
    <t xml:space="preserve">2233/2234</t>
  </si>
  <si>
    <t xml:space="preserve">EH06CRa</t>
  </si>
  <si>
    <t xml:space="preserve">EH06Ba1</t>
  </si>
  <si>
    <t xml:space="preserve">EH06Bb2</t>
  </si>
  <si>
    <t xml:space="preserve">2242/2243</t>
  </si>
  <si>
    <t xml:space="preserve">FO048</t>
  </si>
  <si>
    <t xml:space="preserve">EH05Bc2H06Pa</t>
  </si>
  <si>
    <t xml:space="preserve">2256,57,58</t>
  </si>
  <si>
    <t xml:space="preserve">SKU change over FO113 to FO048 total loss time 80 min .</t>
  </si>
  <si>
    <t xml:space="preserve">HEH04NaH04PbH05Pb</t>
  </si>
  <si>
    <t xml:space="preserve">2245/2246/2247</t>
  </si>
  <si>
    <t xml:space="preserve">FO002</t>
  </si>
  <si>
    <t xml:space="preserve">After SKU change sample give to QC for heat test,heat test pass than start mass prodcution.major issue prifrom sticking.</t>
  </si>
  <si>
    <t xml:space="preserve">HEH06Nb</t>
  </si>
  <si>
    <t xml:space="preserve">EH06CRb</t>
  </si>
  <si>
    <t xml:space="preserve">HEH05NaH06Pb</t>
  </si>
  <si>
    <t xml:space="preserve">2248/2249/2250</t>
  </si>
  <si>
    <t xml:space="preserve">HEH05NaH06PbH06Pb</t>
  </si>
  <si>
    <t xml:space="preserve">2251/2252</t>
  </si>
  <si>
    <t xml:space="preserve">Machine stop due to center hole reading issue total loss time 60 min.</t>
  </si>
  <si>
    <t xml:space="preserve">FO011</t>
  </si>
  <si>
    <t xml:space="preserve">HEH06Nc</t>
  </si>
  <si>
    <t xml:space="preserve">2255</t>
  </si>
  <si>
    <t xml:space="preserve">SKU Change from "M" size to "S" size.</t>
  </si>
  <si>
    <t xml:space="preserve">EH06Bc2</t>
  </si>
  <si>
    <t xml:space="preserve">2254</t>
  </si>
  <si>
    <t xml:space="preserve">EH06CRc</t>
  </si>
  <si>
    <t xml:space="preserve">SKU change from FO142 to FO143</t>
  </si>
  <si>
    <t xml:space="preserve">HEH07Na</t>
  </si>
  <si>
    <t xml:space="preserve">HEH05NbH06PbH07Pa</t>
  </si>
  <si>
    <t xml:space="preserve">2268/2269</t>
  </si>
  <si>
    <t xml:space="preserve">HEH06NbH07Pa</t>
  </si>
  <si>
    <t xml:space="preserve">2264/2265/2266</t>
  </si>
  <si>
    <t xml:space="preserve">HEH06NcH07Pa</t>
  </si>
  <si>
    <t xml:space="preserve">2267/2273</t>
  </si>
  <si>
    <t xml:space="preserve">EH07Ba2</t>
  </si>
  <si>
    <t xml:space="preserve">2 Time machine stop due to cleane lip cavity air vent to avoid fume and polish cavity B due to scratch mark coming in B cavity.</t>
  </si>
  <si>
    <t xml:space="preserve">FO143</t>
  </si>
  <si>
    <t xml:space="preserve">EH07Ca</t>
  </si>
  <si>
    <t xml:space="preserve">Runner wastage booked(28.636440kg)</t>
  </si>
  <si>
    <t xml:space="preserve">HEH05NaH05PbH06Pb</t>
  </si>
  <si>
    <t xml:space="preserve">2277/2278/2281</t>
  </si>
  <si>
    <t xml:space="preserve">EH06Bb2H07Pa</t>
  </si>
  <si>
    <t xml:space="preserve">FO088</t>
  </si>
  <si>
    <t xml:space="preserve">EH05Bc2H07Pa</t>
  </si>
  <si>
    <t xml:space="preserve">PINPM/21-22/2314</t>
  </si>
  <si>
    <t xml:space="preserve">FO009</t>
  </si>
  <si>
    <t xml:space="preserve">EG20Ba1H07Pa</t>
  </si>
  <si>
    <t xml:space="preserve">PINPM/21-22/2294, 96</t>
  </si>
  <si>
    <t xml:space="preserve">HEH05NcH07Pa</t>
  </si>
  <si>
    <t xml:space="preserve">2276/2279/2280</t>
  </si>
  <si>
    <t xml:space="preserve">Lot qty pending , 500 pcs punched handover to next shift</t>
  </si>
  <si>
    <t xml:space="preserve">EH07CRa</t>
  </si>
  <si>
    <t xml:space="preserve">HEH07Nb</t>
  </si>
  <si>
    <t xml:space="preserve">EH07Bb2</t>
  </si>
  <si>
    <t xml:space="preserve">HEH07Nc</t>
  </si>
  <si>
    <t xml:space="preserve">EH07Bc2</t>
  </si>
  <si>
    <t xml:space="preserve">EH07CRc</t>
  </si>
  <si>
    <t xml:space="preserve">EH07Cc</t>
  </si>
  <si>
    <t xml:space="preserve">HEH09Na</t>
  </si>
  <si>
    <t xml:space="preserve">Time loss due to heating stability</t>
  </si>
  <si>
    <t xml:space="preserve">EH09Ba2</t>
  </si>
  <si>
    <t xml:space="preserve">Start-up and machine start after heat test result</t>
  </si>
  <si>
    <t xml:space="preserve">EH09Ca</t>
  </si>
  <si>
    <t xml:space="preserve">Process start-up</t>
  </si>
  <si>
    <t xml:space="preserve">HEH07NaH09Pa</t>
  </si>
  <si>
    <t xml:space="preserve">HEH06NbH07PaH09Pa</t>
  </si>
  <si>
    <t xml:space="preserve">HEH06NcH07PaH09Pa</t>
  </si>
  <si>
    <t xml:space="preserve">Callibration of punching machine</t>
  </si>
  <si>
    <t xml:space="preserve">EH02Bc1H09Pa</t>
  </si>
  <si>
    <t xml:space="preserve">PINPM/21-22/2315,16,17</t>
  </si>
  <si>
    <t xml:space="preserve">HEH06NaH07PaH07Pb</t>
  </si>
  <si>
    <t xml:space="preserve">2299/2300</t>
  </si>
  <si>
    <t xml:space="preserve">FO108</t>
  </si>
  <si>
    <t xml:space="preserve">2301/2302</t>
  </si>
  <si>
    <t xml:space="preserve">HEH06NcH07PaH09Pb</t>
  </si>
  <si>
    <t xml:space="preserve">2298/2305</t>
  </si>
  <si>
    <t xml:space="preserve">EH09Bb2</t>
  </si>
  <si>
    <t xml:space="preserve">HEH09Nb</t>
  </si>
  <si>
    <t xml:space="preserve">EH09CRb</t>
  </si>
  <si>
    <t xml:space="preserve">HEH07NbH09Pb</t>
  </si>
  <si>
    <t xml:space="preserve">2306/2307/2308</t>
  </si>
  <si>
    <t xml:space="preserve">EH09Bc2</t>
  </si>
  <si>
    <t xml:space="preserve">2313\2321</t>
  </si>
  <si>
    <t xml:space="preserve">machine stop 4 time to cleane lip cavity due to fume issue.</t>
  </si>
  <si>
    <t xml:space="preserve">HEH09Nc</t>
  </si>
  <si>
    <t xml:space="preserve">EH09CRc</t>
  </si>
  <si>
    <t xml:space="preserve">HEH09NaH09Pc</t>
  </si>
  <si>
    <t xml:space="preserve">2309/2310/2312</t>
  </si>
  <si>
    <t xml:space="preserve">Plan complete as per material availability</t>
  </si>
  <si>
    <t xml:space="preserve">EH10CRa</t>
  </si>
  <si>
    <t xml:space="preserve">EH10Ca</t>
  </si>
  <si>
    <t xml:space="preserve">HEH10Na</t>
  </si>
  <si>
    <t xml:space="preserve">2327</t>
  </si>
  <si>
    <t xml:space="preserve">HEH07NbH09Pa</t>
  </si>
  <si>
    <t xml:space="preserve">2328/2329</t>
  </si>
  <si>
    <t xml:space="preserve">FO007</t>
  </si>
  <si>
    <t xml:space="preserve">EH06Bb2H10Pa</t>
  </si>
  <si>
    <t xml:space="preserve">PINPM/21-22/2344,45,49</t>
  </si>
  <si>
    <t xml:space="preserve">HEH07NaH09PaH09Pb</t>
  </si>
  <si>
    <t xml:space="preserve">2332/2333/2334</t>
  </si>
  <si>
    <t xml:space="preserve">HEH07NcH09PbH10Pb</t>
  </si>
  <si>
    <t xml:space="preserve">2331/2337</t>
  </si>
  <si>
    <t xml:space="preserve">HEH10Nb</t>
  </si>
  <si>
    <t xml:space="preserve">2338/2340</t>
  </si>
  <si>
    <t xml:space="preserve">HEH09NcH10Pb</t>
  </si>
  <si>
    <t xml:space="preserve">2335/2336/2339</t>
  </si>
  <si>
    <t xml:space="preserve">EH10CRb</t>
  </si>
  <si>
    <t xml:space="preserve">EH10Bc2</t>
  </si>
  <si>
    <t xml:space="preserve">Machine start after heat test pass , scratch mark isuue so polishing done , at 5 am water lekage happen from pu tube of inj MTC.</t>
  </si>
  <si>
    <t xml:space="preserve">HEH10Nc</t>
  </si>
  <si>
    <t xml:space="preserve">EH10Cc</t>
  </si>
  <si>
    <t xml:space="preserve">Plan completed so material change in BLUE .</t>
  </si>
  <si>
    <t xml:space="preserve">HEH10NbH10Pc</t>
  </si>
  <si>
    <t xml:space="preserve">2342/2343</t>
  </si>
  <si>
    <t xml:space="preserve">Plan completed as per material availibility</t>
  </si>
  <si>
    <t xml:space="preserve">HEH11Na</t>
  </si>
  <si>
    <t xml:space="preserve">HEH09NbH09Pc</t>
  </si>
  <si>
    <t xml:space="preserve">2357/2358</t>
  </si>
  <si>
    <t xml:space="preserve">FO144</t>
  </si>
  <si>
    <t xml:space="preserve">EH11Ca</t>
  </si>
  <si>
    <t xml:space="preserve">RUNNER WASTAGE BOOKEd(24.6886kg)</t>
  </si>
  <si>
    <t xml:space="preserve">HEH10NcH11Pa</t>
  </si>
  <si>
    <t xml:space="preserve">2361/2362</t>
  </si>
  <si>
    <t xml:space="preserve">EH07Ba1H11Pa</t>
  </si>
  <si>
    <t xml:space="preserve">PINPM/21-22/2377,78</t>
  </si>
  <si>
    <t xml:space="preserve">HEH09NaH09PaH10Pb</t>
  </si>
  <si>
    <t xml:space="preserve">2366/2367/2368</t>
  </si>
  <si>
    <t xml:space="preserve">2364/2365</t>
  </si>
  <si>
    <t xml:space="preserve">HEH11NaH11Pb</t>
  </si>
  <si>
    <t xml:space="preserve">HEH11Nb</t>
  </si>
  <si>
    <t xml:space="preserve">EH11Cb</t>
  </si>
  <si>
    <t xml:space="preserve">EH11CRb</t>
  </si>
  <si>
    <t xml:space="preserve">FO001</t>
  </si>
  <si>
    <t xml:space="preserve">EH11Bc1</t>
  </si>
  <si>
    <t xml:space="preserve">Machine start after heat test pass , thickness issue coming so adjut parameters but no major improvement coming after that change inj core cooling pipe fan type to round and againe sample given for heat test , heat test result is fail 3 time.</t>
  </si>
  <si>
    <t xml:space="preserve">HEH11Nc</t>
  </si>
  <si>
    <t xml:space="preserve">HEH11NCH11PC</t>
  </si>
  <si>
    <t xml:space="preserve">2375/2376</t>
  </si>
  <si>
    <t xml:space="preserve">EH11CRc</t>
  </si>
  <si>
    <t xml:space="preserve">HEH12Na</t>
  </si>
  <si>
    <t xml:space="preserve">2387</t>
  </si>
  <si>
    <t xml:space="preserve">HEH10NcH10PcH12Pa</t>
  </si>
  <si>
    <t xml:space="preserve">2385/2386</t>
  </si>
  <si>
    <t xml:space="preserve">EH12Ba2</t>
  </si>
  <si>
    <t xml:space="preserve">2388</t>
  </si>
  <si>
    <t xml:space="preserve">EH12Ca</t>
  </si>
  <si>
    <t xml:space="preserve">EH12CRa</t>
  </si>
  <si>
    <t xml:space="preserve">2405,06</t>
  </si>
  <si>
    <t xml:space="preserve">SKU change over FO007 to Fo008</t>
  </si>
  <si>
    <t xml:space="preserve">HEH10NaH10PbH11Pb</t>
  </si>
  <si>
    <t xml:space="preserve">2390/2391/2393</t>
  </si>
  <si>
    <t xml:space="preserve">EH12Bb2</t>
  </si>
  <si>
    <t xml:space="preserve">Setup rejection high due 240 ml bottle yestraday 03 time heat test fail and thickness issue problem coming in bottle .</t>
  </si>
  <si>
    <t xml:space="preserve">HEH10NcH10PcH12Pb</t>
  </si>
  <si>
    <t xml:space="preserve">2389/2392</t>
  </si>
  <si>
    <t xml:space="preserve">HEH12Nb</t>
  </si>
  <si>
    <t xml:space="preserve">EH12Cb</t>
  </si>
  <si>
    <t xml:space="preserve">EH12Bc2</t>
  </si>
  <si>
    <t xml:space="preserve">HEH12Nc</t>
  </si>
  <si>
    <t xml:space="preserve">HEH11NcH12Pc</t>
  </si>
  <si>
    <t xml:space="preserve">2396/2397/2398</t>
  </si>
  <si>
    <t xml:space="preserve">EH12CRc</t>
  </si>
  <si>
    <t xml:space="preserve">FO089</t>
  </si>
  <si>
    <t xml:space="preserve">EG21Bc2H12Pa</t>
  </si>
  <si>
    <t xml:space="preserve">PINPM/21-22/2407</t>
  </si>
  <si>
    <t xml:space="preserve">FO008 to FO089 total time</t>
  </si>
  <si>
    <t xml:space="preserve">HEH12NcH13Pa</t>
  </si>
  <si>
    <t xml:space="preserve">2411/2417</t>
  </si>
  <si>
    <t xml:space="preserve">EH13CRc</t>
  </si>
  <si>
    <t xml:space="preserve">EH13Cc</t>
  </si>
  <si>
    <t xml:space="preserve">EH13Ba2</t>
  </si>
  <si>
    <t xml:space="preserve">Set up rejection high due to thread going insde the barrel during feed the material.</t>
  </si>
  <si>
    <t xml:space="preserve">HEH13Na</t>
  </si>
  <si>
    <t xml:space="preserve">HEH11NaH11PbH13Pa</t>
  </si>
  <si>
    <t xml:space="preserve">2413/2414/2415</t>
  </si>
  <si>
    <t xml:space="preserve">HEH11NaH11PbH12Pb</t>
  </si>
  <si>
    <t xml:space="preserve">2426/2427</t>
  </si>
  <si>
    <t xml:space="preserve">EG21Bc2H13Pa</t>
  </si>
  <si>
    <t xml:space="preserve">PINPM/21-22/2423,24,25</t>
  </si>
  <si>
    <t xml:space="preserve">SKU changeover FO089 to FO008 total time 80 min and pigeon logo whaiteness .issue and print cat problem.</t>
  </si>
  <si>
    <t xml:space="preserve">EH12Bb2H13Pa</t>
  </si>
  <si>
    <t xml:space="preserve">PINPM/21-22/2437</t>
  </si>
  <si>
    <t xml:space="preserve">                                                                                                                                                                                     </t>
  </si>
  <si>
    <t xml:space="preserve">EH13Cb</t>
  </si>
  <si>
    <t xml:space="preserve">Plan completed sku change FO144 to FO145</t>
  </si>
  <si>
    <t xml:space="preserve">EH13Bb2</t>
  </si>
  <si>
    <t xml:space="preserve">HEH13Nb</t>
  </si>
  <si>
    <t xml:space="preserve">HEH12NaH12PcH13Pb</t>
  </si>
  <si>
    <t xml:space="preserve">2428/2429</t>
  </si>
  <si>
    <t xml:space="preserve">HEH13Nc</t>
  </si>
  <si>
    <t xml:space="preserve">2432</t>
  </si>
  <si>
    <t xml:space="preserve">HEH13NaH13Pc</t>
  </si>
  <si>
    <t xml:space="preserve">2434/2435/2436</t>
  </si>
  <si>
    <t xml:space="preserve">EH13Bc2</t>
  </si>
  <si>
    <t xml:space="preserve">2433</t>
  </si>
  <si>
    <t xml:space="preserve">FO145</t>
  </si>
  <si>
    <t xml:space="preserve">RUNNER WASTAGE BOOKED 13.688960 KG</t>
  </si>
  <si>
    <t xml:space="preserve">HEH17Na</t>
  </si>
  <si>
    <t xml:space="preserve">2451</t>
  </si>
  <si>
    <t xml:space="preserve">HEH17NaH17Pa</t>
  </si>
  <si>
    <t xml:space="preserve">HEH12NaH12PcH17Pa</t>
  </si>
  <si>
    <t xml:space="preserve">2449/2450</t>
  </si>
  <si>
    <t xml:space="preserve">EH17Ba2</t>
  </si>
  <si>
    <t xml:space="preserve">EH17Ca</t>
  </si>
  <si>
    <t xml:space="preserve">EH12Bc2H17Pa</t>
  </si>
  <si>
    <t xml:space="preserve">PINPM/21-22/2478,79,80</t>
  </si>
  <si>
    <t xml:space="preserve">FO030</t>
  </si>
  <si>
    <t xml:space="preserve">WR1</t>
  </si>
  <si>
    <t xml:space="preserve">HEG14CG22</t>
  </si>
  <si>
    <t xml:space="preserve">2462/2463/2464</t>
  </si>
  <si>
    <t xml:space="preserve">Production loss due to wrapping film poly open and poly fold (Nipple Fold)  issue total loss time 80 min.</t>
  </si>
  <si>
    <t xml:space="preserve">HEH11NcH11PcH13Pa</t>
  </si>
  <si>
    <t xml:space="preserve">2459/2460/2461</t>
  </si>
  <si>
    <t xml:space="preserve">HEH17NbH17Pb</t>
  </si>
  <si>
    <t xml:space="preserve">HEH17Nb</t>
  </si>
  <si>
    <t xml:space="preserve">2465/2468</t>
  </si>
  <si>
    <t xml:space="preserve">EH17Bb2</t>
  </si>
  <si>
    <t xml:space="preserve">HEH12NcH13PaH17Pb</t>
  </si>
  <si>
    <t xml:space="preserve">2466/2467</t>
  </si>
  <si>
    <t xml:space="preserve">FO104</t>
  </si>
  <si>
    <t xml:space="preserve">LZR</t>
  </si>
  <si>
    <t xml:space="preserve">HEH12BG22</t>
  </si>
  <si>
    <t xml:space="preserve">2470/2471</t>
  </si>
  <si>
    <t xml:space="preserve">Laser machine start in 3:00 pm 60 min loss due to machine setup . Laser marking start Lot.No(HEH12BG22)</t>
  </si>
  <si>
    <t xml:space="preserve">EH17Cb</t>
  </si>
  <si>
    <t xml:space="preserve">EH17CRb</t>
  </si>
  <si>
    <t xml:space="preserve">EH17CRc</t>
  </si>
  <si>
    <t xml:space="preserve">Material change over Pale blue to white due to Pale Blue cap plan completed</t>
  </si>
  <si>
    <t xml:space="preserve">FO146</t>
  </si>
  <si>
    <t xml:space="preserve">EH17Cc</t>
  </si>
  <si>
    <t xml:space="preserve">HEH17Nc</t>
  </si>
  <si>
    <t xml:space="preserve">Material drum change over and middle plate cleane</t>
  </si>
  <si>
    <t xml:space="preserve">EH17Bc2</t>
  </si>
  <si>
    <t xml:space="preserve">2473/2475</t>
  </si>
  <si>
    <t xml:space="preserve">Lip cavity cleaning done</t>
  </si>
  <si>
    <t xml:space="preserve">HEH18Na</t>
  </si>
  <si>
    <t xml:space="preserve">Plan completed</t>
  </si>
  <si>
    <t xml:space="preserve">EH18Ba2</t>
  </si>
  <si>
    <t xml:space="preserve">heat mark and fume issue is major</t>
  </si>
  <si>
    <t xml:space="preserve">HEH13NbH13PcH17Pa</t>
  </si>
  <si>
    <t xml:space="preserve">2482/2483</t>
  </si>
  <si>
    <t xml:space="preserve">HEH17NbH18PC</t>
  </si>
  <si>
    <t xml:space="preserve">HEH12CG22</t>
  </si>
  <si>
    <t xml:space="preserve">2487/2488</t>
  </si>
  <si>
    <t xml:space="preserve">New manpower on machine</t>
  </si>
  <si>
    <t xml:space="preserve">EH18Ca</t>
  </si>
  <si>
    <t xml:space="preserve">HEH12NbH12PcH17Pb</t>
  </si>
  <si>
    <t xml:space="preserve">2558/2559/2560</t>
  </si>
  <si>
    <t xml:space="preserve">Material short in laser stage.</t>
  </si>
  <si>
    <t xml:space="preserve">FO031</t>
  </si>
  <si>
    <t xml:space="preserve">HEG22AG22</t>
  </si>
  <si>
    <t xml:space="preserve">2491/2492/2493/2494</t>
  </si>
  <si>
    <t xml:space="preserve">Rejection qty haigh due to wrapping film poly open and poly fold (Nipple Fold)  issue.</t>
  </si>
  <si>
    <t xml:space="preserve">EH13Ba2H18Pa</t>
  </si>
  <si>
    <t xml:space="preserve">PINPM/21-22/2489,90</t>
  </si>
  <si>
    <t xml:space="preserve">Scale 240 ml shaddow issue screen changeover total loss time 120 min.</t>
  </si>
  <si>
    <t xml:space="preserve">HEH13NbH13PcH18Pb</t>
  </si>
  <si>
    <t xml:space="preserve">2495/2496</t>
  </si>
  <si>
    <t xml:space="preserve">HEH13BG22</t>
  </si>
  <si>
    <t xml:space="preserve">2497/2500</t>
  </si>
  <si>
    <t xml:space="preserve">HEH17NcH187Pb</t>
  </si>
  <si>
    <t xml:space="preserve">2498/2499</t>
  </si>
  <si>
    <t xml:space="preserve">HEH18Nb</t>
  </si>
  <si>
    <t xml:space="preserve">EH18Bb2</t>
  </si>
  <si>
    <t xml:space="preserve">EH18Cb</t>
  </si>
  <si>
    <t xml:space="preserve">EH18CRb</t>
  </si>
  <si>
    <t xml:space="preserve">EH18CRc</t>
  </si>
  <si>
    <t xml:space="preserve">FO148</t>
  </si>
  <si>
    <t xml:space="preserve">HEH18Nc</t>
  </si>
  <si>
    <t xml:space="preserve">SKU change FO011 (S SIZE)  TO FO148 (LL SIZE)</t>
  </si>
  <si>
    <t xml:space="preserve">EH18Bc2</t>
  </si>
  <si>
    <t xml:space="preserve">Rejection inctease after filter clening due to Dust .</t>
  </si>
  <si>
    <t xml:space="preserve">HEH18NbH18Pc</t>
  </si>
  <si>
    <t xml:space="preserve">2503/2504</t>
  </si>
  <si>
    <t xml:space="preserve">EH19Ba2</t>
  </si>
  <si>
    <t xml:space="preserve">2525</t>
  </si>
  <si>
    <t xml:space="preserve">HEH19Na</t>
  </si>
  <si>
    <t xml:space="preserve">HEH17NbH17PbH19Pa</t>
  </si>
  <si>
    <t xml:space="preserve">2527/2528/2529</t>
  </si>
  <si>
    <t xml:space="preserve">HEH13CG22</t>
  </si>
  <si>
    <t xml:space="preserve">2537/2538</t>
  </si>
  <si>
    <t xml:space="preserve">FO141</t>
  </si>
  <si>
    <t xml:space="preserve">HED23G22</t>
  </si>
  <si>
    <t xml:space="preserve">HEH13NaH13PcH17Pa</t>
  </si>
  <si>
    <t xml:space="preserve">2561/2562/2563/2564</t>
  </si>
  <si>
    <t xml:space="preserve">HEH13Bc2H19Pa</t>
  </si>
  <si>
    <t xml:space="preserve">PINPM/21-22/2569,70,71</t>
  </si>
  <si>
    <t xml:space="preserve">EH19Bb2</t>
  </si>
  <si>
    <t xml:space="preserve">PINPM/21-22/2570</t>
  </si>
  <si>
    <t xml:space="preserve">PINPM/21-22/2571</t>
  </si>
  <si>
    <t xml:space="preserve">HEH17NbH18PaH19Pb</t>
  </si>
  <si>
    <t xml:space="preserve">PINPM/21-22/2614</t>
  </si>
  <si>
    <t xml:space="preserve">LZ1</t>
  </si>
  <si>
    <t xml:space="preserve">2555/2556/2557</t>
  </si>
  <si>
    <t xml:space="preserve">FO149</t>
  </si>
  <si>
    <t xml:space="preserve">HEH18NcH19Pb</t>
  </si>
  <si>
    <t xml:space="preserve">2552/2553</t>
  </si>
  <si>
    <t xml:space="preserve">HEH19Nb</t>
  </si>
  <si>
    <t xml:space="preserve">2554</t>
  </si>
  <si>
    <t xml:space="preserve">HEH19Nc</t>
  </si>
  <si>
    <t xml:space="preserve">set up after middle plate cleaning</t>
  </si>
  <si>
    <t xml:space="preserve">EH19Bc2</t>
  </si>
  <si>
    <t xml:space="preserve">2567/2568</t>
  </si>
  <si>
    <t xml:space="preserve">String is major issue </t>
  </si>
  <si>
    <t xml:space="preserve">FO130</t>
  </si>
  <si>
    <t xml:space="preserve">EH19Hc</t>
  </si>
  <si>
    <t xml:space="preserve">Mold start up after PM , Set up rejection high due to hood sticking at core side </t>
  </si>
  <si>
    <t xml:space="preserve">HEH19NbH19Pc</t>
  </si>
  <si>
    <t xml:space="preserve">2608/2609</t>
  </si>
  <si>
    <t xml:space="preserve">ERP Entry pending due to Indivisual QR batch not genrated in ERP OF FO149.</t>
  </si>
  <si>
    <t xml:space="preserve">EH20Ba2</t>
  </si>
  <si>
    <t xml:space="preserve">Heat mark and thickness issue faced, adjust the heating core after that issue resolved.</t>
  </si>
  <si>
    <t xml:space="preserve">HEH20Na</t>
  </si>
  <si>
    <t xml:space="preserve">cavity No.-2 and 4 consisitency issue faced, three times middle plate cleaned hence setup rejection high.</t>
  </si>
  <si>
    <t xml:space="preserve">HEH18NaH18PbH20Pa</t>
  </si>
  <si>
    <t xml:space="preserve">2575|2576|2577|2578</t>
  </si>
  <si>
    <t xml:space="preserve">HEH17BG</t>
  </si>
  <si>
    <t xml:space="preserve">2581|2583</t>
  </si>
  <si>
    <t xml:space="preserve">EH20Ha</t>
  </si>
  <si>
    <t xml:space="preserve">Cavity no.-2 sticking problem in core side, 7-8 times sticking done and polishing done at the same time. </t>
  </si>
  <si>
    <t xml:space="preserve">EG05Ba1H20Pa</t>
  </si>
  <si>
    <t xml:space="preserve">PINPM/21-22/2614,15</t>
  </si>
  <si>
    <t xml:space="preserve">FO117</t>
  </si>
  <si>
    <t xml:space="preserve">EH22Bb2H20Pa</t>
  </si>
  <si>
    <t xml:space="preserve">PINPM/21-22/2616,17</t>
  </si>
  <si>
    <t xml:space="preserve">SKU changeover FO008 TO FO088 and fo088 to fo117.</t>
  </si>
  <si>
    <t xml:space="preserve">FO029</t>
  </si>
  <si>
    <t xml:space="preserve">HEG09CG22</t>
  </si>
  <si>
    <t xml:space="preserve">2597/2598</t>
  </si>
  <si>
    <t xml:space="preserve">HEG22CG22</t>
  </si>
  <si>
    <t xml:space="preserve">2624/2625</t>
  </si>
  <si>
    <t xml:space="preserve">HEG22BG22</t>
  </si>
  <si>
    <t xml:space="preserve">2595/2596</t>
  </si>
  <si>
    <t xml:space="preserve">HED24GG22</t>
  </si>
  <si>
    <t xml:space="preserve">2618/2619</t>
  </si>
  <si>
    <t xml:space="preserve">EH20Bb2</t>
  </si>
  <si>
    <t xml:space="preserve">HEH18NbH18PcH20Pb</t>
  </si>
  <si>
    <t xml:space="preserve">Production loss due to LL size cautting issue.</t>
  </si>
  <si>
    <t xml:space="preserve">FO150</t>
  </si>
  <si>
    <t xml:space="preserve">HEH18AG22</t>
  </si>
  <si>
    <t xml:space="preserve">2599/2600</t>
  </si>
  <si>
    <t xml:space="preserve">EH20Hb</t>
  </si>
  <si>
    <t xml:space="preserve">Hood (FO130) production loss cavity no.02 sticking problem.</t>
  </si>
  <si>
    <t xml:space="preserve">HEH19NcH20Pb</t>
  </si>
  <si>
    <t xml:space="preserve">2605/2606</t>
  </si>
  <si>
    <t xml:space="preserve">HEH20Nb</t>
  </si>
  <si>
    <t xml:space="preserve">EH20Bc2</t>
  </si>
  <si>
    <t xml:space="preserve">FO005</t>
  </si>
  <si>
    <t xml:space="preserve">KPP-8 Blow mold changeover and load RPP-8 Blow mold, during set up face scratch mark issue</t>
  </si>
  <si>
    <t xml:space="preserve">HEH20Nc</t>
  </si>
  <si>
    <t xml:space="preserve">HEH20NbH20Pc</t>
  </si>
  <si>
    <t xml:space="preserve">2612/2613</t>
  </si>
  <si>
    <t xml:space="preserve">HEH21Na</t>
  </si>
  <si>
    <t xml:space="preserve">Machine stop due to mold unload (mould maintenance) .</t>
  </si>
  <si>
    <t xml:space="preserve">HEH20NcH21Pa</t>
  </si>
  <si>
    <t xml:space="preserve">2682/2683</t>
  </si>
  <si>
    <t xml:space="preserve">HEH18NcH19PbH21Pa</t>
  </si>
  <si>
    <t xml:space="preserve">2628/2629</t>
  </si>
  <si>
    <t xml:space="preserve">HEH18BG22</t>
  </si>
  <si>
    <t xml:space="preserve">2626/2627</t>
  </si>
  <si>
    <t xml:space="preserve">HEH17NcH18PbH19Pb</t>
  </si>
  <si>
    <t xml:space="preserve">2634/2635</t>
  </si>
  <si>
    <t xml:space="preserve">HEH02CG22</t>
  </si>
  <si>
    <t xml:space="preserve">2636/2637/2638/2639</t>
  </si>
  <si>
    <t xml:space="preserve">BM5</t>
  </si>
  <si>
    <t xml:space="preserve">EH21Ba2</t>
  </si>
  <si>
    <t xml:space="preserve">FO010</t>
  </si>
  <si>
    <t xml:space="preserve">EG23Ba2H21Pa</t>
  </si>
  <si>
    <t xml:space="preserve">2630</t>
  </si>
  <si>
    <t xml:space="preserve">FO116</t>
  </si>
  <si>
    <t xml:space="preserve">EH02Ba1H21Pa</t>
  </si>
  <si>
    <t xml:space="preserve">PINPM/21-22/2663</t>
  </si>
  <si>
    <t xml:space="preserve">Job Changeover in FO116 and Lunch Break</t>
  </si>
  <si>
    <t xml:space="preserve">HEH19NaH19PbH24Pa</t>
  </si>
  <si>
    <t xml:space="preserve"> Pin &amp; die cleaing</t>
  </si>
  <si>
    <t xml:space="preserve">FO151</t>
  </si>
  <si>
    <t xml:space="preserve">HEH18CG22</t>
  </si>
  <si>
    <t xml:space="preserve">2641/2642</t>
  </si>
  <si>
    <t xml:space="preserve">EH24HA</t>
  </si>
  <si>
    <t xml:space="preserve">Hood (FO130) production loss cavity no.02 sticking problem.mold unload due to under maintenance.</t>
  </si>
  <si>
    <t xml:space="preserve">EH03Ba1H24Pa</t>
  </si>
  <si>
    <t xml:space="preserve">PINPM/21-22/2664</t>
  </si>
  <si>
    <t xml:space="preserve">Changeover FO116 TO FO094</t>
  </si>
  <si>
    <t xml:space="preserve">FO094</t>
  </si>
  <si>
    <t xml:space="preserve">EF22Ba1H24Pa</t>
  </si>
  <si>
    <t xml:space="preserve">PINPM/21-22/2665</t>
  </si>
  <si>
    <t xml:space="preserve">Changeover FO094 TO FO119</t>
  </si>
  <si>
    <t xml:space="preserve">FO119</t>
  </si>
  <si>
    <t xml:space="preserve">EG23Ba2H24Pa</t>
  </si>
  <si>
    <t xml:space="preserve">PINPM/21-22/2666</t>
  </si>
  <si>
    <t xml:space="preserve">Changeover FO119 TO FO093</t>
  </si>
  <si>
    <t xml:space="preserve">FO093</t>
  </si>
  <si>
    <t xml:space="preserve">ED14Ba1H24Pa</t>
  </si>
  <si>
    <t xml:space="preserve">PINPM/21-22/2667</t>
  </si>
  <si>
    <t xml:space="preserve">HEH18NaH18PcH20Pb</t>
  </si>
  <si>
    <t xml:space="preserve">2645/2646</t>
  </si>
  <si>
    <t xml:space="preserve">FO152</t>
  </si>
  <si>
    <t xml:space="preserve">HEH18NcH19PbH20Pb</t>
  </si>
  <si>
    <t xml:space="preserve">2654/2655</t>
  </si>
  <si>
    <t xml:space="preserve">HEH04AG22</t>
  </si>
  <si>
    <t xml:space="preserve">2647/2648/2649/2650/2651</t>
  </si>
  <si>
    <t xml:space="preserve">FO053</t>
  </si>
  <si>
    <t xml:space="preserve">EH24Bb2</t>
  </si>
  <si>
    <t xml:space="preserve">Material change Export to Domestic and mold cleaning</t>
  </si>
  <si>
    <t xml:space="preserve">EH24Bb1</t>
  </si>
  <si>
    <t xml:space="preserve">Set up and line rejection high in kpp4 due to reslove the thickness issue </t>
  </si>
  <si>
    <t xml:space="preserve">HEH19NcH19Pc</t>
  </si>
  <si>
    <t xml:space="preserve">HEH19HAH19PbH24Pb</t>
  </si>
  <si>
    <t xml:space="preserve">EH24Bc1</t>
  </si>
  <si>
    <t xml:space="preserve">2657</t>
  </si>
  <si>
    <t xml:space="preserve">EH24Hc</t>
  </si>
  <si>
    <t xml:space="preserve">2658</t>
  </si>
  <si>
    <t xml:space="preserve">HEH20NaH20PbH25Pa</t>
  </si>
  <si>
    <t xml:space="preserve">2676/2677/2679</t>
  </si>
  <si>
    <t xml:space="preserve">HEH19BG22</t>
  </si>
  <si>
    <t xml:space="preserve">2681/2684/2685</t>
  </si>
  <si>
    <t xml:space="preserve">EH25Ha</t>
  </si>
  <si>
    <t xml:space="preserve">HEH19BG22,HEH19CG22</t>
  </si>
  <si>
    <t xml:space="preserve">2697/2698/2699</t>
  </si>
  <si>
    <t xml:space="preserve">HEH09AG22</t>
  </si>
  <si>
    <t xml:space="preserve">2700/2701/2702/2703/2704</t>
  </si>
  <si>
    <t xml:space="preserve">FO101</t>
  </si>
  <si>
    <t xml:space="preserve">EH24Bb2H25Pa</t>
  </si>
  <si>
    <t xml:space="preserve">PINPM/21-22/2717</t>
  </si>
  <si>
    <t xml:space="preserve">Changeover FO093 TO FO101</t>
  </si>
  <si>
    <t xml:space="preserve">FO100</t>
  </si>
  <si>
    <t xml:space="preserve">EH21Bb1H25Pa</t>
  </si>
  <si>
    <t xml:space="preserve">PINPM/21-22/2718</t>
  </si>
  <si>
    <t xml:space="preserve">Changeover FO101 TO FO100</t>
  </si>
  <si>
    <t xml:space="preserve">FO096</t>
  </si>
  <si>
    <t xml:space="preserve">PINPM/21-22/2719,20</t>
  </si>
  <si>
    <t xml:space="preserve">Changeover FO100 TO FO096</t>
  </si>
  <si>
    <t xml:space="preserve">HEH20AG22,HEH20BG22</t>
  </si>
  <si>
    <t xml:space="preserve">PINPM/21-22/2720</t>
  </si>
  <si>
    <t xml:space="preserve">HEH20NcH20PcH25Pb</t>
  </si>
  <si>
    <t xml:space="preserve">2705/2706</t>
  </si>
  <si>
    <t xml:space="preserve">FO013</t>
  </si>
  <si>
    <t xml:space="preserve">HEH25Nb</t>
  </si>
  <si>
    <t xml:space="preserve">Sku change LL Size to L size in shift A. and mold loaded after PM and mold Start up</t>
  </si>
  <si>
    <t xml:space="preserve">FO017</t>
  </si>
  <si>
    <t xml:space="preserve">HEH25NbH25Pb</t>
  </si>
  <si>
    <t xml:space="preserve">FO021</t>
  </si>
  <si>
    <t xml:space="preserve">HEH25NbH25PbH25Pb</t>
  </si>
  <si>
    <t xml:space="preserve">SKU Change FO150 (LL SIZE) TO FO021 (L SIZE)</t>
  </si>
  <si>
    <t xml:space="preserve">EH25Bb2</t>
  </si>
  <si>
    <t xml:space="preserve">Kpp-4 thickness Major issue </t>
  </si>
  <si>
    <t xml:space="preserve">EH25Hb</t>
  </si>
  <si>
    <t xml:space="preserve">EH25Bc1</t>
  </si>
  <si>
    <t xml:space="preserve">HEH25Nc</t>
  </si>
  <si>
    <t xml:space="preserve">2715</t>
  </si>
  <si>
    <t xml:space="preserve">EH25Hc</t>
  </si>
  <si>
    <t xml:space="preserve">2716</t>
  </si>
  <si>
    <t xml:space="preserve">HEH26Na</t>
  </si>
  <si>
    <t xml:space="preserve">Silicon duram change loss time 40 min. </t>
  </si>
  <si>
    <t xml:space="preserve">EH26Ha</t>
  </si>
  <si>
    <t xml:space="preserve">HEH20CG22</t>
  </si>
  <si>
    <t xml:space="preserve">FO106</t>
  </si>
  <si>
    <t xml:space="preserve">HEH25BG22</t>
  </si>
  <si>
    <t xml:space="preserve">HEH25NbH26Pa</t>
  </si>
  <si>
    <t xml:space="preserve">2722/2723/2728</t>
  </si>
  <si>
    <t xml:space="preserve">HEH25NbH26PaH26Pa</t>
  </si>
  <si>
    <t xml:space="preserve">2725/2726</t>
  </si>
  <si>
    <t xml:space="preserve">2754/2755/2756</t>
  </si>
  <si>
    <t xml:space="preserve">FO110</t>
  </si>
  <si>
    <t xml:space="preserve">HEH05AG22</t>
  </si>
  <si>
    <t xml:space="preserve">2758/2759/2760/2761</t>
  </si>
  <si>
    <t xml:space="preserve">FO006</t>
  </si>
  <si>
    <t xml:space="preserve">EH24Bb2H26Pa</t>
  </si>
  <si>
    <t xml:space="preserve">2751,52,53,74</t>
  </si>
  <si>
    <t xml:space="preserve">HEH25NcH26Pa</t>
  </si>
  <si>
    <t xml:space="preserve">Punching machine stop due to MP absent.</t>
  </si>
  <si>
    <t xml:space="preserve">2762/2763/2764</t>
  </si>
  <si>
    <t xml:space="preserve">HEH26Nb</t>
  </si>
  <si>
    <t xml:space="preserve">2766/2671</t>
  </si>
  <si>
    <t xml:space="preserve">HEH26NaH26Pb</t>
  </si>
  <si>
    <t xml:space="preserve">2767/2768</t>
  </si>
  <si>
    <t xml:space="preserve">EH26Bb1</t>
  </si>
  <si>
    <t xml:space="preserve">EH26Hb</t>
  </si>
  <si>
    <t xml:space="preserve">EH26Bc1</t>
  </si>
  <si>
    <t xml:space="preserve">HEH26Nc</t>
  </si>
  <si>
    <t xml:space="preserve">2772</t>
  </si>
  <si>
    <t xml:space="preserve">EH26Hc</t>
  </si>
  <si>
    <t xml:space="preserve">2773</t>
  </si>
  <si>
    <t xml:space="preserve">HEH26NcH27Pa</t>
  </si>
  <si>
    <t xml:space="preserve">2775/2776/2779</t>
  </si>
  <si>
    <t xml:space="preserve">HEH27NA</t>
  </si>
  <si>
    <t xml:space="preserve">Production loss due to 3-no cavity dent mark issue loss time 60 min.</t>
  </si>
  <si>
    <t xml:space="preserve">EH27HA</t>
  </si>
  <si>
    <t xml:space="preserve">HEH26NBH26Pa</t>
  </si>
  <si>
    <t xml:space="preserve">2780/2781/2782/2783</t>
  </si>
  <si>
    <t xml:space="preserve">600 PCS Handover in B-shift.</t>
  </si>
  <si>
    <t xml:space="preserve">2784/2785</t>
  </si>
  <si>
    <t xml:space="preserve">HEH25Bg22</t>
  </si>
  <si>
    <t xml:space="preserve">2786/2787/2789</t>
  </si>
  <si>
    <t xml:space="preserve">700 PCS Handover in B-shift.</t>
  </si>
  <si>
    <t xml:space="preserve">EC25BC1H27Pa</t>
  </si>
  <si>
    <t xml:space="preserve">2824,25,41</t>
  </si>
  <si>
    <t xml:space="preserve">2808/2809/2810/2811</t>
  </si>
  <si>
    <t xml:space="preserve">2805/2806</t>
  </si>
  <si>
    <t xml:space="preserve">HEH26AG22</t>
  </si>
  <si>
    <t xml:space="preserve">2812/2813</t>
  </si>
  <si>
    <t xml:space="preserve">HEH26BG22</t>
  </si>
  <si>
    <t xml:space="preserve">2807/2815/2816</t>
  </si>
  <si>
    <t xml:space="preserve">HEH26NcH27PaH27Pb</t>
  </si>
  <si>
    <t xml:space="preserve">HEH27Nb</t>
  </si>
  <si>
    <t xml:space="preserve">HEH27NaH27Pb</t>
  </si>
  <si>
    <t xml:space="preserve">FO052</t>
  </si>
  <si>
    <t xml:space="preserve">EH27Bb2</t>
  </si>
  <si>
    <t xml:space="preserve">Flow mark and color variation issue face </t>
  </si>
  <si>
    <t xml:space="preserve">INJ</t>
  </si>
  <si>
    <t xml:space="preserve">EH27Hb</t>
  </si>
  <si>
    <t xml:space="preserve">HEH27Nc</t>
  </si>
  <si>
    <t xml:space="preserve">2822</t>
  </si>
  <si>
    <t xml:space="preserve">EH27Bc1</t>
  </si>
  <si>
    <t xml:space="preserve">2821</t>
  </si>
  <si>
    <t xml:space="preserve">INJ1</t>
  </si>
  <si>
    <t xml:space="preserve">EH27Hc</t>
  </si>
  <si>
    <t xml:space="preserve">2823</t>
  </si>
  <si>
    <t xml:space="preserve">EH28Ba1</t>
  </si>
  <si>
    <t xml:space="preserve">Production plan completed setup rejection high due to flow mark issue.</t>
  </si>
  <si>
    <t xml:space="preserve">HEH27NbH28Pa</t>
  </si>
  <si>
    <t xml:space="preserve">2827/2828/2842</t>
  </si>
  <si>
    <t xml:space="preserve">FO054</t>
  </si>
  <si>
    <t xml:space="preserve">SKU change   FO052(pink) to FO054 (blue) after heat test pass start machine, Flow mark,contamination and colour varition issue .</t>
  </si>
  <si>
    <t xml:space="preserve">HEH28Na</t>
  </si>
  <si>
    <t xml:space="preserve">2834/2836</t>
  </si>
  <si>
    <t xml:space="preserve">2837/2838/2839/2840</t>
  </si>
  <si>
    <t xml:space="preserve">EH28Ha</t>
  </si>
  <si>
    <t xml:space="preserve">HEH26CG22</t>
  </si>
  <si>
    <t xml:space="preserve">2846/2847</t>
  </si>
  <si>
    <t xml:space="preserve">Material short </t>
  </si>
  <si>
    <t xml:space="preserve">EH25BC1H28PA</t>
  </si>
  <si>
    <t xml:space="preserve">Changeover FO006 TO FO087</t>
  </si>
  <si>
    <t xml:space="preserve">FO087</t>
  </si>
  <si>
    <t xml:space="preserve">EH16BC1H28PA</t>
  </si>
  <si>
    <t xml:space="preserve">2852/2853</t>
  </si>
  <si>
    <t xml:space="preserve">FO102</t>
  </si>
  <si>
    <t xml:space="preserve">EF28Ba1H28PA</t>
  </si>
  <si>
    <t xml:space="preserve">2854,72</t>
  </si>
  <si>
    <t xml:space="preserve">Changeover FO087 TO FO102</t>
  </si>
  <si>
    <t xml:space="preserve">HEH27AG22</t>
  </si>
  <si>
    <t xml:space="preserve">2857/2865</t>
  </si>
  <si>
    <t xml:space="preserve">HEH27NbH27PbH28Pb</t>
  </si>
  <si>
    <t xml:space="preserve">HEH28NaH28Pb</t>
  </si>
  <si>
    <t xml:space="preserve">2863/2869</t>
  </si>
  <si>
    <t xml:space="preserve">Man power going to pick up silicon drum inside ware house.</t>
  </si>
  <si>
    <t xml:space="preserve">HEH28Nb</t>
  </si>
  <si>
    <t xml:space="preserve">EH28Bb1</t>
  </si>
  <si>
    <t xml:space="preserve">Scratch issue and flow mark major issue</t>
  </si>
  <si>
    <t xml:space="preserve">EH28Hb</t>
  </si>
  <si>
    <t xml:space="preserve">EH28Bc1</t>
  </si>
  <si>
    <t xml:space="preserve">2870</t>
  </si>
  <si>
    <t xml:space="preserve">HEH28Nc</t>
  </si>
  <si>
    <t xml:space="preserve">2871</t>
  </si>
  <si>
    <t xml:space="preserve">EH28Hc</t>
  </si>
  <si>
    <t xml:space="preserve">HEH28NCH31Pa</t>
  </si>
  <si>
    <t xml:space="preserve">2873/2874</t>
  </si>
  <si>
    <t xml:space="preserve">HEH31Na</t>
  </si>
  <si>
    <t xml:space="preserve">machine startup and middle plate cleaning </t>
  </si>
  <si>
    <t xml:space="preserve">2881/2882</t>
  </si>
  <si>
    <t xml:space="preserve">HEH27CG22</t>
  </si>
  <si>
    <t xml:space="preserve">Laser machine chuck open and closing issue machine under maintenance.</t>
  </si>
  <si>
    <t xml:space="preserve">EH31Ha</t>
  </si>
  <si>
    <t xml:space="preserve">HEH11BG22</t>
  </si>
  <si>
    <t xml:space="preserve">2898/2899/2900/2901</t>
  </si>
  <si>
    <t xml:space="preserve">HEH27NbH28PaH28Pb</t>
  </si>
  <si>
    <t xml:space="preserve">2902/2903</t>
  </si>
  <si>
    <t xml:space="preserve">HEH31Nb</t>
  </si>
  <si>
    <t xml:space="preserve">HEH28NbH28PbH31Pb</t>
  </si>
  <si>
    <t xml:space="preserve">2905/2906</t>
  </si>
  <si>
    <t xml:space="preserve">EH31Hb</t>
  </si>
  <si>
    <t xml:space="preserve">HEH31NaH31Pb</t>
  </si>
  <si>
    <t xml:space="preserve">FO058</t>
  </si>
  <si>
    <t xml:space="preserve">EH28Ba1H31Pa</t>
  </si>
  <si>
    <t xml:space="preserve">2879,80</t>
  </si>
  <si>
    <t xml:space="preserve">SKU change FO058 TO FO056</t>
  </si>
  <si>
    <t xml:space="preserve">FO056</t>
  </si>
  <si>
    <t xml:space="preserve">EH27Bb1H31Pa</t>
  </si>
  <si>
    <t xml:space="preserve">FO092</t>
  </si>
  <si>
    <t xml:space="preserve">EH28Bb1H31Pa</t>
  </si>
  <si>
    <t xml:space="preserve">EH19Bb2H31Pa</t>
  </si>
  <si>
    <t xml:space="preserve">HEH28AG22</t>
  </si>
  <si>
    <t xml:space="preserve">2909/2910</t>
  </si>
  <si>
    <t xml:space="preserve">Machine start up and lot qty pending</t>
  </si>
  <si>
    <t xml:space="preserve">FO014</t>
  </si>
  <si>
    <t xml:space="preserve">EI02Na</t>
  </si>
  <si>
    <t xml:space="preserve">PB201</t>
  </si>
  <si>
    <t xml:space="preserve">HEH31NaH31PbI02Pa</t>
  </si>
  <si>
    <t xml:space="preserve">2914/2915</t>
  </si>
  <si>
    <t xml:space="preserve">Centre hole reading issue</t>
  </si>
  <si>
    <t xml:space="preserve">Saurabh</t>
  </si>
  <si>
    <t xml:space="preserve">EI02BA2</t>
  </si>
  <si>
    <t xml:space="preserve">Machine startup and sample given for heat test and colour variation , flow mark issue</t>
  </si>
  <si>
    <t xml:space="preserve">EI02Ha</t>
  </si>
  <si>
    <t xml:space="preserve">HEH31NbI02</t>
  </si>
  <si>
    <t xml:space="preserve">2916/2917</t>
  </si>
  <si>
    <t xml:space="preserve">Plan  completed as per material avaialbility</t>
  </si>
  <si>
    <t xml:space="preserve">HEH27CG22,</t>
  </si>
  <si>
    <t xml:space="preserve">2919/2920</t>
  </si>
  <si>
    <t xml:space="preserve">Material short</t>
  </si>
  <si>
    <t xml:space="preserve">FO035</t>
  </si>
  <si>
    <t xml:space="preserve">EG22BA2I02PA</t>
  </si>
  <si>
    <t xml:space="preserve">2931/2932</t>
  </si>
  <si>
    <t xml:space="preserve">Change over FO008 TO FO035</t>
  </si>
  <si>
    <t xml:space="preserve">FO033</t>
  </si>
  <si>
    <t xml:space="preserve">EF17BA1I02PA</t>
  </si>
  <si>
    <t xml:space="preserve">Change over FO035 TO FO033</t>
  </si>
  <si>
    <t xml:space="preserve">2918/2925</t>
  </si>
  <si>
    <t xml:space="preserve">HEH28NbH31PaI02Pb</t>
  </si>
  <si>
    <t xml:space="preserve">FO022</t>
  </si>
  <si>
    <t xml:space="preserve">HEI02NaI02PBI02PB</t>
  </si>
  <si>
    <t xml:space="preserve">Sku change FO021 TO FO022, Die cleaning </t>
  </si>
  <si>
    <t xml:space="preserve">HEI02Nb</t>
  </si>
  <si>
    <t xml:space="preserve">EI02BB2</t>
  </si>
  <si>
    <t xml:space="preserve">FO018</t>
  </si>
  <si>
    <t xml:space="preserve">HEI02NaI02Pb</t>
  </si>
  <si>
    <t xml:space="preserve">2922/2923</t>
  </si>
  <si>
    <t xml:space="preserve">EI02Hb</t>
  </si>
  <si>
    <t xml:space="preserve">EI02Bc2</t>
  </si>
  <si>
    <t xml:space="preserve">Production loss due to major problem  colour variation , flow mark issue and heat test fail.</t>
  </si>
  <si>
    <t xml:space="preserve">EI02Hc</t>
  </si>
  <si>
    <t xml:space="preserve">EI03Ba2</t>
  </si>
  <si>
    <t xml:space="preserve">FR026 shot </t>
  </si>
  <si>
    <t xml:space="preserve">L1</t>
  </si>
  <si>
    <t xml:space="preserve">HEI03Na</t>
  </si>
  <si>
    <t xml:space="preserve">2934</t>
  </si>
  <si>
    <t xml:space="preserve">EI03Ha</t>
  </si>
  <si>
    <t xml:space="preserve">2935</t>
  </si>
  <si>
    <t xml:space="preserve">HEH31AG22</t>
  </si>
  <si>
    <t xml:space="preserve">2939/2940/2941</t>
  </si>
  <si>
    <t xml:space="preserve">HEI02NbI02PbI03Pa</t>
  </si>
  <si>
    <t xml:space="preserve">2942/2943</t>
  </si>
  <si>
    <t xml:space="preserve">HEH28BG22,HEH28CG22</t>
  </si>
  <si>
    <t xml:space="preserve">2946/2947/2948</t>
  </si>
  <si>
    <t xml:space="preserve">HEH13AG22</t>
  </si>
  <si>
    <t xml:space="preserve">2949/2950/2951/2952/2953</t>
  </si>
  <si>
    <t xml:space="preserve">EF17BA1I03PA</t>
  </si>
  <si>
    <t xml:space="preserve">Changeover FO033 TO FO087</t>
  </si>
  <si>
    <t xml:space="preserve">EG22BA2I03PA</t>
  </si>
  <si>
    <t xml:space="preserve">Changeover FO087 TO FO088</t>
  </si>
  <si>
    <t xml:space="preserve">FO057</t>
  </si>
  <si>
    <t xml:space="preserve">EI02BA2I03PA</t>
  </si>
  <si>
    <t xml:space="preserve">2944/2945</t>
  </si>
  <si>
    <t xml:space="preserve">ISI Print and changeover FO057 TO FO093</t>
  </si>
  <si>
    <t xml:space="preserve">pending</t>
  </si>
  <si>
    <t xml:space="preserve">FO059</t>
  </si>
  <si>
    <t xml:space="preserve">EC09BA2I03PA</t>
  </si>
  <si>
    <t xml:space="preserve">HEI03NaI03Pb</t>
  </si>
  <si>
    <t xml:space="preserve">2954/2961</t>
  </si>
  <si>
    <t xml:space="preserve">Plan completed as per material availability</t>
  </si>
  <si>
    <t xml:space="preserve">HEI03NaI03Pb03Pb</t>
  </si>
  <si>
    <t xml:space="preserve">2955</t>
  </si>
  <si>
    <t xml:space="preserve">HEI03Nb</t>
  </si>
  <si>
    <t xml:space="preserve">2960/2963</t>
  </si>
  <si>
    <t xml:space="preserve">FO055</t>
  </si>
  <si>
    <t xml:space="preserve">EI03Nb</t>
  </si>
  <si>
    <t xml:space="preserve">Plan completed, Color change over PINK TO BLUE</t>
  </si>
  <si>
    <t xml:space="preserve">EI03Hb</t>
  </si>
  <si>
    <t xml:space="preserve">HEH31BG22</t>
  </si>
  <si>
    <t xml:space="preserve">2956/2957</t>
  </si>
  <si>
    <t xml:space="preserve">FO107</t>
  </si>
  <si>
    <t xml:space="preserve">HEI02AG22</t>
  </si>
  <si>
    <t xml:space="preserve">EI03Bc2</t>
  </si>
  <si>
    <t xml:space="preserve">2966/2967</t>
  </si>
  <si>
    <t xml:space="preserve">EI03Hc</t>
  </si>
  <si>
    <t xml:space="preserve">HEI03Nc</t>
  </si>
  <si>
    <t xml:space="preserve">EI04Ba2</t>
  </si>
  <si>
    <t xml:space="preserve">Change over RPP8 to KPP6 </t>
  </si>
  <si>
    <t xml:space="preserve">HEI03NcI04Pa</t>
  </si>
  <si>
    <t xml:space="preserve">2972/2973/2974</t>
  </si>
  <si>
    <t xml:space="preserve">HEI03NbI03PbI04Pa</t>
  </si>
  <si>
    <t xml:space="preserve">2976/2980</t>
  </si>
  <si>
    <t xml:space="preserve">HEI04NA</t>
  </si>
  <si>
    <t xml:space="preserve">EI04Ha</t>
  </si>
  <si>
    <t xml:space="preserve">2982/2983</t>
  </si>
  <si>
    <t xml:space="preserve">Process stop due to covid vaccination</t>
  </si>
  <si>
    <t xml:space="preserve">FO111</t>
  </si>
  <si>
    <t xml:space="preserve">EI03BB2I04PA</t>
  </si>
  <si>
    <t xml:space="preserve">Changeover FO059 TO FO008</t>
  </si>
  <si>
    <t xml:space="preserve">EH17BB2I04PA</t>
  </si>
  <si>
    <t xml:space="preserve">Machine stop due to covid vaccination</t>
  </si>
  <si>
    <t xml:space="preserve">HEI04Nb</t>
  </si>
  <si>
    <t xml:space="preserve">2986/2991</t>
  </si>
  <si>
    <t xml:space="preserve">HEI04NaI04Pb</t>
  </si>
  <si>
    <t xml:space="preserve">2985/2987</t>
  </si>
  <si>
    <t xml:space="preserve">HEI03NcI04PaI04Pb</t>
  </si>
  <si>
    <t xml:space="preserve">2989/2990</t>
  </si>
  <si>
    <t xml:space="preserve">EI04Hb</t>
  </si>
  <si>
    <t xml:space="preserve">Plan Completed</t>
  </si>
  <si>
    <t xml:space="preserve">EI04Bb1</t>
  </si>
  <si>
    <t xml:space="preserve">Mold loading , machine startup sample given for heat test , mass production started , Flow mark major issue.</t>
  </si>
  <si>
    <t xml:space="preserve">EI04Bc1</t>
  </si>
  <si>
    <t xml:space="preserve">Rejection setup haigh due to scratch marck and flow mark issue.</t>
  </si>
  <si>
    <t xml:space="preserve">EI04Hc</t>
  </si>
  <si>
    <t xml:space="preserve">ERP pending due to material short in molding stage in ERP.</t>
  </si>
  <si>
    <t xml:space="preserve">HEIO4Nc</t>
  </si>
  <si>
    <t xml:space="preserve">EI06Ba1</t>
  </si>
  <si>
    <t xml:space="preserve">2995</t>
  </si>
  <si>
    <t xml:space="preserve">LSR alarm major in MTC and machine start-up and wait for heat test result loss time 180min</t>
  </si>
  <si>
    <t xml:space="preserve">HEI06Na</t>
  </si>
  <si>
    <t xml:space="preserve">(PB201)Machine automatically stop with injection unit back position, machine statrt-up,heating time</t>
  </si>
  <si>
    <t xml:space="preserve">EI06Ha</t>
  </si>
  <si>
    <t xml:space="preserve">2997</t>
  </si>
  <si>
    <t xml:space="preserve">HEI03NcI04PaI06Pa</t>
  </si>
  <si>
    <t xml:space="preserve">3001/3002/3003</t>
  </si>
  <si>
    <t xml:space="preserve">HEI04NbI04PbI06Pa</t>
  </si>
  <si>
    <t xml:space="preserve">2998/2999/3000</t>
  </si>
  <si>
    <t xml:space="preserve">FO105</t>
  </si>
  <si>
    <t xml:space="preserve">HEI03AG12</t>
  </si>
  <si>
    <t xml:space="preserve">3004</t>
  </si>
  <si>
    <t xml:space="preserve">Machine start delay due to chuck not working,Down time 360 min.</t>
  </si>
  <si>
    <t xml:space="preserve">HEI02BG22</t>
  </si>
  <si>
    <t xml:space="preserve">FO032</t>
  </si>
  <si>
    <t xml:space="preserve">Machine stop due to no plan</t>
  </si>
  <si>
    <t xml:space="preserve">HEI03AG22</t>
  </si>
  <si>
    <t xml:space="preserve">3013/3014</t>
  </si>
  <si>
    <t xml:space="preserve">EHI07BB2I06PA</t>
  </si>
  <si>
    <t xml:space="preserve">3006/3007</t>
  </si>
  <si>
    <t xml:space="preserve">EI04BB1I06PA</t>
  </si>
  <si>
    <t xml:space="preserve">3228/3229</t>
  </si>
  <si>
    <t xml:space="preserve">Changeover FO008 TO FO048 and Trial of New Art work</t>
  </si>
  <si>
    <t xml:space="preserve">3011/3018</t>
  </si>
  <si>
    <t xml:space="preserve">Lot qty pending</t>
  </si>
  <si>
    <t xml:space="preserve">HEI04NbI04PbI06Pb</t>
  </si>
  <si>
    <t xml:space="preserve">3019/3020</t>
  </si>
  <si>
    <t xml:space="preserve">Lot qty pending, low reading issue coming</t>
  </si>
  <si>
    <t xml:space="preserve">EI06Bb1</t>
  </si>
  <si>
    <t xml:space="preserve">Machine start up sample given for heat test , inj core polished due to scratch mark , major Issue Flow mark.</t>
  </si>
  <si>
    <t xml:space="preserve">HEI06Nb</t>
  </si>
  <si>
    <t xml:space="preserve">HEI06NaI06Pb</t>
  </si>
  <si>
    <t xml:space="preserve">3017/3024</t>
  </si>
  <si>
    <t xml:space="preserve">EI06Hb</t>
  </si>
  <si>
    <t xml:space="preserve">Plan completed , 7 time inj machine stop due to power tripping.</t>
  </si>
  <si>
    <t xml:space="preserve">EI06Bc2</t>
  </si>
  <si>
    <t xml:space="preserve">HEI06Nc</t>
  </si>
  <si>
    <t xml:space="preserve">EI06Hc</t>
  </si>
  <si>
    <t xml:space="preserve">Blow -2nd major issue flow mark and scratch mark and lock pin sensor issue.</t>
  </si>
  <si>
    <t xml:space="preserve">HEI06NcI06Pa</t>
  </si>
  <si>
    <t xml:space="preserve">EI07Ba2</t>
  </si>
  <si>
    <t xml:space="preserve">3030</t>
  </si>
  <si>
    <t xml:space="preserve">3031/3032</t>
  </si>
  <si>
    <t xml:space="preserve">HEI06NaI06PbI07Pa</t>
  </si>
  <si>
    <t xml:space="preserve">3033/3034/3035</t>
  </si>
  <si>
    <t xml:space="preserve">EI07Ha</t>
  </si>
  <si>
    <t xml:space="preserve">EI04BC1I07PA</t>
  </si>
  <si>
    <t xml:space="preserve">HEI03BG12,HEI03CG22</t>
  </si>
  <si>
    <t xml:space="preserve">3046/3047/3048</t>
  </si>
  <si>
    <t xml:space="preserve">EI07Bb2</t>
  </si>
  <si>
    <t xml:space="preserve">HEI04NbI04PbI07Pb</t>
  </si>
  <si>
    <t xml:space="preserve">ERP Entry pending due to FO016 short in erp </t>
  </si>
  <si>
    <t xml:space="preserve">HEI04AG12</t>
  </si>
  <si>
    <t xml:space="preserve">3045/3049/3050</t>
  </si>
  <si>
    <t xml:space="preserve">HEI07Nb</t>
  </si>
  <si>
    <t xml:space="preserve">Start (PB203 material)Machine startup and set up done in shift A with New Silicon Material PB203 after cleaning of 2KM and change the silicon suction hose pipe.</t>
  </si>
  <si>
    <t xml:space="preserve">HEI04NcI07Pb</t>
  </si>
  <si>
    <t xml:space="preserve">EI07Hb</t>
  </si>
  <si>
    <t xml:space="preserve">FO049</t>
  </si>
  <si>
    <t xml:space="preserve">EI06Bb2I07Pa</t>
  </si>
  <si>
    <t xml:space="preserve">3053/3054/3055/3056</t>
  </si>
  <si>
    <t xml:space="preserve">Printing machine 2nd shadow and print cat issue .</t>
  </si>
  <si>
    <t xml:space="preserve">HEI07Nc</t>
  </si>
  <si>
    <t xml:space="preserve">EI07Hc</t>
  </si>
  <si>
    <t xml:space="preserve">EI08Ha</t>
  </si>
  <si>
    <t xml:space="preserve">HEI08Na</t>
  </si>
  <si>
    <t xml:space="preserve">HEI06NcI07PaI08Pa</t>
  </si>
  <si>
    <t xml:space="preserve">HEI04CG12</t>
  </si>
  <si>
    <t xml:space="preserve">3063/3064/3065</t>
  </si>
  <si>
    <t xml:space="preserve">HEI07NbI08PaI08Pa</t>
  </si>
  <si>
    <t xml:space="preserve">EI06BC2I08Pa</t>
  </si>
  <si>
    <t xml:space="preserve">Trial of new art work and 2 time screen changeover due to shadow issue</t>
  </si>
  <si>
    <t xml:space="preserve">HEI04AG22</t>
  </si>
  <si>
    <t xml:space="preserve">3075/3076/3077/3078</t>
  </si>
  <si>
    <t xml:space="preserve">Man power short for 120 min</t>
  </si>
  <si>
    <t xml:space="preserve">3071/3072/3073/3074</t>
  </si>
  <si>
    <t xml:space="preserve">HEI06AG12</t>
  </si>
  <si>
    <t xml:space="preserve">3070/3083/3084</t>
  </si>
  <si>
    <t xml:space="preserve">HEI07NcI08Pa</t>
  </si>
  <si>
    <t xml:space="preserve">3085/3086/3087</t>
  </si>
  <si>
    <t xml:space="preserve">EI08Hb</t>
  </si>
  <si>
    <t xml:space="preserve">EG22Ba2I08Pb</t>
  </si>
  <si>
    <t xml:space="preserve">Printing machine 2nd fixture problem and sku change FO089 to FO008 shadow and print cat issue loss time 240 min.</t>
  </si>
  <si>
    <t xml:space="preserve">HEI08Nb</t>
  </si>
  <si>
    <t xml:space="preserve">HEI08Nc</t>
  </si>
  <si>
    <t xml:space="preserve">EI08Hc</t>
  </si>
  <si>
    <t xml:space="preserve">HEI09Na</t>
  </si>
  <si>
    <t xml:space="preserve">HEI08NaI09Pa</t>
  </si>
  <si>
    <t xml:space="preserve">3094/3095</t>
  </si>
  <si>
    <t xml:space="preserve">Air flow trial for 30 min</t>
  </si>
  <si>
    <t xml:space="preserve">HEI06BG12</t>
  </si>
  <si>
    <t xml:space="preserve">3092/3093</t>
  </si>
  <si>
    <t xml:space="preserve">EH18Ba2I09Pa</t>
  </si>
  <si>
    <t xml:space="preserve">3102/3103</t>
  </si>
  <si>
    <t xml:space="preserve">Printing machine 1st and 2nd machine pigeon logo shadow issue total loss time 135 min.</t>
  </si>
  <si>
    <t xml:space="preserve">EI09Ha</t>
  </si>
  <si>
    <t xml:space="preserve">3096/3098</t>
  </si>
  <si>
    <t xml:space="preserve">3116/3117/3118</t>
  </si>
  <si>
    <t xml:space="preserve">HEI09Nb</t>
  </si>
  <si>
    <t xml:space="preserve">EI09Hb</t>
  </si>
  <si>
    <t xml:space="preserve">EH18Bc2I09Pb</t>
  </si>
  <si>
    <t xml:space="preserve">Printing machine 1st and 2nd machine shadow issue total loss time 135 min.</t>
  </si>
  <si>
    <t xml:space="preserve">HEI07BH12</t>
  </si>
  <si>
    <t xml:space="preserve">3111/3112/3113</t>
  </si>
  <si>
    <t xml:space="preserve">HEI08NbI09Pb</t>
  </si>
  <si>
    <t xml:space="preserve">3109/3110</t>
  </si>
  <si>
    <t xml:space="preserve">EI09Hc</t>
  </si>
  <si>
    <t xml:space="preserve">HEI09Nc</t>
  </si>
  <si>
    <t xml:space="preserve">HEI08NcI10Pa</t>
  </si>
  <si>
    <t xml:space="preserve">3137/3138</t>
  </si>
  <si>
    <t xml:space="preserve">HEI08AH12</t>
  </si>
  <si>
    <t xml:space="preserve">3139/3140</t>
  </si>
  <si>
    <t xml:space="preserve">Poly change and 5S</t>
  </si>
  <si>
    <t xml:space="preserve">HEI10Na</t>
  </si>
  <si>
    <t xml:space="preserve">HI10HA</t>
  </si>
  <si>
    <t xml:space="preserve">EH18BC2I10Pa</t>
  </si>
  <si>
    <t xml:space="preserve">Printing machine 1st fixture allingment issue total time loss 150 min  </t>
  </si>
  <si>
    <t xml:space="preserve">HEI07BG12</t>
  </si>
  <si>
    <t xml:space="preserve">3146,3147,3154,3157,3158,3159</t>
  </si>
  <si>
    <t xml:space="preserve">HEI09NaI10Pb</t>
  </si>
  <si>
    <t xml:space="preserve">3149,3182</t>
  </si>
  <si>
    <t xml:space="preserve">3150,3151</t>
  </si>
  <si>
    <t xml:space="preserve">HEI10Nb</t>
  </si>
  <si>
    <t xml:space="preserve">3152</t>
  </si>
  <si>
    <t xml:space="preserve">HEI10Hb</t>
  </si>
  <si>
    <t xml:space="preserve">3153</t>
  </si>
  <si>
    <t xml:space="preserve">EH19Bb2I02Pb</t>
  </si>
  <si>
    <t xml:space="preserve">Major issue faced   that printing screen tear of 2 time so production loss.</t>
  </si>
  <si>
    <t xml:space="preserve">HEI10Nc</t>
  </si>
  <si>
    <t xml:space="preserve">Machine stop due after plan completed pin change "M"size to "L" size .</t>
  </si>
  <si>
    <t xml:space="preserve">EI10Hc</t>
  </si>
  <si>
    <t xml:space="preserve">EI13Ba1</t>
  </si>
  <si>
    <t xml:space="preserve">3161</t>
  </si>
  <si>
    <t xml:space="preserve">machine start after heat test and roll-up issue also face</t>
  </si>
  <si>
    <t xml:space="preserve">EI13Ha</t>
  </si>
  <si>
    <t xml:space="preserve">HEI10NaI13Pa</t>
  </si>
  <si>
    <t xml:space="preserve">3165/3166</t>
  </si>
  <si>
    <t xml:space="preserve">HEI08CH12</t>
  </si>
  <si>
    <t xml:space="preserve">3163,3164</t>
  </si>
  <si>
    <t xml:space="preserve">Lot. No. quantity balance</t>
  </si>
  <si>
    <t xml:space="preserve">EH19Ba2I13PA</t>
  </si>
  <si>
    <t xml:space="preserve">3167,68,69</t>
  </si>
  <si>
    <t xml:space="preserve">Manpower Short </t>
  </si>
  <si>
    <t xml:space="preserve">HEI10NbI13PA</t>
  </si>
  <si>
    <t xml:space="preserve">3170/3171/3172</t>
  </si>
  <si>
    <t xml:space="preserve">EI13Hb</t>
  </si>
  <si>
    <t xml:space="preserve">HEI13NB</t>
  </si>
  <si>
    <t xml:space="preserve">HEI09AH12</t>
  </si>
  <si>
    <t xml:space="preserve">3176/3177/3178</t>
  </si>
  <si>
    <t xml:space="preserve">EI13Bb1</t>
  </si>
  <si>
    <t xml:space="preserve">EH20Ba2I13Pb</t>
  </si>
  <si>
    <t xml:space="preserve">HEI08NbI09Pa</t>
  </si>
  <si>
    <t xml:space="preserve">3210/3211/3213</t>
  </si>
  <si>
    <t xml:space="preserve">HEH20AG22</t>
  </si>
  <si>
    <t xml:space="preserve">3190,3191, 3192,3193</t>
  </si>
  <si>
    <t xml:space="preserve">HEI13Nc</t>
  </si>
  <si>
    <t xml:space="preserve">EI13Bc1</t>
  </si>
  <si>
    <t xml:space="preserve">EI13Hc</t>
  </si>
  <si>
    <t xml:space="preserve">HI14Ba1</t>
  </si>
  <si>
    <t xml:space="preserve">New packing bins quantity is difference as per updated in ERP</t>
  </si>
  <si>
    <t xml:space="preserve">EI14Ha</t>
  </si>
  <si>
    <t xml:space="preserve">3196</t>
  </si>
  <si>
    <t xml:space="preserve">HEI14Na</t>
  </si>
  <si>
    <t xml:space="preserve">3197</t>
  </si>
  <si>
    <t xml:space="preserve">HEI10NbI14Pa</t>
  </si>
  <si>
    <t xml:space="preserve">3199,3200</t>
  </si>
  <si>
    <t xml:space="preserve">Material short from  molding stage</t>
  </si>
  <si>
    <t xml:space="preserve">HEI09BH12</t>
  </si>
  <si>
    <t xml:space="preserve">3194,3195</t>
  </si>
  <si>
    <t xml:space="preserve">EH20Ba2I14Pa</t>
  </si>
  <si>
    <t xml:space="preserve">3203,04,06</t>
  </si>
  <si>
    <t xml:space="preserve">New HQ Scale and Logo Trial</t>
  </si>
  <si>
    <t xml:space="preserve">HEI09NaI10Pa</t>
  </si>
  <si>
    <t xml:space="preserve">3221/3222/3223</t>
  </si>
  <si>
    <t xml:space="preserve">HEI13NBI14Pb</t>
  </si>
  <si>
    <t xml:space="preserve">3214/3215</t>
  </si>
  <si>
    <t xml:space="preserve">HEI09CH12</t>
  </si>
  <si>
    <t xml:space="preserve">3216/3217</t>
  </si>
  <si>
    <t xml:space="preserve">EI14Hb</t>
  </si>
  <si>
    <t xml:space="preserve">HEI14Nb</t>
  </si>
  <si>
    <t xml:space="preserve">EI14Bb1</t>
  </si>
  <si>
    <t xml:space="preserve">EH07BC2I14Pa</t>
  </si>
  <si>
    <t xml:space="preserve">New artwork trail 100 min </t>
  </si>
  <si>
    <t xml:space="preserve">EI14Bc1</t>
  </si>
  <si>
    <t xml:space="preserve">EI14Hc</t>
  </si>
  <si>
    <t xml:space="preserve">HEI14Nc</t>
  </si>
  <si>
    <t xml:space="preserve">HEI15Na</t>
  </si>
  <si>
    <t xml:space="preserve">3229</t>
  </si>
  <si>
    <t xml:space="preserve">EI15Ha</t>
  </si>
  <si>
    <t xml:space="preserve">3230</t>
  </si>
  <si>
    <t xml:space="preserve">EH09Bb2I15Pa</t>
  </si>
  <si>
    <t xml:space="preserve">Flaming machine trial</t>
  </si>
  <si>
    <t xml:space="preserve">HEI13NcI15Pa</t>
  </si>
  <si>
    <t xml:space="preserve">3231,3232</t>
  </si>
  <si>
    <t xml:space="preserve">HEI10N15AH12</t>
  </si>
  <si>
    <t xml:space="preserve">3234,3235</t>
  </si>
  <si>
    <t xml:space="preserve">HEI14NAI15Pb</t>
  </si>
  <si>
    <t xml:space="preserve">3241/3242/3245</t>
  </si>
  <si>
    <t xml:space="preserve">EI15Hb</t>
  </si>
  <si>
    <t xml:space="preserve">HEI15NB</t>
  </si>
  <si>
    <t xml:space="preserve">HEI10CH12</t>
  </si>
  <si>
    <t xml:space="preserve">3246/3247</t>
  </si>
  <si>
    <t xml:space="preserve">HEI13BH22</t>
  </si>
  <si>
    <t xml:space="preserve">3254/3255/3256</t>
  </si>
  <si>
    <t xml:space="preserve">EH09Bc2I15PB</t>
  </si>
  <si>
    <t xml:space="preserve">HEI15Nc</t>
  </si>
  <si>
    <t xml:space="preserve">EI15Hc</t>
  </si>
  <si>
    <t xml:space="preserve">3272/3273/3274</t>
  </si>
  <si>
    <t xml:space="preserve">HEI14NbH16Pa</t>
  </si>
  <si>
    <t xml:space="preserve">3275/3276/3277</t>
  </si>
  <si>
    <t xml:space="preserve">HEI16Na</t>
  </si>
  <si>
    <t xml:space="preserve">3278</t>
  </si>
  <si>
    <t xml:space="preserve">HEI16Ha</t>
  </si>
  <si>
    <t xml:space="preserve">3279</t>
  </si>
  <si>
    <t xml:space="preserve">Robot machine belt broken</t>
  </si>
  <si>
    <t xml:space="preserve">PINPM/21-22/3257</t>
  </si>
  <si>
    <t xml:space="preserve">PINPM/21-22/3258</t>
  </si>
  <si>
    <t xml:space="preserve">HI13Bb1I16Pa</t>
  </si>
  <si>
    <t xml:space="preserve">Pending</t>
  </si>
  <si>
    <t xml:space="preserve">EI16Ba1</t>
  </si>
  <si>
    <t xml:space="preserve">Machine startup after mold Changeover and alighnment done ,wait for heat test result .</t>
  </si>
  <si>
    <t xml:space="preserve">HEI10NcI14Pa</t>
  </si>
  <si>
    <t xml:space="preserve">HEI13NbI14Pb</t>
  </si>
  <si>
    <t xml:space="preserve">3283/3284</t>
  </si>
  <si>
    <t xml:space="preserve">HEI06CG12</t>
  </si>
  <si>
    <t xml:space="preserve">3286/3287/3288/3289/3290</t>
  </si>
  <si>
    <t xml:space="preserve">Plan complted</t>
  </si>
  <si>
    <t xml:space="preserve">HEI14AH22</t>
  </si>
  <si>
    <t xml:space="preserve">Laser machine stop due to chuck open issue coming at 06:00 pm </t>
  </si>
  <si>
    <t xml:space="preserve">HEI15NBI16Pb</t>
  </si>
  <si>
    <t xml:space="preserve">3291/3292</t>
  </si>
  <si>
    <t xml:space="preserve">EI16Bb1</t>
  </si>
  <si>
    <t xml:space="preserve">HEI16Nb</t>
  </si>
  <si>
    <t xml:space="preserve">EI13BC1I16Pb</t>
  </si>
  <si>
    <t xml:space="preserve">EI16Bc1</t>
  </si>
  <si>
    <t xml:space="preserve">HEI16Nc</t>
  </si>
  <si>
    <t xml:space="preserve">EI17Ba1</t>
  </si>
  <si>
    <t xml:space="preserve">EI17Ba2</t>
  </si>
  <si>
    <t xml:space="preserve">3309/3314</t>
  </si>
  <si>
    <t xml:space="preserve">Machine start after heat test </t>
  </si>
  <si>
    <t xml:space="preserve">HEI17Na</t>
  </si>
  <si>
    <t xml:space="preserve">Material drum changeover and middle plate cleaning</t>
  </si>
  <si>
    <t xml:space="preserve">HEI15NaI17Pa</t>
  </si>
  <si>
    <t xml:space="preserve">3310/3311</t>
  </si>
  <si>
    <t xml:space="preserve">EI14Bc1I17Pa</t>
  </si>
  <si>
    <t xml:space="preserve">Changeover in FO009</t>
  </si>
  <si>
    <t xml:space="preserve">EH03Ba1I17Pa</t>
  </si>
  <si>
    <t xml:space="preserve">3316,17,18</t>
  </si>
  <si>
    <t xml:space="preserve">HEI14NaI15Pa</t>
  </si>
  <si>
    <t xml:space="preserve">Material not avlable in nipple inpection stage </t>
  </si>
  <si>
    <t xml:space="preserve">HEH17AG22</t>
  </si>
  <si>
    <t xml:space="preserve">3342/3343/3344/3345/3357</t>
  </si>
  <si>
    <t xml:space="preserve">HEI15NcI17Pb</t>
  </si>
  <si>
    <t xml:space="preserve">3332/3333</t>
  </si>
  <si>
    <t xml:space="preserve">EI17Hb</t>
  </si>
  <si>
    <t xml:space="preserve">HEI17Nb</t>
  </si>
  <si>
    <t xml:space="preserve">EI17Bb1</t>
  </si>
  <si>
    <t xml:space="preserve">3336/3397</t>
  </si>
  <si>
    <t xml:space="preserve">EI17Bb2</t>
  </si>
  <si>
    <t xml:space="preserve">EH03Bb1I17Pb</t>
  </si>
  <si>
    <t xml:space="preserve">EI17Bc2</t>
  </si>
  <si>
    <t xml:space="preserve">HEI17Nc</t>
  </si>
  <si>
    <t xml:space="preserve">Productiopn due to middle plate and back plate cleaning loss time 60 min.</t>
  </si>
  <si>
    <t xml:space="preserve">EI17Hc</t>
  </si>
  <si>
    <t xml:space="preserve">EI18Ba2</t>
  </si>
  <si>
    <t xml:space="preserve">HEI18Na</t>
  </si>
  <si>
    <t xml:space="preserve">EI18Ha</t>
  </si>
  <si>
    <t xml:space="preserve">HEI16NaI18Pa</t>
  </si>
  <si>
    <t xml:space="preserve">EH04Ba1I18Pa</t>
  </si>
  <si>
    <t xml:space="preserve">3351,54,56</t>
  </si>
  <si>
    <t xml:space="preserve">Job Changeover in FO006</t>
  </si>
  <si>
    <t xml:space="preserve">EH20Bb1I18Pa</t>
  </si>
  <si>
    <t xml:space="preserve">EI20Ba2</t>
  </si>
  <si>
    <t xml:space="preserve">Machine startup and sample given for heat test,Black dust coming from H.R Nozzle.</t>
  </si>
  <si>
    <t xml:space="preserve">HEI20Na</t>
  </si>
  <si>
    <t xml:space="preserve">Machine startup and middle plate cleaning.</t>
  </si>
  <si>
    <t xml:space="preserve">HEI16NcI20Pa</t>
  </si>
  <si>
    <t xml:space="preserve">3367/3368</t>
  </si>
  <si>
    <t xml:space="preserve">Machine startup and flange hole reading issue so pin and die changed</t>
  </si>
  <si>
    <t xml:space="preserve">EI17Ba2I20Pa</t>
  </si>
  <si>
    <t xml:space="preserve">Screen Change on 1st Machine due to Pin Hole in Screen</t>
  </si>
  <si>
    <t xml:space="preserve">3379/3380/3381/3382</t>
  </si>
  <si>
    <t xml:space="preserve">HEI17NbI20Pb</t>
  </si>
  <si>
    <t xml:space="preserve">3384/3385</t>
  </si>
  <si>
    <t xml:space="preserve">Flange hole reading issue</t>
  </si>
  <si>
    <t xml:space="preserve">3386/3387</t>
  </si>
  <si>
    <t xml:space="preserve">EI20Bb2</t>
  </si>
  <si>
    <t xml:space="preserve">HEI20Nb</t>
  </si>
  <si>
    <t xml:space="preserve">Vergin</t>
  </si>
  <si>
    <t xml:space="preserve">EI20Cb</t>
  </si>
  <si>
    <t xml:space="preserve">EI17Bb2I20Pb</t>
  </si>
  <si>
    <t xml:space="preserve">EI20Cc</t>
  </si>
  <si>
    <t xml:space="preserve">Recycle</t>
  </si>
  <si>
    <t xml:space="preserve">EI20CRc</t>
  </si>
  <si>
    <t xml:space="preserve">HEI20Nc</t>
  </si>
  <si>
    <t xml:space="preserve">EI20Bc2</t>
  </si>
  <si>
    <t xml:space="preserve">EI21Ba2</t>
  </si>
  <si>
    <t xml:space="preserve">HEI21Na</t>
  </si>
  <si>
    <t xml:space="preserve">Machine start up after Pin change and Middle plate cleaning </t>
  </si>
  <si>
    <t xml:space="preserve">HEI18NaI21Pa</t>
  </si>
  <si>
    <t xml:space="preserve">3409/3410</t>
  </si>
  <si>
    <t xml:space="preserve">HEI14CH22</t>
  </si>
  <si>
    <t xml:space="preserve">3411/3412/3413</t>
  </si>
  <si>
    <t xml:space="preserve">EI21CRa</t>
  </si>
  <si>
    <t xml:space="preserve">EI21Ba1</t>
  </si>
  <si>
    <t xml:space="preserve">Machine start up after blow mold loading and alighnment on blow 1</t>
  </si>
  <si>
    <t xml:space="preserve">EI17Bc2I21Pa</t>
  </si>
  <si>
    <t xml:space="preserve">Job Changeover in FO010</t>
  </si>
  <si>
    <t xml:space="preserve">3435/3436/3437/3438</t>
  </si>
  <si>
    <t xml:space="preserve">3439/3440</t>
  </si>
  <si>
    <t xml:space="preserve">HEI20NB</t>
  </si>
  <si>
    <t xml:space="preserve">3420/3421</t>
  </si>
  <si>
    <t xml:space="preserve">HEI15AH22</t>
  </si>
  <si>
    <t xml:space="preserve">3422/3423</t>
  </si>
  <si>
    <t xml:space="preserve">HEI21Nb</t>
  </si>
  <si>
    <t xml:space="preserve">EI21CRb</t>
  </si>
  <si>
    <t xml:space="preserve">EI21Cb</t>
  </si>
  <si>
    <t xml:space="preserve">EI21Bb1</t>
  </si>
  <si>
    <t xml:space="preserve">EI21Bb2</t>
  </si>
  <si>
    <t xml:space="preserve">EG23Ba2I21Pa</t>
  </si>
  <si>
    <t xml:space="preserve">EI21Bc2</t>
  </si>
  <si>
    <t xml:space="preserve">EI21Bc1</t>
  </si>
  <si>
    <t xml:space="preserve">HEI21Nc</t>
  </si>
  <si>
    <t xml:space="preserve">EI21Cc</t>
  </si>
  <si>
    <t xml:space="preserve">EI22Ba2</t>
  </si>
  <si>
    <t xml:space="preserve">3456/3462</t>
  </si>
  <si>
    <t xml:space="preserve">HEI22Na</t>
  </si>
  <si>
    <t xml:space="preserve">3457</t>
  </si>
  <si>
    <t xml:space="preserve">EI22Ca</t>
  </si>
  <si>
    <t xml:space="preserve">EI22CRa</t>
  </si>
  <si>
    <t xml:space="preserve">3463</t>
  </si>
  <si>
    <t xml:space="preserve">HEI15CH22</t>
  </si>
  <si>
    <t xml:space="preserve">3458/3459</t>
  </si>
  <si>
    <t xml:space="preserve">HEI20NcI22Pa</t>
  </si>
  <si>
    <t xml:space="preserve">3460/3461</t>
  </si>
  <si>
    <t xml:space="preserve">HEEI15BH22</t>
  </si>
  <si>
    <t xml:space="preserve">3465/3466/3476/3477</t>
  </si>
  <si>
    <t xml:space="preserve">HEI22Nb</t>
  </si>
  <si>
    <t xml:space="preserve">EI22CRb</t>
  </si>
  <si>
    <t xml:space="preserve">HEI21NaI22Pb</t>
  </si>
  <si>
    <t xml:space="preserve">HEI20NciI22Pb</t>
  </si>
  <si>
    <t xml:space="preserve">Punching machine low reading and tape not fit 120 min </t>
  </si>
  <si>
    <t xml:space="preserve">3471/3472/3473</t>
  </si>
  <si>
    <t xml:space="preserve">EI22Bb2</t>
  </si>
  <si>
    <t xml:space="preserve">EI22Cb</t>
  </si>
  <si>
    <t xml:space="preserve">Change over fo010 to fo092 60 min </t>
  </si>
  <si>
    <t xml:space="preserve">EH28Bb1I22Pb</t>
  </si>
  <si>
    <t xml:space="preserve">Changeover fo092 to fo094 60 min </t>
  </si>
  <si>
    <t xml:space="preserve">HEI22Nc</t>
  </si>
  <si>
    <t xml:space="preserve">SKU change 'Y'-size to 'S'-size and silicon duram change total time 180 min.</t>
  </si>
  <si>
    <t xml:space="preserve">EI22Bc2</t>
  </si>
  <si>
    <t xml:space="preserve">EI22CRc</t>
  </si>
  <si>
    <t xml:space="preserve">EI22Cc</t>
  </si>
  <si>
    <t xml:space="preserve">EI23Ca</t>
  </si>
  <si>
    <t xml:space="preserve">EI23CRa</t>
  </si>
  <si>
    <t xml:space="preserve">HEI23Na</t>
  </si>
  <si>
    <t xml:space="preserve">Microbubble issue coming after drum changeover in cavity no 1</t>
  </si>
  <si>
    <t xml:space="preserve">HEI21NaI23Pa</t>
  </si>
  <si>
    <t xml:space="preserve">HEI22NcI23Pa</t>
  </si>
  <si>
    <t xml:space="preserve">HEI16CH22</t>
  </si>
  <si>
    <t xml:space="preserve">3492/3493</t>
  </si>
  <si>
    <t xml:space="preserve">Sku changeover FO106 TO FO104, Balance qty handover to B Shift</t>
  </si>
  <si>
    <t xml:space="preserve">EI23Ba1</t>
  </si>
  <si>
    <t xml:space="preserve">M1</t>
  </si>
  <si>
    <t xml:space="preserve">EH28Bb1I23Pa</t>
  </si>
  <si>
    <t xml:space="preserve">SKU Changeover in FO095</t>
  </si>
  <si>
    <t xml:space="preserve">FO095</t>
  </si>
  <si>
    <t xml:space="preserve">EI03Bb2I23Pa</t>
  </si>
  <si>
    <t xml:space="preserve">3508,3514</t>
  </si>
  <si>
    <t xml:space="preserve">SKU Changeover in FO093</t>
  </si>
  <si>
    <t xml:space="preserve">EH24Bb2I23Pa</t>
  </si>
  <si>
    <t xml:space="preserve">HEI31BG22</t>
  </si>
  <si>
    <t xml:space="preserve">3547/3548/3549/3550</t>
  </si>
  <si>
    <t xml:space="preserve">Plan not complet one manpower shot</t>
  </si>
  <si>
    <t xml:space="preserve">HEI16AH22</t>
  </si>
  <si>
    <t xml:space="preserve">3515/3516/3517</t>
  </si>
  <si>
    <t xml:space="preserve">HEI21AH22</t>
  </si>
  <si>
    <t xml:space="preserve">HEI23NaI23Pb</t>
  </si>
  <si>
    <t xml:space="preserve">3519/3520</t>
  </si>
  <si>
    <t xml:space="preserve">HEI23Nb</t>
  </si>
  <si>
    <t xml:space="preserve">EI23CRb</t>
  </si>
  <si>
    <t xml:space="preserve">RM000123 Stock not available reason entry pending </t>
  </si>
  <si>
    <t xml:space="preserve">EI23Bb2</t>
  </si>
  <si>
    <t xml:space="preserve">3522/3523/3542</t>
  </si>
  <si>
    <t xml:space="preserve">EI23Cb</t>
  </si>
  <si>
    <t xml:space="preserve">EI23Cc</t>
  </si>
  <si>
    <t xml:space="preserve">EI23CRc</t>
  </si>
  <si>
    <t xml:space="preserve">HEI23Nc</t>
  </si>
  <si>
    <t xml:space="preserve">EI23Bc2</t>
  </si>
  <si>
    <t xml:space="preserve">HEI23NbI24Pa</t>
  </si>
  <si>
    <t xml:space="preserve">3530/3531</t>
  </si>
  <si>
    <t xml:space="preserve">HEI21BH22</t>
  </si>
  <si>
    <t xml:space="preserve">HEI22CH22</t>
  </si>
  <si>
    <t xml:space="preserve">HEI24Na</t>
  </si>
  <si>
    <t xml:space="preserve">1 No cavity microbubble issue</t>
  </si>
  <si>
    <t xml:space="preserve">EI24CRa</t>
  </si>
  <si>
    <t xml:space="preserve">EI24Ba1</t>
  </si>
  <si>
    <t xml:space="preserve">30 gm mass production started heat test fail change some parameters after heat test pass machine started</t>
  </si>
  <si>
    <t xml:space="preserve">EI2BB2I24Pa</t>
  </si>
  <si>
    <t xml:space="preserve">Job Change in FO099</t>
  </si>
  <si>
    <t xml:space="preserve">FO099</t>
  </si>
  <si>
    <t xml:space="preserve">EI3Bc2I24Pa</t>
  </si>
  <si>
    <t xml:space="preserve">Job Change in FO098</t>
  </si>
  <si>
    <t xml:space="preserve">FO098</t>
  </si>
  <si>
    <t xml:space="preserve">EH28Bb1I24Pa</t>
  </si>
  <si>
    <t xml:space="preserve">Job Change in FO096</t>
  </si>
  <si>
    <t xml:space="preserve">EH27Bc1I24Pa</t>
  </si>
  <si>
    <t xml:space="preserve">EI24CRb</t>
  </si>
  <si>
    <t xml:space="preserve">Chang over FO143 pink to FO144 blue cap</t>
  </si>
  <si>
    <t xml:space="preserve">HEI12AH22</t>
  </si>
  <si>
    <t xml:space="preserve">3543/3544/3545/3546</t>
  </si>
  <si>
    <t xml:space="preserve">HEI23AH22</t>
  </si>
  <si>
    <t xml:space="preserve">3560/3561</t>
  </si>
  <si>
    <t xml:space="preserve">3551/3552/3553/3554/3569</t>
  </si>
  <si>
    <t xml:space="preserve">HEI24Nb</t>
  </si>
  <si>
    <t xml:space="preserve">EI24Bb1</t>
  </si>
  <si>
    <t xml:space="preserve">HEI24NcI24pb</t>
  </si>
  <si>
    <t xml:space="preserve">3556/3357</t>
  </si>
  <si>
    <t xml:space="preserve">3558/3559</t>
  </si>
  <si>
    <t xml:space="preserve">EI24Cb</t>
  </si>
  <si>
    <t xml:space="preserve">EI24Cc</t>
  </si>
  <si>
    <t xml:space="preserve">EI24CRc</t>
  </si>
  <si>
    <t xml:space="preserve">HEI24Nc</t>
  </si>
  <si>
    <t xml:space="preserve">HEI25Na</t>
  </si>
  <si>
    <t xml:space="preserve">Middle plate cleanining 2 time </t>
  </si>
  <si>
    <t xml:space="preserve">HEI24NcI25Pa</t>
  </si>
  <si>
    <t xml:space="preserve">3586/3587/3588</t>
  </si>
  <si>
    <t xml:space="preserve">3589/3590</t>
  </si>
  <si>
    <t xml:space="preserve">400 pcs handover to next shift</t>
  </si>
  <si>
    <t xml:space="preserve">FO042</t>
  </si>
  <si>
    <t xml:space="preserve">EI25Ba2</t>
  </si>
  <si>
    <t xml:space="preserve">Material changeover domestic to export mold cleaning done and Machine start sample given for heat test </t>
  </si>
  <si>
    <t xml:space="preserve">EI25CRa</t>
  </si>
  <si>
    <t xml:space="preserve">EH28Ba1I25Pa</t>
  </si>
  <si>
    <t xml:space="preserve">Job Changeover in FO101</t>
  </si>
  <si>
    <t xml:space="preserve">EI02Bb2I25Pa</t>
  </si>
  <si>
    <t xml:space="preserve">FO103</t>
  </si>
  <si>
    <t xml:space="preserve">Job Changeover in FO103</t>
  </si>
  <si>
    <t xml:space="preserve">3599/3600/3601/3614</t>
  </si>
  <si>
    <t xml:space="preserve">3602/3603</t>
  </si>
  <si>
    <t xml:space="preserve">HEI14BH22</t>
  </si>
  <si>
    <t xml:space="preserve">3604/3605/3606</t>
  </si>
  <si>
    <t xml:space="preserve">EI25Bb2</t>
  </si>
  <si>
    <t xml:space="preserve">Machine stop thicknees problem continew </t>
  </si>
  <si>
    <t xml:space="preserve">EI25CRb</t>
  </si>
  <si>
    <t xml:space="preserve">HEI25Nb</t>
  </si>
  <si>
    <t xml:space="preserve">HEI24NcI25Pb</t>
  </si>
  <si>
    <t xml:space="preserve">3610/3611</t>
  </si>
  <si>
    <t xml:space="preserve">HEI24AH22</t>
  </si>
  <si>
    <t xml:space="preserve">3612/3613</t>
  </si>
  <si>
    <t xml:space="preserve">200 pcs handover to next shift</t>
  </si>
  <si>
    <t xml:space="preserve">HEI25Nc</t>
  </si>
  <si>
    <t xml:space="preserve">Plan completed ,Pin change 'S' size to 'LL' size .</t>
  </si>
  <si>
    <t xml:space="preserve">EI25Cc</t>
  </si>
  <si>
    <t xml:space="preserve">EI25CRc</t>
  </si>
  <si>
    <t xml:space="preserve">HEI25NbI27Pa</t>
  </si>
  <si>
    <t xml:space="preserve">3630/3631</t>
  </si>
  <si>
    <t xml:space="preserve">500 pcs hand over to next shift.</t>
  </si>
  <si>
    <t xml:space="preserve">HEI24BH22</t>
  </si>
  <si>
    <t xml:space="preserve">3627/3629</t>
  </si>
  <si>
    <t xml:space="preserve">EI27Ba1</t>
  </si>
  <si>
    <t xml:space="preserve">Machine start heat test 120min and heat test fail.</t>
  </si>
  <si>
    <t xml:space="preserve">EI27CRa</t>
  </si>
  <si>
    <t xml:space="preserve">O</t>
  </si>
  <si>
    <t xml:space="preserve">Hopper sensar setup and material changeand shift startup.</t>
  </si>
  <si>
    <t xml:space="preserve">HEI27Na</t>
  </si>
  <si>
    <t xml:space="preserve">machine startup and heating 120min.</t>
  </si>
  <si>
    <t xml:space="preserve">Machine stop due cavity no-02 and 08 flash issue.</t>
  </si>
  <si>
    <t xml:space="preserve">EI16BA2I27Pa</t>
  </si>
  <si>
    <t xml:space="preserve">Job Changeover in FO008</t>
  </si>
  <si>
    <t xml:space="preserve">HEI24NaI24Pb</t>
  </si>
  <si>
    <t xml:space="preserve">3648/3649/3650</t>
  </si>
  <si>
    <t xml:space="preserve">HEI16H22</t>
  </si>
  <si>
    <t xml:space="preserve">3652/3653/3654/3655</t>
  </si>
  <si>
    <t xml:space="preserve">HEI24CG22</t>
  </si>
  <si>
    <t xml:space="preserve">HEI16CG22</t>
  </si>
  <si>
    <t xml:space="preserve">3647/3656/3657</t>
  </si>
  <si>
    <t xml:space="preserve">EI27Bb1</t>
  </si>
  <si>
    <t xml:space="preserve">FR101 short in ERP.</t>
  </si>
  <si>
    <t xml:space="preserve">HEI27Nb</t>
  </si>
  <si>
    <t xml:space="preserve">Silicon duram change over total time 40 min.</t>
  </si>
  <si>
    <t xml:space="preserve">HEI25NcI27Pb</t>
  </si>
  <si>
    <t xml:space="preserve">HEI27NaI27Pb</t>
  </si>
  <si>
    <t xml:space="preserve">EI27Cb</t>
  </si>
  <si>
    <t xml:space="preserve">HEI27Nc</t>
  </si>
  <si>
    <t xml:space="preserve">After drum changeover mchine start ,middle and back plat celanig done 2 time due to single material flash fill inside the mold clening done .</t>
  </si>
  <si>
    <t xml:space="preserve">EI27Cc</t>
  </si>
  <si>
    <t xml:space="preserve">Material change over Virgen to Recycle</t>
  </si>
  <si>
    <t xml:space="preserve">EI27CRc</t>
  </si>
  <si>
    <t xml:space="preserve">HEI17AH22</t>
  </si>
  <si>
    <t xml:space="preserve">3662/3663</t>
  </si>
  <si>
    <t xml:space="preserve">   A</t>
  </si>
  <si>
    <t xml:space="preserve">EI28Ba1</t>
  </si>
  <si>
    <t xml:space="preserve">Silver problem continue coming stop the machine </t>
  </si>
  <si>
    <t xml:space="preserve">HEI27NbI28Pa</t>
  </si>
  <si>
    <t xml:space="preserve">3678/3679/3680</t>
  </si>
  <si>
    <t xml:space="preserve">3681/3682</t>
  </si>
  <si>
    <t xml:space="preserve">EI28CRa</t>
  </si>
  <si>
    <t xml:space="preserve">material change over recycal to vergin </t>
  </si>
  <si>
    <t xml:space="preserve">EI28Ca</t>
  </si>
  <si>
    <t xml:space="preserve">HEI28Na</t>
  </si>
  <si>
    <t xml:space="preserve">Machine stop the continew Defarmation and bubble issue comeing </t>
  </si>
  <si>
    <t xml:space="preserve">3704/3705/3706/3707/3708/3710</t>
  </si>
  <si>
    <t xml:space="preserve">HEI24CH22</t>
  </si>
  <si>
    <t xml:space="preserve">3711/3712</t>
  </si>
  <si>
    <t xml:space="preserve">WR2</t>
  </si>
  <si>
    <t xml:space="preserve">HEI16BH22</t>
  </si>
  <si>
    <t xml:space="preserve">EI16Bc1I28Pa</t>
  </si>
  <si>
    <t xml:space="preserve">HEI20AH22</t>
  </si>
  <si>
    <t xml:space="preserve">3703/3714/3715</t>
  </si>
  <si>
    <t xml:space="preserve">EI28Bb1</t>
  </si>
  <si>
    <t xml:space="preserve">-</t>
  </si>
  <si>
    <t xml:space="preserve">HE22NaI28Pb</t>
  </si>
  <si>
    <t xml:space="preserve">3717/3718</t>
  </si>
  <si>
    <t xml:space="preserve">HE28NaI28Pb</t>
  </si>
  <si>
    <t xml:space="preserve">EI28Cb</t>
  </si>
  <si>
    <t xml:space="preserve">EI28Cc</t>
  </si>
  <si>
    <t xml:space="preserve">EI28CRc</t>
  </si>
  <si>
    <t xml:space="preserve">HEI20CH22</t>
  </si>
  <si>
    <t xml:space="preserve">3723/3724</t>
  </si>
  <si>
    <t xml:space="preserve">SKU chaneover FO106 TO FO151</t>
  </si>
  <si>
    <t xml:space="preserve">HEI22NaI29Pa </t>
  </si>
  <si>
    <t xml:space="preserve">3735/3736</t>
  </si>
  <si>
    <t xml:space="preserve">HEI27AH22</t>
  </si>
  <si>
    <t xml:space="preserve">3737/3738</t>
  </si>
  <si>
    <t xml:space="preserve">EI29CRa</t>
  </si>
  <si>
    <t xml:space="preserve">3739</t>
  </si>
  <si>
    <t xml:space="preserve">3745/3756/3757/3761</t>
  </si>
  <si>
    <t xml:space="preserve">HEI20NaI21Pb</t>
  </si>
  <si>
    <t xml:space="preserve">3758/3759/3760</t>
  </si>
  <si>
    <t xml:space="preserve">EI17Bb1I29Pa</t>
  </si>
  <si>
    <t xml:space="preserve">HEI27CH22</t>
  </si>
  <si>
    <t xml:space="preserve">3751/3752</t>
  </si>
  <si>
    <t xml:space="preserve">HEI22NbI29Pb</t>
  </si>
  <si>
    <t xml:space="preserve">HEI23NaI29Pb</t>
  </si>
  <si>
    <t xml:space="preserve">3754/3755</t>
  </si>
  <si>
    <t xml:space="preserve">EI29CRb</t>
  </si>
  <si>
    <t xml:space="preserve">EI29CRc</t>
  </si>
  <si>
    <t xml:space="preserve">HEI22AH22</t>
  </si>
  <si>
    <t xml:space="preserve">3763/3764/3765</t>
  </si>
  <si>
    <t xml:space="preserve">EI30CRa</t>
  </si>
  <si>
    <t xml:space="preserve">EI30Ca</t>
  </si>
  <si>
    <t xml:space="preserve">HEI25AH22</t>
  </si>
  <si>
    <t xml:space="preserve">3781</t>
  </si>
  <si>
    <t xml:space="preserve">3782/3783</t>
  </si>
  <si>
    <t xml:space="preserve">HEI21NcI28Pa</t>
  </si>
  <si>
    <t xml:space="preserve">3793/3794/3795</t>
  </si>
  <si>
    <t xml:space="preserve">HEI25NaI27Pa</t>
  </si>
  <si>
    <t xml:space="preserve">3797/3799</t>
  </si>
  <si>
    <t xml:space="preserve">HEI28NaI28Pb</t>
  </si>
  <si>
    <t xml:space="preserve">3798/3800</t>
  </si>
  <si>
    <t xml:space="preserve">EI30Cb</t>
  </si>
  <si>
    <t xml:space="preserve">3801/3802</t>
  </si>
  <si>
    <t xml:space="preserve">3788/3789</t>
  </si>
  <si>
    <t xml:space="preserve">Plasma treatment trial for printed bottles</t>
  </si>
  <si>
    <t xml:space="preserve">Virgen</t>
  </si>
  <si>
    <t xml:space="preserve">EJ04Ca</t>
  </si>
  <si>
    <t xml:space="preserve">Heating on machine startup</t>
  </si>
  <si>
    <t xml:space="preserve">Rinku</t>
  </si>
  <si>
    <t xml:space="preserve">EJ04CRa</t>
  </si>
  <si>
    <t xml:space="preserve">BRIJLAL</t>
  </si>
  <si>
    <t xml:space="preserve">EJ04Ba2</t>
  </si>
  <si>
    <t xml:space="preserve">Machine start up and wait for heat test</t>
  </si>
  <si>
    <t xml:space="preserve">Lokesh</t>
  </si>
  <si>
    <t xml:space="preserve">HEI25BH22</t>
  </si>
  <si>
    <t xml:space="preserve">Machine start up and Material short</t>
  </si>
  <si>
    <t xml:space="preserve">Vikrant</t>
  </si>
  <si>
    <t xml:space="preserve">EI24Ba1J04Pa</t>
  </si>
  <si>
    <t xml:space="preserve">Job changeover FO049 TO FO010</t>
  </si>
  <si>
    <t xml:space="preserve">SANDEEP KUMAR  </t>
  </si>
  <si>
    <t xml:space="preserve">HEJO4Na</t>
  </si>
  <si>
    <t xml:space="preserve">Heating on machine startup total time 90 min ,and middle plate and back plate cleaning total loss time 60 min. Major issue deformation and microbubble.</t>
  </si>
  <si>
    <t xml:space="preserve">ANSHUL</t>
  </si>
  <si>
    <t xml:space="preserve">Manpower short</t>
  </si>
  <si>
    <t xml:space="preserve">RAMESH</t>
  </si>
  <si>
    <t xml:space="preserve">HEJ04Nb</t>
  </si>
  <si>
    <t xml:space="preserve">Production loss due to maicro babble issue in ( nipple body area)  middle plate and back plate cleaning . </t>
  </si>
  <si>
    <t xml:space="preserve">AARTI II</t>
  </si>
  <si>
    <t xml:space="preserve">EJ04Bb2</t>
  </si>
  <si>
    <t xml:space="preserve">RAJNI</t>
  </si>
  <si>
    <t xml:space="preserve">EJO4CRb</t>
  </si>
  <si>
    <t xml:space="preserve">Abhishek-2</t>
  </si>
  <si>
    <t xml:space="preserve">EI27Ba1J04Pb</t>
  </si>
  <si>
    <t xml:space="preserve">AMIT 2</t>
  </si>
  <si>
    <t xml:space="preserve">EJ04CRc</t>
  </si>
  <si>
    <t xml:space="preserve">Mohit</t>
  </si>
  <si>
    <t xml:space="preserve">EJ04Cc</t>
  </si>
  <si>
    <t xml:space="preserve">Abhishek-3</t>
  </si>
  <si>
    <t xml:space="preserve">EJ04Bc2</t>
  </si>
  <si>
    <t xml:space="preserve">AMRESH KUMAR</t>
  </si>
  <si>
    <t xml:space="preserve">HEJ04Nc</t>
  </si>
  <si>
    <t xml:space="preserve">Production loss due to maicro babble issue in nipple body area </t>
  </si>
  <si>
    <t xml:space="preserve">JITENDER                 </t>
  </si>
  <si>
    <t xml:space="preserve">EJ05Ba2</t>
  </si>
  <si>
    <t xml:space="preserve">VIKRAM SINGH</t>
  </si>
  <si>
    <t xml:space="preserve">EJ05Ca</t>
  </si>
  <si>
    <t xml:space="preserve">Material changeover Virgen to recycle</t>
  </si>
  <si>
    <t xml:space="preserve">PARVINDER</t>
  </si>
  <si>
    <t xml:space="preserve">EJ05CRa</t>
  </si>
  <si>
    <t xml:space="preserve">TWINKLE</t>
  </si>
  <si>
    <t xml:space="preserve">HEJ04NaJ05Pa</t>
  </si>
  <si>
    <t xml:space="preserve">JULIE</t>
  </si>
  <si>
    <t xml:space="preserve">HEJ04HA22</t>
  </si>
  <si>
    <t xml:space="preserve">Yatender</t>
  </si>
  <si>
    <t xml:space="preserve">HEJ05Na</t>
  </si>
  <si>
    <t xml:space="preserve">Machine set up againe to reslove microbubble and deformation issue.</t>
  </si>
  <si>
    <t xml:space="preserve">SANI KUMAR</t>
  </si>
  <si>
    <t xml:space="preserve">EI28Bb1J05Pa</t>
  </si>
  <si>
    <t xml:space="preserve">GEETA 2</t>
  </si>
  <si>
    <t xml:space="preserve">EJ04Ba2J05Pa</t>
  </si>
  <si>
    <t xml:space="preserve">ANKUSH</t>
  </si>
  <si>
    <t xml:space="preserve">HEI23AH11</t>
  </si>
  <si>
    <t xml:space="preserve">KAPIL KUMAR</t>
  </si>
  <si>
    <t xml:space="preserve">HEJ04AH22</t>
  </si>
  <si>
    <t xml:space="preserve">ALOK PANDEY</t>
  </si>
  <si>
    <t xml:space="preserve">HEI21CH22</t>
  </si>
  <si>
    <t xml:space="preserve">Darshan</t>
  </si>
  <si>
    <t xml:space="preserve">EJ05Bb2</t>
  </si>
  <si>
    <t xml:space="preserve">Gate Balancing issue</t>
  </si>
  <si>
    <t xml:space="preserve">EJ05CRb</t>
  </si>
  <si>
    <t xml:space="preserve">EJ05Cb</t>
  </si>
  <si>
    <t xml:space="preserve">HEI05NaJ05Pb</t>
  </si>
  <si>
    <t xml:space="preserve">HEJ04CH22</t>
  </si>
  <si>
    <t xml:space="preserve">EJ04Bb2J05Pb</t>
  </si>
  <si>
    <t xml:space="preserve">HEJ05Nc</t>
  </si>
  <si>
    <t xml:space="preserve">EJ05CRc</t>
  </si>
  <si>
    <t xml:space="preserve">Production loss due to cap thred damage issue.</t>
  </si>
  <si>
    <t xml:space="preserve">EJ05Bc2</t>
  </si>
  <si>
    <t xml:space="preserve">EJ06Ba2</t>
  </si>
  <si>
    <t xml:space="preserve">HEJ06Na</t>
  </si>
  <si>
    <t xml:space="preserve">HEJ05NcJ06Pa</t>
  </si>
  <si>
    <t xml:space="preserve">HEI05BH22</t>
  </si>
  <si>
    <t xml:space="preserve">Material short for 60 min</t>
  </si>
  <si>
    <t xml:space="preserve">EJ06CRa</t>
  </si>
  <si>
    <t xml:space="preserve">EJ06Ca</t>
  </si>
  <si>
    <t xml:space="preserve">HEJ5AH22</t>
  </si>
  <si>
    <t xml:space="preserve">HEJ06AH22</t>
  </si>
  <si>
    <t xml:space="preserve">HEJ06NaJ06Pb</t>
  </si>
  <si>
    <t xml:space="preserve">600 Pcs nipple hand over to next shift </t>
  </si>
  <si>
    <t xml:space="preserve">HEJ05CH22</t>
  </si>
  <si>
    <t xml:space="preserve">HEJ06Nb</t>
  </si>
  <si>
    <t xml:space="preserve">EJ06Bb2</t>
  </si>
  <si>
    <t xml:space="preserve">EJ06Cb</t>
  </si>
  <si>
    <t xml:space="preserve">EJ06CRb</t>
  </si>
  <si>
    <t xml:space="preserve">EJ05Bb2J06Pa</t>
  </si>
  <si>
    <t xml:space="preserve">EJ05Bc2J06Pb</t>
  </si>
  <si>
    <t xml:space="preserve">HEJ06Nc</t>
  </si>
  <si>
    <t xml:space="preserve">EJ06Cc</t>
  </si>
  <si>
    <t xml:space="preserve">EJ06CRc</t>
  </si>
  <si>
    <t xml:space="preserve">EJ07Ba1</t>
  </si>
  <si>
    <t xml:space="preserve">Machine startup , heat test fail issue coming , parameter optimization done after that heat test pass , siliver issue major.</t>
  </si>
  <si>
    <t xml:space="preserve">HEJ07Na</t>
  </si>
  <si>
    <t xml:space="preserve">HEJ06J07Pa</t>
  </si>
  <si>
    <t xml:space="preserve">HEJ06CH22</t>
  </si>
  <si>
    <t xml:space="preserve">EJ07Ca</t>
  </si>
  <si>
    <t xml:space="preserve">HEJ07NaJ07Pb</t>
  </si>
  <si>
    <t xml:space="preserve">EJ07CRb</t>
  </si>
  <si>
    <t xml:space="preserve">HEJ07Nb</t>
  </si>
  <si>
    <t xml:space="preserve">Middle plate cleaing 30 min </t>
  </si>
  <si>
    <t xml:space="preserve">MB2</t>
  </si>
  <si>
    <t xml:space="preserve">EJ07Bc2</t>
  </si>
  <si>
    <t xml:space="preserve">Machine startup sample given for heat test , mass production started . Major isuue prifrom rollup .</t>
  </si>
  <si>
    <t xml:space="preserve">HEJ07Nc</t>
  </si>
  <si>
    <t xml:space="preserve">Production loss due to cavity no-02  flange bubble and cavity no-03 maicrobubble in (nipple body area) 2 time middle plate and back plate cleaning .</t>
  </si>
  <si>
    <t xml:space="preserve">EJ07CRc</t>
  </si>
  <si>
    <t xml:space="preserve">EI20Ba2J07Pa</t>
  </si>
  <si>
    <t xml:space="preserve">Manpower Short, And Job Changeover</t>
  </si>
  <si>
    <t xml:space="preserve">EI20Bc1J07Pa</t>
  </si>
  <si>
    <t xml:space="preserve">EJ08Ba2</t>
  </si>
  <si>
    <t xml:space="preserve">HEJ08Na</t>
  </si>
  <si>
    <t xml:space="preserve">Drum change from LIM-1st to LIM-2nd,SKU change from "LL" to "L" size and polishing done on cavity no.03 &amp; 04.</t>
  </si>
  <si>
    <t xml:space="preserve">EJ08CRa</t>
  </si>
  <si>
    <t xml:space="preserve">Virgin</t>
  </si>
  <si>
    <t xml:space="preserve">EJ08Ca</t>
  </si>
  <si>
    <t xml:space="preserve">HEJ07AH22</t>
  </si>
  <si>
    <t xml:space="preserve">EI21Ba2J08Pa</t>
  </si>
  <si>
    <t xml:space="preserve">Manpower Short</t>
  </si>
  <si>
    <t xml:space="preserve">HEJ07NcJ08Pb</t>
  </si>
  <si>
    <t xml:space="preserve">HEJ07CH22</t>
  </si>
  <si>
    <t xml:space="preserve">HEJ08NbJ08Pb</t>
  </si>
  <si>
    <t xml:space="preserve">Plan not complet change over 600 pcs hand over to next shift </t>
  </si>
  <si>
    <t xml:space="preserve">HEJ08BH22</t>
  </si>
  <si>
    <t xml:space="preserve">material shot 400 pcs hand over to naxt shift </t>
  </si>
  <si>
    <t xml:space="preserve">EJ08Cb</t>
  </si>
  <si>
    <t xml:space="preserve">HEJ08Nb</t>
  </si>
  <si>
    <t xml:space="preserve">EJ08Bb2</t>
  </si>
  <si>
    <t xml:space="preserve">EJ08Cc</t>
  </si>
  <si>
    <t xml:space="preserve">HEJ08Nc</t>
  </si>
  <si>
    <t xml:space="preserve">2 no cavity having problem short with weld line and white bubble at flange ,middle late cleaning done 2 time no major improvement happen</t>
  </si>
  <si>
    <t xml:space="preserve">EJ08Bc2</t>
  </si>
  <si>
    <t xml:space="preserve">Setup due to preform sticking happen at mid night</t>
  </si>
  <si>
    <t xml:space="preserve">EJ09Ba2</t>
  </si>
  <si>
    <t xml:space="preserve">HEJ09Na</t>
  </si>
  <si>
    <t xml:space="preserve">EJ09Ca</t>
  </si>
  <si>
    <t xml:space="preserve">Cleaning of Material container</t>
  </si>
  <si>
    <t xml:space="preserve">HEJ08NcJ09Pa</t>
  </si>
  <si>
    <t xml:space="preserve">EI22Bc1J09Pa</t>
  </si>
  <si>
    <t xml:space="preserve">HEJ08CH22</t>
  </si>
  <si>
    <t xml:space="preserve">HEI17BH22</t>
  </si>
  <si>
    <t xml:space="preserve">EJ09Cb</t>
  </si>
  <si>
    <t xml:space="preserve">HEJ09NaJ09Pb</t>
  </si>
  <si>
    <t xml:space="preserve">Production loss reason Mock drill traing and machine low reading  </t>
  </si>
  <si>
    <t xml:space="preserve">HEJ09Nb</t>
  </si>
  <si>
    <t xml:space="preserve">EJ09Bb2</t>
  </si>
  <si>
    <t xml:space="preserve">EJ09CRb</t>
  </si>
  <si>
    <t xml:space="preserve">EI23Ba2J09Pb</t>
  </si>
  <si>
    <t xml:space="preserve">EJ09Bc2</t>
  </si>
  <si>
    <t xml:space="preserve">HEJ09Nc</t>
  </si>
  <si>
    <t xml:space="preserve">Middle plate cleaing 30 min and machine shut down</t>
  </si>
  <si>
    <t xml:space="preserve">EJ09CRc</t>
  </si>
  <si>
    <t xml:space="preserve">EJ11Ba2</t>
  </si>
  <si>
    <t xml:space="preserve">HEJ11Na</t>
  </si>
  <si>
    <t xml:space="preserve">Machine start up and middle plate cleaning</t>
  </si>
  <si>
    <t xml:space="preserve">EJ11CRa</t>
  </si>
  <si>
    <t xml:space="preserve">HEJ09NaJ11Pa</t>
  </si>
  <si>
    <t xml:space="preserve">Machine start up, and new air flow trial ,Flange hole reading issue ,setting done</t>
  </si>
  <si>
    <t xml:space="preserve">HEJ09AH22</t>
  </si>
  <si>
    <t xml:space="preserve">EI23Bb2J11Pa</t>
  </si>
  <si>
    <t xml:space="preserve">   B  </t>
  </si>
  <si>
    <t xml:space="preserve">EJ11CRb</t>
  </si>
  <si>
    <t xml:space="preserve">EJ1CRb</t>
  </si>
  <si>
    <t xml:space="preserve">EJ11Bb2</t>
  </si>
  <si>
    <t xml:space="preserve">HEJ11Nb</t>
  </si>
  <si>
    <t xml:space="preserve">HEJ11NaJ11Pb</t>
  </si>
  <si>
    <t xml:space="preserve">EJ11Bc2</t>
  </si>
  <si>
    <t xml:space="preserve">Machine startup sample given for heat test , mass production started . Major isuue prifrom rollup and flow mark issue .</t>
  </si>
  <si>
    <t xml:space="preserve">EJ11CRc</t>
  </si>
  <si>
    <t xml:space="preserve">EJ11Cc</t>
  </si>
  <si>
    <t xml:space="preserve">HEJ11Nc</t>
  </si>
  <si>
    <t xml:space="preserve">EJ12Ba2</t>
  </si>
  <si>
    <t xml:space="preserve">HEJ12Na</t>
  </si>
  <si>
    <t xml:space="preserve">EJ12Ca</t>
  </si>
  <si>
    <t xml:space="preserve">HEJ11NaJ12Pa</t>
  </si>
  <si>
    <t xml:space="preserve">Pin and die setting due low reading issue in flange</t>
  </si>
  <si>
    <t xml:space="preserve">HEJ09CH22</t>
  </si>
  <si>
    <t xml:space="preserve">HEI03Bc2J12Pa</t>
  </si>
  <si>
    <t xml:space="preserve">Man power short</t>
  </si>
  <si>
    <t xml:space="preserve">FO097</t>
  </si>
  <si>
    <t xml:space="preserve">EI02Bb2J12Pa</t>
  </si>
  <si>
    <t xml:space="preserve">EI25Bb2J12Pa</t>
  </si>
  <si>
    <t xml:space="preserve">EJ12Bb2</t>
  </si>
  <si>
    <t xml:space="preserve">EJ12Bb1</t>
  </si>
  <si>
    <t xml:space="preserve">EJ12Cb</t>
  </si>
  <si>
    <t xml:space="preserve">EJ12CRb</t>
  </si>
  <si>
    <t xml:space="preserve">HEJ12Nb</t>
  </si>
  <si>
    <t xml:space="preserve">HEJ11NcJ12Pb</t>
  </si>
  <si>
    <t xml:space="preserve">400 Pcs hand over to next shift</t>
  </si>
  <si>
    <t xml:space="preserve">EJ12Bc1</t>
  </si>
  <si>
    <t xml:space="preserve">HEJ12Nc</t>
  </si>
  <si>
    <t xml:space="preserve">Production loss due to duram changeover and major issue mould tolerance 107T alram coming in machine .</t>
  </si>
  <si>
    <t xml:space="preserve">EJ12CRc</t>
  </si>
  <si>
    <t xml:space="preserve">EJ13Ba1</t>
  </si>
  <si>
    <t xml:space="preserve">Silver and String major issue some hidden trial done in running mass production in that case set up rejection increase and we found improvement in silver and string ,polishing done for scratch mark 4 time </t>
  </si>
  <si>
    <t xml:space="preserve">HEJ13Na</t>
  </si>
  <si>
    <t xml:space="preserve">Mold strock actual value smaller then tolerance of mold protection alarm coming ,ractification done loss time 120 min</t>
  </si>
  <si>
    <t xml:space="preserve">EJ13CRa</t>
  </si>
  <si>
    <t xml:space="preserve">Sku change over FO145 TO FO146</t>
  </si>
  <si>
    <t xml:space="preserve">EJ13Ca</t>
  </si>
  <si>
    <t xml:space="preserve">HEJ12NbJ13Pa</t>
  </si>
  <si>
    <t xml:space="preserve">HEJ12BH22</t>
  </si>
  <si>
    <t xml:space="preserve">HEJ11CH22</t>
  </si>
  <si>
    <t xml:space="preserve">FO118</t>
  </si>
  <si>
    <t xml:space="preserve">EJ06Bb2J13Pa</t>
  </si>
  <si>
    <t xml:space="preserve">EI02BC2J13Pa</t>
  </si>
  <si>
    <t xml:space="preserve">Change over fo118 to fo101 60 min</t>
  </si>
  <si>
    <t xml:space="preserve">EG05Bb1J13Pa</t>
  </si>
  <si>
    <t xml:space="preserve">EJ13Bb1</t>
  </si>
  <si>
    <t xml:space="preserve">Plan not complet crater problem continuous comeing stop the machine</t>
  </si>
  <si>
    <t xml:space="preserve">EJ13Cb</t>
  </si>
  <si>
    <t xml:space="preserve">EJ13CRb</t>
  </si>
  <si>
    <t xml:space="preserve">HEJ13Nb</t>
  </si>
  <si>
    <t xml:space="preserve">HEJ13NaJ13Pb</t>
  </si>
  <si>
    <t xml:space="preserve">500 Pcs hand over to next shift</t>
  </si>
  <si>
    <t xml:space="preserve">HEJ13Nc</t>
  </si>
  <si>
    <t xml:space="preserve">EJ13CRc</t>
  </si>
  <si>
    <t xml:space="preserve">EJ13Cc</t>
  </si>
  <si>
    <t xml:space="preserve">HEJ13NaJ18Pa</t>
  </si>
  <si>
    <t xml:space="preserve">Material short and New manpower deploy for punching.</t>
  </si>
  <si>
    <t xml:space="preserve">HEJ13AH22</t>
  </si>
  <si>
    <t xml:space="preserve">Material short from punching stage.</t>
  </si>
  <si>
    <t xml:space="preserve">EJ18Ca</t>
  </si>
  <si>
    <t xml:space="preserve">HEJ18Na</t>
  </si>
  <si>
    <t xml:space="preserve">Production loss due to PIN change L-size to M-size and Mould cleaning time due to purge by single material.</t>
  </si>
  <si>
    <t xml:space="preserve">EJ06Ba1J18Pa</t>
  </si>
  <si>
    <t xml:space="preserve">Manpower Short, 2nd Machine Shadow Issue</t>
  </si>
  <si>
    <t xml:space="preserve">HEJ12CH22</t>
  </si>
  <si>
    <t xml:space="preserve">HEJ13NcJ18Pb</t>
  </si>
  <si>
    <t xml:space="preserve">New material trial </t>
  </si>
  <si>
    <t xml:space="preserve">HEJ13BH22</t>
  </si>
  <si>
    <t xml:space="preserve">EJ18Cb</t>
  </si>
  <si>
    <t xml:space="preserve">HEJ18Nb</t>
  </si>
  <si>
    <t xml:space="preserve">Two time Middle plate cleaing 60  min</t>
  </si>
  <si>
    <t xml:space="preserve">HEJ13NcJ18Pc</t>
  </si>
  <si>
    <t xml:space="preserve">L-size nipple material stock finish on punching</t>
  </si>
  <si>
    <t xml:space="preserve">HEJ18Nc</t>
  </si>
  <si>
    <t xml:space="preserve">1,2&amp;5 number cavity countinue Deformation coming with microbubble 3 time middle plate clean but no major improvement fond after that check heaters found 1200 watt heater faulty ,heater replace after that machine run ok</t>
  </si>
  <si>
    <t xml:space="preserve">EJ18CRc</t>
  </si>
  <si>
    <t xml:space="preserve">EI06Bb1J18Pa</t>
  </si>
  <si>
    <t xml:space="preserve">One Manpower short</t>
  </si>
  <si>
    <t xml:space="preserve">Plasma Treatment Trial</t>
  </si>
  <si>
    <t xml:space="preserve">HEJ18NaJ19Pa</t>
  </si>
  <si>
    <t xml:space="preserve">Center hole reading issue and sku change FO021 to FO020 loss time 50 min.</t>
  </si>
  <si>
    <t xml:space="preserve">HEJ13CH22</t>
  </si>
  <si>
    <t xml:space="preserve">HEJ18AH22</t>
  </si>
  <si>
    <t xml:space="preserve">HEJ19Na</t>
  </si>
  <si>
    <t xml:space="preserve">EJ19CRc</t>
  </si>
  <si>
    <t xml:space="preserve">EJ12Bb1J19Pa</t>
  </si>
  <si>
    <t xml:space="preserve">Job Changeover in FO008 and Maintenece Issue in 2nd machine pedal switch</t>
  </si>
  <si>
    <t xml:space="preserve">HEJ18BH22</t>
  </si>
  <si>
    <t xml:space="preserve">EJ19Cb</t>
  </si>
  <si>
    <t xml:space="preserve">HEJ18NcJ19Pb</t>
  </si>
  <si>
    <t xml:space="preserve">New material trial 60 min and centar punch high reading </t>
  </si>
  <si>
    <t xml:space="preserve">HEJ18CH22</t>
  </si>
  <si>
    <t xml:space="preserve">EJ19CRb</t>
  </si>
  <si>
    <t xml:space="preserve">HEJ19Nb</t>
  </si>
  <si>
    <t xml:space="preserve">EJ12Bb1J19Pb</t>
  </si>
  <si>
    <t xml:space="preserve">plan not complet man power short</t>
  </si>
  <si>
    <t xml:space="preserve">FO147</t>
  </si>
  <si>
    <t xml:space="preserve">EJ19Cc</t>
  </si>
  <si>
    <t xml:space="preserve">HEJ19Nc</t>
  </si>
  <si>
    <t xml:space="preserve">HEJ19NaJ20Pa</t>
  </si>
  <si>
    <t xml:space="preserve">Cavity no-3 center hole reading issue and New manpower deploy for punching.</t>
  </si>
  <si>
    <t xml:space="preserve">HEJ19AH22</t>
  </si>
  <si>
    <t xml:space="preserve">EJ20Ca</t>
  </si>
  <si>
    <t xml:space="preserve">HEJ120Na</t>
  </si>
  <si>
    <t xml:space="preserve">Production loss due to major isuee cavity no-2 ,1&amp;5 bubble and deformaction issue .</t>
  </si>
  <si>
    <t xml:space="preserve">EJ13Ba1J20Pa</t>
  </si>
  <si>
    <t xml:space="preserve">EI04Bc1J20Pa</t>
  </si>
  <si>
    <t xml:space="preserve">Job Changeover in FO088</t>
  </si>
  <si>
    <t xml:space="preserve">EJ07BC1J20Pa</t>
  </si>
  <si>
    <t xml:space="preserve">Job Changeover in FO007</t>
  </si>
  <si>
    <t xml:space="preserve">HEJ19NcJ20Pb</t>
  </si>
  <si>
    <t xml:space="preserve">HEJ19CH22</t>
  </si>
  <si>
    <t xml:space="preserve">EJ20Cb</t>
  </si>
  <si>
    <t xml:space="preserve">HEJ20Nb</t>
  </si>
  <si>
    <t xml:space="preserve">EJ20Bb2</t>
  </si>
  <si>
    <t xml:space="preserve">EJ08Ba2J20Pb</t>
  </si>
  <si>
    <t xml:space="preserve">EJ20Cc</t>
  </si>
  <si>
    <t xml:space="preserve">HEJ20Nc</t>
  </si>
  <si>
    <t xml:space="preserve">1&amp;5 number cavity bubble and deformation issue</t>
  </si>
  <si>
    <t xml:space="preserve">EJ20BC2</t>
  </si>
  <si>
    <t xml:space="preserve"> Heat test issue coming </t>
  </si>
  <si>
    <t xml:space="preserve">HEJ12NaJ2021Pa</t>
  </si>
  <si>
    <t xml:space="preserve">HEJ12AH22</t>
  </si>
  <si>
    <t xml:space="preserve">EJ21Ba2</t>
  </si>
  <si>
    <t xml:space="preserve">EJ21Ca</t>
  </si>
  <si>
    <t xml:space="preserve">HEJ21Na</t>
  </si>
  <si>
    <t xml:space="preserve">Machine stop due to mold under maintence.</t>
  </si>
  <si>
    <t xml:space="preserve">EJ08Bb2J21Pa</t>
  </si>
  <si>
    <t xml:space="preserve">Job changeover in FO008</t>
  </si>
  <si>
    <t xml:space="preserve">EJ20Bb2J21Pa</t>
  </si>
  <si>
    <t xml:space="preserve">Shadow Problem in Chinese Printing Machine</t>
  </si>
  <si>
    <t xml:space="preserve">HEJ20NcJ21Pb</t>
  </si>
  <si>
    <t xml:space="preserve">Material short in punching stage man power send to printing </t>
  </si>
  <si>
    <t xml:space="preserve">EJ21Bb2</t>
  </si>
  <si>
    <t xml:space="preserve">EJ21Hb</t>
  </si>
  <si>
    <t xml:space="preserve">EJ20Bb2J21Pb</t>
  </si>
  <si>
    <t xml:space="preserve">EJ21Hc</t>
  </si>
  <si>
    <t xml:space="preserve">EJ21Bc2</t>
  </si>
  <si>
    <t xml:space="preserve">EJ22Ba2</t>
  </si>
  <si>
    <t xml:space="preserve">EJ22Ha</t>
  </si>
  <si>
    <t xml:space="preserve">EJ20Bb2J22Pa</t>
  </si>
  <si>
    <t xml:space="preserve">Plan Complete</t>
  </si>
  <si>
    <t xml:space="preserve">HEJ22Nb</t>
  </si>
  <si>
    <t xml:space="preserve">lim2 Drum change</t>
  </si>
  <si>
    <t xml:space="preserve">EJ22Hb</t>
  </si>
  <si>
    <t xml:space="preserve">EJ22Bb2</t>
  </si>
  <si>
    <t xml:space="preserve">HEJ22NbJ22Pb</t>
  </si>
  <si>
    <t xml:space="preserve">HEJ22BH22</t>
  </si>
  <si>
    <t xml:space="preserve">EJ22Bb2J22Pb</t>
  </si>
  <si>
    <t xml:space="preserve">HEJ22Nc</t>
  </si>
  <si>
    <t xml:space="preserve">EJ22Hc</t>
  </si>
  <si>
    <t xml:space="preserve">EJ22Bc2</t>
  </si>
  <si>
    <t xml:space="preserve">EJ23Ba2</t>
  </si>
  <si>
    <t xml:space="preserve">HEJ23Na</t>
  </si>
  <si>
    <t xml:space="preserve">HEJ21AH22</t>
  </si>
  <si>
    <t xml:space="preserve">EJ23Ha</t>
  </si>
  <si>
    <t xml:space="preserve">HEJ22Nbj23Pa</t>
  </si>
  <si>
    <t xml:space="preserve">Pin and die cleaning</t>
  </si>
  <si>
    <t xml:space="preserve">300 pcs hondover in next shift</t>
  </si>
  <si>
    <t xml:space="preserve">EJ25Ba2</t>
  </si>
  <si>
    <t xml:space="preserve">HEJ25Na</t>
  </si>
  <si>
    <t xml:space="preserve">EJ25Ha</t>
  </si>
  <si>
    <t xml:space="preserve">HEJ22NcJ25Pa</t>
  </si>
  <si>
    <t xml:space="preserve">EJ23Ba2J25Pa</t>
  </si>
  <si>
    <t xml:space="preserve">Manpower short, Rework high due to thickness issue</t>
  </si>
  <si>
    <t xml:space="preserve">HEJ25AH22</t>
  </si>
  <si>
    <t xml:space="preserve">HEJ25NaJ25Pb</t>
  </si>
  <si>
    <t xml:space="preserve">HEJ25Nb</t>
  </si>
  <si>
    <t xml:space="preserve">EJ25Hb</t>
  </si>
  <si>
    <t xml:space="preserve">EJ25Bb2</t>
  </si>
  <si>
    <t xml:space="preserve">EJ23Ba2J25Pb</t>
  </si>
  <si>
    <t xml:space="preserve">New Manpower</t>
  </si>
  <si>
    <t xml:space="preserve">EJ25Bc2</t>
  </si>
  <si>
    <t xml:space="preserve">EJ25Hc</t>
  </si>
  <si>
    <t xml:space="preserve">HEJ25Nc</t>
  </si>
  <si>
    <t xml:space="preserve">EJ26Ba2</t>
  </si>
  <si>
    <t xml:space="preserve">HEJ26Na</t>
  </si>
  <si>
    <t xml:space="preserve">EJ26Ha</t>
  </si>
  <si>
    <t xml:space="preserve">HEJ25NcH26Pa</t>
  </si>
  <si>
    <t xml:space="preserve">HEJ25BH22</t>
  </si>
  <si>
    <t xml:space="preserve">HEJ26AH22</t>
  </si>
  <si>
    <t xml:space="preserve">HEJ26NaJ26Pb</t>
  </si>
  <si>
    <t xml:space="preserve">250 Pcs hand over to next shift </t>
  </si>
  <si>
    <t xml:space="preserve">EJ26Hb</t>
  </si>
  <si>
    <t xml:space="preserve">EJ26Bb2</t>
  </si>
  <si>
    <t xml:space="preserve">HEJ26Nb</t>
  </si>
  <si>
    <t xml:space="preserve">EJ26Hc</t>
  </si>
  <si>
    <t xml:space="preserve">Silver coming two time mold cleaning</t>
  </si>
  <si>
    <t xml:space="preserve">EJ26Bc2</t>
  </si>
  <si>
    <t xml:space="preserve">HEJ26Nc</t>
  </si>
  <si>
    <t xml:space="preserve">EJ27Ba2</t>
  </si>
  <si>
    <t xml:space="preserve">HEJ27Na</t>
  </si>
  <si>
    <t xml:space="preserve">EJ27Ha</t>
  </si>
  <si>
    <t xml:space="preserve">HEJ27AH22</t>
  </si>
  <si>
    <t xml:space="preserve">HEJ27NaJ27Pb</t>
  </si>
  <si>
    <t xml:space="preserve">HEJ26CH22</t>
  </si>
  <si>
    <t xml:space="preserve">EJ27Hb</t>
  </si>
  <si>
    <t xml:space="preserve">HEJ27Nb</t>
  </si>
  <si>
    <t xml:space="preserve">B </t>
  </si>
  <si>
    <t xml:space="preserve">EJ27Bb2</t>
  </si>
  <si>
    <t xml:space="preserve">EJ27Hc</t>
  </si>
  <si>
    <t xml:space="preserve">EJ27Bc2</t>
  </si>
  <si>
    <t xml:space="preserve">"A" cavity scratch mark issue polishing done 4 to 5 time  </t>
  </si>
  <si>
    <t xml:space="preserve">HEJ27Nc</t>
  </si>
  <si>
    <t xml:space="preserve">Drum changeover and set up done</t>
  </si>
  <si>
    <t xml:space="preserve">EJ28Ba2</t>
  </si>
  <si>
    <t xml:space="preserve">A&amp;B Cavity scratch marck </t>
  </si>
  <si>
    <t xml:space="preserve">HEJ28NaJ28Pa</t>
  </si>
  <si>
    <t xml:space="preserve">HEJ28NAH22</t>
  </si>
  <si>
    <t xml:space="preserve">HEJ28Na</t>
  </si>
  <si>
    <t xml:space="preserve">EJ28Ha</t>
  </si>
  <si>
    <t xml:space="preserve">EJ25Bb2J28Pa</t>
  </si>
  <si>
    <t xml:space="preserve">HEJ27CH22</t>
  </si>
  <si>
    <t xml:space="preserve">HEJ28NaJ28Pb</t>
  </si>
  <si>
    <t xml:space="preserve">200 pcs hondover in next shift</t>
  </si>
  <si>
    <t xml:space="preserve">HEJ28AH22</t>
  </si>
  <si>
    <t xml:space="preserve">HEJ28Nb</t>
  </si>
  <si>
    <t xml:space="preserve">EJ28Hb</t>
  </si>
  <si>
    <t xml:space="preserve">EJ28Bb2</t>
  </si>
  <si>
    <t xml:space="preserve">EJ27Ba2J28Pb</t>
  </si>
  <si>
    <t xml:space="preserve">EJ28Bc2</t>
  </si>
  <si>
    <t xml:space="preserve">EJ28Hc</t>
  </si>
  <si>
    <t xml:space="preserve">HEJ28Nc</t>
  </si>
  <si>
    <t xml:space="preserve">HEJ28NbJ29Pa</t>
  </si>
  <si>
    <t xml:space="preserve">HEJ28BH22</t>
  </si>
  <si>
    <t xml:space="preserve">EJ29Ha</t>
  </si>
  <si>
    <t xml:space="preserve">HEJ29Na</t>
  </si>
  <si>
    <t xml:space="preserve">EJ27BaJ29Pa</t>
  </si>
  <si>
    <t xml:space="preserve">Print Cut Problem in Both Printing Machine, Manpower Short</t>
  </si>
  <si>
    <t xml:space="preserve">HEJ28NcJ29Pb</t>
  </si>
  <si>
    <t xml:space="preserve">HEJ28CH22</t>
  </si>
  <si>
    <t xml:space="preserve">HEJ29Nb</t>
  </si>
  <si>
    <t xml:space="preserve">EJ29Hb</t>
  </si>
  <si>
    <t xml:space="preserve">EJ28Ba2J29Pb</t>
  </si>
  <si>
    <t xml:space="preserve">EJ29Bc2</t>
  </si>
  <si>
    <t xml:space="preserve">30 gm bottle setup in wmg3b , flow mark issue coming at bottom and body area,H.R sprue heater and fuse replace with new one due temp not increase</t>
  </si>
  <si>
    <t xml:space="preserve">EJ29Hc</t>
  </si>
  <si>
    <t xml:space="preserve">HEJ29Nc</t>
  </si>
  <si>
    <t xml:space="preserve">EJ30BA2</t>
  </si>
  <si>
    <t xml:space="preserve">HEJ30Na</t>
  </si>
  <si>
    <t xml:space="preserve">EJ30Ha</t>
  </si>
  <si>
    <t xml:space="preserve">HEJ29NbJ30Pa</t>
  </si>
  <si>
    <t xml:space="preserve">500 pcs hand over to next shift</t>
  </si>
  <si>
    <t xml:space="preserve">EJ27Bb2J30Pa</t>
  </si>
  <si>
    <t xml:space="preserve">Man power short for 80 min </t>
  </si>
  <si>
    <t xml:space="preserve">HEJ29NcJ30Pb</t>
  </si>
  <si>
    <t xml:space="preserve">HEJ29BH22</t>
  </si>
  <si>
    <t xml:space="preserve">EJ30Bb2</t>
  </si>
  <si>
    <t xml:space="preserve">HEJ30Nb</t>
  </si>
  <si>
    <t xml:space="preserve">EJ30Hc</t>
  </si>
  <si>
    <t xml:space="preserve">EJ28Ba2J30Pb</t>
  </si>
  <si>
    <t xml:space="preserve">Machine stop 05:30 am due to shut down</t>
  </si>
  <si>
    <t xml:space="preserve">EK01Ha</t>
  </si>
  <si>
    <t xml:space="preserve">Machine start up </t>
  </si>
  <si>
    <t xml:space="preserve">EK01Ba2</t>
  </si>
  <si>
    <t xml:space="preserve">Machine start up and wait for heat test result</t>
  </si>
  <si>
    <t xml:space="preserve">HEK01Na</t>
  </si>
  <si>
    <t xml:space="preserve">Machine start up and middle plate cleane</t>
  </si>
  <si>
    <t xml:space="preserve">HEJ30NbK01Pa</t>
  </si>
  <si>
    <t xml:space="preserve">HEJ30AH22</t>
  </si>
  <si>
    <t xml:space="preserve">HEJ29CH22</t>
  </si>
  <si>
    <t xml:space="preserve">HEK01NaK01Pb</t>
  </si>
  <si>
    <t xml:space="preserve">HEJ30BH22</t>
  </si>
  <si>
    <t xml:space="preserve">EK01Hb</t>
  </si>
  <si>
    <t xml:space="preserve">EK01Bb2</t>
  </si>
  <si>
    <t xml:space="preserve">HEK01Nb</t>
  </si>
  <si>
    <t xml:space="preserve">EJ28Bb2K01Pb</t>
  </si>
  <si>
    <t xml:space="preserve">New artwork trail four colour 480 min </t>
  </si>
  <si>
    <t xml:space="preserve">EK01Bc2</t>
  </si>
  <si>
    <t xml:space="preserve">SAURABH</t>
  </si>
  <si>
    <t xml:space="preserve">SKU change FO044 to FO003 and Machine startup sample given for heat test , mass production started</t>
  </si>
  <si>
    <t xml:space="preserve">HEK01Nc</t>
  </si>
  <si>
    <t xml:space="preserve">Production loss due to duram change and middle plate cleaning total time 60 min.</t>
  </si>
  <si>
    <t xml:space="preserve">EK01Hc</t>
  </si>
  <si>
    <t xml:space="preserve">EK02Ha</t>
  </si>
  <si>
    <t xml:space="preserve">EK02Ba2</t>
  </si>
  <si>
    <t xml:space="preserve">HEK02Na</t>
  </si>
  <si>
    <t xml:space="preserve">HEK01NaK02Pa</t>
  </si>
  <si>
    <t xml:space="preserve">HEJ3BH22</t>
  </si>
  <si>
    <t xml:space="preserve">500 Pcs handover to next shift</t>
  </si>
  <si>
    <t xml:space="preserve">HEJ30CH22</t>
  </si>
  <si>
    <t xml:space="preserve">HEK01Nck02Pb</t>
  </si>
  <si>
    <t xml:space="preserve">HEK01BH22</t>
  </si>
  <si>
    <t xml:space="preserve">EK02Hb</t>
  </si>
  <si>
    <t xml:space="preserve">EK02Bb2</t>
  </si>
  <si>
    <t xml:space="preserve">HEK02Nb</t>
  </si>
  <si>
    <t xml:space="preserve">EJ28Bc2K02Pbb</t>
  </si>
  <si>
    <t xml:space="preserve">Gaurav</t>
  </si>
  <si>
    <t xml:space="preserve">EJ30Ba2K02Pa</t>
  </si>
  <si>
    <t xml:space="preserve">FO008 To fo049 change over </t>
  </si>
  <si>
    <t xml:space="preserve">vishnu</t>
  </si>
  <si>
    <t xml:space="preserve">EK02Bc2</t>
  </si>
  <si>
    <t xml:space="preserve">EK02Hc</t>
  </si>
  <si>
    <t xml:space="preserve">HEK02Nc</t>
  </si>
  <si>
    <t xml:space="preserve">Production loss due to machine shutdown 4:00 am.</t>
  </si>
  <si>
    <t xml:space="preserve">HEK09Na</t>
  </si>
  <si>
    <t xml:space="preserve">EK09Ha</t>
  </si>
  <si>
    <t xml:space="preserve">Machine start up and 5s done </t>
  </si>
  <si>
    <t xml:space="preserve">EK09Ba2</t>
  </si>
  <si>
    <t xml:space="preserve">Machine start up , wait for heat test and 5s done </t>
  </si>
  <si>
    <t xml:space="preserve">HEK02NbK09Pa</t>
  </si>
  <si>
    <t xml:space="preserve">HEK02BH22</t>
  </si>
  <si>
    <t xml:space="preserve">EJ30Bb2K09Pa</t>
  </si>
  <si>
    <t xml:space="preserve">PINTU</t>
  </si>
  <si>
    <t xml:space="preserve">HEK01NbK02</t>
  </si>
  <si>
    <t xml:space="preserve">HEK02NbK09Pb</t>
  </si>
  <si>
    <t xml:space="preserve">EK09Hb</t>
  </si>
  <si>
    <t xml:space="preserve">EK01Ba2K09Pb</t>
  </si>
  <si>
    <t xml:space="preserve">EK09Bb2</t>
  </si>
  <si>
    <t xml:space="preserve">EK09Hc</t>
  </si>
  <si>
    <t xml:space="preserve">EK09Bc2</t>
  </si>
  <si>
    <t xml:space="preserve">EK10Ha</t>
  </si>
  <si>
    <t xml:space="preserve">EK10Ba2</t>
  </si>
  <si>
    <t xml:space="preserve">HEK02NcK10Pa</t>
  </si>
  <si>
    <t xml:space="preserve">HEK02HC22</t>
  </si>
  <si>
    <t xml:space="preserve">EI06Bc2K10Pa</t>
  </si>
  <si>
    <t xml:space="preserve">pintu</t>
  </si>
  <si>
    <t xml:space="preserve">Shadow problem in Chinese Machine</t>
  </si>
  <si>
    <t xml:space="preserve">HIMANSHU</t>
  </si>
  <si>
    <t xml:space="preserve">EJ08Bc2K10Pb</t>
  </si>
  <si>
    <t xml:space="preserve">EK10Bb2</t>
  </si>
  <si>
    <t xml:space="preserve">EK10Hb</t>
  </si>
  <si>
    <t xml:space="preserve">HEK10Nc</t>
  </si>
  <si>
    <t xml:space="preserve">Machine start after mold maintenance, In which we face majorly sticking issue in cavity side due to polishing.</t>
  </si>
  <si>
    <t xml:space="preserve">EK10Hc</t>
  </si>
  <si>
    <t xml:space="preserve">EK10Bc2</t>
  </si>
  <si>
    <t xml:space="preserve">EK11Ba2</t>
  </si>
  <si>
    <t xml:space="preserve">Silver and string major issue faced, barrel &amp; HR temperature optimised.</t>
  </si>
  <si>
    <t xml:space="preserve">HEK11Na</t>
  </si>
  <si>
    <t xml:space="preserve">Mould breakdown due to white spot issue in cavities 2,4,6 and 8 no., 5 times polishing done in core pin.</t>
  </si>
  <si>
    <t xml:space="preserve">EK11Ha</t>
  </si>
  <si>
    <t xml:space="preserve">HEK1NCK11Pa</t>
  </si>
  <si>
    <t xml:space="preserve">Flange Hole reading issue Pin &amp; Die change,SKU change S-size to Y-size </t>
  </si>
  <si>
    <t xml:space="preserve">HEK10CH22</t>
  </si>
  <si>
    <t xml:space="preserve">EJ08Bc2k11Pa</t>
  </si>
  <si>
    <t xml:space="preserve">HEK11AH22</t>
  </si>
  <si>
    <t xml:space="preserve">EK11Hb</t>
  </si>
  <si>
    <t xml:space="preserve">HEK11Nb</t>
  </si>
  <si>
    <t xml:space="preserve">EK11Bb2</t>
  </si>
  <si>
    <t xml:space="preserve">HEK11NaK11Pb</t>
  </si>
  <si>
    <t xml:space="preserve">Material short and 600 pcs hand over to next shift </t>
  </si>
  <si>
    <t xml:space="preserve">Material short and 400 pcs hand over to next shift </t>
  </si>
  <si>
    <t xml:space="preserve">EJ09Bc2K11Pb</t>
  </si>
  <si>
    <t xml:space="preserve">EK11Hc</t>
  </si>
  <si>
    <t xml:space="preserve">Production loss due to robot sensor not working in properly total loss time 300.</t>
  </si>
  <si>
    <t xml:space="preserve">EK11Bc2</t>
  </si>
  <si>
    <t xml:space="preserve">HEK11Nc</t>
  </si>
  <si>
    <t xml:space="preserve">EK12Ba2</t>
  </si>
  <si>
    <t xml:space="preserve">HEK12Na</t>
  </si>
  <si>
    <t xml:space="preserve">White spot issue in cavity no 4&amp;6 polishing done by cloth and nipple fold issue in cavity no 3.</t>
  </si>
  <si>
    <t xml:space="preserve">HEK11NcK12Pa</t>
  </si>
  <si>
    <t xml:space="preserve">HEK11CH22</t>
  </si>
  <si>
    <t xml:space="preserve">EK02Ba2K12Pa</t>
  </si>
  <si>
    <t xml:space="preserve">Job Changeover</t>
  </si>
  <si>
    <t xml:space="preserve">HEK12Nb</t>
  </si>
  <si>
    <t xml:space="preserve">EK12Hb</t>
  </si>
  <si>
    <t xml:space="preserve">EK12Bb2</t>
  </si>
  <si>
    <t xml:space="preserve">FO112</t>
  </si>
  <si>
    <t xml:space="preserve">EK12Bb1</t>
  </si>
  <si>
    <t xml:space="preserve">HEK12NaK12Pb</t>
  </si>
  <si>
    <t xml:space="preserve">EK01Bc2K12Pb</t>
  </si>
  <si>
    <t xml:space="preserve">B3</t>
  </si>
  <si>
    <t xml:space="preserve">EK12Bc2</t>
  </si>
  <si>
    <t xml:space="preserve">Plan completed Mold changeover KPP8 to RPP8 total time 300.</t>
  </si>
  <si>
    <t xml:space="preserve">HEK12Nc</t>
  </si>
  <si>
    <t xml:space="preserve">EK12Hc</t>
  </si>
  <si>
    <t xml:space="preserve">EK13Ba2</t>
  </si>
  <si>
    <t xml:space="preserve">Machinne start and wait for heat test </t>
  </si>
  <si>
    <t xml:space="preserve">EK13Ha</t>
  </si>
  <si>
    <t xml:space="preserve">HEK12NbK13Pa</t>
  </si>
  <si>
    <t xml:space="preserve">HEK12CH22</t>
  </si>
  <si>
    <t xml:space="preserve">HEK13Na</t>
  </si>
  <si>
    <t xml:space="preserve">Pin changeover and material drum changeover </t>
  </si>
  <si>
    <t xml:space="preserve">EK02Bc2K13Pa</t>
  </si>
  <si>
    <t xml:space="preserve">EK13Bb1</t>
  </si>
  <si>
    <t xml:space="preserve">HEK13NaK13Pb</t>
  </si>
  <si>
    <t xml:space="preserve">EK13Bb2</t>
  </si>
  <si>
    <t xml:space="preserve">HEK13Nb</t>
  </si>
  <si>
    <t xml:space="preserve">EK13Hb</t>
  </si>
  <si>
    <t xml:space="preserve">EK09Ba2K13Pb</t>
  </si>
  <si>
    <t xml:space="preserve">HEK13Nc</t>
  </si>
  <si>
    <t xml:space="preserve">EK13Hc</t>
  </si>
  <si>
    <t xml:space="preserve">HEK15Na</t>
  </si>
  <si>
    <t xml:space="preserve">Machine startup and mold cleaning</t>
  </si>
  <si>
    <t xml:space="preserve">EK15Ha</t>
  </si>
  <si>
    <t xml:space="preserve">HEK13NbK15Pa</t>
  </si>
  <si>
    <t xml:space="preserve">Machine startup and die cleaning</t>
  </si>
  <si>
    <t xml:space="preserve">HEK13BH22</t>
  </si>
  <si>
    <t xml:space="preserve">Machine startup and Poly change</t>
  </si>
  <si>
    <t xml:space="preserve">EK09Bc2K15Pa</t>
  </si>
  <si>
    <t xml:space="preserve">HEK15Nb</t>
  </si>
  <si>
    <t xml:space="preserve">Nipple fold in three cavity kept on coming machine stop 60 min </t>
  </si>
  <si>
    <t xml:space="preserve">EK15Hb</t>
  </si>
  <si>
    <t xml:space="preserve">Robot is not working </t>
  </si>
  <si>
    <t xml:space="preserve">EK15Bb2</t>
  </si>
  <si>
    <t xml:space="preserve">HEK15NbK15Pb</t>
  </si>
  <si>
    <t xml:space="preserve">HEK13CH22</t>
  </si>
  <si>
    <t xml:space="preserve">EK10Ba2K15Pb</t>
  </si>
  <si>
    <t xml:space="preserve">EK15Bc2</t>
  </si>
  <si>
    <t xml:space="preserve">HEK15Nc</t>
  </si>
  <si>
    <t xml:space="preserve">Production loss due to 1,3,5,8 cavity no nipple stacking isuue.</t>
  </si>
  <si>
    <t xml:space="preserve">EK15Hc</t>
  </si>
  <si>
    <t xml:space="preserve">HEK16Na</t>
  </si>
  <si>
    <t xml:space="preserve">EK16Ha</t>
  </si>
  <si>
    <t xml:space="preserve">HEK15NcK16Pa</t>
  </si>
  <si>
    <t xml:space="preserve">HEK15CH22</t>
  </si>
  <si>
    <t xml:space="preserve">EK16Ba2</t>
  </si>
  <si>
    <t xml:space="preserve">EK10Bc2K16Pa</t>
  </si>
  <si>
    <t xml:space="preserve">HEK13AH22</t>
  </si>
  <si>
    <t xml:space="preserve">HEK15BH22</t>
  </si>
  <si>
    <t xml:space="preserve">HEK16Nb</t>
  </si>
  <si>
    <t xml:space="preserve">EK16Bb2</t>
  </si>
  <si>
    <t xml:space="preserve">EK16Hb</t>
  </si>
  <si>
    <t xml:space="preserve">HEK16NbK16Pb</t>
  </si>
  <si>
    <t xml:space="preserve">EK10Bc2k16pB</t>
  </si>
  <si>
    <t xml:space="preserve">EK16Bc2</t>
  </si>
  <si>
    <t xml:space="preserve">HEK16Nc</t>
  </si>
  <si>
    <t xml:space="preserve">EK17Ba2</t>
  </si>
  <si>
    <t xml:space="preserve">EK17Ha</t>
  </si>
  <si>
    <t xml:space="preserve">HEK16NcK17Pa</t>
  </si>
  <si>
    <t xml:space="preserve">HEK16CH22</t>
  </si>
  <si>
    <t xml:space="preserve">HEK17Na</t>
  </si>
  <si>
    <t xml:space="preserve">EK17Ba1</t>
  </si>
  <si>
    <t xml:space="preserve">EK11Bc2K17Pa</t>
  </si>
  <si>
    <t xml:space="preserve">HEK16AH22</t>
  </si>
  <si>
    <t xml:space="preserve">HEK17Nb</t>
  </si>
  <si>
    <t xml:space="preserve">EK17Hb</t>
  </si>
  <si>
    <t xml:space="preserve">EK17Bb1</t>
  </si>
  <si>
    <t xml:space="preserve">HEK17NaK17Pb</t>
  </si>
  <si>
    <t xml:space="preserve">EK12Ba2K17Pb</t>
  </si>
  <si>
    <t xml:space="preserve">This production 16-nov Bshift and 17-Nov B shift tottle 6442 .</t>
  </si>
  <si>
    <t xml:space="preserve">EK17Bc1</t>
  </si>
  <si>
    <t xml:space="preserve">EK17Hc</t>
  </si>
  <si>
    <t xml:space="preserve">HEK17Nc</t>
  </si>
  <si>
    <t xml:space="preserve">Production loss due to cavity number 1 &amp; 5  closed.</t>
  </si>
  <si>
    <t xml:space="preserve">HEK18Na</t>
  </si>
  <si>
    <t xml:space="preserve">erp entry and  online inspection pending</t>
  </si>
  <si>
    <t xml:space="preserve">EK18Ha</t>
  </si>
  <si>
    <t xml:space="preserve">HEK17NaK18Pa</t>
  </si>
  <si>
    <t xml:space="preserve">HEK17AH22</t>
  </si>
  <si>
    <t xml:space="preserve">Machine opreate by new man power, laser mp absent due to helth issue</t>
  </si>
  <si>
    <t xml:space="preserve">EK18Ba1</t>
  </si>
  <si>
    <t xml:space="preserve">EK12Bc2K19Pa</t>
  </si>
  <si>
    <t xml:space="preserve">Manpower Short Changover in FO089</t>
  </si>
  <si>
    <t xml:space="preserve">EI07Ba2K18Pa</t>
  </si>
  <si>
    <t xml:space="preserve">Changeover in FO010</t>
  </si>
  <si>
    <t xml:space="preserve">EJ07Ba1K18Pa</t>
  </si>
  <si>
    <t xml:space="preserve">HEK01CH22</t>
  </si>
  <si>
    <t xml:space="preserve">HEK17NcK18Pb</t>
  </si>
  <si>
    <t xml:space="preserve"> HEK17CH22</t>
  </si>
  <si>
    <t xml:space="preserve">HEK18Nb</t>
  </si>
  <si>
    <t xml:space="preserve">EK18Hb</t>
  </si>
  <si>
    <t xml:space="preserve">EK18Bb1</t>
  </si>
  <si>
    <t xml:space="preserve">EK13Ba2K18Pb</t>
  </si>
  <si>
    <t xml:space="preserve">EK18Bc1</t>
  </si>
  <si>
    <t xml:space="preserve">HEK18Nc</t>
  </si>
  <si>
    <t xml:space="preserve">EK18Hc</t>
  </si>
  <si>
    <t xml:space="preserve">HEK19Na</t>
  </si>
  <si>
    <t xml:space="preserve">Online inspection pending</t>
  </si>
  <si>
    <t xml:space="preserve">EK19Ha</t>
  </si>
  <si>
    <t xml:space="preserve">HEK18NbK19Pa</t>
  </si>
  <si>
    <t xml:space="preserve">HEK18AH22</t>
  </si>
  <si>
    <t xml:space="preserve">EK19Ba1</t>
  </si>
  <si>
    <t xml:space="preserve">EK19Ba2</t>
  </si>
  <si>
    <t xml:space="preserve">HEK17CH22</t>
  </si>
  <si>
    <t xml:space="preserve">EK15Bc2K19Pa</t>
  </si>
  <si>
    <t xml:space="preserve">Change over FO010 to RPP2 50 ml </t>
  </si>
  <si>
    <t xml:space="preserve">HEK19Nb</t>
  </si>
  <si>
    <t xml:space="preserve">EK19Hb</t>
  </si>
  <si>
    <t xml:space="preserve">EK19Bb2</t>
  </si>
  <si>
    <t xml:space="preserve">EK19Bc2</t>
  </si>
  <si>
    <t xml:space="preserve">HEK19Nc</t>
  </si>
  <si>
    <t xml:space="preserve">EK19Hc</t>
  </si>
  <si>
    <t xml:space="preserve">HEK19NaK19Pc</t>
  </si>
  <si>
    <t xml:space="preserve">HEK18CH22</t>
  </si>
  <si>
    <t xml:space="preserve">Machine opreate by new man power</t>
  </si>
  <si>
    <t xml:space="preserve">HEK20Na</t>
  </si>
  <si>
    <t xml:space="preserve">EK20Ha</t>
  </si>
  <si>
    <t xml:space="preserve">HEK19NcK20Pa</t>
  </si>
  <si>
    <t xml:space="preserve">HEK19AH22</t>
  </si>
  <si>
    <t xml:space="preserve">EK20Ba2</t>
  </si>
  <si>
    <t xml:space="preserve">HEK18Nak19Pb</t>
  </si>
  <si>
    <t xml:space="preserve">HEK19NcK22Pa</t>
  </si>
  <si>
    <t xml:space="preserve">EK22Ha</t>
  </si>
  <si>
    <t xml:space="preserve">HEK22Na</t>
  </si>
  <si>
    <t xml:space="preserve">EK22Ba1</t>
  </si>
  <si>
    <t xml:space="preserve">material short</t>
  </si>
  <si>
    <t xml:space="preserve">EK12Bb1K22Pa</t>
  </si>
  <si>
    <t xml:space="preserve">Print machine 2 pigeon logo and scle shadow problem 120 min </t>
  </si>
  <si>
    <t xml:space="preserve">EK22Bb1</t>
  </si>
  <si>
    <t xml:space="preserve">EK22Hb</t>
  </si>
  <si>
    <t xml:space="preserve">HEK22Nb</t>
  </si>
  <si>
    <t xml:space="preserve">HEK20NaK22Pb</t>
  </si>
  <si>
    <t xml:space="preserve">%</t>
  </si>
  <si>
    <t xml:space="preserve">HEK19BH22</t>
  </si>
  <si>
    <t xml:space="preserve">EK22Bc1</t>
  </si>
  <si>
    <t xml:space="preserve">RPP4 Blue color bottle plan completed after that mold changeover RPP TO KPP4 done .</t>
  </si>
  <si>
    <t xml:space="preserve">HEK22Nc</t>
  </si>
  <si>
    <t xml:space="preserve">LIM 01 stop due to Diagn, board reports+15v error alarm issue coming since mid night 12 o' clock, </t>
  </si>
  <si>
    <t xml:space="preserve">HEK22NaK22Pc</t>
  </si>
  <si>
    <t xml:space="preserve">1st manpower working on blow1 after that start punching machine</t>
  </si>
  <si>
    <t xml:space="preserve">HEK19CH22</t>
  </si>
  <si>
    <t xml:space="preserve">New Man power opreate the machine</t>
  </si>
  <si>
    <t xml:space="preserve">HEK23Na</t>
  </si>
  <si>
    <t xml:space="preserve">HEK22NbK23Pa</t>
  </si>
  <si>
    <t xml:space="preserve">HEK20AH22</t>
  </si>
  <si>
    <t xml:space="preserve"> HEK19BH22</t>
  </si>
  <si>
    <t xml:space="preserve">Man power short </t>
  </si>
  <si>
    <t xml:space="preserve">FO114</t>
  </si>
  <si>
    <t xml:space="preserve">EK12Bb2K23Pa</t>
  </si>
  <si>
    <t xml:space="preserve">Tow time change over FO113 to FO114 and FO114 to FO115 </t>
  </si>
  <si>
    <t xml:space="preserve">HEK22NbK23Pb</t>
  </si>
  <si>
    <t xml:space="preserve">Low reading in comeinga and pin change 40.min</t>
  </si>
  <si>
    <t xml:space="preserve">HEK18NaK23Pa</t>
  </si>
  <si>
    <t xml:space="preserve">450 Pcs hand over to next shift </t>
  </si>
  <si>
    <t xml:space="preserve">HEK18AH11</t>
  </si>
  <si>
    <t xml:space="preserve">HEK23Nb</t>
  </si>
  <si>
    <t xml:space="preserve">RECYCLE</t>
  </si>
  <si>
    <t xml:space="preserve">EK23CRb</t>
  </si>
  <si>
    <t xml:space="preserve">HEK23Nc</t>
  </si>
  <si>
    <t xml:space="preserve">HEK17NbK23Pc</t>
  </si>
  <si>
    <t xml:space="preserve">Nipple segregation and manual hole checking</t>
  </si>
  <si>
    <t xml:space="preserve">HEK17BH22</t>
  </si>
  <si>
    <t xml:space="preserve">EH23CRc</t>
  </si>
  <si>
    <t xml:space="preserve">Machine run at higher cycle time due to thread damage issue in cap</t>
  </si>
  <si>
    <t xml:space="preserve">HEK24Na</t>
  </si>
  <si>
    <t xml:space="preserve">Material drum changeover </t>
  </si>
  <si>
    <t xml:space="preserve">EK24CRa</t>
  </si>
  <si>
    <t xml:space="preserve">EK24Ba1</t>
  </si>
  <si>
    <t xml:space="preserve">Thickness issued continuous in comeing</t>
  </si>
  <si>
    <t xml:space="preserve">HEK19NaK24Pa</t>
  </si>
  <si>
    <t xml:space="preserve">Die cleaing and machine stop </t>
  </si>
  <si>
    <t xml:space="preserve">HEK18BH11</t>
  </si>
  <si>
    <t xml:space="preserve">man power short </t>
  </si>
  <si>
    <t xml:space="preserve">HEK22AH22</t>
  </si>
  <si>
    <t xml:space="preserve">HEK18CH11</t>
  </si>
  <si>
    <t xml:space="preserve">FO115</t>
  </si>
  <si>
    <t xml:space="preserve">EK13Bb2K24Pa</t>
  </si>
  <si>
    <t xml:space="preserve">Shadow problem in Chinese Machine 160 min</t>
  </si>
  <si>
    <t xml:space="preserve">HEK19NbK24Pb</t>
  </si>
  <si>
    <t xml:space="preserve">Die change and  setup </t>
  </si>
  <si>
    <t xml:space="preserve">HEK19AH11</t>
  </si>
  <si>
    <t xml:space="preserve">EK24CRb</t>
  </si>
  <si>
    <t xml:space="preserve">HEK24Nb</t>
  </si>
  <si>
    <t xml:space="preserve">HEK24Nc</t>
  </si>
  <si>
    <t xml:space="preserve">HEK18NcK24Pc</t>
  </si>
  <si>
    <t xml:space="preserve">HEK22NbK24Pc</t>
  </si>
  <si>
    <t xml:space="preserve">Sku change FO020 T0 FO021</t>
  </si>
  <si>
    <t xml:space="preserve">EK24CRc</t>
  </si>
  <si>
    <t xml:space="preserve">RM short in erp</t>
  </si>
  <si>
    <t xml:space="preserve">EK25CRb</t>
  </si>
  <si>
    <t xml:space="preserve">HEK25Na</t>
  </si>
  <si>
    <t xml:space="preserve">EK25Ba2</t>
  </si>
  <si>
    <t xml:space="preserve">HEK22NbK25Pa</t>
  </si>
  <si>
    <t xml:space="preserve">HEK23NbK25Pa</t>
  </si>
  <si>
    <t xml:space="preserve">Change over L size to LL size </t>
  </si>
  <si>
    <t xml:space="preserve">HEK22BH22</t>
  </si>
  <si>
    <t xml:space="preserve">HEK23BH11</t>
  </si>
  <si>
    <t xml:space="preserve">HEK19BH11</t>
  </si>
  <si>
    <t xml:space="preserve">HEK19CH11</t>
  </si>
  <si>
    <t xml:space="preserve">EK22Ba1K25Pa</t>
  </si>
  <si>
    <t xml:space="preserve">Job change over </t>
  </si>
  <si>
    <t xml:space="preserve">EK16Ba2K25Pa</t>
  </si>
  <si>
    <t xml:space="preserve">EH28Bc1K25Pa</t>
  </si>
  <si>
    <t xml:space="preserve">HEK25Nb</t>
  </si>
  <si>
    <t xml:space="preserve">EK25Bb2</t>
  </si>
  <si>
    <t xml:space="preserve">HEK23NbK25Pb</t>
  </si>
  <si>
    <t xml:space="preserve">EK25CRc</t>
  </si>
  <si>
    <t xml:space="preserve">Plan completed,after that SKU change RED TO PINK</t>
  </si>
  <si>
    <t xml:space="preserve">VERGIN</t>
  </si>
  <si>
    <t xml:space="preserve">EK25Cc</t>
  </si>
  <si>
    <t xml:space="preserve">HEK25Nc</t>
  </si>
  <si>
    <t xml:space="preserve">EK25Bc2</t>
  </si>
  <si>
    <t xml:space="preserve">HEK24NbK25Pc</t>
  </si>
  <si>
    <t xml:space="preserve">HEK24AH11</t>
  </si>
  <si>
    <t xml:space="preserve">EK26Ca</t>
  </si>
  <si>
    <t xml:space="preserve">EK26CRa</t>
  </si>
  <si>
    <t xml:space="preserve">HEK26Na</t>
  </si>
  <si>
    <t xml:space="preserve">EK26Ba2</t>
  </si>
  <si>
    <t xml:space="preserve">HEK25NbK26Pa</t>
  </si>
  <si>
    <t xml:space="preserve">HEK24CH11</t>
  </si>
  <si>
    <t xml:space="preserve">EH26Ba1</t>
  </si>
  <si>
    <t xml:space="preserve">SET UP REJECTION HIGH DUE TO LESS THICKNESS ISSUE .TO RESLOVE THICKNESS ISSUE TAKEN MORE TIME .</t>
  </si>
  <si>
    <t xml:space="preserve">HEK23CH11</t>
  </si>
  <si>
    <t xml:space="preserve">EJ06Bb2K26Pa</t>
  </si>
  <si>
    <t xml:space="preserve">HEK26NaK26Pb</t>
  </si>
  <si>
    <t xml:space="preserve">HEK25BH11</t>
  </si>
  <si>
    <t xml:space="preserve">HEK26Nb</t>
  </si>
  <si>
    <t xml:space="preserve">EK26CRb</t>
  </si>
  <si>
    <t xml:space="preserve">EK26Bb1</t>
  </si>
  <si>
    <t xml:space="preserve">EK26Bb2</t>
  </si>
  <si>
    <t xml:space="preserve">EK26Bc1</t>
  </si>
  <si>
    <t xml:space="preserve">Setup &amp; Rejection high due to less thickness issue.Machine stop  01:00 am due to blue bins shortage.</t>
  </si>
  <si>
    <t xml:space="preserve">EK26CRc</t>
  </si>
  <si>
    <t xml:space="preserve">HEK26Nc</t>
  </si>
  <si>
    <t xml:space="preserve">HEK26NbK26Pc</t>
  </si>
  <si>
    <t xml:space="preserve">HEK26BH11</t>
  </si>
  <si>
    <t xml:space="preserve">EK26Bc2</t>
  </si>
  <si>
    <t xml:space="preserve">EK26Cc</t>
  </si>
  <si>
    <t xml:space="preserve">HEK27Na</t>
  </si>
  <si>
    <t xml:space="preserve">LIm01 stop due to 06 number cavity lock broken so mold unload to change the lock and cleanibg on ejector half.</t>
  </si>
  <si>
    <t xml:space="preserve">EK27Bb2</t>
  </si>
  <si>
    <t xml:space="preserve">HEK26NcK27Pa</t>
  </si>
  <si>
    <t xml:space="preserve">HEK26CH11</t>
  </si>
  <si>
    <t xml:space="preserve">HEK22NcK27Pa</t>
  </si>
  <si>
    <t xml:space="preserve">EK27Ba1</t>
  </si>
  <si>
    <t xml:space="preserve">EK27CRa</t>
  </si>
  <si>
    <t xml:space="preserve">EK26Bb1K27Pa</t>
  </si>
  <si>
    <t xml:space="preserve">HEK23BH22</t>
  </si>
  <si>
    <t xml:space="preserve">HEK25CH11</t>
  </si>
  <si>
    <t xml:space="preserve">HEK23NbK27Pb</t>
  </si>
  <si>
    <t xml:space="preserve">HEK23CH22</t>
  </si>
  <si>
    <t xml:space="preserve">EK27CRb</t>
  </si>
  <si>
    <t xml:space="preserve">HEK27Nb</t>
  </si>
  <si>
    <t xml:space="preserve">Drum change and middle plate cleaing </t>
  </si>
  <si>
    <t xml:space="preserve">machine setup </t>
  </si>
  <si>
    <t xml:space="preserve">EK27Bb1</t>
  </si>
  <si>
    <t xml:space="preserve">HEK24NaK27Pc</t>
  </si>
  <si>
    <t xml:space="preserve">HEK23AH22</t>
  </si>
  <si>
    <t xml:space="preserve">HEK27Nc</t>
  </si>
  <si>
    <t xml:space="preserve">Machine stop due to plant shutdown &amp; pin change.</t>
  </si>
  <si>
    <t xml:space="preserve">Machine stop due to plant shutdown.</t>
  </si>
  <si>
    <t xml:space="preserve">EK27Bc1</t>
  </si>
  <si>
    <t xml:space="preserve">EK27CRc</t>
  </si>
  <si>
    <t xml:space="preserve">EK27Cc</t>
  </si>
  <si>
    <t xml:space="preserve">HEK29Na</t>
  </si>
  <si>
    <t xml:space="preserve">Machine startup and middle back plate cleaning</t>
  </si>
  <si>
    <t xml:space="preserve">EK29Ba1</t>
  </si>
  <si>
    <t xml:space="preserve">Machine startup </t>
  </si>
  <si>
    <t xml:space="preserve">HEK24NaK29Pa</t>
  </si>
  <si>
    <t xml:space="preserve">EK29CRa</t>
  </si>
  <si>
    <t xml:space="preserve">EK29Ca</t>
  </si>
  <si>
    <t xml:space="preserve">EK26Bc1K29Pa</t>
  </si>
  <si>
    <t xml:space="preserve">HEK24NbK29Pb</t>
  </si>
  <si>
    <t xml:space="preserve">HEK29Bb1</t>
  </si>
  <si>
    <t xml:space="preserve">HEK29Nb</t>
  </si>
  <si>
    <t xml:space="preserve">EK29CRb</t>
  </si>
  <si>
    <t xml:space="preserve">HEK25NbK29Pc</t>
  </si>
  <si>
    <t xml:space="preserve">HEK24CH22</t>
  </si>
  <si>
    <t xml:space="preserve">HEK29Nc</t>
  </si>
  <si>
    <t xml:space="preserve">EK29CRc</t>
  </si>
  <si>
    <t xml:space="preserve">HEK30Na</t>
  </si>
  <si>
    <t xml:space="preserve">EK30Ba1</t>
  </si>
  <si>
    <t xml:space="preserve">HEK25NCk30Pa</t>
  </si>
  <si>
    <t xml:space="preserve">HEK25AH22</t>
  </si>
  <si>
    <t xml:space="preserve">EK30CRa</t>
  </si>
  <si>
    <t xml:space="preserve">EK29Bb1k30Pa</t>
  </si>
  <si>
    <t xml:space="preserve">HEK24BH22</t>
  </si>
  <si>
    <t xml:space="preserve">EK30CRb</t>
  </si>
  <si>
    <t xml:space="preserve">HEK30Nb</t>
  </si>
  <si>
    <t xml:space="preserve">EK30Bb1</t>
  </si>
  <si>
    <t xml:space="preserve">HEK26NaK30Pb</t>
  </si>
  <si>
    <t xml:space="preserve">HEK26NbK230Pc</t>
  </si>
  <si>
    <t xml:space="preserve">HEK25CH22</t>
  </si>
  <si>
    <t xml:space="preserve">HEK30Nc</t>
  </si>
  <si>
    <t xml:space="preserve">Production loss due to duram change and middle plate cleaning total time 120 min.</t>
  </si>
  <si>
    <t xml:space="preserve">EK30Bc1</t>
  </si>
  <si>
    <t xml:space="preserve">EK30CRc</t>
  </si>
  <si>
    <t xml:space="preserve">NIPPLE S TYPE L SIZE PUNCHED LASER MARKED</t>
  </si>
  <si>
    <t xml:space="preserve">NIPPLE S TYPE Y SIZE INJECTION</t>
  </si>
  <si>
    <t xml:space="preserve">NIPPLE S TYPE L SIZE PUNCHED</t>
  </si>
  <si>
    <t xml:space="preserve">RPP 240ML PINK BOTTLE MOLDED (WM3GB)</t>
  </si>
  <si>
    <t xml:space="preserve">HOOD S TYPE MOLDED</t>
  </si>
  <si>
    <t xml:space="preserve">NIPPLE S TYPE L SIZE POSTCURED</t>
  </si>
  <si>
    <t xml:space="preserve">NIPPLE S TYPE L SIZE PUNCHED INSPECTED</t>
  </si>
  <si>
    <t xml:space="preserve">KPP 240 BOTTLE PRINTED-WMG3B (OZ SCALE)</t>
  </si>
  <si>
    <t xml:space="preserve">KPP 120 BOTTLE PRINTED-WMG3B (OZ SCALE)</t>
  </si>
  <si>
    <t xml:space="preserve">NIPPLE S TYPE Y SIZE PUNCHED</t>
  </si>
  <si>
    <t xml:space="preserve">NIPPLE S TYPE Y SIZE POSTCURED</t>
  </si>
  <si>
    <t xml:space="preserve">NIPPLE S TYPE M SIZE INJECTION</t>
  </si>
  <si>
    <t xml:space="preserve">NIPPLE S TYPE S SIZE WITH PRINTED WRAP</t>
  </si>
  <si>
    <t xml:space="preserve">KPP 120 BOTTLE PRINTED (WMG3B) W/O OZ &amp; W/BIS LOGO</t>
  </si>
  <si>
    <t xml:space="preserve">KPP 240 BOTTLE PRINTED (WMG3B) W/O OZ &amp; W/BIS LOGO</t>
  </si>
  <si>
    <t xml:space="preserve">RPP 240ML GIRL PINK BOTTLE PRINTED (WM3GB)</t>
  </si>
  <si>
    <t xml:space="preserve">RPP 240ML GRL PNK BOTLE PNTD WM3GB W/BIS LOGO</t>
  </si>
  <si>
    <t xml:space="preserve">RPP 240ML BOY BLUE BOTTLE PRINTED (WM3GB)</t>
  </si>
  <si>
    <t xml:space="preserve">NIPPLE S TYPE M SIZE POSTCURED</t>
  </si>
  <si>
    <t xml:space="preserve">RPP 240ML BLUE BOTTLE MOLDED (WM3GB)</t>
  </si>
  <si>
    <t xml:space="preserve">NIPPLE S TYPE Y SIZE PUNCHED LASER MARKED</t>
  </si>
  <si>
    <t xml:space="preserve">NIPPLE S TYPE Y SIZE PUNCHED INSPECTED</t>
  </si>
  <si>
    <t xml:space="preserve">KPP BOTTLE 200 ML MOULDED-WMG3B</t>
  </si>
  <si>
    <t xml:space="preserve">NIPPLE S TYPE M SIZE PUNCHED LASER MARKED</t>
  </si>
  <si>
    <t xml:space="preserve">NIPPLE S TYPE Y SIZE WITH PRINTED WRAP</t>
  </si>
  <si>
    <t xml:space="preserve">NIPPLE S TYPE M SIZE PUNCHED INSPECTED</t>
  </si>
  <si>
    <t xml:space="preserve">KPP BOTTLE 200 ML PRINTED-WMG3B</t>
  </si>
  <si>
    <t xml:space="preserve">KPP 240 ML BOTTLE MOLDED</t>
  </si>
  <si>
    <t xml:space="preserve">KPP BOTTLE 240 ML PRINTED-WMG3B</t>
  </si>
  <si>
    <t xml:space="preserve">NIPPLE S TYPE M SIZE WITH PRINTED WRAP</t>
  </si>
  <si>
    <t xml:space="preserve">KPP 200 ML BOTTLE MOLDED</t>
  </si>
  <si>
    <t xml:space="preserve">NIPPLE S TYPE L SIZE INJECTION</t>
  </si>
  <si>
    <t xml:space="preserve">NIPPLE S TYPE LL SIZE WRAPPED</t>
  </si>
  <si>
    <t xml:space="preserve">KPP 200 ML BOTTLE PRINTED</t>
  </si>
  <si>
    <t xml:space="preserve">KPP 120 ML BOTTLE MOLDED</t>
  </si>
  <si>
    <t xml:space="preserve">RPP 120 ML BOTTLE PRINTED</t>
  </si>
  <si>
    <t xml:space="preserve">KPP 120 ML BOTTLE PRINTED</t>
  </si>
  <si>
    <t xml:space="preserve">CAP S TYPE MOLDED PINK</t>
  </si>
  <si>
    <t xml:space="preserve">RPP 240 ML BOTTLE MOLDED</t>
  </si>
  <si>
    <t xml:space="preserve">RPP 240 ML BOTTLE PRINTED</t>
  </si>
  <si>
    <t xml:space="preserve">RPP 120ML GRL PNK BOTLE PNTD WM3GB W/BIS LOGO</t>
  </si>
  <si>
    <t xml:space="preserve">RPP 120ML BOY BLUE BOTLE PNTD WM3GB W/BIS LOGO</t>
  </si>
  <si>
    <t xml:space="preserve">NIPPLE S TYPE S SIZE INJECTION</t>
  </si>
  <si>
    <t xml:space="preserve">RPP 240ML BOY BLUE BOTLE PNTD WM3GB W/BIS LOGO</t>
  </si>
  <si>
    <t xml:space="preserve">NIPPLE S TYPE L SIZE WITH PRINTED WRAP</t>
  </si>
  <si>
    <t xml:space="preserve">NIPPLE S TYPE S SIZE PUNCHED LASER MARKED</t>
  </si>
  <si>
    <t xml:space="preserve">RPP 240ML ABSTRCT BLU BOTLE PNTD WM3GB W/BIS LOGO</t>
  </si>
  <si>
    <t xml:space="preserve">RPP 120ML ABSTRCT BLU BOTLE PNTD WM3GB W/BIS LOGO</t>
  </si>
  <si>
    <t xml:space="preserve">RPP 120ML ABSTRCT PNK BOTLE PNTD WM3GB W/BIS LOGO</t>
  </si>
  <si>
    <t xml:space="preserve">NIPPLE S TYPE S SIZE PUNCHED INSPECTED</t>
  </si>
  <si>
    <t xml:space="preserve">CAP S TYPE MOLDED BLUE</t>
  </si>
  <si>
    <t xml:space="preserve">KPP BOTTLE 120 ML MOULDED-WMG3B</t>
  </si>
  <si>
    <t xml:space="preserve">RPP 120ML FLORAL PNK BOTLE PNTD WM3GB W/BIS LOGO</t>
  </si>
  <si>
    <t xml:space="preserve">RPP 240ML FLORAL PNK BOTLE PNTD WM3GB W/BIS LOGO</t>
  </si>
  <si>
    <t xml:space="preserve">RPP 240ML FLORAL BLUE BOTLE PNTD WM3GB W/BIS LOGO</t>
  </si>
  <si>
    <t xml:space="preserve">NIPPLE S TYPE LL SIZE INJECTION</t>
  </si>
  <si>
    <t xml:space="preserve">NIPPLE S TYPE LL SIZE PUNCHED</t>
  </si>
  <si>
    <t xml:space="preserve">CAP S TYPE MOLDED RED</t>
  </si>
  <si>
    <t xml:space="preserve">NIPPLE S TYPE LL SIZE LASER MARKED</t>
  </si>
  <si>
    <t xml:space="preserve">NIPPLE S TYPE LL SIZE INSPECTED</t>
  </si>
  <si>
    <t xml:space="preserve">CAP S TYPE MOLDED PALE BLUE</t>
  </si>
  <si>
    <t xml:space="preserve">RPP 240ML ABSTRCT PNK BOTLE PNTD WM3GB W/BIS LOGO</t>
  </si>
  <si>
    <t xml:space="preserve">CAP S TYPE MOLDED WHITE</t>
  </si>
  <si>
    <t xml:space="preserve">NPPLE S TYPE LL SIZE WITH PRINTED</t>
  </si>
  <si>
    <t xml:space="preserve">RPP 120 ML RPP PRINTED BEE</t>
  </si>
  <si>
    <t xml:space="preserve">CAP S TYPE MOLDED YELLOW</t>
  </si>
  <si>
    <t xml:space="preserve">KPP 200 BOTTLE PRINTED (WMG3B) W/O OZ &amp; W/BIS LOGO</t>
  </si>
  <si>
    <t xml:space="preserve">50 ML JUICE BOTTLE MOLDED</t>
  </si>
  <si>
    <t xml:space="preserve">RPP 120ML BLUE BOTTLE MOLDED (WM3GB)</t>
  </si>
  <si>
    <t xml:space="preserve">50 ML RPP BOTTLE PRINTED - BIRDS</t>
  </si>
  <si>
    <t xml:space="preserve">50 ML RPP BOTTLE PRINTED - WHALES</t>
  </si>
  <si>
    <t xml:space="preserve">50 ML RPP BOTTLE PRINTED - RABBIT</t>
  </si>
  <si>
    <t xml:space="preserve">RPP 240 ML RPP PRINTED ELEPHANT</t>
  </si>
  <si>
    <t xml:space="preserve">NIPPLE POSTCURE</t>
  </si>
  <si>
    <t xml:space="preserve">NIPPLE S TYPE S SIZE POSTCURED</t>
  </si>
  <si>
    <t xml:space="preserve">HEE26NaE26Pb</t>
  </si>
  <si>
    <t xml:space="preserve">0738/0739</t>
  </si>
  <si>
    <t xml:space="preserve">HEE25NcE26Pa</t>
  </si>
  <si>
    <t xml:space="preserve">HEE26NcE27Pa</t>
  </si>
  <si>
    <t xml:space="preserve">0752</t>
  </si>
  <si>
    <t xml:space="preserve">Monthly Plan Qty</t>
  </si>
  <si>
    <t xml:space="preserve">Total Result</t>
  </si>
  <si>
    <t xml:space="preserve">CAP MOLDED</t>
  </si>
  <si>
    <t xml:space="preserve">HOOD MOLDED</t>
  </si>
  <si>
    <t xml:space="preserve">NIPPLE LASER MARKING</t>
  </si>
  <si>
    <t xml:space="preserve">NIPPLE MOLDED</t>
  </si>
  <si>
    <t xml:space="preserve">NIPPLE PUNCH INSPECTED</t>
  </si>
  <si>
    <t xml:space="preserve">NIPPLE WRAP PRINTED</t>
  </si>
  <si>
    <t xml:space="preserve">Good Production</t>
  </si>
  <si>
    <t xml:space="preserve">(empty)</t>
  </si>
  <si>
    <t xml:space="preserve">HMC</t>
  </si>
  <si>
    <t xml:space="preserve">Silicon</t>
  </si>
  <si>
    <t xml:space="preserve">OEE </t>
  </si>
  <si>
    <t xml:space="preserve">P.P. Output  </t>
  </si>
  <si>
    <t xml:space="preserve">Break Down Hrs.</t>
  </si>
  <si>
    <t xml:space="preserve">Data</t>
  </si>
  <si>
    <t xml:space="preserve"> Plan Qty</t>
  </si>
  <si>
    <t xml:space="preserve"> Plan vs Actual Achievement %</t>
  </si>
  <si>
    <t xml:space="preserve"> OEE</t>
  </si>
  <si>
    <t xml:space="preserve"> Line rej Qty.</t>
  </si>
  <si>
    <t xml:space="preserve">Rej. %</t>
  </si>
  <si>
    <t xml:space="preserve"> Actual Cycle Time per Piece </t>
  </si>
  <si>
    <t xml:space="preserve">Remarks</t>
  </si>
  <si>
    <t xml:space="preserve">Production loss due to four time SKU changeover</t>
  </si>
  <si>
    <t xml:space="preserve">Machine startup and middle plate cleaning </t>
  </si>
  <si>
    <t xml:space="preserve">Plan Vs Actual - Till Date</t>
  </si>
  <si>
    <t xml:space="preserve">Weight</t>
  </si>
  <si>
    <t xml:space="preserve">Hood Molded</t>
  </si>
  <si>
    <t xml:space="preserve">Description</t>
  </si>
  <si>
    <t xml:space="preserve">Plan</t>
  </si>
  <si>
    <t xml:space="preserve">Total Output</t>
  </si>
  <si>
    <t xml:space="preserve">Good</t>
  </si>
  <si>
    <t xml:space="preserve">Rej</t>
  </si>
  <si>
    <t xml:space="preserve">QC Sampl</t>
  </si>
  <si>
    <t xml:space="preserve">Purge</t>
  </si>
  <si>
    <t xml:space="preserve">Setup</t>
  </si>
  <si>
    <t xml:space="preserve">Rej %</t>
  </si>
  <si>
    <t xml:space="preserve">Setup %</t>
  </si>
  <si>
    <t xml:space="preserve">Achivement %</t>
  </si>
  <si>
    <t xml:space="preserve">Backlog</t>
  </si>
  <si>
    <t xml:space="preserve">Mtl. Cons.</t>
  </si>
  <si>
    <t xml:space="preserve">HOOD MOULDED</t>
  </si>
  <si>
    <t xml:space="preserve">Hood</t>
  </si>
  <si>
    <t xml:space="preserve">CAP Molded</t>
  </si>
  <si>
    <t xml:space="preserve">Red</t>
  </si>
  <si>
    <t xml:space="preserve">Pink</t>
  </si>
  <si>
    <t xml:space="preserve">Blue</t>
  </si>
  <si>
    <t xml:space="preserve">Pale Blue</t>
  </si>
  <si>
    <t xml:space="preserve">White</t>
  </si>
  <si>
    <t xml:space="preserve">Yellow</t>
  </si>
  <si>
    <t xml:space="preserve">TOTAL</t>
  </si>
  <si>
    <t xml:space="preserve">Bottle Molded</t>
  </si>
  <si>
    <t xml:space="preserve">FO125</t>
  </si>
  <si>
    <t xml:space="preserve">SQUEEZABLE -RPP 240ML PP BOTTLE MOULDED</t>
  </si>
  <si>
    <t xml:space="preserve">FO045</t>
  </si>
  <si>
    <t xml:space="preserve">FO046</t>
  </si>
  <si>
    <t xml:space="preserve">FO080</t>
  </si>
  <si>
    <t xml:space="preserve">FO081</t>
  </si>
  <si>
    <t xml:space="preserve">Bottle Printed</t>
  </si>
  <si>
    <t xml:space="preserve">Mtl. Waste</t>
  </si>
  <si>
    <t xml:space="preserve">RPP2_H</t>
  </si>
  <si>
    <t xml:space="preserve">RPP4_H</t>
  </si>
  <si>
    <t xml:space="preserve">RPP8_H</t>
  </si>
  <si>
    <t xml:space="preserve">FO120</t>
  </si>
  <si>
    <t xml:space="preserve">FO121</t>
  </si>
  <si>
    <t xml:space="preserve">FO122</t>
  </si>
  <si>
    <t xml:space="preserve">FO123</t>
  </si>
  <si>
    <t xml:space="preserve">FO124</t>
  </si>
  <si>
    <t xml:space="preserve">FO034</t>
  </si>
  <si>
    <t xml:space="preserve">FO036</t>
  </si>
  <si>
    <t xml:space="preserve">FO037</t>
  </si>
  <si>
    <t xml:space="preserve">FO047</t>
  </si>
  <si>
    <t xml:space="preserve">FO050</t>
  </si>
  <si>
    <t xml:space="preserve">FO051</t>
  </si>
  <si>
    <t xml:space="preserve">FO063</t>
  </si>
  <si>
    <t xml:space="preserve">FO064</t>
  </si>
  <si>
    <t xml:space="preserve">FO065</t>
  </si>
  <si>
    <t xml:space="preserve">FO069</t>
  </si>
  <si>
    <t xml:space="preserve">FO070</t>
  </si>
  <si>
    <t xml:space="preserve">FO071</t>
  </si>
  <si>
    <t xml:space="preserve">FO072</t>
  </si>
  <si>
    <t xml:space="preserve">FO073</t>
  </si>
  <si>
    <t xml:space="preserve">FO074</t>
  </si>
  <si>
    <t xml:space="preserve">FO075</t>
  </si>
  <si>
    <t xml:space="preserve">FO076</t>
  </si>
  <si>
    <t xml:space="preserve">FO077</t>
  </si>
  <si>
    <t xml:space="preserve">FO078</t>
  </si>
  <si>
    <t xml:space="preserve">FO079</t>
  </si>
  <si>
    <t xml:space="preserve">FO082</t>
  </si>
  <si>
    <t xml:space="preserve">FO083</t>
  </si>
  <si>
    <t xml:space="preserve">FO086</t>
  </si>
  <si>
    <t xml:space="preserve">FO090</t>
  </si>
  <si>
    <t xml:space="preserve">FO091</t>
  </si>
  <si>
    <t xml:space="preserve">Nipple Molded</t>
  </si>
  <si>
    <t xml:space="preserve">Drum change data</t>
  </si>
  <si>
    <t xml:space="preserve">Machine</t>
  </si>
  <si>
    <t xml:space="preserve">a</t>
  </si>
  <si>
    <t xml:space="preserve">b</t>
  </si>
  <si>
    <t xml:space="preserve">S-LL SIZE</t>
  </si>
  <si>
    <t xml:space="preserve">g.Total</t>
  </si>
  <si>
    <t xml:space="preserve">Nipple Postcured</t>
  </si>
  <si>
    <t xml:space="preserve">Nipple Punched</t>
  </si>
  <si>
    <t xml:space="preserve">Nipple LASER</t>
  </si>
  <si>
    <t xml:space="preserve">Nipple Inspection</t>
  </si>
  <si>
    <t xml:space="preserve">Nipple Wrapping</t>
  </si>
  <si>
    <t xml:space="preserve">Rejection Ratio August-2021</t>
  </si>
  <si>
    <t xml:space="preserve">Material Used</t>
  </si>
  <si>
    <t xml:space="preserve">Injection</t>
  </si>
  <si>
    <t xml:space="preserve">Post Process</t>
  </si>
  <si>
    <t xml:space="preserve">Commulative</t>
  </si>
  <si>
    <t xml:space="preserve">OK Produced</t>
  </si>
  <si>
    <t xml:space="preserve">Rejection</t>
  </si>
  <si>
    <t xml:space="preserve">Injection target</t>
  </si>
  <si>
    <t xml:space="preserve">Injection Actual</t>
  </si>
  <si>
    <t xml:space="preserve">Post Process Target</t>
  </si>
  <si>
    <t xml:space="preserve">Post Process Actual</t>
  </si>
  <si>
    <t xml:space="preserve">Bottle </t>
  </si>
  <si>
    <t xml:space="preserve">Cummulative</t>
  </si>
  <si>
    <t xml:space="preserve">Nipple</t>
  </si>
  <si>
    <t xml:space="preserve">Cap</t>
  </si>
  <si>
    <t xml:space="preserve">P700J</t>
  </si>
  <si>
    <t xml:space="preserve">Process</t>
  </si>
  <si>
    <t xml:space="preserve">Material</t>
  </si>
  <si>
    <t xml:space="preserve">Rejection %</t>
  </si>
  <si>
    <t xml:space="preserve">Total Production</t>
  </si>
  <si>
    <t xml:space="preserve">BOTTEL PRINTED</t>
  </si>
  <si>
    <t xml:space="preserve">Nipple Laser</t>
  </si>
  <si>
    <t xml:space="preserve">NIPPLE INSPECTION</t>
  </si>
  <si>
    <t xml:space="preserve">P7001</t>
  </si>
  <si>
    <t xml:space="preserve">Yield Ratio August-2021</t>
  </si>
  <si>
    <t xml:space="preserve">MOLDED</t>
  </si>
  <si>
    <t xml:space="preserve">ALL PROCESS</t>
  </si>
  <si>
    <t xml:space="preserve">RESULT</t>
  </si>
  <si>
    <t xml:space="preserve">MATERIAL</t>
  </si>
  <si>
    <t xml:space="preserve">material consumed in OK qty</t>
  </si>
  <si>
    <t xml:space="preserve">Total material consumed</t>
  </si>
  <si>
    <t xml:space="preserve">MAYTERIAL YIELD OF MOLDING PROCESS</t>
  </si>
  <si>
    <t xml:space="preserve">MAYTERIAL YIELD OF ALL PROCESS PROCESS</t>
  </si>
  <si>
    <t xml:space="preserve">Traget</t>
  </si>
  <si>
    <t xml:space="preserve">SILICON</t>
  </si>
  <si>
    <t xml:space="preserve">P750J(Hood)</t>
  </si>
  <si>
    <t xml:space="preserve">P750J(Bottle)</t>
  </si>
  <si>
    <t xml:space="preserve">Scrap Ratio August-2021</t>
  </si>
  <si>
    <t xml:space="preserve">Total Material Consumed</t>
  </si>
  <si>
    <t xml:space="preserve">Scrap</t>
  </si>
  <si>
    <t xml:space="preserve">Scrap ratio</t>
  </si>
  <si>
    <t xml:space="preserve">Section wise Plan vs Actual  August-2021</t>
  </si>
  <si>
    <t xml:space="preserve">BLOW</t>
  </si>
  <si>
    <t xml:space="preserve">ITEM</t>
  </si>
  <si>
    <t xml:space="preserve">PLAN</t>
  </si>
  <si>
    <t xml:space="preserve">ACTUAL</t>
  </si>
  <si>
    <t xml:space="preserve">REJ</t>
  </si>
  <si>
    <t xml:space="preserve">REJ %</t>
  </si>
  <si>
    <t xml:space="preserve">ACHIVE  %</t>
  </si>
  <si>
    <t xml:space="preserve">PRINTNG</t>
  </si>
  <si>
    <t xml:space="preserve">KPP4_H</t>
  </si>
  <si>
    <t xml:space="preserve">KPP6_H</t>
  </si>
  <si>
    <t xml:space="preserve">KPP8_H</t>
  </si>
  <si>
    <t xml:space="preserve">KPP4_W</t>
  </si>
  <si>
    <t xml:space="preserve">KPP6_W</t>
  </si>
  <si>
    <t xml:space="preserve">KPP8_W</t>
  </si>
  <si>
    <t xml:space="preserve">RPP4_W</t>
  </si>
  <si>
    <t xml:space="preserve">RPP8_W</t>
  </si>
  <si>
    <t xml:space="preserve">                                                                                                                                                                                                                                                                                                                                                                                                                                                                                                  </t>
  </si>
  <si>
    <t xml:space="preserve">LIM</t>
  </si>
  <si>
    <t xml:space="preserve">POSTCURE</t>
  </si>
  <si>
    <t xml:space="preserve">S-S SIZE</t>
  </si>
  <si>
    <t xml:space="preserve">S-M SIZE</t>
  </si>
  <si>
    <t xml:space="preserve">S-L SIZE</t>
  </si>
  <si>
    <t xml:space="preserve">S-Y SIZE</t>
  </si>
  <si>
    <t xml:space="preserve">PUNCHING</t>
  </si>
  <si>
    <t xml:space="preserve">LAZER</t>
  </si>
  <si>
    <t xml:space="preserve">INSPECTION</t>
  </si>
  <si>
    <t xml:space="preserve">WRAPPING</t>
  </si>
  <si>
    <t xml:space="preserve">Hood Moulded</t>
  </si>
  <si>
    <t xml:space="preserve">STAGE</t>
  </si>
  <si>
    <t xml:space="preserve">DATA</t>
  </si>
  <si>
    <t xml:space="preserve">PVA</t>
  </si>
  <si>
    <t xml:space="preserve">GAP</t>
  </si>
  <si>
    <t xml:space="preserve">Achieve %</t>
  </si>
  <si>
    <t xml:space="preserve">Setup </t>
  </si>
  <si>
    <t xml:space="preserve">Setup%</t>
  </si>
  <si>
    <t xml:space="preserve">Remark</t>
  </si>
  <si>
    <t xml:space="preserve">PRINTING</t>
  </si>
  <si>
    <t xml:space="preserve">NIPPLE WRAP DOMESTIC</t>
  </si>
  <si>
    <t xml:space="preserve">ITEM CODE</t>
  </si>
  <si>
    <t xml:space="preserve">DESCRIPTION</t>
  </si>
  <si>
    <t xml:space="preserve">STD wt</t>
  </si>
  <si>
    <t xml:space="preserve">Tyep</t>
  </si>
  <si>
    <t xml:space="preserve">SECTION</t>
  </si>
  <si>
    <t xml:space="preserve">Wt</t>
  </si>
  <si>
    <t xml:space="preserve">Material For Yield</t>
  </si>
  <si>
    <t xml:space="preserve">Std Cycle time</t>
  </si>
  <si>
    <t xml:space="preserve">NIPPLE</t>
  </si>
  <si>
    <t xml:space="preserve">QTY</t>
  </si>
  <si>
    <t xml:space="preserve">BOTTLE</t>
  </si>
  <si>
    <t xml:space="preserve">00082</t>
  </si>
  <si>
    <t xml:space="preserve">WIDE NECK GLASS NURSER 240 ML PINK</t>
  </si>
  <si>
    <t xml:space="preserve">Bottle</t>
  </si>
  <si>
    <t xml:space="preserve">00083</t>
  </si>
  <si>
    <t xml:space="preserve">WIDE NECK GLASS NURSER 160 ML PINK</t>
  </si>
  <si>
    <t xml:space="preserve">00280</t>
  </si>
  <si>
    <t xml:space="preserve">GLASS NURSER K-8 (240 ML/8OZ)</t>
  </si>
  <si>
    <t xml:space="preserve">00280IN</t>
  </si>
  <si>
    <t xml:space="preserve">GLASS NURSER K-8 (240 ML/8OZ) 00280IN</t>
  </si>
  <si>
    <t xml:space="preserve">00281</t>
  </si>
  <si>
    <t xml:space="preserve">GLASS NURSER K-6 (200 ML/6OZ)</t>
  </si>
  <si>
    <t xml:space="preserve">00281IN</t>
  </si>
  <si>
    <t xml:space="preserve">GLASS NURSER K-6 (200 ML/6OZ) 00281IN</t>
  </si>
  <si>
    <t xml:space="preserve">00282</t>
  </si>
  <si>
    <t xml:space="preserve">GLASS NURSER K-4 (120 ML/4OZ)</t>
  </si>
  <si>
    <t xml:space="preserve">00282IN</t>
  </si>
  <si>
    <t xml:space="preserve">GLASS NURSER K-4 (120 ML/4OZ) 00282IN</t>
  </si>
  <si>
    <t xml:space="preserve">00299</t>
  </si>
  <si>
    <t xml:space="preserve">KP 240 B S-TYPE M </t>
  </si>
  <si>
    <t xml:space="preserve">00370</t>
  </si>
  <si>
    <t xml:space="preserve">KP 200 B S-TYPE M</t>
  </si>
  <si>
    <t xml:space="preserve">00371</t>
  </si>
  <si>
    <t xml:space="preserve">KP 120 B S-TYPE S</t>
  </si>
  <si>
    <t xml:space="preserve">00372</t>
  </si>
  <si>
    <t xml:space="preserve">KPP 240 P S-TYPE M</t>
  </si>
  <si>
    <t xml:space="preserve">00373</t>
  </si>
  <si>
    <t xml:space="preserve">KPP 200 P S-TYPE M</t>
  </si>
  <si>
    <t xml:space="preserve">00374</t>
  </si>
  <si>
    <t xml:space="preserve">KPP 120 P S-TYPE M</t>
  </si>
  <si>
    <t xml:space="preserve">00375</t>
  </si>
  <si>
    <t xml:space="preserve">KPP 240 LB S-TYPE M</t>
  </si>
  <si>
    <t xml:space="preserve">00376</t>
  </si>
  <si>
    <t xml:space="preserve">KPP 200 LB S-TYPE M</t>
  </si>
  <si>
    <t xml:space="preserve">00377</t>
  </si>
  <si>
    <t xml:space="preserve">KPP 120 LB S-TYPE M</t>
  </si>
  <si>
    <t xml:space="preserve">00379</t>
  </si>
  <si>
    <t xml:space="preserve">NWNPP 240 Y SOFTOUCH M</t>
  </si>
  <si>
    <t xml:space="preserve">00380</t>
  </si>
  <si>
    <t xml:space="preserve">NWNPP 160 Y SOFTOUCH SS</t>
  </si>
  <si>
    <t xml:space="preserve">00381</t>
  </si>
  <si>
    <t xml:space="preserve">NWNPP 240 G SOFTOUCH M</t>
  </si>
  <si>
    <t xml:space="preserve">00382</t>
  </si>
  <si>
    <t xml:space="preserve">NWNPP 160 G SOFTOUCH SS</t>
  </si>
  <si>
    <t xml:space="preserve">00852</t>
  </si>
  <si>
    <t xml:space="preserve">MANUAL BREAST PUMP YELLOW W/BIS_NEW</t>
  </si>
  <si>
    <t xml:space="preserve">Breast Care Accessary</t>
  </si>
  <si>
    <t xml:space="preserve">00852I</t>
  </si>
  <si>
    <t xml:space="preserve">MANUAL BREAST PUMP (OLD)</t>
  </si>
  <si>
    <t xml:space="preserve">00852IN</t>
  </si>
  <si>
    <t xml:space="preserve">M-B-PUMP Y W/PP150 BIS</t>
  </si>
  <si>
    <t xml:space="preserve">00852S</t>
  </si>
  <si>
    <t xml:space="preserve">MANUAL BREAST PUMP YELLOW</t>
  </si>
  <si>
    <t xml:space="preserve">00883</t>
  </si>
  <si>
    <t xml:space="preserve">KPP 240 W S-TYPE M</t>
  </si>
  <si>
    <t xml:space="preserve">00884</t>
  </si>
  <si>
    <t xml:space="preserve">KPP 200 W S-TYPE M</t>
  </si>
  <si>
    <t xml:space="preserve">00885</t>
  </si>
  <si>
    <t xml:space="preserve">KPP 120 W S-TYPE S</t>
  </si>
  <si>
    <t xml:space="preserve">00902</t>
  </si>
  <si>
    <t xml:space="preserve">FEEDER W/LONG NIPPLE FOR CLEFT PALATE (00702)</t>
  </si>
  <si>
    <t xml:space="preserve">00906</t>
  </si>
  <si>
    <t xml:space="preserve">NURSING BOTTLE PP FOR CLEFT PALATE</t>
  </si>
  <si>
    <t xml:space="preserve">00949</t>
  </si>
  <si>
    <t xml:space="preserve">KP 240 R S-TYPE M</t>
  </si>
  <si>
    <t xml:space="preserve">00950</t>
  </si>
  <si>
    <t xml:space="preserve">KP 200 R S-TYPE M</t>
  </si>
  <si>
    <t xml:space="preserve">00951</t>
  </si>
  <si>
    <t xml:space="preserve">KP 120 R S-TYPE S</t>
  </si>
  <si>
    <t xml:space="preserve">00952</t>
  </si>
  <si>
    <t xml:space="preserve">STREAM L P 240 S-TYPE M</t>
  </si>
  <si>
    <t xml:space="preserve">00953</t>
  </si>
  <si>
    <t xml:space="preserve">KP 240 S-TYPE M 2PCS</t>
  </si>
  <si>
    <t xml:space="preserve">00955</t>
  </si>
  <si>
    <t xml:space="preserve">NURSING BOTTLE KP 40Z WITH P NIPPLE 2 PCK</t>
  </si>
  <si>
    <t xml:space="preserve">00999</t>
  </si>
  <si>
    <t xml:space="preserve">NEW BORN STARTER KIT</t>
  </si>
  <si>
    <t xml:space="preserve">01294</t>
  </si>
  <si>
    <t xml:space="preserve">SILICONE NIPPLE SIZE S FOR CLEFT PALATE</t>
  </si>
  <si>
    <t xml:space="preserve">01295</t>
  </si>
  <si>
    <t xml:space="preserve">SILICONE NIPPLE SIZE R FOR CLEFT PALATE</t>
  </si>
  <si>
    <t xml:space="preserve">01758</t>
  </si>
  <si>
    <t xml:space="preserve">SILICON NIPPLE (S), 3 PCS/ CARD</t>
  </si>
  <si>
    <t xml:space="preserve">01759</t>
  </si>
  <si>
    <t xml:space="preserve">SILICON NIPPLE (M), 3 PCS/ CARD</t>
  </si>
  <si>
    <t xml:space="preserve">01760</t>
  </si>
  <si>
    <t xml:space="preserve">SILICON NIPPLE (L), 3 PCS/ CARD</t>
  </si>
  <si>
    <t xml:space="preserve">01763</t>
  </si>
  <si>
    <t xml:space="preserve">SILICONE NIPPLE BOXED (M)</t>
  </si>
  <si>
    <t xml:space="preserve">01786</t>
  </si>
  <si>
    <t xml:space="preserve">WN SILICON S 2PCS BLI</t>
  </si>
  <si>
    <t xml:space="preserve">01787</t>
  </si>
  <si>
    <t xml:space="preserve">WIDE-NECK STRETCHABLE NIPPLE BLISTER 2 PCS (M)</t>
  </si>
  <si>
    <t xml:space="preserve">01788</t>
  </si>
  <si>
    <t xml:space="preserve">WIDE-NECK STRETCHABLE NIPPLE BLISTER 2 PCS (Y)</t>
  </si>
  <si>
    <t xml:space="preserve">01789</t>
  </si>
  <si>
    <t xml:space="preserve">WIDE-NECK STRETCHABLE NIPPLE BLISTER 2 PCS (L)</t>
  </si>
  <si>
    <t xml:space="preserve">01813</t>
  </si>
  <si>
    <t xml:space="preserve">PERISTALTIC NIPPLE BOX 1 PCS (S)</t>
  </si>
  <si>
    <t xml:space="preserve">01814</t>
  </si>
  <si>
    <t xml:space="preserve">PERISTALTIC NIPPLE BOX 1 PCS (M)</t>
  </si>
  <si>
    <t xml:space="preserve">01815</t>
  </si>
  <si>
    <t xml:space="preserve">PERISTALTIC NIPPLE BOX 1 PCS (Y)</t>
  </si>
  <si>
    <t xml:space="preserve">01816</t>
  </si>
  <si>
    <t xml:space="preserve">PERISTALTIC NIPPLE BOX 1 PCS (L)</t>
  </si>
  <si>
    <t xml:space="preserve">01837</t>
  </si>
  <si>
    <t xml:space="preserve">PERISTALTIC PLUS NIPPLE S 1 PCS</t>
  </si>
  <si>
    <t xml:space="preserve">01838</t>
  </si>
  <si>
    <t xml:space="preserve">PPLUS SILICON M 1PCS BLI</t>
  </si>
  <si>
    <t xml:space="preserve">01839</t>
  </si>
  <si>
    <t xml:space="preserve">PERISTALTIC PLUS NIPPLE L 1 PCS</t>
  </si>
  <si>
    <t xml:space="preserve">01844</t>
  </si>
  <si>
    <t xml:space="preserve">PERISTALTIC PLUS NIPPLE SS 1 PCS</t>
  </si>
  <si>
    <t xml:space="preserve">01848</t>
  </si>
  <si>
    <t xml:space="preserve">PERISTALTIC NIPPLE BOX 3 PCS (S)</t>
  </si>
  <si>
    <t xml:space="preserve">01849</t>
  </si>
  <si>
    <t xml:space="preserve">PERISTALTIC NIPPLE BOX 3 PCS (M)</t>
  </si>
  <si>
    <t xml:space="preserve">01850</t>
  </si>
  <si>
    <t xml:space="preserve">PERISTALTIC NIPPLE BOX 3 PCS (Y)</t>
  </si>
  <si>
    <t xml:space="preserve">01851</t>
  </si>
  <si>
    <t xml:space="preserve">PERISTALTIC NIPPLE BOX 3 PCS (L)</t>
  </si>
  <si>
    <t xml:space="preserve">01940</t>
  </si>
  <si>
    <t xml:space="preserve">PERISTALTIC NIPPLE BOX 2 PCS (S)</t>
  </si>
  <si>
    <t xml:space="preserve">01941</t>
  </si>
  <si>
    <t xml:space="preserve">PERISTALTIC NIPPLE BOX 2 PCS (M)</t>
  </si>
  <si>
    <t xml:space="preserve">01942</t>
  </si>
  <si>
    <t xml:space="preserve">PERISTALTIC NIPPLE BOX 2 PCS (Y)</t>
  </si>
  <si>
    <t xml:space="preserve">01943</t>
  </si>
  <si>
    <t xml:space="preserve">PERISTALTIC NIPPLE BOX 2 PCS (L)</t>
  </si>
  <si>
    <t xml:space="preserve">02208</t>
  </si>
  <si>
    <t xml:space="preserve">MILK POWDER CONTAINER</t>
  </si>
  <si>
    <t xml:space="preserve">Formula Accessary</t>
  </si>
  <si>
    <t xml:space="preserve">03143</t>
  </si>
  <si>
    <t xml:space="preserve">SELF EDUCATIONAL FORK &amp; BOWL</t>
  </si>
  <si>
    <t xml:space="preserve">Weaning Accessary</t>
  </si>
  <si>
    <t xml:space="preserve">03308</t>
  </si>
  <si>
    <t xml:space="preserve">GLASS JUICE FEEDER (50CC/20Z)</t>
  </si>
  <si>
    <t xml:space="preserve">03309</t>
  </si>
  <si>
    <t xml:space="preserve">SPOUT FEEDER (120 ML)</t>
  </si>
  <si>
    <t xml:space="preserve">03314</t>
  </si>
  <si>
    <t xml:space="preserve">FEEDING DISH</t>
  </si>
  <si>
    <t xml:space="preserve">03326</t>
  </si>
  <si>
    <t xml:space="preserve">HOME BABY FOOD MAKER</t>
  </si>
  <si>
    <t xml:space="preserve">03327</t>
  </si>
  <si>
    <t xml:space="preserve">FEEDING SET</t>
  </si>
  <si>
    <t xml:space="preserve">03328</t>
  </si>
  <si>
    <t xml:space="preserve">WEANING BOTTLE WITH SPOON, 120ML</t>
  </si>
  <si>
    <t xml:space="preserve">03329</t>
  </si>
  <si>
    <t xml:space="preserve">WEANING BOTTLE WITH SPOON, 240 ML</t>
  </si>
  <si>
    <t xml:space="preserve">03706</t>
  </si>
  <si>
    <t xml:space="preserve">WEANING SPOON 2 PCS</t>
  </si>
  <si>
    <t xml:space="preserve">03707</t>
  </si>
  <si>
    <t xml:space="preserve">SPOON AND FORK SET WITH TRAVEL CASE</t>
  </si>
  <si>
    <t xml:space="preserve">03708</t>
  </si>
  <si>
    <t xml:space="preserve">BOWL AND WEANING SPOON SET</t>
  </si>
  <si>
    <t xml:space="preserve">03709</t>
  </si>
  <si>
    <t xml:space="preserve">DISH AND PLATE SET</t>
  </si>
  <si>
    <t xml:space="preserve">03710</t>
  </si>
  <si>
    <t xml:space="preserve">BABY CUTLARY SET</t>
  </si>
  <si>
    <t xml:space="preserve">03713</t>
  </si>
  <si>
    <t xml:space="preserve">DISPOSABLE BIBS</t>
  </si>
  <si>
    <t xml:space="preserve">03771</t>
  </si>
  <si>
    <t xml:space="preserve">MAGMAG STRAW BRUSH.</t>
  </si>
  <si>
    <t xml:space="preserve">MagMag</t>
  </si>
  <si>
    <t xml:space="preserve">03827</t>
  </si>
  <si>
    <t xml:space="preserve">MAGMAG AIO SET.</t>
  </si>
  <si>
    <t xml:space="preserve">03842</t>
  </si>
  <si>
    <t xml:space="preserve">MAG MAG NIPPLE CUP (OLD)</t>
  </si>
  <si>
    <t xml:space="preserve">03843</t>
  </si>
  <si>
    <t xml:space="preserve">MAGMAG SPOUT CUP</t>
  </si>
  <si>
    <t xml:space="preserve">03844</t>
  </si>
  <si>
    <t xml:space="preserve">MAGMAG STRAW CUP (YELLOW)</t>
  </si>
  <si>
    <t xml:space="preserve">03845</t>
  </si>
  <si>
    <t xml:space="preserve">MAGMAG STRAW CUP (BLUE)</t>
  </si>
  <si>
    <t xml:space="preserve">03846</t>
  </si>
  <si>
    <t xml:space="preserve">MAG MAG STRAW CUP (GREEN) 03846</t>
  </si>
  <si>
    <t xml:space="preserve">03847</t>
  </si>
  <si>
    <t xml:space="preserve">MAGMAG ALL IN ONE SET 03847</t>
  </si>
  <si>
    <t xml:space="preserve">04030</t>
  </si>
  <si>
    <t xml:space="preserve">BRUSH FOR STRETCHABLE SILICON NIPPLE (OLD)</t>
  </si>
  <si>
    <t xml:space="preserve">Cleansing &amp; Sterilizing Accessary</t>
  </si>
  <si>
    <t xml:space="preserve">04034</t>
  </si>
  <si>
    <t xml:space="preserve">CLEANSING BRUSH</t>
  </si>
  <si>
    <t xml:space="preserve">04040</t>
  </si>
  <si>
    <t xml:space="preserve">BRUSH FOR STRETCHABLE SILICON NIPPLE</t>
  </si>
  <si>
    <t xml:space="preserve">04528</t>
  </si>
  <si>
    <t xml:space="preserve">MICROWAVE STEAM STERILIZER</t>
  </si>
  <si>
    <t xml:space="preserve">04532</t>
  </si>
  <si>
    <t xml:space="preserve">NYLON BRUSH Y-G-P</t>
  </si>
  <si>
    <t xml:space="preserve">04547</t>
  </si>
  <si>
    <t xml:space="preserve">SPONGE BRUSH</t>
  </si>
  <si>
    <t xml:space="preserve">04550</t>
  </si>
  <si>
    <t xml:space="preserve">NYLON BRUSH ROTARY</t>
  </si>
  <si>
    <t xml:space="preserve">04555</t>
  </si>
  <si>
    <t xml:space="preserve">STERILIZATION TONGS</t>
  </si>
  <si>
    <t xml:space="preserve">04562</t>
  </si>
  <si>
    <t xml:space="preserve">MAG MAG SPOUT CUP(OLD)</t>
  </si>
  <si>
    <t xml:space="preserve">04563</t>
  </si>
  <si>
    <t xml:space="preserve">MAG MAG STRAW CUP (ORANGE) (OLD)</t>
  </si>
  <si>
    <t xml:space="preserve">04564</t>
  </si>
  <si>
    <t xml:space="preserve">MAGMAG STRAW CUP P</t>
  </si>
  <si>
    <t xml:space="preserve">04565</t>
  </si>
  <si>
    <t xml:space="preserve">MAG MAG STRAW CUP (SKY BLUE) (OLD)</t>
  </si>
  <si>
    <t xml:space="preserve">04566</t>
  </si>
  <si>
    <t xml:space="preserve">MAG MAG ALL IN ONE SET</t>
  </si>
  <si>
    <t xml:space="preserve">04574</t>
  </si>
  <si>
    <t xml:space="preserve">MAG MAG STRAW BRUSH (3771)</t>
  </si>
  <si>
    <t xml:space="preserve">04578</t>
  </si>
  <si>
    <t xml:space="preserve">FEEDING SPOON SET</t>
  </si>
  <si>
    <t xml:space="preserve">04579</t>
  </si>
  <si>
    <t xml:space="preserve">FEEDING SUPPORT SET</t>
  </si>
  <si>
    <t xml:space="preserve">07058</t>
  </si>
  <si>
    <t xml:space="preserve">MEDICATED POWDER CANNED, 150G</t>
  </si>
  <si>
    <t xml:space="preserve">Baby Skincare</t>
  </si>
  <si>
    <t xml:space="preserve">07060</t>
  </si>
  <si>
    <t xml:space="preserve">BABY POWDER CANNED, 150G</t>
  </si>
  <si>
    <t xml:space="preserve">07810</t>
  </si>
  <si>
    <t xml:space="preserve">BABY POWDER 450 GM, ENG/SPANISH</t>
  </si>
  <si>
    <t xml:space="preserve">07812</t>
  </si>
  <si>
    <t xml:space="preserve">BABY POWDER, 200G (OLD)</t>
  </si>
  <si>
    <t xml:space="preserve">07817</t>
  </si>
  <si>
    <t xml:space="preserve">BABY POWDER, 200G</t>
  </si>
  <si>
    <t xml:space="preserve">07818</t>
  </si>
  <si>
    <t xml:space="preserve">BABY POWDER, 500GM</t>
  </si>
  <si>
    <t xml:space="preserve">07820</t>
  </si>
  <si>
    <t xml:space="preserve">PIGEON BABY POWDER 100GM 07820</t>
  </si>
  <si>
    <t xml:space="preserve">07821</t>
  </si>
  <si>
    <t xml:space="preserve">PIGEON BABY POWDER 200GM 07821</t>
  </si>
  <si>
    <t xml:space="preserve">07822</t>
  </si>
  <si>
    <t xml:space="preserve">PIGEON BABY POWDER 500GM 07822</t>
  </si>
  <si>
    <t xml:space="preserve">07854</t>
  </si>
  <si>
    <t xml:space="preserve">CHILDREN TOOTHPASTE, ORANGE</t>
  </si>
  <si>
    <t xml:space="preserve">Baby Dental care</t>
  </si>
  <si>
    <t xml:space="preserve">07855</t>
  </si>
  <si>
    <t xml:space="preserve">CHILDREN TOOTHPASTE, STRAWBERRY</t>
  </si>
  <si>
    <t xml:space="preserve">08171</t>
  </si>
  <si>
    <t xml:space="preserve">BABY TRANSPARENT SOAP W/CASE, 90G</t>
  </si>
  <si>
    <t xml:space="preserve">08172</t>
  </si>
  <si>
    <t xml:space="preserve">BABY TRANSPARENT SOAP W/O CASE, 90G</t>
  </si>
  <si>
    <t xml:space="preserve">08361</t>
  </si>
  <si>
    <t xml:space="preserve">BABY TRANSPARENT SOAP W/CASE,</t>
  </si>
  <si>
    <t xml:space="preserve">08362</t>
  </si>
  <si>
    <t xml:space="preserve">BABY TRANSPARENT SOAP W/O CASE</t>
  </si>
  <si>
    <t xml:space="preserve">08516</t>
  </si>
  <si>
    <t xml:space="preserve">BABY TRANSPARENT SOAP W/CASE, 80G</t>
  </si>
  <si>
    <t xml:space="preserve">08517</t>
  </si>
  <si>
    <t xml:space="preserve">BABY TRANSPARENT SOAP W/O CASE, 80G</t>
  </si>
  <si>
    <t xml:space="preserve">08518</t>
  </si>
  <si>
    <t xml:space="preserve">HAPPY BABY GIFT(08530+08534+08536+07817+11722E)</t>
  </si>
  <si>
    <t xml:space="preserve">08530</t>
  </si>
  <si>
    <t xml:space="preserve">ACTIVE BABY WASH 200ML</t>
  </si>
  <si>
    <t xml:space="preserve">08531</t>
  </si>
  <si>
    <t xml:space="preserve">BABY LIQUID SOAP 100ML</t>
  </si>
  <si>
    <t xml:space="preserve">08532</t>
  </si>
  <si>
    <t xml:space="preserve">GENTLE BABY SHAMPOO 200ML</t>
  </si>
  <si>
    <t xml:space="preserve">08533</t>
  </si>
  <si>
    <t xml:space="preserve">BABY SHAMPOO 100ML</t>
  </si>
  <si>
    <t xml:space="preserve">08534</t>
  </si>
  <si>
    <t xml:space="preserve">BABY MILKY LOTION 200ML (OLD)</t>
  </si>
  <si>
    <t xml:space="preserve">08534K</t>
  </si>
  <si>
    <t xml:space="preserve">BABY MILKY LOTION 200ML</t>
  </si>
  <si>
    <t xml:space="preserve">08534KS</t>
  </si>
  <si>
    <t xml:space="preserve">BABY MILKY LOTION 8ML</t>
  </si>
  <si>
    <t xml:space="preserve">08535</t>
  </si>
  <si>
    <t xml:space="preserve">BABY MILKY LOTION 100ML</t>
  </si>
  <si>
    <t xml:space="preserve">08536</t>
  </si>
  <si>
    <t xml:space="preserve">BABY OIL 200ML (OLD)</t>
  </si>
  <si>
    <t xml:space="preserve">08536K</t>
  </si>
  <si>
    <t xml:space="preserve">BABY OIL 200ML</t>
  </si>
  <si>
    <t xml:space="preserve">08537</t>
  </si>
  <si>
    <t xml:space="preserve">BABY OIL 100ML</t>
  </si>
  <si>
    <t xml:space="preserve">08538</t>
  </si>
  <si>
    <t xml:space="preserve">BABY CREAM 50G</t>
  </si>
  <si>
    <t xml:space="preserve">08541</t>
  </si>
  <si>
    <t xml:space="preserve">DIAPER RASH CREAM 50 GM</t>
  </si>
  <si>
    <t xml:space="preserve">08542</t>
  </si>
  <si>
    <t xml:space="preserve">LIQUID TALC 100ML</t>
  </si>
  <si>
    <t xml:space="preserve">08543</t>
  </si>
  <si>
    <t xml:space="preserve">SUN PROTECTION CREAM</t>
  </si>
  <si>
    <t xml:space="preserve">08625</t>
  </si>
  <si>
    <t xml:space="preserve">BABY SHAMPOO 700ML JOJOBA &amp; CHAMOMILE (08525)</t>
  </si>
  <si>
    <t xml:space="preserve">08626</t>
  </si>
  <si>
    <t xml:space="preserve">BABY WASH 700ML</t>
  </si>
  <si>
    <t xml:space="preserve">08627</t>
  </si>
  <si>
    <t xml:space="preserve">BABY WASH 600ML REFILL</t>
  </si>
  <si>
    <t xml:space="preserve">08630</t>
  </si>
  <si>
    <t xml:space="preserve">TOILETRIES SET TRIAL PACK</t>
  </si>
  <si>
    <t xml:space="preserve">08670</t>
  </si>
  <si>
    <t xml:space="preserve">GIFT BOX 4 PCS</t>
  </si>
  <si>
    <t xml:space="preserve">08671IN</t>
  </si>
  <si>
    <t xml:space="preserve">BABY FOAM SOAP FLORAL 500 ML 08671IN</t>
  </si>
  <si>
    <t xml:space="preserve">08672IN</t>
  </si>
  <si>
    <t xml:space="preserve">BABY FOAM SHAMPOO FLORAL 350 ML 08672IN</t>
  </si>
  <si>
    <t xml:space="preserve">08673IN</t>
  </si>
  <si>
    <t xml:space="preserve">BABY MILK LOTION 120 ML 08673IN</t>
  </si>
  <si>
    <t xml:space="preserve">08674IN</t>
  </si>
  <si>
    <t xml:space="preserve">BABY MILK LOTION 300 ML 08674IN</t>
  </si>
  <si>
    <t xml:space="preserve">08675IN</t>
  </si>
  <si>
    <t xml:space="preserve">BABY MILK LOTION FLORAL 120 ML 08675IN</t>
  </si>
  <si>
    <t xml:space="preserve">08676</t>
  </si>
  <si>
    <t xml:space="preserve">GIFT BOX 6 PCS</t>
  </si>
  <si>
    <t xml:space="preserve">08679</t>
  </si>
  <si>
    <t xml:space="preserve">BABY MILKY SOAP 75GM</t>
  </si>
  <si>
    <t xml:space="preserve">08680</t>
  </si>
  <si>
    <t xml:space="preserve">BABY TRANSPARENT SOAP 75G</t>
  </si>
  <si>
    <t xml:space="preserve">08696</t>
  </si>
  <si>
    <t xml:space="preserve">PIGEON BABY SHAMPOO 500ML 08696</t>
  </si>
  <si>
    <t xml:space="preserve">08697</t>
  </si>
  <si>
    <t xml:space="preserve">PIGEON BABY WASH 500ML 08697</t>
  </si>
  <si>
    <t xml:space="preserve">09181FS</t>
  </si>
  <si>
    <t xml:space="preserve">DIAPER 1 PC FREE SAMPLE</t>
  </si>
  <si>
    <t xml:space="preserve">Baby Elimination Care</t>
  </si>
  <si>
    <t xml:space="preserve">09181IN</t>
  </si>
  <si>
    <t xml:space="preserve">BABY DIAPER S SIZE 46PCS PIN</t>
  </si>
  <si>
    <t xml:space="preserve">09182IN</t>
  </si>
  <si>
    <t xml:space="preserve">DIAPER M SIZE 40PCS PIN</t>
  </si>
  <si>
    <t xml:space="preserve">09183IN</t>
  </si>
  <si>
    <t xml:space="preserve">BABY DIAPER L SIZE 34PCS PIN</t>
  </si>
  <si>
    <t xml:space="preserve">09184IN</t>
  </si>
  <si>
    <t xml:space="preserve">BABY DIAPER XL SIZE 30PCS PIN</t>
  </si>
  <si>
    <t xml:space="preserve">09408</t>
  </si>
  <si>
    <t xml:space="preserve">DIAPER LINER, 100 SHEETS/BOX</t>
  </si>
  <si>
    <t xml:space="preserve">09434</t>
  </si>
  <si>
    <t xml:space="preserve">DIAPER LINER 220 SHEETS</t>
  </si>
  <si>
    <t xml:space="preserve">10260</t>
  </si>
  <si>
    <t xml:space="preserve">POWDER CASE W/PUFF, U-TYPE (PINK)</t>
  </si>
  <si>
    <t xml:space="preserve">10261</t>
  </si>
  <si>
    <t xml:space="preserve">POWDER CASE W/PUFF Y</t>
  </si>
  <si>
    <t xml:space="preserve">10307</t>
  </si>
  <si>
    <t xml:space="preserve">MEDICINE FEEDER SYRINGE TYPE</t>
  </si>
  <si>
    <t xml:space="preserve">Baby Health Care</t>
  </si>
  <si>
    <t xml:space="preserve">10319</t>
  </si>
  <si>
    <t xml:space="preserve">10559</t>
  </si>
  <si>
    <t xml:space="preserve">NOSE CLEANER BLISTER PACK</t>
  </si>
  <si>
    <t xml:space="preserve">10568</t>
  </si>
  <si>
    <t xml:space="preserve">WET TISSUE 10 SHEETS / PACK</t>
  </si>
  <si>
    <t xml:space="preserve">Baby Wet Tissue</t>
  </si>
  <si>
    <t xml:space="preserve">10578</t>
  </si>
  <si>
    <t xml:space="preserve">COMB &amp; BRUSH</t>
  </si>
  <si>
    <t xml:space="preserve">10800</t>
  </si>
  <si>
    <t xml:space="preserve">DIGITAL THERMOMETER</t>
  </si>
  <si>
    <t xml:space="preserve">10802</t>
  </si>
  <si>
    <t xml:space="preserve">INFANT NAIL SCISSORS</t>
  </si>
  <si>
    <t xml:space="preserve">10811</t>
  </si>
  <si>
    <t xml:space="preserve">NATURAL SPONGE, S SIZE</t>
  </si>
  <si>
    <t xml:space="preserve">10827</t>
  </si>
  <si>
    <t xml:space="preserve">ANIMAL FASHION PIN, 6PCS/CARD</t>
  </si>
  <si>
    <t xml:space="preserve">10828</t>
  </si>
  <si>
    <t xml:space="preserve">BABY MOISTURIZING WIPES 70S, FLIP TOP</t>
  </si>
  <si>
    <t xml:space="preserve">Baby Wipes</t>
  </si>
  <si>
    <t xml:space="preserve">10854</t>
  </si>
  <si>
    <t xml:space="preserve">C-SWABS PLA 100PCS PACK</t>
  </si>
  <si>
    <t xml:space="preserve">10868</t>
  </si>
  <si>
    <t xml:space="preserve">ANTIBACTERIAL WET TISSUE 60SREFILL</t>
  </si>
  <si>
    <t xml:space="preserve">10871</t>
  </si>
  <si>
    <t xml:space="preserve">COTTON SWABS THIN STEM, 200PCS/HINGED CASE</t>
  </si>
  <si>
    <t xml:space="preserve">10881</t>
  </si>
  <si>
    <t xml:space="preserve">SAFETY PIN (L) 6PCS/CARD</t>
  </si>
  <si>
    <t xml:space="preserve">10882</t>
  </si>
  <si>
    <t xml:space="preserve">SAFETY PIN (S) 9PCS/CARD</t>
  </si>
  <si>
    <t xml:space="preserve">10883</t>
  </si>
  <si>
    <t xml:space="preserve">COTTON SWABS THIN STEM, 100PCS/PLASTIC PACK</t>
  </si>
  <si>
    <t xml:space="preserve">10884</t>
  </si>
  <si>
    <t xml:space="preserve">COTTON SWABS 100PCS/PLASTIC PACK</t>
  </si>
  <si>
    <t xml:space="preserve">10894</t>
  </si>
  <si>
    <t xml:space="preserve">COTTON BALLS, 100PCS/PACK</t>
  </si>
  <si>
    <t xml:space="preserve">11721</t>
  </si>
  <si>
    <t xml:space="preserve">BABY WIPES &amp; DIAPER OFFER PACK</t>
  </si>
  <si>
    <t xml:space="preserve">Promotional Item for Baby</t>
  </si>
  <si>
    <t xml:space="preserve">11722E</t>
  </si>
  <si>
    <t xml:space="preserve">WIPES CHAM 80S</t>
  </si>
  <si>
    <t xml:space="preserve">11723</t>
  </si>
  <si>
    <t xml:space="preserve">ANTI MOSQUITO TISSUE 12'SHEETS</t>
  </si>
  <si>
    <t xml:space="preserve">11746</t>
  </si>
  <si>
    <t xml:space="preserve">NAPPY CHANGING SHEET (PLAIN)</t>
  </si>
  <si>
    <t xml:space="preserve">11747</t>
  </si>
  <si>
    <t xml:space="preserve">NAPPY CHANGING SHEET (WITH GRAPHICS)</t>
  </si>
  <si>
    <t xml:space="preserve">11752</t>
  </si>
  <si>
    <t xml:space="preserve">WIPES CHAM 10S 5IN1</t>
  </si>
  <si>
    <t xml:space="preserve">11752 (OLD)</t>
  </si>
  <si>
    <t xml:space="preserve">BABY WIPES CHAMOMILE 10 SHEETS, 5 IN 1 (OLD)</t>
  </si>
  <si>
    <t xml:space="preserve">11753</t>
  </si>
  <si>
    <t xml:space="preserve">BABY WIPES CHAMOMILE 20 SHEETS</t>
  </si>
  <si>
    <t xml:space="preserve">11765</t>
  </si>
  <si>
    <t xml:space="preserve">BABY WIPES 3 SHEETS</t>
  </si>
  <si>
    <t xml:space="preserve">11781</t>
  </si>
  <si>
    <t xml:space="preserve">TRAINING TOOTHBRUSH LESSION 123 SET</t>
  </si>
  <si>
    <t xml:space="preserve">11782</t>
  </si>
  <si>
    <t xml:space="preserve">TRAINING TOOTHBRUSH L-1 (LIGHT PINK)</t>
  </si>
  <si>
    <t xml:space="preserve">11783</t>
  </si>
  <si>
    <t xml:space="preserve">TRAINING TOOTHBRUSH L-1 (LIGHT BLUE)</t>
  </si>
  <si>
    <t xml:space="preserve">11784</t>
  </si>
  <si>
    <t xml:space="preserve">TRAINING TOOTHBRUSH L-2 (PINK)</t>
  </si>
  <si>
    <t xml:space="preserve">11785</t>
  </si>
  <si>
    <t xml:space="preserve">TOOTHBRUSH L2 B GP BLUE</t>
  </si>
  <si>
    <t xml:space="preserve">11786</t>
  </si>
  <si>
    <t xml:space="preserve">TRAINING TOOTHBRUSH L-3 (PINK)</t>
  </si>
  <si>
    <t xml:space="preserve">11787</t>
  </si>
  <si>
    <t xml:space="preserve">TRAINING TOOTHBRUSH L-3 (BLUE)</t>
  </si>
  <si>
    <t xml:space="preserve">11788</t>
  </si>
  <si>
    <t xml:space="preserve">TRAINING TOOTHBRUSH L-3 (LIME GREEN)</t>
  </si>
  <si>
    <t xml:space="preserve">11802</t>
  </si>
  <si>
    <t xml:space="preserve">HAND AND MOUTH WIPES 20S, 2 IN 1</t>
  </si>
  <si>
    <t xml:space="preserve">11803</t>
  </si>
  <si>
    <t xml:space="preserve">11804</t>
  </si>
  <si>
    <t xml:space="preserve">H&amp;M WIPES 60S 2 IN 1</t>
  </si>
  <si>
    <t xml:space="preserve">11805</t>
  </si>
  <si>
    <t xml:space="preserve">PIGEON TRAINING TOOTHBRUSH (YELLOW)</t>
  </si>
  <si>
    <t xml:space="preserve">Baby Hygiene Products</t>
  </si>
  <si>
    <t xml:space="preserve">11806</t>
  </si>
  <si>
    <t xml:space="preserve">PIGEON TRAINING TOOTHBRUSH (PINK)</t>
  </si>
  <si>
    <t xml:space="preserve">11807</t>
  </si>
  <si>
    <t xml:space="preserve">PIGEON TRAINING TOOTHBRUSH (BLUE)</t>
  </si>
  <si>
    <t xml:space="preserve">12816</t>
  </si>
  <si>
    <t xml:space="preserve">BABY LAUNDRY DETERGENT POWDER 1KG</t>
  </si>
  <si>
    <t xml:space="preserve">12818</t>
  </si>
  <si>
    <t xml:space="preserve">MULTIFUNCTIONAL LAUNDRY SOFTENER, SUNSHINE 1.2L</t>
  </si>
  <si>
    <t xml:space="preserve">12819</t>
  </si>
  <si>
    <t xml:space="preserve">LIQUID CLEANSER COMBO</t>
  </si>
  <si>
    <t xml:space="preserve">Cleansing &amp; Sterilizing</t>
  </si>
  <si>
    <t xml:space="preserve">12820</t>
  </si>
  <si>
    <t xml:space="preserve">LIQUID CLEANSER, 700 ML, FOAM TYPE</t>
  </si>
  <si>
    <t xml:space="preserve">12830</t>
  </si>
  <si>
    <t xml:space="preserve">LIQUID CLEANSER 200 ML</t>
  </si>
  <si>
    <t xml:space="preserve">12958</t>
  </si>
  <si>
    <t xml:space="preserve">LIQUID CLEANSER FOR NURSING PRODUCTS, 200ML</t>
  </si>
  <si>
    <t xml:space="preserve">12959</t>
  </si>
  <si>
    <t xml:space="preserve">LIQUID CLEANSER FOR NURSING PRODUCTS, 450ML</t>
  </si>
  <si>
    <t xml:space="preserve">12960</t>
  </si>
  <si>
    <t xml:space="preserve">LQ CLEANSER 700</t>
  </si>
  <si>
    <t xml:space="preserve">12965</t>
  </si>
  <si>
    <t xml:space="preserve">LQ CLEANSER 200.</t>
  </si>
  <si>
    <t xml:space="preserve">12965 (OLD)</t>
  </si>
  <si>
    <t xml:space="preserve">12969</t>
  </si>
  <si>
    <t xml:space="preserve">LQ CLEANSER RF 700</t>
  </si>
  <si>
    <t xml:space="preserve">12993</t>
  </si>
  <si>
    <t xml:space="preserve">LANDRY DETERGENT POWDER 1 KG</t>
  </si>
  <si>
    <t xml:space="preserve">12994</t>
  </si>
  <si>
    <t xml:space="preserve">LQ DETERGENT 600ML PMFG</t>
  </si>
  <si>
    <t xml:space="preserve">12995</t>
  </si>
  <si>
    <t xml:space="preserve">LQ DTERGENT RF 500ML PMFG</t>
  </si>
  <si>
    <t xml:space="preserve">13612</t>
  </si>
  <si>
    <t xml:space="preserve">COOLLING THEETHER ( CARROT )</t>
  </si>
  <si>
    <t xml:space="preserve">Pacifier&amp;Toy</t>
  </si>
  <si>
    <t xml:space="preserve">13613</t>
  </si>
  <si>
    <t xml:space="preserve">COOLLING THEETHER ( STRAWBERRY )</t>
  </si>
  <si>
    <t xml:space="preserve">13614</t>
  </si>
  <si>
    <t xml:space="preserve">COOLLING THEETHER ( APPLE )</t>
  </si>
  <si>
    <t xml:space="preserve">13620</t>
  </si>
  <si>
    <t xml:space="preserve">COOLING TEETHER, CIRCLE</t>
  </si>
  <si>
    <t xml:space="preserve">13621</t>
  </si>
  <si>
    <t xml:space="preserve">COOLING TEETHER, SQUARE</t>
  </si>
  <si>
    <t xml:space="preserve">13622</t>
  </si>
  <si>
    <t xml:space="preserve">COOLING TEETHER, TRIANGLE</t>
  </si>
  <si>
    <t xml:space="preserve">13623</t>
  </si>
  <si>
    <t xml:space="preserve">COOLING TEETHER, PIANO</t>
  </si>
  <si>
    <t xml:space="preserve">13624</t>
  </si>
  <si>
    <t xml:space="preserve">COOLING TEETHER, GUITAR</t>
  </si>
  <si>
    <t xml:space="preserve">13625</t>
  </si>
  <si>
    <t xml:space="preserve">COOLING TEETHER, TRUMPET</t>
  </si>
  <si>
    <t xml:space="preserve">13626</t>
  </si>
  <si>
    <t xml:space="preserve">COOLING TEETHER, STAR</t>
  </si>
  <si>
    <t xml:space="preserve">13627</t>
  </si>
  <si>
    <t xml:space="preserve">COOLING TEETHER, DUCK</t>
  </si>
  <si>
    <t xml:space="preserve">13628</t>
  </si>
  <si>
    <t xml:space="preserve">COOLING TEETHER, FLOWER</t>
  </si>
  <si>
    <t xml:space="preserve">13648</t>
  </si>
  <si>
    <t xml:space="preserve">TEETHER FRUIT,STRAWBERRY &amp; LEMON/GRAPE &amp;ORANGE</t>
  </si>
  <si>
    <t xml:space="preserve">13664</t>
  </si>
  <si>
    <t xml:space="preserve">RATTLE TEETHER, NIGHT AND DAY</t>
  </si>
  <si>
    <t xml:space="preserve">13666</t>
  </si>
  <si>
    <t xml:space="preserve">TRAINING TEETHER STEP 1</t>
  </si>
  <si>
    <t xml:space="preserve">13667</t>
  </si>
  <si>
    <t xml:space="preserve">TRAINING TEETHER STEP 2</t>
  </si>
  <si>
    <t xml:space="preserve">13676</t>
  </si>
  <si>
    <t xml:space="preserve">PACIFIER STEP 1 STRAW</t>
  </si>
  <si>
    <t xml:space="preserve">13677</t>
  </si>
  <si>
    <t xml:space="preserve">SILICONE PACIFIER STEP 2, GRAPES</t>
  </si>
  <si>
    <t xml:space="preserve">13678</t>
  </si>
  <si>
    <t xml:space="preserve">SILICONE PACIFIER STEP 3, CHERRY</t>
  </si>
  <si>
    <t xml:space="preserve">13679</t>
  </si>
  <si>
    <t xml:space="preserve">SILICONE PACIFIER STEP 1, CAR</t>
  </si>
  <si>
    <t xml:space="preserve">13680</t>
  </si>
  <si>
    <t xml:space="preserve">SILICONE PACIFIER STEP 2, AIROPLANE</t>
  </si>
  <si>
    <t xml:space="preserve">13681</t>
  </si>
  <si>
    <t xml:space="preserve">SILICONE PACIFIER STEP 3, SHIP</t>
  </si>
  <si>
    <t xml:space="preserve">13682</t>
  </si>
  <si>
    <t xml:space="preserve">PACIFIER STEP 1 LADY BIRD</t>
  </si>
  <si>
    <t xml:space="preserve">13683</t>
  </si>
  <si>
    <t xml:space="preserve">SILICONE PACIFIER STEP 2, CATERPILLAR</t>
  </si>
  <si>
    <t xml:space="preserve">13684</t>
  </si>
  <si>
    <t xml:space="preserve">PACIFIER STEP 3 BUTTERFLY</t>
  </si>
  <si>
    <t xml:space="preserve">13685</t>
  </si>
  <si>
    <t xml:space="preserve">SILICONE PACIFIER STEP 1, RED ROSE</t>
  </si>
  <si>
    <t xml:space="preserve">13686</t>
  </si>
  <si>
    <t xml:space="preserve">SILICONE PACIFIER STEP 2, PURPLE FLOWER</t>
  </si>
  <si>
    <t xml:space="preserve">13687</t>
  </si>
  <si>
    <t xml:space="preserve">SILICONE PACIFIER STEP 3, TULIP</t>
  </si>
  <si>
    <t xml:space="preserve">13688</t>
  </si>
  <si>
    <t xml:space="preserve">SILICONE PACIFIER STEP 1, LION</t>
  </si>
  <si>
    <t xml:space="preserve">13689</t>
  </si>
  <si>
    <t xml:space="preserve">SILICONE PACIFIER STEP 2, ELEPHANT</t>
  </si>
  <si>
    <t xml:space="preserve">13690</t>
  </si>
  <si>
    <t xml:space="preserve">SILICONE PACIFIER STEP 3, GIRAFFE</t>
  </si>
  <si>
    <t xml:space="preserve">13691</t>
  </si>
  <si>
    <t xml:space="preserve">SILICONE PACIFIER STEP 1, MOUSE</t>
  </si>
  <si>
    <t xml:space="preserve">13692</t>
  </si>
  <si>
    <t xml:space="preserve">SILICONE PACIFIER STEP 2, CAT</t>
  </si>
  <si>
    <t xml:space="preserve">13693</t>
  </si>
  <si>
    <t xml:space="preserve">PACIFIER STEP 3 DOG</t>
  </si>
  <si>
    <t xml:space="preserve">13861</t>
  </si>
  <si>
    <t xml:space="preserve">SLILICONE PACIFIER STEP 3, SHIP</t>
  </si>
  <si>
    <t xml:space="preserve">13886</t>
  </si>
  <si>
    <t xml:space="preserve">SILICONE PACIFIER STEP 1 LION</t>
  </si>
  <si>
    <t xml:space="preserve">13887</t>
  </si>
  <si>
    <t xml:space="preserve">SILICONE PACIFIER STEP 1 RABBIT</t>
  </si>
  <si>
    <t xml:space="preserve">13895</t>
  </si>
  <si>
    <t xml:space="preserve">COOLING TEETHER, CIRCLE.</t>
  </si>
  <si>
    <t xml:space="preserve">13896</t>
  </si>
  <si>
    <t xml:space="preserve">COOLING TEETHER, SQUARE.</t>
  </si>
  <si>
    <t xml:space="preserve">13897</t>
  </si>
  <si>
    <t xml:space="preserve">COOLING TEETHER, TRIANGLE.</t>
  </si>
  <si>
    <t xml:space="preserve">13898</t>
  </si>
  <si>
    <t xml:space="preserve">COOLING TEETHER, STAR.</t>
  </si>
  <si>
    <t xml:space="preserve">13899</t>
  </si>
  <si>
    <t xml:space="preserve">COOLING TEETHER, DUCK.</t>
  </si>
  <si>
    <t xml:space="preserve">13905</t>
  </si>
  <si>
    <t xml:space="preserve">COOLING TEETHER, FLOWER.</t>
  </si>
  <si>
    <t xml:space="preserve">13909</t>
  </si>
  <si>
    <t xml:space="preserve">COOLING TEETHER, PIANO.</t>
  </si>
  <si>
    <t xml:space="preserve">13910</t>
  </si>
  <si>
    <t xml:space="preserve">COOLING TEETHER, GUITAR.</t>
  </si>
  <si>
    <t xml:space="preserve">13911</t>
  </si>
  <si>
    <t xml:space="preserve">COOLING TEETHER, TRUMPET.</t>
  </si>
  <si>
    <t xml:space="preserve">13912</t>
  </si>
  <si>
    <t xml:space="preserve">TRAINING TEETHER STEP1</t>
  </si>
  <si>
    <t xml:space="preserve">13913</t>
  </si>
  <si>
    <t xml:space="preserve">TRAINING TEETHER STEP2</t>
  </si>
  <si>
    <t xml:space="preserve">15112</t>
  </si>
  <si>
    <t xml:space="preserve">BATH SPONGE</t>
  </si>
  <si>
    <t xml:space="preserve">15121</t>
  </si>
  <si>
    <t xml:space="preserve">BABY TWEEZERS</t>
  </si>
  <si>
    <t xml:space="preserve">15124</t>
  </si>
  <si>
    <t xml:space="preserve">BABY NAIL CLIPPERS</t>
  </si>
  <si>
    <t xml:space="preserve">15731</t>
  </si>
  <si>
    <t xml:space="preserve">MAG MAG NIPPLE CUP</t>
  </si>
  <si>
    <t xml:space="preserve">15732</t>
  </si>
  <si>
    <t xml:space="preserve">MAG MAG SPOUT CUP</t>
  </si>
  <si>
    <t xml:space="preserve">15733</t>
  </si>
  <si>
    <t xml:space="preserve">MAG MAG STRAW CUP (ORANGE)</t>
  </si>
  <si>
    <t xml:space="preserve">15734</t>
  </si>
  <si>
    <t xml:space="preserve">MAG MAG STRAW CUP (PINK)</t>
  </si>
  <si>
    <t xml:space="preserve">15735</t>
  </si>
  <si>
    <t xml:space="preserve">MAG MAG STRAW CUP (SKY BLUE)</t>
  </si>
  <si>
    <t xml:space="preserve">15809</t>
  </si>
  <si>
    <t xml:space="preserve">COOL SHEETS 4 SHEETS</t>
  </si>
  <si>
    <t xml:space="preserve">15860</t>
  </si>
  <si>
    <t xml:space="preserve">BABY WIPES, CHAM &amp; ROSE 30S</t>
  </si>
  <si>
    <t xml:space="preserve">15862</t>
  </si>
  <si>
    <t xml:space="preserve">BABY WIPES, CHAM &amp; ROSE 82S, REFILL</t>
  </si>
  <si>
    <t xml:space="preserve">15864</t>
  </si>
  <si>
    <t xml:space="preserve">WIPES CHAM&amp;ROSE 70S FLIP</t>
  </si>
  <si>
    <t xml:space="preserve">15865</t>
  </si>
  <si>
    <t xml:space="preserve">BABY WIPES, CHAM &amp; ROSE 82S, 6IN1 BAG</t>
  </si>
  <si>
    <t xml:space="preserve">15867</t>
  </si>
  <si>
    <t xml:space="preserve">BABY WIPES, CHAM &amp; ROSE 82S, BOX</t>
  </si>
  <si>
    <t xml:space="preserve">16583</t>
  </si>
  <si>
    <t xml:space="preserve">BREAST PADS HONEYCOMB 12 PCS BOX</t>
  </si>
  <si>
    <t xml:space="preserve">Breast Pads</t>
  </si>
  <si>
    <t xml:space="preserve">16584</t>
  </si>
  <si>
    <t xml:space="preserve">BREAST PADS HONEYCOMB 60 PCS</t>
  </si>
  <si>
    <t xml:space="preserve">16597</t>
  </si>
  <si>
    <t xml:space="preserve">BREAST PADS HONEYCOMB 2PCS PACK</t>
  </si>
  <si>
    <t xml:space="preserve">16599IN</t>
  </si>
  <si>
    <t xml:space="preserve">BREASTPADS HON 36PCS PLA</t>
  </si>
  <si>
    <t xml:space="preserve">16601</t>
  </si>
  <si>
    <t xml:space="preserve">BREAST CARE GEL</t>
  </si>
  <si>
    <t xml:space="preserve">16602</t>
  </si>
  <si>
    <t xml:space="preserve">STRETCH MARK CREAM 100G</t>
  </si>
  <si>
    <t xml:space="preserve">Maternity Skincare</t>
  </si>
  <si>
    <t xml:space="preserve">16611</t>
  </si>
  <si>
    <t xml:space="preserve">BREASTMILK STORAGE BOTTLE, 3 PCS/SET</t>
  </si>
  <si>
    <t xml:space="preserve">16615</t>
  </si>
  <si>
    <t xml:space="preserve">BREAST PAD FIT-TYPE 36 PCS</t>
  </si>
  <si>
    <t xml:space="preserve">16615V</t>
  </si>
  <si>
    <t xml:space="preserve">BREAST PAD SUPER FIT(36 + 6 PCS)</t>
  </si>
  <si>
    <t xml:space="preserve">16616</t>
  </si>
  <si>
    <t xml:space="preserve">BREAST PAD FIT-TYPE 24 PCS</t>
  </si>
  <si>
    <t xml:space="preserve">16617</t>
  </si>
  <si>
    <t xml:space="preserve">BREAST PAD FIT-TYPE 12 PCS</t>
  </si>
  <si>
    <t xml:space="preserve">16619</t>
  </si>
  <si>
    <t xml:space="preserve">BREAST PADS FIT-TYPE BULK 1200 PCS/BOX (Q619)</t>
  </si>
  <si>
    <t xml:space="preserve">16651</t>
  </si>
  <si>
    <t xml:space="preserve">BREASTMILK CONTAINER WN PP BOTTLES 160ML 4PCS/SET</t>
  </si>
  <si>
    <t xml:space="preserve">16654</t>
  </si>
  <si>
    <t xml:space="preserve">BREASTMILK STORAGE BAGS</t>
  </si>
  <si>
    <t xml:space="preserve">16661</t>
  </si>
  <si>
    <t xml:space="preserve">NIPPLE PULLER WITH CASE</t>
  </si>
  <si>
    <t xml:space="preserve">16671</t>
  </si>
  <si>
    <t xml:space="preserve">PORTABLE BREAST PUMP (OLD CODE)</t>
  </si>
  <si>
    <t xml:space="preserve">16671I</t>
  </si>
  <si>
    <t xml:space="preserve">PORTABLE BREAST PUMP (OLD)</t>
  </si>
  <si>
    <t xml:space="preserve">16671IN</t>
  </si>
  <si>
    <t xml:space="preserve">PORTABLE ELECTRIC BREAST PUMP.</t>
  </si>
  <si>
    <t xml:space="preserve">16682C</t>
  </si>
  <si>
    <t xml:space="preserve">SILENT ELECTRIC BREAST PUMP, C TYPE</t>
  </si>
  <si>
    <t xml:space="preserve">16682IN</t>
  </si>
  <si>
    <t xml:space="preserve">SILENT ELECTRIC BREAST PUMP.</t>
  </si>
  <si>
    <t xml:space="preserve">16683</t>
  </si>
  <si>
    <t xml:space="preserve">NIPPLE CARE CREAM (OLD )</t>
  </si>
  <si>
    <t xml:space="preserve">16691</t>
  </si>
  <si>
    <t xml:space="preserve">BREAST CARE PUMP (ENGLISH VERSION)</t>
  </si>
  <si>
    <t xml:space="preserve">16694</t>
  </si>
  <si>
    <t xml:space="preserve">MANUAL BREAST PUMP (OLD CODE)</t>
  </si>
  <si>
    <t xml:space="preserve">16694I</t>
  </si>
  <si>
    <t xml:space="preserve">MANUAL BREAST PUMP(OLD)</t>
  </si>
  <si>
    <t xml:space="preserve">16694IN</t>
  </si>
  <si>
    <t xml:space="preserve">MANUAL BREAST PUMP-WITH PP150ML PRINTED BIS LOGO</t>
  </si>
  <si>
    <t xml:space="preserve">16694S</t>
  </si>
  <si>
    <t xml:space="preserve">MANUAL BREAST PUMP WITH PP200ML-STANDARD</t>
  </si>
  <si>
    <t xml:space="preserve">16751</t>
  </si>
  <si>
    <t xml:space="preserve">BREASTCARE PUMP WITH GLASS SHIELD</t>
  </si>
  <si>
    <t xml:space="preserve">16755</t>
  </si>
  <si>
    <t xml:space="preserve">BREAST SHIELD FOR YELLOW PUMP</t>
  </si>
  <si>
    <t xml:space="preserve">16777</t>
  </si>
  <si>
    <t xml:space="preserve">MILK VALVE-1 PC FOR ELECTRIC BREAST PUMP</t>
  </si>
  <si>
    <t xml:space="preserve">16778</t>
  </si>
  <si>
    <t xml:space="preserve">MILK VALVE-2 PC FOR ELECTRIC BREAST PUMP</t>
  </si>
  <si>
    <t xml:space="preserve">16779</t>
  </si>
  <si>
    <t xml:space="preserve">INNER CUP 1PC FOR BREAST PUMP</t>
  </si>
  <si>
    <t xml:space="preserve">16780</t>
  </si>
  <si>
    <t xml:space="preserve">DIAPHRAGM 1PC FOR BREAST PUMP</t>
  </si>
  <si>
    <t xml:space="preserve">16788</t>
  </si>
  <si>
    <t xml:space="preserve">BREAST PADS 6PCS</t>
  </si>
  <si>
    <t xml:space="preserve">16805</t>
  </si>
  <si>
    <t xml:space="preserve">BREAST PUMP, GLASS MADE</t>
  </si>
  <si>
    <t xml:space="preserve">16808</t>
  </si>
  <si>
    <t xml:space="preserve">NIPPLE PULLER</t>
  </si>
  <si>
    <t xml:space="preserve">16811</t>
  </si>
  <si>
    <t xml:space="preserve">NIPPLE SHIELD N TYPE</t>
  </si>
  <si>
    <t xml:space="preserve">16849</t>
  </si>
  <si>
    <t xml:space="preserve">BATTERY OPERATED BREAST PUMP SET</t>
  </si>
  <si>
    <t xml:space="preserve">16853</t>
  </si>
  <si>
    <t xml:space="preserve">NIPPLE SHIELD L 1PC</t>
  </si>
  <si>
    <t xml:space="preserve">16883</t>
  </si>
  <si>
    <t xml:space="preserve">NIPPLE CARE CREAM (OLD CODE)</t>
  </si>
  <si>
    <t xml:space="preserve">16896S</t>
  </si>
  <si>
    <t xml:space="preserve">NATURAL-FIT-SILICONE NIPPLE SHELD L (13MM)</t>
  </si>
  <si>
    <t xml:space="preserve">17324</t>
  </si>
  <si>
    <t xml:space="preserve">RP 240 Y S-TYPE L DINO</t>
  </si>
  <si>
    <t xml:space="preserve">17325</t>
  </si>
  <si>
    <t xml:space="preserve">NURSING BOTTLE RP 120 ML W S-TYPE (S) DINO</t>
  </si>
  <si>
    <t xml:space="preserve">17326</t>
  </si>
  <si>
    <t xml:space="preserve">NURSING BOTTLE RP 240 ML W S-TYPE (L) ZOO</t>
  </si>
  <si>
    <t xml:space="preserve">17327</t>
  </si>
  <si>
    <t xml:space="preserve">NURSING BOTTLE RP 120 ML W S-TYPE (S) ZOO</t>
  </si>
  <si>
    <t xml:space="preserve">17328</t>
  </si>
  <si>
    <t xml:space="preserve">NURSING BOTTLE RP 240 ML W S-TYPE (L) MUSIC</t>
  </si>
  <si>
    <t xml:space="preserve">17329</t>
  </si>
  <si>
    <t xml:space="preserve">NURSING BOTTLE RP 120 ML W S-TYPE (S) MUSIC</t>
  </si>
  <si>
    <t xml:space="preserve">17330</t>
  </si>
  <si>
    <t xml:space="preserve">NURSING BOTTLE RPP 240 ML W S-TYPE (M) CORO PINK</t>
  </si>
  <si>
    <t xml:space="preserve">17331</t>
  </si>
  <si>
    <t xml:space="preserve">NURSING BOTTLE RPP 120 ML W S-TYPE (S) CORO PINK</t>
  </si>
  <si>
    <t xml:space="preserve">17332</t>
  </si>
  <si>
    <t xml:space="preserve">NURSING BOTTLE RPP 240 ML W S-TYPE (M) CORO BLUE</t>
  </si>
  <si>
    <t xml:space="preserve">17333</t>
  </si>
  <si>
    <t xml:space="preserve">NURSING BOTTLE RPP 120 ML W S-TYPE (S) CORO BLUE</t>
  </si>
  <si>
    <t xml:space="preserve">17334</t>
  </si>
  <si>
    <t xml:space="preserve">NURSING BOTTLE RPP 240 ML W S-TYPE (M) DINO</t>
  </si>
  <si>
    <t xml:space="preserve">17335</t>
  </si>
  <si>
    <t xml:space="preserve">NURSING BOTTLE RPP 120 ML W S-TYPE (S) DINO</t>
  </si>
  <si>
    <t xml:space="preserve">17336</t>
  </si>
  <si>
    <t xml:space="preserve">NURSING BOTTLE RPP 240 ML W S-TYPE (M) ZOO</t>
  </si>
  <si>
    <t xml:space="preserve">17337</t>
  </si>
  <si>
    <t xml:space="preserve">NURSING BOTTLE RPP 120 ML W S-TYPE (S) ZOO</t>
  </si>
  <si>
    <t xml:space="preserve">17363</t>
  </si>
  <si>
    <t xml:space="preserve">DIAPER CONVENIENCE S SIZE 32PCS</t>
  </si>
  <si>
    <t xml:space="preserve">17364</t>
  </si>
  <si>
    <t xml:space="preserve">DIAPER CONVENIENCE M SIZE 28PCS (OLD)</t>
  </si>
  <si>
    <t xml:space="preserve">17365</t>
  </si>
  <si>
    <t xml:space="preserve">DIAPER CONVENIENCE L SIZE 24PCS (OLD)</t>
  </si>
  <si>
    <t xml:space="preserve">17366</t>
  </si>
  <si>
    <t xml:space="preserve">DIAPER CONVENIENCE XL SIZE 20PCS (OLD)</t>
  </si>
  <si>
    <t xml:space="preserve">17367</t>
  </si>
  <si>
    <t xml:space="preserve">DIAPER MINI S SIZE 16PCS</t>
  </si>
  <si>
    <t xml:space="preserve">17368</t>
  </si>
  <si>
    <t xml:space="preserve">DIAPER MINI M SIZE 14PCS</t>
  </si>
  <si>
    <t xml:space="preserve">17369</t>
  </si>
  <si>
    <t xml:space="preserve">DIAPER MINI L SIZE 12PCS</t>
  </si>
  <si>
    <t xml:space="preserve">17370</t>
  </si>
  <si>
    <t xml:space="preserve">DIAPER MINI XL SIZE 10PCS</t>
  </si>
  <si>
    <t xml:space="preserve">17371</t>
  </si>
  <si>
    <t xml:space="preserve">BABY DIAPER 57 SS SIZE</t>
  </si>
  <si>
    <t xml:space="preserve">17372</t>
  </si>
  <si>
    <t xml:space="preserve">BABY DIAPER 54 S SIZE</t>
  </si>
  <si>
    <t xml:space="preserve">17373</t>
  </si>
  <si>
    <t xml:space="preserve">BABY DIAPER 48 M SIZE</t>
  </si>
  <si>
    <t xml:space="preserve">17374</t>
  </si>
  <si>
    <t xml:space="preserve">BABY DIAPER 42 L SIZE</t>
  </si>
  <si>
    <t xml:space="preserve">17375</t>
  </si>
  <si>
    <t xml:space="preserve">BABY DIAPER 32 SS SIZE</t>
  </si>
  <si>
    <t xml:space="preserve">17376</t>
  </si>
  <si>
    <t xml:space="preserve">BABY DIAPER 30 S SIZE</t>
  </si>
  <si>
    <t xml:space="preserve">17450</t>
  </si>
  <si>
    <t xml:space="preserve">ELECTRIC STEAM STERILIZER (2 PIN)</t>
  </si>
  <si>
    <t xml:space="preserve">17450B</t>
  </si>
  <si>
    <t xml:space="preserve">ELECTRIC STEAM STERILIZER(BS 3 PINS/W SFTY.MARK)</t>
  </si>
  <si>
    <t xml:space="preserve">17497</t>
  </si>
  <si>
    <t xml:space="preserve">STEAM STERILIZER (PROMO PACK) 2 PIN</t>
  </si>
  <si>
    <t xml:space="preserve">17499</t>
  </si>
  <si>
    <t xml:space="preserve">MULTI FUNCTION STERILIZER (PROMO PACK)</t>
  </si>
  <si>
    <t xml:space="preserve">17501</t>
  </si>
  <si>
    <t xml:space="preserve">ELECTRIC STEAM STERILIZER</t>
  </si>
  <si>
    <t xml:space="preserve">17501V</t>
  </si>
  <si>
    <t xml:space="preserve">STEAM STERILIZER (VDE 2 PIN)</t>
  </si>
  <si>
    <t xml:space="preserve">17502</t>
  </si>
  <si>
    <t xml:space="preserve">BOTTLE &amp; BABY FOOD WARMER</t>
  </si>
  <si>
    <t xml:space="preserve">17502V</t>
  </si>
  <si>
    <t xml:space="preserve">BABY FOOD &amp; BOTTLE WARMER (VDE 2 PIN)</t>
  </si>
  <si>
    <t xml:space="preserve">17504</t>
  </si>
  <si>
    <t xml:space="preserve">STEAM STERILIZER &amp; COMPACT TYPE 2 ROUND PIN</t>
  </si>
  <si>
    <t xml:space="preserve">17859</t>
  </si>
  <si>
    <t xml:space="preserve">6 BOTTLE STEAM STERILIZER</t>
  </si>
  <si>
    <t xml:space="preserve">26000</t>
  </si>
  <si>
    <t xml:space="preserve">WN NURSING BOTTLE PC 300 ML W/ PLUS NIPPLE (M)</t>
  </si>
  <si>
    <t xml:space="preserve">26001</t>
  </si>
  <si>
    <t xml:space="preserve">WN NURSING BOTTLE PC 200 ML W/ PLUS NIPPLE (SS)</t>
  </si>
  <si>
    <t xml:space="preserve">26002</t>
  </si>
  <si>
    <t xml:space="preserve">NURSING BOTTLE RP( PC)240 ML W/ S TYPE (M) NIPPLE</t>
  </si>
  <si>
    <t xml:space="preserve">26003</t>
  </si>
  <si>
    <t xml:space="preserve">NURSING BOTTLE RP( PC)120 ML W/ S TYPE (S) NIPPLE</t>
  </si>
  <si>
    <t xml:space="preserve">26005</t>
  </si>
  <si>
    <t xml:space="preserve">BREASTPADS FIT 108PCS</t>
  </si>
  <si>
    <t xml:space="preserve">26015</t>
  </si>
  <si>
    <t xml:space="preserve">COTTON BALLS, 100PCS/PACK PSH</t>
  </si>
  <si>
    <t xml:space="preserve">26106</t>
  </si>
  <si>
    <t xml:space="preserve">COTTON SWABS BOX 50 PCS (THIN STEM)</t>
  </si>
  <si>
    <t xml:space="preserve">26107</t>
  </si>
  <si>
    <t xml:space="preserve">COTTON SWABS BOX 60 PCS (THICK STEM)</t>
  </si>
  <si>
    <t xml:space="preserve">26108</t>
  </si>
  <si>
    <t xml:space="preserve">COTTON SWABS BOX 100 PCS (THIN STEM)</t>
  </si>
  <si>
    <t xml:space="preserve">26109</t>
  </si>
  <si>
    <t xml:space="preserve">COTTON SWABS BOX 100 PCS (THICK STEM)</t>
  </si>
  <si>
    <t xml:space="preserve">26110</t>
  </si>
  <si>
    <t xml:space="preserve">DIAPER LINER 25 SHEETS</t>
  </si>
  <si>
    <t xml:space="preserve">26111</t>
  </si>
  <si>
    <t xml:space="preserve">SOFTOUCH PERISTALTIC PLUS NIPPLE 1PCS SS</t>
  </si>
  <si>
    <t xml:space="preserve">26112</t>
  </si>
  <si>
    <t xml:space="preserve">SOFTOUCH PERISTALTIC PLUS NIPPLE 1PCS S</t>
  </si>
  <si>
    <t xml:space="preserve">26113</t>
  </si>
  <si>
    <t xml:space="preserve">SOFTOUCH PERISTALTIC PLUS NIPPLE 1PCS M</t>
  </si>
  <si>
    <t xml:space="preserve">26114</t>
  </si>
  <si>
    <t xml:space="preserve">SOFTOUCH PERISTALTIC PLUS NIPPLE 1PCS L</t>
  </si>
  <si>
    <t xml:space="preserve">26115</t>
  </si>
  <si>
    <t xml:space="preserve">LQ DETERGENT SUN 1.2L</t>
  </si>
  <si>
    <t xml:space="preserve">26140-6</t>
  </si>
  <si>
    <t xml:space="preserve">BREAST PUMP PORTABLE</t>
  </si>
  <si>
    <t xml:space="preserve">26140IN</t>
  </si>
  <si>
    <t xml:space="preserve">BULK UNITED-B-PUMP-PORT</t>
  </si>
  <si>
    <t xml:space="preserve">26141-6</t>
  </si>
  <si>
    <t xml:space="preserve">BREAST PUMP PRO</t>
  </si>
  <si>
    <t xml:space="preserve">26141IN</t>
  </si>
  <si>
    <t xml:space="preserve">BULK UNITED-B-PUMP PRO</t>
  </si>
  <si>
    <t xml:space="preserve">26144</t>
  </si>
  <si>
    <t xml:space="preserve">UNITED MANUAL BREAST PUMP</t>
  </si>
  <si>
    <t xml:space="preserve">26164</t>
  </si>
  <si>
    <t xml:space="preserve">MAG MAG SPOUT CUP (PP HANGING TYPE)</t>
  </si>
  <si>
    <t xml:space="preserve">26165</t>
  </si>
  <si>
    <t xml:space="preserve">MAG MAG STRAW CUP, GREEN (PP HANGING TYPE)</t>
  </si>
  <si>
    <t xml:space="preserve">26166</t>
  </si>
  <si>
    <t xml:space="preserve">MAG MAG STRAW CUP, PINK (PP HANGING TYPE)</t>
  </si>
  <si>
    <t xml:space="preserve">26167</t>
  </si>
  <si>
    <t xml:space="preserve">MAG MAG STRAW CUP, BLUE (PP HANGING TYPE)</t>
  </si>
  <si>
    <t xml:space="preserve">26168</t>
  </si>
  <si>
    <t xml:space="preserve">PIGEON BABY WIPES WATER BASE, 82 SHEETS</t>
  </si>
  <si>
    <t xml:space="preserve">26176</t>
  </si>
  <si>
    <t xml:space="preserve">PIGEON BABY WIPES WATER BASE, 30 SHEETS</t>
  </si>
  <si>
    <t xml:space="preserve">26179</t>
  </si>
  <si>
    <t xml:space="preserve">PIGEON BABY WIPES WATER BASE, 10 SHEETS</t>
  </si>
  <si>
    <t xml:space="preserve">26196</t>
  </si>
  <si>
    <t xml:space="preserve">COTTON SWABS THIN STAM, 200PCS/HINGED CASE</t>
  </si>
  <si>
    <t xml:space="preserve">26199</t>
  </si>
  <si>
    <t xml:space="preserve">COTTON SWAB 200 TIPS PLASTIC STEM 100PCS/PAC</t>
  </si>
  <si>
    <t xml:space="preserve">26221-2</t>
  </si>
  <si>
    <t xml:space="preserve">BOTTLE &amp; FOOD WARMER (VDE PLUG)</t>
  </si>
  <si>
    <t xml:space="preserve">26226IN</t>
  </si>
  <si>
    <t xml:space="preserve">KG 120 W SG S-TYPE L</t>
  </si>
  <si>
    <t xml:space="preserve">26227</t>
  </si>
  <si>
    <t xml:space="preserve">NATURAL FIT SILICONE NIPPLE SHELD L (13MM) 2PC</t>
  </si>
  <si>
    <t xml:space="preserve">26228</t>
  </si>
  <si>
    <t xml:space="preserve">BREAST CARE &amp; PUMP PLASTIC (ENGLISH VERSION)</t>
  </si>
  <si>
    <t xml:space="preserve">26256</t>
  </si>
  <si>
    <t xml:space="preserve">PIGEON BABY WIPES MOISTURIZING CLOTH 70 SHEET</t>
  </si>
  <si>
    <t xml:space="preserve">26261</t>
  </si>
  <si>
    <t xml:space="preserve">NYLON BRUSH ROTARY WITH NIPPLE BRUSH</t>
  </si>
  <si>
    <t xml:space="preserve">26263</t>
  </si>
  <si>
    <t xml:space="preserve">STRAW BRUSH</t>
  </si>
  <si>
    <t xml:space="preserve">26276</t>
  </si>
  <si>
    <t xml:space="preserve">LAUNDARY DETERGENT 600ML BOTTLE PIN</t>
  </si>
  <si>
    <t xml:space="preserve">26277</t>
  </si>
  <si>
    <t xml:space="preserve">LAUNDARY DETERGENT 500ML REFILL PIN</t>
  </si>
  <si>
    <t xml:space="preserve">26346</t>
  </si>
  <si>
    <t xml:space="preserve">ACTIVE BABY WASH 100 ML</t>
  </si>
  <si>
    <t xml:space="preserve">26347</t>
  </si>
  <si>
    <t xml:space="preserve">GENTLE BABY SHAMPOO 100 ML</t>
  </si>
  <si>
    <t xml:space="preserve">26348</t>
  </si>
  <si>
    <t xml:space="preserve">BABY MILKY LOTION 100 ML</t>
  </si>
  <si>
    <t xml:space="preserve">26356</t>
  </si>
  <si>
    <t xml:space="preserve">BREAST PADS HONEYCOMB 36+6 PCS</t>
  </si>
  <si>
    <t xml:space="preserve">26389</t>
  </si>
  <si>
    <t xml:space="preserve">COTTON SWABS THICK 20 PCS</t>
  </si>
  <si>
    <t xml:space="preserve">26390</t>
  </si>
  <si>
    <t xml:space="preserve">COTTON SWABS THIN 25 PCS</t>
  </si>
  <si>
    <t xml:space="preserve">26391</t>
  </si>
  <si>
    <t xml:space="preserve">BABY LAUNDRY DETERGENT POWDER 200 GMS</t>
  </si>
  <si>
    <t xml:space="preserve">26392</t>
  </si>
  <si>
    <t xml:space="preserve">Manual Breast Pump - Basic Edition</t>
  </si>
  <si>
    <t xml:space="preserve">26392E</t>
  </si>
  <si>
    <t xml:space="preserve">BREAST PUMP BASIC EDITION MANUAL - EXPORT</t>
  </si>
  <si>
    <t xml:space="preserve">26393</t>
  </si>
  <si>
    <t xml:space="preserve">BREAST PUMP BASIC EDITION - MANUAL (EXPORT)</t>
  </si>
  <si>
    <t xml:space="preserve">26418</t>
  </si>
  <si>
    <t xml:space="preserve">KPP 240 ML BULK (MCN).</t>
  </si>
  <si>
    <t xml:space="preserve">26419</t>
  </si>
  <si>
    <t xml:space="preserve">KPP 200 ML BULK (MCN)</t>
  </si>
  <si>
    <t xml:space="preserve">26420</t>
  </si>
  <si>
    <t xml:space="preserve">KPP 120 ML BULK (MCN)</t>
  </si>
  <si>
    <t xml:space="preserve">26442</t>
  </si>
  <si>
    <t xml:space="preserve">MANUAL BREAST PUMP BASIC – BOTTLE STAND, BULK</t>
  </si>
  <si>
    <t xml:space="preserve">26450</t>
  </si>
  <si>
    <t xml:space="preserve">CHILDREN TOOTHPASTE STRAWBERRY 45 GMS</t>
  </si>
  <si>
    <t xml:space="preserve">26451</t>
  </si>
  <si>
    <t xml:space="preserve">CHILDREN TOOTHPASTE ORANGE 45 GMS</t>
  </si>
  <si>
    <t xml:space="preserve">26457</t>
  </si>
  <si>
    <t xml:space="preserve">LAUNDRY DETERGENT 200 ML REFILL PIN</t>
  </si>
  <si>
    <t xml:space="preserve">26458</t>
  </si>
  <si>
    <t xml:space="preserve">LIQUID CLEANSER 200 ML BOTTLE PIN</t>
  </si>
  <si>
    <t xml:space="preserve">26459</t>
  </si>
  <si>
    <t xml:space="preserve">LIQUID CLEANSER 200 ML REFILL PIN</t>
  </si>
  <si>
    <t xml:space="preserve">26483</t>
  </si>
  <si>
    <t xml:space="preserve">MANUAL BREAST PUMP BASIC - BULK, W/O BOTTLE</t>
  </si>
  <si>
    <t xml:space="preserve">26514</t>
  </si>
  <si>
    <t xml:space="preserve">SLIM NECK BOTTLE - CAP &amp; HOOD</t>
  </si>
  <si>
    <t xml:space="preserve">26515</t>
  </si>
  <si>
    <t xml:space="preserve">BABY SHAMPOO 200 ML (FOR PHARMA DISTRIBUTOR ONLY)</t>
  </si>
  <si>
    <t xml:space="preserve">26516</t>
  </si>
  <si>
    <t xml:space="preserve">BABY OIL 200 ML (FOR PHARMA DISTRIBUTOR ONLY)</t>
  </si>
  <si>
    <t xml:space="preserve">26517</t>
  </si>
  <si>
    <t xml:space="preserve">BABY MILK LOTION 200 ML (FOR PHARMA DISTRIBUTOR ON</t>
  </si>
  <si>
    <t xml:space="preserve">26518</t>
  </si>
  <si>
    <t xml:space="preserve">ACTIVE BABY WASH 200 ML (FOR PHARMA DISTRIBUTOR ON</t>
  </si>
  <si>
    <t xml:space="preserve">26519</t>
  </si>
  <si>
    <t xml:space="preserve">RPP 240 ML ABTRCT PINK BULK</t>
  </si>
  <si>
    <t xml:space="preserve">26520</t>
  </si>
  <si>
    <t xml:space="preserve">RPP 120 ML ABTRCT PINK BULK</t>
  </si>
  <si>
    <t xml:space="preserve">26521</t>
  </si>
  <si>
    <t xml:space="preserve">RPP 240 ML ABTRCT BLUE BULK</t>
  </si>
  <si>
    <t xml:space="preserve">26522</t>
  </si>
  <si>
    <t xml:space="preserve">RPP 120 ML ABTRCT BLUE BULK</t>
  </si>
  <si>
    <t xml:space="preserve">26523</t>
  </si>
  <si>
    <t xml:space="preserve">RPP 240 ML FLORLS PINK BULK</t>
  </si>
  <si>
    <t xml:space="preserve">26524</t>
  </si>
  <si>
    <t xml:space="preserve">RPP 120 ML FLORLS PINK BULK</t>
  </si>
  <si>
    <t xml:space="preserve">26525</t>
  </si>
  <si>
    <t xml:space="preserve">RPP 240 ML FLORLS BLUE BULK</t>
  </si>
  <si>
    <t xml:space="preserve">26526</t>
  </si>
  <si>
    <t xml:space="preserve">RPP 120 ML FLORLS BLUE BULK</t>
  </si>
  <si>
    <t xml:space="preserve">26527</t>
  </si>
  <si>
    <t xml:space="preserve">RPP 240 ML BOTTLE GIRL PINK BULK</t>
  </si>
  <si>
    <t xml:space="preserve">26528</t>
  </si>
  <si>
    <t xml:space="preserve">RPP 120 ML BOTTLE GIRL PINK BULK</t>
  </si>
  <si>
    <t xml:space="preserve">26529</t>
  </si>
  <si>
    <t xml:space="preserve">RPP 240 ML BOTTLE BOY BLUE BULK</t>
  </si>
  <si>
    <t xml:space="preserve">26530</t>
  </si>
  <si>
    <t xml:space="preserve">RPP 120 ML BOTTLE BOY BLUE BULK</t>
  </si>
  <si>
    <t xml:space="preserve">26552</t>
  </si>
  <si>
    <t xml:space="preserve">GENTLE BABY SHAMPOO 100 ml ( FOR PHARMA )</t>
  </si>
  <si>
    <t xml:space="preserve">26554</t>
  </si>
  <si>
    <t xml:space="preserve">BABY MILKY LOTION 100 ml (FOR PHARMA )</t>
  </si>
  <si>
    <t xml:space="preserve">26555</t>
  </si>
  <si>
    <t xml:space="preserve">ACTIVE BABY WASH 100 ml (FOR PHARMA )</t>
  </si>
  <si>
    <t xml:space="preserve">26562</t>
  </si>
  <si>
    <t xml:space="preserve">SN CRYSTAL CLEAR RPP BOTTLE (BULK) 120ML B FOR BOY</t>
  </si>
  <si>
    <t xml:space="preserve">26563</t>
  </si>
  <si>
    <t xml:space="preserve">SN CRYSTAL CLEAR RPP BOTTLE (BULK)120ML G FOR GIRL</t>
  </si>
  <si>
    <t xml:space="preserve">SN CRYSTAL CLEAR RPP BOTTLE (BULK) 120 ML ABSTRACT</t>
  </si>
  <si>
    <t xml:space="preserve">SN CRYSTAL CLEAR RPP BOTTLE (BULK) 120 ML ABSTRAC</t>
  </si>
  <si>
    <t xml:space="preserve">SN CRYSTAL CLEAR RPP BOTTLE (BULK) 240 ML ABSTRACT</t>
  </si>
  <si>
    <t xml:space="preserve">26568</t>
  </si>
  <si>
    <t xml:space="preserve">SN CRYSTAL CLEAR RPP BOTTLE (BULK) 240ML B FOR BOY</t>
  </si>
  <si>
    <t xml:space="preserve">26569</t>
  </si>
  <si>
    <t xml:space="preserve">SN CRYSTAL CLEAR RPP BOTTLE (BULK)240ML G FOR GIRL</t>
  </si>
  <si>
    <t xml:space="preserve">26663</t>
  </si>
  <si>
    <t xml:space="preserve">SN CRYSTAL CLEAR RPP BOTTLE 120ML RACOON PINK BULK</t>
  </si>
  <si>
    <t xml:space="preserve">26664</t>
  </si>
  <si>
    <t xml:space="preserve">SN CRYSTL CLEAR RPP BOTTLE 120ML RACOON GREEN BULK</t>
  </si>
  <si>
    <t xml:space="preserve">26665</t>
  </si>
  <si>
    <t xml:space="preserve">SN CRYSTAL CLEAR RPP BOTTLE 240ML DRAGON PINK BULK</t>
  </si>
  <si>
    <t xml:space="preserve">26666</t>
  </si>
  <si>
    <t xml:space="preserve">SN CRYSTL CLEAR RPP BOTTLE 240ML DRAGON GREEN BULK</t>
  </si>
  <si>
    <t xml:space="preserve">26669</t>
  </si>
  <si>
    <t xml:space="preserve">STEAM STERILIZER &amp; COMPACT TYPE 2 ROUND PIN (AD)</t>
  </si>
  <si>
    <t xml:space="preserve">26724</t>
  </si>
  <si>
    <t xml:space="preserve">BABY MILKY SOAP 75 GM PHARMA</t>
  </si>
  <si>
    <t xml:space="preserve">28358</t>
  </si>
  <si>
    <t xml:space="preserve">MULTIFUNCTIONAL LAUNDRY DETERGENT,LEMON GRASS 1.2L</t>
  </si>
  <si>
    <t xml:space="preserve">50565</t>
  </si>
  <si>
    <t xml:space="preserve">LANSINOH BASIC EDITION MANUAL BREAST PUMP</t>
  </si>
  <si>
    <t xml:space="preserve">73707630</t>
  </si>
  <si>
    <t xml:space="preserve">S TYPE NIPPLE (S) W/O WRAP BULK (PIN).</t>
  </si>
  <si>
    <t xml:space="preserve">73707640</t>
  </si>
  <si>
    <t xml:space="preserve">S TYPE NIPPLE (M) W/O WRAP BULK (PIN).</t>
  </si>
  <si>
    <t xml:space="preserve">88000</t>
  </si>
  <si>
    <t xml:space="preserve">KPP 120 R S-TYPE S</t>
  </si>
  <si>
    <t xml:space="preserve">88000E</t>
  </si>
  <si>
    <t xml:space="preserve">KPP 120 R S-TYPE S EXPORT</t>
  </si>
  <si>
    <t xml:space="preserve">88001</t>
  </si>
  <si>
    <t xml:space="preserve">KPP 200 R S-TYPE M</t>
  </si>
  <si>
    <t xml:space="preserve">88002</t>
  </si>
  <si>
    <t xml:space="preserve">KPP 240 R S-TYPE M</t>
  </si>
  <si>
    <t xml:space="preserve">88003</t>
  </si>
  <si>
    <t xml:space="preserve">KPP 240 R S-TYPE L</t>
  </si>
  <si>
    <t xml:space="preserve">88003E</t>
  </si>
  <si>
    <t xml:space="preserve">KPP 240 R S-TYPE L EXPORT</t>
  </si>
  <si>
    <t xml:space="preserve">88004</t>
  </si>
  <si>
    <t xml:space="preserve">KPP 120 P S-TYPE S</t>
  </si>
  <si>
    <t xml:space="preserve">88005</t>
  </si>
  <si>
    <t xml:space="preserve">KPP 240 P S-TYPE M.</t>
  </si>
  <si>
    <t xml:space="preserve">88006</t>
  </si>
  <si>
    <t xml:space="preserve">KPP 240 P S-TYPE L.</t>
  </si>
  <si>
    <t xml:space="preserve">88007</t>
  </si>
  <si>
    <t xml:space="preserve">KPP 120 B S-TYPE S.</t>
  </si>
  <si>
    <t xml:space="preserve">88007E</t>
  </si>
  <si>
    <t xml:space="preserve">KPP 120 B S-TYPE S EXPORT</t>
  </si>
  <si>
    <t xml:space="preserve">88008</t>
  </si>
  <si>
    <t xml:space="preserve">KPP 240 B S-TYPE M.</t>
  </si>
  <si>
    <t xml:space="preserve">88008E</t>
  </si>
  <si>
    <t xml:space="preserve">KPP 240 B S-TYPE M EXPORT</t>
  </si>
  <si>
    <t xml:space="preserve">88009</t>
  </si>
  <si>
    <t xml:space="preserve">KPP 240 B S-TYPE L.</t>
  </si>
  <si>
    <t xml:space="preserve">88009E</t>
  </si>
  <si>
    <t xml:space="preserve">KPP 240 B S-TYPE L EXPORT</t>
  </si>
  <si>
    <t xml:space="preserve">88010</t>
  </si>
  <si>
    <t xml:space="preserve">PERISTALTIC NIPPLE S 2 PCS</t>
  </si>
  <si>
    <t xml:space="preserve">88010IN</t>
  </si>
  <si>
    <t xml:space="preserve">PERISTALTIC NIPPLE S 2 PCS.</t>
  </si>
  <si>
    <t xml:space="preserve">FO023</t>
  </si>
  <si>
    <t xml:space="preserve">88011</t>
  </si>
  <si>
    <t xml:space="preserve">PERISTALTIC NIPPLE M 2 PCS</t>
  </si>
  <si>
    <t xml:space="preserve">88011IN</t>
  </si>
  <si>
    <t xml:space="preserve">PERISTALTIC NIPPLE M 2 PCS.</t>
  </si>
  <si>
    <t xml:space="preserve">FO024</t>
  </si>
  <si>
    <t xml:space="preserve">88012</t>
  </si>
  <si>
    <t xml:space="preserve">PERISTALTIC NIPPLE Y 2 PCS</t>
  </si>
  <si>
    <t xml:space="preserve">88012IN</t>
  </si>
  <si>
    <t xml:space="preserve">PERISTALTIC NIPPLE Y 2 PCS.</t>
  </si>
  <si>
    <t xml:space="preserve">FO026</t>
  </si>
  <si>
    <t xml:space="preserve">88013</t>
  </si>
  <si>
    <t xml:space="preserve">PERISTALTIC NIPPLE L 2 PCS</t>
  </si>
  <si>
    <t xml:space="preserve">88013IN</t>
  </si>
  <si>
    <t xml:space="preserve">PERISTALTIC NIPPLE L 2 PCS.</t>
  </si>
  <si>
    <t xml:space="preserve">FO025</t>
  </si>
  <si>
    <t xml:space="preserve">88014</t>
  </si>
  <si>
    <t xml:space="preserve">PERISTALTIC NIPPLE S 3 PCS</t>
  </si>
  <si>
    <t xml:space="preserve">88014E</t>
  </si>
  <si>
    <t xml:space="preserve">PERISTALTIC NIPPLE S 3 PCS - EXPORT</t>
  </si>
  <si>
    <t xml:space="preserve">88014IN</t>
  </si>
  <si>
    <t xml:space="preserve">PERISTALTIC NIPPLE S 3 PCS.</t>
  </si>
  <si>
    <t xml:space="preserve">88015</t>
  </si>
  <si>
    <t xml:space="preserve">PERISTALTIC NIPPLE M 3 PCS</t>
  </si>
  <si>
    <t xml:space="preserve">88015E</t>
  </si>
  <si>
    <t xml:space="preserve">PERISTALTIC NIPPLE M 3 PCS - EXPORT</t>
  </si>
  <si>
    <t xml:space="preserve">88015IN</t>
  </si>
  <si>
    <t xml:space="preserve">PERISTALTIC NIPPLE M 3 PCS.</t>
  </si>
  <si>
    <t xml:space="preserve">88016</t>
  </si>
  <si>
    <t xml:space="preserve">PERISTALTIC NIPPLE Y 3 PCS</t>
  </si>
  <si>
    <t xml:space="preserve">88016E</t>
  </si>
  <si>
    <t xml:space="preserve">PERISTALTIC NIPPLE Y 3 PCS - EXPORT</t>
  </si>
  <si>
    <t xml:space="preserve">88016IN</t>
  </si>
  <si>
    <t xml:space="preserve">PERISTALTIC NIPPLE Y 3 PCS.</t>
  </si>
  <si>
    <t xml:space="preserve">88017</t>
  </si>
  <si>
    <t xml:space="preserve">PERISTALTIC NIPPLE L 3 PCS</t>
  </si>
  <si>
    <t xml:space="preserve">88017E</t>
  </si>
  <si>
    <t xml:space="preserve">PERISTALTIC NIPPLE L 3 PCS - EXPORT</t>
  </si>
  <si>
    <t xml:space="preserve">88017IN</t>
  </si>
  <si>
    <t xml:space="preserve">PERISTALTIC NIPPLE L 3 PCS.</t>
  </si>
  <si>
    <t xml:space="preserve">88018</t>
  </si>
  <si>
    <t xml:space="preserve">RPP 120 W S-TYPE S</t>
  </si>
  <si>
    <t xml:space="preserve">88019</t>
  </si>
  <si>
    <t xml:space="preserve">RPP 240 W S-TYPE M</t>
  </si>
  <si>
    <t xml:space="preserve">88020</t>
  </si>
  <si>
    <t xml:space="preserve">PERISTALTIC NIPPLE S 1 PCS</t>
  </si>
  <si>
    <t xml:space="preserve">88020E</t>
  </si>
  <si>
    <t xml:space="preserve">PERISTALTIC NIPPLE BOX 1 PCS (S) - EXPORT</t>
  </si>
  <si>
    <t xml:space="preserve">88021</t>
  </si>
  <si>
    <t xml:space="preserve">PERISTALTIC NIPPLE M 1 PCS</t>
  </si>
  <si>
    <t xml:space="preserve">88021E</t>
  </si>
  <si>
    <t xml:space="preserve">PERISTALTIC NIPPLE BOX 1 PCS (M) - EXPORT</t>
  </si>
  <si>
    <t xml:space="preserve">88022</t>
  </si>
  <si>
    <t xml:space="preserve">PERISTALTIC NIPPLE Y 1 PCS</t>
  </si>
  <si>
    <t xml:space="preserve">88022E</t>
  </si>
  <si>
    <t xml:space="preserve">PERISTALTIC NIPPLE BOX 1 PCS (Y) - EXPORT</t>
  </si>
  <si>
    <t xml:space="preserve">88023</t>
  </si>
  <si>
    <t xml:space="preserve">PERISTALTIC NIPPLE L 1 PCS</t>
  </si>
  <si>
    <t xml:space="preserve">88023E</t>
  </si>
  <si>
    <t xml:space="preserve">PERISTALTIC NIPPLE BOX 1 PCS (L) - EXPORT</t>
  </si>
  <si>
    <t xml:space="preserve">88024</t>
  </si>
  <si>
    <t xml:space="preserve">KPP 200 P S-TYPE M.</t>
  </si>
  <si>
    <t xml:space="preserve">88025</t>
  </si>
  <si>
    <t xml:space="preserve">KPP 200 B S-TYPE M</t>
  </si>
  <si>
    <t xml:space="preserve">88026</t>
  </si>
  <si>
    <t xml:space="preserve">BREASTMILK STORAGE BOTTLE</t>
  </si>
  <si>
    <t xml:space="preserve">88027</t>
  </si>
  <si>
    <t xml:space="preserve">PERISTALTIC NIPPLE S 1 PC (FOR PHARMA DISTRIBUTORS</t>
  </si>
  <si>
    <t xml:space="preserve">88028</t>
  </si>
  <si>
    <t xml:space="preserve">PERISTALTIC NIPPLE M 1 PC (FOR PHARMA DISTRIBUTORS</t>
  </si>
  <si>
    <t xml:space="preserve">88029</t>
  </si>
  <si>
    <t xml:space="preserve">PERISTALTIC NIPPLE Y 1 PC (FOR PHARMA DISTRIBUTORS</t>
  </si>
  <si>
    <t xml:space="preserve">88030</t>
  </si>
  <si>
    <t xml:space="preserve">PERISTALTIC NIPPLE L 1 PC (FOR PHARMA DISTRIBUTORS</t>
  </si>
  <si>
    <t xml:space="preserve">88031</t>
  </si>
  <si>
    <t xml:space="preserve">RPP BOTTLE 120 ML (FOR PHARMA DISTRIBUTORS ONLY)</t>
  </si>
  <si>
    <t xml:space="preserve">88032</t>
  </si>
  <si>
    <t xml:space="preserve">RPP BOTTLE 240 ML (FOR PHARMA DISTRIBUTORS ONLY)</t>
  </si>
  <si>
    <t xml:space="preserve">88033</t>
  </si>
  <si>
    <t xml:space="preserve">PERISTALTC CLEAR NRSNG BOTTLE RPP 120ML PINK GRL</t>
  </si>
  <si>
    <t xml:space="preserve">88034</t>
  </si>
  <si>
    <t xml:space="preserve">PERISTALTC CLEAR NRSNG BOTTLE RPP 120ML BLUE BOY</t>
  </si>
  <si>
    <t xml:space="preserve">88035</t>
  </si>
  <si>
    <t xml:space="preserve">PERISTALTC CLEAR NRSNG BOTTLE RPP 240ML PINK GRL</t>
  </si>
  <si>
    <t xml:space="preserve">88036</t>
  </si>
  <si>
    <t xml:space="preserve">PERISTALTC CLEAR NRSNG BOTTLE RPP 240ML BLUE BOY</t>
  </si>
  <si>
    <t xml:space="preserve">88037</t>
  </si>
  <si>
    <t xml:space="preserve">PERISTALTC CLEAR NRSNG BOTTLE RPP 120ML PNK ABST</t>
  </si>
  <si>
    <t xml:space="preserve">88038</t>
  </si>
  <si>
    <t xml:space="preserve">PERISTALTC CLEAR NRSNG BOTTLE RPP 120ML BLU ABST</t>
  </si>
  <si>
    <t xml:space="preserve">88039</t>
  </si>
  <si>
    <t xml:space="preserve">PERISTALTC CLEAR NRSNG BOTTLE RPP 240ML PNK ABST</t>
  </si>
  <si>
    <t xml:space="preserve">88040</t>
  </si>
  <si>
    <t xml:space="preserve">PERISTALTC CLEAR NRSNG BOTTLE RPP 240ML BLU ABST</t>
  </si>
  <si>
    <t xml:space="preserve">88041</t>
  </si>
  <si>
    <t xml:space="preserve">NRSNG BOTLE TWIN PACK KPP 120ML (B&amp;W) NIPPLE S</t>
  </si>
  <si>
    <t xml:space="preserve">88042</t>
  </si>
  <si>
    <t xml:space="preserve">NRSNG BOTTLE TWIN PACK KPP 120ML (P&amp;W) NIPPLE S</t>
  </si>
  <si>
    <t xml:space="preserve">88043</t>
  </si>
  <si>
    <t xml:space="preserve">NRSNG BOTLE TWIN PACK KPP 200ML (B&amp;W) NIPPLE M</t>
  </si>
  <si>
    <t xml:space="preserve">88044</t>
  </si>
  <si>
    <t xml:space="preserve">NRSNG BOTTLE TWIN PACK KPP 200ML (P&amp;W) NIPPLE M</t>
  </si>
  <si>
    <t xml:space="preserve">88045</t>
  </si>
  <si>
    <t xml:space="preserve">NRSNG BOTLE TWIN PACK KPP 240ML (B&amp;W) NIPPLE L</t>
  </si>
  <si>
    <t xml:space="preserve">88046</t>
  </si>
  <si>
    <t xml:space="preserve">NRSNG BOTTLE TWIN PACK KPP 240ML (P&amp;W) NIPPLE L</t>
  </si>
  <si>
    <t xml:space="preserve">88047</t>
  </si>
  <si>
    <t xml:space="preserve">CLEAR NURSING BOTTLE KPP 120ML NIPPLE S</t>
  </si>
  <si>
    <t xml:space="preserve">88048</t>
  </si>
  <si>
    <t xml:space="preserve">CLEAR NURSING BOTTLE KPP 200ML NIPPLE M</t>
  </si>
  <si>
    <t xml:space="preserve">88049</t>
  </si>
  <si>
    <t xml:space="preserve">CLEAR NURSING BOTTLE KPP 240ML NIPPLE L</t>
  </si>
  <si>
    <t xml:space="preserve">88050</t>
  </si>
  <si>
    <t xml:space="preserve">PERISTALTIC CLEAR NRSNG BOTTLE RPP 120ML PINK FLRL</t>
  </si>
  <si>
    <t xml:space="preserve">88051</t>
  </si>
  <si>
    <t xml:space="preserve">PERISTALTIC CLEAR NRSNG BOTTLE RPP 120ML BLUE FLRL</t>
  </si>
  <si>
    <t xml:space="preserve">88052</t>
  </si>
  <si>
    <t xml:space="preserve">PERISTALTIC CLEAR NRSNG BOTTLE RPP 240ML PINK FLRL</t>
  </si>
  <si>
    <t xml:space="preserve">88053</t>
  </si>
  <si>
    <t xml:space="preserve">PERISTALTIC CLEAR NRSNG BOTTLE RPP 240ML BLUE</t>
  </si>
  <si>
    <t xml:space="preserve">CA07</t>
  </si>
  <si>
    <t xml:space="preserve">MILK STORAGE CONTAINER</t>
  </si>
  <si>
    <t xml:space="preserve">CA08</t>
  </si>
  <si>
    <t xml:space="preserve">MILK STORAGE CONTAINER P</t>
  </si>
  <si>
    <t xml:space="preserve">CA09</t>
  </si>
  <si>
    <t xml:space="preserve">MILK STORAGE CONTAINER Y</t>
  </si>
  <si>
    <t xml:space="preserve">DA02</t>
  </si>
  <si>
    <t xml:space="preserve">PIGEON LITTLE CORO ROUND BOWL</t>
  </si>
  <si>
    <t xml:space="preserve">DA04</t>
  </si>
  <si>
    <t xml:space="preserve">PIGEON LITTLE CORO CUP</t>
  </si>
  <si>
    <t xml:space="preserve">DA05</t>
  </si>
  <si>
    <t xml:space="preserve">PIGEON LITTLE CORO PLATE</t>
  </si>
  <si>
    <t xml:space="preserve">DA29</t>
  </si>
  <si>
    <t xml:space="preserve">DOUBLE LAYER SUCKING CUP(PINK &amp; BLUE)</t>
  </si>
  <si>
    <t xml:space="preserve">DA30</t>
  </si>
  <si>
    <t xml:space="preserve">DOUBLE LAYER SUCKING CUP(YELLOW &amp; GREEN)</t>
  </si>
  <si>
    <t xml:space="preserve">DA32</t>
  </si>
  <si>
    <t xml:space="preserve">DOUBLE LAYER SUCKING CUP(YELLOW &amp; BLUE)</t>
  </si>
  <si>
    <t xml:space="preserve">DA33</t>
  </si>
  <si>
    <t xml:space="preserve">DOUBLE LAYER SUCKING CUP(PINK &amp; YELLOW)</t>
  </si>
  <si>
    <t xml:space="preserve">DA34</t>
  </si>
  <si>
    <t xml:space="preserve">DOUBLE LAYER SUCKING CUP(GREEN &amp; ORANGE)</t>
  </si>
  <si>
    <t xml:space="preserve">EA08</t>
  </si>
  <si>
    <t xml:space="preserve">BOTTLE &amp; NIPPLE BRUSH</t>
  </si>
  <si>
    <t xml:space="preserve">FGSM0858</t>
  </si>
  <si>
    <t xml:space="preserve">NIPPLE (S) W/WRAP BULK</t>
  </si>
  <si>
    <t xml:space="preserve">FGSM0859</t>
  </si>
  <si>
    <t xml:space="preserve">NIPPLE (M) W/WRAP BULK</t>
  </si>
  <si>
    <t xml:space="preserve">FGSM0860</t>
  </si>
  <si>
    <t xml:space="preserve">NIPPLE (Y) W/WRAP BULK</t>
  </si>
  <si>
    <t xml:space="preserve">FGSM0861</t>
  </si>
  <si>
    <t xml:space="preserve">NIPPLE (L) W/WRAP BULK</t>
  </si>
  <si>
    <t xml:space="preserve">FGSM0862</t>
  </si>
  <si>
    <t xml:space="preserve">NIPPLE (S) WO/WRAP BULK</t>
  </si>
  <si>
    <t xml:space="preserve">FGSM0863</t>
  </si>
  <si>
    <t xml:space="preserve">NIPPLE (M) WO/WRAP BULK</t>
  </si>
  <si>
    <t xml:space="preserve">FGSM0864</t>
  </si>
  <si>
    <t xml:space="preserve">KPP 240 ML BULK</t>
  </si>
  <si>
    <t xml:space="preserve">FGSM0865</t>
  </si>
  <si>
    <t xml:space="preserve">KPP 200 MLBULK</t>
  </si>
  <si>
    <t xml:space="preserve">FNA10001</t>
  </si>
  <si>
    <t xml:space="preserve">S TYPE NIPPLE (S)  WITH WRAP BULK (PIN)</t>
  </si>
  <si>
    <t xml:space="preserve">FNA10002</t>
  </si>
  <si>
    <t xml:space="preserve">S TYPE NIPPLE (M)  WITH WRAP BULK (PIN)</t>
  </si>
  <si>
    <t xml:space="preserve">FNA10003</t>
  </si>
  <si>
    <t xml:space="preserve">S TYPE NIPPLE (Y) WITH WRAP BULK (PIN)</t>
  </si>
  <si>
    <t xml:space="preserve">FNA10004</t>
  </si>
  <si>
    <t xml:space="preserve">S TYPE NIPPLE (L) WITH WRAP BULK (PIN)</t>
  </si>
  <si>
    <t xml:space="preserve">FS001</t>
  </si>
  <si>
    <t xml:space="preserve">SAMPLE PACK A (09181+12965+ 16620)</t>
  </si>
  <si>
    <t xml:space="preserve">FS003</t>
  </si>
  <si>
    <t xml:space="preserve">SAMPLE PACK B (09181+12965+16620) WITH IMA</t>
  </si>
  <si>
    <t xml:space="preserve">G18048</t>
  </si>
  <si>
    <t xml:space="preserve">KIDS WASH LQ 400 STR+GRA</t>
  </si>
  <si>
    <t xml:space="preserve">G18049</t>
  </si>
  <si>
    <t xml:space="preserve">KIDS WASH LQ 400 ORA+MAN</t>
  </si>
  <si>
    <t xml:space="preserve">G18050</t>
  </si>
  <si>
    <t xml:space="preserve">KIDS WASH FO 400 STR+GRA</t>
  </si>
  <si>
    <t xml:space="preserve">G18051</t>
  </si>
  <si>
    <t xml:space="preserve">KIDS WASH FO 400 ORA+MAN</t>
  </si>
  <si>
    <t xml:space="preserve">G18054</t>
  </si>
  <si>
    <t xml:space="preserve">KIDS WASH LQ 200 STR+GRA</t>
  </si>
  <si>
    <t xml:space="preserve">G18055</t>
  </si>
  <si>
    <t xml:space="preserve">KIDS WASH LQ 200 ORA+MAN</t>
  </si>
  <si>
    <t xml:space="preserve">GA01</t>
  </si>
  <si>
    <t xml:space="preserve">MULTI FUNCTION MAMA BAG RED GA01</t>
  </si>
  <si>
    <t xml:space="preserve">Baby Outing</t>
  </si>
  <si>
    <t xml:space="preserve">GA02</t>
  </si>
  <si>
    <t xml:space="preserve">MULTI FUNCTION MAMA BAG BLACK GA02</t>
  </si>
  <si>
    <t xml:space="preserve">GA05</t>
  </si>
  <si>
    <t xml:space="preserve">INSULATED BOTTLE HOLDER PINK</t>
  </si>
  <si>
    <t xml:space="preserve">Feeding Accessary</t>
  </si>
  <si>
    <t xml:space="preserve">GA06</t>
  </si>
  <si>
    <t xml:space="preserve">INSULATED BOTTLE HOLDER GREEN</t>
  </si>
  <si>
    <t xml:space="preserve">GA17</t>
  </si>
  <si>
    <t xml:space="preserve">CARRIER BLACK</t>
  </si>
  <si>
    <t xml:space="preserve">GA18</t>
  </si>
  <si>
    <t xml:space="preserve">CARRIER PINK</t>
  </si>
  <si>
    <t xml:space="preserve">GA22</t>
  </si>
  <si>
    <t xml:space="preserve">LC BOTTLE WARMER BLACK</t>
  </si>
  <si>
    <t xml:space="preserve">GA23</t>
  </si>
  <si>
    <t xml:space="preserve">LC BOTTLE WARMER ML</t>
  </si>
  <si>
    <t xml:space="preserve">GB154</t>
  </si>
  <si>
    <t xml:space="preserve">PIDIA PBS SA2</t>
  </si>
  <si>
    <t xml:space="preserve">HNA10001</t>
  </si>
  <si>
    <t xml:space="preserve">S TYPE NIPPLE (S) W/O WRAP BULK (PIN)</t>
  </si>
  <si>
    <t xml:space="preserve">HNA10002</t>
  </si>
  <si>
    <t xml:space="preserve">S TYPE NIPPLE (M) W/O WRAP BULK (PIN)</t>
  </si>
  <si>
    <t xml:space="preserve">HNA10003</t>
  </si>
  <si>
    <t xml:space="preserve">KPP 240 ML BULK (MCN)</t>
  </si>
  <si>
    <t xml:space="preserve">HNA10004</t>
  </si>
  <si>
    <t xml:space="preserve">KPP 200 MLBULK (MCN)</t>
  </si>
  <si>
    <t xml:space="preserve">IA23</t>
  </si>
  <si>
    <t xml:space="preserve">BABY DIAPER RASH CREAM 35GM</t>
  </si>
  <si>
    <t xml:space="preserve">IA28</t>
  </si>
  <si>
    <t xml:space="preserve">UV BABY LOTION</t>
  </si>
  <si>
    <t xml:space="preserve">IA36</t>
  </si>
  <si>
    <t xml:space="preserve">BABY LIP GEL</t>
  </si>
  <si>
    <t xml:space="preserve">KA02</t>
  </si>
  <si>
    <t xml:space="preserve">BABY TOOTH GEL</t>
  </si>
  <si>
    <t xml:space="preserve">Baby Hygiene Disposable</t>
  </si>
  <si>
    <t xml:space="preserve">KA08</t>
  </si>
  <si>
    <t xml:space="preserve">COTTON BALLS, 100PCS/PACK PSH (OLD)</t>
  </si>
  <si>
    <t xml:space="preserve">KA11</t>
  </si>
  <si>
    <t xml:space="preserve">SAFETEY CORNER CUSHION</t>
  </si>
  <si>
    <t xml:space="preserve">Safety Products</t>
  </si>
  <si>
    <t xml:space="preserve">KA13</t>
  </si>
  <si>
    <t xml:space="preserve">SAFETEY HINGED DOOR LOCK</t>
  </si>
  <si>
    <t xml:space="preserve">MA14</t>
  </si>
  <si>
    <t xml:space="preserve">PW DETERGENT 1500G PMFG</t>
  </si>
  <si>
    <t xml:space="preserve">MA16</t>
  </si>
  <si>
    <t xml:space="preserve">LAUNDRY SOAP 200G PMFG</t>
  </si>
  <si>
    <t xml:space="preserve">MA19</t>
  </si>
  <si>
    <t xml:space="preserve">LQ DETERGENT 1L PMFG</t>
  </si>
  <si>
    <t xml:space="preserve">MA21</t>
  </si>
  <si>
    <t xml:space="preserve">LQ DETERGENT RF 500 PMFG</t>
  </si>
  <si>
    <t xml:space="preserve">MA22</t>
  </si>
  <si>
    <t xml:space="preserve">SOFTNER 1L</t>
  </si>
  <si>
    <t xml:space="preserve">MA23</t>
  </si>
  <si>
    <t xml:space="preserve">SOFTNER 600ML</t>
  </si>
  <si>
    <t xml:space="preserve">MA24</t>
  </si>
  <si>
    <t xml:space="preserve">SOFTNER REFILL 500ML</t>
  </si>
  <si>
    <t xml:space="preserve">MA25</t>
  </si>
  <si>
    <t xml:space="preserve">BOTTLE DETERGENT 150ML</t>
  </si>
  <si>
    <t xml:space="preserve">MA26</t>
  </si>
  <si>
    <t xml:space="preserve">LQB DETERGENT 400ML PMFG</t>
  </si>
  <si>
    <t xml:space="preserve">MA27</t>
  </si>
  <si>
    <t xml:space="preserve">LQB DETERGENT 700ML PMFG</t>
  </si>
  <si>
    <t xml:space="preserve">MA28</t>
  </si>
  <si>
    <t xml:space="preserve">BOTTLE DETERGENT REFILL 600ML</t>
  </si>
  <si>
    <t xml:space="preserve">MA29</t>
  </si>
  <si>
    <t xml:space="preserve">BABY ANTIBACTERIAL DETERGENT POWDER</t>
  </si>
  <si>
    <t xml:space="preserve">MA32</t>
  </si>
  <si>
    <t xml:space="preserve">PIGEON-BABY ANTIBACTERIAL LAUNDRY SOAP 120G</t>
  </si>
  <si>
    <t xml:space="preserve">PA108</t>
  </si>
  <si>
    <t xml:space="preserve">SHAMPOO100+OIL FREE100</t>
  </si>
  <si>
    <t xml:space="preserve">PA109</t>
  </si>
  <si>
    <t xml:space="preserve">SOAP100+OIL FREE100</t>
  </si>
  <si>
    <t xml:space="preserve">PA110</t>
  </si>
  <si>
    <t xml:space="preserve">LOTION100+OIL FREE 100</t>
  </si>
  <si>
    <t xml:space="preserve">SNA10018</t>
  </si>
  <si>
    <t xml:space="preserve">MANUAL BREAST PUMP BASIC - HANDLE, BULK</t>
  </si>
  <si>
    <t xml:space="preserve">SNA10019</t>
  </si>
  <si>
    <t xml:space="preserve">MANUAL BREAST PUMP BASIC - STEM, BULK</t>
  </si>
  <si>
    <t xml:space="preserve">SNA10020</t>
  </si>
  <si>
    <t xml:space="preserve">MANUAL BREAST PUMP BASIC - PUMP BODY, BULK</t>
  </si>
  <si>
    <t xml:space="preserve">SNA10021</t>
  </si>
  <si>
    <t xml:space="preserve">BREAST PUMP BASIC EDITION MANUAL-BOTTLE STAND BULK</t>
  </si>
  <si>
    <t xml:space="preserve">SNA10022</t>
  </si>
  <si>
    <t xml:space="preserve">KPP 200 ML PRINTED BULK (P750J)</t>
  </si>
  <si>
    <t xml:space="preserve">XA108</t>
  </si>
  <si>
    <t xml:space="preserve">FEMININE HYGIENIC CLEANING TISSUE</t>
  </si>
  <si>
    <t xml:space="preserve">Hygiene for Women</t>
  </si>
  <si>
    <t xml:space="preserve">XA193</t>
  </si>
  <si>
    <t xml:space="preserve">NIPPLE WIPES 25SHEET</t>
  </si>
  <si>
    <t xml:space="preserve">XA194</t>
  </si>
  <si>
    <t xml:space="preserve">NIPPLE WIPES 50SHEET</t>
  </si>
  <si>
    <t xml:space="preserve">XA216</t>
  </si>
  <si>
    <t xml:space="preserve">PIGEON-MAMA SANITARY PAD 4 PCS XA216</t>
  </si>
  <si>
    <t xml:space="preserve">XA217</t>
  </si>
  <si>
    <t xml:space="preserve">PIGEON-MAMA NAPKIN L 6 PCS XA217</t>
  </si>
  <si>
    <t xml:space="preserve">XA218</t>
  </si>
  <si>
    <t xml:space="preserve">PIGEON-MAMA NAPKIN M 10 PCS XA218</t>
  </si>
  <si>
    <t xml:space="preserve">XA219</t>
  </si>
  <si>
    <t xml:space="preserve">PIGEON-MAMA NAPKIN S 20 PCS XA219</t>
  </si>
  <si>
    <t xml:space="preserve">XA230</t>
  </si>
  <si>
    <t xml:space="preserve">MATERNITY SHAPE UP BELT (S) XA230</t>
  </si>
  <si>
    <t xml:space="preserve">Maternity Inner</t>
  </si>
  <si>
    <t xml:space="preserve">XA231</t>
  </si>
  <si>
    <t xml:space="preserve">MATERNITY SHAPE UP BELT (M) XA231</t>
  </si>
  <si>
    <t xml:space="preserve">XA232</t>
  </si>
  <si>
    <t xml:space="preserve">MATERNITY SHAPE UP BELT (L) XA232</t>
  </si>
  <si>
    <t xml:space="preserve">XA233</t>
  </si>
  <si>
    <t xml:space="preserve">MATERNITY SHAPE UP BELT (XL) XA233</t>
  </si>
  <si>
    <t xml:space="preserve">XA234</t>
  </si>
  <si>
    <t xml:space="preserve">MATERNITY SHAPE UP BELT (XXL) XA234</t>
  </si>
  <si>
    <t xml:space="preserve">XA69</t>
  </si>
  <si>
    <t xml:space="preserve">SHAPE UP BELT (PINK/L) XA69</t>
  </si>
  <si>
    <t xml:space="preserve">XA70</t>
  </si>
  <si>
    <t xml:space="preserve">SHAPE UP BELT (PINK/LL) XA70</t>
  </si>
  <si>
    <t xml:space="preserve">XA71</t>
  </si>
  <si>
    <t xml:space="preserve">MATERNITY ADJUSTABLE BELT (PINK/M-L) XA71</t>
  </si>
  <si>
    <t xml:space="preserve">XA72</t>
  </si>
  <si>
    <t xml:space="preserve">MATERNITY ADJUSTABLE BELT (PINK/LL) XA72</t>
  </si>
  <si>
    <t xml:space="preserve">Z810</t>
  </si>
  <si>
    <t xml:space="preserve">COMBO PACK OF LIQUID CLEANSER (12960+12969)</t>
  </si>
  <si>
    <t xml:space="preserve">Z811</t>
  </si>
  <si>
    <t xml:space="preserve">LQ DETERTENT COMBO</t>
  </si>
  <si>
    <t xml:space="preserve">Z812</t>
  </si>
  <si>
    <t xml:space="preserve">GIFT SET-GIRL (PINK) Z812</t>
  </si>
  <si>
    <t xml:space="preserve">Baby Inner</t>
  </si>
  <si>
    <t xml:space="preserve">Z813</t>
  </si>
  <si>
    <t xml:space="preserve">GIFT SET-BOY ( BLUE ) Z813</t>
  </si>
  <si>
    <t xml:space="preserve">Z814</t>
  </si>
  <si>
    <t xml:space="preserve">PERISTALTIC NIPPLE JAR S SIZE (25 PCS NIPPLES)</t>
  </si>
  <si>
    <t xml:space="preserve">Z815</t>
  </si>
  <si>
    <t xml:space="preserve">PERISTALTIC NIPPLE JAR M SIZE (25 PCS NIPPLES)</t>
  </si>
  <si>
    <t xml:space="preserve">Z816</t>
  </si>
  <si>
    <t xml:space="preserve">PERISTALTIC NIPPLE JAR Y SIZE (25 PCS NIPPLES)</t>
  </si>
  <si>
    <t xml:space="preserve">Z817</t>
  </si>
  <si>
    <t xml:space="preserve">PERISTALTIC NIPPLE JAR L SIZE (25 PCS NIPPLES)</t>
  </si>
  <si>
    <t xml:space="preserve">Z819</t>
  </si>
  <si>
    <t xml:space="preserve">1 PILLOW &amp; 1 BOLSTER SET Z819</t>
  </si>
  <si>
    <t xml:space="preserve">Bedding</t>
  </si>
  <si>
    <t xml:space="preserve">Z825</t>
  </si>
  <si>
    <t xml:space="preserve">BABY BIB (BLUE &amp; YELLOW)</t>
  </si>
  <si>
    <t xml:space="preserve">Z827</t>
  </si>
  <si>
    <t xml:space="preserve">LIMITED EDITION BREAST PUMP</t>
  </si>
  <si>
    <t xml:space="preserve">Z827IN</t>
  </si>
  <si>
    <t xml:space="preserve">MANUAL BREAST PUMP BASIC EDITION</t>
  </si>
  <si>
    <t xml:space="preserve">Z828</t>
  </si>
  <si>
    <t xml:space="preserve">COTTON SWABS 200 PCS THIN COMBO PACK Z828</t>
  </si>
  <si>
    <t xml:space="preserve">Z829</t>
  </si>
  <si>
    <t xml:space="preserve">COTTON SWABS 200 PCS THICK COMBO PACK Z829</t>
  </si>
  <si>
    <t xml:space="preserve">Z830</t>
  </si>
  <si>
    <t xml:space="preserve">LIQUID CLEANSER WITH BRUSH COMBO PACK</t>
  </si>
  <si>
    <t xml:space="preserve">Z832</t>
  </si>
  <si>
    <t xml:space="preserve">LIQUID DETERGENT, WIPES &amp; DIAPER OFFER PACK</t>
  </si>
  <si>
    <t xml:space="preserve">Z833</t>
  </si>
  <si>
    <t xml:space="preserve">SKINCARE &amp; DIAPER SAMPLE OFFER PACK</t>
  </si>
  <si>
    <t xml:space="preserve">Z834</t>
  </si>
  <si>
    <t xml:space="preserve">BREASTFEED SET - BLACK</t>
  </si>
  <si>
    <t xml:space="preserve">Z835</t>
  </si>
  <si>
    <t xml:space="preserve">DIAPER PACK S 23</t>
  </si>
  <si>
    <t xml:space="preserve">Z836</t>
  </si>
  <si>
    <t xml:space="preserve">DIAPER PACK M 20</t>
  </si>
  <si>
    <t xml:space="preserve">Z837</t>
  </si>
  <si>
    <t xml:space="preserve">DIAPER PACK L 17</t>
  </si>
  <si>
    <t xml:space="preserve">Z838</t>
  </si>
  <si>
    <t xml:space="preserve">DIAPER PACK XL 15</t>
  </si>
  <si>
    <t xml:space="preserve">Z839</t>
  </si>
  <si>
    <t xml:space="preserve">MILKY LOTION COMBO PACK</t>
  </si>
  <si>
    <t xml:space="preserve">Z840</t>
  </si>
  <si>
    <t xml:space="preserve">MAX HOSPITAL GIFT BOX </t>
  </si>
  <si>
    <t xml:space="preserve">Z841</t>
  </si>
  <si>
    <t xml:space="preserve">ACTIVE BABY WASH COMBO PACK</t>
  </si>
  <si>
    <t xml:space="preserve">Z842</t>
  </si>
  <si>
    <t xml:space="preserve">BABY SHAMPOO COMBO PACK</t>
  </si>
  <si>
    <t xml:space="preserve">Z843</t>
  </si>
  <si>
    <t xml:space="preserve">BABY CARE SET</t>
  </si>
  <si>
    <t xml:space="preserve">Z844</t>
  </si>
  <si>
    <t xml:space="preserve">RPP ECO BOTTLE 1 PC</t>
  </si>
  <si>
    <t xml:space="preserve">Z844IN</t>
  </si>
  <si>
    <t xml:space="preserve">RPP ECO BOTTLE 1 PCs</t>
  </si>
  <si>
    <t xml:space="preserve">Z845</t>
  </si>
  <si>
    <t xml:space="preserve">RPP ECO 120ML BTLE 1 PC</t>
  </si>
  <si>
    <t xml:space="preserve">Z846</t>
  </si>
  <si>
    <t xml:space="preserve">GIFT BOX 6 PCS - CR</t>
  </si>
  <si>
    <t xml:space="preserve">Z847</t>
  </si>
  <si>
    <t xml:space="preserve">BREASTFEED SET MAROON Z847</t>
  </si>
  <si>
    <t xml:space="preserve">Z848</t>
  </si>
  <si>
    <t xml:space="preserve">WORKING MAMAs SET</t>
  </si>
  <si>
    <t xml:space="preserve">Z853</t>
  </si>
  <si>
    <t xml:space="preserve">BABY WASH 2 IN 1 COMBO</t>
  </si>
  <si>
    <t xml:space="preserve">Z858</t>
  </si>
  <si>
    <t xml:space="preserve">BREAST MILK STORAGE BAG 5PCS</t>
  </si>
  <si>
    <t xml:space="preserve">Z859</t>
  </si>
  <si>
    <t xml:space="preserve">BABY MILKY SOAP 75 GM (VALUE PACK 3 IN 1)</t>
  </si>
  <si>
    <t xml:space="preserve">PP</t>
  </si>
  <si>
    <t xml:space="preserve">NIPPLE S TYPE S SIZE WRAPPED</t>
  </si>
  <si>
    <t xml:space="preserve">NIPPLE S TYPE M SIZE WRAPPED</t>
  </si>
  <si>
    <t xml:space="preserve">NIPPLE S TYPE L SIZE WRAPPED</t>
  </si>
  <si>
    <t xml:space="preserve">NIPPLE S TYPE Y SIZE WRAPPED</t>
  </si>
  <si>
    <t xml:space="preserve">KPP 200 BOTTLE PRINTED-WMG3B (OZ SCALE)</t>
  </si>
  <si>
    <t xml:space="preserve">RPP 120 BOTTLE PRINTED-WMG3B (OZ SCALE)</t>
  </si>
  <si>
    <t xml:space="preserve">RPP 240 BOTTLE PRINTED-WMG3B (OZ SCALE)</t>
  </si>
  <si>
    <t xml:space="preserve">RPP BOTTLE 120 ML MOULDED-WMG3B</t>
  </si>
  <si>
    <t xml:space="preserve">RPP BOTTLE 240 ML MOULDED-WMG3B</t>
  </si>
  <si>
    <t xml:space="preserve">KPP BOTTLE 120 ML PRINTED-WMG3B</t>
  </si>
  <si>
    <t xml:space="preserve">RPP BOTTLE 120 ML PRINTED-WMG3B</t>
  </si>
  <si>
    <t xml:space="preserve">RPP BOTTLE 240 ML PRINTED-WMG3B</t>
  </si>
  <si>
    <t xml:space="preserve">RPP 120ML PINK BOTTLE MOLDED (WM3GB)</t>
  </si>
  <si>
    <t xml:space="preserve">RPP 120ML GIRL PINK BOTTLE PRINTED (WM3GB)</t>
  </si>
  <si>
    <t xml:space="preserve">RPP 120ML BOY BLUE BOTTLE PRINTED (WM3GB)</t>
  </si>
  <si>
    <t xml:space="preserve">FO060</t>
  </si>
  <si>
    <t xml:space="preserve">KPP 120ML PINK BOTTLE MOLDED (WMG3B)</t>
  </si>
  <si>
    <t xml:space="preserve">FO061</t>
  </si>
  <si>
    <t xml:space="preserve">KPP 200ML PINK BOTTLE MOLDED (WMG3B)</t>
  </si>
  <si>
    <t xml:space="preserve">FO062</t>
  </si>
  <si>
    <t xml:space="preserve">KPP 240ML PINK BOTTLE MOLDED (WMG3B)</t>
  </si>
  <si>
    <t xml:space="preserve">KPP 120ML PINK BOTTLE PRINTED (WMG3B)</t>
  </si>
  <si>
    <t xml:space="preserve">KPP 200ML PINK BOTTLE PRINTED (WMG3B)</t>
  </si>
  <si>
    <t xml:space="preserve">KPP 240ML PINK BOTTLE PRINTED (WMG3B)</t>
  </si>
  <si>
    <t xml:space="preserve">FO066</t>
  </si>
  <si>
    <t xml:space="preserve">KPP 120ML GREEN BOTTLE MOLDED (WMG3B)</t>
  </si>
  <si>
    <t xml:space="preserve">FO067</t>
  </si>
  <si>
    <t xml:space="preserve">KPP 200ML GREEN BOTTLE MOLDED (WMG3B)</t>
  </si>
  <si>
    <t xml:space="preserve">FO068</t>
  </si>
  <si>
    <t xml:space="preserve">KPP 240ML GREEN BOTTLE MOLDED (WMG3B)</t>
  </si>
  <si>
    <t xml:space="preserve">KPP 120ML GREEN BOTTLE PRINTED (WMG3B)</t>
  </si>
  <si>
    <t xml:space="preserve">KPP 200ML GREEN BOTTLE PRINTED (WMG3B)</t>
  </si>
  <si>
    <t xml:space="preserve">KPP 240ML GREEN BOTTLE PRINTED (WMG3B)</t>
  </si>
  <si>
    <t xml:space="preserve">RPP 120ML ABTRCT PINK BOTTLE PRINTED (WMG3B)</t>
  </si>
  <si>
    <t xml:space="preserve">RPP 240ML ABTRCT PINK BOTTLE PRINTED (WMG3B)</t>
  </si>
  <si>
    <t xml:space="preserve">RPP 120ML ABTRCT BULE BOTTLE PRINTED (WMG3B)</t>
  </si>
  <si>
    <t xml:space="preserve">RPP 240ML ABTRCT BULE BOTTLE PRINTED (WMG3B)</t>
  </si>
  <si>
    <t xml:space="preserve">RPP 120ML FLORLS PINK BOTTLE PRINTED (WMG3B)</t>
  </si>
  <si>
    <t xml:space="preserve">RPP 240ML FLORLS PINK BOTTLE PRINTED (WMG3B)</t>
  </si>
  <si>
    <t xml:space="preserve">RPP 120ML FLORLS BULE BOTTLE PRINTED (WMG3B)</t>
  </si>
  <si>
    <t xml:space="preserve">RPP 240ML FLORLS BULE BOTTLE PRINTED (WMG3B)</t>
  </si>
  <si>
    <t xml:space="preserve">RPP 120ML GREEN BOTTLE MOLDED (WMG3B)</t>
  </si>
  <si>
    <t xml:space="preserve">RPP 240ML GREEN BOTTLE MOLDED (WMG3B)</t>
  </si>
  <si>
    <t xml:space="preserve">RPP 120ML RACOON GREEN PRINTED (WM3GB)</t>
  </si>
  <si>
    <t xml:space="preserve">RPP 240ML DRAGON GREEN PRINTED (WM3GB)</t>
  </si>
  <si>
    <t xml:space="preserve">KPP 200ML BOTTLE PRINTED WITH LANSINOH LOGO</t>
  </si>
  <si>
    <t xml:space="preserve">KPP6_P</t>
  </si>
  <si>
    <t xml:space="preserve">RPP 120ML RACOON PINK PRINTED BULK (WM3GB)</t>
  </si>
  <si>
    <t xml:space="preserve">RPP 240ML DRAGON PINK PPRINTED BULK (WM3GB)</t>
  </si>
  <si>
    <t xml:space="preserve">RPP 120ML FLORAL BLUE BOTLE PNTD WM3GB W/BIS LOGO</t>
  </si>
  <si>
    <t xml:space="preserve">RPP 120 ML RPP PRINTED ELEPHANT</t>
  </si>
  <si>
    <t xml:space="preserve">RPP 240 ML RPP PRINTED BEE</t>
  </si>
  <si>
    <t xml:space="preserve">RPP 120 ML RPP PRINTED LION</t>
  </si>
  <si>
    <t xml:space="preserve">RPP 120 ML RPP PRINTED BUG</t>
  </si>
  <si>
    <t xml:space="preserve">RPP 240 ML RPP PRINTED DUCK</t>
  </si>
  <si>
    <t xml:space="preserve">RPP 240 ML RPP PRINTED GIRAFFE</t>
  </si>
  <si>
    <t xml:space="preserve">SQUEEZABLE -RPP 240ML PP BOTTLE PRINTED</t>
  </si>
  <si>
    <t xml:space="preserve">SN CRYSTAL CLEAR RPP BOTTLE (BULK) 240 ML ABSTRAC</t>
  </si>
  <si>
    <t xml:space="preserve">Z860</t>
  </si>
  <si>
    <t xml:space="preserve">LIQUID CLEANSER, REFILL 700ML COMBO (PACK OF 2)</t>
  </si>
  <si>
    <t xml:space="preserve">COMBO</t>
  </si>
  <si>
    <t xml:space="preserve">Z861</t>
  </si>
  <si>
    <t xml:space="preserve">BREAST PADS HONEYCOMB 12PCS BOX COMBO(PACK OF 2)</t>
  </si>
  <si>
    <t xml:space="preserve">Z862</t>
  </si>
  <si>
    <t xml:space="preserve">Z865</t>
  </si>
  <si>
    <t xml:space="preserve">STRAWBERRY TOOTHPASTE 45 GMS COMBO (PACK OF 2)</t>
  </si>
  <si>
    <t xml:space="preserve">Z866</t>
  </si>
  <si>
    <t xml:space="preserve">STRAWBERRY &amp; ORANGE TOOTHPASTE 45GM COMBO</t>
  </si>
  <si>
    <t xml:space="preserve">Z868</t>
  </si>
  <si>
    <t xml:space="preserve">BREAST PAD HONEYCOMB COMBO</t>
  </si>
  <si>
    <t xml:space="preserve">Z870</t>
  </si>
  <si>
    <t xml:space="preserve">LIQUID CLEANSER 200ML NATURAL</t>
  </si>
  <si>
    <t xml:space="preserve">REGULAR NECK MILK BOTTLE KPP 200ML TAIWAN</t>
  </si>
  <si>
    <t xml:space="preserve">Z871</t>
  </si>
  <si>
    <t xml:space="preserve">DETERGENT POWDER 200 GM COMBO</t>
  </si>
  <si>
    <t xml:space="preserve">Z872</t>
  </si>
  <si>
    <t xml:space="preserve">DETERGENT POWDER 200 GM COMBO (PACK OF 3)</t>
  </si>
  <si>
    <t xml:space="preserve">Z873</t>
  </si>
  <si>
    <t xml:space="preserve">BABY TRANSPARENT SOAP 75G COMBO PACK OF 3</t>
  </si>
  <si>
    <t xml:space="preserve">Z874</t>
  </si>
  <si>
    <t xml:space="preserve">BABY WIPES CHAMOMILE 80 SHEETS COMBO PACK OF 5</t>
  </si>
  <si>
    <t xml:space="preserve">Z875</t>
  </si>
  <si>
    <t xml:space="preserve">CHILDREN TOOTHPASTE ORANGE 45 GMS COMBO PACK OF 2</t>
  </si>
  <si>
    <t xml:space="preserve">Z863</t>
  </si>
  <si>
    <t xml:space="preserve">BABY WIPES CHAMOMILE 80 SHEETS COMBO (PACK OF 2)</t>
  </si>
  <si>
    <t xml:space="preserve">Z864</t>
  </si>
  <si>
    <t xml:space="preserve">BABY WIPES CHAMOMILE 80 SHEETS COMBO (PACK OF 3)</t>
  </si>
  <si>
    <t xml:space="preserve">Z867</t>
  </si>
  <si>
    <t xml:space="preserve">BREAST PADS HONEYCOMB COMBO (60 PCS + 36 PCS)</t>
  </si>
  <si>
    <t xml:space="preserve">Z869</t>
  </si>
  <si>
    <t xml:space="preserve">BABY WIPES CHAMOMILE 80 SHEETS COMBO (PACK OF 4)</t>
  </si>
  <si>
    <t xml:space="preserve">SOFTOUCH PERISTALTIC PLUS NIPPLE 1 PC LL</t>
  </si>
  <si>
    <t xml:space="preserve">RPP 50 ML BOTTLE MOLDED</t>
  </si>
  <si>
    <t xml:space="preserve">50 ML RPP BOTTLE PRINTED-WHALES</t>
  </si>
  <si>
    <t xml:space="preserve">RPP 240 ML BOTTLE PRINTED-ELEPHANT</t>
  </si>
  <si>
    <t xml:space="preserve">HOOD</t>
  </si>
  <si>
    <t xml:space="preserve">S-LL Size</t>
  </si>
  <si>
    <t xml:space="preserve">NIPPLE S TYPE LL SIZE POSTCURED</t>
  </si>
  <si>
    <t xml:space="preserve">CAP</t>
  </si>
  <si>
    <t xml:space="preserve">FO153</t>
  </si>
  <si>
    <t xml:space="preserve">RM000107</t>
  </si>
  <si>
    <t xml:space="preserve">CAP_RED</t>
  </si>
  <si>
    <t xml:space="preserve">RM000123</t>
  </si>
  <si>
    <t xml:space="preserve">CAP_PINK</t>
  </si>
  <si>
    <t xml:space="preserve">RM000114</t>
  </si>
  <si>
    <t xml:space="preserve">CAP_BLUE</t>
  </si>
  <si>
    <t xml:space="preserve">RM000115</t>
  </si>
  <si>
    <t xml:space="preserve">CAP_PALE BLUE</t>
  </si>
  <si>
    <t xml:space="preserve">RM000106</t>
  </si>
  <si>
    <t xml:space="preserve">CAP_WHITE</t>
  </si>
  <si>
    <t xml:space="preserve">RM000112</t>
  </si>
  <si>
    <t xml:space="preserve">CAP_YELLOW</t>
  </si>
  <si>
    <t xml:space="preserve">Average of Machine Availability</t>
  </si>
  <si>
    <t xml:space="preserve">Average of Quality Ratio</t>
  </si>
  <si>
    <t xml:space="preserve">Average of Effieciency</t>
  </si>
  <si>
    <t xml:space="preserve">Average of OEE</t>
  </si>
  <si>
    <t xml:space="preserve">S. No</t>
  </si>
  <si>
    <t xml:space="preserve">Sb section</t>
  </si>
  <si>
    <t xml:space="preserve">Operator Name</t>
  </si>
  <si>
    <t xml:space="preserve">Present</t>
  </si>
  <si>
    <t xml:space="preserve">GWR</t>
  </si>
  <si>
    <t xml:space="preserve">Bottle Molding</t>
  </si>
  <si>
    <t xml:space="preserve">BM</t>
  </si>
  <si>
    <t xml:space="preserve">BP</t>
  </si>
  <si>
    <t xml:space="preserve">Brij lal</t>
  </si>
  <si>
    <t xml:space="preserve">CM</t>
  </si>
  <si>
    <t xml:space="preserve">Printing</t>
  </si>
  <si>
    <t xml:space="preserve">Amit</t>
  </si>
  <si>
    <t xml:space="preserve">NMI</t>
  </si>
  <si>
    <t xml:space="preserve">sunny</t>
  </si>
  <si>
    <t xml:space="preserve">Geeta</t>
  </si>
  <si>
    <t xml:space="preserve">NPP</t>
  </si>
  <si>
    <t xml:space="preserve">Abhishek-1</t>
  </si>
  <si>
    <t xml:space="preserve">Ankush</t>
  </si>
  <si>
    <t xml:space="preserve">NP</t>
  </si>
  <si>
    <t xml:space="preserve">Nipple online inspection</t>
  </si>
  <si>
    <t xml:space="preserve">Sandeep-2</t>
  </si>
  <si>
    <t xml:space="preserve">Anshul</t>
  </si>
  <si>
    <t xml:space="preserve">NLM</t>
  </si>
  <si>
    <t xml:space="preserve">Ramesh Kumar</t>
  </si>
  <si>
    <t xml:space="preserve">Postcure</t>
  </si>
  <si>
    <t xml:space="preserve">Saurabh Kumar</t>
  </si>
  <si>
    <t xml:space="preserve">NI</t>
  </si>
  <si>
    <t xml:space="preserve">Nipple Punching</t>
  </si>
  <si>
    <t xml:space="preserve">Amresh</t>
  </si>
  <si>
    <t xml:space="preserve">WR</t>
  </si>
  <si>
    <t xml:space="preserve">Jitender</t>
  </si>
  <si>
    <t xml:space="preserve">Laser Marking</t>
  </si>
  <si>
    <t xml:space="preserve">Vikram</t>
  </si>
  <si>
    <t xml:space="preserve">IMM</t>
  </si>
  <si>
    <t xml:space="preserve">Parvinder </t>
  </si>
  <si>
    <t xml:space="preserve">Nipple Inspection offline</t>
  </si>
  <si>
    <t xml:space="preserve">Rajni</t>
  </si>
  <si>
    <t xml:space="preserve">AS</t>
  </si>
  <si>
    <t xml:space="preserve">Twinkle</t>
  </si>
  <si>
    <t xml:space="preserve">Wrapping</t>
  </si>
  <si>
    <t xml:space="preserve">Julie</t>
  </si>
  <si>
    <t xml:space="preserve">Aarti</t>
  </si>
  <si>
    <t xml:space="preserve">CAP/Hood Moulding</t>
  </si>
  <si>
    <t xml:space="preserve">Amit (New)</t>
  </si>
  <si>
    <t xml:space="preserve">Assembly</t>
  </si>
  <si>
    <t xml:space="preserve">Shashi</t>
  </si>
  <si>
    <t xml:space="preserve">Soni </t>
  </si>
  <si>
    <t xml:space="preserve">Monika</t>
  </si>
  <si>
    <t xml:space="preserve">Shivani</t>
  </si>
  <si>
    <t xml:space="preserve">Anju</t>
  </si>
  <si>
    <t xml:space="preserve">Soni Pal</t>
  </si>
  <si>
    <t xml:space="preserve">Tabssum</t>
  </si>
  <si>
    <t xml:space="preserve">Nikita</t>
  </si>
  <si>
    <t xml:space="preserve">Ruksana</t>
  </si>
  <si>
    <t xml:space="preserve">Resmina</t>
  </si>
  <si>
    <t xml:space="preserve">Vaishali</t>
  </si>
  <si>
    <t xml:space="preserve">Manisha</t>
  </si>
  <si>
    <t xml:space="preserve">Lauxmi</t>
  </si>
  <si>
    <t xml:space="preserve">Nidhi</t>
  </si>
  <si>
    <t xml:space="preserve">Bulbul</t>
  </si>
  <si>
    <t xml:space="preserve">Komal</t>
  </si>
  <si>
    <t xml:space="preserve">HIMANI</t>
  </si>
  <si>
    <t xml:space="preserve">KAJAL</t>
  </si>
  <si>
    <t xml:space="preserve">REKHA</t>
  </si>
  <si>
    <t xml:space="preserve">HOOD MOLDING</t>
  </si>
  <si>
    <t xml:space="preserve">HM</t>
  </si>
  <si>
    <t xml:space="preserve">BOTTLE MOLDING</t>
  </si>
  <si>
    <t xml:space="preserve">BOTTLE PRINTING</t>
  </si>
  <si>
    <t xml:space="preserve">NIPPLE MOLDING</t>
  </si>
  <si>
    <t xml:space="preserve">NIPPLE POSTCURING</t>
  </si>
  <si>
    <t xml:space="preserve">NIPPLE PUNCHING</t>
  </si>
  <si>
    <t xml:space="preserve">NP </t>
  </si>
  <si>
    <t xml:space="preserve">NIPPLE LASER</t>
  </si>
  <si>
    <t xml:space="preserve">NIPPLE WRAPING</t>
  </si>
  <si>
    <t xml:space="preserve">NW</t>
  </si>
  <si>
    <t xml:space="preserve">ASSEMBLY</t>
  </si>
  <si>
    <t xml:space="preserve">MOULD MAINTENANCE</t>
  </si>
  <si>
    <t xml:space="preserve">MM</t>
  </si>
  <si>
    <t xml:space="preserve">CAP/HOOD MOULDING</t>
  </si>
  <si>
    <t xml:space="preserve">Rework</t>
  </si>
  <si>
    <t xml:space="preserve">AR</t>
  </si>
  <si>
    <t xml:space="preserve">S. No.</t>
  </si>
  <si>
    <t xml:space="preserve">Std. cycle time</t>
  </si>
  <si>
    <t xml:space="preserve">Blow</t>
  </si>
  <si>
    <t xml:space="preserve">Bottle Total Rej %</t>
  </si>
  <si>
    <t xml:space="preserve">Punching</t>
  </si>
  <si>
    <t xml:space="preserve">Insp</t>
  </si>
  <si>
    <t xml:space="preserve">Wraping</t>
  </si>
  <si>
    <t xml:space="preserve">WRAPING</t>
  </si>
  <si>
    <t xml:space="preserve">Nipple Total Rej %</t>
  </si>
  <si>
    <t xml:space="preserve">Jan'17</t>
  </si>
  <si>
    <t xml:space="preserve">Feb'17</t>
  </si>
  <si>
    <t xml:space="preserve">Mar'17</t>
  </si>
  <si>
    <t xml:space="preserve">COMMULATIVE</t>
  </si>
  <si>
    <t xml:space="preserve">Mold Life Details</t>
  </si>
  <si>
    <t xml:space="preserve">Previous Life Balance</t>
  </si>
  <si>
    <t xml:space="preserve">Current Month Mold Shots</t>
  </si>
  <si>
    <t xml:space="preserve">Balance Life</t>
  </si>
  <si>
    <t xml:space="preserve">Old S-type nipple mold</t>
  </si>
  <si>
    <t xml:space="preserve">TOTAL  QTY/MONTH As Per 8 Hrs</t>
  </si>
  <si>
    <t xml:space="preserve">TOTAL  QTY/MONTH As Per 12 Hrs</t>
  </si>
  <si>
    <t xml:space="preserve">TOTAL  QTY/MONTH As Per 16 Hrs</t>
  </si>
  <si>
    <t xml:space="preserve">TOTAL  QTY/MONTH As Per 24 Hrs</t>
  </si>
  <si>
    <t xml:space="preserve">New S-type nipple mold</t>
  </si>
  <si>
    <t xml:space="preserve">KPP4 120 ml blow mold</t>
  </si>
  <si>
    <t xml:space="preserve">KPP6 200 ml blow mold</t>
  </si>
  <si>
    <t xml:space="preserve">KPP8 240 ml blow mold</t>
  </si>
  <si>
    <t xml:space="preserve">RPP4 120 ml blow mold</t>
  </si>
  <si>
    <t xml:space="preserve">RPP8 240 ml blow mold</t>
  </si>
  <si>
    <t xml:space="preserve">BM6</t>
  </si>
  <si>
    <t xml:space="preserve">RPP2 50ML blow mold</t>
  </si>
  <si>
    <t xml:space="preserve">BM7</t>
  </si>
  <si>
    <t xml:space="preserve">KPP8 240 ml blow mold-2</t>
  </si>
  <si>
    <t xml:space="preserve">Machine Life Details</t>
  </si>
  <si>
    <t xml:space="preserve">LIM machine 1</t>
  </si>
  <si>
    <t xml:space="preserve">LiM machine 2</t>
  </si>
  <si>
    <t xml:space="preserve">Blow 1</t>
  </si>
  <si>
    <t xml:space="preserve">Blow 2</t>
  </si>
  <si>
    <t xml:space="preserve">Punching 1</t>
  </si>
  <si>
    <t xml:space="preserve">Postcuring</t>
  </si>
  <si>
    <t xml:space="preserve">Printing 1</t>
  </si>
  <si>
    <t xml:space="preserve">Wrapping 1</t>
  </si>
  <si>
    <t xml:space="preserve">Lazer 1</t>
  </si>
  <si>
    <t xml:space="preserve">EXPORT</t>
  </si>
  <si>
    <t xml:space="preserve">N/A</t>
  </si>
  <si>
    <t xml:space="preserve">DOMESTIC</t>
  </si>
  <si>
    <t xml:space="preserve">BC22NaC22PaC22Pb</t>
  </si>
  <si>
    <t xml:space="preserve">BD26BaD27Pa</t>
  </si>
  <si>
    <t xml:space="preserve">Complete Blow Mold Changeover</t>
  </si>
  <si>
    <t xml:space="preserve">Complete LIM Molding Changeover</t>
  </si>
  <si>
    <t xml:space="preserve">Blow Mold Changeover</t>
  </si>
  <si>
    <t xml:space="preserve"> LIM Molding Changeover</t>
  </si>
  <si>
    <t xml:space="preserve">Printing Screen Changeover</t>
  </si>
  <si>
    <t xml:space="preserve">Unloading</t>
  </si>
  <si>
    <t xml:space="preserve">Temparature down</t>
  </si>
  <si>
    <t xml:space="preserve">Temparature down (Standby)</t>
  </si>
  <si>
    <t xml:space="preserve">Ink remove from screen and screen remove</t>
  </si>
  <si>
    <t xml:space="preserve">unloading</t>
  </si>
  <si>
    <t xml:space="preserve">Water drain and tube dismental</t>
  </si>
  <si>
    <t xml:space="preserve">Chiiler Drain</t>
  </si>
  <si>
    <t xml:space="preserve">Middle Plate move to cavity side</t>
  </si>
  <si>
    <t xml:space="preserve">Squeeze/Scraper remove </t>
  </si>
  <si>
    <t xml:space="preserve">Blow mold unloading</t>
  </si>
  <si>
    <t xml:space="preserve">Heater and tube dismental</t>
  </si>
  <si>
    <t xml:space="preserve">Main part removing </t>
  </si>
  <si>
    <t xml:space="preserve">Machine cleaning</t>
  </si>
  <si>
    <t xml:space="preserve">Heat pot unloading</t>
  </si>
  <si>
    <t xml:space="preserve">Prepare for unload</t>
  </si>
  <si>
    <t xml:space="preserve">Mold Cleaning</t>
  </si>
  <si>
    <t xml:space="preserve">Size pin removing</t>
  </si>
  <si>
    <t xml:space="preserve">Loading</t>
  </si>
  <si>
    <t xml:space="preserve">Neck Holder Setting/Bottle holder setting</t>
  </si>
  <si>
    <t xml:space="preserve">Screen arm/Squeeze arm remove</t>
  </si>
  <si>
    <t xml:space="preserve">Inj core unloading</t>
  </si>
  <si>
    <t xml:space="preserve">Bolt removing</t>
  </si>
  <si>
    <t xml:space="preserve">next Size pin fixing</t>
  </si>
  <si>
    <t xml:space="preserve">Squeeze Change</t>
  </si>
  <si>
    <t xml:space="preserve">Fixture/Zig Setting</t>
  </si>
  <si>
    <t xml:space="preserve">Lip mold unloading</t>
  </si>
  <si>
    <t xml:space="preserve">Unload by crane</t>
  </si>
  <si>
    <t xml:space="preserve">Main part block fixing</t>
  </si>
  <si>
    <t xml:space="preserve">Screen Fix/Capacity</t>
  </si>
  <si>
    <t xml:space="preserve">Screen arm/Squeeze arm Fix</t>
  </si>
  <si>
    <t xml:space="preserve">Heat core unloading</t>
  </si>
  <si>
    <t xml:space="preserve">Mold cleaning</t>
  </si>
  <si>
    <t xml:space="preserve">Blow mold loading</t>
  </si>
  <si>
    <t xml:space="preserve">Middle plate foixed to moving side</t>
  </si>
  <si>
    <t xml:space="preserve">Snap Off height (Top/Bottom)</t>
  </si>
  <si>
    <t xml:space="preserve">Blow core unloading</t>
  </si>
  <si>
    <t xml:space="preserve">Mold lifted and fix</t>
  </si>
  <si>
    <t xml:space="preserve">Alignment</t>
  </si>
  <si>
    <t xml:space="preserve">Heating</t>
  </si>
  <si>
    <t xml:space="preserve">Screen Setting </t>
  </si>
  <si>
    <t xml:space="preserve">Squeeze Setting</t>
  </si>
  <si>
    <t xml:space="preserve">HR unloading</t>
  </si>
  <si>
    <t xml:space="preserve">Alignment and clamping and tightening</t>
  </si>
  <si>
    <t xml:space="preserve">Cableing and piping</t>
  </si>
  <si>
    <t xml:space="preserve">Zero position</t>
  </si>
  <si>
    <t xml:space="preserve">Setting for printing</t>
  </si>
  <si>
    <t xml:space="preserve">Parameter</t>
  </si>
  <si>
    <t xml:space="preserve">Dry run</t>
  </si>
  <si>
    <t xml:space="preserve">Final setup</t>
  </si>
  <si>
    <t xml:space="preserve">Cycle time Set</t>
  </si>
  <si>
    <t xml:space="preserve">Heater and tube Fixing</t>
  </si>
  <si>
    <t xml:space="preserve">Heating </t>
  </si>
  <si>
    <t xml:space="preserve">Purging</t>
  </si>
  <si>
    <t xml:space="preserve">Total time(Min)</t>
  </si>
  <si>
    <t xml:space="preserve">Screen Setting</t>
  </si>
  <si>
    <t xml:space="preserve">shot 50%. 70% and full</t>
  </si>
  <si>
    <t xml:space="preserve">Total time(Hrs)</t>
  </si>
  <si>
    <t xml:space="preserve">HR loading</t>
  </si>
  <si>
    <t xml:space="preserve">Manual shot</t>
  </si>
  <si>
    <t xml:space="preserve">Blow core loading</t>
  </si>
  <si>
    <t xml:space="preserve">Heat pot core setting</t>
  </si>
  <si>
    <t xml:space="preserve">Heat core loading</t>
  </si>
  <si>
    <t xml:space="preserve">Model</t>
  </si>
  <si>
    <t xml:space="preserve">KPP to KPP and RPP to RPP</t>
  </si>
  <si>
    <t xml:space="preserve">KPP Domestic to KPP OZ (Vertical)</t>
  </si>
  <si>
    <t xml:space="preserve">KPP to RPP color</t>
  </si>
  <si>
    <t xml:space="preserve">Lip mold loading</t>
  </si>
  <si>
    <t xml:space="preserve">Inj core loading</t>
  </si>
  <si>
    <t xml:space="preserve">Heat pot loading</t>
  </si>
  <si>
    <t xml:space="preserve">HQ data</t>
  </si>
  <si>
    <t xml:space="preserve">NIPPLE INJECTION (Silicon)</t>
  </si>
  <si>
    <t xml:space="preserve">Aug</t>
  </si>
  <si>
    <t xml:space="preserve">Material Type</t>
  </si>
  <si>
    <t xml:space="preserve">Product wt.</t>
  </si>
  <si>
    <t xml:space="preserve">Unit</t>
  </si>
  <si>
    <t xml:space="preserve">Molded</t>
  </si>
  <si>
    <t xml:space="preserve">LIM 
MACHINE</t>
  </si>
  <si>
    <t xml:space="preserve">NIPPLE Size (S,M,L,Y)</t>
  </si>
  <si>
    <t xml:space="preserve">PRODUCTION QTY</t>
  </si>
  <si>
    <t xml:space="preserve">PCS</t>
  </si>
  <si>
    <t xml:space="preserve">GOOD QTY</t>
  </si>
  <si>
    <t xml:space="preserve">GOOD  RATE  %</t>
  </si>
  <si>
    <t xml:space="preserve">LINE REJ-</t>
  </si>
  <si>
    <t xml:space="preserve">SETUP QTY-</t>
  </si>
  <si>
    <t xml:space="preserve">QC SAMPLE-</t>
  </si>
  <si>
    <t xml:space="preserve">REJ RATE</t>
  </si>
  <si>
    <t xml:space="preserve">KG</t>
  </si>
  <si>
    <t xml:space="preserve">SETUP REJ RATE</t>
  </si>
  <si>
    <t xml:space="preserve">QC SAMPLE REJ RATE</t>
  </si>
  <si>
    <t xml:space="preserve">REMAINING DRUM  </t>
  </si>
  <si>
    <t xml:space="preserve">PURGHING</t>
  </si>
  <si>
    <t xml:space="preserve">PB-201</t>
  </si>
  <si>
    <t xml:space="preserve">MATERIAL USED </t>
  </si>
  <si>
    <t xml:space="preserve">Gram/Pcs</t>
  </si>
  <si>
    <t xml:space="preserve">GOOD USED </t>
  </si>
  <si>
    <t xml:space="preserve">REJECT RATE %</t>
  </si>
  <si>
    <t xml:space="preserve">SETUP REJ %</t>
  </si>
  <si>
    <t xml:space="preserve">QC SAMPLE REJ %</t>
  </si>
  <si>
    <t xml:space="preserve">REMAINING DRUM  %</t>
  </si>
  <si>
    <t xml:space="preserve">PURCHING %</t>
  </si>
  <si>
    <t xml:space="preserve">MATERIAL YIELD %</t>
  </si>
  <si>
    <t xml:space="preserve">MATERIAL YIELD TARGET</t>
  </si>
  <si>
    <t xml:space="preserve">HOOD INJECTION (RP348N HMC)</t>
  </si>
  <si>
    <t xml:space="preserve">HOOD INJECTION MACHINE</t>
  </si>
  <si>
    <t xml:space="preserve">SLIM NECK</t>
  </si>
  <si>
    <t xml:space="preserve">BOTTLE MOLDING ( PP-RP348N HMC)</t>
  </si>
  <si>
    <t xml:space="preserve">ASB 12M</t>
  </si>
  <si>
    <t xml:space="preserve">KPP4</t>
  </si>
  <si>
    <t xml:space="preserve">KPP6</t>
  </si>
  <si>
    <t xml:space="preserve">KPP8</t>
  </si>
  <si>
    <t xml:space="preserve">RPP4</t>
  </si>
  <si>
    <t xml:space="preserve">RPP8</t>
  </si>
  <si>
    <t xml:space="preserve">RPP8(SQ)</t>
  </si>
  <si>
    <t xml:space="preserve">50ML</t>
  </si>
  <si>
    <t xml:space="preserve">PP-HMC</t>
  </si>
  <si>
    <t xml:space="preserve">BOTTLE MOLDING (PP-WMG3B)</t>
  </si>
  <si>
    <t xml:space="preserve">PP-WMG3B</t>
  </si>
  <si>
    <t xml:space="preserve">Yield Ratio</t>
  </si>
  <si>
    <t xml:space="preserve">Ok consumed material</t>
  </si>
  <si>
    <t xml:space="preserve">Total Consumed material</t>
  </si>
  <si>
    <t xml:space="preserve">Total production</t>
  </si>
  <si>
    <t xml:space="preserve">Cap Injection machine</t>
  </si>
  <si>
    <t xml:space="preserve">PP-P700J</t>
  </si>
  <si>
    <t xml:space="preserve">Sl.</t>
  </si>
  <si>
    <t xml:space="preserve">SKU Description</t>
  </si>
  <si>
    <t xml:space="preserve">Okay Qty.</t>
  </si>
  <si>
    <t xml:space="preserve">Purge Material (in Kg.)</t>
  </si>
  <si>
    <t xml:space="preserve">Set Up Rejection</t>
  </si>
  <si>
    <t xml:space="preserve">Line Rejection</t>
  </si>
  <si>
    <t xml:space="preserve">QC Sample</t>
  </si>
  <si>
    <t xml:space="preserve">Set Up Rej. %</t>
  </si>
  <si>
    <t xml:space="preserve">Line Rejection %</t>
  </si>
  <si>
    <t xml:space="preserve">09.02.2021</t>
  </si>
  <si>
    <t xml:space="preserve">NIPPLE S TYPE L SIZE MOULDED</t>
  </si>
  <si>
    <t xml:space="preserve">10.02.2021</t>
  </si>
  <si>
    <t xml:space="preserve">NIPPLE S TYPE Y SIZE MOULDED</t>
  </si>
  <si>
    <t xml:space="preserve">12.02.2021</t>
  </si>
  <si>
    <t xml:space="preserve">16.02.2021</t>
  </si>
  <si>
    <t xml:space="preserve">17.02.2021</t>
  </si>
  <si>
    <t xml:space="preserve">NIPPLE S TYPE M SIZE MOULDED</t>
  </si>
  <si>
    <t xml:space="preserve">18.02.2021</t>
  </si>
  <si>
    <t xml:space="preserve">NIPPLE S TYPE S SIZE MOULDED</t>
  </si>
  <si>
    <t xml:space="preserve">19.02.2021</t>
  </si>
  <si>
    <t xml:space="preserve">FO136</t>
  </si>
  <si>
    <t xml:space="preserve">NIPPLE S TYPE LL SIZE MOULDED</t>
  </si>
</sst>
</file>

<file path=xl/styles.xml><?xml version="1.0" encoding="utf-8"?>
<styleSheet xmlns="http://schemas.openxmlformats.org/spreadsheetml/2006/main">
  <numFmts count="43">
    <numFmt numFmtId="164" formatCode="General"/>
    <numFmt numFmtId="165" formatCode="#,##0.000"/>
    <numFmt numFmtId="166" formatCode="\฿#,##0;[RED]&quot;-฿&quot;#,##0"/>
    <numFmt numFmtId="167" formatCode="#,##0.00;[RED]\-#,##0.00"/>
    <numFmt numFmtId="168" formatCode="\ * #,##0\ ;\ * \(#,##0\);\ * \-#\ ;\ @\ "/>
    <numFmt numFmtId="169" formatCode="\ * #,##0.00\ ;\-* #,##0.00\ ;\ * \-#\ ;\ @\ "/>
    <numFmt numFmtId="170" formatCode="\ * #,##0.00\ ;\ * \(#,##0.00\);\ * \-#\ ;\ @\ "/>
    <numFmt numFmtId="171" formatCode="\ * #,##0.00\ ;\ * \-#,##0.00\ ;\ * \-#\ ;\ @\ "/>
    <numFmt numFmtId="172" formatCode="\ * #,##0.00\ ;\-* #,##0.00\ ;\ * &quot;- &quot;;\ @\ "/>
    <numFmt numFmtId="173" formatCode="0.000"/>
    <numFmt numFmtId="174" formatCode="#,##0;[RED]\-#,##0"/>
    <numFmt numFmtId="175" formatCode="\ * #,##0\ ;\ * \-#,##0\ ;\ * &quot;- &quot;;\ @\ "/>
    <numFmt numFmtId="176" formatCode="&quot;Yes&quot;;&quot;Yes&quot;;&quot;No&quot;"/>
    <numFmt numFmtId="177" formatCode="&quot; S$&quot;* #,##0.00\ ;&quot;-S$&quot;* #,##0.00\ ;&quot; S$&quot;* \-#\ ;\ @\ "/>
    <numFmt numFmtId="178" formatCode="* \(#,##0\);* #,##0\ ;\-#\ ;@"/>
    <numFmt numFmtId="179" formatCode="\ * #,##0&quot;      &quot;;\-* #,##0&quot;      &quot;;\ * &quot;-      &quot;;\ @\ "/>
    <numFmt numFmtId="180" formatCode="* #,##0\ ;* \(#,##0\);\-#\ ;@"/>
    <numFmt numFmtId="181" formatCode="\ * #,##0.00&quot;      &quot;;\-* #,##0.00&quot;      &quot;;\ * \-#&quot;      &quot;;\ @\ "/>
    <numFmt numFmtId="182" formatCode="[$€-4009]* #,##0.00\ ;[$€-4009]* \(#,##0.00\);[$€-4009]* \-#\ "/>
    <numFmt numFmtId="183" formatCode="0"/>
    <numFmt numFmtId="184" formatCode="#,##0;\-#,##0"/>
    <numFmt numFmtId="185" formatCode="&quot;฿t&quot;#,##0\ ;[RED]&quot;(฿t&quot;#,##0\)"/>
    <numFmt numFmtId="186" formatCode="0%"/>
    <numFmt numFmtId="187" formatCode="0.00%"/>
    <numFmt numFmtId="188" formatCode="\ * #,##0\ ;\-* #,##0\ ;\ * &quot;- &quot;;\ @\ "/>
    <numFmt numFmtId="189" formatCode="&quot; ฿&quot;* #,##0\ ;&quot;-฿&quot;* #,##0\ ;&quot; ฿&quot;* &quot;- &quot;;\ @\ "/>
    <numFmt numFmtId="190" formatCode="&quot; ฿&quot;* #,##0.00\ ;&quot;-฿&quot;* #,##0.00\ ;&quot; ฿&quot;* \-#\ ;\ @\ "/>
    <numFmt numFmtId="191" formatCode="\¥#,##0.00;[RED]&quot;-¥&quot;#,##0.00"/>
    <numFmt numFmtId="192" formatCode="\¥#,##0;[RED]&quot;-¥&quot;#,##0"/>
    <numFmt numFmtId="193" formatCode="dd/mm/yyyy"/>
    <numFmt numFmtId="194" formatCode="#,##0\ ;\-#,##0\ "/>
    <numFmt numFmtId="195" formatCode="dd/mmm"/>
    <numFmt numFmtId="196" formatCode="General"/>
    <numFmt numFmtId="197" formatCode="[$-409]d\-mmm;@"/>
    <numFmt numFmtId="198" formatCode="0.0"/>
    <numFmt numFmtId="199" formatCode="\ * #,##0\ ;\-* #,##0\ ;\ * \-#\ ;\ @\ "/>
    <numFmt numFmtId="200" formatCode="\ * #,##0.0\ ;\-* #,##0.0\ ;\ * \-#\ ;\ @\ "/>
    <numFmt numFmtId="201" formatCode="0.0%"/>
    <numFmt numFmtId="202" formatCode="0.00"/>
    <numFmt numFmtId="203" formatCode="#,##0"/>
    <numFmt numFmtId="204" formatCode="mm/yy"/>
    <numFmt numFmtId="205" formatCode="0.0000"/>
    <numFmt numFmtId="206" formatCode="\ * #,##0\ ;\ * \-#,##0\ ;\ * \-#\ ;\ @\ "/>
  </numFmts>
  <fonts count="119">
    <font>
      <sz val="11"/>
      <name val="Calibri"/>
      <family val="0"/>
    </font>
    <font>
      <sz val="10"/>
      <name val="Arial"/>
      <family val="0"/>
    </font>
    <font>
      <sz val="10"/>
      <name val="Arial"/>
      <family val="0"/>
    </font>
    <font>
      <sz val="10"/>
      <name val="Arial"/>
      <family val="0"/>
    </font>
    <font>
      <sz val="11"/>
      <color rgb="FF000000"/>
      <name val="ＭＳ Ｐゴシック"/>
      <family val="3"/>
    </font>
    <font>
      <sz val="11"/>
      <color rgb="FF000000"/>
      <name val="宋体"/>
      <family val="3"/>
    </font>
    <font>
      <sz val="11"/>
      <color rgb="FFFFFFFF"/>
      <name val="ＭＳ Ｐゴシック"/>
      <family val="3"/>
    </font>
    <font>
      <sz val="11"/>
      <color rgb="FFFFFFFF"/>
      <name val="宋体"/>
      <family val="3"/>
    </font>
    <font>
      <sz val="11"/>
      <color rgb="FF9C0006"/>
      <name val="Calibri"/>
      <family val="2"/>
    </font>
    <font>
      <sz val="11"/>
      <name val="ＭＳ Ｐゴシック"/>
      <family val="3"/>
    </font>
    <font>
      <sz val="12"/>
      <name val="Arial"/>
      <family val="2"/>
    </font>
    <font>
      <sz val="10"/>
      <name val="Times New Roman"/>
      <family val="1"/>
    </font>
    <font>
      <sz val="1"/>
      <color rgb="FF000000"/>
      <name val="Courier New"/>
      <family val="3"/>
    </font>
    <font>
      <sz val="8"/>
      <name val="Arial"/>
      <family val="2"/>
    </font>
    <font>
      <b val="true"/>
      <sz val="12"/>
      <name val="Arial"/>
      <family val="2"/>
    </font>
    <font>
      <u val="single"/>
      <sz val="11"/>
      <color rgb="FF0000FF"/>
      <name val="Calibri"/>
      <family val="2"/>
    </font>
    <font>
      <u val="single"/>
      <sz val="11"/>
      <color rgb="FF0563C1"/>
      <name val="Calibri"/>
      <family val="2"/>
    </font>
    <font>
      <sz val="10"/>
      <name val="ＭＳ ゴシック"/>
      <family val="3"/>
    </font>
    <font>
      <sz val="7"/>
      <name val="Small Fonts"/>
      <family val="2"/>
    </font>
    <font>
      <sz val="11"/>
      <color rgb="FF000000"/>
      <name val="メイリオ"/>
      <family val="2"/>
    </font>
    <font>
      <sz val="11"/>
      <color rgb="FF000000"/>
      <name val="Calibri"/>
      <family val="2"/>
    </font>
    <font>
      <sz val="10"/>
      <name val="Tahoma"/>
      <family val="2"/>
    </font>
    <font>
      <sz val="10"/>
      <name val="Arial"/>
      <family val="2"/>
    </font>
    <font>
      <sz val="14"/>
      <name val="Cordia New"/>
      <family val="2"/>
    </font>
    <font>
      <sz val="11"/>
      <name val="Calibri"/>
      <family val="2"/>
    </font>
    <font>
      <sz val="11"/>
      <color rgb="FF000000"/>
      <name val="Arial"/>
      <family val="2"/>
    </font>
    <font>
      <b val="true"/>
      <sz val="11"/>
      <name val="Calibri"/>
      <family val="0"/>
    </font>
    <font>
      <sz val="10"/>
      <color rgb="FF000000"/>
      <name val="Arial"/>
      <family val="2"/>
    </font>
    <font>
      <sz val="11"/>
      <color rgb="FF808000"/>
      <name val="ＭＳ Ｐゴシック"/>
      <family val="3"/>
    </font>
    <font>
      <b val="true"/>
      <sz val="18"/>
      <color rgb="FF333399"/>
      <name val="ＭＳ Ｐゴシック"/>
      <family val="3"/>
    </font>
    <font>
      <b val="true"/>
      <sz val="11"/>
      <color rgb="FFFFFFFF"/>
      <name val="ＭＳ Ｐゴシック"/>
      <family val="3"/>
    </font>
    <font>
      <sz val="11"/>
      <color rgb="FFFF0000"/>
      <name val="ＭＳ Ｐゴシック"/>
      <family val="3"/>
    </font>
    <font>
      <sz val="11"/>
      <color rgb="FF333399"/>
      <name val="ＭＳ Ｐゴシック"/>
      <family val="3"/>
    </font>
    <font>
      <b val="true"/>
      <sz val="11"/>
      <color rgb="FF333333"/>
      <name val="ＭＳ Ｐゴシック"/>
      <family val="3"/>
    </font>
    <font>
      <sz val="11"/>
      <color rgb="FF008000"/>
      <name val="宋体"/>
      <family val="3"/>
    </font>
    <font>
      <sz val="11"/>
      <color rgb="FF800080"/>
      <name val="宋体"/>
      <family val="3"/>
    </font>
    <font>
      <sz val="14"/>
      <color rgb="FF000000"/>
      <name val="CordiaUPC"/>
      <family val="2"/>
    </font>
    <font>
      <sz val="11"/>
      <color rgb="FF800080"/>
      <name val="ＭＳ Ｐゴシック"/>
      <family val="3"/>
    </font>
    <font>
      <b val="true"/>
      <sz val="18"/>
      <color rgb="FF003366"/>
      <name val="宋体"/>
      <family val="3"/>
    </font>
    <font>
      <b val="true"/>
      <sz val="15"/>
      <color rgb="FF003366"/>
      <name val="宋体"/>
      <family val="3"/>
    </font>
    <font>
      <b val="true"/>
      <sz val="13"/>
      <color rgb="FF003366"/>
      <name val="宋体"/>
      <family val="3"/>
    </font>
    <font>
      <b val="true"/>
      <sz val="11"/>
      <color rgb="FF003366"/>
      <name val="宋体"/>
      <family val="3"/>
    </font>
    <font>
      <b val="true"/>
      <sz val="11"/>
      <color rgb="FFFFFFFF"/>
      <name val="宋体"/>
      <family val="3"/>
    </font>
    <font>
      <b val="true"/>
      <sz val="11"/>
      <color rgb="FF000000"/>
      <name val="宋体"/>
      <family val="3"/>
    </font>
    <font>
      <sz val="11"/>
      <color rgb="FF008000"/>
      <name val="ＭＳ Ｐゴシック"/>
      <family val="3"/>
    </font>
    <font>
      <b val="true"/>
      <sz val="15"/>
      <color rgb="FF333399"/>
      <name val="ＭＳ Ｐゴシック"/>
      <family val="3"/>
    </font>
    <font>
      <b val="true"/>
      <sz val="13"/>
      <color rgb="FF333399"/>
      <name val="ＭＳ Ｐゴシック"/>
      <family val="3"/>
    </font>
    <font>
      <b val="true"/>
      <sz val="11"/>
      <color rgb="FF333399"/>
      <name val="ＭＳ Ｐゴシック"/>
      <family val="3"/>
    </font>
    <font>
      <i val="true"/>
      <sz val="11"/>
      <color rgb="FF808080"/>
      <name val="宋体"/>
      <family val="3"/>
    </font>
    <font>
      <b val="true"/>
      <sz val="11"/>
      <color rgb="FFFF0000"/>
      <name val="ＭＳ Ｐゴシック"/>
      <family val="3"/>
    </font>
    <font>
      <i val="true"/>
      <sz val="11"/>
      <color rgb="FF808080"/>
      <name val="ＭＳ Ｐゴシック"/>
      <family val="3"/>
    </font>
    <font>
      <sz val="11"/>
      <color rgb="FFFF0000"/>
      <name val="宋体"/>
      <family val="3"/>
    </font>
    <font>
      <b val="true"/>
      <sz val="11"/>
      <color rgb="FFFF9900"/>
      <name val="宋体"/>
      <family val="3"/>
    </font>
    <font>
      <sz val="11"/>
      <color rgb="FF333399"/>
      <name val="宋体"/>
      <family val="3"/>
    </font>
    <font>
      <b val="true"/>
      <sz val="11"/>
      <color rgb="FF333333"/>
      <name val="宋体"/>
      <family val="3"/>
    </font>
    <font>
      <sz val="11"/>
      <color rgb="FF993300"/>
      <name val="宋体"/>
      <family val="3"/>
    </font>
    <font>
      <sz val="11"/>
      <color rgb="FFFF9900"/>
      <name val="宋体"/>
      <family val="3"/>
    </font>
    <font>
      <b val="true"/>
      <sz val="11"/>
      <color rgb="FF000000"/>
      <name val="ＭＳ Ｐゴシック"/>
      <family val="3"/>
    </font>
    <font>
      <b val="true"/>
      <sz val="12"/>
      <name val="Calibri"/>
      <family val="2"/>
    </font>
    <font>
      <b val="true"/>
      <sz val="11"/>
      <name val="Calibri"/>
      <family val="2"/>
    </font>
    <font>
      <sz val="11"/>
      <color rgb="FFFF0000"/>
      <name val="Calibri"/>
      <family val="2"/>
    </font>
    <font>
      <b val="true"/>
      <i val="true"/>
      <u val="single"/>
      <sz val="18"/>
      <name val="Calibri"/>
      <family val="2"/>
    </font>
    <font>
      <b val="true"/>
      <i val="true"/>
      <sz val="18"/>
      <name val="Calibri"/>
      <family val="2"/>
    </font>
    <font>
      <b val="true"/>
      <i val="true"/>
      <sz val="11"/>
      <name val="Calibri"/>
      <family val="2"/>
    </font>
    <font>
      <i val="true"/>
      <sz val="11"/>
      <name val="Calibri"/>
      <family val="2"/>
    </font>
    <font>
      <i val="true"/>
      <sz val="11"/>
      <color rgb="FFFF0000"/>
      <name val="Calibri"/>
      <family val="2"/>
    </font>
    <font>
      <i val="true"/>
      <sz val="11"/>
      <color rgb="FFFFFFFF"/>
      <name val="Calibri"/>
      <family val="2"/>
    </font>
    <font>
      <b val="true"/>
      <i val="true"/>
      <sz val="11"/>
      <color rgb="FF000000"/>
      <name val="Calibri"/>
      <family val="2"/>
    </font>
    <font>
      <i val="true"/>
      <sz val="11"/>
      <color rgb="FF000000"/>
      <name val="Calibri"/>
      <family val="2"/>
    </font>
    <font>
      <b val="true"/>
      <i val="true"/>
      <sz val="10"/>
      <color rgb="FF000000"/>
      <name val="Tahoma"/>
      <family val="2"/>
    </font>
    <font>
      <sz val="18"/>
      <name val="Calibri"/>
      <family val="2"/>
    </font>
    <font>
      <sz val="11"/>
      <color rgb="FF000000"/>
      <name val="Calibri"/>
      <family val="0"/>
    </font>
    <font>
      <sz val="9"/>
      <color rgb="FF000000"/>
      <name val="Tahoma"/>
      <family val="2"/>
    </font>
    <font>
      <b val="true"/>
      <sz val="9"/>
      <color rgb="FF000000"/>
      <name val="Tahoma"/>
      <family val="2"/>
    </font>
    <font>
      <sz val="9"/>
      <color rgb="FF595959"/>
      <name val="Calibri"/>
      <family val="2"/>
    </font>
    <font>
      <b val="true"/>
      <sz val="11"/>
      <color rgb="FF000000"/>
      <name val="Calibri"/>
      <family val="2"/>
    </font>
    <font>
      <sz val="10"/>
      <color rgb="FF000000"/>
      <name val="Calibri"/>
      <family val="2"/>
    </font>
    <font>
      <sz val="10"/>
      <color rgb="FFFF0000"/>
      <name val="Calibri"/>
      <family val="2"/>
    </font>
    <font>
      <sz val="10"/>
      <color rgb="FFFFFFFF"/>
      <name val="Calibri"/>
      <family val="2"/>
    </font>
    <font>
      <b val="true"/>
      <sz val="20"/>
      <name val="Calibri"/>
      <family val="2"/>
    </font>
    <font>
      <b val="true"/>
      <sz val="11"/>
      <color rgb="FFFF0000"/>
      <name val="Calibri"/>
      <family val="2"/>
    </font>
    <font>
      <b val="true"/>
      <sz val="10"/>
      <color rgb="FF000000"/>
      <name val="Calibri"/>
      <family val="2"/>
    </font>
    <font>
      <b val="true"/>
      <sz val="10"/>
      <color rgb="FFFF0000"/>
      <name val="Calibri"/>
      <family val="2"/>
    </font>
    <font>
      <i val="true"/>
      <sz val="10"/>
      <color rgb="FF000000"/>
      <name val="Calibri"/>
      <family val="2"/>
    </font>
    <font>
      <b val="true"/>
      <i val="true"/>
      <sz val="10"/>
      <color rgb="FF000000"/>
      <name val="Calibri"/>
      <family val="2"/>
    </font>
    <font>
      <b val="true"/>
      <sz val="10"/>
      <name val="Calibri"/>
      <family val="2"/>
    </font>
    <font>
      <i val="true"/>
      <sz val="10"/>
      <color rgb="FFFF0000"/>
      <name val="Calibri"/>
      <family val="2"/>
    </font>
    <font>
      <i val="true"/>
      <sz val="10"/>
      <color rgb="FFFFFFFF"/>
      <name val="Calibri"/>
      <family val="2"/>
    </font>
    <font>
      <sz val="8"/>
      <color rgb="FF000000"/>
      <name val="Times New Roman"/>
      <family val="1"/>
    </font>
    <font>
      <b val="true"/>
      <sz val="8"/>
      <color rgb="FF000000"/>
      <name val="Times New Roman"/>
      <family val="1"/>
    </font>
    <font>
      <sz val="11"/>
      <color rgb="FF000000"/>
      <name val="Times New Roman"/>
      <family val="1"/>
    </font>
    <font>
      <sz val="8"/>
      <color rgb="FFFF0000"/>
      <name val="Times New Roman"/>
      <family val="1"/>
    </font>
    <font>
      <b val="true"/>
      <sz val="36"/>
      <color rgb="FF000000"/>
      <name val="Calibri"/>
      <family val="2"/>
    </font>
    <font>
      <b val="true"/>
      <sz val="30"/>
      <name val="Calibri"/>
      <family val="2"/>
    </font>
    <font>
      <b val="true"/>
      <sz val="26"/>
      <name val="Calibri"/>
      <family val="2"/>
    </font>
    <font>
      <b val="true"/>
      <sz val="18"/>
      <name val="Calibri"/>
      <family val="2"/>
    </font>
    <font>
      <b val="true"/>
      <sz val="11"/>
      <name val="PIGEON alp"/>
      <family val="0"/>
    </font>
    <font>
      <sz val="11"/>
      <color rgb="FFFFFFFF"/>
      <name val="Calibri"/>
      <family val="2"/>
    </font>
    <font>
      <b val="true"/>
      <sz val="16"/>
      <name val="Calibri"/>
      <family val="2"/>
    </font>
    <font>
      <b val="true"/>
      <sz val="11"/>
      <color rgb="FFFFFFFF"/>
      <name val="PIGEON alp"/>
      <family val="0"/>
    </font>
    <font>
      <sz val="11"/>
      <color rgb="FFFFFFFF"/>
      <name val="PIGEON alp"/>
      <family val="0"/>
    </font>
    <font>
      <b val="true"/>
      <sz val="11"/>
      <color rgb="FF000000"/>
      <name val="PIGEON alp"/>
      <family val="0"/>
    </font>
    <font>
      <sz val="11"/>
      <name val="PIGEON alp"/>
      <family val="0"/>
    </font>
    <font>
      <b val="true"/>
      <sz val="11"/>
      <name val="Pi"/>
      <family val="0"/>
    </font>
    <font>
      <b val="true"/>
      <sz val="28"/>
      <name val="Calibri"/>
      <family val="2"/>
    </font>
    <font>
      <sz val="14"/>
      <color rgb="FF595959"/>
      <name val="Calibri"/>
      <family val="2"/>
    </font>
    <font>
      <sz val="9"/>
      <color rgb="FF404040"/>
      <name val="Calibri"/>
      <family val="2"/>
    </font>
    <font>
      <b val="true"/>
      <sz val="14"/>
      <color rgb="FF595959"/>
      <name val="Calibri"/>
      <family val="2"/>
    </font>
    <font>
      <b val="true"/>
      <sz val="9"/>
      <color rgb="FF595959"/>
      <name val="Calibri"/>
      <family val="2"/>
    </font>
    <font>
      <b val="true"/>
      <sz val="14"/>
      <name val="Calibri"/>
      <family val="2"/>
    </font>
    <font>
      <b val="true"/>
      <sz val="8"/>
      <name val="Calibri"/>
      <family val="2"/>
    </font>
    <font>
      <b val="true"/>
      <sz val="8"/>
      <name val="Arial"/>
      <family val="2"/>
    </font>
    <font>
      <b val="true"/>
      <sz val="22"/>
      <color rgb="FF000000"/>
      <name val="Calibri"/>
      <family val="2"/>
    </font>
    <font>
      <sz val="9"/>
      <color rgb="FF000000"/>
      <name val="Arial Narrow"/>
      <family val="2"/>
    </font>
    <font>
      <b val="true"/>
      <sz val="12"/>
      <color rgb="FFFF0000"/>
      <name val="Arial Narrow"/>
      <family val="2"/>
    </font>
    <font>
      <b val="true"/>
      <sz val="12"/>
      <name val="Arial Narrow"/>
      <family val="2"/>
    </font>
    <font>
      <sz val="9"/>
      <name val="Arial Narrow"/>
      <family val="2"/>
    </font>
    <font>
      <b val="true"/>
      <sz val="10"/>
      <color rgb="FFFF0000"/>
      <name val="Arial Narrow"/>
      <family val="2"/>
    </font>
    <font>
      <b val="true"/>
      <sz val="9"/>
      <color rgb="FF000000"/>
      <name val="Arial Narrow"/>
      <family val="2"/>
    </font>
  </fonts>
  <fills count="48">
    <fill>
      <patternFill patternType="none"/>
    </fill>
    <fill>
      <patternFill patternType="gray125"/>
    </fill>
    <fill>
      <patternFill patternType="solid">
        <fgColor rgb="FF99CCFF"/>
        <bgColor rgb="FF9DC3E6"/>
      </patternFill>
    </fill>
    <fill>
      <patternFill patternType="solid">
        <fgColor rgb="FFFF8080"/>
        <bgColor rgb="FFED7D31"/>
      </patternFill>
    </fill>
    <fill>
      <patternFill patternType="solid">
        <fgColor rgb="FFFFFFCC"/>
        <bgColor rgb="FFFFF2CC"/>
      </patternFill>
    </fill>
    <fill>
      <patternFill patternType="solid">
        <fgColor rgb="FFFFCC99"/>
        <bgColor rgb="FFF8CBAD"/>
      </patternFill>
    </fill>
    <fill>
      <patternFill patternType="solid">
        <fgColor rgb="FFCCFFFF"/>
        <bgColor rgb="FFCCFFCC"/>
      </patternFill>
    </fill>
    <fill>
      <patternFill patternType="darkGray">
        <fgColor rgb="FFBED7F1"/>
        <bgColor rgb="FFB4C7E7"/>
      </patternFill>
    </fill>
    <fill>
      <patternFill patternType="solid">
        <fgColor rgb="FFFF99CC"/>
        <bgColor rgb="FFF4B183"/>
      </patternFill>
    </fill>
    <fill>
      <patternFill patternType="solid">
        <fgColor rgb="FFCCFFCC"/>
        <bgColor rgb="FFCCFFFF"/>
      </patternFill>
    </fill>
    <fill>
      <patternFill patternType="solid">
        <fgColor rgb="FFCC99FF"/>
        <bgColor rgb="FFFF99CC"/>
      </patternFill>
    </fill>
    <fill>
      <patternFill patternType="solid">
        <fgColor rgb="FFFFFF99"/>
        <bgColor rgb="FFFFFFCC"/>
      </patternFill>
    </fill>
    <fill>
      <patternFill patternType="solid">
        <fgColor rgb="FF00FF00"/>
        <bgColor rgb="FF33CCCC"/>
      </patternFill>
    </fill>
    <fill>
      <patternFill patternType="solid">
        <fgColor rgb="FFFFCC00"/>
        <bgColor rgb="FFFFC000"/>
      </patternFill>
    </fill>
    <fill>
      <patternFill patternType="solid">
        <fgColor rgb="FFFF6600"/>
        <bgColor rgb="FFED7D31"/>
      </patternFill>
    </fill>
    <fill>
      <patternFill patternType="solid">
        <fgColor rgb="FF0064C8"/>
        <bgColor rgb="FF2E75B6"/>
      </patternFill>
    </fill>
    <fill>
      <patternFill patternType="solid">
        <fgColor rgb="FF800080"/>
        <bgColor rgb="FF9C0006"/>
      </patternFill>
    </fill>
    <fill>
      <patternFill patternType="solid">
        <fgColor rgb="FF33CCCC"/>
        <bgColor rgb="FF5B9BD5"/>
      </patternFill>
    </fill>
    <fill>
      <patternFill patternType="solid">
        <fgColor rgb="FFFF9900"/>
        <bgColor rgb="FFED7D31"/>
      </patternFill>
    </fill>
    <fill>
      <patternFill patternType="solid">
        <fgColor rgb="FFFFC7CE"/>
        <bgColor rgb="FFF8CBAD"/>
      </patternFill>
    </fill>
    <fill>
      <patternFill patternType="solid">
        <fgColor rgb="FFC0C0C0"/>
        <bgColor rgb="FFADB9CA"/>
      </patternFill>
    </fill>
    <fill>
      <patternFill patternType="solid">
        <fgColor rgb="FF003366"/>
        <bgColor rgb="FF333399"/>
      </patternFill>
    </fill>
    <fill>
      <patternFill patternType="solid">
        <fgColor rgb="FF5D5D61"/>
        <bgColor rgb="FF6F5249"/>
      </patternFill>
    </fill>
    <fill>
      <patternFill patternType="solid">
        <fgColor rgb="FFFF0000"/>
        <bgColor rgb="FFFF3300"/>
      </patternFill>
    </fill>
    <fill>
      <patternFill patternType="solid">
        <fgColor rgb="FF969696"/>
        <bgColor rgb="FF8497B0"/>
      </patternFill>
    </fill>
    <fill>
      <patternFill patternType="solid">
        <fgColor rgb="FFFFFFFF"/>
        <bgColor rgb="FFFFFFCC"/>
      </patternFill>
    </fill>
    <fill>
      <patternFill patternType="solid">
        <fgColor rgb="FF333399"/>
        <bgColor rgb="FF003366"/>
      </patternFill>
    </fill>
    <fill>
      <patternFill patternType="mediumGray">
        <fgColor rgb="FF068114"/>
        <bgColor rgb="FF2E75B6"/>
      </patternFill>
    </fill>
    <fill>
      <patternFill patternType="solid">
        <fgColor rgb="FFFFFF00"/>
        <bgColor rgb="FFFFCC00"/>
      </patternFill>
    </fill>
    <fill>
      <patternFill patternType="solid">
        <fgColor rgb="FFF4B183"/>
        <bgColor rgb="FFFFCC99"/>
      </patternFill>
    </fill>
    <fill>
      <patternFill patternType="solid">
        <fgColor rgb="FFD9D9D9"/>
        <bgColor rgb="FFD6DCE5"/>
      </patternFill>
    </fill>
    <fill>
      <patternFill patternType="solid">
        <fgColor rgb="FF92D050"/>
        <bgColor rgb="FFA9D18E"/>
      </patternFill>
    </fill>
    <fill>
      <patternFill patternType="solid">
        <fgColor rgb="FFE7E7EA"/>
        <bgColor rgb="FFEDEDED"/>
      </patternFill>
    </fill>
    <fill>
      <patternFill patternType="solid">
        <fgColor rgb="FFB4C7E7"/>
        <bgColor rgb="FF9DC3E6"/>
      </patternFill>
    </fill>
    <fill>
      <patternFill patternType="solid">
        <fgColor rgb="FFF8CBAD"/>
        <bgColor rgb="FFFFCC99"/>
      </patternFill>
    </fill>
    <fill>
      <patternFill patternType="darkGray">
        <fgColor rgb="FFF8CBAD"/>
        <bgColor rgb="FFFFCC99"/>
      </patternFill>
    </fill>
    <fill>
      <patternFill patternType="solid">
        <fgColor rgb="FFFFD966"/>
        <bgColor rgb="FFFFE699"/>
      </patternFill>
    </fill>
    <fill>
      <patternFill patternType="solid">
        <fgColor rgb="FFFFE699"/>
        <bgColor rgb="FFFFFF99"/>
      </patternFill>
    </fill>
    <fill>
      <patternFill patternType="solid">
        <fgColor rgb="FFFBE5D6"/>
        <bgColor rgb="FFFFF2CC"/>
      </patternFill>
    </fill>
    <fill>
      <patternFill patternType="solid">
        <fgColor rgb="FFEDEDED"/>
        <bgColor rgb="FFE7E7EA"/>
      </patternFill>
    </fill>
    <fill>
      <patternFill patternType="solid">
        <fgColor rgb="FFFFC000"/>
        <bgColor rgb="FFFFCC00"/>
      </patternFill>
    </fill>
    <fill>
      <patternFill patternType="solid">
        <fgColor rgb="FF9DC3E6"/>
        <bgColor rgb="FF99CCFF"/>
      </patternFill>
    </fill>
    <fill>
      <patternFill patternType="solid">
        <fgColor rgb="FFBED7F1"/>
        <bgColor rgb="FFB4C7E7"/>
      </patternFill>
    </fill>
    <fill>
      <patternFill patternType="solid">
        <fgColor rgb="FF8497B0"/>
        <bgColor rgb="FF969696"/>
      </patternFill>
    </fill>
    <fill>
      <patternFill patternType="solid">
        <fgColor rgb="FFFFF2CC"/>
        <bgColor rgb="FFFFFFCC"/>
      </patternFill>
    </fill>
    <fill>
      <patternFill patternType="solid">
        <fgColor rgb="FFE2F0D9"/>
        <bgColor rgb="FFEDEDED"/>
      </patternFill>
    </fill>
    <fill>
      <patternFill patternType="solid">
        <fgColor rgb="FFD6DCE5"/>
        <bgColor rgb="FFD9D9D9"/>
      </patternFill>
    </fill>
    <fill>
      <patternFill patternType="solid">
        <fgColor rgb="FFADB9CA"/>
        <bgColor rgb="FFC0C0C0"/>
      </patternFill>
    </fill>
  </fills>
  <borders count="90">
    <border diagonalUp="false" diagonalDown="false">
      <left/>
      <right/>
      <top/>
      <bottom/>
      <diagonal/>
    </border>
    <border diagonalUp="false" diagonalDown="false">
      <left/>
      <right/>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top/>
      <bottom style="double">
        <color rgb="FFFF0000"/>
      </bottom>
      <diagonal/>
    </border>
    <border diagonalUp="false" diagonalDown="false">
      <left style="thin">
        <color rgb="FF808074"/>
      </left>
      <right style="thin">
        <color rgb="FF808074"/>
      </right>
      <top style="thin">
        <color rgb="FF808074"/>
      </top>
      <bottom style="thin">
        <color rgb="FF808074"/>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4C8"/>
      </bottom>
      <diagonal/>
    </border>
    <border diagonalUp="false" diagonalDown="false">
      <left/>
      <right/>
      <top style="thin">
        <color rgb="FF333399"/>
      </top>
      <bottom style="double">
        <color rgb="FF333399"/>
      </bottom>
      <diagonal/>
    </border>
    <border diagonalUp="false" diagonalDown="false">
      <left/>
      <right/>
      <top/>
      <bottom style="thick">
        <color rgb="FF003366"/>
      </bottom>
      <diagonal/>
    </border>
    <border diagonalUp="false" diagonalDown="false">
      <left/>
      <right/>
      <top/>
      <bottom style="thick">
        <color rgb="FFCCFFFF"/>
      </bottom>
      <diagonal/>
    </border>
    <border diagonalUp="false" diagonalDown="false">
      <left/>
      <right/>
      <top/>
      <bottom style="medium">
        <color rgb="FFCCFFFF"/>
      </bottom>
      <diagonal/>
    </border>
    <border diagonalUp="false" diagonalDown="false">
      <left/>
      <right/>
      <top/>
      <bottom style="double">
        <color rgb="FFFF9900"/>
      </bottom>
      <diagonal/>
    </border>
    <border diagonalUp="false" diagonalDown="false">
      <left/>
      <right/>
      <top style="thin">
        <color rgb="FF003366"/>
      </top>
      <bottom style="double">
        <color rgb="FF003366"/>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right/>
      <top/>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style="medium"/>
      <top style="thin"/>
      <bottom style="medium"/>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thin"/>
      <right style="medium"/>
      <top style="medium"/>
      <bottom style="medium"/>
      <diagonal/>
    </border>
    <border diagonalUp="false" diagonalDown="false">
      <left style="medium"/>
      <right style="thin"/>
      <top/>
      <bottom style="medium"/>
      <diagonal/>
    </border>
    <border diagonalUp="false" diagonalDown="false">
      <left/>
      <right style="thin"/>
      <top/>
      <bottom style="medium"/>
      <diagonal/>
    </border>
    <border diagonalUp="false" diagonalDown="false">
      <left style="thin"/>
      <right style="thin"/>
      <top/>
      <bottom style="medium"/>
      <diagonal/>
    </border>
    <border diagonalUp="false" diagonalDown="false">
      <left style="thin"/>
      <right/>
      <top/>
      <bottom style="medium"/>
      <diagonal/>
    </border>
    <border diagonalUp="false" diagonalDown="false">
      <left style="thin"/>
      <right/>
      <top style="thin"/>
      <bottom style="thin"/>
      <diagonal/>
    </border>
    <border diagonalUp="false" diagonalDown="false">
      <left style="thin"/>
      <right/>
      <top/>
      <bottom style="thin"/>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medium"/>
      <right style="medium"/>
      <top/>
      <bottom/>
      <diagonal/>
    </border>
    <border diagonalUp="false" diagonalDown="false">
      <left style="medium"/>
      <right style="medium"/>
      <top style="medium"/>
      <bottom style="thin"/>
      <diagonal/>
    </border>
    <border diagonalUp="false" diagonalDown="false">
      <left style="thin"/>
      <right style="thin"/>
      <top style="thin"/>
      <bottom/>
      <diagonal/>
    </border>
    <border diagonalUp="false" diagonalDown="false">
      <left style="medium"/>
      <right style="medium"/>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style="thin"/>
      <top style="medium"/>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style="medium"/>
      <top style="medium"/>
      <bottom/>
      <diagonal/>
    </border>
    <border diagonalUp="false" diagonalDown="false">
      <left/>
      <right style="medium"/>
      <top/>
      <bottom style="thin"/>
      <diagonal/>
    </border>
    <border diagonalUp="false" diagonalDown="false">
      <left/>
      <right style="medium"/>
      <top/>
      <bottom/>
      <diagonal/>
    </border>
    <border diagonalUp="false" diagonalDown="false">
      <left/>
      <right style="medium"/>
      <top style="thin"/>
      <bottom/>
      <diagonal/>
    </border>
    <border diagonalUp="false" diagonalDown="false">
      <left/>
      <right/>
      <top style="medium"/>
      <bottom/>
      <diagonal/>
    </border>
    <border diagonalUp="false" diagonalDown="false">
      <left/>
      <right style="medium"/>
      <top style="medium"/>
      <bottom style="medium"/>
      <diagonal/>
    </border>
    <border diagonalUp="false" diagonalDown="false">
      <left style="medium"/>
      <right/>
      <top style="medium"/>
      <bottom style="medium"/>
      <diagonal/>
    </border>
    <border diagonalUp="false" diagonalDown="false">
      <left style="medium"/>
      <right style="thin">
        <color rgb="FF9DC3E6"/>
      </right>
      <top style="medium"/>
      <bottom style="thin">
        <color rgb="FF9DC3E6"/>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bottom/>
      <diagonal/>
    </border>
    <border diagonalUp="false" diagonalDown="false">
      <left style="thin"/>
      <right style="medium"/>
      <top style="medium"/>
      <bottom/>
      <diagonal/>
    </border>
    <border diagonalUp="false" diagonalDown="false">
      <left style="medium"/>
      <right style="thin"/>
      <top style="medium"/>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right style="medium"/>
      <top style="thin"/>
      <bottom style="thin"/>
      <diagonal/>
    </border>
    <border diagonalUp="false" diagonalDown="false">
      <left style="thin"/>
      <right style="thin"/>
      <top style="medium"/>
      <bottom/>
      <diagonal/>
    </border>
    <border diagonalUp="false" diagonalDown="false">
      <left style="medium"/>
      <right style="medium"/>
      <top style="thin"/>
      <bottom/>
      <diagonal/>
    </border>
    <border diagonalUp="false" diagonalDown="false">
      <left style="thin"/>
      <right style="thin"/>
      <top style="medium"/>
      <bottom style="medium"/>
      <diagonal/>
    </border>
    <border diagonalUp="false" diagonalDown="false">
      <left style="medium"/>
      <right/>
      <top/>
      <bottom style="thin"/>
      <diagonal/>
    </border>
    <border diagonalUp="false" diagonalDown="false">
      <left style="medium"/>
      <right/>
      <top style="thin"/>
      <bottom style="thin"/>
      <diagonal/>
    </border>
    <border diagonalUp="false" diagonalDown="false">
      <left style="medium"/>
      <right/>
      <top style="thin"/>
      <bottom/>
      <diagonal/>
    </border>
    <border diagonalUp="false" diagonalDown="false">
      <left style="thin"/>
      <right style="thin"/>
      <top style="thin"/>
      <bottom style="medium"/>
      <diagonal/>
    </border>
    <border diagonalUp="false" diagonalDown="false">
      <left style="thin"/>
      <right style="medium"/>
      <top/>
      <bottom style="medium"/>
      <diagonal/>
    </border>
  </borders>
  <cellStyleXfs count="1298">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center"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86" fontId="20" fillId="0" borderId="0" applyFont="true" applyBorder="true" applyAlignment="true" applyProtection="true">
      <alignment horizontal="general" vertical="top" textRotation="0" wrapText="false" indent="0" shrinkToFit="false"/>
      <protection locked="false" hidden="false"/>
    </xf>
    <xf numFmtId="164" fontId="16" fillId="0" borderId="0" applyFont="true" applyBorder="false" applyAlignment="true" applyProtection="false">
      <alignment horizontal="general" vertical="center" textRotation="0" wrapText="false" indent="0" shrinkToFit="false"/>
    </xf>
    <xf numFmtId="164" fontId="4" fillId="2"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4"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6"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12"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13"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8"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3" borderId="0" applyFont="true" applyBorder="false" applyAlignment="true" applyProtection="false">
      <alignment horizontal="general" vertical="center" textRotation="0" wrapText="false" indent="0" shrinkToFit="false"/>
    </xf>
    <xf numFmtId="164" fontId="7" fillId="15" borderId="0" applyFont="true" applyBorder="false" applyAlignment="true" applyProtection="false">
      <alignment horizontal="general" vertical="center" textRotation="0" wrapText="false" indent="0" shrinkToFit="false"/>
    </xf>
    <xf numFmtId="164" fontId="7" fillId="3" borderId="0" applyFont="true" applyBorder="false" applyAlignment="true" applyProtection="false">
      <alignment horizontal="general" vertical="center" textRotation="0" wrapText="false" indent="0" shrinkToFit="false"/>
    </xf>
    <xf numFmtId="164" fontId="7" fillId="12"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8" borderId="0" applyFont="true" applyBorder="false" applyAlignment="true" applyProtection="false">
      <alignment horizontal="general" vertical="center" textRotation="0" wrapText="false" indent="0" shrinkToFit="false"/>
    </xf>
    <xf numFmtId="164" fontId="8" fillId="19" borderId="0" applyFont="true" applyBorder="false" applyAlignment="true" applyProtection="false">
      <alignment horizontal="general" vertical="center" textRotation="0" wrapText="false" indent="0" shrinkToFit="false"/>
    </xf>
    <xf numFmtId="165" fontId="9" fillId="0" borderId="0" applyFont="true" applyBorder="false" applyAlignment="true" applyProtection="true">
      <alignment horizontal="general" vertical="center" textRotation="0" wrapText="false" indent="0" shrinkToFit="false"/>
      <protection locked="true" hidden="false"/>
    </xf>
    <xf numFmtId="166" fontId="0" fillId="0" borderId="0" applyFont="true" applyBorder="false" applyAlignment="true" applyProtection="false">
      <alignment horizontal="general" vertical="center" textRotation="0" wrapText="false" indent="0" shrinkToFit="false"/>
    </xf>
    <xf numFmtId="166"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6"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77" fontId="10" fillId="0" borderId="0" applyFont="true" applyBorder="true" applyAlignment="true" applyProtection="true">
      <alignment horizontal="general" vertical="bottom" textRotation="0" wrapText="false" indent="0" shrinkToFit="false"/>
      <protection locked="true" hidden="false"/>
    </xf>
    <xf numFmtId="178" fontId="11" fillId="0" borderId="0" applyFont="true" applyBorder="false" applyAlignment="true" applyProtection="false">
      <alignment horizontal="general" vertical="bottom" textRotation="0" wrapText="false" indent="0" shrinkToFit="false"/>
    </xf>
    <xf numFmtId="179" fontId="10" fillId="0" borderId="0" applyFont="true" applyBorder="true" applyAlignment="true" applyProtection="true">
      <alignment horizontal="general" vertical="bottom" textRotation="0" wrapText="false" indent="0" shrinkToFit="false"/>
      <protection locked="true" hidden="false"/>
    </xf>
    <xf numFmtId="180" fontId="11" fillId="0" borderId="0" applyFont="true" applyBorder="false" applyAlignment="true" applyProtection="false">
      <alignment horizontal="general" vertical="bottom" textRotation="0" wrapText="false" indent="0" shrinkToFit="false"/>
    </xf>
    <xf numFmtId="181" fontId="10" fillId="0" borderId="0" applyFont="true" applyBorder="true" applyAlignment="true" applyProtection="true">
      <alignment horizontal="general" vertical="bottom" textRotation="0" wrapText="false" indent="0" shrinkToFit="false"/>
      <protection locked="true" hidden="false"/>
    </xf>
    <xf numFmtId="182" fontId="0" fillId="0" borderId="0" applyFont="true" applyBorder="false" applyAlignment="true" applyProtection="false">
      <alignment horizontal="general" vertical="center" textRotation="0" wrapText="false" indent="0" shrinkToFit="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3" fillId="20" borderId="0" applyFont="true" applyBorder="false" applyAlignment="true" applyProtection="false">
      <alignment horizontal="general" vertical="center" textRotation="0" wrapText="false" indent="0" shrinkToFit="false"/>
    </xf>
    <xf numFmtId="164" fontId="14" fillId="0" borderId="1" applyFont="true" applyBorder="true" applyAlignment="true" applyProtection="false">
      <alignment horizontal="general" vertical="center" textRotation="0" wrapText="false" indent="0" shrinkToFit="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5" fillId="0" borderId="0" applyFont="true" applyBorder="false" applyAlignment="true" applyProtection="false">
      <alignment horizontal="general" vertical="center" textRotation="0" wrapText="false" indent="0" shrinkToFit="false"/>
    </xf>
    <xf numFmtId="164" fontId="16" fillId="0"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83" fontId="17" fillId="0" borderId="0" applyFont="true" applyBorder="true" applyAlignment="true" applyProtection="false">
      <alignment horizontal="general" vertical="bottom" textRotation="0" wrapText="false" indent="0" shrinkToFit="false"/>
    </xf>
    <xf numFmtId="184" fontId="18" fillId="0" borderId="0" applyFont="true" applyBorder="true" applyAlignment="true" applyProtection="true">
      <alignment horizontal="general" vertical="bottom" textRotation="0" wrapText="false" indent="0" shrinkToFit="false"/>
      <protection locked="true" hidden="false"/>
    </xf>
    <xf numFmtId="185" fontId="1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5"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left"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26" fillId="0" borderId="0" applyFont="true" applyBorder="false" applyAlignment="true" applyProtection="false">
      <alignment horizontal="general" vertical="center" textRotation="0" wrapText="false" indent="0" shrinkToFit="false"/>
    </xf>
    <xf numFmtId="164" fontId="26" fillId="0" borderId="0" applyFont="true" applyBorder="false" applyAlignment="true" applyProtection="false">
      <alignment horizontal="left"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7" fillId="0" borderId="0" applyFont="true" applyBorder="true" applyAlignment="true" applyProtection="true">
      <alignment horizontal="general" vertical="top"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8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89" fontId="0" fillId="0" borderId="0" applyFont="true" applyBorder="false" applyAlignment="true" applyProtection="false">
      <alignment horizontal="general" vertical="center" textRotation="0" wrapText="false" indent="0" shrinkToFit="false"/>
    </xf>
    <xf numFmtId="190" fontId="0" fillId="0" borderId="0" applyFont="true" applyBorder="false" applyAlignment="true" applyProtection="false">
      <alignment horizontal="general" vertical="center" textRotation="0" wrapText="false" indent="0" shrinkToFit="false"/>
    </xf>
    <xf numFmtId="164" fontId="28" fillId="11" borderId="0" applyFont="true" applyBorder="false" applyAlignment="true" applyProtection="false">
      <alignment horizontal="general" vertical="center" textRotation="0" wrapText="false" indent="0" shrinkToFit="false"/>
    </xf>
    <xf numFmtId="164" fontId="6" fillId="21"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22"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6" fillId="23" borderId="0" applyFont="true" applyBorder="false" applyAlignment="true" applyProtection="false">
      <alignment horizontal="general" vertical="center" textRotation="0" wrapText="false" indent="0" shrinkToFit="false"/>
    </xf>
    <xf numFmtId="164" fontId="27" fillId="0" borderId="0" applyFont="true" applyBorder="true" applyAlignment="true" applyProtection="true">
      <alignment horizontal="general" vertical="top" textRotation="0" wrapText="false" indent="0" shrinkToFit="false"/>
      <protection locked="true" hidden="false"/>
    </xf>
    <xf numFmtId="164" fontId="29" fillId="0" borderId="0" applyFont="true" applyBorder="false" applyAlignment="true" applyProtection="false">
      <alignment horizontal="general" vertical="center" textRotation="0" wrapText="false" indent="0" shrinkToFit="false"/>
    </xf>
    <xf numFmtId="164" fontId="30" fillId="24" borderId="4"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31" fillId="0" borderId="6"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4" fillId="9" borderId="0" applyFont="true" applyBorder="false" applyAlignment="true" applyProtection="false">
      <alignment horizontal="general" vertical="center" textRotation="0" wrapText="false" indent="0" shrinkToFit="false"/>
    </xf>
    <xf numFmtId="164" fontId="35" fillId="8" borderId="0" applyFont="true" applyBorder="false" applyAlignment="true" applyProtection="false">
      <alignment horizontal="general" vertical="center" textRotation="0" wrapText="false" indent="0" shrinkToFit="false"/>
    </xf>
    <xf numFmtId="164" fontId="36" fillId="0" borderId="0" applyFont="true" applyBorder="true" applyAlignment="true" applyProtection="true">
      <alignment horizontal="general" vertical="bottom" textRotation="0" wrapText="false" indent="0" shrinkToFit="false"/>
      <protection locked="true" hidden="false"/>
    </xf>
    <xf numFmtId="164" fontId="7" fillId="26" borderId="0" applyFont="true" applyBorder="false" applyAlignment="true" applyProtection="false">
      <alignment horizontal="general" vertical="center" textRotation="0" wrapText="false" indent="0" shrinkToFit="false"/>
    </xf>
    <xf numFmtId="164" fontId="7" fillId="23" borderId="0" applyFont="true" applyBorder="false" applyAlignment="true" applyProtection="false">
      <alignment horizontal="general" vertical="center" textRotation="0" wrapText="false" indent="0" shrinkToFit="false"/>
    </xf>
    <xf numFmtId="164" fontId="7" fillId="27"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4" borderId="0" applyFont="true" applyBorder="false" applyAlignment="true" applyProtection="false">
      <alignment horizontal="general" vertical="center" textRotation="0" wrapText="false" indent="0" shrinkToFit="false"/>
    </xf>
    <xf numFmtId="164" fontId="37" fillId="10" borderId="0" applyFont="true" applyBorder="false" applyAlignment="true" applyProtection="false">
      <alignment horizontal="general" vertical="center" textRotation="0" wrapText="false" indent="0" shrinkToFit="false"/>
    </xf>
    <xf numFmtId="164" fontId="38" fillId="0" borderId="0" applyFont="true" applyBorder="false" applyAlignment="true" applyProtection="false">
      <alignment horizontal="general" vertical="center" textRotation="0" wrapText="false" indent="0" shrinkToFit="false"/>
    </xf>
    <xf numFmtId="164" fontId="39" fillId="0" borderId="9" applyFont="true" applyBorder="true" applyAlignment="true" applyProtection="false">
      <alignment horizontal="general" vertical="center" textRotation="0" wrapText="false" indent="0" shrinkToFit="false"/>
    </xf>
    <xf numFmtId="164" fontId="40" fillId="0" borderId="10" applyFont="true" applyBorder="true" applyAlignment="true" applyProtection="false">
      <alignment horizontal="general" vertical="center" textRotation="0" wrapText="false" indent="0" shrinkToFit="false"/>
    </xf>
    <xf numFmtId="164" fontId="41" fillId="0" borderId="11" applyFont="true" applyBorder="true" applyAlignment="true" applyProtection="false">
      <alignment horizontal="general" vertical="center" textRotation="0" wrapText="false" indent="0" shrinkToFit="false"/>
    </xf>
    <xf numFmtId="164" fontId="41" fillId="0" borderId="11" applyFont="true" applyBorder="true" applyAlignment="true" applyProtection="false">
      <alignment horizontal="general" vertical="center" textRotation="0" wrapText="false" indent="0" shrinkToFit="false"/>
    </xf>
    <xf numFmtId="164" fontId="41"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2" fillId="24" borderId="4" applyFont="true" applyBorder="true" applyAlignment="true" applyProtection="false">
      <alignment horizontal="general" vertical="center" textRotation="0" wrapText="false" indent="0" shrinkToFit="false"/>
    </xf>
    <xf numFmtId="164" fontId="20"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91" fontId="0" fillId="0" borderId="0" applyFont="true" applyBorder="false" applyAlignment="true" applyProtection="false">
      <alignment horizontal="general" vertical="center" textRotation="0" wrapText="false" indent="0" shrinkToFit="false"/>
    </xf>
    <xf numFmtId="192" fontId="0" fillId="0" borderId="0" applyFont="true" applyBorder="false" applyAlignment="true" applyProtection="false">
      <alignment horizontal="general" vertical="center" textRotation="0" wrapText="false" indent="0" shrinkToFit="false"/>
    </xf>
    <xf numFmtId="164" fontId="44" fillId="6" borderId="0" applyFont="true" applyBorder="false" applyAlignment="true" applyProtection="false">
      <alignment horizontal="general" vertical="center" textRotation="0" wrapText="false" indent="0" shrinkToFit="false"/>
    </xf>
    <xf numFmtId="164" fontId="45" fillId="0" borderId="13" applyFont="true" applyBorder="true" applyAlignment="true" applyProtection="false">
      <alignment horizontal="general" vertical="center" textRotation="0" wrapText="false" indent="0" shrinkToFit="false"/>
    </xf>
    <xf numFmtId="164" fontId="46" fillId="0" borderId="14" applyFont="true" applyBorder="true" applyAlignment="true" applyProtection="false">
      <alignment horizontal="general" vertical="center" textRotation="0" wrapText="false" indent="0" shrinkToFit="false"/>
    </xf>
    <xf numFmtId="164" fontId="47" fillId="0" borderId="15" applyFont="true" applyBorder="true" applyAlignment="true" applyProtection="false">
      <alignment horizontal="general" vertical="center" textRotation="0" wrapText="false" indent="0" shrinkToFit="false"/>
    </xf>
    <xf numFmtId="164" fontId="47" fillId="0" borderId="15" applyFont="true" applyBorder="true" applyAlignment="true" applyProtection="false">
      <alignment horizontal="general" vertical="center" textRotation="0" wrapText="false" indent="0" shrinkToFit="false"/>
    </xf>
    <xf numFmtId="164" fontId="47" fillId="0" borderId="0" applyFont="true" applyBorder="false" applyAlignment="true" applyProtection="false">
      <alignment horizontal="general" vertical="center" textRotation="0" wrapText="false" indent="0" shrinkToFit="false"/>
    </xf>
    <xf numFmtId="164" fontId="48" fillId="0" borderId="0" applyFont="true" applyBorder="fals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50" fillId="0" borderId="0" applyFont="true" applyBorder="false" applyAlignment="true" applyProtection="false">
      <alignment horizontal="general" vertical="center" textRotation="0" wrapText="false" indent="0" shrinkToFit="false"/>
    </xf>
    <xf numFmtId="164" fontId="31" fillId="0" borderId="0" applyFont="true" applyBorder="false" applyAlignment="true" applyProtection="false">
      <alignment horizontal="general" vertical="center" textRotation="0" wrapText="false" indent="0" shrinkToFit="false"/>
    </xf>
    <xf numFmtId="164" fontId="51" fillId="0" borderId="0" applyFont="true" applyBorder="fals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5" fillId="11" borderId="0" applyFont="true" applyBorder="false" applyAlignment="true" applyProtection="false">
      <alignment horizontal="general" vertical="center" textRotation="0" wrapText="false" indent="0" shrinkToFit="false"/>
    </xf>
    <xf numFmtId="164" fontId="56" fillId="0" borderId="16"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cellStyleXfs>
  <cellXfs count="965">
    <xf numFmtId="164" fontId="0" fillId="0" borderId="0" xfId="0" applyFont="false" applyBorder="false" applyAlignment="false" applyProtection="false">
      <alignment horizontal="general" vertical="center" textRotation="0" wrapText="false" indent="0" shrinkToFit="false"/>
      <protection locked="true" hidden="false"/>
    </xf>
    <xf numFmtId="164" fontId="58" fillId="0" borderId="18"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false" applyProtection="false">
      <alignment horizontal="general"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false" applyBorder="true" applyAlignment="true" applyProtection="false">
      <alignment horizontal="center" vertical="center" textRotation="0" wrapText="false" indent="0" shrinkToFit="false"/>
      <protection locked="true" hidden="false"/>
    </xf>
    <xf numFmtId="164" fontId="59" fillId="28"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93" fontId="0" fillId="0" borderId="0" xfId="0" applyFont="false" applyBorder="false" applyAlignment="false" applyProtection="false">
      <alignment horizontal="general" vertical="center" textRotation="0" wrapText="false" indent="0" shrinkToFit="false"/>
      <protection locked="true" hidden="false"/>
    </xf>
    <xf numFmtId="164" fontId="0" fillId="25"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94" fontId="0" fillId="0" borderId="0" xfId="15" applyFont="true" applyBorder="true" applyAlignment="true" applyProtection="true">
      <alignment horizontal="general" vertical="center" textRotation="0" wrapText="false" indent="0" shrinkToFit="false"/>
      <protection locked="true" hidden="false"/>
    </xf>
    <xf numFmtId="164" fontId="6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left" vertical="center"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9" fontId="0" fillId="0" borderId="0" xfId="15" applyFont="true" applyBorder="true" applyAlignment="true" applyProtection="true">
      <alignment horizontal="general" vertical="center" textRotation="0" wrapText="false" indent="0" shrinkToFit="false"/>
      <protection locked="true" hidden="false"/>
    </xf>
    <xf numFmtId="164" fontId="61" fillId="25" borderId="19" xfId="0" applyFont="true" applyBorder="true" applyAlignment="true" applyProtection="false">
      <alignment horizontal="center" vertical="center" textRotation="0" wrapText="true" indent="0" shrinkToFit="false"/>
      <protection locked="true" hidden="false"/>
    </xf>
    <xf numFmtId="164" fontId="62" fillId="0" borderId="20" xfId="0" applyFont="true" applyBorder="true" applyAlignment="true" applyProtection="false">
      <alignment horizontal="left" vertical="center" textRotation="0" wrapText="false" indent="0" shrinkToFit="false"/>
      <protection locked="true" hidden="false"/>
    </xf>
    <xf numFmtId="195" fontId="63" fillId="25" borderId="21" xfId="0" applyFont="true" applyBorder="true" applyAlignment="true" applyProtection="false">
      <alignment horizontal="center" vertical="center" textRotation="0" wrapText="false" indent="0" shrinkToFit="false"/>
      <protection locked="true" hidden="false"/>
    </xf>
    <xf numFmtId="164" fontId="62" fillId="0" borderId="0" xfId="0" applyFont="true" applyBorder="false" applyAlignment="true" applyProtection="false">
      <alignment horizontal="left" vertical="center" textRotation="0" wrapText="false" indent="0" shrinkToFit="false"/>
      <protection locked="true" hidden="false"/>
    </xf>
    <xf numFmtId="164" fontId="62"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left" vertical="center" textRotation="0" wrapText="false" indent="0" shrinkToFit="false"/>
      <protection locked="true" hidden="false"/>
    </xf>
    <xf numFmtId="164" fontId="63" fillId="0" borderId="0" xfId="0" applyFont="true" applyBorder="false" applyAlignment="true" applyProtection="false">
      <alignment horizontal="left" vertical="center" textRotation="0" wrapText="false" indent="0" shrinkToFit="false"/>
      <protection locked="true" hidden="false"/>
    </xf>
    <xf numFmtId="186" fontId="20" fillId="0" borderId="0" xfId="19" applyFont="false" applyBorder="false" applyAlignment="false" applyProtection="false">
      <alignment horizontal="general" vertical="top" textRotation="0" wrapText="false" indent="0" shrinkToFit="false"/>
      <protection locked="false" hidden="false"/>
    </xf>
    <xf numFmtId="164" fontId="20" fillId="0" borderId="0" xfId="19" applyFont="false" applyBorder="false" applyAlignment="false" applyProtection="false">
      <alignment horizontal="general" vertical="top" textRotation="0" wrapText="false" indent="0" shrinkToFit="false"/>
      <protection locked="false" hidden="false"/>
    </xf>
    <xf numFmtId="196" fontId="63" fillId="0" borderId="0" xfId="0" applyFont="true" applyBorder="false" applyAlignment="true" applyProtection="false">
      <alignment horizontal="center" vertical="center" textRotation="0" wrapText="false" indent="0" shrinkToFit="false"/>
      <protection locked="true" hidden="false"/>
    </xf>
    <xf numFmtId="196" fontId="64" fillId="0" borderId="0" xfId="0" applyFont="true" applyBorder="false" applyAlignment="true" applyProtection="false">
      <alignment horizontal="center" vertical="center" textRotation="0" wrapText="false" indent="0" shrinkToFit="false"/>
      <protection locked="true" hidden="false"/>
    </xf>
    <xf numFmtId="164" fontId="65"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61" fillId="25" borderId="19" xfId="0" applyFont="true" applyBorder="true" applyAlignment="true" applyProtection="false">
      <alignment horizontal="general" vertical="center" textRotation="0" wrapText="true" indent="0" shrinkToFit="false"/>
      <protection locked="true" hidden="false"/>
    </xf>
    <xf numFmtId="164" fontId="63" fillId="29" borderId="0" xfId="0" applyFont="true" applyBorder="false" applyAlignment="true" applyProtection="false">
      <alignment horizontal="center" vertical="center" textRotation="0" wrapText="false" indent="0" shrinkToFit="false"/>
      <protection locked="true" hidden="false"/>
    </xf>
    <xf numFmtId="164" fontId="63" fillId="0" borderId="22" xfId="0" applyFont="true" applyBorder="true" applyAlignment="true" applyProtection="false">
      <alignment horizontal="center" vertical="center" textRotation="0" wrapText="false" indent="0" shrinkToFit="false"/>
      <protection locked="true" hidden="false"/>
    </xf>
    <xf numFmtId="164" fontId="63" fillId="0" borderId="23" xfId="0" applyFont="true" applyBorder="true" applyAlignment="true" applyProtection="false">
      <alignment horizontal="left" vertical="center" textRotation="0" wrapText="false" indent="0" shrinkToFit="false"/>
      <protection locked="true" hidden="false"/>
    </xf>
    <xf numFmtId="164" fontId="0" fillId="0" borderId="23" xfId="0" applyFont="false" applyBorder="true" applyAlignment="true" applyProtection="false">
      <alignment horizontal="general" vertical="center" textRotation="0" wrapText="false" indent="0" shrinkToFit="false"/>
      <protection locked="true" hidden="false"/>
    </xf>
    <xf numFmtId="164" fontId="63" fillId="29" borderId="23" xfId="0" applyFont="true" applyBorder="true" applyAlignment="true" applyProtection="false">
      <alignment horizontal="left" vertical="center" textRotation="0" wrapText="false" indent="0" shrinkToFit="false"/>
      <protection locked="true" hidden="false"/>
    </xf>
    <xf numFmtId="194" fontId="64" fillId="0" borderId="23" xfId="15" applyFont="true" applyBorder="true" applyAlignment="true" applyProtection="true">
      <alignment horizontal="center" vertical="center" textRotation="0" wrapText="false" indent="0" shrinkToFit="false"/>
      <protection locked="true" hidden="false"/>
    </xf>
    <xf numFmtId="164" fontId="63" fillId="29" borderId="23" xfId="0" applyFont="true" applyBorder="true" applyAlignment="true" applyProtection="false">
      <alignment horizontal="center" vertical="center" textRotation="0" wrapText="false" indent="0" shrinkToFit="false"/>
      <protection locked="true" hidden="false"/>
    </xf>
    <xf numFmtId="164" fontId="65" fillId="0" borderId="23" xfId="0" applyFont="true" applyBorder="true" applyAlignment="true" applyProtection="false">
      <alignment horizontal="center" vertical="center" textRotation="0" wrapText="false" indent="0" shrinkToFit="false"/>
      <protection locked="true" hidden="false"/>
    </xf>
    <xf numFmtId="164" fontId="66" fillId="0" borderId="23" xfId="0" applyFont="true" applyBorder="true" applyAlignment="false" applyProtection="false">
      <alignment horizontal="general" vertical="center" textRotation="0" wrapText="false" indent="0" shrinkToFit="false"/>
      <protection locked="true" hidden="false"/>
    </xf>
    <xf numFmtId="164" fontId="66" fillId="0" borderId="23" xfId="0" applyFont="true" applyBorder="true" applyAlignment="true" applyProtection="false">
      <alignment horizontal="center" vertical="center" textRotation="0" wrapText="false" indent="0" shrinkToFit="false"/>
      <protection locked="true" hidden="false"/>
    </xf>
    <xf numFmtId="164" fontId="64" fillId="0" borderId="23" xfId="0" applyFont="true" applyBorder="true" applyAlignment="true" applyProtection="false">
      <alignment horizontal="center" vertical="center" textRotation="0" wrapText="false" indent="0" shrinkToFit="false"/>
      <protection locked="true" hidden="false"/>
    </xf>
    <xf numFmtId="164" fontId="64" fillId="0" borderId="24" xfId="0" applyFont="true" applyBorder="true" applyAlignment="true" applyProtection="false">
      <alignment horizontal="general" vertical="center" textRotation="0" wrapText="false" indent="0" shrinkToFit="false"/>
      <protection locked="true" hidden="false"/>
    </xf>
    <xf numFmtId="169" fontId="24" fillId="0" borderId="25" xfId="154" applyFont="true" applyBorder="true" applyAlignment="true" applyProtection="true">
      <alignment horizontal="center" vertical="center" textRotation="0" wrapText="false" indent="0" shrinkToFit="false"/>
      <protection locked="true" hidden="false"/>
    </xf>
    <xf numFmtId="164" fontId="63" fillId="29" borderId="24" xfId="0" applyFont="true" applyBorder="true" applyAlignment="true" applyProtection="false">
      <alignment horizontal="center" vertical="center" textRotation="0" wrapText="false" indent="0" shrinkToFit="false"/>
      <protection locked="true" hidden="false"/>
    </xf>
    <xf numFmtId="164" fontId="63" fillId="29" borderId="0"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false" applyAlignment="false" applyProtection="false">
      <alignment horizontal="general" vertical="center" textRotation="0" wrapText="false" indent="0" shrinkToFit="false"/>
      <protection locked="true" hidden="false"/>
    </xf>
    <xf numFmtId="164" fontId="67" fillId="25" borderId="26" xfId="0" applyFont="true" applyBorder="true" applyAlignment="true" applyProtection="false">
      <alignment horizontal="center" vertical="center" textRotation="0" wrapText="true" indent="0" shrinkToFit="false"/>
      <protection locked="true" hidden="false"/>
    </xf>
    <xf numFmtId="164" fontId="67" fillId="0" borderId="26"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false" indent="0" shrinkToFit="false"/>
      <protection locked="true" hidden="false"/>
    </xf>
    <xf numFmtId="164" fontId="67" fillId="25" borderId="26" xfId="0" applyFont="true" applyBorder="true" applyAlignment="true" applyProtection="false">
      <alignment horizontal="left" vertical="center" textRotation="0" wrapText="true" indent="0" shrinkToFit="false"/>
      <protection locked="true" hidden="false"/>
    </xf>
    <xf numFmtId="164" fontId="67" fillId="25" borderId="27"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true" indent="0" shrinkToFit="false"/>
      <protection locked="true" hidden="false"/>
    </xf>
    <xf numFmtId="194" fontId="67" fillId="25" borderId="27" xfId="15" applyFont="true" applyBorder="true" applyAlignment="true" applyProtection="true">
      <alignment horizontal="center" vertical="center" textRotation="0" wrapText="true" indent="0" shrinkToFit="false"/>
      <protection locked="true" hidden="false"/>
    </xf>
    <xf numFmtId="164" fontId="67" fillId="0" borderId="27" xfId="0" applyFont="true" applyBorder="true" applyAlignment="true" applyProtection="false">
      <alignment horizontal="center" vertical="center" textRotation="0" wrapText="true" indent="0" shrinkToFit="false"/>
      <protection locked="true" hidden="false"/>
    </xf>
    <xf numFmtId="164" fontId="67" fillId="25" borderId="28" xfId="0" applyFont="true" applyBorder="true" applyAlignment="true" applyProtection="false">
      <alignment horizontal="center" vertical="center" textRotation="0" wrapText="true" indent="0" shrinkToFit="false"/>
      <protection locked="true" hidden="false"/>
    </xf>
    <xf numFmtId="164" fontId="67" fillId="25" borderId="28" xfId="0" applyFont="true" applyBorder="true" applyAlignment="true" applyProtection="false">
      <alignment horizontal="right" vertical="center" textRotation="0" wrapText="true" indent="0" shrinkToFit="false"/>
      <protection locked="true" hidden="false"/>
    </xf>
    <xf numFmtId="164" fontId="67" fillId="25" borderId="27" xfId="0" applyFont="true" applyBorder="true" applyAlignment="true" applyProtection="false">
      <alignment horizontal="center" vertical="bottom" textRotation="0" wrapText="true" indent="0" shrinkToFit="false"/>
      <protection locked="true" hidden="false"/>
    </xf>
    <xf numFmtId="164" fontId="63" fillId="25" borderId="27" xfId="0" applyFont="true" applyBorder="true" applyAlignment="true" applyProtection="false">
      <alignment horizontal="center" vertical="center" textRotation="0" wrapText="true" indent="0" shrinkToFit="false"/>
      <protection locked="true" hidden="false"/>
    </xf>
    <xf numFmtId="164" fontId="67" fillId="28" borderId="27" xfId="0" applyFont="true" applyBorder="true" applyAlignment="true" applyProtection="false">
      <alignment horizontal="center" vertical="center" textRotation="0" wrapText="true" indent="0" shrinkToFit="false"/>
      <protection locked="true" hidden="false"/>
    </xf>
    <xf numFmtId="164" fontId="67" fillId="30" borderId="27" xfId="0" applyFont="true" applyBorder="true" applyAlignment="true" applyProtection="false">
      <alignment horizontal="center" vertical="center" textRotation="0" wrapText="true" indent="0" shrinkToFit="false"/>
      <protection locked="true" hidden="false"/>
    </xf>
    <xf numFmtId="164" fontId="67" fillId="0" borderId="27" xfId="0" applyFont="true" applyBorder="true" applyAlignment="true" applyProtection="false">
      <alignment horizontal="left" vertical="center" textRotation="0" wrapText="true" indent="0" shrinkToFit="false"/>
      <protection locked="true" hidden="false"/>
    </xf>
    <xf numFmtId="164" fontId="63" fillId="25" borderId="29" xfId="0" applyFont="true" applyBorder="true" applyAlignment="true" applyProtection="false">
      <alignment horizontal="general" vertical="center" textRotation="0" wrapText="false" indent="0" shrinkToFit="false"/>
      <protection locked="true" hidden="false"/>
    </xf>
    <xf numFmtId="169" fontId="24" fillId="0" borderId="27" xfId="154" applyFont="true" applyBorder="true" applyAlignment="true" applyProtection="true">
      <alignment horizontal="center" vertical="center" textRotation="0" wrapText="true" indent="0" shrinkToFit="false"/>
      <protection locked="true" hidden="false"/>
    </xf>
    <xf numFmtId="169" fontId="24" fillId="0" borderId="30" xfId="154" applyFont="true" applyBorder="true" applyAlignment="true" applyProtection="true">
      <alignment horizontal="center" vertical="center" textRotation="0" wrapText="true" indent="0" shrinkToFit="false"/>
      <protection locked="true" hidden="false"/>
    </xf>
    <xf numFmtId="169" fontId="24" fillId="0" borderId="31" xfId="154" applyFont="true" applyBorder="true" applyAlignment="true" applyProtection="true">
      <alignment horizontal="center" vertical="center" textRotation="0" wrapText="true" indent="0" shrinkToFit="false"/>
      <protection locked="true" hidden="false"/>
    </xf>
    <xf numFmtId="169" fontId="24" fillId="0" borderId="32" xfId="154" applyFont="true" applyBorder="true" applyAlignment="true" applyProtection="true">
      <alignment horizontal="center" vertical="center" textRotation="0" wrapText="true" indent="0" shrinkToFit="false"/>
      <protection locked="true" hidden="false"/>
    </xf>
    <xf numFmtId="169" fontId="24" fillId="0" borderId="33" xfId="154" applyFont="true" applyBorder="true" applyAlignment="true" applyProtection="true">
      <alignment horizontal="center" vertical="center" textRotation="0" wrapText="true" indent="0" shrinkToFit="false"/>
      <protection locked="true" hidden="false"/>
    </xf>
    <xf numFmtId="164" fontId="24" fillId="0" borderId="27"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false" applyAlignment="true" applyProtection="false">
      <alignment horizontal="general" vertical="center" textRotation="0" wrapText="true" indent="0" shrinkToFit="false"/>
      <protection locked="true" hidden="false"/>
    </xf>
    <xf numFmtId="196" fontId="24" fillId="0" borderId="0" xfId="0" applyFont="true" applyBorder="false" applyAlignment="false" applyProtection="false">
      <alignment horizontal="general" vertical="center" textRotation="0" wrapText="false" indent="0" shrinkToFit="false"/>
      <protection locked="true" hidden="false"/>
    </xf>
    <xf numFmtId="197" fontId="63" fillId="25" borderId="21" xfId="0" applyFont="true" applyBorder="true" applyAlignment="true" applyProtection="false">
      <alignment horizontal="center" vertical="center" textRotation="0" wrapText="false" indent="0" shrinkToFit="false"/>
      <protection locked="true" hidden="false"/>
    </xf>
    <xf numFmtId="164" fontId="63" fillId="0" borderId="21" xfId="0" applyFont="true" applyBorder="true" applyAlignment="true" applyProtection="false">
      <alignment horizontal="center" vertical="center" textRotation="0" wrapText="false" indent="0" shrinkToFit="false"/>
      <protection locked="true" hidden="false"/>
    </xf>
    <xf numFmtId="196" fontId="63" fillId="0" borderId="19" xfId="0" applyFont="true" applyBorder="true" applyAlignment="true" applyProtection="false">
      <alignment horizontal="general" vertical="center" textRotation="0" wrapText="false" indent="0" shrinkToFit="false"/>
      <protection locked="true" hidden="false"/>
    </xf>
    <xf numFmtId="164" fontId="63" fillId="0" borderId="21" xfId="0" applyFont="true" applyBorder="true" applyAlignment="true" applyProtection="false">
      <alignment horizontal="left" vertical="center" textRotation="0" wrapText="false" indent="0" shrinkToFit="false"/>
      <protection locked="true" hidden="false"/>
    </xf>
    <xf numFmtId="196" fontId="63" fillId="0" borderId="34"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left" vertical="center" textRotation="0" wrapText="false" indent="0" shrinkToFit="false"/>
      <protection locked="true" hidden="false"/>
    </xf>
    <xf numFmtId="198" fontId="63" fillId="0" borderId="19" xfId="0" applyFont="true" applyBorder="true" applyAlignment="true" applyProtection="false">
      <alignment horizontal="left" vertical="center" textRotation="0" wrapText="false" indent="0" shrinkToFit="false"/>
      <protection locked="true" hidden="false"/>
    </xf>
    <xf numFmtId="194" fontId="64" fillId="0" borderId="19" xfId="154" applyFont="true" applyBorder="true" applyAlignment="true" applyProtection="true">
      <alignment horizontal="center" vertical="center" textRotation="0" wrapText="false" indent="0" shrinkToFit="false"/>
      <protection locked="true" hidden="false"/>
    </xf>
    <xf numFmtId="183" fontId="64" fillId="0" borderId="19" xfId="0" applyFont="true" applyBorder="true" applyAlignment="true" applyProtection="false">
      <alignment horizontal="center" vertical="center" textRotation="0" wrapText="false" indent="0" shrinkToFit="false"/>
      <protection locked="true" hidden="false"/>
    </xf>
    <xf numFmtId="196" fontId="64" fillId="0" borderId="19" xfId="0" applyFont="true" applyBorder="true" applyAlignment="true" applyProtection="false">
      <alignment horizontal="center" vertical="center" textRotation="0" wrapText="false" indent="0" shrinkToFit="false"/>
      <protection locked="true" hidden="false"/>
    </xf>
    <xf numFmtId="196" fontId="64" fillId="31" borderId="19" xfId="0" applyFont="true" applyBorder="true" applyAlignment="true" applyProtection="false">
      <alignment horizontal="center" vertical="center" textRotation="0" wrapText="false" indent="0" shrinkToFit="false"/>
      <protection locked="true" hidden="false"/>
    </xf>
    <xf numFmtId="164" fontId="64" fillId="0" borderId="19" xfId="0" applyFont="true" applyBorder="true" applyAlignment="true" applyProtection="false">
      <alignment horizontal="center" vertical="center" textRotation="0" wrapText="false" indent="0" shrinkToFit="false"/>
      <protection locked="true" hidden="false"/>
    </xf>
    <xf numFmtId="164" fontId="64" fillId="0" borderId="34" xfId="0" applyFont="true" applyBorder="true" applyAlignment="true" applyProtection="false">
      <alignment horizontal="center" vertical="center" textRotation="0" wrapText="false" indent="0" shrinkToFit="false"/>
      <protection locked="true" hidden="false"/>
    </xf>
    <xf numFmtId="164" fontId="67" fillId="0" borderId="21" xfId="0" applyFont="true" applyBorder="true" applyAlignment="true" applyProtection="false">
      <alignment horizontal="center" vertical="center" textRotation="0" wrapText="true" indent="0" shrinkToFit="false"/>
      <protection locked="true" hidden="false"/>
    </xf>
    <xf numFmtId="164" fontId="67" fillId="0" borderId="35" xfId="0" applyFont="true" applyBorder="true" applyAlignment="true" applyProtection="false">
      <alignment horizontal="center" vertical="center" textRotation="0" wrapText="true" indent="0" shrinkToFit="false"/>
      <protection locked="true" hidden="false"/>
    </xf>
    <xf numFmtId="199" fontId="68" fillId="0" borderId="19" xfId="154" applyFont="true" applyBorder="true" applyAlignment="true" applyProtection="true">
      <alignment horizontal="center" vertical="top" textRotation="0" wrapText="false" indent="0" shrinkToFit="false"/>
      <protection locked="true" hidden="false"/>
    </xf>
    <xf numFmtId="186" fontId="20" fillId="0" borderId="19" xfId="750" applyFont="false" applyBorder="true" applyAlignment="false" applyProtection="false">
      <alignment horizontal="general" vertical="top" textRotation="0" wrapText="false" indent="0" shrinkToFit="false"/>
      <protection locked="false" hidden="false"/>
    </xf>
    <xf numFmtId="169" fontId="68" fillId="0" borderId="18" xfId="154" applyFont="true" applyBorder="true" applyAlignment="true" applyProtection="true">
      <alignment horizontal="center" vertical="top" textRotation="0" wrapText="false" indent="0" shrinkToFit="false"/>
      <protection locked="true" hidden="false"/>
    </xf>
    <xf numFmtId="200" fontId="64" fillId="0" borderId="21" xfId="154" applyFont="true" applyBorder="true" applyAlignment="true" applyProtection="true">
      <alignment horizontal="center" vertical="bottom" textRotation="0" wrapText="false" indent="0" shrinkToFit="false"/>
      <protection locked="true" hidden="false"/>
    </xf>
    <xf numFmtId="201" fontId="68" fillId="0" borderId="21" xfId="750" applyFont="true" applyBorder="true" applyAlignment="true" applyProtection="true">
      <alignment horizontal="center" vertical="top" textRotation="0" wrapText="false" indent="0" shrinkToFit="false"/>
      <protection locked="true" hidden="false"/>
    </xf>
    <xf numFmtId="201" fontId="68" fillId="0" borderId="36" xfId="750" applyFont="true" applyBorder="true" applyAlignment="false" applyProtection="true">
      <alignment horizontal="general" vertical="top" textRotation="0" wrapText="false" indent="0" shrinkToFit="false"/>
      <protection locked="true" hidden="false"/>
    </xf>
    <xf numFmtId="201" fontId="68" fillId="0" borderId="19" xfId="750" applyFont="true" applyBorder="true" applyAlignment="false" applyProtection="true">
      <alignment horizontal="general" vertical="top" textRotation="0" wrapText="false" indent="0" shrinkToFit="false"/>
      <protection locked="true" hidden="false"/>
    </xf>
    <xf numFmtId="202" fontId="68" fillId="0" borderId="35" xfId="750" applyFont="true" applyBorder="true" applyAlignment="true" applyProtection="true">
      <alignment horizontal="center" vertical="center" textRotation="0" wrapText="false" indent="0" shrinkToFit="false"/>
      <protection locked="true" hidden="false"/>
    </xf>
    <xf numFmtId="202" fontId="68" fillId="0" borderId="21" xfId="750" applyFont="true" applyBorder="true" applyAlignment="true" applyProtection="true">
      <alignment horizontal="center" vertical="center" textRotation="0" wrapText="false" indent="0" shrinkToFit="false"/>
      <protection locked="true" hidden="false"/>
    </xf>
    <xf numFmtId="186" fontId="20" fillId="0" borderId="19" xfId="750" applyFont="true" applyBorder="true" applyAlignment="true" applyProtection="true">
      <alignment horizontal="center" vertical="top" textRotation="0" wrapText="false" indent="0" shrinkToFit="false"/>
      <protection locked="true" hidden="false"/>
    </xf>
    <xf numFmtId="183" fontId="68" fillId="0" borderId="21" xfId="750" applyFont="true" applyBorder="true" applyAlignment="false" applyProtection="true">
      <alignment horizontal="general" vertical="top" textRotation="0" wrapText="false" indent="0" shrinkToFit="false"/>
      <protection locked="true" hidden="false"/>
    </xf>
    <xf numFmtId="198" fontId="20" fillId="0" borderId="21" xfId="750" applyFont="true" applyBorder="true" applyAlignment="true" applyProtection="true">
      <alignment horizontal="center" vertical="top" textRotation="0" wrapText="false" indent="0" shrinkToFit="false"/>
      <protection locked="true" hidden="false"/>
    </xf>
    <xf numFmtId="186" fontId="20" fillId="0" borderId="21" xfId="750" applyFont="true" applyBorder="true" applyAlignment="true" applyProtection="true">
      <alignment horizontal="center" vertical="top" textRotation="0" wrapText="false" indent="0" shrinkToFit="false"/>
      <protection locked="true" hidden="false"/>
    </xf>
    <xf numFmtId="164" fontId="69" fillId="0" borderId="19" xfId="0" applyFont="true" applyBorder="true" applyAlignment="true" applyProtection="false">
      <alignment horizontal="left" vertical="top" textRotation="0" wrapText="false" indent="0" shrinkToFit="false"/>
      <protection locked="true" hidden="false"/>
    </xf>
    <xf numFmtId="202" fontId="0" fillId="0" borderId="19" xfId="0" applyFont="true" applyBorder="true" applyAlignment="true" applyProtection="false">
      <alignment horizontal="left" vertical="center" textRotation="0" wrapText="true" indent="0" shrinkToFit="false"/>
      <protection locked="true" hidden="false"/>
    </xf>
    <xf numFmtId="169" fontId="24" fillId="0" borderId="19" xfId="0" applyFont="true" applyBorder="true" applyAlignment="true" applyProtection="false">
      <alignment horizontal="general" vertical="center" textRotation="0" wrapText="false" indent="0" shrinkToFit="false"/>
      <protection locked="true" hidden="false"/>
    </xf>
    <xf numFmtId="202" fontId="24" fillId="0" borderId="37" xfId="0" applyFont="true" applyBorder="true" applyAlignment="true" applyProtection="false">
      <alignment horizontal="center" vertical="center" textRotation="0" wrapText="false" indent="0" shrinkToFit="false"/>
      <protection locked="true" hidden="false"/>
    </xf>
    <xf numFmtId="202" fontId="24" fillId="0" borderId="0" xfId="0" applyFont="true" applyBorder="true" applyAlignment="true" applyProtection="false">
      <alignment horizontal="center" vertical="center" textRotation="0" wrapText="false" indent="0" shrinkToFit="false"/>
      <protection locked="true" hidden="false"/>
    </xf>
    <xf numFmtId="164" fontId="63" fillId="0" borderId="19" xfId="0" applyFont="true" applyBorder="true" applyAlignment="false" applyProtection="false">
      <alignment horizontal="general" vertical="center" textRotation="0" wrapText="false" indent="0" shrinkToFit="false"/>
      <protection locked="true" hidden="false"/>
    </xf>
    <xf numFmtId="202" fontId="0" fillId="0" borderId="19" xfId="0" applyFont="true" applyBorder="true" applyAlignment="true" applyProtection="false">
      <alignment horizontal="left"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true" indent="0" shrinkToFit="false"/>
      <protection locked="true" hidden="false"/>
    </xf>
    <xf numFmtId="202" fontId="59" fillId="0" borderId="19" xfId="0" applyFont="true" applyBorder="true" applyAlignment="true" applyProtection="false">
      <alignment horizontal="left" vertical="center" textRotation="0" wrapText="true" indent="0" shrinkToFit="false"/>
      <protection locked="true" hidden="false"/>
    </xf>
    <xf numFmtId="164" fontId="64" fillId="0" borderId="19" xfId="0" applyFont="true" applyBorder="true" applyAlignment="true" applyProtection="false">
      <alignment horizontal="general" vertical="center" textRotation="0" wrapText="false" indent="0" shrinkToFit="false"/>
      <protection locked="true" hidden="false"/>
    </xf>
    <xf numFmtId="203" fontId="69" fillId="0" borderId="19" xfId="0" applyFont="true" applyBorder="true" applyAlignment="true" applyProtection="false">
      <alignment horizontal="left" vertical="top" textRotation="0" wrapText="false" indent="0" shrinkToFit="false"/>
      <protection locked="true" hidden="false"/>
    </xf>
    <xf numFmtId="173" fontId="64" fillId="0" borderId="19" xfId="0" applyFont="true" applyBorder="true" applyAlignment="true" applyProtection="false">
      <alignment horizontal="center" vertical="center" textRotation="0" wrapText="false" indent="0" shrinkToFit="false"/>
      <protection locked="true" hidden="false"/>
    </xf>
    <xf numFmtId="164" fontId="59" fillId="0" borderId="20" xfId="0" applyFont="true" applyBorder="true" applyAlignment="true" applyProtection="false">
      <alignment horizontal="left" vertical="center" textRotation="0" wrapText="false" indent="0" shrinkToFit="false"/>
      <protection locked="true" hidden="false"/>
    </xf>
    <xf numFmtId="202" fontId="24" fillId="0" borderId="38" xfId="0" applyFont="true" applyBorder="true" applyAlignment="true" applyProtection="false">
      <alignment horizontal="center" vertical="center" textRotation="0" wrapText="false" indent="0" shrinkToFit="false"/>
      <protection locked="true" hidden="false"/>
    </xf>
    <xf numFmtId="202" fontId="24" fillId="0" borderId="39"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true" applyAlignment="false" applyProtection="false">
      <alignment horizontal="general" vertical="center" textRotation="0" wrapText="false" indent="0" shrinkToFit="false"/>
      <protection locked="true" hidden="false"/>
    </xf>
    <xf numFmtId="164" fontId="24" fillId="0" borderId="19"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0" fillId="0" borderId="19" xfId="0" applyFont="false" applyBorder="true" applyAlignment="false" applyProtection="false">
      <alignment horizontal="general" vertical="center" textRotation="0" wrapText="false" indent="0" shrinkToFit="false"/>
      <protection locked="true" hidden="false"/>
    </xf>
    <xf numFmtId="195" fontId="63" fillId="0" borderId="21" xfId="0" applyFont="true" applyBorder="true" applyAlignment="true" applyProtection="false">
      <alignment horizontal="left" vertical="center" textRotation="0" wrapText="false" indent="0" shrinkToFit="false"/>
      <protection locked="true" hidden="false"/>
    </xf>
    <xf numFmtId="164" fontId="63" fillId="0" borderId="40" xfId="0" applyFont="true" applyBorder="true" applyAlignment="true" applyProtection="false">
      <alignment horizontal="left" vertical="center" textRotation="0" wrapText="false" indent="0" shrinkToFit="false"/>
      <protection locked="true" hidden="false"/>
    </xf>
    <xf numFmtId="194" fontId="64" fillId="0" borderId="19" xfId="15" applyFont="true" applyBorder="true" applyAlignment="true" applyProtection="true">
      <alignment horizontal="center" vertical="center" textRotation="0" wrapText="false" indent="0" shrinkToFit="false"/>
      <protection locked="true" hidden="false"/>
    </xf>
    <xf numFmtId="194" fontId="64" fillId="0" borderId="40" xfId="154" applyFont="true" applyBorder="true" applyAlignment="true" applyProtection="true">
      <alignment horizontal="center" vertical="center" textRotation="0" wrapText="false" indent="0" shrinkToFit="false"/>
      <protection locked="true" hidden="false"/>
    </xf>
    <xf numFmtId="198" fontId="63" fillId="0" borderId="40" xfId="0" applyFont="true" applyBorder="true" applyAlignment="true" applyProtection="false">
      <alignment horizontal="left" vertical="center" textRotation="0" wrapText="false" indent="0" shrinkToFit="false"/>
      <protection locked="true" hidden="false"/>
    </xf>
    <xf numFmtId="202" fontId="59" fillId="0" borderId="19"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false" indent="0" shrinkToFit="false"/>
      <protection locked="true" hidden="false"/>
    </xf>
    <xf numFmtId="164" fontId="70" fillId="0" borderId="0" xfId="0" applyFont="true" applyBorder="false" applyAlignment="false" applyProtection="false">
      <alignment horizontal="general" vertical="center" textRotation="0" wrapText="false" indent="0" shrinkToFit="false"/>
      <protection locked="true" hidden="false"/>
    </xf>
    <xf numFmtId="164" fontId="67" fillId="0" borderId="19" xfId="0" applyFont="true" applyBorder="true" applyAlignment="true" applyProtection="false">
      <alignment horizontal="center" vertical="center" textRotation="0" wrapText="true" indent="0" shrinkToFit="false"/>
      <protection locked="true" hidden="false"/>
    </xf>
    <xf numFmtId="195" fontId="63" fillId="25" borderId="19"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general" vertical="center" textRotation="0" wrapText="false" indent="0" shrinkToFit="false"/>
      <protection locked="true" hidden="false"/>
    </xf>
    <xf numFmtId="195" fontId="59" fillId="25" borderId="19" xfId="0" applyFont="true" applyBorder="true" applyAlignment="true" applyProtection="false">
      <alignment horizontal="center" vertical="center" textRotation="0" wrapText="false" indent="0" shrinkToFit="false"/>
      <protection locked="true" hidden="false"/>
    </xf>
    <xf numFmtId="202" fontId="24" fillId="0" borderId="41" xfId="0" applyFont="true" applyBorder="true" applyAlignment="true" applyProtection="false">
      <alignment horizontal="left" vertical="center" textRotation="0" wrapText="true" indent="0" shrinkToFit="false"/>
      <protection locked="true" hidden="false"/>
    </xf>
    <xf numFmtId="164" fontId="63" fillId="0" borderId="19" xfId="0" applyFont="true" applyBorder="true" applyAlignment="true" applyProtection="false">
      <alignment horizontal="general" vertical="center" textRotation="0" wrapText="false" indent="0" shrinkToFit="false"/>
      <protection locked="true" hidden="false"/>
    </xf>
    <xf numFmtId="164" fontId="0" fillId="25" borderId="19" xfId="0" applyFont="false" applyBorder="true" applyAlignment="true" applyProtection="false">
      <alignment horizontal="center" vertical="center" textRotation="0" wrapText="false" indent="0" shrinkToFit="false"/>
      <protection locked="true" hidden="false"/>
    </xf>
    <xf numFmtId="196" fontId="63" fillId="0" borderId="34" xfId="0" applyFont="true" applyBorder="true" applyAlignment="false" applyProtection="false">
      <alignment horizontal="general" vertical="center" textRotation="0" wrapText="false" indent="0" shrinkToFit="false"/>
      <protection locked="true" hidden="false"/>
    </xf>
    <xf numFmtId="164" fontId="0" fillId="0" borderId="42" xfId="922" applyFont="true" applyBorder="true" applyAlignment="false" applyProtection="false">
      <alignment horizontal="general" vertical="center" textRotation="0" wrapText="false" indent="0" shrinkToFit="false"/>
      <protection locked="true" hidden="false"/>
    </xf>
    <xf numFmtId="164" fontId="0" fillId="0" borderId="43" xfId="923" applyFont="true" applyBorder="true" applyAlignment="false" applyProtection="false">
      <alignment horizontal="general" vertical="center" textRotation="0" wrapText="false" indent="0" shrinkToFit="false"/>
      <protection locked="true" hidden="false"/>
    </xf>
    <xf numFmtId="164" fontId="0" fillId="0" borderId="44" xfId="922" applyFont="false" applyBorder="true" applyAlignment="false" applyProtection="false">
      <alignment horizontal="general" vertical="center" textRotation="0" wrapText="false" indent="0" shrinkToFit="false"/>
      <protection locked="true" hidden="false"/>
    </xf>
    <xf numFmtId="164" fontId="0" fillId="0" borderId="45" xfId="922" applyFont="false" applyBorder="true" applyAlignment="false" applyProtection="false">
      <alignment horizontal="general" vertical="center" textRotation="0" wrapText="false" indent="0" shrinkToFit="false"/>
      <protection locked="true" hidden="false"/>
    </xf>
    <xf numFmtId="164" fontId="0" fillId="0" borderId="46" xfId="923" applyFont="true" applyBorder="true" applyAlignment="false" applyProtection="false">
      <alignment horizontal="general" vertical="center" textRotation="0" wrapText="false" indent="0" shrinkToFit="false"/>
      <protection locked="true" hidden="false"/>
    </xf>
    <xf numFmtId="164" fontId="0" fillId="0" borderId="35" xfId="921" applyFont="false" applyBorder="true" applyAlignment="false" applyProtection="false">
      <alignment horizontal="left" vertical="center" textRotation="0" wrapText="false" indent="0" shrinkToFit="false"/>
      <protection locked="true" hidden="false"/>
    </xf>
    <xf numFmtId="164" fontId="0" fillId="0" borderId="18" xfId="921" applyFont="false" applyBorder="true" applyAlignment="false" applyProtection="false">
      <alignment horizontal="left" vertical="center" textRotation="0" wrapText="false" indent="0" shrinkToFit="false"/>
      <protection locked="true" hidden="false"/>
    </xf>
    <xf numFmtId="164" fontId="26" fillId="0" borderId="47" xfId="925" applyFont="true" applyBorder="true" applyAlignment="false" applyProtection="false">
      <alignment horizontal="left" vertical="center" textRotation="0" wrapText="false" indent="0" shrinkToFit="false"/>
      <protection locked="true" hidden="false"/>
    </xf>
    <xf numFmtId="164" fontId="0" fillId="0" borderId="48" xfId="921" applyFont="true" applyBorder="true" applyAlignment="false" applyProtection="false">
      <alignment horizontal="left" vertical="center" textRotation="0" wrapText="false" indent="0" shrinkToFit="false"/>
      <protection locked="true" hidden="false"/>
    </xf>
    <xf numFmtId="194" fontId="0" fillId="0" borderId="49" xfId="926" applyFont="false" applyBorder="true" applyAlignment="false" applyProtection="false">
      <alignment horizontal="general" vertical="center" textRotation="0" wrapText="false" indent="0" shrinkToFit="false"/>
      <protection locked="true" hidden="false"/>
    </xf>
    <xf numFmtId="194" fontId="0" fillId="0" borderId="50" xfId="926" applyFont="false" applyBorder="true" applyAlignment="false" applyProtection="false">
      <alignment horizontal="general" vertical="center" textRotation="0" wrapText="false" indent="0" shrinkToFit="false"/>
      <protection locked="true" hidden="false"/>
    </xf>
    <xf numFmtId="194" fontId="0" fillId="0" borderId="51" xfId="926" applyFont="false" applyBorder="true" applyAlignment="false" applyProtection="false">
      <alignment horizontal="general" vertical="center" textRotation="0" wrapText="false" indent="0" shrinkToFit="false"/>
      <protection locked="true" hidden="false"/>
    </xf>
    <xf numFmtId="194" fontId="26" fillId="0" borderId="52" xfId="924" applyFont="false" applyBorder="true" applyAlignment="false" applyProtection="false">
      <alignment horizontal="general" vertical="center" textRotation="0" wrapText="false" indent="0" shrinkToFit="false"/>
      <protection locked="true" hidden="false"/>
    </xf>
    <xf numFmtId="164" fontId="0" fillId="0" borderId="53" xfId="921" applyFont="true" applyBorder="true" applyAlignment="false" applyProtection="false">
      <alignment horizontal="left" vertical="center" textRotation="0" wrapText="false" indent="0" shrinkToFit="false"/>
      <protection locked="true" hidden="false"/>
    </xf>
    <xf numFmtId="194" fontId="0" fillId="0" borderId="54" xfId="926" applyFont="false" applyBorder="true" applyAlignment="false" applyProtection="false">
      <alignment horizontal="general" vertical="center" textRotation="0" wrapText="false" indent="0" shrinkToFit="false"/>
      <protection locked="true" hidden="false"/>
    </xf>
    <xf numFmtId="194" fontId="0" fillId="0" borderId="0" xfId="926" applyFont="false" applyBorder="false" applyAlignment="false" applyProtection="false">
      <alignment horizontal="general" vertical="center" textRotation="0" wrapText="false" indent="0" shrinkToFit="false"/>
      <protection locked="true" hidden="false"/>
    </xf>
    <xf numFmtId="194" fontId="0" fillId="0" borderId="55" xfId="926" applyFont="false" applyBorder="true" applyAlignment="false" applyProtection="false">
      <alignment horizontal="general" vertical="center" textRotation="0" wrapText="false" indent="0" shrinkToFit="false"/>
      <protection locked="true" hidden="false"/>
    </xf>
    <xf numFmtId="194" fontId="26" fillId="0" borderId="56" xfId="924" applyFont="false" applyBorder="true" applyAlignment="false" applyProtection="false">
      <alignment horizontal="general" vertical="center" textRotation="0" wrapText="false" indent="0" shrinkToFit="false"/>
      <protection locked="true" hidden="false"/>
    </xf>
    <xf numFmtId="164" fontId="0" fillId="0" borderId="0" xfId="926" applyFont="false" applyBorder="false" applyAlignment="false" applyProtection="false">
      <alignment horizontal="general" vertical="center" textRotation="0" wrapText="false" indent="0" shrinkToFit="false"/>
      <protection locked="true" hidden="false"/>
    </xf>
    <xf numFmtId="164" fontId="0" fillId="0" borderId="55" xfId="926" applyFont="false" applyBorder="true" applyAlignment="false" applyProtection="false">
      <alignment horizontal="general" vertical="center" textRotation="0" wrapText="false" indent="0" shrinkToFit="false"/>
      <protection locked="true" hidden="false"/>
    </xf>
    <xf numFmtId="194" fontId="0" fillId="0" borderId="35" xfId="926" applyFont="false" applyBorder="true" applyAlignment="false" applyProtection="false">
      <alignment horizontal="general" vertical="center" textRotation="0" wrapText="false" indent="0" shrinkToFit="false"/>
      <protection locked="true" hidden="false"/>
    </xf>
    <xf numFmtId="194" fontId="0" fillId="0" borderId="18" xfId="926" applyFont="false" applyBorder="true" applyAlignment="false" applyProtection="false">
      <alignment horizontal="general" vertical="center" textRotation="0" wrapText="false" indent="0" shrinkToFit="false"/>
      <protection locked="true" hidden="false"/>
    </xf>
    <xf numFmtId="194" fontId="0" fillId="0" borderId="36" xfId="926" applyFont="false" applyBorder="true" applyAlignment="false" applyProtection="false">
      <alignment horizontal="general" vertical="center" textRotation="0" wrapText="false" indent="0" shrinkToFit="false"/>
      <protection locked="true" hidden="false"/>
    </xf>
    <xf numFmtId="194" fontId="26" fillId="0" borderId="57" xfId="924" applyFont="false" applyBorder="true" applyAlignment="false" applyProtection="false">
      <alignment horizontal="general" vertical="center" textRotation="0" wrapText="false" indent="0" shrinkToFit="false"/>
      <protection locked="true" hidden="false"/>
    </xf>
    <xf numFmtId="164" fontId="26" fillId="0" borderId="58" xfId="925" applyFont="true" applyBorder="true" applyAlignment="false" applyProtection="false">
      <alignment horizontal="left" vertical="center" textRotation="0" wrapText="false" indent="0" shrinkToFit="false"/>
      <protection locked="true" hidden="false"/>
    </xf>
    <xf numFmtId="194" fontId="26" fillId="0" borderId="59" xfId="924" applyFont="false" applyBorder="true" applyAlignment="false" applyProtection="false">
      <alignment horizontal="general" vertical="center" textRotation="0" wrapText="false" indent="0" shrinkToFit="false"/>
      <protection locked="true" hidden="false"/>
    </xf>
    <xf numFmtId="194" fontId="26" fillId="0" borderId="23" xfId="924" applyFont="false" applyBorder="true" applyAlignment="false" applyProtection="false">
      <alignment horizontal="general" vertical="center" textRotation="0" wrapText="false" indent="0" shrinkToFit="false"/>
      <protection locked="true" hidden="false"/>
    </xf>
    <xf numFmtId="194" fontId="26" fillId="0" borderId="60" xfId="924" applyFont="false" applyBorder="true" applyAlignment="false" applyProtection="false">
      <alignment horizontal="general" vertical="center" textRotation="0" wrapText="false" indent="0" shrinkToFit="false"/>
      <protection locked="true" hidden="false"/>
    </xf>
    <xf numFmtId="194"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49" xfId="926" applyFont="false" applyBorder="true" applyAlignment="false" applyProtection="false">
      <alignment horizontal="general" vertical="center" textRotation="0" wrapText="false" indent="0" shrinkToFit="false"/>
      <protection locked="true" hidden="false"/>
    </xf>
    <xf numFmtId="164" fontId="0" fillId="0" borderId="50" xfId="926" applyFont="false" applyBorder="true" applyAlignment="false" applyProtection="false">
      <alignment horizontal="general" vertical="center" textRotation="0" wrapText="false" indent="0" shrinkToFit="false"/>
      <protection locked="true" hidden="false"/>
    </xf>
    <xf numFmtId="164" fontId="0" fillId="0" borderId="51" xfId="926" applyFont="false" applyBorder="true" applyAlignment="false" applyProtection="false">
      <alignment horizontal="general" vertical="center" textRotation="0" wrapText="false" indent="0" shrinkToFit="false"/>
      <protection locked="true" hidden="false"/>
    </xf>
    <xf numFmtId="164" fontId="26" fillId="0" borderId="52" xfId="924" applyFont="false" applyBorder="true" applyAlignment="false" applyProtection="false">
      <alignment horizontal="general" vertical="center" textRotation="0" wrapText="false" indent="0" shrinkToFit="false"/>
      <protection locked="true" hidden="false"/>
    </xf>
    <xf numFmtId="164" fontId="0" fillId="0" borderId="54" xfId="926" applyFont="false" applyBorder="true" applyAlignment="false" applyProtection="false">
      <alignment horizontal="general" vertical="center" textRotation="0" wrapText="false" indent="0" shrinkToFit="false"/>
      <protection locked="true" hidden="false"/>
    </xf>
    <xf numFmtId="164" fontId="26" fillId="0" borderId="56" xfId="924" applyFont="false" applyBorder="true" applyAlignment="false" applyProtection="false">
      <alignment horizontal="general" vertical="center" textRotation="0" wrapText="false" indent="0" shrinkToFit="false"/>
      <protection locked="true" hidden="false"/>
    </xf>
    <xf numFmtId="164" fontId="0" fillId="0" borderId="35" xfId="926" applyFont="false" applyBorder="true" applyAlignment="false" applyProtection="false">
      <alignment horizontal="general" vertical="center" textRotation="0" wrapText="false" indent="0" shrinkToFit="false"/>
      <protection locked="true" hidden="false"/>
    </xf>
    <xf numFmtId="164" fontId="0" fillId="0" borderId="18" xfId="926" applyFont="false" applyBorder="true" applyAlignment="false" applyProtection="false">
      <alignment horizontal="general" vertical="center" textRotation="0" wrapText="false" indent="0" shrinkToFit="false"/>
      <protection locked="true" hidden="false"/>
    </xf>
    <xf numFmtId="164" fontId="0" fillId="0" borderId="36" xfId="926" applyFont="false" applyBorder="true" applyAlignment="false" applyProtection="false">
      <alignment horizontal="general" vertical="center" textRotation="0" wrapText="false" indent="0" shrinkToFit="false"/>
      <protection locked="true" hidden="false"/>
    </xf>
    <xf numFmtId="164" fontId="26" fillId="0" borderId="57" xfId="924" applyFont="false" applyBorder="true" applyAlignment="false" applyProtection="false">
      <alignment horizontal="general" vertical="center" textRotation="0" wrapText="false" indent="0" shrinkToFit="false"/>
      <protection locked="true" hidden="false"/>
    </xf>
    <xf numFmtId="164" fontId="26" fillId="0" borderId="59" xfId="924" applyFont="false" applyBorder="true" applyAlignment="false" applyProtection="false">
      <alignment horizontal="general" vertical="center" textRotation="0" wrapText="false" indent="0" shrinkToFit="false"/>
      <protection locked="true" hidden="false"/>
    </xf>
    <xf numFmtId="164" fontId="26" fillId="0" borderId="23" xfId="924" applyFont="false" applyBorder="true" applyAlignment="false" applyProtection="false">
      <alignment horizontal="general" vertical="center" textRotation="0" wrapText="false" indent="0" shrinkToFit="false"/>
      <protection locked="true" hidden="false"/>
    </xf>
    <xf numFmtId="164" fontId="26" fillId="0" borderId="60" xfId="924" applyFont="false" applyBorder="true" applyAlignment="false" applyProtection="false">
      <alignment horizontal="general" vertical="center" textRotation="0" wrapText="false" indent="0" shrinkToFit="false"/>
      <protection locked="true" hidden="false"/>
    </xf>
    <xf numFmtId="164"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62" xfId="922" applyFont="true" applyBorder="true" applyAlignment="false" applyProtection="false">
      <alignment horizontal="general" vertical="center" textRotation="0" wrapText="false" indent="0" shrinkToFit="false"/>
      <protection locked="true" hidden="false"/>
    </xf>
    <xf numFmtId="164" fontId="0" fillId="0" borderId="63" xfId="922" applyFont="false" applyBorder="true" applyAlignment="false" applyProtection="false">
      <alignment horizontal="general" vertical="center" textRotation="0" wrapText="false" indent="0" shrinkToFit="false"/>
      <protection locked="true" hidden="false"/>
    </xf>
    <xf numFmtId="164" fontId="0" fillId="0" borderId="19" xfId="923" applyFont="true" applyBorder="true" applyAlignment="false" applyProtection="false">
      <alignment horizontal="general" vertical="center" textRotation="0" wrapText="false" indent="0" shrinkToFit="false"/>
      <protection locked="true" hidden="false"/>
    </xf>
    <xf numFmtId="164" fontId="0" fillId="0" borderId="40" xfId="921" applyFont="false" applyBorder="true" applyAlignment="false" applyProtection="false">
      <alignment horizontal="left" vertical="center" textRotation="0" wrapText="false" indent="0" shrinkToFit="false"/>
      <protection locked="true" hidden="false"/>
    </xf>
    <xf numFmtId="164" fontId="0" fillId="0" borderId="3" xfId="921" applyFont="true" applyBorder="true" applyAlignment="false" applyProtection="false">
      <alignment horizontal="left" vertical="center" textRotation="0" wrapText="false" indent="0" shrinkToFit="false"/>
      <protection locked="true" hidden="false"/>
    </xf>
    <xf numFmtId="164" fontId="0" fillId="0" borderId="64" xfId="921" applyFont="false" applyBorder="true" applyAlignment="false" applyProtection="false">
      <alignment horizontal="left" vertical="center" textRotation="0" wrapText="false" indent="0" shrinkToFit="false"/>
      <protection locked="true" hidden="false"/>
    </xf>
    <xf numFmtId="164" fontId="0" fillId="0" borderId="21" xfId="921" applyFont="true" applyBorder="true" applyAlignment="false" applyProtection="false">
      <alignment horizontal="left" vertical="center" textRotation="0" wrapText="false" indent="0" shrinkToFit="false"/>
      <protection locked="true" hidden="false"/>
    </xf>
    <xf numFmtId="164" fontId="26" fillId="0" borderId="65" xfId="925" applyFont="true" applyBorder="true" applyAlignment="false" applyProtection="false">
      <alignment horizontal="left" vertical="center" textRotation="0" wrapText="false" indent="0" shrinkToFit="false"/>
      <protection locked="true" hidden="false"/>
    </xf>
    <xf numFmtId="164" fontId="26" fillId="0" borderId="60" xfId="925" applyFont="false" applyBorder="true" applyAlignment="false" applyProtection="false">
      <alignment horizontal="left" vertical="center" textRotation="0" wrapText="false" indent="0" shrinkToFit="false"/>
      <protection locked="true" hidden="false"/>
    </xf>
    <xf numFmtId="186" fontId="0" fillId="0" borderId="49" xfId="926" applyFont="false" applyBorder="true" applyAlignment="false" applyProtection="false">
      <alignment horizontal="general" vertical="center" textRotation="0" wrapText="false" indent="0" shrinkToFit="false"/>
      <protection locked="true" hidden="false"/>
    </xf>
    <xf numFmtId="186" fontId="0" fillId="0" borderId="50" xfId="926" applyFont="false" applyBorder="true" applyAlignment="false" applyProtection="false">
      <alignment horizontal="general" vertical="center" textRotation="0" wrapText="false" indent="0" shrinkToFit="false"/>
      <protection locked="true" hidden="false"/>
    </xf>
    <xf numFmtId="186" fontId="0" fillId="0" borderId="51" xfId="926" applyFont="false" applyBorder="true" applyAlignment="false" applyProtection="false">
      <alignment horizontal="general" vertical="center" textRotation="0" wrapText="false" indent="0" shrinkToFit="false"/>
      <protection locked="true" hidden="false"/>
    </xf>
    <xf numFmtId="186" fontId="26" fillId="0" borderId="52" xfId="924" applyFont="false" applyBorder="true" applyAlignment="false" applyProtection="false">
      <alignment horizontal="general" vertical="center" textRotation="0" wrapText="false" indent="0" shrinkToFit="false"/>
      <protection locked="true" hidden="false"/>
    </xf>
    <xf numFmtId="186" fontId="0" fillId="0" borderId="54" xfId="926" applyFont="false" applyBorder="true" applyAlignment="false" applyProtection="false">
      <alignment horizontal="general" vertical="center" textRotation="0" wrapText="false" indent="0" shrinkToFit="false"/>
      <protection locked="true" hidden="false"/>
    </xf>
    <xf numFmtId="186" fontId="0" fillId="0" borderId="0" xfId="926" applyFont="false" applyBorder="false" applyAlignment="false" applyProtection="false">
      <alignment horizontal="general" vertical="center" textRotation="0" wrapText="false" indent="0" shrinkToFit="false"/>
      <protection locked="true" hidden="false"/>
    </xf>
    <xf numFmtId="186" fontId="0" fillId="0" borderId="55" xfId="926" applyFont="false" applyBorder="true" applyAlignment="false" applyProtection="false">
      <alignment horizontal="general" vertical="center" textRotation="0" wrapText="false" indent="0" shrinkToFit="false"/>
      <protection locked="true" hidden="false"/>
    </xf>
    <xf numFmtId="186" fontId="26" fillId="0" borderId="56" xfId="924" applyFont="false" applyBorder="true" applyAlignment="false" applyProtection="false">
      <alignment horizontal="general" vertical="center" textRotation="0" wrapText="false" indent="0" shrinkToFit="false"/>
      <protection locked="true" hidden="false"/>
    </xf>
    <xf numFmtId="186" fontId="0" fillId="0" borderId="35" xfId="926" applyFont="false" applyBorder="true" applyAlignment="false" applyProtection="false">
      <alignment horizontal="general" vertical="center" textRotation="0" wrapText="false" indent="0" shrinkToFit="false"/>
      <protection locked="true" hidden="false"/>
    </xf>
    <xf numFmtId="186" fontId="0" fillId="0" borderId="18" xfId="926" applyFont="false" applyBorder="true" applyAlignment="false" applyProtection="false">
      <alignment horizontal="general" vertical="center" textRotation="0" wrapText="false" indent="0" shrinkToFit="false"/>
      <protection locked="true" hidden="false"/>
    </xf>
    <xf numFmtId="186" fontId="0" fillId="0" borderId="36" xfId="926" applyFont="false" applyBorder="true" applyAlignment="false" applyProtection="false">
      <alignment horizontal="general" vertical="center" textRotation="0" wrapText="false" indent="0" shrinkToFit="false"/>
      <protection locked="true" hidden="false"/>
    </xf>
    <xf numFmtId="186" fontId="26" fillId="0" borderId="57" xfId="924" applyFont="false" applyBorder="true" applyAlignment="false" applyProtection="false">
      <alignment horizontal="general" vertical="center" textRotation="0" wrapText="false" indent="0" shrinkToFit="false"/>
      <protection locked="true" hidden="false"/>
    </xf>
    <xf numFmtId="186" fontId="26" fillId="0" borderId="59" xfId="924" applyFont="false" applyBorder="true" applyAlignment="false" applyProtection="false">
      <alignment horizontal="general" vertical="center" textRotation="0" wrapText="false" indent="0" shrinkToFit="false"/>
      <protection locked="true" hidden="false"/>
    </xf>
    <xf numFmtId="186" fontId="26" fillId="0" borderId="23" xfId="924" applyFont="false" applyBorder="true" applyAlignment="false" applyProtection="false">
      <alignment horizontal="general" vertical="center" textRotation="0" wrapText="false" indent="0" shrinkToFit="false"/>
      <protection locked="true" hidden="false"/>
    </xf>
    <xf numFmtId="186" fontId="26" fillId="0" borderId="60" xfId="924" applyFont="false" applyBorder="true" applyAlignment="false" applyProtection="false">
      <alignment horizontal="general" vertical="center" textRotation="0" wrapText="false" indent="0" shrinkToFit="false"/>
      <protection locked="true" hidden="false"/>
    </xf>
    <xf numFmtId="186" fontId="26" fillId="0" borderId="61" xfId="924" applyFont="false" applyBorder="true" applyAlignment="false" applyProtection="false">
      <alignment horizontal="general" vertical="center" textRotation="0" wrapText="false" indent="0" shrinkToFit="false"/>
      <protection locked="true" hidden="false"/>
    </xf>
    <xf numFmtId="199" fontId="0" fillId="0" borderId="49" xfId="926" applyFont="false" applyBorder="true" applyAlignment="false" applyProtection="false">
      <alignment horizontal="general" vertical="center" textRotation="0" wrapText="false" indent="0" shrinkToFit="false"/>
      <protection locked="true" hidden="false"/>
    </xf>
    <xf numFmtId="199" fontId="0" fillId="0" borderId="50" xfId="926" applyFont="false" applyBorder="true" applyAlignment="false" applyProtection="false">
      <alignment horizontal="general" vertical="center" textRotation="0" wrapText="false" indent="0" shrinkToFit="false"/>
      <protection locked="true" hidden="false"/>
    </xf>
    <xf numFmtId="199" fontId="0" fillId="0" borderId="51" xfId="926" applyFont="false" applyBorder="true" applyAlignment="false" applyProtection="false">
      <alignment horizontal="general" vertical="center" textRotation="0" wrapText="false" indent="0" shrinkToFit="false"/>
      <protection locked="true" hidden="false"/>
    </xf>
    <xf numFmtId="199" fontId="26" fillId="0" borderId="52" xfId="924" applyFont="false" applyBorder="true" applyAlignment="false" applyProtection="false">
      <alignment horizontal="general" vertical="center" textRotation="0" wrapText="false" indent="0" shrinkToFit="false"/>
      <protection locked="true" hidden="false"/>
    </xf>
    <xf numFmtId="199" fontId="0" fillId="0" borderId="54" xfId="926" applyFont="false" applyBorder="true" applyAlignment="false" applyProtection="false">
      <alignment horizontal="general" vertical="center" textRotation="0" wrapText="false" indent="0" shrinkToFit="false"/>
      <protection locked="true" hidden="false"/>
    </xf>
    <xf numFmtId="199" fontId="0" fillId="0" borderId="0" xfId="926" applyFont="false" applyBorder="false" applyAlignment="false" applyProtection="false">
      <alignment horizontal="general" vertical="center" textRotation="0" wrapText="false" indent="0" shrinkToFit="false"/>
      <protection locked="true" hidden="false"/>
    </xf>
    <xf numFmtId="199" fontId="0" fillId="0" borderId="55" xfId="926" applyFont="false" applyBorder="true" applyAlignment="false" applyProtection="false">
      <alignment horizontal="general" vertical="center" textRotation="0" wrapText="false" indent="0" shrinkToFit="false"/>
      <protection locked="true" hidden="false"/>
    </xf>
    <xf numFmtId="199" fontId="26" fillId="0" borderId="56" xfId="924" applyFont="false" applyBorder="true" applyAlignment="false" applyProtection="false">
      <alignment horizontal="general" vertical="center" textRotation="0" wrapText="false" indent="0" shrinkToFit="false"/>
      <protection locked="true" hidden="false"/>
    </xf>
    <xf numFmtId="199" fontId="0" fillId="0" borderId="35" xfId="926" applyFont="false" applyBorder="true" applyAlignment="false" applyProtection="false">
      <alignment horizontal="general" vertical="center" textRotation="0" wrapText="false" indent="0" shrinkToFit="false"/>
      <protection locked="true" hidden="false"/>
    </xf>
    <xf numFmtId="199" fontId="0" fillId="0" borderId="18" xfId="926" applyFont="false" applyBorder="true" applyAlignment="false" applyProtection="false">
      <alignment horizontal="general" vertical="center" textRotation="0" wrapText="false" indent="0" shrinkToFit="false"/>
      <protection locked="true" hidden="false"/>
    </xf>
    <xf numFmtId="199" fontId="0" fillId="0" borderId="36" xfId="926" applyFont="false" applyBorder="true" applyAlignment="false" applyProtection="false">
      <alignment horizontal="general" vertical="center" textRotation="0" wrapText="false" indent="0" shrinkToFit="false"/>
      <protection locked="true" hidden="false"/>
    </xf>
    <xf numFmtId="199" fontId="26" fillId="0" borderId="57" xfId="924" applyFont="false" applyBorder="true" applyAlignment="false" applyProtection="false">
      <alignment horizontal="general" vertical="center" textRotation="0" wrapText="false" indent="0" shrinkToFit="false"/>
      <protection locked="true" hidden="false"/>
    </xf>
    <xf numFmtId="199" fontId="26" fillId="0" borderId="59" xfId="924" applyFont="false" applyBorder="true" applyAlignment="false" applyProtection="false">
      <alignment horizontal="general" vertical="center" textRotation="0" wrapText="false" indent="0" shrinkToFit="false"/>
      <protection locked="true" hidden="false"/>
    </xf>
    <xf numFmtId="199" fontId="26" fillId="0" borderId="23" xfId="924" applyFont="false" applyBorder="true" applyAlignment="false" applyProtection="false">
      <alignment horizontal="general" vertical="center" textRotation="0" wrapText="false" indent="0" shrinkToFit="false"/>
      <protection locked="true" hidden="false"/>
    </xf>
    <xf numFmtId="199" fontId="26" fillId="0" borderId="60" xfId="924" applyFont="false" applyBorder="true" applyAlignment="false" applyProtection="false">
      <alignment horizontal="general" vertical="center" textRotation="0" wrapText="false" indent="0" shrinkToFit="false"/>
      <protection locked="true" hidden="false"/>
    </xf>
    <xf numFmtId="199" fontId="26" fillId="0" borderId="61" xfId="924" applyFont="false" applyBorder="true" applyAlignment="false" applyProtection="false">
      <alignment horizontal="general" vertical="center" textRotation="0" wrapText="false" indent="0" shrinkToFit="false"/>
      <protection locked="true" hidden="false"/>
    </xf>
    <xf numFmtId="202" fontId="0" fillId="0" borderId="49" xfId="926" applyFont="false" applyBorder="true" applyAlignment="false" applyProtection="false">
      <alignment horizontal="general" vertical="center" textRotation="0" wrapText="false" indent="0" shrinkToFit="false"/>
      <protection locked="true" hidden="false"/>
    </xf>
    <xf numFmtId="202" fontId="0" fillId="0" borderId="50" xfId="926" applyFont="false" applyBorder="true" applyAlignment="false" applyProtection="false">
      <alignment horizontal="general" vertical="center" textRotation="0" wrapText="false" indent="0" shrinkToFit="false"/>
      <protection locked="true" hidden="false"/>
    </xf>
    <xf numFmtId="202" fontId="0" fillId="0" borderId="51" xfId="926" applyFont="false" applyBorder="true" applyAlignment="false" applyProtection="false">
      <alignment horizontal="general" vertical="center" textRotation="0" wrapText="false" indent="0" shrinkToFit="false"/>
      <protection locked="true" hidden="false"/>
    </xf>
    <xf numFmtId="202" fontId="26" fillId="0" borderId="52" xfId="924" applyFont="false" applyBorder="true" applyAlignment="false" applyProtection="false">
      <alignment horizontal="general" vertical="center" textRotation="0" wrapText="false" indent="0" shrinkToFit="false"/>
      <protection locked="true" hidden="false"/>
    </xf>
    <xf numFmtId="202" fontId="0" fillId="0" borderId="54" xfId="926" applyFont="false" applyBorder="true" applyAlignment="false" applyProtection="false">
      <alignment horizontal="general" vertical="center" textRotation="0" wrapText="false" indent="0" shrinkToFit="false"/>
      <protection locked="true" hidden="false"/>
    </xf>
    <xf numFmtId="202" fontId="0" fillId="0" borderId="0" xfId="926" applyFont="false" applyBorder="false" applyAlignment="false" applyProtection="false">
      <alignment horizontal="general" vertical="center" textRotation="0" wrapText="false" indent="0" shrinkToFit="false"/>
      <protection locked="true" hidden="false"/>
    </xf>
    <xf numFmtId="202" fontId="0" fillId="0" borderId="55" xfId="926" applyFont="false" applyBorder="true" applyAlignment="false" applyProtection="false">
      <alignment horizontal="general" vertical="center" textRotation="0" wrapText="false" indent="0" shrinkToFit="false"/>
      <protection locked="true" hidden="false"/>
    </xf>
    <xf numFmtId="202" fontId="26" fillId="0" borderId="56" xfId="924" applyFont="false" applyBorder="true" applyAlignment="false" applyProtection="false">
      <alignment horizontal="general" vertical="center" textRotation="0" wrapText="false" indent="0" shrinkToFit="false"/>
      <protection locked="true" hidden="false"/>
    </xf>
    <xf numFmtId="202" fontId="0" fillId="0" borderId="35" xfId="926" applyFont="false" applyBorder="true" applyAlignment="false" applyProtection="false">
      <alignment horizontal="general" vertical="center" textRotation="0" wrapText="false" indent="0" shrinkToFit="false"/>
      <protection locked="true" hidden="false"/>
    </xf>
    <xf numFmtId="202" fontId="0" fillId="0" borderId="18" xfId="926" applyFont="false" applyBorder="true" applyAlignment="false" applyProtection="false">
      <alignment horizontal="general" vertical="center" textRotation="0" wrapText="false" indent="0" shrinkToFit="false"/>
      <protection locked="true" hidden="false"/>
    </xf>
    <xf numFmtId="202" fontId="0" fillId="0" borderId="36" xfId="926" applyFont="false" applyBorder="true" applyAlignment="false" applyProtection="false">
      <alignment horizontal="general" vertical="center" textRotation="0" wrapText="false" indent="0" shrinkToFit="false"/>
      <protection locked="true" hidden="false"/>
    </xf>
    <xf numFmtId="202" fontId="26" fillId="0" borderId="57" xfId="924" applyFont="false" applyBorder="true" applyAlignment="false" applyProtection="false">
      <alignment horizontal="general" vertical="center" textRotation="0" wrapText="false" indent="0" shrinkToFit="false"/>
      <protection locked="true" hidden="false"/>
    </xf>
    <xf numFmtId="202" fontId="26" fillId="0" borderId="59" xfId="924" applyFont="false" applyBorder="true" applyAlignment="false" applyProtection="false">
      <alignment horizontal="general" vertical="center" textRotation="0" wrapText="false" indent="0" shrinkToFit="false"/>
      <protection locked="true" hidden="false"/>
    </xf>
    <xf numFmtId="202" fontId="26" fillId="0" borderId="23" xfId="924" applyFont="false" applyBorder="true" applyAlignment="false" applyProtection="false">
      <alignment horizontal="general" vertical="center" textRotation="0" wrapText="false" indent="0" shrinkToFit="false"/>
      <protection locked="true" hidden="false"/>
    </xf>
    <xf numFmtId="202" fontId="26" fillId="0" borderId="60" xfId="924" applyFont="false" applyBorder="true" applyAlignment="false" applyProtection="false">
      <alignment horizontal="general" vertical="center" textRotation="0" wrapText="false" indent="0" shrinkToFit="false"/>
      <protection locked="true" hidden="false"/>
    </xf>
    <xf numFmtId="202"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66" xfId="0" applyFont="false" applyBorder="true" applyAlignment="false" applyProtection="false">
      <alignment horizontal="general" vertical="center" textRotation="0" wrapText="false" indent="0" shrinkToFit="false"/>
      <protection locked="true" hidden="false"/>
    </xf>
    <xf numFmtId="164" fontId="0" fillId="0" borderId="67" xfId="921" applyFont="true" applyBorder="true" applyAlignment="false" applyProtection="false">
      <alignment horizontal="left" vertical="center" textRotation="0" wrapText="false" indent="0" shrinkToFit="false"/>
      <protection locked="true" hidden="false"/>
    </xf>
    <xf numFmtId="164" fontId="0" fillId="0" borderId="68" xfId="0" applyFont="false" applyBorder="true" applyAlignment="false" applyProtection="false">
      <alignment horizontal="general" vertical="center" textRotation="0" wrapText="false" indent="0" shrinkToFit="false"/>
      <protection locked="true" hidden="false"/>
    </xf>
    <xf numFmtId="186" fontId="0" fillId="0" borderId="69" xfId="926" applyFont="false" applyBorder="true" applyAlignment="false" applyProtection="false">
      <alignment horizontal="general" vertical="center" textRotation="0" wrapText="false" indent="0" shrinkToFit="false"/>
      <protection locked="true" hidden="false"/>
    </xf>
    <xf numFmtId="164" fontId="0" fillId="0" borderId="44" xfId="922" applyFont="false" applyBorder="true" applyAlignment="false" applyProtection="true">
      <alignment horizontal="general" vertical="center" textRotation="0" wrapText="false" indent="0" shrinkToFit="false"/>
      <protection locked="true" hidden="false"/>
    </xf>
    <xf numFmtId="164" fontId="0" fillId="0" borderId="45" xfId="922" applyFont="false" applyBorder="true" applyAlignment="false" applyProtection="true">
      <alignment horizontal="general" vertical="center" textRotation="0" wrapText="false" indent="0" shrinkToFit="false"/>
      <protection locked="true" hidden="false"/>
    </xf>
    <xf numFmtId="202" fontId="75" fillId="32" borderId="28" xfId="0" applyFont="true" applyBorder="true" applyAlignment="true" applyProtection="false">
      <alignment horizontal="general" vertical="center" textRotation="0" wrapText="true" indent="0" shrinkToFit="false"/>
      <protection locked="true" hidden="false"/>
    </xf>
    <xf numFmtId="186" fontId="0" fillId="0" borderId="68" xfId="926" applyFont="false" applyBorder="true" applyAlignment="false" applyProtection="false">
      <alignment horizontal="general" vertical="center" textRotation="0" wrapText="false" indent="0" shrinkToFit="false"/>
      <protection locked="true" hidden="false"/>
    </xf>
    <xf numFmtId="164" fontId="0" fillId="0" borderId="18" xfId="921" applyFont="true" applyBorder="true" applyAlignment="false" applyProtection="true">
      <alignment horizontal="left" vertical="center" textRotation="0" wrapText="false" indent="0" shrinkToFit="false"/>
      <protection locked="true" hidden="false"/>
    </xf>
    <xf numFmtId="164" fontId="0" fillId="0" borderId="67" xfId="921" applyFont="true" applyBorder="true" applyAlignment="false" applyProtection="true">
      <alignment horizontal="left" vertical="center" textRotation="0" wrapText="false" indent="0" shrinkToFit="false"/>
      <protection locked="true" hidden="false"/>
    </xf>
    <xf numFmtId="202" fontId="59" fillId="0" borderId="28" xfId="0" applyFont="true" applyBorder="true" applyAlignment="true" applyProtection="false">
      <alignment horizontal="center" vertical="center" textRotation="0" wrapText="false" indent="0" shrinkToFit="false"/>
      <protection locked="true" hidden="false"/>
    </xf>
    <xf numFmtId="164" fontId="0" fillId="0" borderId="50" xfId="926" applyFont="false" applyBorder="true" applyAlignment="false" applyProtection="true">
      <alignment horizontal="general" vertical="center" textRotation="0" wrapText="false" indent="0" shrinkToFit="false"/>
      <protection locked="true" hidden="false"/>
    </xf>
    <xf numFmtId="201" fontId="0" fillId="0" borderId="50" xfId="926" applyFont="false" applyBorder="true" applyAlignment="false" applyProtection="true">
      <alignment horizontal="general" vertical="center" textRotation="0" wrapText="false" indent="0" shrinkToFit="false"/>
      <protection locked="true" hidden="false"/>
    </xf>
    <xf numFmtId="198" fontId="0" fillId="0" borderId="50" xfId="926" applyFont="false" applyBorder="true" applyAlignment="false" applyProtection="true">
      <alignment horizontal="general" vertical="center" textRotation="0" wrapText="false" indent="0" shrinkToFit="false"/>
      <protection locked="true" hidden="false"/>
    </xf>
    <xf numFmtId="186" fontId="0" fillId="0" borderId="69" xfId="926" applyFont="false" applyBorder="true" applyAlignment="false" applyProtection="true">
      <alignment horizontal="general" vertical="center" textRotation="0" wrapText="false" indent="0" shrinkToFit="false"/>
      <protection locked="true" hidden="false"/>
    </xf>
    <xf numFmtId="164" fontId="0" fillId="0" borderId="0" xfId="926" applyFont="false" applyBorder="true" applyAlignment="false" applyProtection="true">
      <alignment horizontal="general" vertical="center" textRotation="0" wrapText="false" indent="0" shrinkToFit="false"/>
      <protection locked="true" hidden="false"/>
    </xf>
    <xf numFmtId="198" fontId="0" fillId="0" borderId="0" xfId="926" applyFont="false" applyBorder="true" applyAlignment="false" applyProtection="true">
      <alignment horizontal="general" vertical="center" textRotation="0" wrapText="false" indent="0" shrinkToFit="false"/>
      <protection locked="true" hidden="false"/>
    </xf>
    <xf numFmtId="186" fontId="0" fillId="0" borderId="68" xfId="926" applyFont="false" applyBorder="true" applyAlignment="false" applyProtection="true">
      <alignment horizontal="general" vertical="center" textRotation="0" wrapText="false" indent="0" shrinkToFit="false"/>
      <protection locked="true" hidden="false"/>
    </xf>
    <xf numFmtId="201" fontId="0" fillId="0" borderId="0" xfId="926" applyFont="false" applyBorder="true" applyAlignment="false" applyProtection="true">
      <alignment horizontal="general" vertical="center" textRotation="0" wrapText="false" indent="0" shrinkToFit="false"/>
      <protection locked="true" hidden="false"/>
    </xf>
    <xf numFmtId="186" fontId="0" fillId="0" borderId="67" xfId="926" applyFont="false" applyBorder="true" applyAlignment="false" applyProtection="false">
      <alignment horizontal="general" vertical="center" textRotation="0" wrapText="false" indent="0" shrinkToFit="false"/>
      <protection locked="true" hidden="false"/>
    </xf>
    <xf numFmtId="186" fontId="26" fillId="0" borderId="24" xfId="924" applyFont="false" applyBorder="true" applyAlignment="false" applyProtection="false">
      <alignment horizontal="general" vertical="center" textRotation="0" wrapText="false" indent="0" shrinkToFit="false"/>
      <protection locked="true" hidden="false"/>
    </xf>
    <xf numFmtId="164" fontId="0" fillId="0" borderId="53" xfId="921" applyFont="true" applyBorder="true" applyAlignment="false" applyProtection="true">
      <alignment horizontal="left" vertical="center" textRotation="0" wrapText="false" indent="0" shrinkToFit="false"/>
      <protection locked="true" hidden="false"/>
    </xf>
    <xf numFmtId="194" fontId="0" fillId="0" borderId="35" xfId="926" applyFont="false" applyBorder="true" applyAlignment="false" applyProtection="true">
      <alignment horizontal="general" vertical="center" textRotation="0" wrapText="false" indent="0" shrinkToFit="false"/>
      <protection locked="true" hidden="false"/>
    </xf>
    <xf numFmtId="164" fontId="0" fillId="0" borderId="18" xfId="926" applyFont="false" applyBorder="true" applyAlignment="false" applyProtection="true">
      <alignment horizontal="general" vertical="center" textRotation="0" wrapText="false" indent="0" shrinkToFit="false"/>
      <protection locked="true" hidden="false"/>
    </xf>
    <xf numFmtId="199" fontId="0" fillId="0" borderId="18" xfId="926" applyFont="false" applyBorder="true" applyAlignment="false" applyProtection="true">
      <alignment horizontal="general" vertical="center" textRotation="0" wrapText="false" indent="0" shrinkToFit="false"/>
      <protection locked="true" hidden="false"/>
    </xf>
    <xf numFmtId="201" fontId="0" fillId="0" borderId="18" xfId="926" applyFont="false" applyBorder="true" applyAlignment="false" applyProtection="true">
      <alignment horizontal="general" vertical="center" textRotation="0" wrapText="false" indent="0" shrinkToFit="false"/>
      <protection locked="true" hidden="false"/>
    </xf>
    <xf numFmtId="198" fontId="0" fillId="0" borderId="18" xfId="926" applyFont="false" applyBorder="true" applyAlignment="false" applyProtection="true">
      <alignment horizontal="general" vertical="center" textRotation="0" wrapText="false" indent="0" shrinkToFit="false"/>
      <protection locked="true" hidden="false"/>
    </xf>
    <xf numFmtId="186" fontId="0" fillId="0" borderId="67" xfId="926" applyFont="false" applyBorder="true" applyAlignment="false" applyProtection="true">
      <alignment horizontal="general" vertical="center" textRotation="0" wrapText="false" indent="0" shrinkToFit="false"/>
      <protection locked="true" hidden="false"/>
    </xf>
    <xf numFmtId="164" fontId="26" fillId="0" borderId="58" xfId="925" applyFont="true" applyBorder="true" applyAlignment="false" applyProtection="true">
      <alignment horizontal="left" vertical="center" textRotation="0" wrapText="false" indent="0" shrinkToFit="false"/>
      <protection locked="true" hidden="false"/>
    </xf>
    <xf numFmtId="194" fontId="26" fillId="0" borderId="59" xfId="924" applyFont="false" applyBorder="true" applyAlignment="false" applyProtection="true">
      <alignment horizontal="general" vertical="center" textRotation="0" wrapText="false" indent="0" shrinkToFit="false"/>
      <protection locked="true" hidden="false"/>
    </xf>
    <xf numFmtId="164" fontId="26" fillId="0" borderId="23" xfId="924" applyFont="false" applyBorder="true" applyAlignment="false" applyProtection="true">
      <alignment horizontal="general" vertical="center" textRotation="0" wrapText="false" indent="0" shrinkToFit="false"/>
      <protection locked="true" hidden="false"/>
    </xf>
    <xf numFmtId="199" fontId="26" fillId="0" borderId="23" xfId="924" applyFont="false" applyBorder="true" applyAlignment="false" applyProtection="true">
      <alignment horizontal="general" vertical="center" textRotation="0" wrapText="false" indent="0" shrinkToFit="false"/>
      <protection locked="true" hidden="false"/>
    </xf>
    <xf numFmtId="201" fontId="26" fillId="0" borderId="23" xfId="924" applyFont="false" applyBorder="true" applyAlignment="false" applyProtection="true">
      <alignment horizontal="general" vertical="center" textRotation="0" wrapText="false" indent="0" shrinkToFit="false"/>
      <protection locked="true" hidden="false"/>
    </xf>
    <xf numFmtId="198" fontId="26" fillId="0" borderId="23" xfId="924" applyFont="false" applyBorder="true" applyAlignment="false" applyProtection="true">
      <alignment horizontal="general" vertical="center" textRotation="0" wrapText="false" indent="0" shrinkToFit="false"/>
      <protection locked="true" hidden="false"/>
    </xf>
    <xf numFmtId="186" fontId="26" fillId="0" borderId="24" xfId="924" applyFont="false" applyBorder="true" applyAlignment="false" applyProtection="true">
      <alignment horizontal="general" vertical="center" textRotation="0" wrapText="false" indent="0" shrinkToFit="false"/>
      <protection locked="true" hidden="false"/>
    </xf>
    <xf numFmtId="164" fontId="76" fillId="0" borderId="0" xfId="0" applyFont="true" applyBorder="false" applyAlignment="true" applyProtection="false">
      <alignment horizontal="general" vertical="bottom" textRotation="0" wrapText="false" indent="0" shrinkToFit="false"/>
      <protection locked="true" hidden="false"/>
    </xf>
    <xf numFmtId="164" fontId="76" fillId="30" borderId="0" xfId="0" applyFont="true" applyBorder="false" applyAlignment="false" applyProtection="false">
      <alignment horizontal="general" vertical="center" textRotation="0" wrapText="false" indent="0" shrinkToFit="false"/>
      <protection locked="true" hidden="false"/>
    </xf>
    <xf numFmtId="164" fontId="76" fillId="30" borderId="0" xfId="0" applyFont="true" applyBorder="false" applyAlignment="true" applyProtection="false">
      <alignment horizontal="center" vertical="center" textRotation="0" wrapText="false" indent="0" shrinkToFit="false"/>
      <protection locked="true" hidden="false"/>
    </xf>
    <xf numFmtId="164" fontId="77" fillId="0" borderId="0" xfId="0" applyFont="true" applyBorder="false" applyAlignment="true" applyProtection="false">
      <alignment horizontal="general" vertical="bottom" textRotation="0" wrapText="false" indent="0" shrinkToFit="false"/>
      <protection locked="true" hidden="false"/>
    </xf>
    <xf numFmtId="164" fontId="78" fillId="0" borderId="0" xfId="0" applyFont="true" applyBorder="false" applyAlignment="true" applyProtection="false">
      <alignment horizontal="general" vertical="bottom" textRotation="0" wrapText="false" indent="0" shrinkToFit="false"/>
      <protection locked="true" hidden="false"/>
    </xf>
    <xf numFmtId="164" fontId="79" fillId="0" borderId="0" xfId="0" applyFont="true" applyBorder="false" applyAlignment="false" applyProtection="false">
      <alignment horizontal="general" vertical="center" textRotation="0" wrapText="false" indent="0" shrinkToFit="false"/>
      <protection locked="true" hidden="false"/>
    </xf>
    <xf numFmtId="164" fontId="75" fillId="0" borderId="70" xfId="0" applyFont="true" applyBorder="true" applyAlignment="true" applyProtection="false">
      <alignment horizontal="general" vertical="center" textRotation="0" wrapText="false" indent="0" shrinkToFit="false"/>
      <protection locked="true" hidden="false"/>
    </xf>
    <xf numFmtId="204" fontId="79"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general" vertical="center" textRotation="0" wrapText="false" indent="0" shrinkToFit="false"/>
      <protection locked="true" hidden="false"/>
    </xf>
    <xf numFmtId="164" fontId="75" fillId="0" borderId="66" xfId="0" applyFont="true" applyBorder="true" applyAlignment="true" applyProtection="false">
      <alignment horizontal="general" vertical="center" textRotation="0" wrapText="false" indent="0" shrinkToFit="false"/>
      <protection locked="true" hidden="false"/>
    </xf>
    <xf numFmtId="164" fontId="80" fillId="0" borderId="0" xfId="0" applyFont="true" applyBorder="false" applyAlignment="true" applyProtection="false">
      <alignment horizontal="center" vertical="bottom" textRotation="0" wrapText="false" indent="0" shrinkToFit="false"/>
      <protection locked="true" hidden="false"/>
    </xf>
    <xf numFmtId="164" fontId="81" fillId="33" borderId="27" xfId="0" applyFont="true" applyBorder="true" applyAlignment="false" applyProtection="false">
      <alignment horizontal="general" vertical="center" textRotation="0" wrapText="false" indent="0" shrinkToFit="false"/>
      <protection locked="true" hidden="false"/>
    </xf>
    <xf numFmtId="164" fontId="81" fillId="33" borderId="71" xfId="0" applyFont="true" applyBorder="true" applyAlignment="false" applyProtection="false">
      <alignment horizontal="general" vertical="center" textRotation="0" wrapText="false" indent="0" shrinkToFit="false"/>
      <protection locked="true" hidden="false"/>
    </xf>
    <xf numFmtId="164" fontId="81" fillId="33" borderId="1" xfId="0" applyFont="true" applyBorder="true" applyAlignment="true" applyProtection="false">
      <alignment horizontal="center" vertical="center" textRotation="0" wrapText="false" indent="0" shrinkToFit="false"/>
      <protection locked="true" hidden="false"/>
    </xf>
    <xf numFmtId="164" fontId="81" fillId="33" borderId="72" xfId="0" applyFont="true" applyBorder="true" applyAlignment="true" applyProtection="false">
      <alignment horizontal="center" vertical="center" textRotation="0" wrapText="false" indent="0" shrinkToFit="false"/>
      <protection locked="true" hidden="false"/>
    </xf>
    <xf numFmtId="164" fontId="81" fillId="33" borderId="71" xfId="0" applyFont="true" applyBorder="true" applyAlignment="true" applyProtection="false">
      <alignment horizontal="center" vertical="center" textRotation="0" wrapText="false" indent="0" shrinkToFit="false"/>
      <protection locked="true" hidden="false"/>
    </xf>
    <xf numFmtId="164" fontId="81" fillId="33" borderId="66" xfId="0" applyFont="true" applyBorder="true" applyAlignment="true" applyProtection="false">
      <alignment horizontal="center" vertical="center" textRotation="0" wrapText="false" indent="0" shrinkToFit="false"/>
      <protection locked="true" hidden="false"/>
    </xf>
    <xf numFmtId="164" fontId="82" fillId="0" borderId="0" xfId="0" applyFont="true" applyBorder="true" applyAlignment="true" applyProtection="false">
      <alignment horizontal="left" vertical="bottom" textRotation="0" wrapText="false" indent="0" shrinkToFit="false"/>
      <protection locked="true" hidden="false"/>
    </xf>
    <xf numFmtId="164" fontId="82" fillId="0" borderId="0" xfId="0" applyFont="true" applyBorder="true" applyAlignment="true" applyProtection="false">
      <alignment horizontal="center" vertical="center" textRotation="0" wrapText="false" indent="0" shrinkToFit="false"/>
      <protection locked="true" hidden="false"/>
    </xf>
    <xf numFmtId="164" fontId="81" fillId="34" borderId="62" xfId="0" applyFont="true" applyBorder="true" applyAlignment="false" applyProtection="false">
      <alignment horizontal="general" vertical="center" textRotation="0" wrapText="false" indent="0" shrinkToFit="false"/>
      <protection locked="true" hidden="false"/>
    </xf>
    <xf numFmtId="164" fontId="81" fillId="34" borderId="28" xfId="0" applyFont="true" applyBorder="true" applyAlignment="false" applyProtection="false">
      <alignment horizontal="general" vertical="center" textRotation="0" wrapText="false" indent="0" shrinkToFit="false"/>
      <protection locked="true" hidden="false"/>
    </xf>
    <xf numFmtId="164" fontId="81" fillId="34" borderId="73" xfId="0" applyFont="true" applyBorder="true" applyAlignment="false" applyProtection="false">
      <alignment horizontal="general" vertical="center" textRotation="0" wrapText="false" indent="0" shrinkToFit="false"/>
      <protection locked="true" hidden="false"/>
    </xf>
    <xf numFmtId="164" fontId="76" fillId="34" borderId="62" xfId="750" applyFont="true" applyBorder="true" applyAlignment="true" applyProtection="true">
      <alignment horizontal="center" vertical="center" textRotation="0" wrapText="false" indent="0" shrinkToFit="false"/>
      <protection locked="true" hidden="false"/>
    </xf>
    <xf numFmtId="196" fontId="76" fillId="34" borderId="70" xfId="19" applyFont="true" applyBorder="true" applyAlignment="true" applyProtection="true">
      <alignment horizontal="center" vertical="center" textRotation="0" wrapText="false" indent="0" shrinkToFit="false"/>
      <protection locked="true" hidden="false"/>
    </xf>
    <xf numFmtId="187" fontId="76" fillId="34" borderId="74" xfId="19" applyFont="true" applyBorder="true" applyAlignment="true" applyProtection="true">
      <alignment horizontal="center" vertical="center" textRotation="0" wrapText="false" indent="0" shrinkToFit="false"/>
      <protection locked="true" hidden="false"/>
    </xf>
    <xf numFmtId="187" fontId="76" fillId="34" borderId="22" xfId="19" applyFont="true" applyBorder="true" applyAlignment="true" applyProtection="true">
      <alignment horizontal="center" vertical="center" textRotation="0" wrapText="false" indent="0" shrinkToFit="false"/>
      <protection locked="true" hidden="false"/>
    </xf>
    <xf numFmtId="187" fontId="76" fillId="34" borderId="75" xfId="19" applyFont="true" applyBorder="true" applyAlignment="true" applyProtection="true">
      <alignment horizontal="center" vertical="center" textRotation="0" wrapText="false" indent="0" shrinkToFit="false"/>
      <protection locked="true" hidden="false"/>
    </xf>
    <xf numFmtId="196" fontId="76" fillId="34" borderId="1" xfId="0" applyFont="true" applyBorder="true" applyAlignment="true" applyProtection="false">
      <alignment horizontal="center" vertical="center" textRotation="0" wrapText="false" indent="0" shrinkToFit="false"/>
      <protection locked="true" hidden="false"/>
    </xf>
    <xf numFmtId="186" fontId="76" fillId="34" borderId="1" xfId="19" applyFont="true" applyBorder="true" applyAlignment="true" applyProtection="true">
      <alignment horizontal="center" vertical="center" textRotation="0" wrapText="false" indent="0" shrinkToFit="false"/>
      <protection locked="true" hidden="false"/>
    </xf>
    <xf numFmtId="205" fontId="76" fillId="35" borderId="1" xfId="19" applyFont="true" applyBorder="true" applyAlignment="true" applyProtection="true">
      <alignment horizontal="center" vertical="center" textRotation="0" wrapText="false" indent="0" shrinkToFit="false"/>
      <protection locked="true" hidden="false"/>
    </xf>
    <xf numFmtId="202" fontId="76" fillId="34" borderId="71" xfId="0" applyFont="true" applyBorder="true" applyAlignment="true" applyProtection="false">
      <alignment horizontal="center" vertical="center" textRotation="0" wrapText="false" indent="0" shrinkToFit="false"/>
      <protection locked="true" hidden="false"/>
    </xf>
    <xf numFmtId="202" fontId="77" fillId="0" borderId="0" xfId="0" applyFont="true" applyBorder="true" applyAlignment="true" applyProtection="false">
      <alignment horizontal="left" vertical="bottom" textRotation="0" wrapText="false" indent="0" shrinkToFit="false"/>
      <protection locked="true" hidden="false"/>
    </xf>
    <xf numFmtId="202" fontId="77" fillId="0" borderId="0" xfId="0" applyFont="true" applyBorder="false" applyAlignment="true" applyProtection="false">
      <alignment horizontal="general" vertical="bottom" textRotation="0" wrapText="false" indent="0" shrinkToFit="false"/>
      <protection locked="true" hidden="false"/>
    </xf>
    <xf numFmtId="198" fontId="77" fillId="0" borderId="0" xfId="0" applyFont="true" applyBorder="false" applyAlignment="true" applyProtection="false">
      <alignment horizontal="general" vertical="bottom" textRotation="0" wrapText="false" indent="0" shrinkToFit="false"/>
      <protection locked="true" hidden="false"/>
    </xf>
    <xf numFmtId="164" fontId="81" fillId="33" borderId="28" xfId="0" applyFont="true" applyBorder="true" applyAlignment="false" applyProtection="false">
      <alignment horizontal="general" vertical="center" textRotation="0" wrapText="false" indent="0" shrinkToFit="false"/>
      <protection locked="true" hidden="false"/>
    </xf>
    <xf numFmtId="164" fontId="81" fillId="33" borderId="70" xfId="0" applyFont="true" applyBorder="true" applyAlignment="true" applyProtection="false">
      <alignment horizontal="center" vertical="center" textRotation="0" wrapText="false" indent="0" shrinkToFit="false"/>
      <protection locked="true" hidden="false"/>
    </xf>
    <xf numFmtId="164" fontId="81" fillId="33" borderId="38" xfId="0" applyFont="true" applyBorder="true" applyAlignment="true" applyProtection="false">
      <alignment horizontal="center" vertical="center" textRotation="0" wrapText="false" indent="0" shrinkToFit="false"/>
      <protection locked="true" hidden="false"/>
    </xf>
    <xf numFmtId="164" fontId="81" fillId="33" borderId="68" xfId="0" applyFont="true" applyBorder="true" applyAlignment="true" applyProtection="false">
      <alignment horizontal="center" vertical="center" textRotation="0" wrapText="false" indent="0" shrinkToFit="false"/>
      <protection locked="true" hidden="false"/>
    </xf>
    <xf numFmtId="164" fontId="81" fillId="36" borderId="28" xfId="0" applyFont="true" applyBorder="true" applyAlignment="false" applyProtection="false">
      <alignment horizontal="general" vertical="center" textRotation="0" wrapText="false" indent="0" shrinkToFit="false"/>
      <protection locked="true" hidden="false"/>
    </xf>
    <xf numFmtId="196" fontId="81" fillId="36" borderId="0" xfId="0" applyFont="true" applyBorder="true" applyAlignment="false" applyProtection="false">
      <alignment horizontal="general" vertical="center" textRotation="0" wrapText="false" indent="0" shrinkToFit="false"/>
      <protection locked="true" hidden="false"/>
    </xf>
    <xf numFmtId="164" fontId="76" fillId="36" borderId="62" xfId="750" applyFont="true" applyBorder="true" applyAlignment="true" applyProtection="true">
      <alignment horizontal="center" vertical="center" textRotation="0" wrapText="false" indent="0" shrinkToFit="false"/>
      <protection locked="true" hidden="false"/>
    </xf>
    <xf numFmtId="196" fontId="76" fillId="36" borderId="70" xfId="19" applyFont="true" applyBorder="true" applyAlignment="true" applyProtection="true">
      <alignment horizontal="center" vertical="center" textRotation="0" wrapText="false" indent="0" shrinkToFit="false"/>
      <protection locked="true" hidden="false"/>
    </xf>
    <xf numFmtId="196" fontId="76" fillId="36" borderId="66" xfId="19" applyFont="true" applyBorder="true" applyAlignment="true" applyProtection="true">
      <alignment horizontal="center" vertical="center" textRotation="0" wrapText="false" indent="0" shrinkToFit="false"/>
      <protection locked="true" hidden="false"/>
    </xf>
    <xf numFmtId="187" fontId="76" fillId="36" borderId="70" xfId="19" applyFont="true" applyBorder="true" applyAlignment="true" applyProtection="true">
      <alignment horizontal="center" vertical="center" textRotation="0" wrapText="false" indent="0" shrinkToFit="false"/>
      <protection locked="true" hidden="false"/>
    </xf>
    <xf numFmtId="187" fontId="76" fillId="36" borderId="66" xfId="19" applyFont="true" applyBorder="true" applyAlignment="true" applyProtection="true">
      <alignment horizontal="center" vertical="center" textRotation="0" wrapText="false" indent="0" shrinkToFit="false"/>
      <protection locked="true" hidden="false"/>
    </xf>
    <xf numFmtId="196" fontId="76" fillId="36" borderId="70" xfId="0" applyFont="true" applyBorder="true" applyAlignment="true" applyProtection="false">
      <alignment horizontal="center" vertical="center" textRotation="0" wrapText="false" indent="0" shrinkToFit="false"/>
      <protection locked="true" hidden="false"/>
    </xf>
    <xf numFmtId="186" fontId="76" fillId="36" borderId="70" xfId="19" applyFont="true" applyBorder="true" applyAlignment="true" applyProtection="true">
      <alignment horizontal="center" vertical="center" textRotation="0" wrapText="false" indent="0" shrinkToFit="false"/>
      <protection locked="true" hidden="false"/>
    </xf>
    <xf numFmtId="202" fontId="76" fillId="36" borderId="66" xfId="0" applyFont="true" applyBorder="true" applyAlignment="true" applyProtection="false">
      <alignment horizontal="center" vertical="center" textRotation="0" wrapText="false" indent="0" shrinkToFit="false"/>
      <protection locked="true" hidden="false"/>
    </xf>
    <xf numFmtId="164" fontId="81" fillId="36" borderId="38" xfId="0" applyFont="true" applyBorder="true" applyAlignment="false" applyProtection="false">
      <alignment horizontal="general" vertical="center" textRotation="0" wrapText="false" indent="0" shrinkToFit="false"/>
      <protection locked="true" hidden="false"/>
    </xf>
    <xf numFmtId="164" fontId="76" fillId="36" borderId="76" xfId="750" applyFont="true" applyBorder="true" applyAlignment="true" applyProtection="true">
      <alignment horizontal="center" vertical="center" textRotation="0" wrapText="false" indent="0" shrinkToFit="false"/>
      <protection locked="true" hidden="false"/>
    </xf>
    <xf numFmtId="196" fontId="76" fillId="36" borderId="0" xfId="19" applyFont="true" applyBorder="true" applyAlignment="true" applyProtection="true">
      <alignment horizontal="center" vertical="center" textRotation="0" wrapText="false" indent="0" shrinkToFit="false"/>
      <protection locked="true" hidden="false"/>
    </xf>
    <xf numFmtId="196" fontId="76" fillId="36" borderId="68" xfId="19" applyFont="true" applyBorder="true" applyAlignment="true" applyProtection="true">
      <alignment horizontal="center" vertical="center" textRotation="0" wrapText="false" indent="0" shrinkToFit="false"/>
      <protection locked="true" hidden="false"/>
    </xf>
    <xf numFmtId="187" fontId="76" fillId="36" borderId="0" xfId="19" applyFont="true" applyBorder="true" applyAlignment="true" applyProtection="true">
      <alignment horizontal="center" vertical="center" textRotation="0" wrapText="false" indent="0" shrinkToFit="false"/>
      <protection locked="true" hidden="false"/>
    </xf>
    <xf numFmtId="187" fontId="76" fillId="36" borderId="68" xfId="19" applyFont="true" applyBorder="true" applyAlignment="true" applyProtection="true">
      <alignment horizontal="center" vertical="center" textRotation="0" wrapText="false" indent="0" shrinkToFit="false"/>
      <protection locked="true" hidden="false"/>
    </xf>
    <xf numFmtId="196" fontId="76" fillId="36" borderId="0" xfId="0" applyFont="true" applyBorder="true" applyAlignment="true" applyProtection="false">
      <alignment horizontal="center" vertical="center" textRotation="0" wrapText="false" indent="0" shrinkToFit="false"/>
      <protection locked="true" hidden="false"/>
    </xf>
    <xf numFmtId="186" fontId="76" fillId="36" borderId="0" xfId="19" applyFont="true" applyBorder="true" applyAlignment="true" applyProtection="true">
      <alignment horizontal="center" vertical="center" textRotation="0" wrapText="false" indent="0" shrinkToFit="false"/>
      <protection locked="true" hidden="false"/>
    </xf>
    <xf numFmtId="202" fontId="76" fillId="36" borderId="68" xfId="0" applyFont="true" applyBorder="true" applyAlignment="true" applyProtection="false">
      <alignment horizontal="center" vertical="center" textRotation="0" wrapText="false" indent="0" shrinkToFit="false"/>
      <protection locked="true" hidden="false"/>
    </xf>
    <xf numFmtId="164" fontId="81" fillId="36" borderId="26" xfId="0" applyFont="true" applyBorder="true" applyAlignment="false" applyProtection="false">
      <alignment horizontal="general" vertical="center" textRotation="0" wrapText="false" indent="0" shrinkToFit="false"/>
      <protection locked="true" hidden="false"/>
    </xf>
    <xf numFmtId="164" fontId="76" fillId="36" borderId="74" xfId="750" applyFont="true" applyBorder="true" applyAlignment="true" applyProtection="true">
      <alignment horizontal="center" vertical="center" textRotation="0" wrapText="false" indent="0" shrinkToFit="false"/>
      <protection locked="true" hidden="false"/>
    </xf>
    <xf numFmtId="196" fontId="76" fillId="36" borderId="22" xfId="19" applyFont="true" applyBorder="true" applyAlignment="true" applyProtection="true">
      <alignment horizontal="center" vertical="center" textRotation="0" wrapText="false" indent="0" shrinkToFit="false"/>
      <protection locked="true" hidden="false"/>
    </xf>
    <xf numFmtId="196" fontId="76" fillId="36" borderId="75" xfId="19" applyFont="true" applyBorder="true" applyAlignment="true" applyProtection="true">
      <alignment horizontal="center" vertical="center" textRotation="0" wrapText="false" indent="0" shrinkToFit="false"/>
      <protection locked="true" hidden="false"/>
    </xf>
    <xf numFmtId="196" fontId="76" fillId="36" borderId="22" xfId="0" applyFont="true" applyBorder="true" applyAlignment="true" applyProtection="false">
      <alignment horizontal="center" vertical="center" textRotation="0" wrapText="false" indent="0" shrinkToFit="false"/>
      <protection locked="true" hidden="false"/>
    </xf>
    <xf numFmtId="186" fontId="76" fillId="36" borderId="22" xfId="19" applyFont="true" applyBorder="true" applyAlignment="true" applyProtection="true">
      <alignment horizontal="center" vertical="center" textRotation="0" wrapText="false" indent="0" shrinkToFit="false"/>
      <protection locked="true" hidden="false"/>
    </xf>
    <xf numFmtId="202" fontId="76" fillId="36" borderId="75" xfId="0" applyFont="true" applyBorder="true" applyAlignment="true" applyProtection="false">
      <alignment horizontal="center" vertical="center" textRotation="0" wrapText="false" indent="0" shrinkToFit="false"/>
      <protection locked="true" hidden="false"/>
    </xf>
    <xf numFmtId="164" fontId="83" fillId="0" borderId="0" xfId="0" applyFont="true" applyBorder="false" applyAlignment="true" applyProtection="false">
      <alignment horizontal="general" vertical="bottom" textRotation="0" wrapText="false" indent="0" shrinkToFit="false"/>
      <protection locked="true" hidden="false"/>
    </xf>
    <xf numFmtId="164" fontId="84" fillId="30" borderId="72" xfId="0" applyFont="true" applyBorder="true" applyAlignment="false" applyProtection="false">
      <alignment horizontal="general" vertical="center" textRotation="0" wrapText="false" indent="0" shrinkToFit="false"/>
      <protection locked="true" hidden="false"/>
    </xf>
    <xf numFmtId="164" fontId="84" fillId="30" borderId="27" xfId="0" applyFont="true" applyBorder="true" applyAlignment="false" applyProtection="false">
      <alignment horizontal="general" vertical="center" textRotation="0" wrapText="false" indent="0" shrinkToFit="false"/>
      <protection locked="true" hidden="false"/>
    </xf>
    <xf numFmtId="164" fontId="81" fillId="30" borderId="27" xfId="0" applyFont="true" applyBorder="true" applyAlignment="false" applyProtection="false">
      <alignment horizontal="general" vertical="center" textRotation="0" wrapText="false" indent="0" shrinkToFit="false"/>
      <protection locked="true" hidden="false"/>
    </xf>
    <xf numFmtId="183" fontId="84" fillId="30" borderId="1" xfId="0" applyFont="true" applyBorder="true" applyAlignment="true" applyProtection="false">
      <alignment horizontal="center" vertical="center" textRotation="0" wrapText="false" indent="0" shrinkToFit="false"/>
      <protection locked="true" hidden="false"/>
    </xf>
    <xf numFmtId="196" fontId="85" fillId="30" borderId="1" xfId="19" applyFont="true" applyBorder="true" applyAlignment="true" applyProtection="true">
      <alignment horizontal="center" vertical="center" textRotation="0" wrapText="false" indent="0" shrinkToFit="false"/>
      <protection locked="true" hidden="false"/>
    </xf>
    <xf numFmtId="187" fontId="84" fillId="30" borderId="72" xfId="19" applyFont="true" applyBorder="true" applyAlignment="true" applyProtection="true">
      <alignment horizontal="center" vertical="center" textRotation="0" wrapText="false" indent="0" shrinkToFit="false"/>
      <protection locked="true" hidden="false"/>
    </xf>
    <xf numFmtId="187" fontId="84" fillId="30" borderId="1" xfId="19" applyFont="true" applyBorder="true" applyAlignment="true" applyProtection="true">
      <alignment horizontal="center" vertical="center" textRotation="0" wrapText="false" indent="0" shrinkToFit="false"/>
      <protection locked="true" hidden="false"/>
    </xf>
    <xf numFmtId="187" fontId="84" fillId="30" borderId="71" xfId="19" applyFont="true" applyBorder="true" applyAlignment="true" applyProtection="true">
      <alignment horizontal="center" vertical="center" textRotation="0" wrapText="false" indent="0" shrinkToFit="false"/>
      <protection locked="true" hidden="false"/>
    </xf>
    <xf numFmtId="196" fontId="84" fillId="30" borderId="1" xfId="0" applyFont="true" applyBorder="true" applyAlignment="true" applyProtection="false">
      <alignment horizontal="center" vertical="center" textRotation="0" wrapText="false" indent="0" shrinkToFit="false"/>
      <protection locked="true" hidden="false"/>
    </xf>
    <xf numFmtId="186" fontId="20" fillId="30" borderId="1" xfId="19" applyFont="true" applyBorder="true" applyAlignment="true" applyProtection="false">
      <alignment horizontal="center" vertical="center" textRotation="0" wrapText="false" indent="0" shrinkToFit="false"/>
      <protection locked="false" hidden="false"/>
    </xf>
    <xf numFmtId="205" fontId="20" fillId="30" borderId="1" xfId="19" applyFont="false" applyBorder="true" applyAlignment="true" applyProtection="false">
      <alignment horizontal="center" vertical="center" textRotation="0" wrapText="false" indent="0" shrinkToFit="false"/>
      <protection locked="false" hidden="false"/>
    </xf>
    <xf numFmtId="202" fontId="84" fillId="30" borderId="71" xfId="0" applyFont="true" applyBorder="true" applyAlignment="true" applyProtection="false">
      <alignment horizontal="center" vertical="center" textRotation="0" wrapText="false" indent="0" shrinkToFit="false"/>
      <protection locked="true" hidden="false"/>
    </xf>
    <xf numFmtId="202" fontId="86" fillId="0" borderId="0" xfId="0" applyFont="true" applyBorder="true" applyAlignment="true" applyProtection="false">
      <alignment horizontal="left"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false" indent="0" shrinkToFit="false"/>
      <protection locked="true" hidden="false"/>
    </xf>
    <xf numFmtId="202" fontId="86" fillId="0" borderId="0" xfId="0" applyFont="true" applyBorder="false" applyAlignment="true" applyProtection="false">
      <alignment horizontal="general" vertical="bottom" textRotation="0" wrapText="false" indent="0" shrinkToFit="false"/>
      <protection locked="true" hidden="false"/>
    </xf>
    <xf numFmtId="164" fontId="87" fillId="0" borderId="0" xfId="0" applyFont="true" applyBorder="false" applyAlignment="true" applyProtection="false">
      <alignment horizontal="general" vertical="bottom" textRotation="0" wrapText="false" indent="0" shrinkToFit="false"/>
      <protection locked="true" hidden="false"/>
    </xf>
    <xf numFmtId="164" fontId="81" fillId="33" borderId="38" xfId="0" applyFont="true" applyBorder="true" applyAlignment="false" applyProtection="false">
      <alignment horizontal="general" vertical="center" textRotation="0" wrapText="false" indent="0" shrinkToFit="false"/>
      <protection locked="true" hidden="false"/>
    </xf>
    <xf numFmtId="164" fontId="81" fillId="33" borderId="68" xfId="0" applyFont="true" applyBorder="true" applyAlignment="false" applyProtection="false">
      <alignment horizontal="general" vertical="center" textRotation="0" wrapText="false" indent="0" shrinkToFit="false"/>
      <protection locked="true" hidden="false"/>
    </xf>
    <xf numFmtId="164" fontId="81" fillId="33" borderId="0" xfId="0" applyFont="true" applyBorder="true" applyAlignment="true" applyProtection="false">
      <alignment horizontal="center" vertical="center" textRotation="0" wrapText="false" indent="0" shrinkToFit="false"/>
      <protection locked="true" hidden="false"/>
    </xf>
    <xf numFmtId="164" fontId="81" fillId="33" borderId="74" xfId="0" applyFont="true" applyBorder="true" applyAlignment="true" applyProtection="false">
      <alignment horizontal="center" vertical="center" textRotation="0" wrapText="false" indent="0" shrinkToFit="false"/>
      <protection locked="true" hidden="false"/>
    </xf>
    <xf numFmtId="164" fontId="81" fillId="33" borderId="75" xfId="0" applyFont="true" applyBorder="true" applyAlignment="true" applyProtection="false">
      <alignment horizontal="center" vertical="center" textRotation="0" wrapText="false" indent="0" shrinkToFit="false"/>
      <protection locked="true" hidden="false"/>
    </xf>
    <xf numFmtId="164" fontId="81" fillId="33" borderId="26" xfId="0" applyFont="true" applyBorder="true" applyAlignment="true" applyProtection="false">
      <alignment horizontal="center" vertical="center" textRotation="0" wrapText="false" indent="0" shrinkToFit="false"/>
      <protection locked="true" hidden="false"/>
    </xf>
    <xf numFmtId="196" fontId="81" fillId="34" borderId="28" xfId="750" applyFont="true" applyBorder="true" applyAlignment="true" applyProtection="true">
      <alignment horizontal="left" vertical="center" textRotation="0" wrapText="false" indent="0" shrinkToFit="false"/>
      <protection locked="true" hidden="false"/>
    </xf>
    <xf numFmtId="196" fontId="76" fillId="34" borderId="66" xfId="19" applyFont="true" applyBorder="true" applyAlignment="true" applyProtection="true">
      <alignment horizontal="center" vertical="center" textRotation="0" wrapText="false" indent="0" shrinkToFit="false"/>
      <protection locked="true" hidden="false"/>
    </xf>
    <xf numFmtId="187" fontId="76" fillId="34" borderId="70" xfId="19" applyFont="true" applyBorder="true" applyAlignment="true" applyProtection="true">
      <alignment horizontal="center" vertical="center" textRotation="0" wrapText="false" indent="0" shrinkToFit="false"/>
      <protection locked="true" hidden="false"/>
    </xf>
    <xf numFmtId="187" fontId="76" fillId="34" borderId="66" xfId="19" applyFont="true" applyBorder="true" applyAlignment="true" applyProtection="true">
      <alignment horizontal="center" vertical="center" textRotation="0" wrapText="false" indent="0" shrinkToFit="false"/>
      <protection locked="true" hidden="false"/>
    </xf>
    <xf numFmtId="196" fontId="76" fillId="34" borderId="70" xfId="0" applyFont="true" applyBorder="true" applyAlignment="true" applyProtection="false">
      <alignment horizontal="center" vertical="center" textRotation="0" wrapText="false" indent="0" shrinkToFit="false"/>
      <protection locked="true" hidden="false"/>
    </xf>
    <xf numFmtId="186" fontId="76" fillId="34" borderId="70" xfId="19" applyFont="true" applyBorder="true" applyAlignment="true" applyProtection="true">
      <alignment horizontal="center" vertical="center" textRotation="0" wrapText="false" indent="0" shrinkToFit="false"/>
      <protection locked="true" hidden="false"/>
    </xf>
    <xf numFmtId="164" fontId="76" fillId="34" borderId="0" xfId="19" applyFont="true" applyBorder="true" applyAlignment="true" applyProtection="true">
      <alignment horizontal="center" vertical="center" textRotation="0" wrapText="false" indent="0" shrinkToFit="false"/>
      <protection locked="true" hidden="false"/>
    </xf>
    <xf numFmtId="202" fontId="76" fillId="34" borderId="66" xfId="0" applyFont="true" applyBorder="true" applyAlignment="true" applyProtection="false">
      <alignment horizontal="center" vertical="center" textRotation="0" wrapText="false" indent="0" shrinkToFit="false"/>
      <protection locked="true" hidden="false"/>
    </xf>
    <xf numFmtId="164" fontId="81" fillId="34" borderId="76" xfId="0" applyFont="true" applyBorder="true" applyAlignment="false" applyProtection="false">
      <alignment horizontal="general" vertical="center" textRotation="0" wrapText="false" indent="0" shrinkToFit="false"/>
      <protection locked="true" hidden="false"/>
    </xf>
    <xf numFmtId="196" fontId="81" fillId="34" borderId="38" xfId="750" applyFont="true" applyBorder="true" applyAlignment="true" applyProtection="true">
      <alignment horizontal="left" vertical="center" textRotation="0" wrapText="false" indent="0" shrinkToFit="false"/>
      <protection locked="true" hidden="false"/>
    </xf>
    <xf numFmtId="164" fontId="76" fillId="34" borderId="76" xfId="750" applyFont="true" applyBorder="true" applyAlignment="true" applyProtection="true">
      <alignment horizontal="center" vertical="center" textRotation="0" wrapText="false" indent="0" shrinkToFit="false"/>
      <protection locked="true" hidden="false"/>
    </xf>
    <xf numFmtId="196" fontId="76" fillId="34" borderId="68" xfId="19" applyFont="true" applyBorder="true" applyAlignment="true" applyProtection="true">
      <alignment horizontal="center" vertical="center" textRotation="0" wrapText="false" indent="0" shrinkToFit="false"/>
      <protection locked="true" hidden="false"/>
    </xf>
    <xf numFmtId="187" fontId="76" fillId="34" borderId="0" xfId="19" applyFont="true" applyBorder="true" applyAlignment="true" applyProtection="true">
      <alignment horizontal="center" vertical="center" textRotation="0" wrapText="false" indent="0" shrinkToFit="false"/>
      <protection locked="true" hidden="false"/>
    </xf>
    <xf numFmtId="187" fontId="76" fillId="34" borderId="68" xfId="19" applyFont="true" applyBorder="true" applyAlignment="true" applyProtection="true">
      <alignment horizontal="center" vertical="center" textRotation="0" wrapText="false" indent="0" shrinkToFit="false"/>
      <protection locked="true" hidden="false"/>
    </xf>
    <xf numFmtId="196" fontId="76" fillId="34" borderId="0" xfId="0" applyFont="true" applyBorder="true" applyAlignment="true" applyProtection="false">
      <alignment horizontal="center" vertical="center" textRotation="0" wrapText="false" indent="0" shrinkToFit="false"/>
      <protection locked="true" hidden="false"/>
    </xf>
    <xf numFmtId="186" fontId="76" fillId="34" borderId="0" xfId="19" applyFont="true" applyBorder="true" applyAlignment="true" applyProtection="true">
      <alignment horizontal="center" vertical="center" textRotation="0" wrapText="false" indent="0" shrinkToFit="false"/>
      <protection locked="true" hidden="false"/>
    </xf>
    <xf numFmtId="202" fontId="76" fillId="34" borderId="68" xfId="0" applyFont="true" applyBorder="tru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general" vertical="bottom" textRotation="0" wrapText="false" indent="0" shrinkToFit="false"/>
      <protection locked="true" hidden="false"/>
    </xf>
    <xf numFmtId="164" fontId="81" fillId="34" borderId="74" xfId="0" applyFont="true" applyBorder="true" applyAlignment="false" applyProtection="false">
      <alignment horizontal="general" vertical="center" textRotation="0" wrapText="false" indent="0" shrinkToFit="false"/>
      <protection locked="true" hidden="false"/>
    </xf>
    <xf numFmtId="196" fontId="81" fillId="34" borderId="26" xfId="750" applyFont="true" applyBorder="true" applyAlignment="true" applyProtection="true">
      <alignment horizontal="left" vertical="center" textRotation="0" wrapText="false" indent="0" shrinkToFit="false"/>
      <protection locked="true" hidden="false"/>
    </xf>
    <xf numFmtId="164" fontId="76" fillId="34" borderId="74" xfId="750" applyFont="true" applyBorder="true" applyAlignment="true" applyProtection="true">
      <alignment horizontal="center" vertical="center" textRotation="0" wrapText="false" indent="0" shrinkToFit="false"/>
      <protection locked="true" hidden="false"/>
    </xf>
    <xf numFmtId="196" fontId="76" fillId="34" borderId="22" xfId="19" applyFont="true" applyBorder="true" applyAlignment="true" applyProtection="true">
      <alignment horizontal="center" vertical="center" textRotation="0" wrapText="false" indent="0" shrinkToFit="false"/>
      <protection locked="true" hidden="false"/>
    </xf>
    <xf numFmtId="196" fontId="76" fillId="34" borderId="75" xfId="19" applyFont="true" applyBorder="true" applyAlignment="true" applyProtection="true">
      <alignment horizontal="center" vertical="center" textRotation="0" wrapText="false" indent="0" shrinkToFit="false"/>
      <protection locked="true" hidden="false"/>
    </xf>
    <xf numFmtId="196" fontId="76" fillId="34" borderId="22" xfId="0" applyFont="true" applyBorder="true" applyAlignment="true" applyProtection="false">
      <alignment horizontal="center" vertical="center" textRotation="0" wrapText="false" indent="0" shrinkToFit="false"/>
      <protection locked="true" hidden="false"/>
    </xf>
    <xf numFmtId="186" fontId="76" fillId="34" borderId="22" xfId="19" applyFont="true" applyBorder="true" applyAlignment="true" applyProtection="true">
      <alignment horizontal="center" vertical="center" textRotation="0" wrapText="false" indent="0" shrinkToFit="false"/>
      <protection locked="true" hidden="false"/>
    </xf>
    <xf numFmtId="202" fontId="76" fillId="34" borderId="75" xfId="0" applyFont="true" applyBorder="true" applyAlignment="true" applyProtection="false">
      <alignment horizontal="center" vertical="center" textRotation="0" wrapText="false" indent="0" shrinkToFit="false"/>
      <protection locked="true" hidden="false"/>
    </xf>
    <xf numFmtId="164" fontId="81" fillId="37" borderId="38" xfId="0" applyFont="true" applyBorder="true" applyAlignment="false" applyProtection="false">
      <alignment horizontal="general" vertical="center" textRotation="0" wrapText="false" indent="0" shrinkToFit="false"/>
      <protection locked="true" hidden="false"/>
    </xf>
    <xf numFmtId="196" fontId="81" fillId="37" borderId="38" xfId="19" applyFont="true" applyBorder="true" applyAlignment="true" applyProtection="true">
      <alignment horizontal="left" vertical="center" textRotation="0" wrapText="false" indent="0" shrinkToFit="false"/>
      <protection locked="true" hidden="false"/>
    </xf>
    <xf numFmtId="196" fontId="81" fillId="37" borderId="76" xfId="0" applyFont="true" applyBorder="true" applyAlignment="false" applyProtection="false">
      <alignment horizontal="general" vertical="center" textRotation="0" wrapText="false" indent="0" shrinkToFit="false"/>
      <protection locked="true" hidden="false"/>
    </xf>
    <xf numFmtId="164" fontId="76" fillId="37" borderId="76" xfId="750" applyFont="true" applyBorder="true" applyAlignment="true" applyProtection="true">
      <alignment horizontal="center" vertical="center" textRotation="0" wrapText="false" indent="0" shrinkToFit="false"/>
      <protection locked="true" hidden="false"/>
    </xf>
    <xf numFmtId="196" fontId="76" fillId="37" borderId="0" xfId="19" applyFont="true" applyBorder="true" applyAlignment="true" applyProtection="true">
      <alignment horizontal="center" vertical="center" textRotation="0" wrapText="false" indent="0" shrinkToFit="false"/>
      <protection locked="true" hidden="false"/>
    </xf>
    <xf numFmtId="196" fontId="76" fillId="37" borderId="68" xfId="19" applyFont="true" applyBorder="true" applyAlignment="true" applyProtection="true">
      <alignment horizontal="center" vertical="center" textRotation="0" wrapText="false" indent="0" shrinkToFit="false"/>
      <protection locked="true" hidden="false"/>
    </xf>
    <xf numFmtId="187" fontId="76" fillId="37" borderId="70" xfId="19" applyFont="true" applyBorder="true" applyAlignment="true" applyProtection="true">
      <alignment horizontal="center" vertical="center" textRotation="0" wrapText="false" indent="0" shrinkToFit="false"/>
      <protection locked="true" hidden="false"/>
    </xf>
    <xf numFmtId="187" fontId="76" fillId="37" borderId="66" xfId="19" applyFont="true" applyBorder="true" applyAlignment="true" applyProtection="true">
      <alignment horizontal="center" vertical="center" textRotation="0" wrapText="false" indent="0" shrinkToFit="false"/>
      <protection locked="true" hidden="false"/>
    </xf>
    <xf numFmtId="196" fontId="76" fillId="37" borderId="76" xfId="19" applyFont="true" applyBorder="true" applyAlignment="true" applyProtection="true">
      <alignment horizontal="center" vertical="center" textRotation="0" wrapText="false" indent="0" shrinkToFit="false"/>
      <protection locked="true" hidden="false"/>
    </xf>
    <xf numFmtId="186" fontId="76" fillId="37" borderId="0" xfId="19" applyFont="true" applyBorder="true" applyAlignment="true" applyProtection="true">
      <alignment horizontal="center" vertical="center" textRotation="0" wrapText="false" indent="0" shrinkToFit="false"/>
      <protection locked="true" hidden="false"/>
    </xf>
    <xf numFmtId="187" fontId="76" fillId="37" borderId="0" xfId="19" applyFont="true" applyBorder="true" applyAlignment="true" applyProtection="true">
      <alignment horizontal="center" vertical="center" textRotation="0" wrapText="false" indent="0" shrinkToFit="false"/>
      <protection locked="true" hidden="false"/>
    </xf>
    <xf numFmtId="187" fontId="76" fillId="37" borderId="68" xfId="19" applyFont="true" applyBorder="true" applyAlignment="true" applyProtection="true">
      <alignment horizontal="center" vertical="center" textRotation="0" wrapText="false" indent="0" shrinkToFit="false"/>
      <protection locked="true" hidden="false"/>
    </xf>
    <xf numFmtId="193" fontId="76" fillId="0" borderId="0" xfId="0" applyFont="true" applyBorder="false" applyAlignment="true" applyProtection="false">
      <alignment horizontal="general" vertical="bottom" textRotation="0" wrapText="false" indent="0" shrinkToFit="false"/>
      <protection locked="true" hidden="false"/>
    </xf>
    <xf numFmtId="164" fontId="81" fillId="37" borderId="26" xfId="0" applyFont="true" applyBorder="true" applyAlignment="false" applyProtection="false">
      <alignment horizontal="general" vertical="center" textRotation="0" wrapText="false" indent="0" shrinkToFit="false"/>
      <protection locked="true" hidden="false"/>
    </xf>
    <xf numFmtId="196" fontId="81" fillId="37" borderId="26" xfId="19" applyFont="true" applyBorder="true" applyAlignment="true" applyProtection="true">
      <alignment horizontal="left" vertical="center" textRotation="0" wrapText="false" indent="0" shrinkToFit="false"/>
      <protection locked="true" hidden="false"/>
    </xf>
    <xf numFmtId="196" fontId="81" fillId="37" borderId="74" xfId="0" applyFont="true" applyBorder="true" applyAlignment="false" applyProtection="false">
      <alignment horizontal="general" vertical="center" textRotation="0" wrapText="false" indent="0" shrinkToFit="false"/>
      <protection locked="true" hidden="false"/>
    </xf>
    <xf numFmtId="164" fontId="76" fillId="37" borderId="74" xfId="750" applyFont="true" applyBorder="true" applyAlignment="true" applyProtection="true">
      <alignment horizontal="center" vertical="center" textRotation="0" wrapText="false" indent="0" shrinkToFit="false"/>
      <protection locked="true" hidden="false"/>
    </xf>
    <xf numFmtId="196" fontId="76" fillId="37" borderId="22" xfId="19" applyFont="true" applyBorder="true" applyAlignment="true" applyProtection="true">
      <alignment horizontal="center" vertical="center" textRotation="0" wrapText="false" indent="0" shrinkToFit="false"/>
      <protection locked="true" hidden="false"/>
    </xf>
    <xf numFmtId="196" fontId="76" fillId="37" borderId="75" xfId="19" applyFont="true" applyBorder="true" applyAlignment="true" applyProtection="true">
      <alignment horizontal="center" vertical="center" textRotation="0" wrapText="false" indent="0" shrinkToFit="false"/>
      <protection locked="true" hidden="false"/>
    </xf>
    <xf numFmtId="187" fontId="76" fillId="37" borderId="22" xfId="19" applyFont="true" applyBorder="true" applyAlignment="true" applyProtection="true">
      <alignment horizontal="center" vertical="center" textRotation="0" wrapText="false" indent="0" shrinkToFit="false"/>
      <protection locked="true" hidden="false"/>
    </xf>
    <xf numFmtId="187" fontId="76" fillId="37" borderId="75" xfId="19" applyFont="true" applyBorder="true" applyAlignment="true" applyProtection="true">
      <alignment horizontal="center" vertical="center" textRotation="0" wrapText="false" indent="0" shrinkToFit="false"/>
      <protection locked="true" hidden="false"/>
    </xf>
    <xf numFmtId="196" fontId="76" fillId="37" borderId="74" xfId="19" applyFont="true" applyBorder="true" applyAlignment="true" applyProtection="true">
      <alignment horizontal="center" vertical="center" textRotation="0" wrapText="false" indent="0" shrinkToFit="false"/>
      <protection locked="true" hidden="false"/>
    </xf>
    <xf numFmtId="186" fontId="76" fillId="37" borderId="22" xfId="19" applyFont="true" applyBorder="true" applyAlignment="true" applyProtection="true">
      <alignment horizontal="center" vertical="center" textRotation="0" wrapText="false" indent="0" shrinkToFit="false"/>
      <protection locked="true" hidden="false"/>
    </xf>
    <xf numFmtId="164" fontId="84" fillId="30" borderId="62" xfId="0" applyFont="true" applyBorder="true" applyAlignment="false" applyProtection="false">
      <alignment horizontal="general" vertical="center" textRotation="0" wrapText="false" indent="0" shrinkToFit="false"/>
      <protection locked="true" hidden="false"/>
    </xf>
    <xf numFmtId="164" fontId="84" fillId="30" borderId="28" xfId="0" applyFont="true" applyBorder="true" applyAlignment="false" applyProtection="false">
      <alignment horizontal="general" vertical="center" textRotation="0" wrapText="false" indent="0" shrinkToFit="false"/>
      <protection locked="true" hidden="false"/>
    </xf>
    <xf numFmtId="164" fontId="81" fillId="30" borderId="28" xfId="0" applyFont="true" applyBorder="true" applyAlignment="false" applyProtection="false">
      <alignment horizontal="general" vertical="center" textRotation="0" wrapText="false" indent="0" shrinkToFit="false"/>
      <protection locked="true" hidden="false"/>
    </xf>
    <xf numFmtId="183" fontId="84" fillId="30" borderId="0" xfId="0" applyFont="true" applyBorder="true" applyAlignment="true" applyProtection="false">
      <alignment horizontal="center" vertical="center" textRotation="0" wrapText="false" indent="0" shrinkToFit="false"/>
      <protection locked="true" hidden="false"/>
    </xf>
    <xf numFmtId="196" fontId="85" fillId="30" borderId="0" xfId="19" applyFont="true" applyBorder="true" applyAlignment="true" applyProtection="true">
      <alignment horizontal="center" vertical="center" textRotation="0" wrapText="false" indent="0" shrinkToFit="false"/>
      <protection locked="true" hidden="false"/>
    </xf>
    <xf numFmtId="196" fontId="85" fillId="30" borderId="68" xfId="19" applyFont="true" applyBorder="true" applyAlignment="true" applyProtection="true">
      <alignment horizontal="center" vertical="center" textRotation="0" wrapText="false" indent="0" shrinkToFit="false"/>
      <protection locked="true" hidden="false"/>
    </xf>
    <xf numFmtId="196" fontId="84" fillId="30" borderId="62" xfId="0" applyFont="true" applyBorder="true" applyAlignment="true" applyProtection="false">
      <alignment horizontal="center" vertical="center" textRotation="0" wrapText="false" indent="0" shrinkToFit="false"/>
      <protection locked="true" hidden="false"/>
    </xf>
    <xf numFmtId="186" fontId="20" fillId="30" borderId="70" xfId="19" applyFont="true" applyBorder="true" applyAlignment="true" applyProtection="false">
      <alignment horizontal="center" vertical="center" textRotation="0" wrapText="false" indent="0" shrinkToFit="false"/>
      <protection locked="false" hidden="false"/>
    </xf>
    <xf numFmtId="205" fontId="20" fillId="30" borderId="70" xfId="19" applyFont="false" applyBorder="true" applyAlignment="true" applyProtection="false">
      <alignment horizontal="center" vertical="center" textRotation="0" wrapText="false" indent="0" shrinkToFit="false"/>
      <protection locked="false" hidden="false"/>
    </xf>
    <xf numFmtId="202" fontId="84" fillId="30" borderId="66" xfId="0" applyFont="true" applyBorder="true" applyAlignment="true" applyProtection="false">
      <alignment horizontal="center" vertical="center" textRotation="0" wrapText="false" indent="0" shrinkToFit="false"/>
      <protection locked="true" hidden="false"/>
    </xf>
    <xf numFmtId="164" fontId="81" fillId="33" borderId="72" xfId="0" applyFont="true" applyBorder="true" applyAlignment="false" applyProtection="false">
      <alignment horizontal="general" vertical="center" textRotation="0" wrapText="false" indent="0" shrinkToFit="false"/>
      <protection locked="true" hidden="false"/>
    </xf>
    <xf numFmtId="202" fontId="82" fillId="0" borderId="1" xfId="0" applyFont="true" applyBorder="true" applyAlignment="true" applyProtection="false">
      <alignment horizontal="left" vertical="bottom" textRotation="0" wrapText="false" indent="0" shrinkToFit="false"/>
      <protection locked="true" hidden="false"/>
    </xf>
    <xf numFmtId="164" fontId="77" fillId="0" borderId="1" xfId="0" applyFont="true" applyBorder="true" applyAlignment="true" applyProtection="false">
      <alignment horizontal="general" vertical="bottom" textRotation="0" wrapText="false" indent="0" shrinkToFit="false"/>
      <protection locked="true" hidden="false"/>
    </xf>
    <xf numFmtId="164" fontId="82" fillId="0" borderId="1" xfId="0" applyFont="true" applyBorder="true" applyAlignment="true" applyProtection="false">
      <alignment horizontal="center" vertical="center" textRotation="0" wrapText="false" indent="0" shrinkToFit="false"/>
      <protection locked="true" hidden="false"/>
    </xf>
    <xf numFmtId="164" fontId="78" fillId="0" borderId="1" xfId="0" applyFont="true" applyBorder="true" applyAlignment="true" applyProtection="false">
      <alignment horizontal="general" vertical="bottom" textRotation="0" wrapText="false" indent="0" shrinkToFit="false"/>
      <protection locked="true" hidden="false"/>
    </xf>
    <xf numFmtId="164" fontId="76" fillId="0" borderId="1" xfId="0" applyFont="true" applyBorder="true" applyAlignment="tru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center" textRotation="0" wrapText="false" indent="0" shrinkToFit="false"/>
      <protection locked="true" hidden="false"/>
    </xf>
    <xf numFmtId="164" fontId="81" fillId="38" borderId="28" xfId="0" applyFont="true" applyBorder="true" applyAlignment="false" applyProtection="false">
      <alignment horizontal="general" vertical="center" textRotation="0" wrapText="false" indent="0" shrinkToFit="false"/>
      <protection locked="true" hidden="false"/>
    </xf>
    <xf numFmtId="196" fontId="81" fillId="38" borderId="70" xfId="0" applyFont="true" applyBorder="true" applyAlignment="true" applyProtection="false">
      <alignment horizontal="left" vertical="center" textRotation="0" wrapText="false" indent="0" shrinkToFit="false"/>
      <protection locked="true" hidden="false"/>
    </xf>
    <xf numFmtId="196" fontId="81" fillId="38" borderId="62" xfId="0" applyFont="true" applyBorder="true" applyAlignment="false" applyProtection="false">
      <alignment horizontal="general" vertical="center" textRotation="0" wrapText="false" indent="0" shrinkToFit="false"/>
      <protection locked="true" hidden="false"/>
    </xf>
    <xf numFmtId="164" fontId="76" fillId="38" borderId="62" xfId="19" applyFont="true" applyBorder="true" applyAlignment="true" applyProtection="true">
      <alignment horizontal="center" vertical="center" textRotation="0" wrapText="false" indent="0" shrinkToFit="false"/>
      <protection locked="true" hidden="false"/>
    </xf>
    <xf numFmtId="196" fontId="76" fillId="38" borderId="70" xfId="19" applyFont="true" applyBorder="true" applyAlignment="true" applyProtection="true">
      <alignment horizontal="center" vertical="center" textRotation="0" wrapText="false" indent="0" shrinkToFit="false"/>
      <protection locked="true" hidden="false"/>
    </xf>
    <xf numFmtId="196" fontId="76" fillId="38" borderId="66" xfId="19" applyFont="true" applyBorder="true" applyAlignment="true" applyProtection="true">
      <alignment horizontal="center" vertical="center" textRotation="0" wrapText="false" indent="0" shrinkToFit="false"/>
      <protection locked="true" hidden="false"/>
    </xf>
    <xf numFmtId="187" fontId="76" fillId="38" borderId="70" xfId="19" applyFont="true" applyBorder="true" applyAlignment="true" applyProtection="true">
      <alignment horizontal="center" vertical="center" textRotation="0" wrapText="false" indent="0" shrinkToFit="false"/>
      <protection locked="true" hidden="false"/>
    </xf>
    <xf numFmtId="187" fontId="76" fillId="38" borderId="66" xfId="19" applyFont="true" applyBorder="true" applyAlignment="true" applyProtection="true">
      <alignment horizontal="center" vertical="center" textRotation="0" wrapText="false" indent="0" shrinkToFit="false"/>
      <protection locked="true" hidden="false"/>
    </xf>
    <xf numFmtId="196" fontId="76" fillId="38" borderId="62" xfId="0" applyFont="true" applyBorder="true" applyAlignment="true" applyProtection="false">
      <alignment horizontal="center" vertical="center" textRotation="0" wrapText="false" indent="0" shrinkToFit="false"/>
      <protection locked="true" hidden="false"/>
    </xf>
    <xf numFmtId="164" fontId="76" fillId="38" borderId="70" xfId="0" applyFont="true" applyBorder="true" applyAlignment="true" applyProtection="false">
      <alignment horizontal="center" vertical="center" textRotation="0" wrapText="false" indent="0" shrinkToFit="false"/>
      <protection locked="true" hidden="false"/>
    </xf>
    <xf numFmtId="196" fontId="76" fillId="38" borderId="66" xfId="0" applyFont="true" applyBorder="true" applyAlignment="true" applyProtection="false">
      <alignment horizontal="center" vertical="center" textRotation="0" wrapText="false" indent="0" shrinkToFit="false"/>
      <protection locked="true" hidden="false"/>
    </xf>
    <xf numFmtId="164" fontId="81" fillId="38" borderId="38" xfId="0" applyFont="true" applyBorder="true" applyAlignment="false" applyProtection="false">
      <alignment horizontal="general" vertical="center" textRotation="0" wrapText="false" indent="0" shrinkToFit="false"/>
      <protection locked="true" hidden="false"/>
    </xf>
    <xf numFmtId="196" fontId="81" fillId="38" borderId="0" xfId="0" applyFont="true" applyBorder="true" applyAlignment="true" applyProtection="false">
      <alignment horizontal="left" vertical="center" textRotation="0" wrapText="false" indent="0" shrinkToFit="false"/>
      <protection locked="true" hidden="false"/>
    </xf>
    <xf numFmtId="196" fontId="81" fillId="38" borderId="76" xfId="0" applyFont="true" applyBorder="true" applyAlignment="false" applyProtection="false">
      <alignment horizontal="general" vertical="center" textRotation="0" wrapText="false" indent="0" shrinkToFit="false"/>
      <protection locked="true" hidden="false"/>
    </xf>
    <xf numFmtId="164" fontId="76" fillId="38" borderId="76" xfId="19" applyFont="true" applyBorder="true" applyAlignment="true" applyProtection="true">
      <alignment horizontal="center" vertical="center" textRotation="0" wrapText="false" indent="0" shrinkToFit="false"/>
      <protection locked="true" hidden="false"/>
    </xf>
    <xf numFmtId="196" fontId="76" fillId="38" borderId="0" xfId="19" applyFont="true" applyBorder="true" applyAlignment="true" applyProtection="true">
      <alignment horizontal="center" vertical="center" textRotation="0" wrapText="false" indent="0" shrinkToFit="false"/>
      <protection locked="true" hidden="false"/>
    </xf>
    <xf numFmtId="196" fontId="76" fillId="38" borderId="68" xfId="19" applyFont="true" applyBorder="true" applyAlignment="true" applyProtection="true">
      <alignment horizontal="center" vertical="center" textRotation="0" wrapText="false" indent="0" shrinkToFit="false"/>
      <protection locked="true" hidden="false"/>
    </xf>
    <xf numFmtId="187" fontId="76" fillId="38" borderId="0" xfId="19" applyFont="true" applyBorder="true" applyAlignment="true" applyProtection="true">
      <alignment horizontal="center" vertical="center" textRotation="0" wrapText="false" indent="0" shrinkToFit="false"/>
      <protection locked="true" hidden="false"/>
    </xf>
    <xf numFmtId="187" fontId="76" fillId="38" borderId="68" xfId="19" applyFont="true" applyBorder="true" applyAlignment="true" applyProtection="true">
      <alignment horizontal="center" vertical="center" textRotation="0" wrapText="false" indent="0" shrinkToFit="false"/>
      <protection locked="true" hidden="false"/>
    </xf>
    <xf numFmtId="196" fontId="76" fillId="38" borderId="76" xfId="0" applyFont="true" applyBorder="true" applyAlignment="true" applyProtection="false">
      <alignment horizontal="center" vertical="center" textRotation="0" wrapText="false" indent="0" shrinkToFit="false"/>
      <protection locked="true" hidden="false"/>
    </xf>
    <xf numFmtId="164" fontId="76" fillId="38" borderId="0" xfId="0" applyFont="true" applyBorder="true" applyAlignment="true" applyProtection="false">
      <alignment horizontal="center" vertical="center" textRotation="0" wrapText="false" indent="0" shrinkToFit="false"/>
      <protection locked="true" hidden="false"/>
    </xf>
    <xf numFmtId="196" fontId="76" fillId="38" borderId="68" xfId="0" applyFont="true" applyBorder="true" applyAlignment="true" applyProtection="false">
      <alignment horizontal="center" vertical="center" textRotation="0" wrapText="false" indent="0" shrinkToFit="false"/>
      <protection locked="true" hidden="false"/>
    </xf>
    <xf numFmtId="164" fontId="81" fillId="38" borderId="26" xfId="0" applyFont="true" applyBorder="true" applyAlignment="false" applyProtection="false">
      <alignment horizontal="general" vertical="center" textRotation="0" wrapText="false" indent="0" shrinkToFit="false"/>
      <protection locked="true" hidden="false"/>
    </xf>
    <xf numFmtId="196" fontId="81" fillId="38" borderId="22" xfId="0" applyFont="true" applyBorder="true" applyAlignment="true" applyProtection="false">
      <alignment horizontal="left" vertical="center" textRotation="0" wrapText="false" indent="0" shrinkToFit="false"/>
      <protection locked="true" hidden="false"/>
    </xf>
    <xf numFmtId="164" fontId="81" fillId="38" borderId="74" xfId="0" applyFont="true" applyBorder="true" applyAlignment="false" applyProtection="false">
      <alignment horizontal="general" vertical="center" textRotation="0" wrapText="false" indent="0" shrinkToFit="false"/>
      <protection locked="true" hidden="false"/>
    </xf>
    <xf numFmtId="164" fontId="76" fillId="38" borderId="74" xfId="19" applyFont="true" applyBorder="true" applyAlignment="true" applyProtection="true">
      <alignment horizontal="center" vertical="center" textRotation="0" wrapText="false" indent="0" shrinkToFit="false"/>
      <protection locked="true" hidden="false"/>
    </xf>
    <xf numFmtId="196" fontId="76" fillId="38" borderId="22" xfId="19" applyFont="true" applyBorder="true" applyAlignment="true" applyProtection="true">
      <alignment horizontal="center" vertical="center" textRotation="0" wrapText="false" indent="0" shrinkToFit="false"/>
      <protection locked="true" hidden="false"/>
    </xf>
    <xf numFmtId="196" fontId="76" fillId="38" borderId="75" xfId="19" applyFont="true" applyBorder="true" applyAlignment="true" applyProtection="true">
      <alignment horizontal="center" vertical="center" textRotation="0" wrapText="false" indent="0" shrinkToFit="false"/>
      <protection locked="true" hidden="false"/>
    </xf>
    <xf numFmtId="196" fontId="76" fillId="38" borderId="74" xfId="0" applyFont="true" applyBorder="true" applyAlignment="true" applyProtection="false">
      <alignment horizontal="center" vertical="center" textRotation="0" wrapText="false" indent="0" shrinkToFit="false"/>
      <protection locked="true" hidden="false"/>
    </xf>
    <xf numFmtId="164" fontId="76" fillId="38" borderId="22" xfId="0" applyFont="true" applyBorder="true" applyAlignment="true" applyProtection="false">
      <alignment horizontal="center" vertical="center" textRotation="0" wrapText="false" indent="0" shrinkToFit="false"/>
      <protection locked="true" hidden="false"/>
    </xf>
    <xf numFmtId="196" fontId="76" fillId="38" borderId="75" xfId="0" applyFont="true" applyBorder="true" applyAlignment="true" applyProtection="false">
      <alignment horizontal="center" vertical="center" textRotation="0" wrapText="false" indent="0" shrinkToFit="false"/>
      <protection locked="true" hidden="false"/>
    </xf>
    <xf numFmtId="183" fontId="76" fillId="37" borderId="0" xfId="19" applyFont="true" applyBorder="true" applyAlignment="true" applyProtection="true">
      <alignment horizontal="center" vertical="center" textRotation="0" wrapText="false" indent="0" shrinkToFit="false"/>
      <protection locked="true" hidden="false"/>
    </xf>
    <xf numFmtId="187" fontId="76" fillId="37" borderId="62" xfId="19" applyFont="true" applyBorder="true" applyAlignment="true" applyProtection="true">
      <alignment horizontal="center" vertical="center" textRotation="0" wrapText="false" indent="0" shrinkToFit="false"/>
      <protection locked="true" hidden="false"/>
    </xf>
    <xf numFmtId="196" fontId="76" fillId="37" borderId="0" xfId="0" applyFont="true" applyBorder="true" applyAlignment="true" applyProtection="false">
      <alignment horizontal="center" vertical="center" textRotation="0" wrapText="false" indent="0" shrinkToFit="false"/>
      <protection locked="true" hidden="false"/>
    </xf>
    <xf numFmtId="164" fontId="76" fillId="37" borderId="0" xfId="0" applyFont="true" applyBorder="true" applyAlignment="true" applyProtection="false">
      <alignment horizontal="center" vertical="center" textRotation="0" wrapText="false" indent="0" shrinkToFit="false"/>
      <protection locked="true" hidden="false"/>
    </xf>
    <xf numFmtId="196" fontId="76" fillId="37" borderId="68" xfId="0" applyFont="true" applyBorder="true" applyAlignment="true" applyProtection="false">
      <alignment horizontal="center" vertical="center" textRotation="0" wrapText="false" indent="0" shrinkToFit="false"/>
      <protection locked="true" hidden="false"/>
    </xf>
    <xf numFmtId="187" fontId="76" fillId="37" borderId="76" xfId="19" applyFont="true" applyBorder="true" applyAlignment="true" applyProtection="true">
      <alignment horizontal="center" vertical="center" textRotation="0" wrapText="false" indent="0" shrinkToFit="false"/>
      <protection locked="true" hidden="false"/>
    </xf>
    <xf numFmtId="187" fontId="76" fillId="37" borderId="74" xfId="19" applyFont="true" applyBorder="true" applyAlignment="true" applyProtection="true">
      <alignment horizontal="center" vertical="center" textRotation="0" wrapText="false" indent="0" shrinkToFit="false"/>
      <protection locked="true" hidden="false"/>
    </xf>
    <xf numFmtId="196" fontId="84" fillId="30" borderId="71" xfId="0" applyFont="true" applyBorder="true" applyAlignment="true" applyProtection="false">
      <alignment horizontal="center" vertical="center" textRotation="0" wrapText="false" indent="0" shrinkToFit="false"/>
      <protection locked="true" hidden="false"/>
    </xf>
    <xf numFmtId="187" fontId="84" fillId="30" borderId="74" xfId="19" applyFont="true" applyBorder="true" applyAlignment="true" applyProtection="true">
      <alignment horizontal="center" vertical="center" textRotation="0" wrapText="false" indent="0" shrinkToFit="false"/>
      <protection locked="true" hidden="false"/>
    </xf>
    <xf numFmtId="187" fontId="84" fillId="30" borderId="22" xfId="19" applyFont="true" applyBorder="true" applyAlignment="true" applyProtection="true">
      <alignment horizontal="center" vertical="center" textRotation="0" wrapText="false" indent="0" shrinkToFit="false"/>
      <protection locked="true" hidden="false"/>
    </xf>
    <xf numFmtId="187" fontId="84" fillId="30" borderId="75" xfId="19" applyFont="true" applyBorder="true" applyAlignment="true" applyProtection="true">
      <alignment horizontal="center" vertical="center" textRotation="0" wrapText="false" indent="0" shrinkToFit="false"/>
      <protection locked="true" hidden="false"/>
    </xf>
    <xf numFmtId="196" fontId="84" fillId="30" borderId="72" xfId="0" applyFont="true" applyBorder="true" applyAlignment="true" applyProtection="false">
      <alignment horizontal="center" vertical="center" textRotation="0" wrapText="false" indent="0" shrinkToFit="false"/>
      <protection locked="true" hidden="false"/>
    </xf>
    <xf numFmtId="164" fontId="84" fillId="30" borderId="1" xfId="0" applyFont="true" applyBorder="true" applyAlignment="true" applyProtection="false">
      <alignment horizontal="center" vertical="center" textRotation="0" wrapText="false" indent="0" shrinkToFit="false"/>
      <protection locked="true" hidden="false"/>
    </xf>
    <xf numFmtId="164" fontId="81" fillId="33" borderId="76" xfId="0" applyFont="true" applyBorder="true" applyAlignment="false" applyProtection="false">
      <alignment horizontal="general" vertical="center" textRotation="0" wrapText="false" indent="0" shrinkToFit="false"/>
      <protection locked="true" hidden="false"/>
    </xf>
    <xf numFmtId="202" fontId="82" fillId="0" borderId="0" xfId="0" applyFont="true" applyBorder="true" applyAlignment="true" applyProtection="false">
      <alignment horizontal="left" vertical="bottom" textRotation="0" wrapText="false" indent="0" shrinkToFit="false"/>
      <protection locked="true" hidden="false"/>
    </xf>
    <xf numFmtId="164" fontId="81" fillId="39" borderId="62" xfId="0" applyFont="true" applyBorder="true" applyAlignment="false" applyProtection="false">
      <alignment horizontal="general" vertical="center" textRotation="0" wrapText="false" indent="0" shrinkToFit="false"/>
      <protection locked="true" hidden="false"/>
    </xf>
    <xf numFmtId="196" fontId="81" fillId="39" borderId="28" xfId="19" applyFont="true" applyBorder="true" applyAlignment="true" applyProtection="true">
      <alignment horizontal="left" vertical="center" textRotation="0" wrapText="false" indent="0" shrinkToFit="false"/>
      <protection locked="true" hidden="false"/>
    </xf>
    <xf numFmtId="196" fontId="81" fillId="39" borderId="70" xfId="0" applyFont="true" applyBorder="true" applyAlignment="false" applyProtection="false">
      <alignment horizontal="general" vertical="center" textRotation="0" wrapText="false" indent="0" shrinkToFit="false"/>
      <protection locked="true" hidden="false"/>
    </xf>
    <xf numFmtId="183" fontId="76" fillId="39" borderId="62" xfId="19" applyFont="true" applyBorder="true" applyAlignment="true" applyProtection="true">
      <alignment horizontal="center" vertical="center" textRotation="0" wrapText="false" indent="0" shrinkToFit="false"/>
      <protection locked="true" hidden="false"/>
    </xf>
    <xf numFmtId="196" fontId="76" fillId="39" borderId="70" xfId="19" applyFont="true" applyBorder="true" applyAlignment="true" applyProtection="true">
      <alignment horizontal="center" vertical="center" textRotation="0" wrapText="false" indent="0" shrinkToFit="false"/>
      <protection locked="true" hidden="false"/>
    </xf>
    <xf numFmtId="196" fontId="76" fillId="39" borderId="66" xfId="19" applyFont="true" applyBorder="true" applyAlignment="true" applyProtection="true">
      <alignment horizontal="center" vertical="center" textRotation="0" wrapText="false" indent="0" shrinkToFit="false"/>
      <protection locked="true" hidden="false"/>
    </xf>
    <xf numFmtId="187" fontId="76" fillId="39" borderId="70" xfId="19" applyFont="true" applyBorder="true" applyAlignment="true" applyProtection="true">
      <alignment horizontal="center" vertical="center" textRotation="0" wrapText="false" indent="0" shrinkToFit="false"/>
      <protection locked="true" hidden="false"/>
    </xf>
    <xf numFmtId="187" fontId="76" fillId="39" borderId="66" xfId="19" applyFont="true" applyBorder="true" applyAlignment="true" applyProtection="true">
      <alignment horizontal="center" vertical="center" textRotation="0" wrapText="false" indent="0" shrinkToFit="false"/>
      <protection locked="true" hidden="false"/>
    </xf>
    <xf numFmtId="196" fontId="76" fillId="32" borderId="70" xfId="0" applyFont="true" applyBorder="true" applyAlignment="true" applyProtection="false">
      <alignment horizontal="center" vertical="center" textRotation="0" wrapText="false" indent="0" shrinkToFit="false"/>
      <protection locked="true" hidden="false"/>
    </xf>
    <xf numFmtId="186" fontId="20" fillId="32" borderId="70" xfId="19" applyFont="false" applyBorder="true" applyAlignment="true" applyProtection="false">
      <alignment horizontal="center" vertical="top" textRotation="0" wrapText="false" indent="0" shrinkToFit="false"/>
      <protection locked="false" hidden="false"/>
    </xf>
    <xf numFmtId="164" fontId="76" fillId="32" borderId="70" xfId="19" applyFont="true" applyBorder="true" applyAlignment="true" applyProtection="true">
      <alignment horizontal="center" vertical="center" textRotation="0" wrapText="false" indent="0" shrinkToFit="false"/>
      <protection locked="true" hidden="false"/>
    </xf>
    <xf numFmtId="202" fontId="76" fillId="32" borderId="66" xfId="0" applyFont="true" applyBorder="true" applyAlignment="true" applyProtection="false">
      <alignment horizontal="center" vertical="center" textRotation="0" wrapText="false" indent="0" shrinkToFit="false"/>
      <protection locked="true" hidden="false"/>
    </xf>
    <xf numFmtId="164" fontId="81" fillId="39" borderId="76" xfId="0" applyFont="true" applyBorder="true" applyAlignment="false" applyProtection="false">
      <alignment horizontal="general" vertical="center" textRotation="0" wrapText="false" indent="0" shrinkToFit="false"/>
      <protection locked="true" hidden="false"/>
    </xf>
    <xf numFmtId="196" fontId="81" fillId="39" borderId="38" xfId="19" applyFont="true" applyBorder="true" applyAlignment="true" applyProtection="true">
      <alignment horizontal="left" vertical="center" textRotation="0" wrapText="false" indent="0" shrinkToFit="false"/>
      <protection locked="true" hidden="false"/>
    </xf>
    <xf numFmtId="196" fontId="81" fillId="39" borderId="0" xfId="0" applyFont="true" applyBorder="true" applyAlignment="false" applyProtection="false">
      <alignment horizontal="general" vertical="center" textRotation="0" wrapText="false" indent="0" shrinkToFit="false"/>
      <protection locked="true" hidden="false"/>
    </xf>
    <xf numFmtId="183" fontId="76" fillId="39" borderId="76" xfId="19" applyFont="true" applyBorder="true" applyAlignment="true" applyProtection="true">
      <alignment horizontal="center" vertical="center" textRotation="0" wrapText="false" indent="0" shrinkToFit="false"/>
      <protection locked="true" hidden="false"/>
    </xf>
    <xf numFmtId="196" fontId="76" fillId="39" borderId="0" xfId="19" applyFont="true" applyBorder="true" applyAlignment="true" applyProtection="true">
      <alignment horizontal="center" vertical="center" textRotation="0" wrapText="false" indent="0" shrinkToFit="false"/>
      <protection locked="true" hidden="false"/>
    </xf>
    <xf numFmtId="196" fontId="76" fillId="39" borderId="68" xfId="19" applyFont="true" applyBorder="true" applyAlignment="true" applyProtection="true">
      <alignment horizontal="center" vertical="center" textRotation="0" wrapText="false" indent="0" shrinkToFit="false"/>
      <protection locked="true" hidden="false"/>
    </xf>
    <xf numFmtId="187" fontId="76" fillId="39" borderId="0" xfId="19" applyFont="true" applyBorder="true" applyAlignment="true" applyProtection="true">
      <alignment horizontal="center" vertical="center" textRotation="0" wrapText="false" indent="0" shrinkToFit="false"/>
      <protection locked="true" hidden="false"/>
    </xf>
    <xf numFmtId="187" fontId="76" fillId="39" borderId="68" xfId="19" applyFont="true" applyBorder="true" applyAlignment="true" applyProtection="true">
      <alignment horizontal="center" vertical="center" textRotation="0" wrapText="false" indent="0" shrinkToFit="false"/>
      <protection locked="true" hidden="false"/>
    </xf>
    <xf numFmtId="196" fontId="76" fillId="32" borderId="0" xfId="0" applyFont="true" applyBorder="true" applyAlignment="true" applyProtection="false">
      <alignment horizontal="center" vertical="center" textRotation="0" wrapText="false" indent="0" shrinkToFit="false"/>
      <protection locked="true" hidden="false"/>
    </xf>
    <xf numFmtId="186" fontId="20" fillId="32" borderId="0" xfId="19" applyFont="false" applyBorder="true" applyAlignment="true" applyProtection="false">
      <alignment horizontal="center" vertical="top" textRotation="0" wrapText="false" indent="0" shrinkToFit="false"/>
      <protection locked="false" hidden="false"/>
    </xf>
    <xf numFmtId="164" fontId="76" fillId="32" borderId="0" xfId="19" applyFont="true" applyBorder="true" applyAlignment="true" applyProtection="true">
      <alignment horizontal="center" vertical="center" textRotation="0" wrapText="false" indent="0" shrinkToFit="false"/>
      <protection locked="true" hidden="false"/>
    </xf>
    <xf numFmtId="202" fontId="76" fillId="32" borderId="68" xfId="0" applyFont="true" applyBorder="true" applyAlignment="true" applyProtection="false">
      <alignment horizontal="center" vertical="center" textRotation="0" wrapText="false" indent="0" shrinkToFit="false"/>
      <protection locked="true" hidden="false"/>
    </xf>
    <xf numFmtId="164" fontId="81" fillId="39" borderId="26" xfId="0" applyFont="true" applyBorder="true" applyAlignment="false" applyProtection="false">
      <alignment horizontal="general" vertical="center" textRotation="0" wrapText="false" indent="0" shrinkToFit="false"/>
      <protection locked="true" hidden="false"/>
    </xf>
    <xf numFmtId="196" fontId="81" fillId="39" borderId="26" xfId="19" applyFont="true" applyBorder="true" applyAlignment="true" applyProtection="true">
      <alignment horizontal="left" vertical="center" textRotation="0" wrapText="false" indent="0" shrinkToFit="false"/>
      <protection locked="true" hidden="false"/>
    </xf>
    <xf numFmtId="164" fontId="81" fillId="39" borderId="22" xfId="0" applyFont="true" applyBorder="true" applyAlignment="false" applyProtection="false">
      <alignment horizontal="general" vertical="center" textRotation="0" wrapText="false" indent="0" shrinkToFit="false"/>
      <protection locked="true" hidden="false"/>
    </xf>
    <xf numFmtId="183" fontId="76" fillId="39" borderId="74" xfId="19" applyFont="true" applyBorder="true" applyAlignment="true" applyProtection="true">
      <alignment horizontal="center" vertical="center" textRotation="0" wrapText="false" indent="0" shrinkToFit="false"/>
      <protection locked="true" hidden="false"/>
    </xf>
    <xf numFmtId="196" fontId="76" fillId="39" borderId="22" xfId="19" applyFont="true" applyBorder="true" applyAlignment="true" applyProtection="true">
      <alignment horizontal="center" vertical="center" textRotation="0" wrapText="false" indent="0" shrinkToFit="false"/>
      <protection locked="true" hidden="false"/>
    </xf>
    <xf numFmtId="196" fontId="76" fillId="39" borderId="75" xfId="19" applyFont="true" applyBorder="true" applyAlignment="true" applyProtection="true">
      <alignment horizontal="center" vertical="center" textRotation="0" wrapText="false" indent="0" shrinkToFit="false"/>
      <protection locked="true" hidden="false"/>
    </xf>
    <xf numFmtId="187" fontId="76" fillId="39" borderId="22" xfId="19" applyFont="true" applyBorder="true" applyAlignment="true" applyProtection="true">
      <alignment horizontal="center" vertical="center" textRotation="0" wrapText="false" indent="0" shrinkToFit="false"/>
      <protection locked="true" hidden="false"/>
    </xf>
    <xf numFmtId="187" fontId="76" fillId="39" borderId="75" xfId="19" applyFont="true" applyBorder="true" applyAlignment="true" applyProtection="true">
      <alignment horizontal="center" vertical="center" textRotation="0" wrapText="false" indent="0" shrinkToFit="false"/>
      <protection locked="true" hidden="false"/>
    </xf>
    <xf numFmtId="196" fontId="76" fillId="32" borderId="22" xfId="0" applyFont="true" applyBorder="true" applyAlignment="true" applyProtection="false">
      <alignment horizontal="center" vertical="center" textRotation="0" wrapText="false" indent="0" shrinkToFit="false"/>
      <protection locked="true" hidden="false"/>
    </xf>
    <xf numFmtId="186" fontId="20" fillId="32" borderId="22" xfId="19" applyFont="false" applyBorder="true" applyAlignment="true" applyProtection="false">
      <alignment horizontal="center" vertical="top" textRotation="0" wrapText="false" indent="0" shrinkToFit="false"/>
      <protection locked="false" hidden="false"/>
    </xf>
    <xf numFmtId="164" fontId="76" fillId="32" borderId="22" xfId="19" applyFont="true" applyBorder="true" applyAlignment="true" applyProtection="true">
      <alignment horizontal="center" vertical="center" textRotation="0" wrapText="false" indent="0" shrinkToFit="false"/>
      <protection locked="true" hidden="false"/>
    </xf>
    <xf numFmtId="202" fontId="76" fillId="32" borderId="75" xfId="0" applyFont="true" applyBorder="true" applyAlignment="true" applyProtection="false">
      <alignment horizontal="center" vertical="center" textRotation="0" wrapText="false" indent="0" shrinkToFit="false"/>
      <protection locked="true" hidden="false"/>
    </xf>
    <xf numFmtId="164" fontId="84" fillId="30" borderId="76" xfId="0" applyFont="true" applyBorder="true" applyAlignment="false" applyProtection="false">
      <alignment horizontal="general" vertical="center" textRotation="0" wrapText="false" indent="0" shrinkToFit="false"/>
      <protection locked="true" hidden="false"/>
    </xf>
    <xf numFmtId="164" fontId="84" fillId="30" borderId="38" xfId="0" applyFont="true" applyBorder="true" applyAlignment="false" applyProtection="false">
      <alignment horizontal="general" vertical="center" textRotation="0" wrapText="false" indent="0" shrinkToFit="false"/>
      <protection locked="true" hidden="false"/>
    </xf>
    <xf numFmtId="196" fontId="84" fillId="30" borderId="74" xfId="0" applyFont="true" applyBorder="true" applyAlignment="true" applyProtection="false">
      <alignment horizontal="center" vertical="center" textRotation="0" wrapText="false" indent="0" shrinkToFit="false"/>
      <protection locked="true" hidden="false"/>
    </xf>
    <xf numFmtId="164" fontId="84" fillId="30" borderId="22" xfId="19" applyFont="true" applyBorder="true" applyAlignment="true" applyProtection="true">
      <alignment horizontal="center" vertical="center" textRotation="0" wrapText="false" indent="0" shrinkToFit="false"/>
      <protection locked="true" hidden="false"/>
    </xf>
    <xf numFmtId="183" fontId="84" fillId="30" borderId="75" xfId="0" applyFont="true" applyBorder="true" applyAlignment="true" applyProtection="false">
      <alignment horizontal="center" vertical="center" textRotation="0" wrapText="false" indent="0" shrinkToFit="false"/>
      <protection locked="true" hidden="false"/>
    </xf>
    <xf numFmtId="198" fontId="86" fillId="0" borderId="0" xfId="0" applyFont="true" applyBorder="false" applyAlignment="true" applyProtection="false">
      <alignment horizontal="general" vertical="bottom" textRotation="0" wrapText="false" indent="0" shrinkToFit="false"/>
      <protection locked="true" hidden="false"/>
    </xf>
    <xf numFmtId="164" fontId="81" fillId="33" borderId="62" xfId="0" applyFont="true" applyBorder="true" applyAlignment="false" applyProtection="false">
      <alignment horizontal="general"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false" indent="0" shrinkToFit="false"/>
      <protection locked="true" hidden="false"/>
    </xf>
    <xf numFmtId="164" fontId="81" fillId="39" borderId="28" xfId="0" applyFont="true" applyBorder="true" applyAlignment="false" applyProtection="false">
      <alignment horizontal="general" vertical="center" textRotation="0" wrapText="false" indent="0" shrinkToFit="false"/>
      <protection locked="true" hidden="false"/>
    </xf>
    <xf numFmtId="196" fontId="76" fillId="39" borderId="70" xfId="0" applyFont="true" applyBorder="true" applyAlignment="true" applyProtection="false">
      <alignment horizontal="center" vertical="center" textRotation="0" wrapText="false" indent="0" shrinkToFit="false"/>
      <protection locked="true" hidden="false"/>
    </xf>
    <xf numFmtId="202" fontId="76" fillId="39" borderId="66" xfId="0" applyFont="true" applyBorder="true" applyAlignment="true" applyProtection="false">
      <alignment horizontal="center" vertical="center" textRotation="0" wrapText="false" indent="0" shrinkToFit="false"/>
      <protection locked="true" hidden="false"/>
    </xf>
    <xf numFmtId="164" fontId="81" fillId="39" borderId="38" xfId="0" applyFont="true" applyBorder="true" applyAlignment="false" applyProtection="false">
      <alignment horizontal="general" vertical="center" textRotation="0" wrapText="false" indent="0" shrinkToFit="false"/>
      <protection locked="true" hidden="false"/>
    </xf>
    <xf numFmtId="196" fontId="76" fillId="39" borderId="0" xfId="0" applyFont="true" applyBorder="true" applyAlignment="true" applyProtection="false">
      <alignment horizontal="center" vertical="center" textRotation="0" wrapText="false" indent="0" shrinkToFit="false"/>
      <protection locked="true" hidden="false"/>
    </xf>
    <xf numFmtId="202" fontId="76" fillId="39" borderId="68" xfId="0" applyFont="true" applyBorder="true" applyAlignment="true" applyProtection="false">
      <alignment horizontal="center" vertical="center" textRotation="0" wrapText="false" indent="0" shrinkToFit="false"/>
      <protection locked="true" hidden="false"/>
    </xf>
    <xf numFmtId="164" fontId="81" fillId="39" borderId="74" xfId="0" applyFont="true" applyBorder="true" applyAlignment="false" applyProtection="false">
      <alignment horizontal="general" vertical="center" textRotation="0" wrapText="false" indent="0" shrinkToFit="false"/>
      <protection locked="true" hidden="false"/>
    </xf>
    <xf numFmtId="196" fontId="76" fillId="39" borderId="22" xfId="0" applyFont="true" applyBorder="true" applyAlignment="true" applyProtection="false">
      <alignment horizontal="center" vertical="center" textRotation="0" wrapText="false" indent="0" shrinkToFit="false"/>
      <protection locked="true" hidden="false"/>
    </xf>
    <xf numFmtId="202" fontId="76" fillId="39" borderId="75" xfId="0" applyFont="true" applyBorder="true" applyAlignment="true" applyProtection="false">
      <alignment horizontal="center" vertical="center" textRotation="0" wrapText="false" indent="0" shrinkToFit="false"/>
      <protection locked="true" hidden="false"/>
    </xf>
    <xf numFmtId="164" fontId="84" fillId="30" borderId="26" xfId="0" applyFont="true" applyBorder="true" applyAlignment="false" applyProtection="false">
      <alignment horizontal="general" vertical="center" textRotation="0" wrapText="false" indent="0" shrinkToFit="false"/>
      <protection locked="true" hidden="false"/>
    </xf>
    <xf numFmtId="164" fontId="84" fillId="30" borderId="22" xfId="0" applyFont="true" applyBorder="true" applyAlignment="true" applyProtection="false">
      <alignment horizontal="center" vertical="center" textRotation="0" wrapText="false" indent="0" shrinkToFit="false"/>
      <protection locked="true" hidden="false"/>
    </xf>
    <xf numFmtId="196" fontId="84" fillId="30" borderId="75" xfId="0" applyFont="true" applyBorder="true" applyAlignment="true" applyProtection="false">
      <alignment horizontal="center" vertical="center" textRotation="0" wrapText="false" indent="0" shrinkToFit="false"/>
      <protection locked="true" hidden="false"/>
    </xf>
    <xf numFmtId="164" fontId="84" fillId="30" borderId="74" xfId="0" applyFont="true" applyBorder="true" applyAlignment="false" applyProtection="false">
      <alignment horizontal="general" vertical="center" textRotation="0" wrapText="false" indent="0" shrinkToFit="false"/>
      <protection locked="true" hidden="false"/>
    </xf>
    <xf numFmtId="164" fontId="81" fillId="30" borderId="26" xfId="0" applyFont="true" applyBorder="true" applyAlignment="false" applyProtection="false">
      <alignment horizontal="general" vertical="center" textRotation="0" wrapText="false" indent="0" shrinkToFit="false"/>
      <protection locked="true" hidden="false"/>
    </xf>
    <xf numFmtId="183" fontId="84" fillId="30" borderId="22" xfId="0" applyFont="true" applyBorder="true" applyAlignment="true" applyProtection="false">
      <alignment horizontal="center" vertical="center" textRotation="0" wrapText="false" indent="0" shrinkToFit="false"/>
      <protection locked="true" hidden="false"/>
    </xf>
    <xf numFmtId="164" fontId="76" fillId="39" borderId="62" xfId="750" applyFont="true" applyBorder="true" applyAlignment="true" applyProtection="true">
      <alignment horizontal="center" vertical="center" textRotation="0" wrapText="false" indent="0" shrinkToFit="false"/>
      <protection locked="true" hidden="false"/>
    </xf>
    <xf numFmtId="164" fontId="76" fillId="39" borderId="76" xfId="750" applyFont="true" applyBorder="true" applyAlignment="true" applyProtection="true">
      <alignment horizontal="center" vertical="center" textRotation="0" wrapText="false" indent="0" shrinkToFit="false"/>
      <protection locked="true" hidden="false"/>
    </xf>
    <xf numFmtId="164" fontId="76" fillId="39" borderId="74" xfId="750" applyFont="true" applyBorder="true" applyAlignment="true" applyProtection="true">
      <alignment horizontal="center" vertical="center" textRotation="0" wrapText="false" indent="0" shrinkToFit="false"/>
      <protection locked="true" hidden="false"/>
    </xf>
    <xf numFmtId="164" fontId="81" fillId="33" borderId="1" xfId="0" applyFont="true" applyBorder="true" applyAlignment="false" applyProtection="false">
      <alignment horizontal="general" vertical="center" textRotation="0" wrapText="false" indent="0" shrinkToFit="false"/>
      <protection locked="true" hidden="false"/>
    </xf>
    <xf numFmtId="164" fontId="77" fillId="0" borderId="0" xfId="0" applyFont="true" applyBorder="false" applyAlignment="true" applyProtection="false">
      <alignment horizontal="left" vertical="bottom" textRotation="0" wrapText="false" indent="0" shrinkToFit="false"/>
      <protection locked="true" hidden="false"/>
    </xf>
    <xf numFmtId="164" fontId="81" fillId="30" borderId="38" xfId="0" applyFont="true" applyBorder="true" applyAlignment="false" applyProtection="false">
      <alignment horizontal="general" vertical="center" textRotation="0" wrapText="false" indent="0" shrinkToFit="false"/>
      <protection locked="true" hidden="false"/>
    </xf>
    <xf numFmtId="196" fontId="84" fillId="30" borderId="0" xfId="0" applyFont="true" applyBorder="true" applyAlignment="true" applyProtection="false">
      <alignment horizontal="center" vertical="center" textRotation="0" wrapText="false" indent="0" shrinkToFit="false"/>
      <protection locked="true" hidden="false"/>
    </xf>
    <xf numFmtId="164" fontId="76" fillId="39" borderId="0" xfId="750" applyFont="true" applyBorder="true" applyAlignment="true" applyProtection="true">
      <alignment horizontal="center" vertical="center" textRotation="0" wrapText="false" indent="0" shrinkToFit="false"/>
      <protection locked="true" hidden="false"/>
    </xf>
    <xf numFmtId="196" fontId="76" fillId="39" borderId="62" xfId="0" applyFont="true" applyBorder="true" applyAlignment="true" applyProtection="false">
      <alignment horizontal="center" vertical="center" textRotation="0" wrapText="false" indent="0" shrinkToFit="false"/>
      <protection locked="true" hidden="false"/>
    </xf>
    <xf numFmtId="196" fontId="76" fillId="39" borderId="76" xfId="0" applyFont="true" applyBorder="true" applyAlignment="true" applyProtection="false">
      <alignment horizontal="center" vertical="center" textRotation="0" wrapText="false" indent="0" shrinkToFit="false"/>
      <protection locked="true" hidden="false"/>
    </xf>
    <xf numFmtId="196" fontId="76" fillId="39" borderId="74" xfId="0" applyFont="true" applyBorder="true" applyAlignment="true" applyProtection="false">
      <alignment horizontal="center" vertical="center" textRotation="0" wrapText="false" indent="0" shrinkToFit="false"/>
      <protection locked="true" hidden="false"/>
    </xf>
    <xf numFmtId="164" fontId="81" fillId="30" borderId="74" xfId="0" applyFont="true" applyBorder="true" applyAlignment="false" applyProtection="false">
      <alignment horizontal="general" vertical="center" textRotation="0" wrapText="false" indent="0" shrinkToFit="false"/>
      <protection locked="true" hidden="false"/>
    </xf>
    <xf numFmtId="183" fontId="20" fillId="0" borderId="0" xfId="0" applyFont="true" applyBorder="false" applyAlignment="true" applyProtection="false">
      <alignment horizontal="center" vertical="center" textRotation="0" wrapText="false" indent="0" shrinkToFit="false"/>
      <protection locked="true" hidden="false"/>
    </xf>
    <xf numFmtId="196" fontId="20" fillId="0" borderId="0" xfId="0" applyFont="true" applyBorder="false" applyAlignment="true" applyProtection="false">
      <alignment horizontal="center" vertical="center" textRotation="0" wrapText="false" indent="0" shrinkToFit="false"/>
      <protection locked="true" hidden="false"/>
    </xf>
    <xf numFmtId="201" fontId="20" fillId="0" borderId="0" xfId="19" applyFont="false" applyBorder="false" applyAlignment="true" applyProtection="false">
      <alignment horizontal="center" vertical="top" textRotation="0" wrapText="false" indent="0" shrinkToFit="false"/>
      <protection locked="false" hidden="false"/>
    </xf>
    <xf numFmtId="164" fontId="0"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20" fillId="0" borderId="19"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false">
      <alignment horizontal="general" vertical="center" textRotation="0" wrapText="true" indent="0" shrinkToFit="false"/>
      <protection locked="true" hidden="false"/>
    </xf>
    <xf numFmtId="164" fontId="0" fillId="0" borderId="19" xfId="0" applyFont="true" applyBorder="true" applyAlignment="false" applyProtection="false">
      <alignment horizontal="general"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true" indent="0" shrinkToFit="false"/>
      <protection locked="true" hidden="false"/>
    </xf>
    <xf numFmtId="164" fontId="0" fillId="31"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206" fontId="0" fillId="0" borderId="19" xfId="15" applyFont="true" applyBorder="true" applyAlignment="true" applyProtection="true">
      <alignment horizontal="general" vertical="center" textRotation="0" wrapText="false" indent="0" shrinkToFit="false"/>
      <protection locked="true" hidden="false"/>
    </xf>
    <xf numFmtId="187" fontId="0" fillId="28" borderId="19" xfId="0" applyFont="false" applyBorder="true" applyAlignment="true" applyProtection="false">
      <alignment horizontal="center" vertical="center" textRotation="0" wrapText="false" indent="0" shrinkToFit="false"/>
      <protection locked="true" hidden="false"/>
    </xf>
    <xf numFmtId="187" fontId="0" fillId="31" borderId="19" xfId="0" applyFont="false" applyBorder="true" applyAlignment="true" applyProtection="false">
      <alignment horizontal="center" vertical="center" textRotation="0" wrapText="false" indent="0" shrinkToFit="false"/>
      <protection locked="true" hidden="false"/>
    </xf>
    <xf numFmtId="187" fontId="20" fillId="40" borderId="19" xfId="0" applyFont="true" applyBorder="true" applyAlignment="true" applyProtection="false">
      <alignment horizontal="center" vertical="center" textRotation="0" wrapText="false" indent="0" shrinkToFit="false"/>
      <protection locked="true" hidden="false"/>
    </xf>
    <xf numFmtId="201" fontId="0" fillId="0" borderId="0" xfId="0" applyFont="false" applyBorder="true" applyAlignment="false" applyProtection="false">
      <alignment horizontal="general" vertical="center" textRotation="0" wrapText="false" indent="0" shrinkToFit="false"/>
      <protection locked="true" hidden="false"/>
    </xf>
    <xf numFmtId="164" fontId="59" fillId="0" borderId="19" xfId="0" applyFont="true" applyBorder="true" applyAlignment="false" applyProtection="false">
      <alignment horizontal="general" vertical="center" textRotation="0" wrapText="false" indent="0" shrinkToFit="false"/>
      <protection locked="true" hidden="false"/>
    </xf>
    <xf numFmtId="206" fontId="59" fillId="0" borderId="19" xfId="15" applyFont="true" applyBorder="true" applyAlignment="true" applyProtection="true">
      <alignment horizontal="general" vertical="center" textRotation="0" wrapText="false" indent="0" shrinkToFit="false"/>
      <protection locked="true" hidden="false"/>
    </xf>
    <xf numFmtId="187" fontId="59" fillId="28" borderId="19" xfId="0" applyFont="true" applyBorder="true" applyAlignment="true" applyProtection="false">
      <alignment horizontal="center" vertical="center" textRotation="0" wrapText="false" indent="0" shrinkToFit="false"/>
      <protection locked="true" hidden="false"/>
    </xf>
    <xf numFmtId="187" fontId="59" fillId="31" borderId="19" xfId="0" applyFont="true" applyBorder="true" applyAlignment="true" applyProtection="false">
      <alignment horizontal="center" vertical="center" textRotation="0" wrapText="false" indent="0" shrinkToFit="false"/>
      <protection locked="true" hidden="false"/>
    </xf>
    <xf numFmtId="187" fontId="75" fillId="40" borderId="19" xfId="0" applyFont="true" applyBorder="true" applyAlignment="true" applyProtection="false">
      <alignment horizontal="center" vertical="center" textRotation="0" wrapText="false" indent="0" shrinkToFit="false"/>
      <protection locked="true" hidden="false"/>
    </xf>
    <xf numFmtId="199" fontId="59" fillId="0" borderId="19" xfId="15" applyFont="true" applyBorder="true" applyAlignment="true" applyProtection="true">
      <alignment horizontal="general" vertical="center" textRotation="0" wrapText="false" indent="0" shrinkToFit="false"/>
      <protection locked="true" hidden="false"/>
    </xf>
    <xf numFmtId="164" fontId="59" fillId="0" borderId="19" xfId="0" applyFont="true" applyBorder="true" applyAlignment="true" applyProtection="false">
      <alignment horizontal="right" vertical="center" textRotation="0" wrapText="false" indent="0" shrinkToFit="false"/>
      <protection locked="true" hidden="false"/>
    </xf>
    <xf numFmtId="164" fontId="0" fillId="0" borderId="62" xfId="0" applyFont="true" applyBorder="true" applyAlignment="true" applyProtection="false">
      <alignment horizontal="left" vertical="center" textRotation="0" wrapText="false" indent="0" shrinkToFit="false"/>
      <protection locked="true" hidden="false"/>
    </xf>
    <xf numFmtId="164" fontId="0" fillId="0" borderId="28" xfId="0" applyFont="true" applyBorder="true" applyAlignment="true" applyProtection="false">
      <alignment horizontal="left" vertical="center" textRotation="0" wrapText="false" indent="0" shrinkToFit="false"/>
      <protection locked="true" hidden="false"/>
    </xf>
    <xf numFmtId="164" fontId="0" fillId="0" borderId="70" xfId="0" applyFont="true" applyBorder="true" applyAlignment="true" applyProtection="false">
      <alignment horizontal="center" vertical="center" textRotation="0" wrapText="false" indent="0" shrinkToFit="false"/>
      <protection locked="true" hidden="false"/>
    </xf>
    <xf numFmtId="164" fontId="0" fillId="0" borderId="28" xfId="0" applyFont="true" applyBorder="true" applyAlignment="true" applyProtection="false">
      <alignment horizontal="center" vertical="center" textRotation="0" wrapText="false" indent="0" shrinkToFit="false"/>
      <protection locked="true" hidden="false"/>
    </xf>
    <xf numFmtId="164" fontId="0" fillId="0" borderId="66" xfId="0" applyFont="true" applyBorder="true" applyAlignment="true" applyProtection="false">
      <alignment horizontal="center" vertical="center" textRotation="0" wrapText="false" indent="0" shrinkToFit="false"/>
      <protection locked="true" hidden="false"/>
    </xf>
    <xf numFmtId="164" fontId="24" fillId="0" borderId="66" xfId="0" applyFont="true" applyBorder="true" applyAlignment="true" applyProtection="false">
      <alignment horizontal="center" vertical="center" textRotation="0" wrapText="true" indent="0" shrinkToFit="false"/>
      <protection locked="true" hidden="false"/>
    </xf>
    <xf numFmtId="164" fontId="24" fillId="0" borderId="66" xfId="0" applyFont="true" applyBorder="true" applyAlignment="true" applyProtection="false">
      <alignment horizontal="center" vertical="center" textRotation="0" wrapText="false" indent="0" shrinkToFit="false"/>
      <protection locked="true" hidden="false"/>
    </xf>
    <xf numFmtId="206" fontId="0" fillId="0" borderId="70" xfId="0" applyFont="false" applyBorder="true" applyAlignment="true" applyProtection="false">
      <alignment horizontal="center" vertical="center" textRotation="0" wrapText="false" indent="0" shrinkToFit="false"/>
      <protection locked="true" hidden="false"/>
    </xf>
    <xf numFmtId="206" fontId="0" fillId="0" borderId="28" xfId="0" applyFont="false" applyBorder="true" applyAlignment="true" applyProtection="false">
      <alignment horizontal="center" vertical="center" textRotation="0" wrapText="false" indent="0" shrinkToFit="false"/>
      <protection locked="true" hidden="false"/>
    </xf>
    <xf numFmtId="187" fontId="20" fillId="0" borderId="66" xfId="750" applyFont="false" applyBorder="true" applyAlignment="true" applyProtection="true">
      <alignment horizontal="center" vertical="top" textRotation="0" wrapText="false" indent="0" shrinkToFit="false"/>
      <protection locked="true" hidden="false"/>
    </xf>
    <xf numFmtId="183" fontId="20" fillId="0" borderId="66" xfId="750" applyFont="false" applyBorder="true" applyAlignment="true" applyProtection="true">
      <alignment horizontal="center" vertical="top" textRotation="0" wrapText="false" indent="0" shrinkToFit="false"/>
      <protection locked="true" hidden="false"/>
    </xf>
    <xf numFmtId="164" fontId="0" fillId="0" borderId="76" xfId="0" applyFont="false" applyBorder="true" applyAlignment="true" applyProtection="false">
      <alignment horizontal="left" vertical="center" textRotation="0" wrapText="false" indent="0" shrinkToFit="false"/>
      <protection locked="true" hidden="false"/>
    </xf>
    <xf numFmtId="164" fontId="0" fillId="0" borderId="38" xfId="0" applyFont="true" applyBorder="true" applyAlignment="true" applyProtection="false">
      <alignment horizontal="left" vertical="center" textRotation="0" wrapText="false" indent="0" shrinkToFit="false"/>
      <protection locked="true" hidden="false"/>
    </xf>
    <xf numFmtId="206" fontId="0" fillId="0" borderId="0" xfId="0" applyFont="false" applyBorder="true" applyAlignment="true" applyProtection="false">
      <alignment horizontal="center" vertical="center" textRotation="0" wrapText="false" indent="0" shrinkToFit="false"/>
      <protection locked="true" hidden="false"/>
    </xf>
    <xf numFmtId="206" fontId="0" fillId="0" borderId="38" xfId="0" applyFont="false" applyBorder="true" applyAlignment="true" applyProtection="false">
      <alignment horizontal="center" vertical="center" textRotation="0" wrapText="false" indent="0" shrinkToFit="false"/>
      <protection locked="true" hidden="false"/>
    </xf>
    <xf numFmtId="187" fontId="20" fillId="0" borderId="68" xfId="750" applyFont="false" applyBorder="true" applyAlignment="true" applyProtection="true">
      <alignment horizontal="center" vertical="top" textRotation="0" wrapText="false" indent="0" shrinkToFit="false"/>
      <protection locked="true" hidden="false"/>
    </xf>
    <xf numFmtId="183" fontId="20" fillId="0" borderId="68" xfId="750" applyFont="false" applyBorder="true" applyAlignment="true" applyProtection="true">
      <alignment horizontal="center" vertical="top" textRotation="0" wrapText="false" indent="0" shrinkToFit="false"/>
      <protection locked="true" hidden="false"/>
    </xf>
    <xf numFmtId="206" fontId="0" fillId="0" borderId="0" xfId="0" applyFont="fals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false" applyProtection="false">
      <alignment horizontal="general" vertical="top" textRotation="0" wrapText="false" indent="0" shrinkToFit="false"/>
      <protection locked="false" hidden="false"/>
    </xf>
    <xf numFmtId="164" fontId="76" fillId="0" borderId="0" xfId="0" applyFont="true" applyBorder="false" applyAlignment="true" applyProtection="false">
      <alignment horizontal="center" vertical="center" textRotation="0" wrapText="false" indent="0" shrinkToFit="false"/>
      <protection locked="true" hidden="false"/>
    </xf>
    <xf numFmtId="164" fontId="0" fillId="0" borderId="74" xfId="0" applyFont="true" applyBorder="true" applyAlignment="true" applyProtection="false">
      <alignment horizontal="left" vertical="center" textRotation="0" wrapText="false" indent="0" shrinkToFit="false"/>
      <protection locked="true" hidden="false"/>
    </xf>
    <xf numFmtId="164" fontId="0" fillId="0" borderId="26" xfId="0" applyFont="true" applyBorder="true" applyAlignment="true" applyProtection="false">
      <alignment horizontal="left" vertical="center" textRotation="0" wrapText="false" indent="0" shrinkToFit="false"/>
      <protection locked="true" hidden="false"/>
    </xf>
    <xf numFmtId="206" fontId="0" fillId="0" borderId="22" xfId="0" applyFont="false" applyBorder="true" applyAlignment="true" applyProtection="false">
      <alignment horizontal="center" vertical="center" textRotation="0" wrapText="false" indent="0" shrinkToFit="false"/>
      <protection locked="true" hidden="false"/>
    </xf>
    <xf numFmtId="206" fontId="0" fillId="0" borderId="26" xfId="0" applyFont="false" applyBorder="true" applyAlignment="true" applyProtection="false">
      <alignment horizontal="center" vertical="center" textRotation="0" wrapText="false" indent="0" shrinkToFit="false"/>
      <protection locked="true" hidden="false"/>
    </xf>
    <xf numFmtId="187" fontId="20" fillId="0" borderId="75" xfId="750" applyFont="false" applyBorder="true" applyAlignment="true" applyProtection="true">
      <alignment horizontal="center" vertical="top" textRotation="0" wrapText="false" indent="0" shrinkToFit="false"/>
      <protection locked="true" hidden="false"/>
    </xf>
    <xf numFmtId="164" fontId="24" fillId="0" borderId="28" xfId="0" applyFont="true" applyBorder="true" applyAlignment="true" applyProtection="false">
      <alignment horizontal="left" vertical="center" textRotation="0" wrapText="false" indent="0" shrinkToFit="false"/>
      <protection locked="true" hidden="false"/>
    </xf>
    <xf numFmtId="187" fontId="20" fillId="0" borderId="28" xfId="750" applyFont="false" applyBorder="true" applyAlignment="true" applyProtection="true">
      <alignment horizontal="center" vertical="top" textRotation="0" wrapText="false" indent="0" shrinkToFit="false"/>
      <protection locked="true" hidden="false"/>
    </xf>
    <xf numFmtId="183" fontId="20" fillId="0" borderId="28" xfId="750" applyFont="false" applyBorder="true" applyAlignment="true" applyProtection="true">
      <alignment horizontal="center" vertical="top" textRotation="0" wrapText="false" indent="0" shrinkToFit="false"/>
      <protection locked="true" hidden="false"/>
    </xf>
    <xf numFmtId="164" fontId="24" fillId="0" borderId="26" xfId="0" applyFont="true" applyBorder="true" applyAlignment="true" applyProtection="false">
      <alignment horizontal="left" vertical="center" textRotation="0" wrapText="false" indent="0" shrinkToFit="false"/>
      <protection locked="true" hidden="false"/>
    </xf>
    <xf numFmtId="187" fontId="20" fillId="0" borderId="26" xfId="750" applyFont="false" applyBorder="true" applyAlignment="true" applyProtection="true">
      <alignment horizontal="center" vertical="top" textRotation="0" wrapText="false" indent="0" shrinkToFit="false"/>
      <protection locked="true" hidden="false"/>
    </xf>
    <xf numFmtId="183" fontId="20" fillId="0" borderId="26" xfId="750" applyFont="false" applyBorder="true" applyAlignment="true" applyProtection="true">
      <alignment horizontal="center" vertical="top" textRotation="0" wrapText="false" indent="0" shrinkToFit="false"/>
      <protection locked="true" hidden="false"/>
    </xf>
    <xf numFmtId="183" fontId="20" fillId="0" borderId="75" xfId="750" applyFont="false" applyBorder="true" applyAlignment="true" applyProtection="true">
      <alignment horizontal="center" vertical="top" textRotation="0" wrapText="false" indent="0" shrinkToFit="false"/>
      <protection locked="true" hidden="false"/>
    </xf>
    <xf numFmtId="164" fontId="59" fillId="0" borderId="28" xfId="0" applyFont="true" applyBorder="true" applyAlignment="false" applyProtection="false">
      <alignment horizontal="general" vertical="center" textRotation="0" wrapText="false" indent="0" shrinkToFit="false"/>
      <protection locked="true" hidden="false"/>
    </xf>
    <xf numFmtId="164" fontId="59" fillId="0" borderId="42" xfId="0" applyFont="true" applyBorder="true" applyAlignment="true" applyProtection="false">
      <alignment horizontal="general" vertical="center" textRotation="0" wrapText="false" indent="0" shrinkToFit="false"/>
      <protection locked="true" hidden="false"/>
    </xf>
    <xf numFmtId="164" fontId="59" fillId="0" borderId="77" xfId="0" applyFont="true" applyBorder="true" applyAlignment="true" applyProtection="false">
      <alignment horizontal="general" vertical="center" textRotation="0" wrapText="false" indent="0" shrinkToFit="false"/>
      <protection locked="true" hidden="false"/>
    </xf>
    <xf numFmtId="164" fontId="59" fillId="0" borderId="62" xfId="0" applyFont="true" applyBorder="true" applyAlignment="true" applyProtection="false">
      <alignment horizontal="general" vertical="center" textRotation="0" wrapText="false" indent="0" shrinkToFit="false"/>
      <protection locked="true" hidden="false"/>
    </xf>
    <xf numFmtId="164" fontId="59" fillId="0" borderId="66" xfId="0" applyFont="true" applyBorder="true" applyAlignment="true" applyProtection="false">
      <alignment horizontal="general" vertical="center" textRotation="0" wrapText="false" indent="0" shrinkToFit="false"/>
      <protection locked="true" hidden="false"/>
    </xf>
    <xf numFmtId="164" fontId="85" fillId="0" borderId="27" xfId="0" applyFont="true" applyBorder="true" applyAlignment="true" applyProtection="false">
      <alignment horizontal="center" vertical="center" textRotation="0" wrapText="false" indent="0" shrinkToFit="false"/>
      <protection locked="true" hidden="false"/>
    </xf>
    <xf numFmtId="164" fontId="85" fillId="0" borderId="78" xfId="0" applyFont="true" applyBorder="true" applyAlignment="true" applyProtection="false">
      <alignment horizontal="center" vertical="center" textRotation="0" wrapText="true" indent="0" shrinkToFit="false"/>
      <protection locked="true" hidden="false"/>
    </xf>
    <xf numFmtId="164" fontId="85" fillId="0" borderId="29" xfId="0" applyFont="true" applyBorder="true" applyAlignment="true" applyProtection="false">
      <alignment horizontal="center" vertical="center" textRotation="0" wrapText="true" indent="0" shrinkToFit="false"/>
      <protection locked="true" hidden="false"/>
    </xf>
    <xf numFmtId="164" fontId="85" fillId="0" borderId="42" xfId="0" applyFont="true" applyBorder="true" applyAlignment="true" applyProtection="false">
      <alignment horizontal="center" vertical="center" textRotation="0" wrapText="true" indent="0" shrinkToFit="false"/>
      <protection locked="true" hidden="false"/>
    </xf>
    <xf numFmtId="164" fontId="85" fillId="0" borderId="77" xfId="0" applyFont="true" applyBorder="true" applyAlignment="true" applyProtection="false">
      <alignment horizontal="center" vertical="center" textRotation="0" wrapText="true" indent="0" shrinkToFit="false"/>
      <protection locked="true" hidden="false"/>
    </xf>
    <xf numFmtId="164" fontId="76" fillId="0" borderId="0" xfId="0" applyFont="true" applyBorder="true" applyAlignment="true" applyProtection="false">
      <alignment horizontal="center" vertical="center" textRotation="0" wrapText="false" indent="0" shrinkToFit="false"/>
      <protection locked="true" hidden="false"/>
    </xf>
    <xf numFmtId="164" fontId="59" fillId="0" borderId="37" xfId="0" applyFont="true" applyBorder="true" applyAlignment="true" applyProtection="false">
      <alignment horizontal="center" vertical="center" textRotation="0" wrapText="false" indent="0" shrinkToFit="false"/>
      <protection locked="true" hidden="false"/>
    </xf>
    <xf numFmtId="183" fontId="0" fillId="0" borderId="64" xfId="0" applyFont="false" applyBorder="true" applyAlignment="true" applyProtection="false">
      <alignment horizontal="center" vertical="center" textRotation="0" wrapText="false" indent="0" shrinkToFit="false"/>
      <protection locked="true" hidden="false"/>
    </xf>
    <xf numFmtId="183" fontId="0" fillId="0" borderId="57" xfId="0" applyFont="false" applyBorder="true" applyAlignment="true" applyProtection="false">
      <alignment horizontal="center" vertical="center" textRotation="0" wrapText="false" indent="0" shrinkToFit="false"/>
      <protection locked="true" hidden="false"/>
    </xf>
    <xf numFmtId="183" fontId="0" fillId="0" borderId="35" xfId="0" applyFont="false" applyBorder="true" applyAlignment="true" applyProtection="false">
      <alignment horizontal="center" vertical="center" textRotation="0" wrapText="false" indent="0" shrinkToFit="false"/>
      <protection locked="true" hidden="false"/>
    </xf>
    <xf numFmtId="187" fontId="75" fillId="0" borderId="79" xfId="750" applyFont="true" applyBorder="true" applyAlignment="true" applyProtection="true">
      <alignment horizontal="center" vertical="center" textRotation="0" wrapText="false" indent="0" shrinkToFit="false"/>
      <protection locked="true" hidden="false"/>
    </xf>
    <xf numFmtId="187" fontId="75" fillId="0" borderId="80" xfId="750" applyFont="true" applyBorder="true" applyAlignment="true" applyProtection="true">
      <alignment horizontal="center" vertical="center" textRotation="0" wrapText="false" indent="0" shrinkToFit="false"/>
      <protection locked="true" hidden="false"/>
    </xf>
    <xf numFmtId="187" fontId="59" fillId="0" borderId="67"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59" fillId="0" borderId="41" xfId="0" applyFont="true" applyBorder="true" applyAlignment="true" applyProtection="false">
      <alignment horizontal="center" vertical="center" textRotation="0" wrapText="false" indent="0" shrinkToFit="false"/>
      <protection locked="true" hidden="false"/>
    </xf>
    <xf numFmtId="183" fontId="0" fillId="0" borderId="46" xfId="0" applyFont="false" applyBorder="true" applyAlignment="true" applyProtection="false">
      <alignment horizontal="center" vertical="center" textRotation="0" wrapText="false" indent="0" shrinkToFit="false"/>
      <protection locked="true" hidden="false"/>
    </xf>
    <xf numFmtId="183" fontId="0" fillId="0" borderId="47" xfId="0" applyFont="false" applyBorder="true" applyAlignment="true" applyProtection="false">
      <alignment horizontal="center" vertical="center" textRotation="0" wrapText="false" indent="0" shrinkToFit="false"/>
      <protection locked="true" hidden="false"/>
    </xf>
    <xf numFmtId="183" fontId="24" fillId="0" borderId="46" xfId="0" applyFont="true" applyBorder="true" applyAlignment="true" applyProtection="false">
      <alignment horizontal="center" vertical="center" textRotation="0" wrapText="false" indent="0" shrinkToFit="false"/>
      <protection locked="true" hidden="false"/>
    </xf>
    <xf numFmtId="183" fontId="24" fillId="0" borderId="34" xfId="0" applyFont="true" applyBorder="true" applyAlignment="true" applyProtection="false">
      <alignment horizontal="center" vertical="center" textRotation="0" wrapText="false" indent="0" shrinkToFit="false"/>
      <protection locked="true" hidden="false"/>
    </xf>
    <xf numFmtId="187" fontId="75" fillId="0" borderId="46" xfId="750" applyFont="true" applyBorder="true" applyAlignment="true" applyProtection="true">
      <alignment horizontal="center" vertical="center" textRotation="0" wrapText="false" indent="0" shrinkToFit="false"/>
      <protection locked="true" hidden="false"/>
    </xf>
    <xf numFmtId="187" fontId="75" fillId="0" borderId="47" xfId="750" applyFont="true" applyBorder="true" applyAlignment="true" applyProtection="true">
      <alignment horizontal="center" vertical="center" textRotation="0" wrapText="false" indent="0" shrinkToFit="false"/>
      <protection locked="true" hidden="false"/>
    </xf>
    <xf numFmtId="187" fontId="59" fillId="0" borderId="81" xfId="0" applyFont="true" applyBorder="true" applyAlignment="true" applyProtection="false">
      <alignment horizontal="center" vertical="center" textRotation="0" wrapText="false" indent="0" shrinkToFit="false"/>
      <protection locked="true" hidden="false"/>
    </xf>
    <xf numFmtId="164" fontId="89" fillId="0" borderId="0" xfId="0" applyFont="true" applyBorder="true" applyAlignment="true" applyProtection="false">
      <alignment horizontal="center" vertical="center" textRotation="0" wrapText="true" indent="0" shrinkToFit="false"/>
      <protection locked="true" hidden="false"/>
    </xf>
    <xf numFmtId="183" fontId="0" fillId="0" borderId="34" xfId="0" applyFont="false" applyBorder="true" applyAlignment="true" applyProtection="false">
      <alignment horizontal="center" vertical="center" textRotation="0" wrapText="false" indent="0" shrinkToFit="false"/>
      <protection locked="true" hidden="false"/>
    </xf>
    <xf numFmtId="164" fontId="59" fillId="0" borderId="25" xfId="0" applyFont="true" applyBorder="true" applyAlignment="true" applyProtection="false">
      <alignment horizontal="center" vertical="center" textRotation="0" wrapText="false" indent="0" shrinkToFit="false"/>
      <protection locked="true" hidden="false"/>
    </xf>
    <xf numFmtId="183" fontId="0" fillId="0" borderId="58" xfId="0" applyFont="false" applyBorder="true" applyAlignment="true" applyProtection="false">
      <alignment horizontal="center" vertical="center" textRotation="0" wrapText="false" indent="0" shrinkToFit="false"/>
      <protection locked="true" hidden="false"/>
    </xf>
    <xf numFmtId="183" fontId="0" fillId="0" borderId="61" xfId="0" applyFont="false" applyBorder="true" applyAlignment="true" applyProtection="false">
      <alignment horizontal="center" vertical="center" textRotation="0" wrapText="false" indent="0" shrinkToFit="false"/>
      <protection locked="true" hidden="false"/>
    </xf>
    <xf numFmtId="183" fontId="0" fillId="0" borderId="59" xfId="0" applyFont="false" applyBorder="true" applyAlignment="true" applyProtection="false">
      <alignment horizontal="center" vertical="center" textRotation="0" wrapText="false" indent="0" shrinkToFit="false"/>
      <protection locked="true" hidden="false"/>
    </xf>
    <xf numFmtId="187" fontId="75" fillId="0" borderId="58" xfId="750" applyFont="true" applyBorder="true" applyAlignment="true" applyProtection="true">
      <alignment horizontal="center" vertical="center" textRotation="0" wrapText="false" indent="0" shrinkToFit="false"/>
      <protection locked="true" hidden="false"/>
    </xf>
    <xf numFmtId="187" fontId="75" fillId="0" borderId="61" xfId="750" applyFont="true" applyBorder="true" applyAlignment="true" applyProtection="true">
      <alignment horizontal="center" vertical="center" textRotation="0" wrapText="false" indent="0" shrinkToFit="false"/>
      <protection locked="true" hidden="false"/>
    </xf>
    <xf numFmtId="187" fontId="59" fillId="0" borderId="24" xfId="0" applyFont="true" applyBorder="true" applyAlignment="true" applyProtection="false">
      <alignment horizontal="center" vertical="center" textRotation="0" wrapText="false" indent="0" shrinkToFit="false"/>
      <protection locked="true" hidden="false"/>
    </xf>
    <xf numFmtId="164" fontId="90" fillId="0" borderId="0" xfId="0" applyFont="true" applyBorder="true" applyAlignment="true" applyProtection="false">
      <alignment horizontal="center" vertical="center" textRotation="0" wrapText="false" indent="0" shrinkToFit="false"/>
      <protection locked="true" hidden="false"/>
    </xf>
    <xf numFmtId="183" fontId="76" fillId="0" borderId="0" xfId="0" applyFont="true" applyBorder="false" applyAlignment="true" applyProtection="false">
      <alignment horizontal="center" vertical="center" textRotation="0" wrapText="false" indent="0" shrinkToFit="false"/>
      <protection locked="true" hidden="false"/>
    </xf>
    <xf numFmtId="164" fontId="91" fillId="0" borderId="0" xfId="0" applyFont="true" applyBorder="false" applyAlignment="true" applyProtection="false">
      <alignment horizontal="center" vertical="center" textRotation="0" wrapText="false" indent="0" shrinkToFit="false"/>
      <protection locked="true" hidden="false"/>
    </xf>
    <xf numFmtId="164" fontId="76" fillId="0" borderId="0" xfId="0" applyFont="true" applyBorder="false" applyAlignment="false" applyProtection="false">
      <alignment horizontal="general" vertical="center" textRotation="0" wrapText="false" indent="0" shrinkToFit="false"/>
      <protection locked="true" hidden="false"/>
    </xf>
    <xf numFmtId="164" fontId="85" fillId="0" borderId="28" xfId="0" applyFont="true" applyBorder="true" applyAlignment="true" applyProtection="false">
      <alignment horizontal="center" vertical="center" textRotation="0" wrapText="false" indent="0" shrinkToFit="false"/>
      <protection locked="true" hidden="false"/>
    </xf>
    <xf numFmtId="164" fontId="81" fillId="0" borderId="42" xfId="0" applyFont="true" applyBorder="true" applyAlignment="true" applyProtection="false">
      <alignment horizontal="center" vertical="center" textRotation="0" wrapText="true" indent="0" shrinkToFit="false"/>
      <protection locked="true" hidden="false"/>
    </xf>
    <xf numFmtId="196" fontId="81" fillId="0" borderId="82" xfId="0" applyFont="true" applyBorder="true" applyAlignment="true" applyProtection="false">
      <alignment horizontal="center" vertical="center" textRotation="0" wrapText="true" indent="0" shrinkToFit="false"/>
      <protection locked="true" hidden="false"/>
    </xf>
    <xf numFmtId="164" fontId="81" fillId="0" borderId="77" xfId="0" applyFont="true" applyBorder="true" applyAlignment="true" applyProtection="false">
      <alignment horizontal="center" vertical="center" textRotation="0" wrapText="true" indent="0" shrinkToFit="false"/>
      <protection locked="true" hidden="false"/>
    </xf>
    <xf numFmtId="164" fontId="81" fillId="0" borderId="66" xfId="0" applyFont="true" applyBorder="true" applyAlignment="true" applyProtection="false">
      <alignment horizontal="center" vertical="center" textRotation="0" wrapText="true" indent="0" shrinkToFit="false"/>
      <protection locked="true" hidden="false"/>
    </xf>
    <xf numFmtId="164" fontId="59" fillId="0" borderId="39" xfId="0" applyFont="true" applyBorder="true" applyAlignment="true" applyProtection="false">
      <alignment horizontal="center" vertical="center" textRotation="0" wrapText="true" indent="0" shrinkToFit="false"/>
      <protection locked="true" hidden="false"/>
    </xf>
    <xf numFmtId="199" fontId="76" fillId="0" borderId="79" xfId="15" applyFont="true" applyBorder="true" applyAlignment="true" applyProtection="true">
      <alignment horizontal="center" vertical="center" textRotation="0" wrapText="true" indent="0" shrinkToFit="false"/>
      <protection locked="true" hidden="false"/>
    </xf>
    <xf numFmtId="199" fontId="76" fillId="0" borderId="43" xfId="15" applyFont="true" applyBorder="true" applyAlignment="true" applyProtection="true">
      <alignment horizontal="center" vertical="center" textRotation="0" wrapText="true" indent="0" shrinkToFit="false"/>
      <protection locked="true" hidden="false"/>
    </xf>
    <xf numFmtId="199" fontId="76" fillId="0" borderId="80" xfId="15" applyFont="true" applyBorder="true" applyAlignment="true" applyProtection="true">
      <alignment horizontal="center" vertical="center" textRotation="0" wrapText="true" indent="0" shrinkToFit="false"/>
      <protection locked="true" hidden="false"/>
    </xf>
    <xf numFmtId="201" fontId="20" fillId="0" borderId="45" xfId="19" applyFont="false" applyBorder="true" applyAlignment="false" applyProtection="true">
      <alignment horizontal="general" vertical="top" textRotation="0" wrapText="false" indent="0" shrinkToFit="false"/>
      <protection locked="true" hidden="false"/>
    </xf>
    <xf numFmtId="164" fontId="59" fillId="0" borderId="41" xfId="0" applyFont="true" applyBorder="true" applyAlignment="true" applyProtection="false">
      <alignment horizontal="center" vertical="center" textRotation="0" wrapText="true" indent="0" shrinkToFit="false"/>
      <protection locked="true" hidden="false"/>
    </xf>
    <xf numFmtId="199" fontId="76" fillId="0" borderId="46" xfId="15" applyFont="true" applyBorder="true" applyAlignment="true" applyProtection="true">
      <alignment horizontal="center" vertical="center" textRotation="0" wrapText="true" indent="0" shrinkToFit="false"/>
      <protection locked="true" hidden="false"/>
    </xf>
    <xf numFmtId="199" fontId="76" fillId="0" borderId="19" xfId="15" applyFont="true" applyBorder="true" applyAlignment="true" applyProtection="true">
      <alignment horizontal="center" vertical="center" textRotation="0" wrapText="true" indent="0" shrinkToFit="false"/>
      <protection locked="true" hidden="false"/>
    </xf>
    <xf numFmtId="199" fontId="76" fillId="0" borderId="47" xfId="15" applyFont="true" applyBorder="true" applyAlignment="true" applyProtection="true">
      <alignment horizontal="center" vertical="center" textRotation="0" wrapText="true" indent="0" shrinkToFit="false"/>
      <protection locked="true" hidden="false"/>
    </xf>
    <xf numFmtId="201" fontId="20" fillId="0" borderId="81" xfId="19" applyFont="false" applyBorder="true" applyAlignment="false" applyProtection="true">
      <alignment horizontal="general" vertical="top" textRotation="0" wrapText="false" indent="0" shrinkToFit="false"/>
      <protection locked="true" hidden="false"/>
    </xf>
    <xf numFmtId="164" fontId="59" fillId="0" borderId="83" xfId="0" applyFont="true" applyBorder="true" applyAlignment="true" applyProtection="false">
      <alignment horizontal="center" vertical="center" textRotation="0" wrapText="true" indent="0" shrinkToFit="false"/>
      <protection locked="true" hidden="false"/>
    </xf>
    <xf numFmtId="199" fontId="76" fillId="0" borderId="48" xfId="15" applyFont="true" applyBorder="true" applyAlignment="true" applyProtection="true">
      <alignment horizontal="center" vertical="center" textRotation="0" wrapText="true" indent="0" shrinkToFit="false"/>
      <protection locked="true" hidden="false"/>
    </xf>
    <xf numFmtId="199" fontId="76" fillId="0" borderId="40" xfId="15" applyFont="true" applyBorder="true" applyAlignment="true" applyProtection="true">
      <alignment horizontal="center" vertical="center" textRotation="0" wrapText="true" indent="0" shrinkToFit="false"/>
      <protection locked="true" hidden="false"/>
    </xf>
    <xf numFmtId="199" fontId="76" fillId="0" borderId="52" xfId="15" applyFont="true" applyBorder="true" applyAlignment="true" applyProtection="true">
      <alignment horizontal="center" vertical="center" textRotation="0" wrapText="true" indent="0" shrinkToFit="false"/>
      <protection locked="true" hidden="false"/>
    </xf>
    <xf numFmtId="201" fontId="20" fillId="0" borderId="69" xfId="19" applyFont="false" applyBorder="true" applyAlignment="false" applyProtection="true">
      <alignment horizontal="general" vertical="top" textRotation="0" wrapText="false" indent="0" shrinkToFit="false"/>
      <protection locked="true" hidden="false"/>
    </xf>
    <xf numFmtId="164" fontId="75" fillId="0" borderId="27" xfId="0" applyFont="true" applyBorder="true" applyAlignment="true" applyProtection="false">
      <alignment horizontal="center" vertical="center" textRotation="0" wrapText="false" indent="0" shrinkToFit="false"/>
      <protection locked="true" hidden="false"/>
    </xf>
    <xf numFmtId="199" fontId="76" fillId="0" borderId="78" xfId="0" applyFont="true" applyBorder="true" applyAlignment="true" applyProtection="false">
      <alignment horizontal="center" vertical="center" textRotation="0" wrapText="false" indent="0" shrinkToFit="false"/>
      <protection locked="true" hidden="false"/>
    </xf>
    <xf numFmtId="199" fontId="76" fillId="0" borderId="84" xfId="0" applyFont="true" applyBorder="true" applyAlignment="true" applyProtection="false">
      <alignment horizontal="center" vertical="center" textRotation="0" wrapText="false" indent="0" shrinkToFit="false"/>
      <protection locked="true" hidden="false"/>
    </xf>
    <xf numFmtId="199" fontId="76" fillId="0" borderId="29" xfId="0" applyFont="true" applyBorder="true" applyAlignment="true" applyProtection="false">
      <alignment horizontal="center" vertical="center" textRotation="0" wrapText="false" indent="0" shrinkToFit="false"/>
      <protection locked="true" hidden="false"/>
    </xf>
    <xf numFmtId="201" fontId="20" fillId="0" borderId="71" xfId="19" applyFont="false" applyBorder="true" applyAlignment="false" applyProtection="true">
      <alignment horizontal="general" vertical="top" textRotation="0" wrapText="false" indent="0" shrinkToFit="false"/>
      <protection locked="true" hidden="false"/>
    </xf>
    <xf numFmtId="164" fontId="92" fillId="0" borderId="0" xfId="0" applyFont="true" applyBorder="true" applyAlignment="true" applyProtection="false">
      <alignment horizontal="general" vertical="top" textRotation="0" wrapText="true" indent="0" shrinkToFit="false"/>
      <protection locked="true" hidden="false"/>
    </xf>
    <xf numFmtId="164" fontId="24" fillId="0" borderId="0" xfId="660" applyFont="false" applyBorder="false" applyAlignment="false" applyProtection="false">
      <alignment horizontal="general" vertical="center" textRotation="0" wrapText="false" indent="0" shrinkToFit="false"/>
      <protection locked="true" hidden="false"/>
    </xf>
    <xf numFmtId="164" fontId="24" fillId="0" borderId="0" xfId="660" applyFont="false" applyBorder="false" applyAlignment="true" applyProtection="false">
      <alignment horizontal="center" vertical="center" textRotation="0" wrapText="false" indent="0" shrinkToFit="false"/>
      <protection locked="true" hidden="false"/>
    </xf>
    <xf numFmtId="164" fontId="93" fillId="0" borderId="0" xfId="660" applyFont="true" applyBorder="false" applyAlignment="false" applyProtection="false">
      <alignment horizontal="general" vertical="center" textRotation="0" wrapText="false" indent="0" shrinkToFit="false"/>
      <protection locked="true" hidden="false"/>
    </xf>
    <xf numFmtId="164" fontId="93" fillId="0" borderId="72" xfId="660" applyFont="true" applyBorder="true" applyAlignment="true" applyProtection="false">
      <alignment horizontal="general" vertical="center" textRotation="0" wrapText="false" indent="0" shrinkToFit="false"/>
      <protection locked="true" hidden="false"/>
    </xf>
    <xf numFmtId="164" fontId="93" fillId="0" borderId="1" xfId="660" applyFont="true" applyBorder="true" applyAlignment="true" applyProtection="false">
      <alignment horizontal="general" vertical="center" textRotation="0" wrapText="false" indent="0" shrinkToFit="false"/>
      <protection locked="true" hidden="false"/>
    </xf>
    <xf numFmtId="164" fontId="93" fillId="0" borderId="0" xfId="660" applyFont="true" applyBorder="true" applyAlignment="true" applyProtection="false">
      <alignment horizontal="general" vertical="center" textRotation="0" wrapText="false" indent="0" shrinkToFit="false"/>
      <protection locked="true" hidden="false"/>
    </xf>
    <xf numFmtId="164" fontId="94" fillId="0" borderId="0" xfId="660" applyFont="true" applyBorder="true" applyAlignment="true" applyProtection="false">
      <alignment horizontal="center" vertical="center" textRotation="0" wrapText="false" indent="0" shrinkToFit="false"/>
      <protection locked="true" hidden="false"/>
    </xf>
    <xf numFmtId="183" fontId="24" fillId="0" borderId="0" xfId="660" applyFont="false" applyBorder="false" applyAlignment="true" applyProtection="false">
      <alignment horizontal="center" vertical="center" textRotation="0" wrapText="false" indent="0" shrinkToFit="false"/>
      <protection locked="true" hidden="false"/>
    </xf>
    <xf numFmtId="164" fontId="93" fillId="0" borderId="0" xfId="0" applyFont="true" applyBorder="false" applyAlignment="false" applyProtection="false">
      <alignment horizontal="general" vertical="center" textRotation="0" wrapText="false" indent="0" shrinkToFit="false"/>
      <protection locked="true" hidden="false"/>
    </xf>
    <xf numFmtId="164" fontId="95" fillId="0" borderId="72" xfId="660" applyFont="true" applyBorder="true" applyAlignment="true" applyProtection="false">
      <alignment horizontal="center" vertical="center" textRotation="90" wrapText="false" indent="0" shrinkToFit="false"/>
      <protection locked="true" hidden="false"/>
    </xf>
    <xf numFmtId="164" fontId="96" fillId="41" borderId="72" xfId="660" applyFont="true" applyBorder="true" applyAlignment="true" applyProtection="false">
      <alignment horizontal="center" vertical="center" textRotation="0" wrapText="false" indent="0" shrinkToFit="false"/>
      <protection locked="true" hidden="false"/>
    </xf>
    <xf numFmtId="164" fontId="96" fillId="41" borderId="78" xfId="660" applyFont="true" applyBorder="true" applyAlignment="true" applyProtection="false">
      <alignment horizontal="center" vertical="center" textRotation="0" wrapText="false" indent="0" shrinkToFit="false"/>
      <protection locked="true" hidden="false"/>
    </xf>
    <xf numFmtId="164" fontId="96" fillId="41" borderId="84" xfId="660" applyFont="true" applyBorder="true" applyAlignment="true" applyProtection="false">
      <alignment horizontal="center" vertical="center" textRotation="0" wrapText="false" indent="0" shrinkToFit="false"/>
      <protection locked="true" hidden="false"/>
    </xf>
    <xf numFmtId="164" fontId="96" fillId="41" borderId="29" xfId="660" applyFont="true" applyBorder="true" applyAlignment="true" applyProtection="false">
      <alignment horizontal="center" vertical="center" textRotation="0" wrapText="false" indent="0" shrinkToFit="false"/>
      <protection locked="true" hidden="false"/>
    </xf>
    <xf numFmtId="164" fontId="96" fillId="41" borderId="85" xfId="660" applyFont="true" applyBorder="true" applyAlignment="true" applyProtection="false">
      <alignment horizontal="center" vertical="center" textRotation="0" wrapText="false" indent="0" shrinkToFit="false"/>
      <protection locked="true" hidden="false"/>
    </xf>
    <xf numFmtId="183" fontId="96" fillId="41" borderId="64" xfId="660" applyFont="true" applyBorder="true" applyAlignment="true" applyProtection="false">
      <alignment horizontal="center" vertical="center" textRotation="0" wrapText="false" indent="0" shrinkToFit="false"/>
      <protection locked="true" hidden="false"/>
    </xf>
    <xf numFmtId="196" fontId="96" fillId="41" borderId="21" xfId="660" applyFont="true" applyBorder="true" applyAlignment="true" applyProtection="false">
      <alignment horizontal="center" vertical="center" textRotation="0" wrapText="false" indent="0" shrinkToFit="false"/>
      <protection locked="true" hidden="false"/>
    </xf>
    <xf numFmtId="187" fontId="96" fillId="41" borderId="21" xfId="863" applyFont="true" applyBorder="true" applyAlignment="true" applyProtection="true">
      <alignment horizontal="center" vertical="center" textRotation="0" wrapText="false" indent="0" shrinkToFit="false"/>
      <protection locked="true" hidden="false"/>
    </xf>
    <xf numFmtId="187" fontId="96" fillId="41" borderId="57" xfId="863" applyFont="true" applyBorder="true" applyAlignment="true" applyProtection="true">
      <alignment horizontal="center" vertical="center" textRotation="0" wrapText="false" indent="0" shrinkToFit="false"/>
      <protection locked="true" hidden="false"/>
    </xf>
    <xf numFmtId="164" fontId="96" fillId="41" borderId="86" xfId="660" applyFont="true" applyBorder="true" applyAlignment="true" applyProtection="false">
      <alignment horizontal="center" vertical="center" textRotation="0" wrapText="false" indent="0" shrinkToFit="false"/>
      <protection locked="true" hidden="false"/>
    </xf>
    <xf numFmtId="164" fontId="96" fillId="41" borderId="87" xfId="660" applyFont="true" applyBorder="true" applyAlignment="true" applyProtection="false">
      <alignment horizontal="center" vertical="center" textRotation="0" wrapText="false" indent="0" shrinkToFit="false"/>
      <protection locked="true" hidden="false"/>
    </xf>
    <xf numFmtId="183" fontId="59" fillId="0" borderId="78" xfId="660" applyFont="true" applyBorder="true" applyAlignment="true" applyProtection="false">
      <alignment horizontal="center" vertical="center" textRotation="0" wrapText="false" indent="0" shrinkToFit="false"/>
      <protection locked="true" hidden="false"/>
    </xf>
    <xf numFmtId="196" fontId="59" fillId="0" borderId="78" xfId="660" applyFont="true" applyBorder="true" applyAlignment="true" applyProtection="false">
      <alignment horizontal="center" vertical="center" textRotation="0" wrapText="false" indent="0" shrinkToFit="false"/>
      <protection locked="true" hidden="false"/>
    </xf>
    <xf numFmtId="187" fontId="59" fillId="0" borderId="84" xfId="863" applyFont="true" applyBorder="true" applyAlignment="true" applyProtection="true">
      <alignment horizontal="center" vertical="center" textRotation="0" wrapText="false" indent="0" shrinkToFit="false"/>
      <protection locked="true" hidden="false"/>
    </xf>
    <xf numFmtId="187" fontId="59" fillId="0" borderId="29" xfId="863" applyFont="true" applyBorder="true" applyAlignment="true" applyProtection="true">
      <alignment horizontal="center" vertical="center" textRotation="0" wrapText="false" indent="0" shrinkToFit="false"/>
      <protection locked="true" hidden="false"/>
    </xf>
    <xf numFmtId="196" fontId="59" fillId="0" borderId="78" xfId="660" applyFont="true" applyBorder="true" applyAlignment="false" applyProtection="false">
      <alignment horizontal="general" vertical="center" textRotation="0" wrapText="false" indent="0" shrinkToFit="false"/>
      <protection locked="true" hidden="false"/>
    </xf>
    <xf numFmtId="187" fontId="59" fillId="0" borderId="84" xfId="863" applyFont="true" applyBorder="true" applyAlignment="true" applyProtection="true">
      <alignment horizontal="general" vertical="center" textRotation="0" wrapText="false" indent="0" shrinkToFit="false"/>
      <protection locked="true" hidden="false"/>
    </xf>
    <xf numFmtId="164" fontId="97" fillId="0" borderId="0" xfId="660" applyFont="true" applyBorder="false" applyAlignment="false" applyProtection="false">
      <alignment horizontal="general" vertical="center" textRotation="0" wrapText="false" indent="0" shrinkToFit="false"/>
      <protection locked="true" hidden="false"/>
    </xf>
    <xf numFmtId="164" fontId="97" fillId="0" borderId="0" xfId="660" applyFont="true" applyBorder="false" applyAlignment="true" applyProtection="false">
      <alignment horizontal="center" vertical="center" textRotation="0" wrapText="false" indent="0" shrinkToFit="false"/>
      <protection locked="true" hidden="false"/>
    </xf>
    <xf numFmtId="164" fontId="95" fillId="0" borderId="27" xfId="660" applyFont="true" applyBorder="true" applyAlignment="true" applyProtection="false">
      <alignment horizontal="center" vertical="center" textRotation="90" wrapText="false" indent="0" shrinkToFit="false"/>
      <protection locked="true" hidden="false"/>
    </xf>
    <xf numFmtId="164" fontId="96" fillId="41" borderId="76" xfId="660" applyFont="true" applyBorder="true" applyAlignment="true" applyProtection="false">
      <alignment horizontal="center" vertical="center" textRotation="0" wrapText="false" indent="0" shrinkToFit="false"/>
      <protection locked="true" hidden="false"/>
    </xf>
    <xf numFmtId="164" fontId="98" fillId="0" borderId="27" xfId="660" applyFont="true" applyBorder="true" applyAlignment="true" applyProtection="false">
      <alignment horizontal="center" vertical="center" textRotation="90" wrapText="false" indent="0" shrinkToFit="false"/>
      <protection locked="true" hidden="false"/>
    </xf>
    <xf numFmtId="187" fontId="59" fillId="0" borderId="29" xfId="863" applyFont="true" applyBorder="true" applyAlignment="true" applyProtection="true">
      <alignment horizontal="general" vertical="center" textRotation="0" wrapText="false" indent="0" shrinkToFit="false"/>
      <protection locked="true" hidden="false"/>
    </xf>
    <xf numFmtId="183" fontId="59" fillId="0" borderId="78" xfId="660" applyFont="true" applyBorder="true" applyAlignment="false" applyProtection="false">
      <alignment horizontal="general" vertical="center" textRotation="0" wrapText="false" indent="0" shrinkToFit="false"/>
      <protection locked="true" hidden="false"/>
    </xf>
    <xf numFmtId="164" fontId="99" fillId="0" borderId="0" xfId="660" applyFont="true" applyBorder="true" applyAlignment="true" applyProtection="false">
      <alignment horizontal="center" vertical="center" textRotation="0" wrapText="false" indent="0" shrinkToFit="false"/>
      <protection locked="true" hidden="false"/>
    </xf>
    <xf numFmtId="196" fontId="100" fillId="0" borderId="0" xfId="660" applyFont="true" applyBorder="true" applyAlignment="true" applyProtection="false">
      <alignment horizontal="center" vertical="center" textRotation="0" wrapText="false" indent="0" shrinkToFit="false"/>
      <protection locked="true" hidden="false"/>
    </xf>
    <xf numFmtId="186" fontId="100" fillId="0" borderId="0" xfId="863" applyFont="true" applyBorder="true" applyAlignment="true" applyProtection="true">
      <alignment horizontal="center" vertical="center" textRotation="0" wrapText="false" indent="0" shrinkToFit="false"/>
      <protection locked="true" hidden="false"/>
    </xf>
    <xf numFmtId="164" fontId="97" fillId="0" borderId="0" xfId="660" applyFont="true" applyBorder="true" applyAlignment="true" applyProtection="false">
      <alignment horizontal="general" vertical="center" textRotation="0" wrapText="false" indent="0" shrinkToFit="false"/>
      <protection locked="true" hidden="false"/>
    </xf>
    <xf numFmtId="164" fontId="59" fillId="0" borderId="27" xfId="660" applyFont="true" applyBorder="true" applyAlignment="true" applyProtection="false">
      <alignment horizontal="center" vertical="center" textRotation="0" wrapText="true" indent="0" shrinkToFit="false"/>
      <protection locked="true" hidden="false"/>
    </xf>
    <xf numFmtId="164" fontId="75" fillId="0" borderId="79" xfId="660" applyFont="true" applyBorder="true" applyAlignment="true" applyProtection="false">
      <alignment horizontal="center" vertical="center" textRotation="0" wrapText="false" indent="0" shrinkToFit="false"/>
      <protection locked="true" hidden="false"/>
    </xf>
    <xf numFmtId="164" fontId="101" fillId="0" borderId="43" xfId="660" applyFont="true" applyBorder="true" applyAlignment="true" applyProtection="false">
      <alignment horizontal="center" vertical="center" textRotation="0" wrapText="false" indent="0" shrinkToFit="false"/>
      <protection locked="true" hidden="false"/>
    </xf>
    <xf numFmtId="186" fontId="101" fillId="0" borderId="43" xfId="863" applyFont="true" applyBorder="true" applyAlignment="true" applyProtection="true">
      <alignment horizontal="center" vertical="center" textRotation="0" wrapText="false" indent="0" shrinkToFit="false"/>
      <protection locked="true" hidden="false"/>
    </xf>
    <xf numFmtId="164" fontId="75" fillId="0" borderId="80" xfId="660" applyFont="true" applyBorder="true" applyAlignment="true" applyProtection="false">
      <alignment horizontal="center" vertical="center" textRotation="0" wrapText="false" indent="0" shrinkToFit="false"/>
      <protection locked="true" hidden="false"/>
    </xf>
    <xf numFmtId="164" fontId="96" fillId="41" borderId="65" xfId="660" applyFont="true" applyBorder="true" applyAlignment="true" applyProtection="false">
      <alignment horizontal="center" vertical="center" textRotation="0" wrapText="false" indent="0" shrinkToFit="false"/>
      <protection locked="true" hidden="false"/>
    </xf>
    <xf numFmtId="183" fontId="96" fillId="41" borderId="88" xfId="660" applyFont="true" applyBorder="true" applyAlignment="true" applyProtection="false">
      <alignment horizontal="center" vertical="center" textRotation="0" wrapText="false" indent="0" shrinkToFit="false"/>
      <protection locked="true" hidden="false"/>
    </xf>
    <xf numFmtId="187" fontId="96" fillId="41" borderId="32" xfId="863" applyFont="true" applyBorder="true" applyAlignment="true" applyProtection="true">
      <alignment horizontal="center" vertical="center" textRotation="0" wrapText="false" indent="0" shrinkToFit="false"/>
      <protection locked="true" hidden="false"/>
    </xf>
    <xf numFmtId="187" fontId="96" fillId="41" borderId="89" xfId="863" applyFont="true" applyBorder="true" applyAlignment="true" applyProtection="true">
      <alignment horizontal="center" vertical="center" textRotation="0" wrapText="false" indent="0" shrinkToFit="false"/>
      <protection locked="true" hidden="false"/>
    </xf>
    <xf numFmtId="164" fontId="97" fillId="0" borderId="0" xfId="660" applyFont="true" applyBorder="false" applyAlignment="true" applyProtection="false">
      <alignment horizontal="left" vertical="center" textRotation="0" wrapText="false" indent="0" shrinkToFit="false"/>
      <protection locked="true" hidden="false"/>
    </xf>
    <xf numFmtId="164" fontId="97" fillId="0" borderId="0" xfId="660" applyFont="true" applyBorder="true" applyAlignment="true" applyProtection="false">
      <alignment horizontal="center" vertical="center" textRotation="0" wrapText="false" indent="0" shrinkToFit="false"/>
      <protection locked="true" hidden="false"/>
    </xf>
    <xf numFmtId="164" fontId="24" fillId="0" borderId="0" xfId="660" applyFont="false" applyBorder="true" applyAlignment="false" applyProtection="false">
      <alignment horizontal="general" vertical="center" textRotation="0" wrapText="false" indent="0" shrinkToFit="false"/>
      <protection locked="true" hidden="false"/>
    </xf>
    <xf numFmtId="164" fontId="96" fillId="42" borderId="78" xfId="660" applyFont="true" applyBorder="true" applyAlignment="true" applyProtection="false">
      <alignment horizontal="left" vertical="center" textRotation="0" wrapText="false" indent="0" shrinkToFit="false"/>
      <protection locked="true" hidden="false"/>
    </xf>
    <xf numFmtId="196" fontId="96" fillId="42" borderId="84" xfId="660" applyFont="true" applyBorder="true" applyAlignment="true" applyProtection="false">
      <alignment horizontal="center" vertical="bottom" textRotation="0" wrapText="false" indent="0" shrinkToFit="false"/>
      <protection locked="true" hidden="false"/>
    </xf>
    <xf numFmtId="164" fontId="96" fillId="42" borderId="84" xfId="660" applyFont="true" applyBorder="true" applyAlignment="true" applyProtection="false">
      <alignment horizontal="center" vertical="center" textRotation="0" wrapText="false" indent="0" shrinkToFit="false"/>
      <protection locked="true" hidden="false"/>
    </xf>
    <xf numFmtId="164" fontId="96" fillId="42" borderId="29" xfId="660" applyFont="true" applyBorder="true" applyAlignment="true" applyProtection="false">
      <alignment horizontal="left" vertical="center" textRotation="0" wrapText="false" indent="0" shrinkToFit="false"/>
      <protection locked="true" hidden="false"/>
    </xf>
    <xf numFmtId="183" fontId="24" fillId="0" borderId="0" xfId="660" applyFont="false" applyBorder="false" applyAlignment="false" applyProtection="false">
      <alignment horizontal="general" vertical="center" textRotation="0" wrapText="false" indent="0" shrinkToFit="false"/>
      <protection locked="true" hidden="false"/>
    </xf>
    <xf numFmtId="164" fontId="24" fillId="37" borderId="64" xfId="660" applyFont="true" applyBorder="true" applyAlignment="true" applyProtection="false">
      <alignment horizontal="left" vertical="center" textRotation="0" wrapText="false" indent="0" shrinkToFit="false"/>
      <protection locked="true" hidden="false"/>
    </xf>
    <xf numFmtId="183" fontId="96" fillId="43" borderId="21" xfId="660" applyFont="true" applyBorder="true" applyAlignment="true" applyProtection="false">
      <alignment horizontal="center" vertical="bottom" textRotation="0" wrapText="false" indent="0" shrinkToFit="false"/>
      <protection locked="true" hidden="false"/>
    </xf>
    <xf numFmtId="196" fontId="102" fillId="0" borderId="21" xfId="660" applyFont="true" applyBorder="true" applyAlignment="true" applyProtection="false">
      <alignment horizontal="center" vertical="bottom" textRotation="0" wrapText="false" indent="0" shrinkToFit="false"/>
      <protection locked="true" hidden="false"/>
    </xf>
    <xf numFmtId="186" fontId="59" fillId="0" borderId="21" xfId="863" applyFont="true" applyBorder="true" applyAlignment="true" applyProtection="true">
      <alignment horizontal="center" vertical="center" textRotation="0" wrapText="false" indent="0" shrinkToFit="false"/>
      <protection locked="true" hidden="false"/>
    </xf>
    <xf numFmtId="196" fontId="102" fillId="0" borderId="21" xfId="660" applyFont="true" applyBorder="true" applyAlignment="true" applyProtection="false">
      <alignment horizontal="center" vertical="center" textRotation="0" wrapText="false" indent="0" shrinkToFit="false"/>
      <protection locked="true" hidden="false"/>
    </xf>
    <xf numFmtId="187" fontId="102" fillId="0" borderId="21" xfId="863" applyFont="true" applyBorder="true" applyAlignment="true" applyProtection="true">
      <alignment horizontal="center" vertical="center" textRotation="0" wrapText="false" indent="0" shrinkToFit="false"/>
      <protection locked="true" hidden="false"/>
    </xf>
    <xf numFmtId="201" fontId="102" fillId="0" borderId="21" xfId="863" applyFont="true" applyBorder="true" applyAlignment="true" applyProtection="true">
      <alignment horizontal="center" vertical="center" textRotation="0" wrapText="false" indent="0" shrinkToFit="false"/>
      <protection locked="true" hidden="false"/>
    </xf>
    <xf numFmtId="164" fontId="59" fillId="0" borderId="57" xfId="660" applyFont="true" applyBorder="true" applyAlignment="false" applyProtection="false">
      <alignment horizontal="general" vertical="center" textRotation="0" wrapText="false" indent="0" shrinkToFit="false"/>
      <protection locked="true" hidden="false"/>
    </xf>
    <xf numFmtId="164" fontId="24" fillId="37" borderId="46" xfId="660" applyFont="true" applyBorder="true" applyAlignment="true" applyProtection="false">
      <alignment horizontal="left" vertical="center" textRotation="0" wrapText="false" indent="0" shrinkToFit="false"/>
      <protection locked="true" hidden="false"/>
    </xf>
    <xf numFmtId="183" fontId="96" fillId="43" borderId="19" xfId="660" applyFont="true" applyBorder="true" applyAlignment="true" applyProtection="false">
      <alignment horizontal="center" vertical="bottom" textRotation="0" wrapText="false" indent="0" shrinkToFit="false"/>
      <protection locked="true" hidden="false"/>
    </xf>
    <xf numFmtId="196" fontId="102" fillId="0" borderId="19" xfId="660" applyFont="true" applyBorder="true" applyAlignment="true" applyProtection="false">
      <alignment horizontal="center" vertical="bottom" textRotation="0" wrapText="false" indent="0" shrinkToFit="false"/>
      <protection locked="true" hidden="false"/>
    </xf>
    <xf numFmtId="196" fontId="102" fillId="0" borderId="19" xfId="660" applyFont="true" applyBorder="true" applyAlignment="true" applyProtection="false">
      <alignment horizontal="center" vertical="center" textRotation="0" wrapText="false" indent="0" shrinkToFit="false"/>
      <protection locked="true" hidden="false"/>
    </xf>
    <xf numFmtId="187" fontId="102" fillId="0" borderId="19" xfId="863" applyFont="true" applyBorder="true" applyAlignment="true" applyProtection="true">
      <alignment horizontal="center" vertical="center" textRotation="0" wrapText="false" indent="0" shrinkToFit="false"/>
      <protection locked="true" hidden="false"/>
    </xf>
    <xf numFmtId="201" fontId="102" fillId="0" borderId="19" xfId="863" applyFont="true" applyBorder="true" applyAlignment="true" applyProtection="true">
      <alignment horizontal="center" vertical="center" textRotation="0" wrapText="false" indent="0" shrinkToFit="false"/>
      <protection locked="true" hidden="false"/>
    </xf>
    <xf numFmtId="164" fontId="59" fillId="0" borderId="47" xfId="660" applyFont="true" applyBorder="true" applyAlignment="false" applyProtection="false">
      <alignment horizontal="general" vertical="center" textRotation="0" wrapText="false" indent="0" shrinkToFit="false"/>
      <protection locked="true" hidden="false"/>
    </xf>
    <xf numFmtId="183" fontId="102" fillId="0" borderId="19" xfId="660" applyFont="true" applyBorder="true" applyAlignment="true" applyProtection="false">
      <alignment horizontal="center" vertical="bottom" textRotation="0" wrapText="false" indent="0" shrinkToFit="false"/>
      <protection locked="true" hidden="false"/>
    </xf>
    <xf numFmtId="183" fontId="102" fillId="0" borderId="19" xfId="660" applyFont="true" applyBorder="true" applyAlignment="true" applyProtection="false">
      <alignment horizontal="center" vertical="center" textRotation="0" wrapText="false" indent="0" shrinkToFit="false"/>
      <protection locked="true" hidden="false"/>
    </xf>
    <xf numFmtId="164" fontId="96" fillId="0" borderId="0" xfId="660" applyFont="true" applyBorder="true" applyAlignment="true" applyProtection="false">
      <alignment horizontal="center" vertical="center" textRotation="0" wrapText="false" indent="0" shrinkToFit="false"/>
      <protection locked="true" hidden="false"/>
    </xf>
    <xf numFmtId="186" fontId="102" fillId="0" borderId="0" xfId="863" applyFont="true" applyBorder="true" applyAlignment="true" applyProtection="true">
      <alignment horizontal="center" vertical="center" textRotation="0" wrapText="false" indent="0" shrinkToFit="false"/>
      <protection locked="true" hidden="false"/>
    </xf>
    <xf numFmtId="164" fontId="102" fillId="0" borderId="0" xfId="660" applyFont="true" applyBorder="true" applyAlignment="true" applyProtection="false">
      <alignment horizontal="left" vertical="center" textRotation="0" wrapText="true" indent="0" shrinkToFit="false"/>
      <protection locked="true" hidden="false"/>
    </xf>
    <xf numFmtId="164" fontId="59" fillId="0" borderId="47" xfId="660" applyFont="true" applyBorder="true" applyAlignment="true" applyProtection="false">
      <alignment horizontal="general" vertical="center" textRotation="0" wrapText="true" indent="0" shrinkToFit="false"/>
      <protection locked="true" hidden="false"/>
    </xf>
    <xf numFmtId="164" fontId="24" fillId="37" borderId="48" xfId="660" applyFont="true" applyBorder="true" applyAlignment="true" applyProtection="false">
      <alignment horizontal="left" vertical="center" textRotation="0" wrapText="false" indent="0" shrinkToFit="false"/>
      <protection locked="true" hidden="false"/>
    </xf>
    <xf numFmtId="183" fontId="96" fillId="43" borderId="40" xfId="660" applyFont="true" applyBorder="true" applyAlignment="true" applyProtection="false">
      <alignment horizontal="center" vertical="bottom" textRotation="0" wrapText="false" indent="0" shrinkToFit="false"/>
      <protection locked="true" hidden="false"/>
    </xf>
    <xf numFmtId="183" fontId="102" fillId="0" borderId="40" xfId="660" applyFont="true" applyBorder="true" applyAlignment="true" applyProtection="false">
      <alignment horizontal="center" vertical="bottom" textRotation="0" wrapText="false" indent="0" shrinkToFit="false"/>
      <protection locked="true" hidden="false"/>
    </xf>
    <xf numFmtId="183" fontId="102" fillId="0" borderId="40" xfId="660" applyFont="true" applyBorder="true" applyAlignment="true" applyProtection="false">
      <alignment horizontal="center" vertical="center" textRotation="0" wrapText="false" indent="0" shrinkToFit="false"/>
      <protection locked="true" hidden="false"/>
    </xf>
    <xf numFmtId="187" fontId="102" fillId="0" borderId="40" xfId="863" applyFont="true" applyBorder="true" applyAlignment="true" applyProtection="true">
      <alignment horizontal="center" vertical="center" textRotation="0" wrapText="false" indent="0" shrinkToFit="false"/>
      <protection locked="true" hidden="false"/>
    </xf>
    <xf numFmtId="196" fontId="102" fillId="0" borderId="40" xfId="660" applyFont="true" applyBorder="true" applyAlignment="true" applyProtection="false">
      <alignment horizontal="center" vertical="center" textRotation="0" wrapText="false" indent="0" shrinkToFit="false"/>
      <protection locked="true" hidden="false"/>
    </xf>
    <xf numFmtId="201" fontId="102" fillId="0" borderId="40" xfId="863" applyFont="true" applyBorder="true" applyAlignment="true" applyProtection="true">
      <alignment horizontal="center" vertical="center" textRotation="0" wrapText="false" indent="0" shrinkToFit="false"/>
      <protection locked="true" hidden="false"/>
    </xf>
    <xf numFmtId="164" fontId="59" fillId="0" borderId="52" xfId="660" applyFont="true" applyBorder="true" applyAlignment="false" applyProtection="false">
      <alignment horizontal="general" vertical="center" textRotation="0" wrapText="false" indent="0" shrinkToFit="false"/>
      <protection locked="true" hidden="false"/>
    </xf>
    <xf numFmtId="164" fontId="59" fillId="0" borderId="56" xfId="660" applyFont="true" applyBorder="true" applyAlignment="false" applyProtection="false">
      <alignment horizontal="general" vertical="center" textRotation="0" wrapText="false" indent="0" shrinkToFit="false"/>
      <protection locked="true" hidden="false"/>
    </xf>
    <xf numFmtId="202" fontId="24" fillId="0" borderId="0" xfId="660" applyFont="false" applyBorder="false" applyAlignment="true" applyProtection="false">
      <alignment horizontal="center" vertical="center" textRotation="0" wrapText="false" indent="0" shrinkToFit="false"/>
      <protection locked="true" hidden="false"/>
    </xf>
    <xf numFmtId="164" fontId="102" fillId="0" borderId="0" xfId="660" applyFont="true" applyBorder="true" applyAlignment="true" applyProtection="false">
      <alignment horizontal="center" vertical="center" textRotation="0" wrapText="false" indent="0" shrinkToFit="false"/>
      <protection locked="true" hidden="false"/>
    </xf>
    <xf numFmtId="164" fontId="102" fillId="0" borderId="0" xfId="660" applyFont="true" applyBorder="true" applyAlignment="true" applyProtection="false">
      <alignment horizontal="left" vertical="center" textRotation="0" wrapText="false" indent="0" shrinkToFit="false"/>
      <protection locked="true" hidden="false"/>
    </xf>
    <xf numFmtId="164" fontId="59" fillId="0" borderId="78" xfId="660" applyFont="true" applyBorder="true" applyAlignment="true" applyProtection="false">
      <alignment horizontal="left" vertical="center" textRotation="0" wrapText="false" indent="0" shrinkToFit="false"/>
      <protection locked="true" hidden="false"/>
    </xf>
    <xf numFmtId="183" fontId="103" fillId="0" borderId="84" xfId="660" applyFont="true" applyBorder="true" applyAlignment="true" applyProtection="false">
      <alignment horizontal="center" vertical="bottom" textRotation="0" wrapText="false" indent="0" shrinkToFit="false"/>
      <protection locked="true" hidden="false"/>
    </xf>
    <xf numFmtId="196" fontId="103" fillId="0" borderId="84" xfId="660" applyFont="true" applyBorder="true" applyAlignment="true" applyProtection="false">
      <alignment horizontal="center" vertical="bottom" textRotation="0" wrapText="false" indent="0" shrinkToFit="false"/>
      <protection locked="true" hidden="false"/>
    </xf>
    <xf numFmtId="186" fontId="103" fillId="0" borderId="84" xfId="863" applyFont="true" applyBorder="true" applyAlignment="true" applyProtection="true">
      <alignment horizontal="center" vertical="center" textRotation="0" wrapText="false" indent="0" shrinkToFit="false"/>
      <protection locked="true" hidden="false"/>
    </xf>
    <xf numFmtId="196" fontId="103" fillId="0" borderId="84" xfId="660" applyFont="true" applyBorder="true" applyAlignment="true" applyProtection="false">
      <alignment horizontal="center" vertical="center" textRotation="0" wrapText="false" indent="0" shrinkToFit="false"/>
      <protection locked="true" hidden="false"/>
    </xf>
    <xf numFmtId="201" fontId="103" fillId="0" borderId="84" xfId="863" applyFont="true" applyBorder="true" applyAlignment="true" applyProtection="true">
      <alignment horizontal="center" vertical="center" textRotation="0" wrapText="false" indent="0" shrinkToFit="false"/>
      <protection locked="true" hidden="false"/>
    </xf>
    <xf numFmtId="164" fontId="24" fillId="0" borderId="29" xfId="660" applyFont="false" applyBorder="true" applyAlignment="false" applyProtection="false">
      <alignment horizontal="general" vertical="center" textRotation="0" wrapText="false" indent="0" shrinkToFit="false"/>
      <protection locked="true" hidden="false"/>
    </xf>
    <xf numFmtId="186" fontId="20" fillId="0" borderId="0" xfId="19" applyFont="true" applyBorder="false" applyAlignment="false" applyProtection="false">
      <alignment horizontal="general" vertical="top" textRotation="0" wrapText="false" indent="0" shrinkToFit="false"/>
      <protection locked="false" hidden="false"/>
    </xf>
    <xf numFmtId="164" fontId="104" fillId="0" borderId="0" xfId="660" applyFont="true" applyBorder="true" applyAlignment="true" applyProtection="false">
      <alignment horizontal="center" vertical="center" textRotation="0" wrapText="false" indent="0" shrinkToFit="false"/>
      <protection locked="true" hidden="false"/>
    </xf>
    <xf numFmtId="164" fontId="104" fillId="0" borderId="0" xfId="660" applyFont="true" applyBorder="true" applyAlignment="true" applyProtection="false">
      <alignment horizontal="general" vertical="center" textRotation="0" wrapText="false" indent="0" shrinkToFit="false"/>
      <protection locked="true" hidden="false"/>
    </xf>
    <xf numFmtId="164" fontId="75" fillId="0" borderId="1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left" vertical="bottom" textRotation="0" wrapText="false" indent="0" shrinkToFit="false"/>
      <protection locked="true" hidden="false"/>
    </xf>
    <xf numFmtId="164" fontId="20" fillId="0" borderId="0" xfId="390" applyFont="false" applyBorder="fals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75" fillId="0" borderId="19" xfId="390" applyFont="true" applyBorder="true" applyAlignment="true" applyProtection="true">
      <alignment horizontal="left" vertical="center" textRotation="0" wrapText="false" indent="0" shrinkToFit="false"/>
      <protection locked="true" hidden="false"/>
    </xf>
    <xf numFmtId="164" fontId="75" fillId="0" borderId="19" xfId="390" applyFont="true" applyBorder="true" applyAlignment="true" applyProtection="true">
      <alignment horizontal="general" vertical="bottom" textRotation="0" wrapText="false" indent="0" shrinkToFit="false"/>
      <protection locked="true" hidden="false"/>
    </xf>
    <xf numFmtId="164" fontId="75" fillId="0" borderId="19" xfId="390" applyFont="true" applyBorder="true" applyAlignment="true" applyProtection="true">
      <alignment horizontal="left" vertical="bottom" textRotation="0" wrapText="false" indent="0" shrinkToFit="false"/>
      <protection locked="true" hidden="false"/>
    </xf>
    <xf numFmtId="164" fontId="75" fillId="0" borderId="0" xfId="390" applyFont="true" applyBorder="false" applyAlignment="true" applyProtection="true">
      <alignment horizontal="general" vertical="bottom" textRotation="0" wrapText="false" indent="0" shrinkToFit="false"/>
      <protection locked="true" hidden="false"/>
    </xf>
    <xf numFmtId="164" fontId="75"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left" vertical="center" textRotation="0" wrapText="false" indent="0" shrinkToFit="false"/>
      <protection locked="true" hidden="false"/>
    </xf>
    <xf numFmtId="164" fontId="20"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general" vertical="bottom" textRotation="0" wrapText="false" indent="0" shrinkToFit="false"/>
      <protection locked="true" hidden="false"/>
    </xf>
    <xf numFmtId="164" fontId="20" fillId="0" borderId="21" xfId="390" applyFont="true" applyBorder="true" applyAlignment="true" applyProtection="true">
      <alignment horizontal="left" vertical="bottom" textRotation="0" wrapText="false" indent="0" shrinkToFit="false"/>
      <protection locked="true" hidden="false"/>
    </xf>
    <xf numFmtId="164" fontId="20" fillId="0" borderId="19" xfId="390" applyFont="true" applyBorder="true" applyAlignment="true" applyProtection="true">
      <alignment horizontal="left" vertical="center" textRotation="0" wrapText="false" indent="0" shrinkToFit="false"/>
      <protection locked="true" hidden="false"/>
    </xf>
    <xf numFmtId="164" fontId="20" fillId="0" borderId="19" xfId="390" applyFont="true" applyBorder="true" applyAlignment="true" applyProtection="true">
      <alignment horizontal="center" vertical="center" textRotation="0" wrapText="false" indent="0" shrinkToFit="false"/>
      <protection locked="true" hidden="false"/>
    </xf>
    <xf numFmtId="164" fontId="20" fillId="0" borderId="19" xfId="390" applyFont="true" applyBorder="true" applyAlignment="true" applyProtection="true">
      <alignment horizontal="general" vertical="bottom" textRotation="0" wrapText="false" indent="0" shrinkToFit="false"/>
      <protection locked="true" hidden="false"/>
    </xf>
    <xf numFmtId="164" fontId="20" fillId="0" borderId="19" xfId="390" applyFont="true" applyBorder="true" applyAlignment="true" applyProtection="true">
      <alignment horizontal="left" vertical="bottom" textRotation="0" wrapText="false" indent="0" shrinkToFit="false"/>
      <protection locked="true" hidden="false"/>
    </xf>
    <xf numFmtId="164" fontId="75"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left" vertical="center" textRotation="0" wrapText="false" indent="0" shrinkToFit="false"/>
      <protection locked="true" hidden="false"/>
    </xf>
    <xf numFmtId="164" fontId="20"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general" vertical="bottom" textRotation="0" wrapText="false" indent="0" shrinkToFit="false"/>
      <protection locked="true" hidden="false"/>
    </xf>
    <xf numFmtId="164" fontId="20" fillId="0" borderId="40" xfId="390" applyFont="true" applyBorder="true" applyAlignment="true" applyProtection="true">
      <alignment horizontal="left" vertical="bottom" textRotation="0" wrapText="false" indent="0" shrinkToFit="false"/>
      <protection locked="true" hidden="false"/>
    </xf>
    <xf numFmtId="164" fontId="20" fillId="0" borderId="4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true" applyAlignment="true" applyProtection="true">
      <alignment horizontal="general" vertical="bottom" textRotation="0" wrapText="false" indent="0" shrinkToFit="false"/>
      <protection locked="true" hidden="false"/>
    </xf>
    <xf numFmtId="164" fontId="20" fillId="0" borderId="34" xfId="390" applyFont="tru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center" vertical="center" textRotation="0" wrapText="false" indent="0" shrinkToFit="false"/>
      <protection locked="true" hidden="false"/>
    </xf>
    <xf numFmtId="164" fontId="20" fillId="0" borderId="21" xfId="390" applyFont="fals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general" vertical="bottom" textRotation="0" wrapText="false" indent="0" shrinkToFit="false"/>
      <protection locked="true" hidden="false"/>
    </xf>
    <xf numFmtId="164" fontId="0" fillId="0" borderId="79" xfId="923" applyFont="true" applyBorder="true" applyAlignment="false" applyProtection="false">
      <alignment horizontal="general" vertical="center" textRotation="0" wrapText="false" indent="0" shrinkToFit="false"/>
      <protection locked="true" hidden="false"/>
    </xf>
    <xf numFmtId="164" fontId="0" fillId="0" borderId="80" xfId="922" applyFont="true" applyBorder="true" applyAlignment="false" applyProtection="false">
      <alignment horizontal="general" vertical="center" textRotation="0" wrapText="false" indent="0" shrinkToFit="false"/>
      <protection locked="true" hidden="false"/>
    </xf>
    <xf numFmtId="164" fontId="0" fillId="0" borderId="52" xfId="926" applyFont="false" applyBorder="true" applyAlignment="false" applyProtection="false">
      <alignment horizontal="general" vertical="center" textRotation="0" wrapText="false" indent="0" shrinkToFit="false"/>
      <protection locked="true" hidden="false"/>
    </xf>
    <xf numFmtId="164" fontId="0" fillId="0" borderId="56" xfId="926" applyFont="false" applyBorder="true" applyAlignment="false" applyProtection="false">
      <alignment horizontal="general" vertical="center" textRotation="0" wrapText="false" indent="0" shrinkToFit="false"/>
      <protection locked="true" hidden="false"/>
    </xf>
    <xf numFmtId="164" fontId="0" fillId="0" borderId="57" xfId="926" applyFont="false" applyBorder="true" applyAlignment="false" applyProtection="false">
      <alignment horizontal="general"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true" indent="0" shrinkToFit="false"/>
      <protection locked="true" hidden="false"/>
    </xf>
    <xf numFmtId="164" fontId="0" fillId="28" borderId="19" xfId="0" applyFont="false" applyBorder="true" applyAlignment="true" applyProtection="false">
      <alignment horizontal="center" vertical="center" textRotation="0" wrapText="false" indent="0" shrinkToFit="false"/>
      <protection locked="true" hidden="false"/>
    </xf>
    <xf numFmtId="164" fontId="24" fillId="28" borderId="19" xfId="0" applyFont="true" applyBorder="true" applyAlignment="true" applyProtection="false">
      <alignment horizontal="center"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false" indent="0" shrinkToFit="false"/>
      <protection locked="true" hidden="false"/>
    </xf>
    <xf numFmtId="164" fontId="24" fillId="25"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true" indent="0" shrinkToFit="false"/>
      <protection locked="true" hidden="false"/>
    </xf>
    <xf numFmtId="164" fontId="58" fillId="44" borderId="19" xfId="0" applyFont="true" applyBorder="true" applyAlignment="true" applyProtection="false">
      <alignment horizontal="general" vertical="center" textRotation="0" wrapText="false" indent="0" shrinkToFit="false"/>
      <protection locked="true" hidden="false"/>
    </xf>
    <xf numFmtId="196" fontId="58" fillId="44"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left" vertical="center" textRotation="0" wrapText="false" indent="0" shrinkToFit="false"/>
      <protection locked="true" hidden="false"/>
    </xf>
    <xf numFmtId="164" fontId="24" fillId="0" borderId="19" xfId="0" applyFont="true" applyBorder="true" applyAlignment="true" applyProtection="false">
      <alignment horizontal="center" vertical="center" textRotation="0" wrapText="true" indent="0" shrinkToFit="false"/>
      <protection locked="true" hidden="false"/>
    </xf>
    <xf numFmtId="183" fontId="0" fillId="0" borderId="19" xfId="0" applyFont="false" applyBorder="true" applyAlignment="true" applyProtection="false">
      <alignment horizontal="center" vertical="center" textRotation="0" wrapText="false" indent="0" shrinkToFit="false"/>
      <protection locked="true" hidden="false"/>
    </xf>
    <xf numFmtId="202" fontId="0" fillId="0" borderId="19" xfId="0" applyFont="false" applyBorder="true" applyAlignment="true" applyProtection="false">
      <alignment horizontal="center" vertical="center" textRotation="0" wrapText="true" indent="0" shrinkToFit="false"/>
      <protection locked="true" hidden="false"/>
    </xf>
    <xf numFmtId="202" fontId="0" fillId="37" borderId="19" xfId="0" applyFont="fals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false" applyProtection="false">
      <alignment horizontal="general" vertical="center" textRotation="0" wrapText="false" indent="0" shrinkToFit="false"/>
      <protection locked="true" hidden="false"/>
    </xf>
    <xf numFmtId="164" fontId="24" fillId="0" borderId="0" xfId="486" applyFont="false" applyBorder="false" applyAlignment="false" applyProtection="false">
      <alignment horizontal="general" vertical="center" textRotation="0" wrapText="false" indent="0" shrinkToFit="false"/>
      <protection locked="true" hidden="false"/>
    </xf>
    <xf numFmtId="164" fontId="98" fillId="0" borderId="0" xfId="486" applyFont="true" applyBorder="false" applyAlignment="true" applyProtection="false">
      <alignment horizontal="general" vertical="center" textRotation="0" wrapText="false" indent="0" shrinkToFit="false"/>
      <protection locked="true" hidden="false"/>
    </xf>
    <xf numFmtId="204"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false" applyAlignment="false" applyProtection="false">
      <alignment horizontal="general" vertical="center" textRotation="0" wrapText="false" indent="0" shrinkToFit="false"/>
      <protection locked="true" hidden="false"/>
    </xf>
    <xf numFmtId="187" fontId="0" fillId="0" borderId="0" xfId="829" applyFont="true" applyBorder="true" applyAlignment="true" applyProtection="true">
      <alignment horizontal="general" vertical="center" textRotation="0" wrapText="false" indent="0" shrinkToFit="false"/>
      <protection locked="true" hidden="false"/>
    </xf>
    <xf numFmtId="196" fontId="0" fillId="0" borderId="0" xfId="829" applyFont="true" applyBorder="true" applyAlignment="true" applyProtection="true">
      <alignment horizontal="general" vertical="center" textRotation="0" wrapText="false" indent="0" shrinkToFit="false"/>
      <protection locked="true" hidden="false"/>
    </xf>
    <xf numFmtId="201" fontId="0" fillId="0" borderId="0" xfId="829" applyFont="true" applyBorder="true" applyAlignment="true" applyProtection="true">
      <alignment horizontal="general" vertical="center" textRotation="0" wrapText="false" indent="0" shrinkToFit="false"/>
      <protection locked="true" hidden="false"/>
    </xf>
    <xf numFmtId="187"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true" applyAlignment="true" applyProtection="false">
      <alignment horizontal="center" vertical="center" textRotation="0" wrapText="false" indent="0" shrinkToFit="false"/>
      <protection locked="true" hidden="false"/>
    </xf>
    <xf numFmtId="204" fontId="24" fillId="0" borderId="0" xfId="486" applyFont="tru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true" applyProtection="false">
      <alignment horizontal="right" vertical="top" textRotation="0" wrapText="false" indent="0" shrinkToFit="false"/>
      <protection locked="false" hidden="false"/>
    </xf>
    <xf numFmtId="164" fontId="24" fillId="0" borderId="0" xfId="486" applyFont="true" applyBorder="false" applyAlignment="true" applyProtection="false">
      <alignment horizontal="center" vertical="center" textRotation="0" wrapText="false" indent="0" shrinkToFit="false"/>
      <protection locked="true" hidden="false"/>
    </xf>
    <xf numFmtId="164" fontId="95" fillId="0" borderId="0" xfId="0" applyFont="true" applyBorder="false" applyAlignment="false" applyProtection="false">
      <alignment horizontal="general" vertical="center" textRotation="0" wrapText="false" indent="0" shrinkToFit="false"/>
      <protection locked="true" hidden="false"/>
    </xf>
    <xf numFmtId="204" fontId="95" fillId="0" borderId="0" xfId="0" applyFont="true" applyBorder="false" applyAlignment="false" applyProtection="false">
      <alignment horizontal="general" vertical="center" textRotation="0" wrapText="false" indent="0" shrinkToFit="false"/>
      <protection locked="true" hidden="false"/>
    </xf>
    <xf numFmtId="164" fontId="109" fillId="0" borderId="0" xfId="0" applyFont="true" applyBorder="false" applyAlignment="false" applyProtection="false">
      <alignment horizontal="general" vertical="center" textRotation="0" wrapText="false" indent="0" shrinkToFit="false"/>
      <protection locked="true" hidden="false"/>
    </xf>
    <xf numFmtId="164" fontId="109" fillId="0" borderId="4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true" applyProtection="false">
      <alignment horizontal="center" vertical="center" textRotation="0" wrapText="true" indent="0" shrinkToFit="false"/>
      <protection locked="true" hidden="false"/>
    </xf>
    <xf numFmtId="164" fontId="109" fillId="0" borderId="77" xfId="0" applyFont="true" applyBorder="true" applyAlignment="true" applyProtection="false">
      <alignment horizontal="center" vertical="center" textRotation="0" wrapText="true" indent="0" shrinkToFit="false"/>
      <protection locked="true" hidden="false"/>
    </xf>
    <xf numFmtId="202" fontId="110" fillId="28" borderId="19" xfId="0" applyFont="true" applyBorder="true" applyAlignment="true" applyProtection="false">
      <alignment horizontal="center" vertical="center" textRotation="0" wrapText="false" indent="0" shrinkToFit="false"/>
      <protection locked="true" hidden="false"/>
    </xf>
    <xf numFmtId="164" fontId="24" fillId="0" borderId="79"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center" vertical="center" textRotation="0" wrapText="true" indent="0" shrinkToFit="false"/>
      <protection locked="true" hidden="false"/>
    </xf>
    <xf numFmtId="196" fontId="0" fillId="0" borderId="80" xfId="0" applyFont="false" applyBorder="true" applyAlignment="true" applyProtection="false">
      <alignment horizontal="center" vertical="center" textRotation="0" wrapText="true" indent="0" shrinkToFit="false"/>
      <protection locked="true" hidden="false"/>
    </xf>
    <xf numFmtId="164" fontId="111" fillId="38" borderId="19" xfId="0" applyFont="true" applyBorder="true" applyAlignment="true" applyProtection="false">
      <alignment horizontal="center" vertical="center" textRotation="0" wrapText="false" indent="0" shrinkToFit="false"/>
      <protection locked="true" hidden="false"/>
    </xf>
    <xf numFmtId="164" fontId="24" fillId="0" borderId="46" xfId="0" applyFont="true" applyBorder="true" applyAlignment="false" applyProtection="false">
      <alignment horizontal="general" vertical="center" textRotation="0" wrapText="false" indent="0" shrinkToFit="false"/>
      <protection locked="true" hidden="false"/>
    </xf>
    <xf numFmtId="196" fontId="0" fillId="0" borderId="47" xfId="0" applyFont="false" applyBorder="true" applyAlignment="true" applyProtection="false">
      <alignment horizontal="center" vertical="center" textRotation="0" wrapText="true" indent="0" shrinkToFit="false"/>
      <protection locked="true" hidden="false"/>
    </xf>
    <xf numFmtId="169" fontId="0" fillId="0" borderId="0" xfId="0" applyFont="false" applyBorder="false" applyAlignment="false" applyProtection="false">
      <alignment horizontal="general" vertical="center" textRotation="0" wrapText="false" indent="0" shrinkToFit="false"/>
      <protection locked="true" hidden="false"/>
    </xf>
    <xf numFmtId="164" fontId="24" fillId="0" borderId="5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true" applyProtection="false">
      <alignment horizontal="center" vertical="center" textRotation="0" wrapText="true" indent="0" shrinkToFit="false"/>
      <protection locked="true" hidden="false"/>
    </xf>
    <xf numFmtId="196" fontId="0" fillId="0" borderId="61" xfId="0" applyFont="fals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9" fontId="109" fillId="0" borderId="0" xfId="0" applyFont="true" applyBorder="false" applyAlignment="false" applyProtection="false">
      <alignment horizontal="general" vertical="center" textRotation="0" wrapText="false" indent="0" shrinkToFit="false"/>
      <protection locked="true" hidden="false"/>
    </xf>
    <xf numFmtId="164" fontId="24" fillId="0" borderId="79" xfId="0" applyFont="true" applyBorder="true" applyAlignment="false" applyProtection="false">
      <alignment horizontal="general" vertical="center" textRotation="0" wrapText="false" indent="0" shrinkToFit="false"/>
      <protection locked="true" hidden="false"/>
    </xf>
    <xf numFmtId="164" fontId="24" fillId="0" borderId="43" xfId="0" applyFont="true" applyBorder="true" applyAlignment="false" applyProtection="false">
      <alignment horizontal="general" vertical="center" textRotation="0" wrapText="false" indent="0" shrinkToFit="false"/>
      <protection locked="true" hidden="false"/>
    </xf>
    <xf numFmtId="164" fontId="20" fillId="0" borderId="0" xfId="559" applyFont="false" applyBorder="false" applyAlignment="false" applyProtection="false">
      <alignment horizontal="general" vertical="bottom" textRotation="0" wrapText="false" indent="0" shrinkToFit="false"/>
      <protection locked="true" hidden="false"/>
    </xf>
    <xf numFmtId="164" fontId="75" fillId="0" borderId="0" xfId="559" applyFont="true" applyBorder="false" applyAlignment="false" applyProtection="false">
      <alignment horizontal="general" vertical="bottom" textRotation="0" wrapText="false" indent="0" shrinkToFit="false"/>
      <protection locked="true" hidden="false"/>
    </xf>
    <xf numFmtId="164" fontId="112" fillId="0" borderId="0" xfId="559" applyFont="true" applyBorder="false" applyAlignment="false" applyProtection="false">
      <alignment horizontal="general" vertical="bottom" textRotation="0" wrapText="false" indent="0" shrinkToFit="false"/>
      <protection locked="true" hidden="false"/>
    </xf>
    <xf numFmtId="164" fontId="20" fillId="0" borderId="0" xfId="559" applyFont="true" applyBorder="false" applyAlignment="false" applyProtection="false">
      <alignment horizontal="general" vertical="bottom" textRotation="0" wrapText="false" indent="0" shrinkToFit="false"/>
      <protection locked="true" hidden="false"/>
    </xf>
    <xf numFmtId="164" fontId="20" fillId="0" borderId="50" xfId="559" applyFont="true" applyBorder="true" applyAlignment="false" applyProtection="false">
      <alignment horizontal="general" vertical="bottom" textRotation="0" wrapText="false" indent="0" shrinkToFit="false"/>
      <protection locked="true" hidden="false"/>
    </xf>
    <xf numFmtId="196" fontId="75" fillId="0" borderId="50" xfId="559" applyFont="true" applyBorder="true" applyAlignment="false" applyProtection="false">
      <alignment horizontal="general" vertical="bottom" textRotation="0" wrapText="false" indent="0" shrinkToFit="false"/>
      <protection locked="true" hidden="false"/>
    </xf>
    <xf numFmtId="164" fontId="20" fillId="0" borderId="18" xfId="559" applyFont="true" applyBorder="true" applyAlignment="false" applyProtection="false">
      <alignment horizontal="general" vertical="bottom" textRotation="0" wrapText="false" indent="0" shrinkToFit="false"/>
      <protection locked="true" hidden="false"/>
    </xf>
    <xf numFmtId="198" fontId="75" fillId="0" borderId="18" xfId="559" applyFont="true" applyBorder="true" applyAlignment="false" applyProtection="false">
      <alignment horizontal="general" vertical="bottom" textRotation="0" wrapText="false" indent="0" shrinkToFit="false"/>
      <protection locked="true" hidden="false"/>
    </xf>
    <xf numFmtId="164" fontId="59" fillId="0" borderId="0" xfId="559" applyFont="true" applyBorder="true" applyAlignment="true" applyProtection="false">
      <alignment horizontal="general" vertical="center" textRotation="0" wrapText="false" indent="0" shrinkToFit="false"/>
      <protection locked="true" hidden="false"/>
    </xf>
    <xf numFmtId="164" fontId="20" fillId="0" borderId="0" xfId="559" applyFont="false" applyBorder="true" applyAlignment="false" applyProtection="false">
      <alignment horizontal="general" vertical="bottom" textRotation="0" wrapText="false" indent="0" shrinkToFit="false"/>
      <protection locked="true" hidden="false"/>
    </xf>
    <xf numFmtId="164" fontId="75" fillId="0" borderId="0" xfId="559" applyFont="true" applyBorder="true" applyAlignment="false" applyProtection="false">
      <alignment horizontal="general" vertical="bottom" textRotation="0" wrapText="false" indent="0" shrinkToFit="false"/>
      <protection locked="true" hidden="false"/>
    </xf>
    <xf numFmtId="198" fontId="75" fillId="0" borderId="0" xfId="559" applyFont="true" applyBorder="true" applyAlignment="false" applyProtection="false">
      <alignment horizontal="general" vertical="bottom" textRotation="0" wrapText="false" indent="0" shrinkToFit="false"/>
      <protection locked="true" hidden="false"/>
    </xf>
    <xf numFmtId="164" fontId="113" fillId="0" borderId="0" xfId="661" applyFont="true" applyBorder="false" applyAlignment="false" applyProtection="false">
      <alignment horizontal="general" vertical="bottom" textRotation="0" wrapText="false" indent="0" shrinkToFit="false"/>
      <protection locked="true" hidden="false"/>
    </xf>
    <xf numFmtId="164" fontId="113" fillId="0" borderId="0" xfId="0" applyFont="true" applyBorder="false" applyAlignment="false" applyProtection="false">
      <alignment horizontal="general" vertical="center" textRotation="0" wrapText="false" indent="0" shrinkToFit="false"/>
      <protection locked="true" hidden="false"/>
    </xf>
    <xf numFmtId="164" fontId="114" fillId="0" borderId="0" xfId="661" applyFont="true" applyBorder="false" applyAlignment="false" applyProtection="false">
      <alignment horizontal="general" vertical="bottom" textRotation="0" wrapText="false" indent="0" shrinkToFit="false"/>
      <protection locked="true" hidden="false"/>
    </xf>
    <xf numFmtId="164" fontId="115" fillId="0" borderId="0" xfId="661" applyFont="true" applyBorder="false" applyAlignment="false" applyProtection="false">
      <alignment horizontal="general" vertical="bottom" textRotation="0" wrapText="false" indent="0" shrinkToFit="false"/>
      <protection locked="true" hidden="false"/>
    </xf>
    <xf numFmtId="164" fontId="113" fillId="0" borderId="0" xfId="661" applyFont="true" applyBorder="false" applyAlignment="true" applyProtection="false">
      <alignment horizontal="center" vertical="center" textRotation="0" wrapText="false" indent="0" shrinkToFit="false"/>
      <protection locked="true" hidden="false"/>
    </xf>
    <xf numFmtId="164" fontId="116" fillId="0" borderId="0" xfId="661" applyFont="true" applyBorder="false" applyAlignment="false" applyProtection="false">
      <alignment horizontal="general" vertical="bottom" textRotation="0" wrapText="false" indent="0" shrinkToFit="false"/>
      <protection locked="true" hidden="false"/>
    </xf>
    <xf numFmtId="164" fontId="117" fillId="0" borderId="0" xfId="661" applyFont="true" applyBorder="false" applyAlignment="true" applyProtection="false">
      <alignment horizontal="left" vertical="bottom" textRotation="0" wrapText="false" indent="0" shrinkToFit="false"/>
      <protection locked="true" hidden="false"/>
    </xf>
    <xf numFmtId="164" fontId="116" fillId="40" borderId="0" xfId="661" applyFont="true" applyBorder="false" applyAlignment="true" applyProtection="false">
      <alignment horizontal="center" vertical="center" textRotation="0" wrapText="false" indent="0" shrinkToFit="false"/>
      <protection locked="true" hidden="false"/>
    </xf>
    <xf numFmtId="164" fontId="113" fillId="45" borderId="72" xfId="697" applyFont="true" applyBorder="true" applyAlignment="true" applyProtection="false">
      <alignment horizontal="center" vertical="bottom" textRotation="0" wrapText="false" indent="0" shrinkToFit="false"/>
      <protection locked="true" hidden="false"/>
    </xf>
    <xf numFmtId="164" fontId="113" fillId="45" borderId="27" xfId="697" applyFont="true" applyBorder="true" applyAlignment="false" applyProtection="false">
      <alignment horizontal="general" vertical="bottom" textRotation="0" wrapText="false" indent="0" shrinkToFit="false"/>
      <protection locked="true" hidden="false"/>
    </xf>
    <xf numFmtId="164" fontId="113" fillId="45" borderId="1" xfId="697" applyFont="true" applyBorder="true" applyAlignment="false" applyProtection="false">
      <alignment horizontal="general" vertical="bottom" textRotation="0" wrapText="false" indent="0" shrinkToFit="false"/>
      <protection locked="true" hidden="false"/>
    </xf>
    <xf numFmtId="164" fontId="113" fillId="45" borderId="27" xfId="697" applyFont="true" applyBorder="true" applyAlignment="true" applyProtection="false">
      <alignment horizontal="center" vertical="bottom" textRotation="0" wrapText="false" indent="0" shrinkToFit="false"/>
      <protection locked="true" hidden="false"/>
    </xf>
    <xf numFmtId="199" fontId="113" fillId="45" borderId="84" xfId="265" applyFont="true" applyBorder="true" applyAlignment="true" applyProtection="true">
      <alignment horizontal="center" vertical="center" textRotation="0" wrapText="false" indent="0" shrinkToFit="false"/>
      <protection locked="true" hidden="false"/>
    </xf>
    <xf numFmtId="164" fontId="113" fillId="0" borderId="27" xfId="661" applyFont="true" applyBorder="true" applyAlignment="true" applyProtection="false">
      <alignment horizontal="center" vertical="center" textRotation="0" wrapText="true" indent="0" shrinkToFit="false"/>
      <protection locked="true" hidden="false"/>
    </xf>
    <xf numFmtId="164" fontId="113" fillId="25" borderId="39" xfId="697" applyFont="true" applyBorder="true" applyAlignment="false" applyProtection="false">
      <alignment horizontal="general" vertical="bottom" textRotation="0" wrapText="false" indent="0" shrinkToFit="false"/>
      <protection locked="true" hidden="false"/>
    </xf>
    <xf numFmtId="164" fontId="113" fillId="25" borderId="44" xfId="697" applyFont="true" applyBorder="true" applyAlignment="true" applyProtection="false">
      <alignment horizontal="center" vertical="center" textRotation="0" wrapText="false" indent="0" shrinkToFit="false"/>
      <protection locked="true" hidden="false"/>
    </xf>
    <xf numFmtId="164" fontId="113" fillId="0" borderId="39" xfId="697" applyFont="true" applyBorder="true" applyAlignment="true" applyProtection="false">
      <alignment horizontal="left" vertical="center" textRotation="0" wrapText="false" indent="0" shrinkToFit="false"/>
      <protection locked="true" hidden="false"/>
    </xf>
    <xf numFmtId="164" fontId="113" fillId="0" borderId="39" xfId="697" applyFont="true" applyBorder="true" applyAlignment="true" applyProtection="false">
      <alignment horizontal="center" vertical="bottom" textRotation="0" wrapText="false" indent="0" shrinkToFit="false"/>
      <protection locked="true" hidden="false"/>
    </xf>
    <xf numFmtId="183" fontId="113" fillId="0" borderId="39" xfId="155" applyFont="true" applyBorder="true" applyAlignment="true" applyProtection="true">
      <alignment horizontal="center" vertical="center" textRotation="0" wrapText="false" indent="0" shrinkToFit="false"/>
      <protection locked="true" hidden="false"/>
    </xf>
    <xf numFmtId="187" fontId="113" fillId="25" borderId="41" xfId="827" applyFont="true" applyBorder="true" applyAlignment="true" applyProtection="true">
      <alignment horizontal="general" vertical="bottom" textRotation="0" wrapText="false" indent="0" shrinkToFit="false"/>
      <protection locked="true" hidden="false"/>
    </xf>
    <xf numFmtId="187" fontId="113" fillId="25" borderId="2" xfId="827" applyFont="true" applyBorder="true" applyAlignment="true" applyProtection="true">
      <alignment horizontal="general" vertical="bottom" textRotation="0" wrapText="false" indent="0" shrinkToFit="false"/>
      <protection locked="true" hidden="false"/>
    </xf>
    <xf numFmtId="187" fontId="113" fillId="0" borderId="41" xfId="827" applyFont="true" applyBorder="true" applyAlignment="true" applyProtection="true">
      <alignment horizontal="left" vertical="center" textRotation="0" wrapText="false" indent="0" shrinkToFit="false"/>
      <protection locked="true" hidden="false"/>
    </xf>
    <xf numFmtId="187" fontId="113" fillId="0" borderId="41" xfId="827" applyFont="true" applyBorder="true" applyAlignment="true" applyProtection="true">
      <alignment horizontal="center" vertical="bottom" textRotation="0" wrapText="false" indent="0" shrinkToFit="false"/>
      <protection locked="true" hidden="false"/>
    </xf>
    <xf numFmtId="183" fontId="113" fillId="0" borderId="41" xfId="155" applyFont="true" applyBorder="true" applyAlignment="true" applyProtection="true">
      <alignment horizontal="center" vertical="center" textRotation="0" wrapText="false" indent="0" shrinkToFit="false"/>
      <protection locked="true" hidden="false"/>
    </xf>
    <xf numFmtId="164" fontId="113" fillId="25" borderId="41" xfId="697" applyFont="true" applyBorder="true" applyAlignment="false" applyProtection="false">
      <alignment horizontal="general" vertical="bottom" textRotation="0" wrapText="false" indent="0" shrinkToFit="false"/>
      <protection locked="true" hidden="false"/>
    </xf>
    <xf numFmtId="164" fontId="113" fillId="25" borderId="2" xfId="697" applyFont="true" applyBorder="true" applyAlignment="false" applyProtection="false">
      <alignment horizontal="general" vertical="bottom" textRotation="0" wrapText="false" indent="0" shrinkToFit="false"/>
      <protection locked="true" hidden="false"/>
    </xf>
    <xf numFmtId="164" fontId="113" fillId="0" borderId="41" xfId="697" applyFont="true" applyBorder="true" applyAlignment="true" applyProtection="false">
      <alignment horizontal="left" vertical="center" textRotation="0" wrapText="false" indent="0" shrinkToFit="false"/>
      <protection locked="true" hidden="false"/>
    </xf>
    <xf numFmtId="164" fontId="113" fillId="0" borderId="41" xfId="697" applyFont="true" applyBorder="true" applyAlignment="true" applyProtection="false">
      <alignment horizontal="center" vertical="bottom" textRotation="0" wrapText="false" indent="0" shrinkToFit="false"/>
      <protection locked="true" hidden="false"/>
    </xf>
    <xf numFmtId="187" fontId="113" fillId="0" borderId="41" xfId="827" applyFont="true" applyBorder="true" applyAlignment="true" applyProtection="true">
      <alignment horizontal="center" vertical="center" textRotation="0" wrapText="false" indent="0" shrinkToFit="false"/>
      <protection locked="true" hidden="false"/>
    </xf>
    <xf numFmtId="164" fontId="113" fillId="46" borderId="41" xfId="697" applyFont="true" applyBorder="true" applyAlignment="true" applyProtection="false">
      <alignment horizontal="left" vertical="center" textRotation="0" wrapText="false" indent="0" shrinkToFit="false"/>
      <protection locked="true" hidden="false"/>
    </xf>
    <xf numFmtId="164" fontId="113" fillId="46" borderId="41" xfId="697" applyFont="true" applyBorder="true" applyAlignment="true" applyProtection="false">
      <alignment horizontal="center" vertical="bottom" textRotation="0" wrapText="false" indent="0" shrinkToFit="false"/>
      <protection locked="true" hidden="false"/>
    </xf>
    <xf numFmtId="183" fontId="113" fillId="46" borderId="41" xfId="827" applyFont="true" applyBorder="true" applyAlignment="true" applyProtection="true">
      <alignment horizontal="center" vertical="center" textRotation="0" wrapText="false" indent="0" shrinkToFit="false"/>
      <protection locked="true" hidden="false"/>
    </xf>
    <xf numFmtId="164" fontId="113" fillId="46" borderId="83" xfId="697" applyFont="true" applyBorder="true" applyAlignment="true" applyProtection="false">
      <alignment horizontal="left" vertical="center" textRotation="0" wrapText="false" indent="0" shrinkToFit="false"/>
      <protection locked="true" hidden="false"/>
    </xf>
    <xf numFmtId="164" fontId="113" fillId="46" borderId="83" xfId="697" applyFont="true" applyBorder="true" applyAlignment="true" applyProtection="false">
      <alignment horizontal="center" vertical="bottom" textRotation="0" wrapText="false" indent="0" shrinkToFit="false"/>
      <protection locked="true" hidden="false"/>
    </xf>
    <xf numFmtId="183" fontId="113" fillId="46" borderId="41" xfId="155" applyFont="true" applyBorder="true" applyAlignment="true" applyProtection="true">
      <alignment horizontal="center" vertical="center" textRotation="0" wrapText="false" indent="0" shrinkToFit="false"/>
      <protection locked="true" hidden="false"/>
    </xf>
    <xf numFmtId="187" fontId="113" fillId="46" borderId="41" xfId="827" applyFont="true" applyBorder="true" applyAlignment="true" applyProtection="true">
      <alignment horizontal="left" vertical="center" textRotation="0" wrapText="false" indent="0" shrinkToFit="false"/>
      <protection locked="true" hidden="false"/>
    </xf>
    <xf numFmtId="187" fontId="113" fillId="46" borderId="41" xfId="827" applyFont="true" applyBorder="true" applyAlignment="true" applyProtection="true">
      <alignment horizontal="center" vertical="bottom" textRotation="0" wrapText="false" indent="0" shrinkToFit="false"/>
      <protection locked="true" hidden="false"/>
    </xf>
    <xf numFmtId="164" fontId="113" fillId="25" borderId="83" xfId="697" applyFont="true" applyBorder="true" applyAlignment="false" applyProtection="false">
      <alignment horizontal="general" vertical="bottom" textRotation="0" wrapText="false" indent="0" shrinkToFit="false"/>
      <protection locked="true" hidden="false"/>
    </xf>
    <xf numFmtId="164" fontId="113" fillId="25" borderId="50" xfId="697" applyFont="true" applyBorder="true" applyAlignment="false" applyProtection="false">
      <alignment horizontal="general" vertical="bottom" textRotation="0" wrapText="false" indent="0" shrinkToFit="false"/>
      <protection locked="true" hidden="false"/>
    </xf>
    <xf numFmtId="164" fontId="113" fillId="47" borderId="83" xfId="697" applyFont="true" applyBorder="true" applyAlignment="true" applyProtection="false">
      <alignment horizontal="left" vertical="center" textRotation="0" wrapText="false" indent="0" shrinkToFit="false"/>
      <protection locked="true" hidden="false"/>
    </xf>
    <xf numFmtId="164" fontId="113" fillId="47" borderId="83" xfId="697" applyFont="true" applyBorder="true" applyAlignment="true" applyProtection="false">
      <alignment horizontal="center" vertical="bottom" textRotation="0" wrapText="false" indent="0" shrinkToFit="false"/>
      <protection locked="true" hidden="false"/>
    </xf>
    <xf numFmtId="198" fontId="113" fillId="47" borderId="41" xfId="827" applyFont="true" applyBorder="true" applyAlignment="true" applyProtection="true">
      <alignment horizontal="center" vertical="center" textRotation="0" wrapText="false" indent="0" shrinkToFit="false"/>
      <protection locked="true" hidden="false"/>
    </xf>
    <xf numFmtId="164" fontId="113" fillId="25" borderId="83" xfId="697" applyFont="true" applyBorder="true" applyAlignment="true" applyProtection="false">
      <alignment horizontal="center" vertical="center" textRotation="0" wrapText="false" indent="0" shrinkToFit="false"/>
      <protection locked="true" hidden="false"/>
    </xf>
    <xf numFmtId="164" fontId="113" fillId="25" borderId="50" xfId="697" applyFont="true" applyBorder="true" applyAlignment="true" applyProtection="false">
      <alignment horizontal="center" vertical="center" textRotation="0" wrapText="false" indent="0" shrinkToFit="false"/>
      <protection locked="true" hidden="false"/>
    </xf>
    <xf numFmtId="164" fontId="113" fillId="42" borderId="83" xfId="697" applyFont="true" applyBorder="true" applyAlignment="true" applyProtection="false">
      <alignment horizontal="left" vertical="center" textRotation="0" wrapText="false" indent="0" shrinkToFit="false"/>
      <protection locked="true" hidden="false"/>
    </xf>
    <xf numFmtId="164" fontId="113" fillId="42" borderId="83" xfId="697" applyFont="true" applyBorder="true" applyAlignment="true" applyProtection="false">
      <alignment horizontal="center" vertical="bottom" textRotation="0" wrapText="false" indent="0" shrinkToFit="false"/>
      <protection locked="true" hidden="false"/>
    </xf>
    <xf numFmtId="183" fontId="113" fillId="42" borderId="41" xfId="827" applyFont="true" applyBorder="true" applyAlignment="true" applyProtection="true">
      <alignment horizontal="center" vertical="center" textRotation="0" wrapText="false" indent="0" shrinkToFit="false"/>
      <protection locked="true" hidden="false"/>
    </xf>
    <xf numFmtId="187" fontId="113" fillId="42" borderId="83" xfId="827" applyFont="true" applyBorder="true" applyAlignment="true" applyProtection="true">
      <alignment horizontal="center" vertical="center" textRotation="0" wrapText="false" indent="0" shrinkToFit="false"/>
      <protection locked="true" hidden="false"/>
    </xf>
    <xf numFmtId="187" fontId="113" fillId="42" borderId="41" xfId="827" applyFont="true" applyBorder="true" applyAlignment="true" applyProtection="true">
      <alignment horizontal="left" vertical="center" textRotation="0" wrapText="false" indent="0" shrinkToFit="false"/>
      <protection locked="true" hidden="false"/>
    </xf>
    <xf numFmtId="164" fontId="113" fillId="25" borderId="25" xfId="697" applyFont="true" applyBorder="true" applyAlignment="false" applyProtection="false">
      <alignment horizontal="general" vertical="bottom" textRotation="0" wrapText="false" indent="0" shrinkToFit="false"/>
      <protection locked="true" hidden="false"/>
    </xf>
    <xf numFmtId="164" fontId="113" fillId="25" borderId="23" xfId="697" applyFont="true" applyBorder="true" applyAlignment="false" applyProtection="false">
      <alignment horizontal="general" vertical="bottom" textRotation="0" wrapText="false" indent="0" shrinkToFit="false"/>
      <protection locked="true" hidden="false"/>
    </xf>
    <xf numFmtId="164" fontId="118" fillId="42" borderId="25" xfId="697" applyFont="true" applyBorder="true" applyAlignment="true" applyProtection="false">
      <alignment horizontal="left" vertical="center" textRotation="0" wrapText="false" indent="0" shrinkToFit="false"/>
      <protection locked="true" hidden="false"/>
    </xf>
    <xf numFmtId="164" fontId="118" fillId="42" borderId="25" xfId="697" applyFont="true" applyBorder="true" applyAlignment="true" applyProtection="false">
      <alignment horizontal="center" vertical="bottom" textRotation="0" wrapText="false" indent="0" shrinkToFit="false"/>
      <protection locked="true" hidden="false"/>
    </xf>
    <xf numFmtId="187" fontId="118" fillId="42" borderId="25" xfId="827" applyFont="true" applyBorder="true" applyAlignment="true" applyProtection="true">
      <alignment horizontal="center" vertical="center" textRotation="0" wrapText="false" indent="0" shrinkToFit="false"/>
      <protection locked="true" hidden="false"/>
    </xf>
    <xf numFmtId="164" fontId="113" fillId="0" borderId="0" xfId="661" applyFont="true" applyBorder="true" applyAlignment="false" applyProtection="false">
      <alignment horizontal="general" vertical="bottom" textRotation="0" wrapText="false" indent="0" shrinkToFit="false"/>
      <protection locked="true" hidden="false"/>
    </xf>
    <xf numFmtId="164" fontId="113" fillId="0" borderId="0" xfId="697" applyFont="true" applyBorder="true" applyAlignment="false" applyProtection="false">
      <alignment horizontal="general" vertical="bottom" textRotation="0" wrapText="false" indent="0" shrinkToFit="false"/>
      <protection locked="true" hidden="false"/>
    </xf>
    <xf numFmtId="164" fontId="118" fillId="40" borderId="21" xfId="697" applyFont="true" applyBorder="true" applyAlignment="true" applyProtection="false">
      <alignment horizontal="left" vertical="center" textRotation="0" wrapText="false" indent="0" shrinkToFit="false"/>
      <protection locked="true" hidden="false"/>
    </xf>
    <xf numFmtId="164" fontId="118" fillId="40" borderId="21" xfId="697" applyFont="true" applyBorder="true" applyAlignment="true" applyProtection="false">
      <alignment horizontal="center" vertical="bottom" textRotation="0" wrapText="false" indent="0" shrinkToFit="false"/>
      <protection locked="true" hidden="false"/>
    </xf>
    <xf numFmtId="187" fontId="118" fillId="40" borderId="21" xfId="827" applyFont="true" applyBorder="true" applyAlignment="true" applyProtection="true">
      <alignment horizontal="center" vertical="center" textRotation="0" wrapText="false" indent="0" shrinkToFit="false"/>
      <protection locked="true" hidden="false"/>
    </xf>
    <xf numFmtId="164" fontId="113" fillId="0" borderId="0" xfId="0" applyFont="true" applyBorder="false" applyAlignment="true" applyProtection="false">
      <alignment horizontal="general" vertical="bottom" textRotation="0" wrapText="false" indent="0" shrinkToFit="false"/>
      <protection locked="true" hidden="false"/>
    </xf>
    <xf numFmtId="164" fontId="114" fillId="0" borderId="0" xfId="0" applyFont="true" applyBorder="false" applyAlignment="true" applyProtection="false">
      <alignment horizontal="general" vertical="bottom" textRotation="0" wrapText="false" indent="0" shrinkToFit="false"/>
      <protection locked="true" hidden="false"/>
    </xf>
    <xf numFmtId="164" fontId="115" fillId="0" borderId="0" xfId="0" applyFont="true" applyBorder="false" applyAlignment="true" applyProtection="false">
      <alignment horizontal="general" vertical="bottom" textRotation="0" wrapText="false" indent="0" shrinkToFit="false"/>
      <protection locked="true" hidden="false"/>
    </xf>
    <xf numFmtId="198" fontId="113" fillId="47" borderId="86" xfId="827" applyFont="true" applyBorder="true" applyAlignment="true" applyProtection="true">
      <alignment horizontal="center" vertical="center" textRotation="0" wrapText="false" indent="0" shrinkToFit="false"/>
      <protection locked="true" hidden="false"/>
    </xf>
    <xf numFmtId="202" fontId="113" fillId="25" borderId="50" xfId="697" applyFont="true" applyBorder="true" applyAlignment="true" applyProtection="false">
      <alignment horizontal="center" vertical="center" textRotation="0" wrapText="false" indent="0" shrinkToFit="false"/>
      <protection locked="true" hidden="false"/>
    </xf>
    <xf numFmtId="164" fontId="113" fillId="0" borderId="28" xfId="661" applyFont="true" applyBorder="true" applyAlignment="true" applyProtection="false">
      <alignment horizontal="general" vertical="center" textRotation="0" wrapText="true" indent="0" shrinkToFit="false"/>
      <protection locked="true" hidden="false"/>
    </xf>
    <xf numFmtId="183" fontId="113" fillId="25" borderId="83" xfId="697" applyFont="true" applyBorder="true" applyAlignment="true" applyProtection="false">
      <alignment horizontal="center" vertical="center" textRotation="0" wrapText="false" indent="0" shrinkToFit="false"/>
      <protection locked="true" hidden="false"/>
    </xf>
    <xf numFmtId="187" fontId="113" fillId="25" borderId="2" xfId="827" applyFont="true" applyBorder="true" applyAlignment="true" applyProtection="true">
      <alignment horizontal="center" vertical="center" textRotation="0" wrapText="false" indent="0" shrinkToFit="false"/>
      <protection locked="true" hidden="false"/>
    </xf>
    <xf numFmtId="164" fontId="113" fillId="0" borderId="38" xfId="661" applyFont="true" applyBorder="true" applyAlignment="true" applyProtection="false">
      <alignment horizontal="general" vertical="center" textRotation="0" wrapText="true" indent="0" shrinkToFit="false"/>
      <protection locked="true" hidden="false"/>
    </xf>
    <xf numFmtId="186" fontId="113" fillId="0" borderId="41" xfId="827" applyFont="true" applyBorder="true" applyAlignment="true" applyProtection="true">
      <alignment horizontal="center" vertical="center" textRotation="0" wrapText="false" indent="0" shrinkToFit="false"/>
      <protection locked="true" hidden="false"/>
    </xf>
    <xf numFmtId="183" fontId="113" fillId="25" borderId="83" xfId="697" applyFont="true" applyBorder="true" applyAlignment="true" applyProtection="false">
      <alignment horizontal="center" vertical="bottom" textRotation="0" wrapText="false" indent="0" shrinkToFit="false"/>
      <protection locked="true" hidden="false"/>
    </xf>
    <xf numFmtId="164" fontId="113" fillId="25" borderId="83" xfId="697" applyFont="true" applyBorder="true" applyAlignment="true" applyProtection="false">
      <alignment horizontal="center" vertical="bottom" textRotation="0" wrapText="false" indent="0" shrinkToFit="false"/>
      <protection locked="true" hidden="false"/>
    </xf>
    <xf numFmtId="164" fontId="113" fillId="0" borderId="26" xfId="661" applyFont="true" applyBorder="true" applyAlignment="true" applyProtection="false">
      <alignment horizontal="general" vertical="center" textRotation="0" wrapText="true" indent="0" shrinkToFit="false"/>
      <protection locked="true" hidden="false"/>
    </xf>
    <xf numFmtId="164" fontId="113" fillId="25" borderId="25" xfId="697" applyFont="true" applyBorder="true" applyAlignment="true" applyProtection="false">
      <alignment horizontal="center" vertical="bottom" textRotation="0" wrapText="false" indent="0" shrinkToFit="false"/>
      <protection locked="true" hidden="false"/>
    </xf>
    <xf numFmtId="164" fontId="118" fillId="42" borderId="83" xfId="697" applyFont="true" applyBorder="true" applyAlignment="true" applyProtection="false">
      <alignment horizontal="left" vertical="center" textRotation="0" wrapText="false" indent="0" shrinkToFit="false"/>
      <protection locked="true" hidden="false"/>
    </xf>
    <xf numFmtId="164" fontId="118" fillId="42" borderId="83" xfId="697" applyFont="true" applyBorder="true" applyAlignment="true" applyProtection="false">
      <alignment horizontal="center" vertical="bottom" textRotation="0" wrapText="false" indent="0" shrinkToFit="false"/>
      <protection locked="true" hidden="false"/>
    </xf>
    <xf numFmtId="187" fontId="118" fillId="42" borderId="83" xfId="827" applyFont="true" applyBorder="true" applyAlignment="true" applyProtection="true">
      <alignment horizontal="center" vertical="center" textRotation="0" wrapText="false" indent="0" shrinkToFit="false"/>
      <protection locked="true" hidden="false"/>
    </xf>
    <xf numFmtId="164" fontId="113" fillId="45" borderId="19" xfId="697" applyFont="true" applyBorder="true" applyAlignment="true" applyProtection="false">
      <alignment horizontal="left" vertical="center" textRotation="0" wrapText="false" indent="0" shrinkToFit="false"/>
      <protection locked="true" hidden="false"/>
    </xf>
    <xf numFmtId="164" fontId="113" fillId="45" borderId="19" xfId="697" applyFont="true" applyBorder="true" applyAlignment="true" applyProtection="false">
      <alignment horizontal="center" vertical="center" textRotation="0" wrapText="false" indent="0" shrinkToFit="false"/>
      <protection locked="true" hidden="false"/>
    </xf>
    <xf numFmtId="199" fontId="113" fillId="45" borderId="19" xfId="265" applyFont="true" applyBorder="true" applyAlignment="true" applyProtection="true">
      <alignment horizontal="center" vertical="center" textRotation="0" wrapText="false" indent="0" shrinkToFit="false"/>
      <protection locked="true" hidden="false"/>
    </xf>
    <xf numFmtId="199" fontId="113" fillId="45" borderId="19" xfId="265" applyFont="true" applyBorder="true" applyAlignment="true" applyProtection="true">
      <alignment horizontal="center" vertical="center" textRotation="0" wrapText="true" indent="0" shrinkToFit="false"/>
      <protection locked="true" hidden="false"/>
    </xf>
    <xf numFmtId="164" fontId="81" fillId="33" borderId="19" xfId="0" applyFont="true" applyBorder="true" applyAlignment="true" applyProtection="false">
      <alignment horizontal="center" vertical="center" textRotation="0" wrapText="true" indent="0" shrinkToFit="false"/>
      <protection locked="true" hidden="false"/>
    </xf>
    <xf numFmtId="164" fontId="113" fillId="0" borderId="19" xfId="661" applyFont="true" applyBorder="true" applyAlignment="true" applyProtection="false">
      <alignment horizontal="left" vertical="center" textRotation="0" wrapText="true" indent="0" shrinkToFit="false"/>
      <protection locked="true" hidden="false"/>
    </xf>
    <xf numFmtId="164" fontId="113" fillId="0" borderId="19" xfId="661" applyFont="true" applyBorder="true" applyAlignment="true" applyProtection="false">
      <alignment horizontal="left" vertical="center" textRotation="0" wrapText="false" indent="0" shrinkToFit="false"/>
      <protection locked="true" hidden="false"/>
    </xf>
    <xf numFmtId="164" fontId="113" fillId="0" borderId="19" xfId="661" applyFont="true" applyBorder="true" applyAlignment="true" applyProtection="false">
      <alignment horizontal="center" vertical="center" textRotation="0" wrapText="false" indent="0" shrinkToFit="false"/>
      <protection locked="true" hidden="false"/>
    </xf>
    <xf numFmtId="164" fontId="113" fillId="0" borderId="19" xfId="661" applyFont="true" applyBorder="true" applyAlignment="true" applyProtection="false">
      <alignment horizontal="center" vertical="bottom" textRotation="0" wrapText="false" indent="0" shrinkToFit="false"/>
      <protection locked="true" hidden="false"/>
    </xf>
    <xf numFmtId="164" fontId="113" fillId="42" borderId="19" xfId="697" applyFont="true" applyBorder="true" applyAlignment="true" applyProtection="false">
      <alignment horizontal="left" vertical="center" textRotation="0" wrapText="false" indent="0" shrinkToFit="false"/>
      <protection locked="true" hidden="false"/>
    </xf>
    <xf numFmtId="164" fontId="113" fillId="42" borderId="19" xfId="697" applyFont="true" applyBorder="true" applyAlignment="true" applyProtection="false">
      <alignment horizontal="center" vertical="center" textRotation="0" wrapText="false" indent="0" shrinkToFit="false"/>
      <protection locked="true" hidden="false"/>
    </xf>
    <xf numFmtId="201" fontId="113" fillId="42" borderId="19" xfId="19" applyFont="true" applyBorder="true" applyAlignment="true" applyProtection="false">
      <alignment horizontal="center" vertical="center" textRotation="0" wrapText="false" indent="0" shrinkToFit="false"/>
      <protection locked="false" hidden="false"/>
    </xf>
    <xf numFmtId="202" fontId="113" fillId="0" borderId="19" xfId="661" applyFont="true" applyBorder="true" applyAlignment="true" applyProtection="false">
      <alignment horizontal="center" vertical="bottom" textRotation="0" wrapText="false" indent="0" shrinkToFit="false"/>
      <protection locked="true" hidden="false"/>
    </xf>
    <xf numFmtId="183" fontId="113" fillId="0" borderId="19" xfId="661" applyFont="true" applyBorder="true" applyAlignment="true" applyProtection="false">
      <alignment horizontal="center" vertical="bottom" textRotation="0" wrapText="false" indent="0" shrinkToFit="false"/>
      <protection locked="true" hidden="false"/>
    </xf>
    <xf numFmtId="164" fontId="118" fillId="40" borderId="21" xfId="697" applyFont="true" applyBorder="true" applyAlignment="true" applyProtection="false">
      <alignment horizontal="center"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24" fillId="0"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general" vertical="bottom" textRotation="0" wrapText="false" indent="0" shrinkToFit="false"/>
      <protection locked="true" hidden="false"/>
    </xf>
    <xf numFmtId="196" fontId="0" fillId="0" borderId="19" xfId="0" applyFont="false" applyBorder="true" applyAlignment="true" applyProtection="false">
      <alignment horizontal="right" vertical="bottom" textRotation="0" wrapText="false" indent="0" shrinkToFit="false"/>
      <protection locked="true" hidden="false"/>
    </xf>
    <xf numFmtId="164" fontId="0" fillId="0" borderId="19" xfId="0" applyFont="false" applyBorder="true" applyAlignment="true" applyProtection="false">
      <alignment horizontal="general" vertical="bottom" textRotation="0" wrapText="false" indent="0" shrinkToFit="false"/>
      <protection locked="true" hidden="false"/>
    </xf>
    <xf numFmtId="187" fontId="20" fillId="0" borderId="0" xfId="19" applyFont="false" applyBorder="false" applyAlignment="true" applyProtection="false">
      <alignment horizontal="center" vertical="top" textRotation="0" wrapText="false" indent="0" shrinkToFit="false"/>
      <protection locked="false" hidden="false"/>
    </xf>
  </cellXfs>
  <cellStyles count="1284">
    <cellStyle name="Normal" xfId="0" builtinId="0"/>
    <cellStyle name="Comma" xfId="15" builtinId="3"/>
    <cellStyle name="Comma [0]" xfId="16" builtinId="6"/>
    <cellStyle name="Currency" xfId="17" builtinId="4"/>
    <cellStyle name="Currency [0]" xfId="18" builtinId="7"/>
    <cellStyle name="Percent" xfId="19" builtinId="5"/>
    <cellStyle name="20% - アクセント 1" xfId="21"/>
    <cellStyle name="20% - アクセント 2" xfId="22"/>
    <cellStyle name="20% - アクセント 3" xfId="23"/>
    <cellStyle name="20% - アクセント 4" xfId="24"/>
    <cellStyle name="20% - アクセント 5" xfId="25"/>
    <cellStyle name="20% - アクセント 6" xfId="26"/>
    <cellStyle name="20% - 强调文字颜色 1" xfId="27"/>
    <cellStyle name="20% - 强调文字颜色 2" xfId="28"/>
    <cellStyle name="20% - 强调文字颜色 3" xfId="29"/>
    <cellStyle name="20% - 强调文字颜色 4" xfId="30"/>
    <cellStyle name="20% - 强调文字颜色 5" xfId="31"/>
    <cellStyle name="20% - 强调文字颜色 6" xfId="32"/>
    <cellStyle name="40% - アクセント 1" xfId="33"/>
    <cellStyle name="40% - アクセント 2" xfId="34"/>
    <cellStyle name="40% - アクセント 3" xfId="35"/>
    <cellStyle name="40% - アクセント 4" xfId="36"/>
    <cellStyle name="40% - アクセント 5" xfId="37"/>
    <cellStyle name="40% - アクセント 6" xfId="38"/>
    <cellStyle name="40% - 强调文字颜色 1" xfId="39"/>
    <cellStyle name="40% - 强调文字颜色 2" xfId="40"/>
    <cellStyle name="40% - 强调文字颜色 3" xfId="41"/>
    <cellStyle name="40% - 强调文字颜色 4" xfId="42"/>
    <cellStyle name="40% - 强调文字颜色 5" xfId="43"/>
    <cellStyle name="40% - 强调文字颜色 6" xfId="44"/>
    <cellStyle name="60% - アクセント 1" xfId="45"/>
    <cellStyle name="60% - アクセント 2" xfId="46"/>
    <cellStyle name="60% - アクセント 3" xfId="47"/>
    <cellStyle name="60% - アクセント 4" xfId="48"/>
    <cellStyle name="60% - アクセント 5" xfId="49"/>
    <cellStyle name="60% - アクセント 6" xfId="50"/>
    <cellStyle name="60% - 强调文字颜色 1" xfId="51"/>
    <cellStyle name="60% - 强调文字颜色 2" xfId="52"/>
    <cellStyle name="60% - 强调文字颜色 3" xfId="53"/>
    <cellStyle name="60% - 强调文字颜色 4" xfId="54"/>
    <cellStyle name="60% - 强调文字颜色 5" xfId="55"/>
    <cellStyle name="60% - 强调文字颜色 6" xfId="56"/>
    <cellStyle name="Bad 2" xfId="57"/>
    <cellStyle name="Calc Currency (0)" xfId="58"/>
    <cellStyle name="Comma 10" xfId="59"/>
    <cellStyle name="Comma 11" xfId="60"/>
    <cellStyle name="Comma 12" xfId="61"/>
    <cellStyle name="Comma 13" xfId="62"/>
    <cellStyle name="Comma 14" xfId="63"/>
    <cellStyle name="Comma 14 2" xfId="64"/>
    <cellStyle name="Comma 14 2 2" xfId="65"/>
    <cellStyle name="Comma 14 2 2 2" xfId="66"/>
    <cellStyle name="Comma 14 2 2 2 2" xfId="67"/>
    <cellStyle name="Comma 14 2 2 3" xfId="68"/>
    <cellStyle name="Comma 14 2 2 3 2" xfId="69"/>
    <cellStyle name="Comma 14 2 2 4" xfId="70"/>
    <cellStyle name="Comma 14 2 3" xfId="71"/>
    <cellStyle name="Comma 14 2 3 2" xfId="72"/>
    <cellStyle name="Comma 14 2 4" xfId="73"/>
    <cellStyle name="Comma 14 2 4 2" xfId="74"/>
    <cellStyle name="Comma 14 2 5" xfId="75"/>
    <cellStyle name="Comma 14 3" xfId="76"/>
    <cellStyle name="Comma 14 3 2" xfId="77"/>
    <cellStyle name="Comma 14 3 2 2" xfId="78"/>
    <cellStyle name="Comma 14 3 3" xfId="79"/>
    <cellStyle name="Comma 14 3 3 2" xfId="80"/>
    <cellStyle name="Comma 14 3 4" xfId="81"/>
    <cellStyle name="Comma 14 4" xfId="82"/>
    <cellStyle name="Comma 14 4 2" xfId="83"/>
    <cellStyle name="Comma 14 5" xfId="84"/>
    <cellStyle name="Comma 14 5 2" xfId="85"/>
    <cellStyle name="Comma 14 6" xfId="86"/>
    <cellStyle name="Comma 15" xfId="87"/>
    <cellStyle name="Comma 16" xfId="88"/>
    <cellStyle name="Comma 17" xfId="89"/>
    <cellStyle name="Comma 18" xfId="90"/>
    <cellStyle name="Comma 19" xfId="91"/>
    <cellStyle name="Comma 2" xfId="92"/>
    <cellStyle name="Comma 2 2" xfId="93"/>
    <cellStyle name="Comma 2 2 2" xfId="94"/>
    <cellStyle name="Comma 2 2 2 2" xfId="95"/>
    <cellStyle name="Comma 2 2 2 2 2" xfId="96"/>
    <cellStyle name="Comma 2 2 3" xfId="97"/>
    <cellStyle name="Comma 2 2 3 2" xfId="98"/>
    <cellStyle name="Comma 2 3" xfId="99"/>
    <cellStyle name="Comma 2 3 2" xfId="100"/>
    <cellStyle name="Comma 2 3 2 2" xfId="101"/>
    <cellStyle name="Comma 2 4" xfId="102"/>
    <cellStyle name="Comma 2 5" xfId="103"/>
    <cellStyle name="Comma 2 6" xfId="104"/>
    <cellStyle name="Comma 20" xfId="105"/>
    <cellStyle name="Comma 21" xfId="106"/>
    <cellStyle name="Comma 21 2" xfId="107"/>
    <cellStyle name="Comma 21 2 2" xfId="108"/>
    <cellStyle name="Comma 21 2 2 2" xfId="109"/>
    <cellStyle name="Comma 21 2 2 2 2" xfId="110"/>
    <cellStyle name="Comma 21 2 2 3" xfId="111"/>
    <cellStyle name="Comma 21 2 2 3 2" xfId="112"/>
    <cellStyle name="Comma 21 2 2 4" xfId="113"/>
    <cellStyle name="Comma 21 2 3" xfId="114"/>
    <cellStyle name="Comma 21 2 3 2" xfId="115"/>
    <cellStyle name="Comma 21 2 4" xfId="116"/>
    <cellStyle name="Comma 21 2 4 2" xfId="117"/>
    <cellStyle name="Comma 21 2 5" xfId="118"/>
    <cellStyle name="Comma 21 3" xfId="119"/>
    <cellStyle name="Comma 21 3 2" xfId="120"/>
    <cellStyle name="Comma 21 3 2 2" xfId="121"/>
    <cellStyle name="Comma 21 3 3" xfId="122"/>
    <cellStyle name="Comma 21 3 3 2" xfId="123"/>
    <cellStyle name="Comma 21 3 4" xfId="124"/>
    <cellStyle name="Comma 21 4" xfId="125"/>
    <cellStyle name="Comma 21 4 2" xfId="126"/>
    <cellStyle name="Comma 21 5" xfId="127"/>
    <cellStyle name="Comma 21 5 2" xfId="128"/>
    <cellStyle name="Comma 21 6" xfId="129"/>
    <cellStyle name="Comma 22" xfId="130"/>
    <cellStyle name="Comma 22 2" xfId="131"/>
    <cellStyle name="Comma 22 2 2" xfId="132"/>
    <cellStyle name="Comma 22 2 2 2" xfId="133"/>
    <cellStyle name="Comma 22 2 2 2 2" xfId="134"/>
    <cellStyle name="Comma 22 2 2 3" xfId="135"/>
    <cellStyle name="Comma 22 2 2 3 2" xfId="136"/>
    <cellStyle name="Comma 22 2 2 4" xfId="137"/>
    <cellStyle name="Comma 22 2 3" xfId="138"/>
    <cellStyle name="Comma 22 2 3 2" xfId="139"/>
    <cellStyle name="Comma 22 2 4" xfId="140"/>
    <cellStyle name="Comma 22 2 4 2" xfId="141"/>
    <cellStyle name="Comma 22 2 5" xfId="142"/>
    <cellStyle name="Comma 22 3" xfId="143"/>
    <cellStyle name="Comma 22 3 2" xfId="144"/>
    <cellStyle name="Comma 22 3 2 2" xfId="145"/>
    <cellStyle name="Comma 22 3 3" xfId="146"/>
    <cellStyle name="Comma 22 3 3 2" xfId="147"/>
    <cellStyle name="Comma 22 3 4" xfId="148"/>
    <cellStyle name="Comma 22 4" xfId="149"/>
    <cellStyle name="Comma 22 4 2" xfId="150"/>
    <cellStyle name="Comma 22 5" xfId="151"/>
    <cellStyle name="Comma 22 5 2" xfId="152"/>
    <cellStyle name="Comma 22 6" xfId="153"/>
    <cellStyle name="Comma 23" xfId="154"/>
    <cellStyle name="Comma 24" xfId="155"/>
    <cellStyle name="Comma 24 2" xfId="156"/>
    <cellStyle name="Comma 24 2 2" xfId="157"/>
    <cellStyle name="Comma 24 2 2 2" xfId="158"/>
    <cellStyle name="Comma 24 2 3" xfId="159"/>
    <cellStyle name="Comma 24 2 3 2" xfId="160"/>
    <cellStyle name="Comma 24 2 4" xfId="161"/>
    <cellStyle name="Comma 24 3" xfId="162"/>
    <cellStyle name="Comma 24 4" xfId="163"/>
    <cellStyle name="Comma 24 4 2" xfId="164"/>
    <cellStyle name="Comma 24 5" xfId="165"/>
    <cellStyle name="Comma 25" xfId="166"/>
    <cellStyle name="Comma 26" xfId="167"/>
    <cellStyle name="Comma 27" xfId="168"/>
    <cellStyle name="Comma 28" xfId="169"/>
    <cellStyle name="Comma 29" xfId="170"/>
    <cellStyle name="Comma 2_TP Price List 2010  USD" xfId="171"/>
    <cellStyle name="Comma 3" xfId="172"/>
    <cellStyle name="Comma 3 2" xfId="173"/>
    <cellStyle name="Comma 3 2 2" xfId="174"/>
    <cellStyle name="Comma 3 3" xfId="175"/>
    <cellStyle name="Comma 30" xfId="176"/>
    <cellStyle name="Comma 31" xfId="177"/>
    <cellStyle name="Comma 31 2" xfId="178"/>
    <cellStyle name="Comma 32" xfId="179"/>
    <cellStyle name="Comma 33" xfId="180"/>
    <cellStyle name="Comma 34" xfId="181"/>
    <cellStyle name="Comma 35" xfId="182"/>
    <cellStyle name="Comma 36" xfId="183"/>
    <cellStyle name="Comma 37" xfId="184"/>
    <cellStyle name="Comma 4" xfId="185"/>
    <cellStyle name="Comma 4 2" xfId="186"/>
    <cellStyle name="Comma 4 2 2" xfId="187"/>
    <cellStyle name="Comma 4 2 2 2" xfId="188"/>
    <cellStyle name="Comma 4 2 2 2 2" xfId="189"/>
    <cellStyle name="Comma 4 2 2 2 2 2" xfId="190"/>
    <cellStyle name="Comma 4 2 2 2 2 2 2" xfId="191"/>
    <cellStyle name="Comma 4 2 2 2 2 2 2 2" xfId="192"/>
    <cellStyle name="Comma 4 2 2 2 2 2 3" xfId="193"/>
    <cellStyle name="Comma 4 2 2 2 2 2 3 2" xfId="194"/>
    <cellStyle name="Comma 4 2 2 2 2 2 4" xfId="195"/>
    <cellStyle name="Comma 4 2 2 2 2 3" xfId="196"/>
    <cellStyle name="Comma 4 2 2 2 2 3 2" xfId="197"/>
    <cellStyle name="Comma 4 2 2 2 2 4" xfId="198"/>
    <cellStyle name="Comma 4 2 2 2 2 4 2" xfId="199"/>
    <cellStyle name="Comma 4 2 2 2 2 5" xfId="200"/>
    <cellStyle name="Comma 4 2 2 2 3" xfId="201"/>
    <cellStyle name="Comma 4 2 2 2 3 2" xfId="202"/>
    <cellStyle name="Comma 4 2 2 2 3 2 2" xfId="203"/>
    <cellStyle name="Comma 4 2 2 2 3 3" xfId="204"/>
    <cellStyle name="Comma 4 2 2 2 3 3 2" xfId="205"/>
    <cellStyle name="Comma 4 2 2 2 3 4" xfId="206"/>
    <cellStyle name="Comma 4 2 2 2 4" xfId="207"/>
    <cellStyle name="Comma 4 2 2 2 4 2" xfId="208"/>
    <cellStyle name="Comma 4 2 2 2 5" xfId="209"/>
    <cellStyle name="Comma 4 2 2 2 5 2" xfId="210"/>
    <cellStyle name="Comma 4 2 2 2 6" xfId="211"/>
    <cellStyle name="Comma 4 2 2 3" xfId="212"/>
    <cellStyle name="Comma 4 2 2 3 2" xfId="213"/>
    <cellStyle name="Comma 4 2 2 3 2 2" xfId="214"/>
    <cellStyle name="Comma 4 2 2 3 2 2 2" xfId="215"/>
    <cellStyle name="Comma 4 2 2 3 2 3" xfId="216"/>
    <cellStyle name="Comma 4 2 2 3 2 3 2" xfId="217"/>
    <cellStyle name="Comma 4 2 2 3 2 4" xfId="218"/>
    <cellStyle name="Comma 4 2 2 3 3" xfId="219"/>
    <cellStyle name="Comma 4 2 2 3 3 2" xfId="220"/>
    <cellStyle name="Comma 4 2 2 3 4" xfId="221"/>
    <cellStyle name="Comma 4 2 2 3 4 2" xfId="222"/>
    <cellStyle name="Comma 4 2 2 3 5" xfId="223"/>
    <cellStyle name="Comma 4 2 2 4" xfId="224"/>
    <cellStyle name="Comma 4 2 2 4 2" xfId="225"/>
    <cellStyle name="Comma 4 2 2 4 2 2" xfId="226"/>
    <cellStyle name="Comma 4 2 2 4 3" xfId="227"/>
    <cellStyle name="Comma 4 2 2 4 3 2" xfId="228"/>
    <cellStyle name="Comma 4 2 2 4 4" xfId="229"/>
    <cellStyle name="Comma 4 2 2 5" xfId="230"/>
    <cellStyle name="Comma 4 2 2 5 2" xfId="231"/>
    <cellStyle name="Comma 4 2 2 6" xfId="232"/>
    <cellStyle name="Comma 4 2 2 6 2" xfId="233"/>
    <cellStyle name="Comma 4 2 2 7" xfId="234"/>
    <cellStyle name="Comma 4 2 3" xfId="235"/>
    <cellStyle name="Comma 4 2 3 2" xfId="236"/>
    <cellStyle name="Comma 4 2 3 2 2" xfId="237"/>
    <cellStyle name="Comma 4 2 3 2 2 2" xfId="238"/>
    <cellStyle name="Comma 4 2 3 2 3" xfId="239"/>
    <cellStyle name="Comma 4 2 3 2 3 2" xfId="240"/>
    <cellStyle name="Comma 4 2 3 2 4" xfId="241"/>
    <cellStyle name="Comma 4 2 3 3" xfId="242"/>
    <cellStyle name="Comma 4 2 3 3 2" xfId="243"/>
    <cellStyle name="Comma 4 2 3 4" xfId="244"/>
    <cellStyle name="Comma 4 2 3 4 2" xfId="245"/>
    <cellStyle name="Comma 4 2 3 5" xfId="246"/>
    <cellStyle name="Comma 4 2 4" xfId="247"/>
    <cellStyle name="Comma 4 2 4 2" xfId="248"/>
    <cellStyle name="Comma 4 2 4 2 2" xfId="249"/>
    <cellStyle name="Comma 4 2 4 3" xfId="250"/>
    <cellStyle name="Comma 4 2 4 3 2" xfId="251"/>
    <cellStyle name="Comma 4 2 4 4" xfId="252"/>
    <cellStyle name="Comma 4 2 5" xfId="253"/>
    <cellStyle name="Comma 4 2 5 2" xfId="254"/>
    <cellStyle name="Comma 4 2 6" xfId="255"/>
    <cellStyle name="Comma 4 2 6 2" xfId="256"/>
    <cellStyle name="Comma 4 2 7" xfId="257"/>
    <cellStyle name="Comma 5" xfId="258"/>
    <cellStyle name="Comma 5 2" xfId="259"/>
    <cellStyle name="Comma 5 3" xfId="260"/>
    <cellStyle name="Comma 6" xfId="261"/>
    <cellStyle name="Comma 7" xfId="262"/>
    <cellStyle name="Comma 8" xfId="263"/>
    <cellStyle name="Comma 9" xfId="264"/>
    <cellStyle name="Comma 9 2" xfId="265"/>
    <cellStyle name="Comma [0] 10" xfId="266"/>
    <cellStyle name="Comma [0] 11" xfId="267"/>
    <cellStyle name="Comma [0] 2" xfId="268"/>
    <cellStyle name="Comma [0] 2 2" xfId="269"/>
    <cellStyle name="Comma [0] 2 2 2" xfId="270"/>
    <cellStyle name="Comma [0] 2 2 2 2" xfId="271"/>
    <cellStyle name="Comma [0] 2 2 2 2 2" xfId="272"/>
    <cellStyle name="Comma [0] 2 2 2 2 2 2" xfId="273"/>
    <cellStyle name="Comma [0] 2 2 2 2 3" xfId="274"/>
    <cellStyle name="Comma [0] 2 2 2 2 3 2" xfId="275"/>
    <cellStyle name="Comma [0] 2 2 2 2 4" xfId="276"/>
    <cellStyle name="Comma [0] 2 2 2 2 4 2" xfId="277"/>
    <cellStyle name="Comma [0] 2 2 2 2 5" xfId="278"/>
    <cellStyle name="Comma [0] 2 2 2 3" xfId="279"/>
    <cellStyle name="Comma [0] 2 2 2 3 2" xfId="280"/>
    <cellStyle name="Comma [0] 2 2 2 4" xfId="281"/>
    <cellStyle name="Comma [0] 2 2 2 4 2" xfId="282"/>
    <cellStyle name="Comma [0] 2 2 2 5" xfId="283"/>
    <cellStyle name="Comma [0] 2 2 2 5 2" xfId="284"/>
    <cellStyle name="Comma [0] 2 2 2 6" xfId="285"/>
    <cellStyle name="Comma [0] 2 2 2 6 2" xfId="286"/>
    <cellStyle name="Comma [0] 2 2 2 7" xfId="287"/>
    <cellStyle name="Comma [0] 2 2 2 7 2" xfId="288"/>
    <cellStyle name="Comma [0] 2 2 2 8" xfId="289"/>
    <cellStyle name="Comma [0] 2 2 3" xfId="290"/>
    <cellStyle name="Comma [0] 2 2 3 2" xfId="291"/>
    <cellStyle name="Comma [0] 2 2 3 2 2" xfId="292"/>
    <cellStyle name="Comma [0] 2 2 3 3" xfId="293"/>
    <cellStyle name="Comma [0] 2 2 3 3 2" xfId="294"/>
    <cellStyle name="Comma [0] 2 2 3 4" xfId="295"/>
    <cellStyle name="Comma [0] 2 2 3 4 2" xfId="296"/>
    <cellStyle name="Comma [0] 2 2 3 5" xfId="297"/>
    <cellStyle name="Comma [0] 2 2 4" xfId="298"/>
    <cellStyle name="Comma [0] 2 2 4 2" xfId="299"/>
    <cellStyle name="Comma [0] 2 2 5" xfId="300"/>
    <cellStyle name="Comma [0] 2 2 5 2" xfId="301"/>
    <cellStyle name="Comma [0] 2 2 6" xfId="302"/>
    <cellStyle name="Comma [0] 2 2 6 2" xfId="303"/>
    <cellStyle name="Comma [0] 2 2 7" xfId="304"/>
    <cellStyle name="Comma [0] 2 2 7 2" xfId="305"/>
    <cellStyle name="Comma [0] 2 2 8" xfId="306"/>
    <cellStyle name="Comma [0] 2 2 8 2" xfId="307"/>
    <cellStyle name="Comma [0] 2 2 9" xfId="308"/>
    <cellStyle name="Comma [0] 3" xfId="309"/>
    <cellStyle name="Comma [0] 4" xfId="310"/>
    <cellStyle name="Comma [0] 5" xfId="311"/>
    <cellStyle name="Comma [0] 6" xfId="312"/>
    <cellStyle name="Comma [0] 6 2" xfId="313"/>
    <cellStyle name="Comma [0] 6 2 2" xfId="314"/>
    <cellStyle name="Comma [0] 6 3" xfId="315"/>
    <cellStyle name="Comma [0] 6 3 2" xfId="316"/>
    <cellStyle name="Comma [0] 6 4" xfId="317"/>
    <cellStyle name="Comma [0] 6 4 2" xfId="318"/>
    <cellStyle name="Comma [0] 6 5" xfId="319"/>
    <cellStyle name="Comma [0] 6 5 2" xfId="320"/>
    <cellStyle name="Comma [0] 6 6" xfId="321"/>
    <cellStyle name="Comma [0] 6 6 2" xfId="322"/>
    <cellStyle name="Comma [0] 6 7" xfId="323"/>
    <cellStyle name="Comma [0] 7" xfId="324"/>
    <cellStyle name="Comma [0] 7 2" xfId="325"/>
    <cellStyle name="Comma [0] 7 2 2" xfId="326"/>
    <cellStyle name="Comma [0] 7 3" xfId="327"/>
    <cellStyle name="Comma [0] 7 3 2" xfId="328"/>
    <cellStyle name="Comma [0] 7 4" xfId="329"/>
    <cellStyle name="Comma [0] 7 4 2" xfId="330"/>
    <cellStyle name="Comma [0] 7 5" xfId="331"/>
    <cellStyle name="Comma [0] 7 5 2" xfId="332"/>
    <cellStyle name="Comma [0] 7 6" xfId="333"/>
    <cellStyle name="Comma [0] 7 6 2" xfId="334"/>
    <cellStyle name="Comma [0] 7 7" xfId="335"/>
    <cellStyle name="Comma [0] 8" xfId="336"/>
    <cellStyle name="Comma [0] 9" xfId="337"/>
    <cellStyle name="comma zerodec" xfId="338"/>
    <cellStyle name="Credit" xfId="339"/>
    <cellStyle name="Currency1" xfId="340"/>
    <cellStyle name="Debit" xfId="341"/>
    <cellStyle name="Dollar (zero dec)" xfId="342"/>
    <cellStyle name="Euro" xfId="343"/>
    <cellStyle name="F2" xfId="344"/>
    <cellStyle name="F3" xfId="345"/>
    <cellStyle name="F4" xfId="346"/>
    <cellStyle name="F5" xfId="347"/>
    <cellStyle name="F6" xfId="348"/>
    <cellStyle name="F7" xfId="349"/>
    <cellStyle name="F8" xfId="350"/>
    <cellStyle name="Grey" xfId="351"/>
    <cellStyle name="Header1" xfId="352"/>
    <cellStyle name="Header2" xfId="353"/>
    <cellStyle name="Header2 2" xfId="354"/>
    <cellStyle name="Header2 2 2" xfId="355"/>
    <cellStyle name="Header2 2 2 2" xfId="356"/>
    <cellStyle name="Header2 2 2 3" xfId="357"/>
    <cellStyle name="Header2 2 3" xfId="358"/>
    <cellStyle name="Header2 2 4" xfId="359"/>
    <cellStyle name="Header2 3" xfId="360"/>
    <cellStyle name="Header2 3 2" xfId="361"/>
    <cellStyle name="Header2 3 3" xfId="362"/>
    <cellStyle name="Header2 4" xfId="363"/>
    <cellStyle name="Header2 4 2" xfId="364"/>
    <cellStyle name="Hyperlink 2" xfId="365"/>
    <cellStyle name="Hyperlink 3" xfId="366"/>
    <cellStyle name="Input [yellow]" xfId="367"/>
    <cellStyle name="Input [yellow] 2" xfId="368"/>
    <cellStyle name="Input [yellow] 2 2" xfId="369"/>
    <cellStyle name="Input [yellow] 2 2 2" xfId="370"/>
    <cellStyle name="Input [yellow] 2 2 3" xfId="371"/>
    <cellStyle name="Input [yellow] 2 2 4" xfId="372"/>
    <cellStyle name="Input [yellow] 2 3" xfId="373"/>
    <cellStyle name="Input [yellow] 2 4" xfId="374"/>
    <cellStyle name="Input [yellow] 2 5" xfId="375"/>
    <cellStyle name="Input [yellow] 3" xfId="376"/>
    <cellStyle name="Input [yellow] 3 2" xfId="377"/>
    <cellStyle name="Input [yellow] 3 3" xfId="378"/>
    <cellStyle name="Input [yellow] 3 4" xfId="379"/>
    <cellStyle name="Input [yellow] 4" xfId="380"/>
    <cellStyle name="KWE標準" xfId="381"/>
    <cellStyle name="no dec" xfId="382"/>
    <cellStyle name="Normal - Style1" xfId="383"/>
    <cellStyle name="Normal 10" xfId="384"/>
    <cellStyle name="Normal 11" xfId="385"/>
    <cellStyle name="Normal 12" xfId="386"/>
    <cellStyle name="Normal 13" xfId="387"/>
    <cellStyle name="Normal 14" xfId="388"/>
    <cellStyle name="Normal 15" xfId="389"/>
    <cellStyle name="Normal 15 2" xfId="390"/>
    <cellStyle name="Normal 15 3" xfId="391"/>
    <cellStyle name="Normal 15 3 2" xfId="392"/>
    <cellStyle name="Normal 15 3 2 2" xfId="393"/>
    <cellStyle name="Normal 15 3 2 2 2" xfId="394"/>
    <cellStyle name="Normal 15 3 2 2 2 2" xfId="395"/>
    <cellStyle name="Normal 15 3 2 2 3" xfId="396"/>
    <cellStyle name="Normal 15 3 2 2 3 2" xfId="397"/>
    <cellStyle name="Normal 15 3 2 2 4" xfId="398"/>
    <cellStyle name="Normal 15 3 2 3" xfId="399"/>
    <cellStyle name="Normal 15 3 2 3 2" xfId="400"/>
    <cellStyle name="Normal 15 3 2 4" xfId="401"/>
    <cellStyle name="Normal 15 3 2 4 2" xfId="402"/>
    <cellStyle name="Normal 15 3 2 5" xfId="403"/>
    <cellStyle name="Normal 15 3 3" xfId="404"/>
    <cellStyle name="Normal 15 3 3 2" xfId="405"/>
    <cellStyle name="Normal 15 3 3 2 2" xfId="406"/>
    <cellStyle name="Normal 15 3 3 3" xfId="407"/>
    <cellStyle name="Normal 15 3 3 3 2" xfId="408"/>
    <cellStyle name="Normal 15 3 3 4" xfId="409"/>
    <cellStyle name="Normal 15 3 4" xfId="410"/>
    <cellStyle name="Normal 15 3 4 2" xfId="411"/>
    <cellStyle name="Normal 15 3 5" xfId="412"/>
    <cellStyle name="Normal 15 3 5 2" xfId="413"/>
    <cellStyle name="Normal 15 3 6" xfId="414"/>
    <cellStyle name="Normal 16" xfId="415"/>
    <cellStyle name="Normal 17" xfId="416"/>
    <cellStyle name="Normal 17 2" xfId="417"/>
    <cellStyle name="Normal 17 2 2" xfId="418"/>
    <cellStyle name="Normal 17 2 2 2" xfId="419"/>
    <cellStyle name="Normal 17 2 2 2 2" xfId="420"/>
    <cellStyle name="Normal 17 2 2 3" xfId="421"/>
    <cellStyle name="Normal 17 2 2 3 2" xfId="422"/>
    <cellStyle name="Normal 17 2 2 4" xfId="423"/>
    <cellStyle name="Normal 17 2 3" xfId="424"/>
    <cellStyle name="Normal 17 2 3 2" xfId="425"/>
    <cellStyle name="Normal 17 2 4" xfId="426"/>
    <cellStyle name="Normal 17 2 4 2" xfId="427"/>
    <cellStyle name="Normal 17 2 5" xfId="428"/>
    <cellStyle name="Normal 17 3" xfId="429"/>
    <cellStyle name="Normal 17 3 2" xfId="430"/>
    <cellStyle name="Normal 17 3 2 2" xfId="431"/>
    <cellStyle name="Normal 17 3 3" xfId="432"/>
    <cellStyle name="Normal 17 3 3 2" xfId="433"/>
    <cellStyle name="Normal 17 3 4" xfId="434"/>
    <cellStyle name="Normal 17 4" xfId="435"/>
    <cellStyle name="Normal 17 4 2" xfId="436"/>
    <cellStyle name="Normal 17 5" xfId="437"/>
    <cellStyle name="Normal 17 5 2" xfId="438"/>
    <cellStyle name="Normal 17 6" xfId="439"/>
    <cellStyle name="Normal 18" xfId="440"/>
    <cellStyle name="Normal 18 2" xfId="441"/>
    <cellStyle name="Normal 18 2 2" xfId="442"/>
    <cellStyle name="Normal 18 2 2 2" xfId="443"/>
    <cellStyle name="Normal 18 2 2 2 2" xfId="444"/>
    <cellStyle name="Normal 18 2 2 3" xfId="445"/>
    <cellStyle name="Normal 18 2 2 3 2" xfId="446"/>
    <cellStyle name="Normal 18 2 2 4" xfId="447"/>
    <cellStyle name="Normal 18 2 3" xfId="448"/>
    <cellStyle name="Normal 18 2 3 2" xfId="449"/>
    <cellStyle name="Normal 18 2 4" xfId="450"/>
    <cellStyle name="Normal 18 2 4 2" xfId="451"/>
    <cellStyle name="Normal 18 2 5" xfId="452"/>
    <cellStyle name="Normal 18 3" xfId="453"/>
    <cellStyle name="Normal 18 3 2" xfId="454"/>
    <cellStyle name="Normal 18 3 2 2" xfId="455"/>
    <cellStyle name="Normal 18 3 3" xfId="456"/>
    <cellStyle name="Normal 18 3 3 2" xfId="457"/>
    <cellStyle name="Normal 18 3 4" xfId="458"/>
    <cellStyle name="Normal 18 4" xfId="459"/>
    <cellStyle name="Normal 18 4 2" xfId="460"/>
    <cellStyle name="Normal 18 5" xfId="461"/>
    <cellStyle name="Normal 18 5 2" xfId="462"/>
    <cellStyle name="Normal 18 6" xfId="463"/>
    <cellStyle name="Normal 19" xfId="464"/>
    <cellStyle name="Normal 2" xfId="465"/>
    <cellStyle name="Normal 2 2" xfId="466"/>
    <cellStyle name="Normal 2 2 2" xfId="467"/>
    <cellStyle name="Normal 2 2 3" xfId="468"/>
    <cellStyle name="Normal 2 2 5" xfId="469"/>
    <cellStyle name="Normal 2 3" xfId="470"/>
    <cellStyle name="Normal 2 3 2" xfId="471"/>
    <cellStyle name="Normal 2 3 2 2" xfId="472"/>
    <cellStyle name="Normal 2 3 2 2 2" xfId="473"/>
    <cellStyle name="Normal 2 3 2 2 2 2" xfId="474"/>
    <cellStyle name="Normal 2 3 2 2 3" xfId="475"/>
    <cellStyle name="Normal 2 3 2 2 3 2" xfId="476"/>
    <cellStyle name="Normal 2 3 2 2 4" xfId="477"/>
    <cellStyle name="Normal 2 3 2 3" xfId="478"/>
    <cellStyle name="Normal 2 3 2 3 2" xfId="479"/>
    <cellStyle name="Normal 2 3 2 4" xfId="480"/>
    <cellStyle name="Normal 2 3 2 4 2" xfId="481"/>
    <cellStyle name="Normal 2 3 2 5" xfId="482"/>
    <cellStyle name="Normal 2 4" xfId="483"/>
    <cellStyle name="Normal 2 5" xfId="484"/>
    <cellStyle name="Normal 2 6" xfId="485"/>
    <cellStyle name="Normal 2 7" xfId="486"/>
    <cellStyle name="Normal 20" xfId="487"/>
    <cellStyle name="Normal 20 2" xfId="488"/>
    <cellStyle name="Normal 20 2 2" xfId="489"/>
    <cellStyle name="Normal 20 2 2 2" xfId="490"/>
    <cellStyle name="Normal 20 2 2 2 2" xfId="491"/>
    <cellStyle name="Normal 20 2 2 3" xfId="492"/>
    <cellStyle name="Normal 20 2 2 3 2" xfId="493"/>
    <cellStyle name="Normal 20 2 2 4" xfId="494"/>
    <cellStyle name="Normal 20 2 3" xfId="495"/>
    <cellStyle name="Normal 20 2 3 2" xfId="496"/>
    <cellStyle name="Normal 20 2 4" xfId="497"/>
    <cellStyle name="Normal 20 2 4 2" xfId="498"/>
    <cellStyle name="Normal 20 2 5" xfId="499"/>
    <cellStyle name="Normal 20 3" xfId="500"/>
    <cellStyle name="Normal 20 3 2" xfId="501"/>
    <cellStyle name="Normal 20 3 2 2" xfId="502"/>
    <cellStyle name="Normal 20 3 3" xfId="503"/>
    <cellStyle name="Normal 20 3 3 2" xfId="504"/>
    <cellStyle name="Normal 20 3 4" xfId="505"/>
    <cellStyle name="Normal 20 4" xfId="506"/>
    <cellStyle name="Normal 20 4 2" xfId="507"/>
    <cellStyle name="Normal 20 5" xfId="508"/>
    <cellStyle name="Normal 20 5 2" xfId="509"/>
    <cellStyle name="Normal 20 6" xfId="510"/>
    <cellStyle name="Normal 21" xfId="511"/>
    <cellStyle name="Normal 21 2" xfId="512"/>
    <cellStyle name="Normal 21 2 2" xfId="513"/>
    <cellStyle name="Normal 21 2 2 2" xfId="514"/>
    <cellStyle name="Normal 21 2 2 2 2" xfId="515"/>
    <cellStyle name="Normal 21 2 2 3" xfId="516"/>
    <cellStyle name="Normal 21 2 2 3 2" xfId="517"/>
    <cellStyle name="Normal 21 2 2 4" xfId="518"/>
    <cellStyle name="Normal 21 2 3" xfId="519"/>
    <cellStyle name="Normal 21 2 3 2" xfId="520"/>
    <cellStyle name="Normal 21 2 4" xfId="521"/>
    <cellStyle name="Normal 21 2 4 2" xfId="522"/>
    <cellStyle name="Normal 21 2 5" xfId="523"/>
    <cellStyle name="Normal 21 3" xfId="524"/>
    <cellStyle name="Normal 21 3 2" xfId="525"/>
    <cellStyle name="Normal 21 3 2 2" xfId="526"/>
    <cellStyle name="Normal 21 3 3" xfId="527"/>
    <cellStyle name="Normal 21 3 3 2" xfId="528"/>
    <cellStyle name="Normal 21 3 4" xfId="529"/>
    <cellStyle name="Normal 21 4" xfId="530"/>
    <cellStyle name="Normal 21 4 2" xfId="531"/>
    <cellStyle name="Normal 21 5" xfId="532"/>
    <cellStyle name="Normal 21 5 2" xfId="533"/>
    <cellStyle name="Normal 21 6" xfId="534"/>
    <cellStyle name="Normal 22" xfId="535"/>
    <cellStyle name="Normal 22 2" xfId="536"/>
    <cellStyle name="Normal 22 2 2" xfId="537"/>
    <cellStyle name="Normal 22 2 2 2" xfId="538"/>
    <cellStyle name="Normal 22 2 3" xfId="539"/>
    <cellStyle name="Normal 22 2 3 2" xfId="540"/>
    <cellStyle name="Normal 22 2 4" xfId="541"/>
    <cellStyle name="Normal 22 3" xfId="542"/>
    <cellStyle name="Normal 22 3 2" xfId="543"/>
    <cellStyle name="Normal 22 4" xfId="544"/>
    <cellStyle name="Normal 22 4 2" xfId="545"/>
    <cellStyle name="Normal 22 5" xfId="546"/>
    <cellStyle name="Normal 23" xfId="547"/>
    <cellStyle name="Normal 23 2" xfId="548"/>
    <cellStyle name="Normal 23 2 2" xfId="549"/>
    <cellStyle name="Normal 23 2 2 2" xfId="550"/>
    <cellStyle name="Normal 23 2 3" xfId="551"/>
    <cellStyle name="Normal 23 2 3 2" xfId="552"/>
    <cellStyle name="Normal 23 2 4" xfId="553"/>
    <cellStyle name="Normal 23 3" xfId="554"/>
    <cellStyle name="Normal 23 3 2" xfId="555"/>
    <cellStyle name="Normal 23 4" xfId="556"/>
    <cellStyle name="Normal 23 4 2" xfId="557"/>
    <cellStyle name="Normal 23 5" xfId="558"/>
    <cellStyle name="Normal 24" xfId="559"/>
    <cellStyle name="Normal 24 2" xfId="560"/>
    <cellStyle name="Normal 24 2 2" xfId="561"/>
    <cellStyle name="Normal 24 2 2 2" xfId="562"/>
    <cellStyle name="Normal 24 2 2 3" xfId="563"/>
    <cellStyle name="Normal 24 2 3" xfId="564"/>
    <cellStyle name="Normal 24 2 3 2" xfId="565"/>
    <cellStyle name="Normal 24 2 4" xfId="566"/>
    <cellStyle name="Normal 24 3" xfId="567"/>
    <cellStyle name="Normal 24 3 2" xfId="568"/>
    <cellStyle name="Normal 24 4" xfId="569"/>
    <cellStyle name="Normal 24 4 2" xfId="570"/>
    <cellStyle name="Normal 24 5" xfId="571"/>
    <cellStyle name="Normal 25" xfId="572"/>
    <cellStyle name="Normal 25 2" xfId="573"/>
    <cellStyle name="Normal 25 2 2" xfId="574"/>
    <cellStyle name="Normal 25 2 2 2" xfId="575"/>
    <cellStyle name="Normal 25 2 3" xfId="576"/>
    <cellStyle name="Normal 25 2 3 2" xfId="577"/>
    <cellStyle name="Normal 25 2 4" xfId="578"/>
    <cellStyle name="Normal 25 3" xfId="579"/>
    <cellStyle name="Normal 25 3 2" xfId="580"/>
    <cellStyle name="Normal 25 4" xfId="581"/>
    <cellStyle name="Normal 25 4 2" xfId="582"/>
    <cellStyle name="Normal 25 5" xfId="583"/>
    <cellStyle name="Normal 26" xfId="584"/>
    <cellStyle name="Normal 26 2" xfId="585"/>
    <cellStyle name="Normal 26 2 2" xfId="586"/>
    <cellStyle name="Normal 26 2 2 2" xfId="587"/>
    <cellStyle name="Normal 26 2 3" xfId="588"/>
    <cellStyle name="Normal 26 2 3 2" xfId="589"/>
    <cellStyle name="Normal 26 2 4" xfId="590"/>
    <cellStyle name="Normal 26 3" xfId="591"/>
    <cellStyle name="Normal 26 3 2" xfId="592"/>
    <cellStyle name="Normal 26 4" xfId="593"/>
    <cellStyle name="Normal 26 4 2" xfId="594"/>
    <cellStyle name="Normal 26 5" xfId="595"/>
    <cellStyle name="Normal 27" xfId="596"/>
    <cellStyle name="Normal 27 2" xfId="597"/>
    <cellStyle name="Normal 27 2 2" xfId="598"/>
    <cellStyle name="Normal 27 2 2 2" xfId="599"/>
    <cellStyle name="Normal 27 2 3" xfId="600"/>
    <cellStyle name="Normal 27 2 3 2" xfId="601"/>
    <cellStyle name="Normal 27 2 4" xfId="602"/>
    <cellStyle name="Normal 27 3" xfId="603"/>
    <cellStyle name="Normal 27 3 2" xfId="604"/>
    <cellStyle name="Normal 27 4" xfId="605"/>
    <cellStyle name="Normal 27 4 2" xfId="606"/>
    <cellStyle name="Normal 27 5" xfId="607"/>
    <cellStyle name="Normal 28" xfId="608"/>
    <cellStyle name="Normal 28 2" xfId="609"/>
    <cellStyle name="Normal 28 2 2" xfId="610"/>
    <cellStyle name="Normal 28 2 2 2" xfId="611"/>
    <cellStyle name="Normal 28 2 3" xfId="612"/>
    <cellStyle name="Normal 28 2 3 2" xfId="613"/>
    <cellStyle name="Normal 28 2 4" xfId="614"/>
    <cellStyle name="Normal 28 3" xfId="615"/>
    <cellStyle name="Normal 28 3 2" xfId="616"/>
    <cellStyle name="Normal 28 4" xfId="617"/>
    <cellStyle name="Normal 28 4 2" xfId="618"/>
    <cellStyle name="Normal 28 5" xfId="619"/>
    <cellStyle name="Normal 29" xfId="620"/>
    <cellStyle name="Normal 29 2" xfId="621"/>
    <cellStyle name="Normal 29 2 2" xfId="622"/>
    <cellStyle name="Normal 29 2 2 2" xfId="623"/>
    <cellStyle name="Normal 29 2 3" xfId="624"/>
    <cellStyle name="Normal 29 2 3 2" xfId="625"/>
    <cellStyle name="Normal 29 2 4" xfId="626"/>
    <cellStyle name="Normal 29 3" xfId="627"/>
    <cellStyle name="Normal 29 3 2" xfId="628"/>
    <cellStyle name="Normal 29 4" xfId="629"/>
    <cellStyle name="Normal 29 4 2" xfId="630"/>
    <cellStyle name="Normal 29 5" xfId="631"/>
    <cellStyle name="Normal 2_TP Price List 2010  USD" xfId="632"/>
    <cellStyle name="Normal 3" xfId="633"/>
    <cellStyle name="Normal 3 2" xfId="634"/>
    <cellStyle name="Normal 3 2 2" xfId="635"/>
    <cellStyle name="Normal 3 2 2 2" xfId="636"/>
    <cellStyle name="Normal 3 2 2 2 2" xfId="637"/>
    <cellStyle name="Normal 3 2 2 2 2 2" xfId="638"/>
    <cellStyle name="Normal 3 2 2 2 2 2 2" xfId="639"/>
    <cellStyle name="Normal 3 2 2 2 2 3" xfId="640"/>
    <cellStyle name="Normal 3 2 2 2 2 3 2" xfId="641"/>
    <cellStyle name="Normal 3 2 2 2 2 4" xfId="642"/>
    <cellStyle name="Normal 3 2 2 2 3" xfId="643"/>
    <cellStyle name="Normal 3 2 2 2 3 2" xfId="644"/>
    <cellStyle name="Normal 3 2 2 2 4" xfId="645"/>
    <cellStyle name="Normal 3 2 2 2 4 2" xfId="646"/>
    <cellStyle name="Normal 3 2 2 2 5" xfId="647"/>
    <cellStyle name="Normal 3 2 2 3" xfId="648"/>
    <cellStyle name="Normal 3 2 2 3 2" xfId="649"/>
    <cellStyle name="Normal 3 2 2 3 2 2" xfId="650"/>
    <cellStyle name="Normal 3 2 2 3 3" xfId="651"/>
    <cellStyle name="Normal 3 2 2 3 3 2" xfId="652"/>
    <cellStyle name="Normal 3 2 2 3 4" xfId="653"/>
    <cellStyle name="Normal 3 2 2 4" xfId="654"/>
    <cellStyle name="Normal 3 2 2 4 2" xfId="655"/>
    <cellStyle name="Normal 3 2 2 5" xfId="656"/>
    <cellStyle name="Normal 3 2 2 5 2" xfId="657"/>
    <cellStyle name="Normal 3 2 2 6" xfId="658"/>
    <cellStyle name="Normal 3 3" xfId="659"/>
    <cellStyle name="Normal 30" xfId="660"/>
    <cellStyle name="Normal 31" xfId="661"/>
    <cellStyle name="Normal 31 2" xfId="662"/>
    <cellStyle name="Normal 31 2 2" xfId="663"/>
    <cellStyle name="Normal 31 2 2 2" xfId="664"/>
    <cellStyle name="Normal 31 2 3" xfId="665"/>
    <cellStyle name="Normal 31 2 3 2" xfId="666"/>
    <cellStyle name="Normal 31 2 4" xfId="667"/>
    <cellStyle name="Normal 31 3" xfId="668"/>
    <cellStyle name="Normal 31 3 2" xfId="669"/>
    <cellStyle name="Normal 31 4" xfId="670"/>
    <cellStyle name="Normal 31 4 2" xfId="671"/>
    <cellStyle name="Normal 31 5" xfId="672"/>
    <cellStyle name="Normal 32" xfId="673"/>
    <cellStyle name="Normal 32 2" xfId="674"/>
    <cellStyle name="Normal 32 2 2" xfId="675"/>
    <cellStyle name="Normal 32 2 2 2" xfId="676"/>
    <cellStyle name="Normal 32 2 3" xfId="677"/>
    <cellStyle name="Normal 32 2 3 2" xfId="678"/>
    <cellStyle name="Normal 32 2 4" xfId="679"/>
    <cellStyle name="Normal 32 3" xfId="680"/>
    <cellStyle name="Normal 32 3 2" xfId="681"/>
    <cellStyle name="Normal 32 4" xfId="682"/>
    <cellStyle name="Normal 32 5" xfId="683"/>
    <cellStyle name="Normal 32 5 2" xfId="684"/>
    <cellStyle name="Normal 32 6" xfId="685"/>
    <cellStyle name="Normal 33" xfId="686"/>
    <cellStyle name="Normal 34" xfId="687"/>
    <cellStyle name="Normal 35" xfId="688"/>
    <cellStyle name="Normal 36" xfId="689"/>
    <cellStyle name="Normal 37" xfId="690"/>
    <cellStyle name="Normal 37 2" xfId="691"/>
    <cellStyle name="Normal 4" xfId="692"/>
    <cellStyle name="Normal 4 2" xfId="693"/>
    <cellStyle name="Normal 4 2 2" xfId="694"/>
    <cellStyle name="Normal 5" xfId="695"/>
    <cellStyle name="Normal 5 2" xfId="696"/>
    <cellStyle name="Normal 55" xfId="697"/>
    <cellStyle name="Normal 6" xfId="698"/>
    <cellStyle name="Normal 7" xfId="699"/>
    <cellStyle name="Normal 8" xfId="700"/>
    <cellStyle name="Normal 9" xfId="701"/>
    <cellStyle name="Percent 10" xfId="702"/>
    <cellStyle name="Percent 10 2" xfId="703"/>
    <cellStyle name="Percent 10 2 2" xfId="704"/>
    <cellStyle name="Percent 10 2 2 2" xfId="705"/>
    <cellStyle name="Percent 10 2 2 2 2" xfId="706"/>
    <cellStyle name="Percent 10 2 2 3" xfId="707"/>
    <cellStyle name="Percent 10 2 2 3 2" xfId="708"/>
    <cellStyle name="Percent 10 2 2 4" xfId="709"/>
    <cellStyle name="Percent 10 2 3" xfId="710"/>
    <cellStyle name="Percent 10 2 3 2" xfId="711"/>
    <cellStyle name="Percent 10 2 4" xfId="712"/>
    <cellStyle name="Percent 10 2 4 2" xfId="713"/>
    <cellStyle name="Percent 10 2 5" xfId="714"/>
    <cellStyle name="Percent 10 3" xfId="715"/>
    <cellStyle name="Percent 10 3 2" xfId="716"/>
    <cellStyle name="Percent 10 3 2 2" xfId="717"/>
    <cellStyle name="Percent 10 3 3" xfId="718"/>
    <cellStyle name="Percent 10 3 3 2" xfId="719"/>
    <cellStyle name="Percent 10 3 4" xfId="720"/>
    <cellStyle name="Percent 10 4" xfId="721"/>
    <cellStyle name="Percent 10 4 2" xfId="722"/>
    <cellStyle name="Percent 10 5" xfId="723"/>
    <cellStyle name="Percent 10 5 2" xfId="724"/>
    <cellStyle name="Percent 10 6" xfId="725"/>
    <cellStyle name="Percent 11" xfId="726"/>
    <cellStyle name="Percent 11 2" xfId="727"/>
    <cellStyle name="Percent 11 2 2" xfId="728"/>
    <cellStyle name="Percent 11 2 2 2" xfId="729"/>
    <cellStyle name="Percent 11 2 2 2 2" xfId="730"/>
    <cellStyle name="Percent 11 2 2 3" xfId="731"/>
    <cellStyle name="Percent 11 2 2 3 2" xfId="732"/>
    <cellStyle name="Percent 11 2 2 4" xfId="733"/>
    <cellStyle name="Percent 11 2 3" xfId="734"/>
    <cellStyle name="Percent 11 2 3 2" xfId="735"/>
    <cellStyle name="Percent 11 2 4" xfId="736"/>
    <cellStyle name="Percent 11 2 4 2" xfId="737"/>
    <cellStyle name="Percent 11 2 5" xfId="738"/>
    <cellStyle name="Percent 11 3" xfId="739"/>
    <cellStyle name="Percent 11 3 2" xfId="740"/>
    <cellStyle name="Percent 11 3 2 2" xfId="741"/>
    <cellStyle name="Percent 11 3 3" xfId="742"/>
    <cellStyle name="Percent 11 3 3 2" xfId="743"/>
    <cellStyle name="Percent 11 3 4" xfId="744"/>
    <cellStyle name="Percent 11 4" xfId="745"/>
    <cellStyle name="Percent 11 4 2" xfId="746"/>
    <cellStyle name="Percent 11 5" xfId="747"/>
    <cellStyle name="Percent 11 5 2" xfId="748"/>
    <cellStyle name="Percent 11 6" xfId="749"/>
    <cellStyle name="Percent 12" xfId="750"/>
    <cellStyle name="Percent 13" xfId="751"/>
    <cellStyle name="Percent 14" xfId="752"/>
    <cellStyle name="Percent 14 2" xfId="753"/>
    <cellStyle name="Percent 14 2 2" xfId="754"/>
    <cellStyle name="Percent 14 2 2 2" xfId="755"/>
    <cellStyle name="Percent 14 2 3" xfId="756"/>
    <cellStyle name="Percent 14 2 3 2" xfId="757"/>
    <cellStyle name="Percent 14 2 4" xfId="758"/>
    <cellStyle name="Percent 14 3" xfId="759"/>
    <cellStyle name="Percent 14 3 2" xfId="760"/>
    <cellStyle name="Percent 14 4" xfId="761"/>
    <cellStyle name="Percent 14 4 2" xfId="762"/>
    <cellStyle name="Percent 14 5" xfId="763"/>
    <cellStyle name="Percent 15" xfId="764"/>
    <cellStyle name="Percent 15 2" xfId="765"/>
    <cellStyle name="Percent 15 2 2" xfId="766"/>
    <cellStyle name="Percent 15 2 2 2" xfId="767"/>
    <cellStyle name="Percent 15 2 3" xfId="768"/>
    <cellStyle name="Percent 15 2 3 2" xfId="769"/>
    <cellStyle name="Percent 15 2 4" xfId="770"/>
    <cellStyle name="Percent 15 3" xfId="771"/>
    <cellStyle name="Percent 15 3 2" xfId="772"/>
    <cellStyle name="Percent 15 4" xfId="773"/>
    <cellStyle name="Percent 15 4 2" xfId="774"/>
    <cellStyle name="Percent 15 5" xfId="775"/>
    <cellStyle name="Percent 16" xfId="776"/>
    <cellStyle name="Percent 16 2" xfId="777"/>
    <cellStyle name="Percent 16 2 2" xfId="778"/>
    <cellStyle name="Percent 16 2 2 2" xfId="779"/>
    <cellStyle name="Percent 16 2 3" xfId="780"/>
    <cellStyle name="Percent 16 2 3 2" xfId="781"/>
    <cellStyle name="Percent 16 2 4" xfId="782"/>
    <cellStyle name="Percent 16 3" xfId="783"/>
    <cellStyle name="Percent 16 3 2" xfId="784"/>
    <cellStyle name="Percent 16 4" xfId="785"/>
    <cellStyle name="Percent 16 4 2" xfId="786"/>
    <cellStyle name="Percent 16 5" xfId="787"/>
    <cellStyle name="Percent 17" xfId="788"/>
    <cellStyle name="Percent 17 2" xfId="789"/>
    <cellStyle name="Percent 17 2 2" xfId="790"/>
    <cellStyle name="Percent 17 2 2 2" xfId="791"/>
    <cellStyle name="Percent 17 2 3" xfId="792"/>
    <cellStyle name="Percent 17 2 3 2" xfId="793"/>
    <cellStyle name="Percent 17 2 4" xfId="794"/>
    <cellStyle name="Percent 17 3" xfId="795"/>
    <cellStyle name="Percent 17 3 2" xfId="796"/>
    <cellStyle name="Percent 17 4" xfId="797"/>
    <cellStyle name="Percent 17 4 2" xfId="798"/>
    <cellStyle name="Percent 17 5" xfId="799"/>
    <cellStyle name="Percent 18" xfId="800"/>
    <cellStyle name="Percent 18 2" xfId="801"/>
    <cellStyle name="Percent 18 2 2" xfId="802"/>
    <cellStyle name="Percent 18 2 2 2" xfId="803"/>
    <cellStyle name="Percent 18 2 3" xfId="804"/>
    <cellStyle name="Percent 18 2 3 2" xfId="805"/>
    <cellStyle name="Percent 18 2 4" xfId="806"/>
    <cellStyle name="Percent 18 3" xfId="807"/>
    <cellStyle name="Percent 18 3 2" xfId="808"/>
    <cellStyle name="Percent 18 4" xfId="809"/>
    <cellStyle name="Percent 18 4 2" xfId="810"/>
    <cellStyle name="Percent 18 5" xfId="811"/>
    <cellStyle name="Percent 19" xfId="812"/>
    <cellStyle name="Percent 19 2" xfId="813"/>
    <cellStyle name="Percent 19 2 2" xfId="814"/>
    <cellStyle name="Percent 19 2 2 2" xfId="815"/>
    <cellStyle name="Percent 19 2 3" xfId="816"/>
    <cellStyle name="Percent 19 2 3 2" xfId="817"/>
    <cellStyle name="Percent 19 2 4" xfId="818"/>
    <cellStyle name="Percent 19 3" xfId="819"/>
    <cellStyle name="Percent 19 3 2" xfId="820"/>
    <cellStyle name="Percent 19 4" xfId="821"/>
    <cellStyle name="Percent 19 4 2" xfId="822"/>
    <cellStyle name="Percent 19 5" xfId="823"/>
    <cellStyle name="Percent 2" xfId="824"/>
    <cellStyle name="Percent 2 2" xfId="825"/>
    <cellStyle name="Percent 2 3" xfId="826"/>
    <cellStyle name="Percent 2 4" xfId="827"/>
    <cellStyle name="Percent 2 4 2" xfId="828"/>
    <cellStyle name="Percent 2 4 2 2" xfId="829"/>
    <cellStyle name="Percent 2 4 2 2 2" xfId="830"/>
    <cellStyle name="Percent 2 4 2 2 2 2" xfId="831"/>
    <cellStyle name="Percent 2 4 2 2 2 2 2" xfId="832"/>
    <cellStyle name="Percent 2 4 2 2 2 3" xfId="833"/>
    <cellStyle name="Percent 2 4 2 2 2 3 2" xfId="834"/>
    <cellStyle name="Percent 2 4 2 2 2 4" xfId="835"/>
    <cellStyle name="Percent 2 4 2 2 3" xfId="836"/>
    <cellStyle name="Percent 2 4 2 2 3 2" xfId="837"/>
    <cellStyle name="Percent 2 4 2 2 4" xfId="838"/>
    <cellStyle name="Percent 2 4 2 2 4 2" xfId="839"/>
    <cellStyle name="Percent 2 4 2 2 5" xfId="840"/>
    <cellStyle name="Percent 2 4 2 3" xfId="841"/>
    <cellStyle name="Percent 2 4 2 3 2" xfId="842"/>
    <cellStyle name="Percent 2 4 2 3 2 2" xfId="843"/>
    <cellStyle name="Percent 2 4 2 3 3" xfId="844"/>
    <cellStyle name="Percent 2 4 2 3 3 2" xfId="845"/>
    <cellStyle name="Percent 2 4 2 3 4" xfId="846"/>
    <cellStyle name="Percent 2 4 2 4" xfId="847"/>
    <cellStyle name="Percent 2 4 2 4 2" xfId="848"/>
    <cellStyle name="Percent 2 4 2 5" xfId="849"/>
    <cellStyle name="Percent 2 4 2 5 2" xfId="850"/>
    <cellStyle name="Percent 2 4 2 6" xfId="851"/>
    <cellStyle name="Percent 2 4 3" xfId="852"/>
    <cellStyle name="Percent 2 4 3 2" xfId="853"/>
    <cellStyle name="Percent 2 4 3 2 2" xfId="854"/>
    <cellStyle name="Percent 2 4 3 3" xfId="855"/>
    <cellStyle name="Percent 2 4 3 3 2" xfId="856"/>
    <cellStyle name="Percent 2 4 3 4" xfId="857"/>
    <cellStyle name="Percent 2 4 4" xfId="858"/>
    <cellStyle name="Percent 2 4 4 2" xfId="859"/>
    <cellStyle name="Percent 2 4 5" xfId="860"/>
    <cellStyle name="Percent 2 4 5 2" xfId="861"/>
    <cellStyle name="Percent 2 4 6" xfId="862"/>
    <cellStyle name="Percent 20" xfId="863"/>
    <cellStyle name="Percent 20 2" xfId="864"/>
    <cellStyle name="Percent 20 2 2" xfId="865"/>
    <cellStyle name="Percent 20 2 2 2" xfId="866"/>
    <cellStyle name="Percent 20 2 3" xfId="867"/>
    <cellStyle name="Percent 20 2 3 2" xfId="868"/>
    <cellStyle name="Percent 20 2 4" xfId="869"/>
    <cellStyle name="Percent 20 3" xfId="870"/>
    <cellStyle name="Percent 20 3 2" xfId="871"/>
    <cellStyle name="Percent 20 4" xfId="872"/>
    <cellStyle name="Percent 20 4 2" xfId="873"/>
    <cellStyle name="Percent 20 5" xfId="874"/>
    <cellStyle name="Percent 21" xfId="875"/>
    <cellStyle name="Percent 22" xfId="876"/>
    <cellStyle name="Percent 23" xfId="877"/>
    <cellStyle name="Percent 24" xfId="878"/>
    <cellStyle name="Percent 25" xfId="879"/>
    <cellStyle name="Percent 26" xfId="880"/>
    <cellStyle name="Percent 27" xfId="881"/>
    <cellStyle name="Percent 27 2" xfId="882"/>
    <cellStyle name="Percent 28" xfId="883"/>
    <cellStyle name="Percent 29" xfId="884"/>
    <cellStyle name="Percent 3" xfId="885"/>
    <cellStyle name="Percent 30" xfId="886"/>
    <cellStyle name="Percent 31" xfId="887"/>
    <cellStyle name="Percent 32" xfId="888"/>
    <cellStyle name="Percent 33" xfId="889"/>
    <cellStyle name="Percent 4" xfId="890"/>
    <cellStyle name="Percent 5" xfId="891"/>
    <cellStyle name="Percent 6" xfId="892"/>
    <cellStyle name="Percent 7" xfId="893"/>
    <cellStyle name="Percent 8" xfId="894"/>
    <cellStyle name="Percent 9" xfId="895"/>
    <cellStyle name="Percent 9 2" xfId="896"/>
    <cellStyle name="Percent 9 2 2" xfId="897"/>
    <cellStyle name="Percent 9 2 2 2" xfId="898"/>
    <cellStyle name="Percent 9 2 2 2 2" xfId="899"/>
    <cellStyle name="Percent 9 2 2 3" xfId="900"/>
    <cellStyle name="Percent 9 2 2 3 2" xfId="901"/>
    <cellStyle name="Percent 9 2 2 4" xfId="902"/>
    <cellStyle name="Percent 9 2 3" xfId="903"/>
    <cellStyle name="Percent 9 2 3 2" xfId="904"/>
    <cellStyle name="Percent 9 2 4" xfId="905"/>
    <cellStyle name="Percent 9 2 4 2" xfId="906"/>
    <cellStyle name="Percent 9 2 5" xfId="907"/>
    <cellStyle name="Percent 9 3" xfId="908"/>
    <cellStyle name="Percent 9 3 2" xfId="909"/>
    <cellStyle name="Percent 9 3 2 2" xfId="910"/>
    <cellStyle name="Percent 9 3 3" xfId="911"/>
    <cellStyle name="Percent 9 3 3 2" xfId="912"/>
    <cellStyle name="Percent 9 3 4" xfId="913"/>
    <cellStyle name="Percent 9 4" xfId="914"/>
    <cellStyle name="Percent 9 4 2" xfId="915"/>
    <cellStyle name="Percent 9 5" xfId="916"/>
    <cellStyle name="Percent 9 5 2" xfId="917"/>
    <cellStyle name="Percent 9 6" xfId="918"/>
    <cellStyle name="Percent [2]" xfId="919"/>
    <cellStyle name="Percent [2] 2" xfId="920"/>
    <cellStyle name="Pivot Table Category" xfId="921"/>
    <cellStyle name="Pivot Table Corner" xfId="922"/>
    <cellStyle name="Pivot Table Field" xfId="923"/>
    <cellStyle name="Pivot Table Result" xfId="924"/>
    <cellStyle name="Pivot Table Title" xfId="925"/>
    <cellStyle name="Pivot Table Value" xfId="926"/>
    <cellStyle name="Quantity" xfId="927"/>
    <cellStyle name="Quantity 2" xfId="928"/>
    <cellStyle name="Style 1" xfId="929"/>
    <cellStyle name="ปกติ_ASSEMBpw4_picture" xfId="930"/>
    <cellStyle name="เครื่องหมายจุลภาค [0]_ASSEMBpw4_picture" xfId="931"/>
    <cellStyle name="เครื่องหมายจุลภาค_ASSEMBpw4_picture" xfId="932"/>
    <cellStyle name="เครื่องหมายสกุลเงิน [0]_ASSEMBpw4_picture" xfId="933"/>
    <cellStyle name="เครื่องหมายสกุลเงิน_ASSEMBpw4_picture" xfId="934"/>
    <cellStyle name="どちらでもない" xfId="935"/>
    <cellStyle name="アクセント 1" xfId="936"/>
    <cellStyle name="アクセント 2" xfId="937"/>
    <cellStyle name="アクセント 3" xfId="938"/>
    <cellStyle name="アクセント 4" xfId="939"/>
    <cellStyle name="アクセント 5" xfId="940"/>
    <cellStyle name="アクセント 6" xfId="941"/>
    <cellStyle name="スタイル 1" xfId="942"/>
    <cellStyle name="タイトル" xfId="943"/>
    <cellStyle name="チェック セル" xfId="944"/>
    <cellStyle name="メモ" xfId="945"/>
    <cellStyle name="メモ 2" xfId="946"/>
    <cellStyle name="メモ 2 2" xfId="947"/>
    <cellStyle name="メモ 2 2 2" xfId="948"/>
    <cellStyle name="メモ 2 2 3" xfId="949"/>
    <cellStyle name="メモ 2 2 4" xfId="950"/>
    <cellStyle name="メモ 2 3" xfId="951"/>
    <cellStyle name="メモ 2 4" xfId="952"/>
    <cellStyle name="メモ 2 5" xfId="953"/>
    <cellStyle name="メモ 3" xfId="954"/>
    <cellStyle name="メモ 3 2" xfId="955"/>
    <cellStyle name="メモ 3 2 2" xfId="956"/>
    <cellStyle name="メモ 3 2 3" xfId="957"/>
    <cellStyle name="メモ 3 2 4" xfId="958"/>
    <cellStyle name="メモ 3 3" xfId="959"/>
    <cellStyle name="メモ 3 4" xfId="960"/>
    <cellStyle name="メモ 3 5" xfId="961"/>
    <cellStyle name="メモ 4" xfId="962"/>
    <cellStyle name="メモ 4 2" xfId="963"/>
    <cellStyle name="メモ 4 3" xfId="964"/>
    <cellStyle name="メモ 4 4" xfId="965"/>
    <cellStyle name="メモ 5" xfId="966"/>
    <cellStyle name="メモ 6" xfId="967"/>
    <cellStyle name="メモ 7" xfId="968"/>
    <cellStyle name="リンク セル" xfId="969"/>
    <cellStyle name="入力" xfId="970"/>
    <cellStyle name="入力 2" xfId="971"/>
    <cellStyle name="入力 2 2" xfId="972"/>
    <cellStyle name="入力 2 2 2" xfId="973"/>
    <cellStyle name="入力 2 2 3" xfId="974"/>
    <cellStyle name="入力 2 2 4" xfId="975"/>
    <cellStyle name="入力 2 3" xfId="976"/>
    <cellStyle name="入力 2 4" xfId="977"/>
    <cellStyle name="入力 2 5" xfId="978"/>
    <cellStyle name="入力 3" xfId="979"/>
    <cellStyle name="入力 3 2" xfId="980"/>
    <cellStyle name="入力 3 2 2" xfId="981"/>
    <cellStyle name="入力 3 2 3" xfId="982"/>
    <cellStyle name="入力 3 2 4" xfId="983"/>
    <cellStyle name="入力 3 3" xfId="984"/>
    <cellStyle name="入力 3 4" xfId="985"/>
    <cellStyle name="入力 3 5" xfId="986"/>
    <cellStyle name="入力 4" xfId="987"/>
    <cellStyle name="入力 4 2" xfId="988"/>
    <cellStyle name="入力 4 3" xfId="989"/>
    <cellStyle name="入力 4 4" xfId="990"/>
    <cellStyle name="入力 5" xfId="991"/>
    <cellStyle name="入力 6" xfId="992"/>
    <cellStyle name="入力 7" xfId="993"/>
    <cellStyle name="出力" xfId="994"/>
    <cellStyle name="出力 2" xfId="995"/>
    <cellStyle name="出力 2 2" xfId="996"/>
    <cellStyle name="出力 2 2 2" xfId="997"/>
    <cellStyle name="出力 2 2 2 2" xfId="998"/>
    <cellStyle name="出力 2 2 2 2 2" xfId="999"/>
    <cellStyle name="出力 2 2 2 2 3" xfId="1000"/>
    <cellStyle name="出力 2 2 2 2 4" xfId="1001"/>
    <cellStyle name="出力 2 2 2 3" xfId="1002"/>
    <cellStyle name="出力 2 2 2 4" xfId="1003"/>
    <cellStyle name="出力 2 2 3" xfId="1004"/>
    <cellStyle name="出力 2 2 4" xfId="1005"/>
    <cellStyle name="出力 2 2 5" xfId="1006"/>
    <cellStyle name="出力 2 3" xfId="1007"/>
    <cellStyle name="出力 2 3 2" xfId="1008"/>
    <cellStyle name="出力 2 3 2 2" xfId="1009"/>
    <cellStyle name="出力 2 3 2 3" xfId="1010"/>
    <cellStyle name="出力 2 3 2 4" xfId="1011"/>
    <cellStyle name="出力 2 3 3" xfId="1012"/>
    <cellStyle name="出力 2 3 4" xfId="1013"/>
    <cellStyle name="出力 2 4" xfId="1014"/>
    <cellStyle name="出力 2 5" xfId="1015"/>
    <cellStyle name="出力 2 6" xfId="1016"/>
    <cellStyle name="出力 3" xfId="1017"/>
    <cellStyle name="出力 3 2" xfId="1018"/>
    <cellStyle name="出力 3 2 2" xfId="1019"/>
    <cellStyle name="出力 3 2 2 2" xfId="1020"/>
    <cellStyle name="出力 3 2 2 2 2" xfId="1021"/>
    <cellStyle name="出力 3 2 2 2 3" xfId="1022"/>
    <cellStyle name="出力 3 2 2 2 4" xfId="1023"/>
    <cellStyle name="出力 3 2 2 3" xfId="1024"/>
    <cellStyle name="出力 3 2 2 4" xfId="1025"/>
    <cellStyle name="出力 3 2 3" xfId="1026"/>
    <cellStyle name="出力 3 2 4" xfId="1027"/>
    <cellStyle name="出力 3 2 5" xfId="1028"/>
    <cellStyle name="出力 3 3" xfId="1029"/>
    <cellStyle name="出力 3 3 2" xfId="1030"/>
    <cellStyle name="出力 3 3 2 2" xfId="1031"/>
    <cellStyle name="出力 3 3 2 3" xfId="1032"/>
    <cellStyle name="出力 3 3 2 4" xfId="1033"/>
    <cellStyle name="出力 3 3 3" xfId="1034"/>
    <cellStyle name="出力 3 3 4" xfId="1035"/>
    <cellStyle name="出力 3 4" xfId="1036"/>
    <cellStyle name="出力 3 5" xfId="1037"/>
    <cellStyle name="出力 3 6" xfId="1038"/>
    <cellStyle name="出力 4" xfId="1039"/>
    <cellStyle name="出力 4 2" xfId="1040"/>
    <cellStyle name="出力 4 2 2" xfId="1041"/>
    <cellStyle name="出力 4 2 2 2" xfId="1042"/>
    <cellStyle name="出力 4 2 2 3" xfId="1043"/>
    <cellStyle name="出力 4 2 2 4" xfId="1044"/>
    <cellStyle name="出力 4 2 3" xfId="1045"/>
    <cellStyle name="出力 4 2 4" xfId="1046"/>
    <cellStyle name="出力 4 3" xfId="1047"/>
    <cellStyle name="出力 4 4" xfId="1048"/>
    <cellStyle name="出力 4 5" xfId="1049"/>
    <cellStyle name="出力 5" xfId="1050"/>
    <cellStyle name="出力 6" xfId="1051"/>
    <cellStyle name="出力 7" xfId="1052"/>
    <cellStyle name="好" xfId="1053"/>
    <cellStyle name="差" xfId="1054"/>
    <cellStyle name="常规_BS.PL.COST.ADMIN_08'02" xfId="1055"/>
    <cellStyle name="强调文字颜色 1" xfId="1056"/>
    <cellStyle name="强调文字颜色 2" xfId="1057"/>
    <cellStyle name="强调文字颜色 3" xfId="1058"/>
    <cellStyle name="强调文字颜色 4" xfId="1059"/>
    <cellStyle name="强调文字颜色 5" xfId="1060"/>
    <cellStyle name="强调文字颜色 6" xfId="1061"/>
    <cellStyle name="悪い" xfId="1062"/>
    <cellStyle name="标题" xfId="1063"/>
    <cellStyle name="标题 1" xfId="1064"/>
    <cellStyle name="标题 2" xfId="1065"/>
    <cellStyle name="标题 3" xfId="1066"/>
    <cellStyle name="标题 3 2" xfId="1067"/>
    <cellStyle name="标题 4" xfId="1068"/>
    <cellStyle name="桁区切り 3" xfId="1069"/>
    <cellStyle name="桁蟻唇Ｆ [0.00]_pldt dis" xfId="1070"/>
    <cellStyle name="桁蟻唇Ｆ_pldt0]_p" xfId="1071"/>
    <cellStyle name="检查单元格" xfId="1072"/>
    <cellStyle name="標準 2" xfId="1073"/>
    <cellStyle name="標準 3" xfId="1074"/>
    <cellStyle name="標準 4" xfId="1075"/>
    <cellStyle name="汇总" xfId="1076"/>
    <cellStyle name="汇总 2" xfId="1077"/>
    <cellStyle name="汇总 2 2" xfId="1078"/>
    <cellStyle name="汇总 2 2 2" xfId="1079"/>
    <cellStyle name="汇总 2 2 3" xfId="1080"/>
    <cellStyle name="汇总 2 2 4" xfId="1081"/>
    <cellStyle name="汇总 2 2 5" xfId="1082"/>
    <cellStyle name="汇总 2 3" xfId="1083"/>
    <cellStyle name="汇总 2 4" xfId="1084"/>
    <cellStyle name="汇总 2 5" xfId="1085"/>
    <cellStyle name="汇总 2 6" xfId="1086"/>
    <cellStyle name="汇总 3" xfId="1087"/>
    <cellStyle name="汇总 3 2" xfId="1088"/>
    <cellStyle name="汇总 3 2 2" xfId="1089"/>
    <cellStyle name="汇总 3 2 3" xfId="1090"/>
    <cellStyle name="汇总 3 2 4" xfId="1091"/>
    <cellStyle name="汇总 3 2 5" xfId="1092"/>
    <cellStyle name="汇总 3 3" xfId="1093"/>
    <cellStyle name="汇总 3 4" xfId="1094"/>
    <cellStyle name="汇总 3 5" xfId="1095"/>
    <cellStyle name="汇总 3 6" xfId="1096"/>
    <cellStyle name="汇总 4" xfId="1097"/>
    <cellStyle name="汇总 4 2" xfId="1098"/>
    <cellStyle name="汇总 4 3" xfId="1099"/>
    <cellStyle name="汇总 4 4" xfId="1100"/>
    <cellStyle name="汇总 4 5" xfId="1101"/>
    <cellStyle name="汇总 5" xfId="1102"/>
    <cellStyle name="汇总 6" xfId="1103"/>
    <cellStyle name="汇总 7" xfId="1104"/>
    <cellStyle name="注释" xfId="1105"/>
    <cellStyle name="注释 2" xfId="1106"/>
    <cellStyle name="注释 2 2" xfId="1107"/>
    <cellStyle name="注释 2 2 2" xfId="1108"/>
    <cellStyle name="注释 2 2 3" xfId="1109"/>
    <cellStyle name="注释 2 2 4" xfId="1110"/>
    <cellStyle name="注释 2 3" xfId="1111"/>
    <cellStyle name="注释 2 4" xfId="1112"/>
    <cellStyle name="注释 2 5" xfId="1113"/>
    <cellStyle name="注释 3" xfId="1114"/>
    <cellStyle name="注释 3 2" xfId="1115"/>
    <cellStyle name="注释 3 2 2" xfId="1116"/>
    <cellStyle name="注释 3 2 3" xfId="1117"/>
    <cellStyle name="注释 3 2 4" xfId="1118"/>
    <cellStyle name="注释 3 3" xfId="1119"/>
    <cellStyle name="注释 3 4" xfId="1120"/>
    <cellStyle name="注释 3 5" xfId="1121"/>
    <cellStyle name="注释 4" xfId="1122"/>
    <cellStyle name="注释 4 2" xfId="1123"/>
    <cellStyle name="注释 4 3" xfId="1124"/>
    <cellStyle name="注释 4 4" xfId="1125"/>
    <cellStyle name="注释 5" xfId="1126"/>
    <cellStyle name="注释 6" xfId="1127"/>
    <cellStyle name="注释 7" xfId="1128"/>
    <cellStyle name="脱浦 [0.00]_・窟嘘" xfId="1129"/>
    <cellStyle name="脱浦_・窟嘘" xfId="1130"/>
    <cellStyle name="良い" xfId="1131"/>
    <cellStyle name="見出し 1" xfId="1132"/>
    <cellStyle name="見出し 2" xfId="1133"/>
    <cellStyle name="見出し 3" xfId="1134"/>
    <cellStyle name="見出し 3 2" xfId="1135"/>
    <cellStyle name="見出し 4" xfId="1136"/>
    <cellStyle name="解释性文本" xfId="1137"/>
    <cellStyle name="計算" xfId="1138"/>
    <cellStyle name="計算 2" xfId="1139"/>
    <cellStyle name="計算 2 2" xfId="1140"/>
    <cellStyle name="計算 2 2 2" xfId="1141"/>
    <cellStyle name="計算 2 2 3" xfId="1142"/>
    <cellStyle name="計算 2 2 4" xfId="1143"/>
    <cellStyle name="計算 2 3" xfId="1144"/>
    <cellStyle name="計算 2 4" xfId="1145"/>
    <cellStyle name="計算 2 5" xfId="1146"/>
    <cellStyle name="計算 3" xfId="1147"/>
    <cellStyle name="計算 3 2" xfId="1148"/>
    <cellStyle name="計算 3 2 2" xfId="1149"/>
    <cellStyle name="計算 3 2 3" xfId="1150"/>
    <cellStyle name="計算 3 2 4" xfId="1151"/>
    <cellStyle name="計算 3 3" xfId="1152"/>
    <cellStyle name="計算 3 4" xfId="1153"/>
    <cellStyle name="計算 3 5" xfId="1154"/>
    <cellStyle name="計算 4" xfId="1155"/>
    <cellStyle name="計算 4 2" xfId="1156"/>
    <cellStyle name="計算 4 3" xfId="1157"/>
    <cellStyle name="計算 4 4" xfId="1158"/>
    <cellStyle name="計算 5" xfId="1159"/>
    <cellStyle name="計算 6" xfId="1160"/>
    <cellStyle name="計算 7" xfId="1161"/>
    <cellStyle name="説明文" xfId="1162"/>
    <cellStyle name="警告文" xfId="1163"/>
    <cellStyle name="警告文本" xfId="1164"/>
    <cellStyle name="计算" xfId="1165"/>
    <cellStyle name="计算 2" xfId="1166"/>
    <cellStyle name="计算 2 2" xfId="1167"/>
    <cellStyle name="计算 2 2 2" xfId="1168"/>
    <cellStyle name="计算 2 2 3" xfId="1169"/>
    <cellStyle name="计算 2 2 4" xfId="1170"/>
    <cellStyle name="计算 2 3" xfId="1171"/>
    <cellStyle name="计算 2 4" xfId="1172"/>
    <cellStyle name="计算 2 5" xfId="1173"/>
    <cellStyle name="计算 3" xfId="1174"/>
    <cellStyle name="计算 3 2" xfId="1175"/>
    <cellStyle name="计算 3 2 2" xfId="1176"/>
    <cellStyle name="计算 3 2 3" xfId="1177"/>
    <cellStyle name="计算 3 2 4" xfId="1178"/>
    <cellStyle name="计算 3 3" xfId="1179"/>
    <cellStyle name="计算 3 4" xfId="1180"/>
    <cellStyle name="计算 3 5" xfId="1181"/>
    <cellStyle name="计算 4" xfId="1182"/>
    <cellStyle name="计算 4 2" xfId="1183"/>
    <cellStyle name="计算 4 3" xfId="1184"/>
    <cellStyle name="计算 4 4" xfId="1185"/>
    <cellStyle name="计算 5" xfId="1186"/>
    <cellStyle name="计算 6" xfId="1187"/>
    <cellStyle name="计算 7" xfId="1188"/>
    <cellStyle name="输入" xfId="1189"/>
    <cellStyle name="输入 2" xfId="1190"/>
    <cellStyle name="输入 2 2" xfId="1191"/>
    <cellStyle name="输入 2 2 2" xfId="1192"/>
    <cellStyle name="输入 2 2 3" xfId="1193"/>
    <cellStyle name="输入 2 2 4" xfId="1194"/>
    <cellStyle name="输入 2 3" xfId="1195"/>
    <cellStyle name="输入 2 4" xfId="1196"/>
    <cellStyle name="输入 2 5" xfId="1197"/>
    <cellStyle name="输入 3" xfId="1198"/>
    <cellStyle name="输入 3 2" xfId="1199"/>
    <cellStyle name="输入 3 2 2" xfId="1200"/>
    <cellStyle name="输入 3 2 3" xfId="1201"/>
    <cellStyle name="输入 3 2 4" xfId="1202"/>
    <cellStyle name="输入 3 3" xfId="1203"/>
    <cellStyle name="输入 3 4" xfId="1204"/>
    <cellStyle name="输入 3 5" xfId="1205"/>
    <cellStyle name="输入 4" xfId="1206"/>
    <cellStyle name="输入 4 2" xfId="1207"/>
    <cellStyle name="输入 4 3" xfId="1208"/>
    <cellStyle name="输入 4 4" xfId="1209"/>
    <cellStyle name="输入 5" xfId="1210"/>
    <cellStyle name="输入 6" xfId="1211"/>
    <cellStyle name="输入 7" xfId="1212"/>
    <cellStyle name="输出" xfId="1213"/>
    <cellStyle name="输出 2" xfId="1214"/>
    <cellStyle name="输出 2 2" xfId="1215"/>
    <cellStyle name="输出 2 2 2" xfId="1216"/>
    <cellStyle name="输出 2 2 2 2" xfId="1217"/>
    <cellStyle name="输出 2 2 2 2 2" xfId="1218"/>
    <cellStyle name="输出 2 2 2 2 3" xfId="1219"/>
    <cellStyle name="输出 2 2 2 2 4" xfId="1220"/>
    <cellStyle name="输出 2 2 2 3" xfId="1221"/>
    <cellStyle name="输出 2 2 2 4" xfId="1222"/>
    <cellStyle name="输出 2 2 3" xfId="1223"/>
    <cellStyle name="输出 2 2 4" xfId="1224"/>
    <cellStyle name="输出 2 2 5" xfId="1225"/>
    <cellStyle name="输出 2 3" xfId="1226"/>
    <cellStyle name="输出 2 3 2" xfId="1227"/>
    <cellStyle name="输出 2 3 2 2" xfId="1228"/>
    <cellStyle name="输出 2 3 2 3" xfId="1229"/>
    <cellStyle name="输出 2 3 2 4" xfId="1230"/>
    <cellStyle name="输出 2 3 3" xfId="1231"/>
    <cellStyle name="输出 2 3 4" xfId="1232"/>
    <cellStyle name="输出 2 4" xfId="1233"/>
    <cellStyle name="输出 2 5" xfId="1234"/>
    <cellStyle name="输出 2 6" xfId="1235"/>
    <cellStyle name="输出 3" xfId="1236"/>
    <cellStyle name="输出 3 2" xfId="1237"/>
    <cellStyle name="输出 3 2 2" xfId="1238"/>
    <cellStyle name="输出 3 2 2 2" xfId="1239"/>
    <cellStyle name="输出 3 2 2 2 2" xfId="1240"/>
    <cellStyle name="输出 3 2 2 2 3" xfId="1241"/>
    <cellStyle name="输出 3 2 2 2 4" xfId="1242"/>
    <cellStyle name="输出 3 2 2 3" xfId="1243"/>
    <cellStyle name="输出 3 2 2 4" xfId="1244"/>
    <cellStyle name="输出 3 2 3" xfId="1245"/>
    <cellStyle name="输出 3 2 4" xfId="1246"/>
    <cellStyle name="输出 3 2 5" xfId="1247"/>
    <cellStyle name="输出 3 3" xfId="1248"/>
    <cellStyle name="输出 3 3 2" xfId="1249"/>
    <cellStyle name="输出 3 3 2 2" xfId="1250"/>
    <cellStyle name="输出 3 3 2 3" xfId="1251"/>
    <cellStyle name="输出 3 3 2 4" xfId="1252"/>
    <cellStyle name="输出 3 3 3" xfId="1253"/>
    <cellStyle name="输出 3 3 4" xfId="1254"/>
    <cellStyle name="输出 3 4" xfId="1255"/>
    <cellStyle name="输出 3 5" xfId="1256"/>
    <cellStyle name="输出 3 6" xfId="1257"/>
    <cellStyle name="输出 4" xfId="1258"/>
    <cellStyle name="输出 4 2" xfId="1259"/>
    <cellStyle name="输出 4 2 2" xfId="1260"/>
    <cellStyle name="输出 4 2 2 2" xfId="1261"/>
    <cellStyle name="输出 4 2 2 3" xfId="1262"/>
    <cellStyle name="输出 4 2 2 4" xfId="1263"/>
    <cellStyle name="输出 4 2 3" xfId="1264"/>
    <cellStyle name="输出 4 2 4" xfId="1265"/>
    <cellStyle name="输出 4 3" xfId="1266"/>
    <cellStyle name="输出 4 4" xfId="1267"/>
    <cellStyle name="输出 4 5" xfId="1268"/>
    <cellStyle name="输出 5" xfId="1269"/>
    <cellStyle name="输出 6" xfId="1270"/>
    <cellStyle name="输出 7" xfId="1271"/>
    <cellStyle name="适中" xfId="1272"/>
    <cellStyle name="链接单元格" xfId="1273"/>
    <cellStyle name="集計" xfId="1274"/>
    <cellStyle name="集計 2" xfId="1275"/>
    <cellStyle name="集計 2 2" xfId="1276"/>
    <cellStyle name="集計 2 2 2" xfId="1277"/>
    <cellStyle name="集計 2 2 3" xfId="1278"/>
    <cellStyle name="集計 2 2 4" xfId="1279"/>
    <cellStyle name="集計 2 3" xfId="1280"/>
    <cellStyle name="集計 2 4" xfId="1281"/>
    <cellStyle name="集計 2 5" xfId="1282"/>
    <cellStyle name="集計 3" xfId="1283"/>
    <cellStyle name="集計 3 2" xfId="1284"/>
    <cellStyle name="集計 3 2 2" xfId="1285"/>
    <cellStyle name="集計 3 2 3" xfId="1286"/>
    <cellStyle name="集計 3 2 4" xfId="1287"/>
    <cellStyle name="集計 3 3" xfId="1288"/>
    <cellStyle name="集計 3 4" xfId="1289"/>
    <cellStyle name="集計 3 5" xfId="1290"/>
    <cellStyle name="集計 4" xfId="1291"/>
    <cellStyle name="集計 4 2" xfId="1292"/>
    <cellStyle name="集計 4 3" xfId="1293"/>
    <cellStyle name="集計 4 4" xfId="1294"/>
    <cellStyle name="集計 5" xfId="1295"/>
    <cellStyle name="集計 6" xfId="1296"/>
    <cellStyle name="集計 7" xfId="1297"/>
    <cellStyle name="*unknown*" xfId="20" builtinId="8"/>
  </cellStyles>
  <dxfs count="261">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b val="1"/>
        <i val="0"/>
        <sz val="11"/>
      </font>
      <fill>
        <patternFill>
          <bgColor rgb="FFFFFF00"/>
        </patternFill>
      </fill>
    </dxf>
    <dxf>
      <font>
        <name val="Calibri"/>
        <family val="0"/>
        <color rgb="FF9C0006"/>
        <sz val="11"/>
      </font>
      <fill>
        <patternFill>
          <bgColor rgb="FFFFC7CE"/>
        </patternFill>
      </fill>
    </dxf>
    <dxf>
      <font>
        <name val="Calibri"/>
        <family val="0"/>
        <b val="1"/>
        <i val="0"/>
        <color rgb="FF000000"/>
        <sz val="11"/>
      </font>
      <fill>
        <patternFill>
          <bgColor rgb="FFFFFF00"/>
        </patternFill>
      </fill>
    </dxf>
    <dxf>
      <font>
        <name val="Calibri"/>
        <family val="0"/>
        <b val="1"/>
        <i val="0"/>
        <color rgb="FF000000"/>
        <sz val="11"/>
      </font>
      <fill>
        <patternFill>
          <bgColor rgb="FFFFFF00"/>
        </patternFill>
      </fill>
    </dxf>
    <dxf>
      <font>
        <name val="Calibri"/>
        <family val="0"/>
        <color rgb="FF9C0006"/>
        <sz val="11"/>
      </font>
      <fill>
        <patternFill>
          <bgColor rgb="FFFFC7CE"/>
        </patternFill>
      </fill>
    </dxf>
    <dxf>
      <font>
        <name val="Calibri"/>
        <family val="0"/>
        <sz val="11"/>
      </font>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D966"/>
        </patternFill>
      </fill>
    </dxf>
    <dxf>
      <font>
        <name val="Calibri"/>
        <family val="0"/>
        <sz val="11"/>
      </font>
      <fill>
        <patternFill>
          <bgColor rgb="FF2E75B6"/>
        </patternFill>
      </fill>
    </dxf>
    <dxf>
      <font>
        <name val="Calibri"/>
        <family val="0"/>
        <sz val="11"/>
      </font>
      <fill>
        <patternFill>
          <bgColor rgb="FFA9D18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B4C7E7"/>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sz val="11"/>
      </font>
      <fill>
        <patternFill>
          <bgColor rgb="FFFF3300"/>
        </patternFill>
      </fill>
    </dxf>
    <dxf>
      <font>
        <name val="Calibri"/>
        <family val="0"/>
        <sz val="11"/>
      </font>
      <fill>
        <patternFill>
          <bgColor rgb="FFFFFF00"/>
        </patternFill>
      </fill>
    </dxf>
    <dxf>
      <font>
        <name val="Calibri"/>
        <family val="0"/>
        <sz val="11"/>
      </font>
      <fill>
        <patternFill>
          <bgColor rgb="FF6F5249"/>
        </patternFill>
      </fill>
    </dxf>
    <dxf>
      <font>
        <name val="Calibri"/>
        <family val="0"/>
        <sz val="11"/>
      </font>
      <fill>
        <patternFill>
          <bgColor rgb="FFFFFF00"/>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
      <font>
        <name val="Calibri"/>
        <family val="0"/>
        <color rgb="FF9C0006"/>
        <sz val="11"/>
      </font>
      <fill>
        <patternFill>
          <bgColor rgb="FFFFC7CE"/>
        </patternFill>
      </fill>
    </dxf>
  </dxfs>
  <colors>
    <indexedColors>
      <rgbColor rgb="FF000000"/>
      <rgbColor rgb="FFFFFFFF"/>
      <rgbColor rgb="FFFF0000"/>
      <rgbColor rgb="FF00FF00"/>
      <rgbColor rgb="FF0000FF"/>
      <rgbColor rgb="FFFFFF00"/>
      <rgbColor rgb="FFFFC7CE"/>
      <rgbColor rgb="FFA9D18E"/>
      <rgbColor rgb="FF9C0006"/>
      <rgbColor rgb="FF068114"/>
      <rgbColor rgb="FFFBE5D6"/>
      <rgbColor rgb="FFED7D31"/>
      <rgbColor rgb="FF800080"/>
      <rgbColor rgb="FFADB9CA"/>
      <rgbColor rgb="FFC0C0C0"/>
      <rgbColor rgb="FF808074"/>
      <rgbColor rgb="FF8497B0"/>
      <rgbColor rgb="FF6F5249"/>
      <rgbColor rgb="FFFFFFCC"/>
      <rgbColor rgb="FFCCFFFF"/>
      <rgbColor rgb="FFD6DCE5"/>
      <rgbColor rgb="FFFF8080"/>
      <rgbColor rgb="FF0064C8"/>
      <rgbColor rgb="FFBED7F1"/>
      <rgbColor rgb="FFFFF2CC"/>
      <rgbColor rgb="FFF8CBAD"/>
      <rgbColor rgb="FFFFD966"/>
      <rgbColor rgb="FFB4C7E7"/>
      <rgbColor rgb="FFD9D9D9"/>
      <rgbColor rgb="FFFFE699"/>
      <rgbColor rgb="FFF4B183"/>
      <rgbColor rgb="FFEDEDED"/>
      <rgbColor rgb="FF9DC3E6"/>
      <rgbColor rgb="FFE2F0D9"/>
      <rgbColor rgb="FFCCFFCC"/>
      <rgbColor rgb="FFFFFF99"/>
      <rgbColor rgb="FF99CCFF"/>
      <rgbColor rgb="FFFF99CC"/>
      <rgbColor rgb="FFCC99FF"/>
      <rgbColor rgb="FFFFCC99"/>
      <rgbColor rgb="FF2E75B6"/>
      <rgbColor rgb="FF33CCCC"/>
      <rgbColor rgb="FF92D050"/>
      <rgbColor rgb="FFFFCC00"/>
      <rgbColor rgb="FFFF9900"/>
      <rgbColor rgb="FFFF6600"/>
      <rgbColor rgb="FF5D5D61"/>
      <rgbColor rgb="FF969696"/>
      <rgbColor rgb="FF003366"/>
      <rgbColor rgb="FF5B9BD5"/>
      <rgbColor rgb="FFE7E7EA"/>
      <rgbColor rgb="FFFFC000"/>
      <rgbColor rgb="FFFF3300"/>
      <rgbColor rgb="FFA5A5A5"/>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externalLink" Target="externalLinks/externalLink1.xml"/><Relationship Id="rId29" Type="http://schemas.openxmlformats.org/officeDocument/2006/relationships/externalLink" Target="externalLinks/externalLink2.xml"/><Relationship Id="rId30" Type="http://schemas.openxmlformats.org/officeDocument/2006/relationships/externalLink" Target="externalLinks/externalLink3.xml"/><Relationship Id="rId31" Type="http://schemas.openxmlformats.org/officeDocument/2006/relationships/externalLink" Target="externalLinks/externalLink4.xml"/><Relationship Id="rId32" Type="http://schemas.openxmlformats.org/officeDocument/2006/relationships/externalLink" Target="externalLinks/externalLink5.xml"/><Relationship Id="rId33" Type="http://schemas.openxmlformats.org/officeDocument/2006/relationships/externalLink" Target="externalLinks/externalLink6.xml"/><Relationship Id="rId34" Type="http://schemas.openxmlformats.org/officeDocument/2006/relationships/externalLink" Target="externalLinks/externalLink7.xml"/><Relationship Id="rId35" Type="http://schemas.openxmlformats.org/officeDocument/2006/relationships/externalLink" Target="externalLinks/externalLink8.xml"/><Relationship Id="rId36" Type="http://schemas.openxmlformats.org/officeDocument/2006/relationships/externalLink" Target="externalLinks/externalLink9.xml"/><Relationship Id="rId37" Type="http://schemas.openxmlformats.org/officeDocument/2006/relationships/externalLink" Target="externalLinks/externalLink10.xml"/><Relationship Id="rId38" Type="http://schemas.openxmlformats.org/officeDocument/2006/relationships/externalLink" Target="externalLinks/externalLink11.xml"/><Relationship Id="rId39" Type="http://schemas.openxmlformats.org/officeDocument/2006/relationships/externalLink" Target="externalLinks/externalLink12.xml"/><Relationship Id="rId40" Type="http://schemas.openxmlformats.org/officeDocument/2006/relationships/externalLink" Target="externalLinks/externalLink13.xml"/><Relationship Id="rId41" Type="http://schemas.openxmlformats.org/officeDocument/2006/relationships/externalLink" Target="externalLinks/externalLink14.xml"/><Relationship Id="rId42" Type="http://schemas.openxmlformats.org/officeDocument/2006/relationships/sharedStrings" Target="sharedStrings.xml"/><Relationship Id="rId43" Type="http://schemas.openxmlformats.org/officeDocument/2006/relationships/pivotCacheDefinition" Target="pivotCache/pivotCacheDefinition1.xml"/><Relationship Id="rId44" Type="http://schemas.openxmlformats.org/officeDocument/2006/relationships/pivotCacheDefinition" Target="pivotCache/pivotCacheDefinition2.xml"/><Relationship Id="rId45" Type="http://schemas.openxmlformats.org/officeDocument/2006/relationships/pivotCacheDefinition" Target="pivotCache/pivotCacheDefinition3.xml"/>
</Relationships>
</file>

<file path=xl/charts/chart2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Sheet4!$C$17:$C$18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Sheet4!$C$19:$C$29</c:f>
              <c:numCache>
                <c:formatCode>General</c:formatCode>
                <c:ptCount val="11"/>
                <c:pt idx="0">
                  <c:v>136099</c:v>
                </c:pt>
                <c:pt idx="1">
                  <c:v>79436</c:v>
                </c:pt>
                <c:pt idx="2">
                  <c:v>124733</c:v>
                </c:pt>
                <c:pt idx="3">
                  <c:v>85138</c:v>
                </c:pt>
                <c:pt idx="4">
                  <c:v>115640</c:v>
                </c:pt>
                <c:pt idx="5">
                  <c:v>274730</c:v>
                </c:pt>
                <c:pt idx="6">
                  <c:v>270430</c:v>
                </c:pt>
                <c:pt idx="7">
                  <c:v>264162</c:v>
                </c:pt>
                <c:pt idx="8">
                  <c:v>246627</c:v>
                </c:pt>
                <c:pt idx="9">
                  <c:v>161749</c:v>
                </c:pt>
                <c:pt idx="10">
                  <c:v>1758744</c:v>
                </c:pt>
              </c:numCache>
            </c:numRef>
          </c:val>
        </c:ser>
        <c:ser>
          <c:idx val="1"/>
          <c:order val="1"/>
          <c:tx>
            <c:strRef>
              <c:f>Sheet4!$D$17:$D$18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Sheet4!$D$19:$D$29</c:f>
              <c:numCache>
                <c:formatCode>General</c:formatCode>
                <c:ptCount val="11"/>
                <c:pt idx="0">
                  <c:v>126372</c:v>
                </c:pt>
                <c:pt idx="1">
                  <c:v>145125</c:v>
                </c:pt>
                <c:pt idx="2">
                  <c:v>118224</c:v>
                </c:pt>
                <c:pt idx="3">
                  <c:v>189198</c:v>
                </c:pt>
                <c:pt idx="4">
                  <c:v>293463</c:v>
                </c:pt>
                <c:pt idx="5">
                  <c:v>273117</c:v>
                </c:pt>
                <c:pt idx="6">
                  <c:v>51560</c:v>
                </c:pt>
                <c:pt idx="7">
                  <c:v>283153</c:v>
                </c:pt>
                <c:pt idx="8">
                  <c:v>286474</c:v>
                </c:pt>
                <c:pt idx="9">
                  <c:v>171349</c:v>
                </c:pt>
                <c:pt idx="10">
                  <c:v>1938035</c:v>
                </c:pt>
              </c:numCache>
            </c:numRef>
          </c:val>
        </c:ser>
        <c:ser>
          <c:idx val="2"/>
          <c:order val="2"/>
          <c:tx>
            <c:strRef>
              <c:f>Sheet4!$E$17:$E$18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Sheet4!$E$19:$E$29</c:f>
              <c:numCache>
                <c:formatCode>General</c:formatCode>
                <c:ptCount val="11"/>
                <c:pt idx="0">
                  <c:v>133945</c:v>
                </c:pt>
                <c:pt idx="1">
                  <c:v>156226</c:v>
                </c:pt>
                <c:pt idx="2">
                  <c:v>153631</c:v>
                </c:pt>
                <c:pt idx="3">
                  <c:v>114375</c:v>
                </c:pt>
                <c:pt idx="4">
                  <c:v>240917</c:v>
                </c:pt>
                <c:pt idx="5">
                  <c:v>250441</c:v>
                </c:pt>
                <c:pt idx="7">
                  <c:v>237348</c:v>
                </c:pt>
                <c:pt idx="8">
                  <c:v>239979</c:v>
                </c:pt>
                <c:pt idx="9">
                  <c:v>187574</c:v>
                </c:pt>
                <c:pt idx="10">
                  <c:v>1714436</c:v>
                </c:pt>
              </c:numCache>
            </c:numRef>
          </c:val>
        </c:ser>
        <c:ser>
          <c:idx val="3"/>
          <c:order val="3"/>
          <c:tx>
            <c:strRef>
              <c:f>Sheet4!$F$17:$F$18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Sheet4!$F$19:$F$29</c:f>
              <c:numCache>
                <c:formatCode>General</c:formatCode>
                <c:ptCount val="11"/>
                <c:pt idx="0">
                  <c:v>158406</c:v>
                </c:pt>
                <c:pt idx="1">
                  <c:v>123579</c:v>
                </c:pt>
                <c:pt idx="2">
                  <c:v>91815</c:v>
                </c:pt>
                <c:pt idx="3">
                  <c:v>175222</c:v>
                </c:pt>
                <c:pt idx="4">
                  <c:v>291083</c:v>
                </c:pt>
                <c:pt idx="5">
                  <c:v>384220</c:v>
                </c:pt>
                <c:pt idx="7">
                  <c:v>299983</c:v>
                </c:pt>
                <c:pt idx="8">
                  <c:v>282167</c:v>
                </c:pt>
                <c:pt idx="9">
                  <c:v>123144</c:v>
                </c:pt>
                <c:pt idx="10">
                  <c:v>1929619</c:v>
                </c:pt>
              </c:numCache>
            </c:numRef>
          </c:val>
        </c:ser>
        <c:gapWidth val="219"/>
        <c:overlap val="-27"/>
        <c:axId val="79916135"/>
        <c:axId val="20640933"/>
      </c:barChart>
      <c:catAx>
        <c:axId val="7991613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0640933"/>
        <c:crosses val="autoZero"/>
        <c:auto val="1"/>
        <c:lblAlgn val="ctr"/>
        <c:lblOffset val="100"/>
        <c:noMultiLvlLbl val="0"/>
      </c:catAx>
      <c:valAx>
        <c:axId val="20640933"/>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9916135"/>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Sheet4!$C$147:$C$148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Sheet4!$C$149:$C$152</c:f>
              <c:numCache>
                <c:formatCode>General</c:formatCode>
                <c:ptCount val="4"/>
              </c:numCache>
            </c:numRef>
          </c:val>
        </c:ser>
        <c:ser>
          <c:idx val="1"/>
          <c:order val="1"/>
          <c:tx>
            <c:strRef>
              <c:f>Sheet4!$D$147:$D$148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Sheet4!$D$149:$D$152</c:f>
              <c:numCache>
                <c:formatCode>General</c:formatCode>
                <c:ptCount val="4"/>
              </c:numCache>
            </c:numRef>
          </c:val>
        </c:ser>
        <c:ser>
          <c:idx val="2"/>
          <c:order val="2"/>
          <c:tx>
            <c:strRef>
              <c:f>Sheet4!$E$147:$E$148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Sheet4!$E$149:$E$152</c:f>
              <c:numCache>
                <c:formatCode>General</c:formatCode>
                <c:ptCount val="4"/>
              </c:numCache>
            </c:numRef>
          </c:val>
        </c:ser>
        <c:ser>
          <c:idx val="3"/>
          <c:order val="3"/>
          <c:tx>
            <c:strRef>
              <c:f>Sheet4!$F$147:$F$148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HMC</c:v>
                </c:pt>
                <c:pt idx="1">
                  <c:v>Silicon</c:v>
                </c:pt>
                <c:pt idx="2">
                  <c:v>WMG3B</c:v>
                </c:pt>
                <c:pt idx="3">
                  <c:v>Total Result</c:v>
                </c:pt>
              </c:strCache>
            </c:strRef>
          </c:cat>
          <c:val>
            <c:numRef>
              <c:f>Sheet4!$F$149:$F$152</c:f>
              <c:numCache>
                <c:formatCode>General</c:formatCode>
                <c:ptCount val="4"/>
              </c:numCache>
            </c:numRef>
          </c:val>
        </c:ser>
        <c:gapWidth val="219"/>
        <c:overlap val="-27"/>
        <c:axId val="70981691"/>
        <c:axId val="48248612"/>
      </c:barChart>
      <c:catAx>
        <c:axId val="70981691"/>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8248612"/>
        <c:crosses val="autoZero"/>
        <c:auto val="1"/>
        <c:lblAlgn val="ctr"/>
        <c:lblOffset val="100"/>
        <c:noMultiLvlLbl val="0"/>
      </c:catAx>
      <c:valAx>
        <c:axId val="48248612"/>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0981691"/>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Sheet4!$C$154:$C$155</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Sheet4!$C$156:$C$159</c:f>
              <c:numCache>
                <c:formatCode>General</c:formatCode>
                <c:ptCount val="4"/>
              </c:numCache>
            </c:numRef>
          </c:val>
        </c:ser>
        <c:ser>
          <c:idx val="1"/>
          <c:order val="1"/>
          <c:tx>
            <c:strRef>
              <c:f>Sheet4!$D$154:$D$155</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Sheet4!$D$156:$D$159</c:f>
              <c:numCache>
                <c:formatCode>General</c:formatCode>
                <c:ptCount val="4"/>
              </c:numCache>
            </c:numRef>
          </c:val>
        </c:ser>
        <c:ser>
          <c:idx val="2"/>
          <c:order val="2"/>
          <c:tx>
            <c:strRef>
              <c:f>Sheet4!$E$154:$E$155</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Sheet4!$E$156:$E$159</c:f>
              <c:numCache>
                <c:formatCode>General</c:formatCode>
                <c:ptCount val="4"/>
              </c:numCache>
            </c:numRef>
          </c:val>
        </c:ser>
        <c:ser>
          <c:idx val="3"/>
          <c:order val="3"/>
          <c:tx>
            <c:strRef>
              <c:f>Sheet4!$F$154:$F$155</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Sheet4!$F$156:$F$159</c:f>
              <c:numCache>
                <c:formatCode>General</c:formatCode>
                <c:ptCount val="4"/>
              </c:numCache>
            </c:numRef>
          </c:val>
        </c:ser>
        <c:gapWidth val="219"/>
        <c:overlap val="-27"/>
        <c:axId val="73681130"/>
        <c:axId val="79715766"/>
      </c:barChart>
      <c:catAx>
        <c:axId val="7368113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9715766"/>
        <c:crosses val="autoZero"/>
        <c:auto val="1"/>
        <c:lblAlgn val="ctr"/>
        <c:lblOffset val="100"/>
        <c:noMultiLvlLbl val="0"/>
      </c:catAx>
      <c:valAx>
        <c:axId val="7971576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3681130"/>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Sheet4!$C$161:$C$162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Sheet4!$C$163:$C$171</c:f>
              <c:numCache>
                <c:formatCode>General</c:formatCode>
                <c:ptCount val="9"/>
                <c:pt idx="0">
                  <c:v>0.848724480654763</c:v>
                </c:pt>
                <c:pt idx="1">
                  <c:v>0.664820765859391</c:v>
                </c:pt>
                <c:pt idx="2">
                  <c:v>0.867473777334585</c:v>
                </c:pt>
                <c:pt idx="3">
                  <c:v>0.994111721418613</c:v>
                </c:pt>
                <c:pt idx="4">
                  <c:v>0.800560772293104</c:v>
                </c:pt>
                <c:pt idx="5">
                  <c:v>0.86583963269828</c:v>
                </c:pt>
                <c:pt idx="6">
                  <c:v>0.812573107058857</c:v>
                </c:pt>
                <c:pt idx="7">
                  <c:v>0.804335066276789</c:v>
                </c:pt>
                <c:pt idx="8">
                  <c:v>0.830186023753687</c:v>
                </c:pt>
              </c:numCache>
            </c:numRef>
          </c:val>
        </c:ser>
        <c:ser>
          <c:idx val="1"/>
          <c:order val="1"/>
          <c:tx>
            <c:strRef>
              <c:f>Sheet4!$D$161:$D$162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Sheet4!$D$163:$D$171</c:f>
              <c:numCache>
                <c:formatCode>General</c:formatCode>
                <c:ptCount val="9"/>
                <c:pt idx="0">
                  <c:v>0.798171891822745</c:v>
                </c:pt>
                <c:pt idx="1">
                  <c:v>0.833265611292711</c:v>
                </c:pt>
                <c:pt idx="2">
                  <c:v>0.908669798447706</c:v>
                </c:pt>
                <c:pt idx="3">
                  <c:v>1.07774376051955</c:v>
                </c:pt>
                <c:pt idx="4">
                  <c:v>0.819278345990738</c:v>
                </c:pt>
                <c:pt idx="5">
                  <c:v>0.828807451238326</c:v>
                </c:pt>
                <c:pt idx="6">
                  <c:v>0.780162770950006</c:v>
                </c:pt>
                <c:pt idx="7">
                  <c:v>0.678602817959713</c:v>
                </c:pt>
                <c:pt idx="8">
                  <c:v>0.844820579829113</c:v>
                </c:pt>
              </c:numCache>
            </c:numRef>
          </c:val>
        </c:ser>
        <c:ser>
          <c:idx val="2"/>
          <c:order val="2"/>
          <c:tx>
            <c:strRef>
              <c:f>Sheet4!$E$161:$E$162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Sheet4!$E$163:$E$171</c:f>
              <c:numCache>
                <c:formatCode>General</c:formatCode>
                <c:ptCount val="9"/>
                <c:pt idx="0">
                  <c:v>0.8438769313023</c:v>
                </c:pt>
                <c:pt idx="1">
                  <c:v>1.1450498562567</c:v>
                </c:pt>
                <c:pt idx="2">
                  <c:v>0.869261125625145</c:v>
                </c:pt>
                <c:pt idx="3">
                  <c:v>0.995257894082377</c:v>
                </c:pt>
                <c:pt idx="4">
                  <c:v>0.79539868955985</c:v>
                </c:pt>
                <c:pt idx="5">
                  <c:v>0.79626197824066</c:v>
                </c:pt>
                <c:pt idx="6">
                  <c:v>0.773163835991754</c:v>
                </c:pt>
                <c:pt idx="7">
                  <c:v>0.645402110383243</c:v>
                </c:pt>
                <c:pt idx="8">
                  <c:v>0.866144087830008</c:v>
                </c:pt>
              </c:numCache>
            </c:numRef>
          </c:val>
        </c:ser>
        <c:ser>
          <c:idx val="3"/>
          <c:order val="3"/>
          <c:tx>
            <c:strRef>
              <c:f>Sheet4!$F$161:$F$162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Total Result</c:v>
                </c:pt>
              </c:strCache>
            </c:strRef>
          </c:cat>
          <c:val>
            <c:numRef>
              <c:f>Sheet4!$F$163:$F$171</c:f>
              <c:numCache>
                <c:formatCode>General</c:formatCode>
                <c:ptCount val="9"/>
                <c:pt idx="0">
                  <c:v>0.818416480270754</c:v>
                </c:pt>
                <c:pt idx="1">
                  <c:v>1.07002024484368</c:v>
                </c:pt>
                <c:pt idx="2">
                  <c:v>0.977171325600865</c:v>
                </c:pt>
                <c:pt idx="3">
                  <c:v>0.950457472370196</c:v>
                </c:pt>
                <c:pt idx="4">
                  <c:v>0.750131245632425</c:v>
                </c:pt>
                <c:pt idx="5">
                  <c:v>0.790799485327932</c:v>
                </c:pt>
                <c:pt idx="6">
                  <c:v>0.772809699931702</c:v>
                </c:pt>
                <c:pt idx="7">
                  <c:v>0.751013434147578</c:v>
                </c:pt>
                <c:pt idx="8">
                  <c:v>0.842645701134411</c:v>
                </c:pt>
              </c:numCache>
            </c:numRef>
          </c:val>
        </c:ser>
        <c:gapWidth val="219"/>
        <c:overlap val="-27"/>
        <c:axId val="7587044"/>
        <c:axId val="21342689"/>
      </c:barChart>
      <c:catAx>
        <c:axId val="7587044"/>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1342689"/>
        <c:crosses val="autoZero"/>
        <c:auto val="1"/>
        <c:lblAlgn val="ctr"/>
        <c:lblOffset val="100"/>
        <c:noMultiLvlLbl val="0"/>
      </c:catAx>
      <c:valAx>
        <c:axId val="21342689"/>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587044"/>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Sheet4!$C$175:$C$176</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Sheet4!$C$177:$C$187</c:f>
              <c:numCache>
                <c:formatCode>General</c:formatCode>
                <c:ptCount val="11"/>
                <c:pt idx="0">
                  <c:v>2430.33928571429</c:v>
                </c:pt>
                <c:pt idx="1">
                  <c:v>372.05</c:v>
                </c:pt>
                <c:pt idx="2">
                  <c:v>3118.325</c:v>
                </c:pt>
                <c:pt idx="3">
                  <c:v>4480.94736842105</c:v>
                </c:pt>
                <c:pt idx="4">
                  <c:v>5506.66666666667</c:v>
                </c:pt>
                <c:pt idx="5">
                  <c:v>4736.72413793103</c:v>
                </c:pt>
                <c:pt idx="6">
                  <c:v>7116.57894736842</c:v>
                </c:pt>
                <c:pt idx="7">
                  <c:v>6003.68181818182</c:v>
                </c:pt>
                <c:pt idx="8">
                  <c:v>6413.95833333333</c:v>
                </c:pt>
                <c:pt idx="9">
                  <c:v>7365.14285714286</c:v>
                </c:pt>
                <c:pt idx="10">
                  <c:v>4403.92228571429</c:v>
                </c:pt>
              </c:numCache>
            </c:numRef>
          </c:val>
        </c:ser>
        <c:ser>
          <c:idx val="1"/>
          <c:order val="1"/>
          <c:tx>
            <c:strRef>
              <c:f>Sheet4!$D$175:$D$176</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Sheet4!$D$177:$D$187</c:f>
              <c:numCache>
                <c:formatCode>General</c:formatCode>
                <c:ptCount val="11"/>
                <c:pt idx="0">
                  <c:v>2340.22222222222</c:v>
                </c:pt>
                <c:pt idx="1">
                  <c:v>558.394736842105</c:v>
                </c:pt>
                <c:pt idx="2">
                  <c:v>2749.39534883721</c:v>
                </c:pt>
                <c:pt idx="3">
                  <c:v>5113.45945945946</c:v>
                </c:pt>
                <c:pt idx="4">
                  <c:v>5537.03773584906</c:v>
                </c:pt>
                <c:pt idx="5">
                  <c:v>4477.32786885246</c:v>
                </c:pt>
                <c:pt idx="6">
                  <c:v>5728.88888888889</c:v>
                </c:pt>
                <c:pt idx="7">
                  <c:v>5445.25</c:v>
                </c:pt>
                <c:pt idx="8">
                  <c:v>6208.72580645161</c:v>
                </c:pt>
                <c:pt idx="9">
                  <c:v>5711.63333333333</c:v>
                </c:pt>
                <c:pt idx="10">
                  <c:v>3992.86529126214</c:v>
                </c:pt>
              </c:numCache>
            </c:numRef>
          </c:val>
        </c:ser>
        <c:ser>
          <c:idx val="2"/>
          <c:order val="2"/>
          <c:tx>
            <c:strRef>
              <c:f>Sheet4!$E$175:$E$176</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Sheet4!$E$177:$E$187</c:f>
              <c:numCache>
                <c:formatCode>General</c:formatCode>
                <c:ptCount val="11"/>
                <c:pt idx="0">
                  <c:v>2678.9</c:v>
                </c:pt>
                <c:pt idx="1">
                  <c:v>725.110227272727</c:v>
                </c:pt>
                <c:pt idx="2">
                  <c:v>2845.01851851852</c:v>
                </c:pt>
                <c:pt idx="3">
                  <c:v>4765.625</c:v>
                </c:pt>
                <c:pt idx="4">
                  <c:v>5876.0243902439</c:v>
                </c:pt>
                <c:pt idx="5">
                  <c:v>4317.94827586207</c:v>
                </c:pt>
                <c:pt idx="7">
                  <c:v>5933.7</c:v>
                </c:pt>
                <c:pt idx="8">
                  <c:v>8073.77083333333</c:v>
                </c:pt>
                <c:pt idx="9">
                  <c:v>5516.88235294118</c:v>
                </c:pt>
                <c:pt idx="10">
                  <c:v>4119.65724431818</c:v>
                </c:pt>
              </c:numCache>
            </c:numRef>
          </c:val>
        </c:ser>
        <c:ser>
          <c:idx val="3"/>
          <c:order val="3"/>
          <c:tx>
            <c:strRef>
              <c:f>Sheet4!$F$175:$F$176</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Sheet4!$F$177:$F$187</c:f>
              <c:numCache>
                <c:formatCode>General</c:formatCode>
                <c:ptCount val="11"/>
                <c:pt idx="0">
                  <c:v>2514.38095238095</c:v>
                </c:pt>
                <c:pt idx="1">
                  <c:v>837.814814814815</c:v>
                </c:pt>
                <c:pt idx="2">
                  <c:v>3672.6</c:v>
                </c:pt>
                <c:pt idx="3">
                  <c:v>4492.8717948718</c:v>
                </c:pt>
                <c:pt idx="4">
                  <c:v>5492.1320754717</c:v>
                </c:pt>
                <c:pt idx="5">
                  <c:v>4317.07865168539</c:v>
                </c:pt>
                <c:pt idx="7">
                  <c:v>5660.05660377359</c:v>
                </c:pt>
                <c:pt idx="8">
                  <c:v>7691.82692307692</c:v>
                </c:pt>
                <c:pt idx="9">
                  <c:v>6337.40909090909</c:v>
                </c:pt>
                <c:pt idx="10">
                  <c:v>4305.28945147679</c:v>
                </c:pt>
              </c:numCache>
            </c:numRef>
          </c:val>
        </c:ser>
        <c:gapWidth val="219"/>
        <c:overlap val="-27"/>
        <c:axId val="61437684"/>
        <c:axId val="15376111"/>
      </c:barChart>
      <c:catAx>
        <c:axId val="61437684"/>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5376111"/>
        <c:crosses val="autoZero"/>
        <c:auto val="1"/>
        <c:lblAlgn val="ctr"/>
        <c:lblOffset val="100"/>
        <c:noMultiLvlLbl val="0"/>
      </c:catAx>
      <c:valAx>
        <c:axId val="15376111"/>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1437684"/>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Sheet4!$C$190:$C$191</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Sheet4!$C$192:$C$198</c:f>
              <c:numCache>
                <c:formatCode>General</c:formatCode>
                <c:ptCount val="7"/>
              </c:numCache>
            </c:numRef>
          </c:val>
        </c:ser>
        <c:ser>
          <c:idx val="1"/>
          <c:order val="1"/>
          <c:tx>
            <c:strRef>
              <c:f>Sheet4!$D$190:$D$191</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Sheet4!$D$192:$D$198</c:f>
              <c:numCache>
                <c:formatCode>General</c:formatCode>
                <c:ptCount val="7"/>
              </c:numCache>
            </c:numRef>
          </c:val>
        </c:ser>
        <c:ser>
          <c:idx val="2"/>
          <c:order val="2"/>
          <c:tx>
            <c:strRef>
              <c:f>Sheet4!$E$190:$E$191</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Sheet4!$E$192:$E$198</c:f>
              <c:numCache>
                <c:formatCode>General</c:formatCode>
                <c:ptCount val="7"/>
              </c:numCache>
            </c:numRef>
          </c:val>
        </c:ser>
        <c:ser>
          <c:idx val="3"/>
          <c:order val="3"/>
          <c:tx>
            <c:strRef>
              <c:f>Sheet4!$F$190:$F$191</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Sheet4!$F$192:$F$198</c:f>
              <c:numCache>
                <c:formatCode>General</c:formatCode>
                <c:ptCount val="7"/>
              </c:numCache>
            </c:numRef>
          </c:val>
        </c:ser>
        <c:gapWidth val="219"/>
        <c:overlap val="-27"/>
        <c:axId val="11926496"/>
        <c:axId val="40682137"/>
      </c:barChart>
      <c:catAx>
        <c:axId val="1192649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0682137"/>
        <c:crosses val="autoZero"/>
        <c:auto val="1"/>
        <c:lblAlgn val="ctr"/>
        <c:lblOffset val="100"/>
        <c:noMultiLvlLbl val="0"/>
      </c:catAx>
      <c:valAx>
        <c:axId val="40682137"/>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1926496"/>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Sheet4!$C$201:$C$202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Sheet4!$C$203:$C$209</c:f>
              <c:numCache>
                <c:formatCode>General</c:formatCode>
                <c:ptCount val="7"/>
              </c:numCache>
            </c:numRef>
          </c:val>
        </c:ser>
        <c:ser>
          <c:idx val="1"/>
          <c:order val="1"/>
          <c:tx>
            <c:strRef>
              <c:f>Sheet4!$D$201:$D$202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Sheet4!$D$203:$D$209</c:f>
              <c:numCache>
                <c:formatCode>General</c:formatCode>
                <c:ptCount val="7"/>
              </c:numCache>
            </c:numRef>
          </c:val>
        </c:ser>
        <c:ser>
          <c:idx val="2"/>
          <c:order val="2"/>
          <c:tx>
            <c:strRef>
              <c:f>Sheet4!$E$201:$E$202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Sheet4!$E$203:$E$209</c:f>
              <c:numCache>
                <c:formatCode>General</c:formatCode>
                <c:ptCount val="7"/>
              </c:numCache>
            </c:numRef>
          </c:val>
        </c:ser>
        <c:ser>
          <c:idx val="3"/>
          <c:order val="3"/>
          <c:tx>
            <c:strRef>
              <c:f>Sheet4!$F$201:$F$202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Total Result</c:v>
                </c:pt>
              </c:strCache>
            </c:strRef>
          </c:cat>
          <c:val>
            <c:numRef>
              <c:f>Sheet4!$F$203:$F$209</c:f>
              <c:numCache>
                <c:formatCode>General</c:formatCode>
                <c:ptCount val="7"/>
              </c:numCache>
            </c:numRef>
          </c:val>
        </c:ser>
        <c:gapWidth val="219"/>
        <c:overlap val="-27"/>
        <c:axId val="47352363"/>
        <c:axId val="14640691"/>
      </c:barChart>
      <c:catAx>
        <c:axId val="4735236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4640691"/>
        <c:crosses val="autoZero"/>
        <c:auto val="1"/>
        <c:lblAlgn val="ctr"/>
        <c:lblOffset val="100"/>
        <c:noMultiLvlLbl val="0"/>
      </c:catAx>
      <c:valAx>
        <c:axId val="1464069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7352363"/>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Sheet4!$C$212:$C$213</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Sheet4!$C$214:$C$223</c:f>
              <c:numCache>
                <c:formatCode>General</c:formatCode>
                <c:ptCount val="10"/>
                <c:pt idx="0">
                  <c:v>33.4</c:v>
                </c:pt>
                <c:pt idx="1">
                  <c:v>40.0833333333333</c:v>
                </c:pt>
                <c:pt idx="2">
                  <c:v>12.8333333333333</c:v>
                </c:pt>
                <c:pt idx="3">
                  <c:v>3.78333333333333</c:v>
                </c:pt>
                <c:pt idx="4">
                  <c:v>16.8333333333333</c:v>
                </c:pt>
                <c:pt idx="5">
                  <c:v>34.9166666666667</c:v>
                </c:pt>
                <c:pt idx="6">
                  <c:v>36.3333333333333</c:v>
                </c:pt>
                <c:pt idx="7">
                  <c:v>20.5</c:v>
                </c:pt>
                <c:pt idx="8">
                  <c:v>5.66666666666667</c:v>
                </c:pt>
                <c:pt idx="9">
                  <c:v>204.35</c:v>
                </c:pt>
              </c:numCache>
            </c:numRef>
          </c:val>
        </c:ser>
        <c:ser>
          <c:idx val="1"/>
          <c:order val="1"/>
          <c:tx>
            <c:strRef>
              <c:f>Sheet4!$D$212:$D$213</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Sheet4!$D$214:$D$223</c:f>
              <c:numCache>
                <c:formatCode>General</c:formatCode>
                <c:ptCount val="10"/>
                <c:pt idx="0">
                  <c:v>54.3333333333333</c:v>
                </c:pt>
                <c:pt idx="1">
                  <c:v>69.3</c:v>
                </c:pt>
                <c:pt idx="2">
                  <c:v>7.75</c:v>
                </c:pt>
                <c:pt idx="3">
                  <c:v>5.66666666666666</c:v>
                </c:pt>
                <c:pt idx="4">
                  <c:v>43.75</c:v>
                </c:pt>
                <c:pt idx="5">
                  <c:v>36.5833333333333</c:v>
                </c:pt>
                <c:pt idx="6">
                  <c:v>49.5833333333333</c:v>
                </c:pt>
                <c:pt idx="7">
                  <c:v>20.8333333333333</c:v>
                </c:pt>
                <c:pt idx="8">
                  <c:v>10.1666666666667</c:v>
                </c:pt>
                <c:pt idx="9">
                  <c:v>297.966666666667</c:v>
                </c:pt>
              </c:numCache>
            </c:numRef>
          </c:val>
        </c:ser>
        <c:ser>
          <c:idx val="2"/>
          <c:order val="2"/>
          <c:tx>
            <c:strRef>
              <c:f>Sheet4!$E$212:$E$213</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Sheet4!$E$214:$E$223</c:f>
              <c:numCache>
                <c:formatCode>General</c:formatCode>
                <c:ptCount val="10"/>
                <c:pt idx="0">
                  <c:v>43</c:v>
                </c:pt>
                <c:pt idx="1">
                  <c:v>32.1666666666667</c:v>
                </c:pt>
                <c:pt idx="2">
                  <c:v>36.4166666666667</c:v>
                </c:pt>
                <c:pt idx="3">
                  <c:v>7.66666666666666</c:v>
                </c:pt>
                <c:pt idx="4">
                  <c:v>43.0833333333334</c:v>
                </c:pt>
                <c:pt idx="5">
                  <c:v>61.9166666666667</c:v>
                </c:pt>
                <c:pt idx="6">
                  <c:v>41.6666666666667</c:v>
                </c:pt>
                <c:pt idx="7">
                  <c:v>14.1666666666667</c:v>
                </c:pt>
                <c:pt idx="8">
                  <c:v>19.1666666666667</c:v>
                </c:pt>
                <c:pt idx="9">
                  <c:v>299.25</c:v>
                </c:pt>
              </c:numCache>
            </c:numRef>
          </c:val>
        </c:ser>
        <c:ser>
          <c:idx val="3"/>
          <c:order val="3"/>
          <c:tx>
            <c:strRef>
              <c:f>Sheet4!$F$212:$F$213</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Sheet4!$F$214:$F$223</c:f>
              <c:numCache>
                <c:formatCode>General</c:formatCode>
                <c:ptCount val="10"/>
                <c:pt idx="0">
                  <c:v>33.8333333333333</c:v>
                </c:pt>
                <c:pt idx="1">
                  <c:v>31.3333333333333</c:v>
                </c:pt>
                <c:pt idx="2">
                  <c:v>2.91666666666667</c:v>
                </c:pt>
                <c:pt idx="3">
                  <c:v>6.5</c:v>
                </c:pt>
                <c:pt idx="4">
                  <c:v>30.1666666666667</c:v>
                </c:pt>
                <c:pt idx="5">
                  <c:v>42.5</c:v>
                </c:pt>
                <c:pt idx="6">
                  <c:v>39.55</c:v>
                </c:pt>
                <c:pt idx="7">
                  <c:v>15</c:v>
                </c:pt>
                <c:pt idx="8">
                  <c:v>6.66666666666666</c:v>
                </c:pt>
                <c:pt idx="9">
                  <c:v>208.466666666667</c:v>
                </c:pt>
              </c:numCache>
            </c:numRef>
          </c:val>
        </c:ser>
        <c:gapWidth val="219"/>
        <c:overlap val="-27"/>
        <c:axId val="84273638"/>
        <c:axId val="73251885"/>
      </c:barChart>
      <c:catAx>
        <c:axId val="8427363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3251885"/>
        <c:crosses val="autoZero"/>
        <c:auto val="1"/>
        <c:lblAlgn val="ctr"/>
        <c:lblOffset val="100"/>
        <c:noMultiLvlLbl val="0"/>
      </c:catAx>
      <c:valAx>
        <c:axId val="73251885"/>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4273638"/>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Sheet4!$C$226:$C$227</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Sheet4!$C$228:$C$237</c:f>
              <c:numCache>
                <c:formatCode>General</c:formatCode>
                <c:ptCount val="10"/>
              </c:numCache>
            </c:numRef>
          </c:val>
        </c:ser>
        <c:ser>
          <c:idx val="1"/>
          <c:order val="1"/>
          <c:tx>
            <c:strRef>
              <c:f>Sheet4!$D$226:$D$227</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Sheet4!$D$228:$D$237</c:f>
              <c:numCache>
                <c:formatCode>General</c:formatCode>
                <c:ptCount val="10"/>
              </c:numCache>
            </c:numRef>
          </c:val>
        </c:ser>
        <c:ser>
          <c:idx val="2"/>
          <c:order val="2"/>
          <c:tx>
            <c:strRef>
              <c:f>Sheet4!$E$226:$E$227</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Sheet4!$E$228:$E$237</c:f>
              <c:numCache>
                <c:formatCode>General</c:formatCode>
                <c:ptCount val="10"/>
              </c:numCache>
            </c:numRef>
          </c:val>
        </c:ser>
        <c:ser>
          <c:idx val="3"/>
          <c:order val="3"/>
          <c:tx>
            <c:strRef>
              <c:f>Sheet4!$F$226:$F$227</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Total Result</c:v>
                </c:pt>
              </c:strCache>
            </c:strRef>
          </c:cat>
          <c:val>
            <c:numRef>
              <c:f>Sheet4!$F$228:$F$237</c:f>
              <c:numCache>
                <c:formatCode>General</c:formatCode>
                <c:ptCount val="10"/>
              </c:numCache>
            </c:numRef>
          </c:val>
        </c:ser>
        <c:gapWidth val="219"/>
        <c:overlap val="-27"/>
        <c:axId val="24817765"/>
        <c:axId val="38961677"/>
      </c:barChart>
      <c:catAx>
        <c:axId val="2481776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8961677"/>
        <c:crosses val="autoZero"/>
        <c:auto val="1"/>
        <c:lblAlgn val="ctr"/>
        <c:lblOffset val="100"/>
        <c:noMultiLvlLbl val="0"/>
      </c:catAx>
      <c:valAx>
        <c:axId val="38961677"/>
        <c:scaling>
          <c:orientation val="minMax"/>
        </c:scaling>
        <c:delete val="0"/>
        <c:axPos val="l"/>
        <c:majorGridlines>
          <c:spPr>
            <a:ln w="9360">
              <a:solidFill>
                <a:srgbClr val="d9d9d9"/>
              </a:solidFill>
              <a:round/>
            </a:ln>
          </c:spPr>
        </c:majorGridlines>
        <c:numFmt formatCode="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4817765"/>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Sheet4!$C$1:$C$2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Sheet4!$C$3:$C$13</c:f>
              <c:numCache>
                <c:formatCode>General</c:formatCode>
                <c:ptCount val="11"/>
                <c:pt idx="0">
                  <c:v>126271.5</c:v>
                </c:pt>
                <c:pt idx="1">
                  <c:v>80230</c:v>
                </c:pt>
                <c:pt idx="2">
                  <c:v>127964</c:v>
                </c:pt>
                <c:pt idx="3">
                  <c:v>78603</c:v>
                </c:pt>
                <c:pt idx="4">
                  <c:v>126627</c:v>
                </c:pt>
                <c:pt idx="5">
                  <c:v>275625</c:v>
                </c:pt>
                <c:pt idx="6">
                  <c:v>257155</c:v>
                </c:pt>
                <c:pt idx="7">
                  <c:v>274509</c:v>
                </c:pt>
                <c:pt idx="8">
                  <c:v>247343</c:v>
                </c:pt>
                <c:pt idx="9">
                  <c:v>159104</c:v>
                </c:pt>
                <c:pt idx="10">
                  <c:v>1753431.5</c:v>
                </c:pt>
              </c:numCache>
            </c:numRef>
          </c:val>
        </c:ser>
        <c:ser>
          <c:idx val="1"/>
          <c:order val="1"/>
          <c:tx>
            <c:strRef>
              <c:f>Sheet4!$D$1:$D$2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Sheet4!$D$3:$D$13</c:f>
              <c:numCache>
                <c:formatCode>General</c:formatCode>
                <c:ptCount val="11"/>
                <c:pt idx="0">
                  <c:v>124212</c:v>
                </c:pt>
                <c:pt idx="1">
                  <c:v>173137</c:v>
                </c:pt>
                <c:pt idx="2">
                  <c:v>115359</c:v>
                </c:pt>
                <c:pt idx="3">
                  <c:v>149437.5</c:v>
                </c:pt>
                <c:pt idx="4">
                  <c:v>310180</c:v>
                </c:pt>
                <c:pt idx="5">
                  <c:v>274403</c:v>
                </c:pt>
                <c:pt idx="6">
                  <c:v>58608</c:v>
                </c:pt>
                <c:pt idx="7">
                  <c:v>308670</c:v>
                </c:pt>
                <c:pt idx="8">
                  <c:v>294793</c:v>
                </c:pt>
                <c:pt idx="9">
                  <c:v>174239</c:v>
                </c:pt>
                <c:pt idx="10">
                  <c:v>1983038.5</c:v>
                </c:pt>
              </c:numCache>
            </c:numRef>
          </c:val>
        </c:ser>
        <c:ser>
          <c:idx val="2"/>
          <c:order val="2"/>
          <c:tx>
            <c:strRef>
              <c:f>Sheet4!$E$1:$E$2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Sheet4!$E$3:$E$13</c:f>
              <c:numCache>
                <c:formatCode>General</c:formatCode>
                <c:ptCount val="11"/>
                <c:pt idx="0">
                  <c:v>124618</c:v>
                </c:pt>
                <c:pt idx="1">
                  <c:v>172230</c:v>
                </c:pt>
                <c:pt idx="2">
                  <c:v>155974</c:v>
                </c:pt>
                <c:pt idx="3">
                  <c:v>98214</c:v>
                </c:pt>
                <c:pt idx="4">
                  <c:v>265000</c:v>
                </c:pt>
                <c:pt idx="5">
                  <c:v>266923</c:v>
                </c:pt>
                <c:pt idx="7">
                  <c:v>260725</c:v>
                </c:pt>
                <c:pt idx="8">
                  <c:v>272520</c:v>
                </c:pt>
                <c:pt idx="9">
                  <c:v>203358</c:v>
                </c:pt>
                <c:pt idx="10">
                  <c:v>1819562</c:v>
                </c:pt>
              </c:numCache>
            </c:numRef>
          </c:val>
        </c:ser>
        <c:ser>
          <c:idx val="3"/>
          <c:order val="3"/>
          <c:tx>
            <c:strRef>
              <c:f>Sheet4!$F$1:$F$2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Sheet4!$F$3:$F$13</c:f>
              <c:numCache>
                <c:formatCode>General</c:formatCode>
                <c:ptCount val="11"/>
                <c:pt idx="0">
                  <c:v>152839</c:v>
                </c:pt>
                <c:pt idx="1">
                  <c:v>143674</c:v>
                </c:pt>
                <c:pt idx="2">
                  <c:v>82740</c:v>
                </c:pt>
                <c:pt idx="3">
                  <c:v>160469</c:v>
                </c:pt>
                <c:pt idx="4">
                  <c:v>327625</c:v>
                </c:pt>
                <c:pt idx="5">
                  <c:v>381559</c:v>
                </c:pt>
                <c:pt idx="7">
                  <c:v>331150</c:v>
                </c:pt>
                <c:pt idx="8">
                  <c:v>303000</c:v>
                </c:pt>
                <c:pt idx="9">
                  <c:v>124022</c:v>
                </c:pt>
                <c:pt idx="10">
                  <c:v>2007078</c:v>
                </c:pt>
              </c:numCache>
            </c:numRef>
          </c:val>
        </c:ser>
        <c:gapWidth val="219"/>
        <c:overlap val="-27"/>
        <c:axId val="48746116"/>
        <c:axId val="36404075"/>
      </c:barChart>
      <c:catAx>
        <c:axId val="4874611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6404075"/>
        <c:crosses val="autoZero"/>
        <c:auto val="1"/>
        <c:lblAlgn val="ctr"/>
        <c:lblOffset val="100"/>
        <c:noMultiLvlLbl val="0"/>
      </c:catAx>
      <c:valAx>
        <c:axId val="36404075"/>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8746116"/>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Sheet4!$C$31:$C$32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Sheet4!$C$33:$C$43</c:f>
              <c:numCache>
                <c:formatCode>General</c:formatCode>
                <c:ptCount val="11"/>
              </c:numCache>
            </c:numRef>
          </c:val>
        </c:ser>
        <c:ser>
          <c:idx val="1"/>
          <c:order val="1"/>
          <c:tx>
            <c:strRef>
              <c:f>Sheet4!$D$31:$D$32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Sheet4!$D$33:$D$43</c:f>
              <c:numCache>
                <c:formatCode>General</c:formatCode>
                <c:ptCount val="11"/>
              </c:numCache>
            </c:numRef>
          </c:val>
        </c:ser>
        <c:ser>
          <c:idx val="2"/>
          <c:order val="2"/>
          <c:tx>
            <c:strRef>
              <c:f>Sheet4!$E$31:$E$32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Sheet4!$E$33:$E$43</c:f>
              <c:numCache>
                <c:formatCode>General</c:formatCode>
                <c:ptCount val="11"/>
              </c:numCache>
            </c:numRef>
          </c:val>
        </c:ser>
        <c:ser>
          <c:idx val="3"/>
          <c:order val="3"/>
          <c:tx>
            <c:strRef>
              <c:f>Sheet4!$F$31:$F$32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Total Result</c:v>
                </c:pt>
              </c:strCache>
            </c:strRef>
          </c:cat>
          <c:val>
            <c:numRef>
              <c:f>Sheet4!$F$33:$F$43</c:f>
              <c:numCache>
                <c:formatCode>General</c:formatCode>
                <c:ptCount val="11"/>
              </c:numCache>
            </c:numRef>
          </c:val>
        </c:ser>
        <c:gapWidth val="219"/>
        <c:overlap val="-27"/>
        <c:axId val="46064087"/>
        <c:axId val="46343058"/>
      </c:barChart>
      <c:catAx>
        <c:axId val="4606408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6343058"/>
        <c:crosses val="autoZero"/>
        <c:auto val="1"/>
        <c:lblAlgn val="ctr"/>
        <c:lblOffset val="100"/>
        <c:noMultiLvlLbl val="0"/>
      </c:catAx>
      <c:valAx>
        <c:axId val="46343058"/>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6064087"/>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Plan vs Actual July -2021</a:t>
            </a:r>
          </a:p>
        </c:rich>
      </c:tx>
      <c:layout>
        <c:manualLayout>
          <c:xMode val="edge"/>
          <c:yMode val="edge"/>
          <c:x val="0.328898514851485"/>
          <c:y val="0.034897554527429"/>
        </c:manualLayout>
      </c:layout>
      <c:overlay val="0"/>
      <c:spPr>
        <a:noFill/>
        <a:ln>
          <a:noFill/>
        </a:ln>
      </c:spPr>
    </c:title>
    <c:autoTitleDeleted val="0"/>
    <c:plotArea>
      <c:layout>
        <c:manualLayout>
          <c:layoutTarget val="inner"/>
          <c:xMode val="edge"/>
          <c:yMode val="edge"/>
          <c:x val="0.0570994599459946"/>
          <c:y val="0.23251817580965"/>
          <c:w val="0.885576057605761"/>
          <c:h val="0.478387309980172"/>
        </c:manualLayout>
      </c:layout>
      <c:barChart>
        <c:barDir val="col"/>
        <c:grouping val="clustered"/>
        <c:varyColors val="0"/>
        <c:ser>
          <c:idx val="0"/>
          <c:order val="0"/>
          <c:tx>
            <c:strRef>
              <c:f>'Prod Summary'!$K$46</c:f>
              <c:strCache>
                <c:ptCount val="1"/>
                <c:pt idx="0">
                  <c:v>PLAN</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Summary'!$K$47:$K$54</c:f>
              <c:numCache>
                <c:formatCode>General</c:formatCode>
                <c:ptCount val="8"/>
                <c:pt idx="0">
                  <c:v>134206</c:v>
                </c:pt>
                <c:pt idx="1">
                  <c:v>89120</c:v>
                </c:pt>
                <c:pt idx="2">
                  <c:v>290025</c:v>
                </c:pt>
                <c:pt idx="3">
                  <c:v>289495</c:v>
                </c:pt>
                <c:pt idx="4">
                  <c:v>286932</c:v>
                </c:pt>
                <c:pt idx="5">
                  <c:v>0</c:v>
                </c:pt>
                <c:pt idx="6">
                  <c:v>279000</c:v>
                </c:pt>
                <c:pt idx="7">
                  <c:v>210223</c:v>
                </c:pt>
              </c:numCache>
            </c:numRef>
          </c:val>
        </c:ser>
        <c:ser>
          <c:idx val="1"/>
          <c:order val="1"/>
          <c:tx>
            <c:strRef>
              <c:f>'Prod Summary'!$L$46</c:f>
              <c:strCache>
                <c:ptCount val="1"/>
                <c:pt idx="0">
                  <c:v>ACTUAL</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Summary'!$L$47:$L$54</c:f>
              <c:numCache>
                <c:formatCode>General</c:formatCode>
                <c:ptCount val="8"/>
                <c:pt idx="0">
                  <c:v>554822</c:v>
                </c:pt>
                <c:pt idx="1">
                  <c:v>504366</c:v>
                </c:pt>
                <c:pt idx="2">
                  <c:v>1182508</c:v>
                </c:pt>
                <c:pt idx="3">
                  <c:v>321990</c:v>
                </c:pt>
                <c:pt idx="4">
                  <c:v>1084646</c:v>
                </c:pt>
                <c:pt idx="5">
                  <c:v>941103</c:v>
                </c:pt>
                <c:pt idx="6">
                  <c:v>1055247</c:v>
                </c:pt>
                <c:pt idx="7">
                  <c:v>643816</c:v>
                </c:pt>
              </c:numCache>
            </c:numRef>
          </c:val>
        </c:ser>
        <c:ser>
          <c:idx val="2"/>
          <c:order val="2"/>
          <c:tx>
            <c:strRef>
              <c:f>'Prod Summary'!$N$46</c:f>
              <c:strCache>
                <c:ptCount val="1"/>
                <c:pt idx="0">
                  <c:v>REJ</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Summary'!$N$47:$N$54</c:f>
              <c:numCache>
                <c:formatCode>General</c:formatCode>
                <c:ptCount val="8"/>
                <c:pt idx="0">
                  <c:v>11239</c:v>
                </c:pt>
                <c:pt idx="1">
                  <c:v>4797</c:v>
                </c:pt>
                <c:pt idx="2">
                  <c:v>16084</c:v>
                </c:pt>
                <c:pt idx="3">
                  <c:v>0</c:v>
                </c:pt>
                <c:pt idx="4">
                  <c:v>214</c:v>
                </c:pt>
                <c:pt idx="5">
                  <c:v>31</c:v>
                </c:pt>
                <c:pt idx="6">
                  <c:v>7041</c:v>
                </c:pt>
                <c:pt idx="7">
                  <c:v>396</c:v>
                </c:pt>
              </c:numCache>
            </c:numRef>
          </c:val>
        </c:ser>
        <c:gapWidth val="219"/>
        <c:overlap val="-27"/>
        <c:axId val="91765619"/>
        <c:axId val="83648335"/>
      </c:barChart>
      <c:lineChart>
        <c:grouping val="standard"/>
        <c:varyColors val="0"/>
        <c:ser>
          <c:idx val="3"/>
          <c:order val="3"/>
          <c:tx>
            <c:strRef>
              <c:f>'Prod Summary'!$O$46</c:f>
              <c:strCache>
                <c:ptCount val="1"/>
                <c:pt idx="0">
                  <c:v>REJ %</c:v>
                </c:pt>
              </c:strCache>
            </c:strRef>
          </c:tx>
          <c:spPr>
            <a:solidFill>
              <a:srgbClr val="ffc000"/>
            </a:solidFill>
            <a:ln w="28440">
              <a:solidFill>
                <a:srgbClr val="ffc000"/>
              </a:solidFill>
              <a:round/>
            </a:ln>
          </c:spPr>
          <c:marker>
            <c:symbol val="none"/>
          </c:marker>
          <c:dPt>
            <c:idx val="0"/>
            <c:marker>
              <c:symbol val="none"/>
            </c:marker>
          </c:dPt>
          <c:dPt>
            <c:idx val="1"/>
            <c:marker>
              <c:symbol val="none"/>
            </c:marker>
          </c:dPt>
          <c:dPt>
            <c:idx val="2"/>
            <c:marker>
              <c:symbol val="none"/>
            </c:marker>
          </c:dPt>
          <c:dPt>
            <c:idx val="3"/>
            <c:marker>
              <c:symbol val="none"/>
            </c:marker>
          </c:dPt>
          <c:dPt>
            <c:idx val="4"/>
            <c:marker>
              <c:symbol val="none"/>
            </c:marker>
          </c:dPt>
          <c:dPt>
            <c:idx val="5"/>
            <c:marker>
              <c:symbol val="none"/>
            </c:marker>
          </c:dPt>
          <c:dPt>
            <c:idx val="7"/>
            <c:marker>
              <c:symbol val="none"/>
            </c:marker>
          </c:dPt>
          <c:dLbls>
            <c:numFmt formatCode="0.00%" sourceLinked="1"/>
            <c:dLbl>
              <c:idx val="0"/>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1"/>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2"/>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3"/>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4"/>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5"/>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7"/>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txPr>
              <a:bodyPr/>
              <a:lstStyle/>
              <a:p>
                <a:pPr>
                  <a:defRPr b="0" sz="900" spc="-1" strike="noStrike">
                    <a:solidFill>
                      <a:srgbClr val="404040"/>
                    </a:solidFill>
                    <a:latin typeface="Calibri"/>
                  </a:defRPr>
                </a:pPr>
              </a:p>
            </c:txPr>
            <c:dLblPos val="r"/>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Summary'!$O$47:$O$54</c:f>
              <c:numCache>
                <c:formatCode>General</c:formatCode>
                <c:ptCount val="8"/>
                <c:pt idx="0">
                  <c:v>0.0198547506364155</c:v>
                </c:pt>
                <c:pt idx="1">
                  <c:v>0.0094213444417603</c:v>
                </c:pt>
                <c:pt idx="2">
                  <c:v>0.0134190783853054</c:v>
                </c:pt>
                <c:pt idx="3">
                  <c:v>0</c:v>
                </c:pt>
                <c:pt idx="4">
                  <c:v>0.000197260476006121</c:v>
                </c:pt>
                <c:pt idx="5">
                  <c:v>3.293898637176E-005</c:v>
                </c:pt>
                <c:pt idx="6">
                  <c:v>0.00662814603949211</c:v>
                </c:pt>
                <c:pt idx="7">
                  <c:v>0.000614704476166231</c:v>
                </c:pt>
              </c:numCache>
            </c:numRef>
          </c:val>
          <c:smooth val="0"/>
        </c:ser>
        <c:ser>
          <c:idx val="4"/>
          <c:order val="4"/>
          <c:tx>
            <c:strRef>
              <c:f>'Prod Summary'!$M$46</c:f>
              <c:strCache>
                <c:ptCount val="1"/>
                <c:pt idx="0">
                  <c:v>Achieve %</c:v>
                </c:pt>
              </c:strCache>
            </c:strRef>
          </c:tx>
          <c:spPr>
            <a:solidFill>
              <a:srgbClr val="4472c4"/>
            </a:solidFill>
            <a:ln w="28440">
              <a:solidFill>
                <a:srgbClr val="4472c4"/>
              </a:solidFill>
              <a:round/>
            </a:ln>
          </c:spPr>
          <c:marker>
            <c:symbol val="none"/>
          </c:marker>
          <c:dLbls>
            <c:numFmt formatCode="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Summary'!$M$47:$M$54</c:f>
              <c:numCache>
                <c:formatCode>General</c:formatCode>
                <c:ptCount val="8"/>
                <c:pt idx="0">
                  <c:v>4.13410726793139</c:v>
                </c:pt>
                <c:pt idx="1">
                  <c:v>5.65940305206463</c:v>
                </c:pt>
                <c:pt idx="2">
                  <c:v>4.07726230497371</c:v>
                </c:pt>
                <c:pt idx="3">
                  <c:v>1.11224718907062</c:v>
                </c:pt>
                <c:pt idx="4">
                  <c:v>3.78015000069703</c:v>
                </c:pt>
                <c:pt idx="5">
                  <c:v>0</c:v>
                </c:pt>
                <c:pt idx="6">
                  <c:v>3.78224731182796</c:v>
                </c:pt>
                <c:pt idx="7">
                  <c:v>3.06253835213083</c:v>
                </c:pt>
              </c:numCache>
            </c:numRef>
          </c:val>
          <c:smooth val="0"/>
        </c:ser>
        <c:hiLowLines>
          <c:spPr>
            <a:ln>
              <a:noFill/>
            </a:ln>
          </c:spPr>
        </c:hiLowLines>
        <c:marker val="0"/>
        <c:axId val="36155019"/>
        <c:axId val="99053854"/>
      </c:lineChart>
      <c:catAx>
        <c:axId val="9176561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3648335"/>
        <c:crosses val="autoZero"/>
        <c:auto val="1"/>
        <c:lblAlgn val="ctr"/>
        <c:lblOffset val="100"/>
        <c:noMultiLvlLbl val="0"/>
      </c:catAx>
      <c:valAx>
        <c:axId val="83648335"/>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1765619"/>
        <c:crosses val="autoZero"/>
        <c:crossBetween val="between"/>
      </c:valAx>
      <c:catAx>
        <c:axId val="36155019"/>
        <c:scaling>
          <c:orientation val="minMax"/>
        </c:scaling>
        <c:delete val="1"/>
        <c:axPos val="t"/>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99053854"/>
        <c:auto val="1"/>
        <c:lblAlgn val="ctr"/>
        <c:lblOffset val="100"/>
        <c:noMultiLvlLbl val="0"/>
      </c:catAx>
      <c:valAx>
        <c:axId val="99053854"/>
        <c:scaling>
          <c:orientation val="minMax"/>
          <c:max val="1.5"/>
        </c:scaling>
        <c:delete val="0"/>
        <c:axPos val="r"/>
        <c:numFmt formatCode="0.00%" sourceLinked="0"/>
        <c:majorTickMark val="out"/>
        <c:minorTickMark val="none"/>
        <c:tickLblPos val="nextTo"/>
        <c:spPr>
          <a:ln w="6480">
            <a:noFill/>
          </a:ln>
        </c:spPr>
        <c:txPr>
          <a:bodyPr/>
          <a:lstStyle/>
          <a:p>
            <a:pPr>
              <a:defRPr b="0" sz="900" spc="-1" strike="noStrike">
                <a:solidFill>
                  <a:srgbClr val="595959"/>
                </a:solidFill>
                <a:latin typeface="Calibri"/>
              </a:defRPr>
            </a:pPr>
          </a:p>
        </c:txPr>
        <c:crossAx val="36155019"/>
        <c:crosses val="max"/>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BOTTLE REJECTION TREND 2020-21 </a:t>
            </a:r>
          </a:p>
        </c:rich>
      </c:tx>
      <c:overlay val="0"/>
      <c:spPr>
        <a:noFill/>
        <a:ln>
          <a:noFill/>
        </a:ln>
      </c:spPr>
    </c:title>
    <c:autoTitleDeleted val="0"/>
    <c:plotArea>
      <c:layout>
        <c:manualLayout>
          <c:layoutTarget val="inner"/>
          <c:xMode val="edge"/>
          <c:yMode val="edge"/>
          <c:x val="0.117486658096685"/>
          <c:y val="0.045025931164545"/>
          <c:w val="0.882006933894278"/>
          <c:h val="0.657944365865158"/>
        </c:manualLayout>
      </c:layout>
      <c:lineChart>
        <c:grouping val="standard"/>
        <c:varyColors val="0"/>
        <c:ser>
          <c:idx val="0"/>
          <c:order val="0"/>
          <c:tx>
            <c:strRef>
              <c:f>'Rej Trend'!$A$78</c:f>
              <c:strCache>
                <c:ptCount val="1"/>
                <c:pt idx="0">
                  <c:v>11/19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Trend'!$B$78:$G$78</c:f>
              <c:numCache>
                <c:formatCode>General</c:formatCode>
                <c:ptCount val="6"/>
                <c:pt idx="0">
                  <c:v>0.0175936741845629</c:v>
                </c:pt>
                <c:pt idx="1">
                  <c:v>0.0254843394623626</c:v>
                </c:pt>
                <c:pt idx="2">
                  <c:v>0.0153352041911455</c:v>
                </c:pt>
                <c:pt idx="3">
                  <c:v>0.0159574468085106</c:v>
                </c:pt>
                <c:pt idx="4">
                  <c:v>0.0343316934436799</c:v>
                </c:pt>
                <c:pt idx="5">
                  <c:v>0.0360240702591348</c:v>
                </c:pt>
              </c:numCache>
            </c:numRef>
          </c:val>
          <c:smooth val="0"/>
        </c:ser>
        <c:ser>
          <c:idx val="1"/>
          <c:order val="1"/>
          <c:tx>
            <c:strRef>
              <c:f>'Rej Trend'!$A$79</c:f>
              <c:strCache>
                <c:ptCount val="1"/>
                <c:pt idx="0">
                  <c:v>12/19</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Trend'!$B$79:$G$79</c:f>
              <c:numCache>
                <c:formatCode>General</c:formatCode>
                <c:ptCount val="6"/>
                <c:pt idx="0">
                  <c:v>0.0259260459539165</c:v>
                </c:pt>
                <c:pt idx="1">
                  <c:v>0.0260154781163919</c:v>
                </c:pt>
                <c:pt idx="2">
                  <c:v>0.0150415907860412</c:v>
                </c:pt>
                <c:pt idx="3">
                  <c:v>0.0156430644362126</c:v>
                </c:pt>
                <c:pt idx="4">
                  <c:v>0.0417432703854451</c:v>
                </c:pt>
                <c:pt idx="5">
                  <c:v>0.0534545763576103</c:v>
                </c:pt>
              </c:numCache>
            </c:numRef>
          </c:val>
          <c:smooth val="0"/>
        </c:ser>
        <c:ser>
          <c:idx val="2"/>
          <c:order val="2"/>
          <c:tx>
            <c:strRef>
              <c:f>'Rej Trend'!$A$80</c:f>
              <c:strCache>
                <c:ptCount val="1"/>
                <c:pt idx="0">
                  <c:v>01/20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Trend'!$B$80:$G$80</c:f>
              <c:numCache>
                <c:formatCode>General</c:formatCode>
                <c:ptCount val="6"/>
                <c:pt idx="0">
                  <c:v>0.0185980945776369</c:v>
                </c:pt>
                <c:pt idx="1">
                  <c:v>0.0273209971918724</c:v>
                </c:pt>
                <c:pt idx="2">
                  <c:v>0.00826078134584034</c:v>
                </c:pt>
                <c:pt idx="3">
                  <c:v>0.0156113944520463</c:v>
                </c:pt>
                <c:pt idx="4">
                  <c:v>0.025908543028862</c:v>
                </c:pt>
                <c:pt idx="5">
                  <c:v>0.0427105176029136</c:v>
                </c:pt>
              </c:numCache>
            </c:numRef>
          </c:val>
          <c:smooth val="0"/>
        </c:ser>
        <c:hiLowLines>
          <c:spPr>
            <a:ln>
              <a:noFill/>
            </a:ln>
          </c:spPr>
        </c:hiLowLines>
        <c:marker val="1"/>
        <c:axId val="76038299"/>
        <c:axId val="39112476"/>
      </c:lineChart>
      <c:catAx>
        <c:axId val="7603829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9112476"/>
        <c:crosses val="autoZero"/>
        <c:auto val="1"/>
        <c:lblAlgn val="ctr"/>
        <c:lblOffset val="100"/>
        <c:noMultiLvlLbl val="0"/>
      </c:catAx>
      <c:valAx>
        <c:axId val="39112476"/>
        <c:scaling>
          <c:orientation val="minMax"/>
          <c:max val="0.13"/>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6038299"/>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NIPPLE REJECTION TREND 2020-2021</a:t>
            </a:r>
          </a:p>
        </c:rich>
      </c:tx>
      <c:overlay val="0"/>
      <c:spPr>
        <a:noFill/>
        <a:ln>
          <a:noFill/>
        </a:ln>
      </c:spPr>
    </c:title>
    <c:autoTitleDeleted val="0"/>
    <c:plotArea>
      <c:lineChart>
        <c:grouping val="standard"/>
        <c:varyColors val="0"/>
        <c:ser>
          <c:idx val="0"/>
          <c:order val="0"/>
          <c:tx>
            <c:strRef>
              <c:f>'Rej Trend'!$A$106</c:f>
              <c:strCache>
                <c:ptCount val="1"/>
                <c:pt idx="0">
                  <c:v>12/19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Trend'!$B$106:$F$106</c:f>
              <c:numCache>
                <c:formatCode>General</c:formatCode>
                <c:ptCount val="5"/>
                <c:pt idx="0">
                  <c:v>0.020447450971369</c:v>
                </c:pt>
                <c:pt idx="1">
                  <c:v>0</c:v>
                </c:pt>
                <c:pt idx="2">
                  <c:v>0.0140855958933762</c:v>
                </c:pt>
                <c:pt idx="3">
                  <c:v>-1.13884839650146E-005</c:v>
                </c:pt>
                <c:pt idx="4">
                  <c:v>0.03395458602484</c:v>
                </c:pt>
              </c:numCache>
            </c:numRef>
          </c:val>
          <c:smooth val="0"/>
        </c:ser>
        <c:ser>
          <c:idx val="1"/>
          <c:order val="1"/>
          <c:tx>
            <c:strRef>
              <c:f>'Rej Trend'!$A$107</c:f>
              <c:strCache>
                <c:ptCount val="1"/>
                <c:pt idx="0">
                  <c:v>01/20</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Trend'!$B$107:$F$107</c:f>
              <c:numCache>
                <c:formatCode>General</c:formatCode>
                <c:ptCount val="5"/>
                <c:pt idx="0">
                  <c:v>0.0134190783853054</c:v>
                </c:pt>
                <c:pt idx="1">
                  <c:v>0.000212005796054111</c:v>
                </c:pt>
                <c:pt idx="2">
                  <c:v>0.00663562698155693</c:v>
                </c:pt>
                <c:pt idx="3">
                  <c:v>0.000614704476166231</c:v>
                </c:pt>
                <c:pt idx="4">
                  <c:v>0.0198482886586929</c:v>
                </c:pt>
              </c:numCache>
            </c:numRef>
          </c:val>
          <c:smooth val="0"/>
        </c:ser>
        <c:ser>
          <c:idx val="2"/>
          <c:order val="2"/>
          <c:tx>
            <c:strRef>
              <c:f>'Rej Trend'!$A$108</c:f>
              <c:strCache>
                <c:ptCount val="1"/>
                <c:pt idx="0">
                  <c:v>02/20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Trend'!$B$108:$F$108</c:f>
              <c:numCache>
                <c:formatCode>General</c:formatCode>
                <c:ptCount val="5"/>
              </c:numCache>
            </c:numRef>
          </c:val>
          <c:smooth val="0"/>
        </c:ser>
        <c:hiLowLines>
          <c:spPr>
            <a:ln>
              <a:noFill/>
            </a:ln>
          </c:spPr>
        </c:hiLowLines>
        <c:marker val="1"/>
        <c:axId val="3278609"/>
        <c:axId val="16370203"/>
      </c:lineChart>
      <c:catAx>
        <c:axId val="327860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1" sz="900" spc="-1" strike="noStrike">
                <a:solidFill>
                  <a:srgbClr val="595959"/>
                </a:solidFill>
                <a:latin typeface="Calibri"/>
              </a:defRPr>
            </a:pPr>
          </a:p>
        </c:txPr>
        <c:crossAx val="16370203"/>
        <c:crosses val="autoZero"/>
        <c:auto val="1"/>
        <c:lblAlgn val="ctr"/>
        <c:lblOffset val="100"/>
        <c:noMultiLvlLbl val="0"/>
      </c:catAx>
      <c:valAx>
        <c:axId val="1637020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1" sz="900" spc="-1" strike="noStrike">
                <a:solidFill>
                  <a:srgbClr val="595959"/>
                </a:solidFill>
                <a:latin typeface="Calibri"/>
              </a:defRPr>
            </a:pPr>
          </a:p>
        </c:txPr>
        <c:crossAx val="3278609"/>
        <c:crosses val="autoZero"/>
        <c:crossBetween val="midCat"/>
      </c:valAx>
      <c:spPr>
        <a:noFill/>
        <a:ln>
          <a:noFill/>
        </a:ln>
      </c:spPr>
    </c:plotArea>
    <c:legend>
      <c:legendPos val="b"/>
      <c:overlay val="0"/>
      <c:spPr>
        <a:noFill/>
        <a:ln>
          <a:noFill/>
        </a:ln>
      </c:spPr>
      <c:txPr>
        <a:bodyPr/>
        <a:lstStyle/>
        <a:p>
          <a:pPr>
            <a:defRPr b="1"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Blow rejection Trend</a:t>
            </a:r>
          </a:p>
        </c:rich>
      </c:tx>
      <c:overlay val="0"/>
      <c:spPr>
        <a:noFill/>
        <a:ln>
          <a:noFill/>
        </a:ln>
      </c:spPr>
    </c:title>
    <c:autoTitleDeleted val="0"/>
    <c:plotArea>
      <c:lineChart>
        <c:grouping val="standard"/>
        <c:varyColors val="0"/>
        <c:ser>
          <c:idx val="0"/>
          <c:order val="0"/>
          <c:tx>
            <c:strRef>
              <c:f>'Rej Trend'!$B$67</c:f>
              <c:strCache>
                <c:ptCount val="1"/>
                <c:pt idx="0">
                  <c:v>P750J</c:v>
                </c:pt>
              </c:strCache>
            </c:strRef>
          </c:tx>
          <c:spPr>
            <a:solidFill>
              <a:srgbClr val="5b9bd5"/>
            </a:solidFill>
            <a:ln w="28440">
              <a:solidFill>
                <a:srgbClr val="5b9b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Trend'!$B$69:$B$80</c:f>
              <c:numCache>
                <c:formatCode>General</c:formatCode>
                <c:ptCount val="12"/>
                <c:pt idx="0">
                  <c:v>0.0339</c:v>
                </c:pt>
                <c:pt idx="1">
                  <c:v>0.0336151160663873</c:v>
                </c:pt>
                <c:pt idx="2">
                  <c:v>0.0194384912130304</c:v>
                </c:pt>
                <c:pt idx="3">
                  <c:v>0.0196</c:v>
                </c:pt>
                <c:pt idx="4">
                  <c:v>0.0175936741845629</c:v>
                </c:pt>
                <c:pt idx="5">
                  <c:v>0.0254843394623626</c:v>
                </c:pt>
                <c:pt idx="6">
                  <c:v>0.0153352041911455</c:v>
                </c:pt>
                <c:pt idx="7">
                  <c:v>0.0159574468085106</c:v>
                </c:pt>
                <c:pt idx="8">
                  <c:v>0.0125246736070058</c:v>
                </c:pt>
                <c:pt idx="9">
                  <c:v>0.0175936741845629</c:v>
                </c:pt>
                <c:pt idx="10">
                  <c:v>0.0259260459539165</c:v>
                </c:pt>
                <c:pt idx="11">
                  <c:v>0.0185980945776369</c:v>
                </c:pt>
              </c:numCache>
            </c:numRef>
          </c:val>
          <c:smooth val="0"/>
        </c:ser>
        <c:ser>
          <c:idx val="1"/>
          <c:order val="1"/>
          <c:tx>
            <c:strRef>
              <c:f>'Rej Trend'!$C$67</c:f>
              <c:strCache>
                <c:ptCount val="1"/>
                <c:pt idx="0">
                  <c:v>WMG3B</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Trend'!$C$69:$C$80</c:f>
              <c:numCache>
                <c:formatCode>General</c:formatCode>
                <c:ptCount val="12"/>
                <c:pt idx="0">
                  <c:v>0.0553</c:v>
                </c:pt>
                <c:pt idx="1">
                  <c:v>0.0584592519197424</c:v>
                </c:pt>
                <c:pt idx="2">
                  <c:v>0.0410734898037707</c:v>
                </c:pt>
                <c:pt idx="3">
                  <c:v>0.0273</c:v>
                </c:pt>
                <c:pt idx="4">
                  <c:v>0.0254843394623626</c:v>
                </c:pt>
                <c:pt idx="5">
                  <c:v>0.0153352041911455</c:v>
                </c:pt>
                <c:pt idx="6">
                  <c:v>0.0159574468085106</c:v>
                </c:pt>
                <c:pt idx="7">
                  <c:v>0.0248628281949453</c:v>
                </c:pt>
                <c:pt idx="8">
                  <c:v>0.0163107449134017</c:v>
                </c:pt>
                <c:pt idx="9">
                  <c:v>0.0254843394623626</c:v>
                </c:pt>
                <c:pt idx="10">
                  <c:v>0.0260154781163919</c:v>
                </c:pt>
                <c:pt idx="11">
                  <c:v>0.0273209971918724</c:v>
                </c:pt>
              </c:numCache>
            </c:numRef>
          </c:val>
          <c:smooth val="0"/>
        </c:ser>
        <c:hiLowLines>
          <c:spPr>
            <a:ln>
              <a:noFill/>
            </a:ln>
          </c:spPr>
        </c:hiLowLines>
        <c:marker val="0"/>
        <c:axId val="35891468"/>
        <c:axId val="7932336"/>
      </c:lineChart>
      <c:catAx>
        <c:axId val="35891468"/>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932336"/>
        <c:crosses val="autoZero"/>
        <c:auto val="1"/>
        <c:lblAlgn val="ctr"/>
        <c:lblOffset val="100"/>
        <c:noMultiLvlLbl val="0"/>
      </c:catAx>
      <c:valAx>
        <c:axId val="793233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5891468"/>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Printing Rejection Trend</a:t>
            </a:r>
          </a:p>
        </c:rich>
      </c:tx>
      <c:overlay val="0"/>
      <c:spPr>
        <a:noFill/>
        <a:ln>
          <a:noFill/>
        </a:ln>
      </c:spPr>
    </c:title>
    <c:autoTitleDeleted val="0"/>
    <c:plotArea>
      <c:lineChart>
        <c:grouping val="standard"/>
        <c:varyColors val="0"/>
        <c:ser>
          <c:idx val="0"/>
          <c:order val="0"/>
          <c:tx>
            <c:strRef>
              <c:f>'Rej Trend'!$D$67</c:f>
              <c:strCache>
                <c:ptCount val="1"/>
                <c:pt idx="0">
                  <c:v>P750J</c:v>
                </c:pt>
              </c:strCache>
            </c:strRef>
          </c:tx>
          <c:spPr>
            <a:solidFill>
              <a:srgbClr val="a5a5a5"/>
            </a:solidFill>
            <a:ln w="28440">
              <a:solidFill>
                <a:srgbClr val="a5a5a5"/>
              </a:solidFill>
              <a:round/>
            </a:ln>
          </c:spPr>
          <c:marker>
            <c:symbol val="none"/>
          </c:marker>
          <c:dLbls>
            <c:numFmt formatCode="0.00%" sourceLinked="1"/>
            <c:txPr>
              <a:bodyPr/>
              <a:lstStyle/>
              <a:p>
                <a:pPr>
                  <a:defRPr b="0" sz="900" spc="-1" strike="noStrike">
                    <a:solidFill>
                      <a:srgbClr val="404040"/>
                    </a:solidFill>
                    <a:latin typeface="Calibri"/>
                  </a:defRPr>
                </a:pPr>
              </a:p>
            </c:txPr>
            <c:dLblPos val="b"/>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Trend'!$D$69:$D$80</c:f>
              <c:numCache>
                <c:formatCode>General</c:formatCode>
                <c:ptCount val="12"/>
                <c:pt idx="0">
                  <c:v>0.0057</c:v>
                </c:pt>
                <c:pt idx="1">
                  <c:v>0.00379116016953099</c:v>
                </c:pt>
                <c:pt idx="2">
                  <c:v>0.00309096261407124</c:v>
                </c:pt>
                <c:pt idx="3">
                  <c:v>0.0079</c:v>
                </c:pt>
                <c:pt idx="4">
                  <c:v>0.0153352041911455</c:v>
                </c:pt>
                <c:pt idx="5">
                  <c:v>0.0159574468085106</c:v>
                </c:pt>
                <c:pt idx="6">
                  <c:v>0.0248628281949453</c:v>
                </c:pt>
                <c:pt idx="7">
                  <c:v>0</c:v>
                </c:pt>
                <c:pt idx="8">
                  <c:v>0.00990948168967513</c:v>
                </c:pt>
                <c:pt idx="9">
                  <c:v>0.0153352041911455</c:v>
                </c:pt>
                <c:pt idx="10">
                  <c:v>0.0150415907860412</c:v>
                </c:pt>
                <c:pt idx="11">
                  <c:v>0.00826078134584034</c:v>
                </c:pt>
              </c:numCache>
            </c:numRef>
          </c:val>
          <c:smooth val="0"/>
        </c:ser>
        <c:ser>
          <c:idx val="1"/>
          <c:order val="1"/>
          <c:tx>
            <c:strRef>
              <c:f>'Rej Trend'!$E$67</c:f>
              <c:strCache>
                <c:ptCount val="1"/>
                <c:pt idx="0">
                  <c:v>WMG3B</c:v>
                </c:pt>
              </c:strCache>
            </c:strRef>
          </c:tx>
          <c:spPr>
            <a:solidFill>
              <a:srgbClr val="ffc000"/>
            </a:solidFill>
            <a:ln w="28440">
              <a:solidFill>
                <a:srgbClr val="ffc000"/>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Trend'!$E$69:$E$80</c:f>
              <c:numCache>
                <c:formatCode>General</c:formatCode>
                <c:ptCount val="12"/>
                <c:pt idx="0">
                  <c:v>0.0072</c:v>
                </c:pt>
                <c:pt idx="1">
                  <c:v>0.00820148530836293</c:v>
                </c:pt>
                <c:pt idx="2">
                  <c:v>0.012921983524471</c:v>
                </c:pt>
                <c:pt idx="3">
                  <c:v>0.00096</c:v>
                </c:pt>
                <c:pt idx="4">
                  <c:v>0.0159574468085106</c:v>
                </c:pt>
                <c:pt idx="5">
                  <c:v>0.0248628281949453</c:v>
                </c:pt>
                <c:pt idx="6">
                  <c:v>0</c:v>
                </c:pt>
                <c:pt idx="7">
                  <c:v>0</c:v>
                </c:pt>
                <c:pt idx="8">
                  <c:v>0.011539544047284</c:v>
                </c:pt>
                <c:pt idx="9">
                  <c:v>0.0159574468085106</c:v>
                </c:pt>
                <c:pt idx="10">
                  <c:v>0.0156430644362126</c:v>
                </c:pt>
                <c:pt idx="11">
                  <c:v>0.0156113944520463</c:v>
                </c:pt>
              </c:numCache>
            </c:numRef>
          </c:val>
          <c:smooth val="0"/>
        </c:ser>
        <c:hiLowLines>
          <c:spPr>
            <a:ln>
              <a:noFill/>
            </a:ln>
          </c:spPr>
        </c:hiLowLines>
        <c:marker val="0"/>
        <c:axId val="61150294"/>
        <c:axId val="817231"/>
      </c:lineChart>
      <c:catAx>
        <c:axId val="61150294"/>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17231"/>
        <c:crosses val="autoZero"/>
        <c:auto val="1"/>
        <c:lblAlgn val="ctr"/>
        <c:lblOffset val="100"/>
        <c:noMultiLvlLbl val="0"/>
      </c:catAx>
      <c:valAx>
        <c:axId val="81723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1150294"/>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LIM</a:t>
            </a:r>
          </a:p>
        </c:rich>
      </c:tx>
      <c:overlay val="0"/>
      <c:spPr>
        <a:noFill/>
        <a:ln>
          <a:noFill/>
        </a:ln>
      </c:spPr>
    </c:title>
    <c:autoTitleDeleted val="0"/>
    <c:plotArea>
      <c:lineChart>
        <c:grouping val="standard"/>
        <c:varyColors val="0"/>
        <c:ser>
          <c:idx val="0"/>
          <c:order val="0"/>
          <c:tx>
            <c:strRef>
              <c:f>'Rej Trend'!$B$94</c:f>
              <c:strCache>
                <c:ptCount val="1"/>
                <c:pt idx="0">
                  <c:v>LIM</c:v>
                </c:pt>
              </c:strCache>
            </c:strRef>
          </c:tx>
          <c:spPr>
            <a:solidFill>
              <a:srgbClr val="5b9bd5"/>
            </a:solidFill>
            <a:ln w="28440">
              <a:solidFill>
                <a:srgbClr val="5b9bd5"/>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Trend'!$A$96,'Rej Trend'!$A$102:$A$107</c:f>
              <c:strCache>
                <c:ptCount val="7"/>
                <c:pt idx="0">
                  <c:v>02/19</c:v>
                </c:pt>
                <c:pt idx="1">
                  <c:v>08/19</c:v>
                </c:pt>
                <c:pt idx="2">
                  <c:v>09/19</c:v>
                </c:pt>
                <c:pt idx="3">
                  <c:v>10/19</c:v>
                </c:pt>
                <c:pt idx="4">
                  <c:v>11/19</c:v>
                </c:pt>
                <c:pt idx="5">
                  <c:v>12/19</c:v>
                </c:pt>
                <c:pt idx="6">
                  <c:v>01/20</c:v>
                </c:pt>
              </c:strCache>
            </c:strRef>
          </c:cat>
          <c:val>
            <c:numRef>
              <c:f>'Rej Trend'!$B$96,'Rej Trend'!$B$102:$B$107</c:f>
              <c:numCache>
                <c:formatCode>General</c:formatCode>
                <c:ptCount val="7"/>
                <c:pt idx="0">
                  <c:v>0.0312</c:v>
                </c:pt>
                <c:pt idx="1">
                  <c:v>0.0198690209109711</c:v>
                </c:pt>
                <c:pt idx="2">
                  <c:v>0.0195267611000959</c:v>
                </c:pt>
                <c:pt idx="3">
                  <c:v>0.0163414422683094</c:v>
                </c:pt>
                <c:pt idx="4">
                  <c:v>0.0248628281949453</c:v>
                </c:pt>
                <c:pt idx="5">
                  <c:v>0.020447450971369</c:v>
                </c:pt>
                <c:pt idx="6">
                  <c:v>0.0134190783853054</c:v>
                </c:pt>
              </c:numCache>
            </c:numRef>
          </c:val>
          <c:smooth val="0"/>
        </c:ser>
        <c:hiLowLines>
          <c:spPr>
            <a:ln>
              <a:noFill/>
            </a:ln>
          </c:spPr>
        </c:hiLowLines>
        <c:marker val="0"/>
        <c:axId val="92213600"/>
        <c:axId val="72986787"/>
      </c:lineChart>
      <c:catAx>
        <c:axId val="92213600"/>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2986787"/>
        <c:crosses val="autoZero"/>
        <c:auto val="1"/>
        <c:lblAlgn val="ctr"/>
        <c:lblOffset val="100"/>
        <c:noMultiLvlLbl val="0"/>
      </c:catAx>
      <c:valAx>
        <c:axId val="72986787"/>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2213600"/>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PUNCHING</a:t>
            </a:r>
          </a:p>
        </c:rich>
      </c:tx>
      <c:overlay val="0"/>
      <c:spPr>
        <a:noFill/>
        <a:ln>
          <a:noFill/>
        </a:ln>
      </c:spPr>
    </c:title>
    <c:autoTitleDeleted val="0"/>
    <c:plotArea>
      <c:lineChart>
        <c:grouping val="standard"/>
        <c:varyColors val="0"/>
        <c:ser>
          <c:idx val="0"/>
          <c:order val="0"/>
          <c:tx>
            <c:strRef>
              <c:f>'Rej Trend'!$C$94</c:f>
              <c:strCache>
                <c:ptCount val="1"/>
                <c:pt idx="0">
                  <c:v>PUNCHING</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Trend'!$C$96:$C$107</c:f>
              <c:numCache>
                <c:formatCode>General</c:formatCode>
                <c:ptCount val="12"/>
                <c:pt idx="0">
                  <c:v>0.0057</c:v>
                </c:pt>
                <c:pt idx="1">
                  <c:v>7.3155664416001E-005</c:v>
                </c:pt>
                <c:pt idx="2">
                  <c:v>0.000503513709181368</c:v>
                </c:pt>
                <c:pt idx="3">
                  <c:v>0</c:v>
                </c:pt>
                <c:pt idx="4">
                  <c:v>0.000193310898378367</c:v>
                </c:pt>
                <c:pt idx="5">
                  <c:v>0</c:v>
                </c:pt>
                <c:pt idx="6">
                  <c:v>0</c:v>
                </c:pt>
                <c:pt idx="7">
                  <c:v>0</c:v>
                </c:pt>
                <c:pt idx="8">
                  <c:v>0</c:v>
                </c:pt>
                <c:pt idx="9">
                  <c:v>0</c:v>
                </c:pt>
                <c:pt idx="10">
                  <c:v>0</c:v>
                </c:pt>
                <c:pt idx="11">
                  <c:v>0.000212005796054111</c:v>
                </c:pt>
              </c:numCache>
            </c:numRef>
          </c:val>
          <c:smooth val="0"/>
        </c:ser>
        <c:hiLowLines>
          <c:spPr>
            <a:ln>
              <a:noFill/>
            </a:ln>
          </c:spPr>
        </c:hiLowLines>
        <c:marker val="0"/>
        <c:axId val="54774552"/>
        <c:axId val="16843651"/>
      </c:lineChart>
      <c:catAx>
        <c:axId val="54774552"/>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6843651"/>
        <c:crosses val="autoZero"/>
        <c:auto val="1"/>
        <c:lblAlgn val="ctr"/>
        <c:lblOffset val="100"/>
        <c:noMultiLvlLbl val="0"/>
      </c:catAx>
      <c:valAx>
        <c:axId val="16843651"/>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4774552"/>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WRAPING</a:t>
            </a:r>
          </a:p>
        </c:rich>
      </c:tx>
      <c:overlay val="0"/>
      <c:spPr>
        <a:noFill/>
        <a:ln>
          <a:noFill/>
        </a:ln>
      </c:spPr>
    </c:title>
    <c:autoTitleDeleted val="0"/>
    <c:plotArea>
      <c:lineChart>
        <c:grouping val="standard"/>
        <c:varyColors val="0"/>
        <c:ser>
          <c:idx val="0"/>
          <c:order val="0"/>
          <c:tx>
            <c:strRef>
              <c:f>'Rej Trend'!$E$94</c:f>
              <c:strCache>
                <c:ptCount val="1"/>
                <c:pt idx="0">
                  <c:v>WRAPING</c:v>
                </c:pt>
              </c:strCache>
            </c:strRef>
          </c:tx>
          <c:spPr>
            <a:solidFill>
              <a:srgbClr val="ffc000"/>
            </a:solidFill>
            <a:ln w="28440">
              <a:solidFill>
                <a:srgbClr val="ffc00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Trend'!$E$96:$E$107</c:f>
              <c:numCache>
                <c:formatCode>General</c:formatCode>
                <c:ptCount val="12"/>
                <c:pt idx="0">
                  <c:v>0.0002</c:v>
                </c:pt>
                <c:pt idx="1">
                  <c:v>0.000119662768561327</c:v>
                </c:pt>
                <c:pt idx="2">
                  <c:v>4.19155401865242E-005</c:v>
                </c:pt>
                <c:pt idx="3">
                  <c:v>0.0001</c:v>
                </c:pt>
                <c:pt idx="4">
                  <c:v>0.000396825396825397</c:v>
                </c:pt>
                <c:pt idx="5">
                  <c:v>0.000196244798069875</c:v>
                </c:pt>
                <c:pt idx="6">
                  <c:v>0.000187579289271946</c:v>
                </c:pt>
                <c:pt idx="7">
                  <c:v>9.76171148491045E-005</c:v>
                </c:pt>
                <c:pt idx="8">
                  <c:v>2.35324571415124E-005</c:v>
                </c:pt>
                <c:pt idx="9">
                  <c:v>4.98562478187892E-005</c:v>
                </c:pt>
                <c:pt idx="10">
                  <c:v>-1.13884839650146E-005</c:v>
                </c:pt>
                <c:pt idx="11">
                  <c:v>0.000614704476166231</c:v>
                </c:pt>
              </c:numCache>
            </c:numRef>
          </c:val>
          <c:smooth val="0"/>
        </c:ser>
        <c:hiLowLines>
          <c:spPr>
            <a:ln>
              <a:noFill/>
            </a:ln>
          </c:spPr>
        </c:hiLowLines>
        <c:marker val="0"/>
        <c:axId val="67451353"/>
        <c:axId val="15918434"/>
      </c:lineChart>
      <c:catAx>
        <c:axId val="67451353"/>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5918434"/>
        <c:crosses val="autoZero"/>
        <c:auto val="1"/>
        <c:lblAlgn val="ctr"/>
        <c:lblOffset val="100"/>
        <c:noMultiLvlLbl val="0"/>
      </c:catAx>
      <c:valAx>
        <c:axId val="15918434"/>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7451353"/>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INSPECTION</a:t>
            </a:r>
          </a:p>
        </c:rich>
      </c:tx>
      <c:overlay val="0"/>
      <c:spPr>
        <a:noFill/>
        <a:ln>
          <a:noFill/>
        </a:ln>
      </c:spPr>
    </c:title>
    <c:autoTitleDeleted val="0"/>
    <c:plotArea>
      <c:lineChart>
        <c:grouping val="standard"/>
        <c:varyColors val="0"/>
        <c:ser>
          <c:idx val="0"/>
          <c:order val="0"/>
          <c:tx>
            <c:strRef>
              <c:f>'Rej Trend'!$D$94</c:f>
              <c:strCache>
                <c:ptCount val="1"/>
                <c:pt idx="0">
                  <c:v>INSPECTION</c:v>
                </c:pt>
              </c:strCache>
            </c:strRef>
          </c:tx>
          <c:spPr>
            <a:solidFill>
              <a:srgbClr val="a5a5a5"/>
            </a:solidFill>
            <a:ln w="28440">
              <a:solidFill>
                <a:srgbClr val="a5a5a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Trend'!$D$96:$D$107</c:f>
              <c:numCache>
                <c:formatCode>General</c:formatCode>
                <c:ptCount val="12"/>
                <c:pt idx="0">
                  <c:v>0.0294</c:v>
                </c:pt>
                <c:pt idx="1">
                  <c:v>0.0152480643303543</c:v>
                </c:pt>
                <c:pt idx="2">
                  <c:v>0.0231333831809928</c:v>
                </c:pt>
                <c:pt idx="3">
                  <c:v>0.0127</c:v>
                </c:pt>
                <c:pt idx="4">
                  <c:v>0.0108639976729039</c:v>
                </c:pt>
                <c:pt idx="5">
                  <c:v>0.0178355750572708</c:v>
                </c:pt>
                <c:pt idx="6">
                  <c:v>0.0169138801601844</c:v>
                </c:pt>
                <c:pt idx="7">
                  <c:v>0.0103624756611428</c:v>
                </c:pt>
                <c:pt idx="8">
                  <c:v>0.00828141915325325</c:v>
                </c:pt>
                <c:pt idx="9">
                  <c:v>0.010287511867481</c:v>
                </c:pt>
                <c:pt idx="10">
                  <c:v>0.0140855958933762</c:v>
                </c:pt>
                <c:pt idx="11">
                  <c:v>0.00663562698155693</c:v>
                </c:pt>
              </c:numCache>
            </c:numRef>
          </c:val>
          <c:smooth val="0"/>
        </c:ser>
        <c:hiLowLines>
          <c:spPr>
            <a:ln>
              <a:noFill/>
            </a:ln>
          </c:spPr>
        </c:hiLowLines>
        <c:marker val="0"/>
        <c:axId val="86215549"/>
        <c:axId val="96084130"/>
      </c:lineChart>
      <c:catAx>
        <c:axId val="86215549"/>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96084130"/>
        <c:crosses val="autoZero"/>
        <c:auto val="1"/>
        <c:lblAlgn val="ctr"/>
        <c:lblOffset val="100"/>
        <c:noMultiLvlLbl val="0"/>
      </c:catAx>
      <c:valAx>
        <c:axId val="96084130"/>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6215549"/>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Rejection Blow &amp; Printing</a:t>
            </a:r>
          </a:p>
        </c:rich>
      </c:tx>
      <c:overlay val="0"/>
      <c:spPr>
        <a:noFill/>
        <a:ln>
          <a:noFill/>
        </a:ln>
      </c:spPr>
    </c:title>
    <c:autoTitleDeleted val="0"/>
    <c:plotArea>
      <c:lineChart>
        <c:grouping val="standard"/>
        <c:varyColors val="0"/>
        <c:ser>
          <c:idx val="0"/>
          <c:order val="0"/>
          <c:tx>
            <c:strRef>
              <c:f>'Rej Trend'!$F$67</c:f>
              <c:strCache>
                <c:ptCount val="1"/>
                <c:pt idx="0">
                  <c:v>P750J</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Trend'!$F$69:$F$80</c:f>
              <c:numCache>
                <c:formatCode>General</c:formatCode>
                <c:ptCount val="12"/>
                <c:pt idx="0">
                  <c:v>0.0394</c:v>
                </c:pt>
                <c:pt idx="1">
                  <c:v>0.0367328820330707</c:v>
                </c:pt>
                <c:pt idx="2">
                  <c:v>0.0225179994445275</c:v>
                </c:pt>
                <c:pt idx="3">
                  <c:v>0.0289</c:v>
                </c:pt>
                <c:pt idx="4">
                  <c:v>0.0343316934436799</c:v>
                </c:pt>
                <c:pt idx="5">
                  <c:v>0.0360240702591348</c:v>
                </c:pt>
                <c:pt idx="6">
                  <c:v>0.0347274072170498</c:v>
                </c:pt>
                <c:pt idx="7">
                  <c:v>0</c:v>
                </c:pt>
                <c:pt idx="8">
                  <c:v>0.0219229471427721</c:v>
                </c:pt>
                <c:pt idx="9">
                  <c:v>0.0343316934436799</c:v>
                </c:pt>
                <c:pt idx="10">
                  <c:v>0.0417432703854451</c:v>
                </c:pt>
                <c:pt idx="11">
                  <c:v>0.025908543028862</c:v>
                </c:pt>
              </c:numCache>
            </c:numRef>
          </c:val>
          <c:smooth val="0"/>
        </c:ser>
        <c:ser>
          <c:idx val="1"/>
          <c:order val="1"/>
          <c:tx>
            <c:strRef>
              <c:f>'Rej Trend'!$G$67</c:f>
              <c:strCache>
                <c:ptCount val="1"/>
                <c:pt idx="0">
                  <c:v>WMG3B</c:v>
                </c:pt>
              </c:strCache>
            </c:strRef>
          </c:tx>
          <c:spPr>
            <a:solidFill>
              <a:srgbClr val="70ad47"/>
            </a:solidFill>
            <a:ln w="28440">
              <a:solidFill>
                <a:srgbClr val="70ad47"/>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Trend'!$G$69:$G$80</c:f>
              <c:numCache>
                <c:formatCode>General</c:formatCode>
                <c:ptCount val="12"/>
                <c:pt idx="0">
                  <c:v>0.0614</c:v>
                </c:pt>
                <c:pt idx="1">
                  <c:v>0.0730398731861968</c:v>
                </c:pt>
                <c:pt idx="2">
                  <c:v>0.0483963344788087</c:v>
                </c:pt>
                <c:pt idx="3">
                  <c:v>0.0338</c:v>
                </c:pt>
                <c:pt idx="4">
                  <c:v>0.0360240702591348</c:v>
                </c:pt>
                <c:pt idx="5">
                  <c:v>0.0347274072170498</c:v>
                </c:pt>
                <c:pt idx="6">
                  <c:v>0</c:v>
                </c:pt>
                <c:pt idx="7">
                  <c:v>0</c:v>
                </c:pt>
                <c:pt idx="8">
                  <c:v>0.0362438220757825</c:v>
                </c:pt>
                <c:pt idx="9">
                  <c:v>0.0360240702591348</c:v>
                </c:pt>
                <c:pt idx="10">
                  <c:v>0.0534545763576103</c:v>
                </c:pt>
                <c:pt idx="11">
                  <c:v>0.0427105176029136</c:v>
                </c:pt>
              </c:numCache>
            </c:numRef>
          </c:val>
          <c:smooth val="0"/>
        </c:ser>
        <c:hiLowLines>
          <c:spPr>
            <a:ln>
              <a:noFill/>
            </a:ln>
          </c:spPr>
        </c:hiLowLines>
        <c:marker val="0"/>
        <c:axId val="68128203"/>
        <c:axId val="81490045"/>
      </c:lineChart>
      <c:catAx>
        <c:axId val="68128203"/>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1490045"/>
        <c:crosses val="autoZero"/>
        <c:auto val="1"/>
        <c:lblAlgn val="ctr"/>
        <c:lblOffset val="100"/>
        <c:noMultiLvlLbl val="0"/>
      </c:catAx>
      <c:valAx>
        <c:axId val="81490045"/>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8128203"/>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Nipple all Process</a:t>
            </a:r>
          </a:p>
        </c:rich>
      </c:tx>
      <c:overlay val="0"/>
      <c:spPr>
        <a:noFill/>
        <a:ln>
          <a:noFill/>
        </a:ln>
      </c:spPr>
    </c:title>
    <c:autoTitleDeleted val="0"/>
    <c:plotArea>
      <c:lineChart>
        <c:grouping val="standard"/>
        <c:varyColors val="0"/>
        <c:ser>
          <c:idx val="0"/>
          <c:order val="0"/>
          <c:tx>
            <c:strRef>
              <c:f>'Rej Trend'!$F$94</c:f>
              <c:strCache>
                <c:ptCount val="1"/>
                <c:pt idx="0">
                  <c:v>COMMULATIVE</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Trend'!$F$96:$F$107</c:f>
              <c:numCache>
                <c:formatCode>General</c:formatCode>
                <c:ptCount val="12"/>
                <c:pt idx="0">
                  <c:v>0.0617</c:v>
                </c:pt>
                <c:pt idx="1">
                  <c:v>0.034461553205763</c:v>
                </c:pt>
                <c:pt idx="2">
                  <c:v>0.0619035719305918</c:v>
                </c:pt>
                <c:pt idx="3">
                  <c:v>0.0513</c:v>
                </c:pt>
                <c:pt idx="4">
                  <c:v>0.0276448549360746</c:v>
                </c:pt>
                <c:pt idx="5">
                  <c:v>0.0432609202113432</c:v>
                </c:pt>
                <c:pt idx="6">
                  <c:v>0.038397426255023</c:v>
                </c:pt>
                <c:pt idx="7">
                  <c:v>0.0298185758772008</c:v>
                </c:pt>
                <c:pt idx="8">
                  <c:v>0.0238098063765777</c:v>
                </c:pt>
                <c:pt idx="9">
                  <c:v>0.0347274072170498</c:v>
                </c:pt>
                <c:pt idx="10">
                  <c:v>0.03395458602484</c:v>
                </c:pt>
                <c:pt idx="11">
                  <c:v>0.0198482886586929</c:v>
                </c:pt>
              </c:numCache>
            </c:numRef>
          </c:val>
          <c:smooth val="0"/>
        </c:ser>
        <c:hiLowLines>
          <c:spPr>
            <a:ln>
              <a:noFill/>
            </a:ln>
          </c:spPr>
        </c:hiLowLines>
        <c:marker val="0"/>
        <c:axId val="3673320"/>
        <c:axId val="18676456"/>
      </c:lineChart>
      <c:catAx>
        <c:axId val="3673320"/>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8676456"/>
        <c:crosses val="autoZero"/>
        <c:auto val="1"/>
        <c:lblAlgn val="ctr"/>
        <c:lblOffset val="100"/>
        <c:noMultiLvlLbl val="0"/>
      </c:catAx>
      <c:valAx>
        <c:axId val="1867645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673320"/>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 Id="rId3" Type="http://schemas.openxmlformats.org/officeDocument/2006/relationships/chart" Target="../charts/chart25.xml"/><Relationship Id="rId4" Type="http://schemas.openxmlformats.org/officeDocument/2006/relationships/chart" Target="../charts/chart26.xml"/><Relationship Id="rId5" Type="http://schemas.openxmlformats.org/officeDocument/2006/relationships/chart" Target="../charts/chart27.xml"/><Relationship Id="rId6" Type="http://schemas.openxmlformats.org/officeDocument/2006/relationships/chart" Target="../charts/chart28.xml"/><Relationship Id="rId7" Type="http://schemas.openxmlformats.org/officeDocument/2006/relationships/chart" Target="../charts/chart29.xml"/><Relationship Id="rId8" Type="http://schemas.openxmlformats.org/officeDocument/2006/relationships/chart" Target="../charts/chart30.xml"/><Relationship Id="rId9" Type="http://schemas.openxmlformats.org/officeDocument/2006/relationships/chart" Target="../charts/chart31.xml"/><Relationship Id="rId10" Type="http://schemas.openxmlformats.org/officeDocument/2006/relationships/chart" Target="../charts/chart32.xml"/><Relationship Id="rId11" Type="http://schemas.openxmlformats.org/officeDocument/2006/relationships/chart" Target="../charts/chart33.xml"/>
</Relationships>
</file>

<file path=xl/drawings/_rels/drawing3.xml.rels><?xml version="1.0" encoding="UTF-8"?>
<Relationships xmlns="http://schemas.openxmlformats.org/package/2006/relationships"><Relationship Id="rId1" Type="http://schemas.openxmlformats.org/officeDocument/2006/relationships/chart" Target="../charts/chart34.xml"/>
</Relationships>
</file>

<file path=xl/drawings/_rels/drawing6.xml.rels><?xml version="1.0" encoding="UTF-8"?>
<Relationships xmlns="http://schemas.openxmlformats.org/package/2006/relationships"><Relationship Id="rId1" Type="http://schemas.openxmlformats.org/officeDocument/2006/relationships/chart" Target="../charts/chart35.xml"/><Relationship Id="rId2" Type="http://schemas.openxmlformats.org/officeDocument/2006/relationships/chart" Target="../charts/chart36.xml"/><Relationship Id="rId3" Type="http://schemas.openxmlformats.org/officeDocument/2006/relationships/chart" Target="../charts/chart37.xml"/><Relationship Id="rId4" Type="http://schemas.openxmlformats.org/officeDocument/2006/relationships/chart" Target="../charts/chart38.xml"/><Relationship Id="rId5" Type="http://schemas.openxmlformats.org/officeDocument/2006/relationships/chart" Target="../charts/chart39.xml"/><Relationship Id="rId6" Type="http://schemas.openxmlformats.org/officeDocument/2006/relationships/chart" Target="../charts/chart40.xml"/><Relationship Id="rId7" Type="http://schemas.openxmlformats.org/officeDocument/2006/relationships/chart" Target="../charts/chart41.xml"/><Relationship Id="rId8" Type="http://schemas.openxmlformats.org/officeDocument/2006/relationships/chart" Target="../charts/chart42.xml"/><Relationship Id="rId9" Type="http://schemas.openxmlformats.org/officeDocument/2006/relationships/chart" Target="../charts/chart43.xml"/><Relationship Id="rId10" Type="http://schemas.openxmlformats.org/officeDocument/2006/relationships/chart" Target="../charts/chart4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21240</xdr:colOff>
      <xdr:row>0</xdr:row>
      <xdr:rowOff>93600</xdr:rowOff>
    </xdr:from>
    <xdr:to>
      <xdr:col>2</xdr:col>
      <xdr:colOff>339840</xdr:colOff>
      <xdr:row>0</xdr:row>
      <xdr:rowOff>465120</xdr:rowOff>
    </xdr:to>
    <xdr:pic>
      <xdr:nvPicPr>
        <xdr:cNvPr id="0" name="Picture 2" descr=""/>
        <xdr:cNvPicPr/>
      </xdr:nvPicPr>
      <xdr:blipFill>
        <a:blip r:embed="rId1"/>
        <a:stretch/>
      </xdr:blipFill>
      <xdr:spPr>
        <a:xfrm>
          <a:off x="684720" y="93600"/>
          <a:ext cx="1077840" cy="3715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73080</xdr:colOff>
      <xdr:row>16</xdr:row>
      <xdr:rowOff>0</xdr:rowOff>
    </xdr:from>
    <xdr:to>
      <xdr:col>17</xdr:col>
      <xdr:colOff>570960</xdr:colOff>
      <xdr:row>29</xdr:row>
      <xdr:rowOff>50040</xdr:rowOff>
    </xdr:to>
    <xdr:graphicFrame>
      <xdr:nvGraphicFramePr>
        <xdr:cNvPr id="1" name="Chart 1"/>
        <xdr:cNvGraphicFramePr/>
      </xdr:nvGraphicFramePr>
      <xdr:xfrm>
        <a:off x="13013640" y="2804040"/>
        <a:ext cx="13605480" cy="2328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31680</xdr:colOff>
      <xdr:row>146</xdr:row>
      <xdr:rowOff>2520</xdr:rowOff>
    </xdr:from>
    <xdr:to>
      <xdr:col>17</xdr:col>
      <xdr:colOff>775080</xdr:colOff>
      <xdr:row>153</xdr:row>
      <xdr:rowOff>8640</xdr:rowOff>
    </xdr:to>
    <xdr:graphicFrame>
      <xdr:nvGraphicFramePr>
        <xdr:cNvPr id="2" name="Chart 2"/>
        <xdr:cNvGraphicFramePr/>
      </xdr:nvGraphicFramePr>
      <xdr:xfrm>
        <a:off x="12972240" y="25590240"/>
        <a:ext cx="13851000" cy="12330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34920</xdr:colOff>
      <xdr:row>154</xdr:row>
      <xdr:rowOff>0</xdr:rowOff>
    </xdr:from>
    <xdr:to>
      <xdr:col>18</xdr:col>
      <xdr:colOff>63360</xdr:colOff>
      <xdr:row>160</xdr:row>
      <xdr:rowOff>43920</xdr:rowOff>
    </xdr:to>
    <xdr:graphicFrame>
      <xdr:nvGraphicFramePr>
        <xdr:cNvPr id="3" name="Chart 3"/>
        <xdr:cNvGraphicFramePr/>
      </xdr:nvGraphicFramePr>
      <xdr:xfrm>
        <a:off x="12975480" y="26989920"/>
        <a:ext cx="13911480" cy="10954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19080</xdr:colOff>
      <xdr:row>161</xdr:row>
      <xdr:rowOff>-360</xdr:rowOff>
    </xdr:from>
    <xdr:to>
      <xdr:col>17</xdr:col>
      <xdr:colOff>570960</xdr:colOff>
      <xdr:row>172</xdr:row>
      <xdr:rowOff>174600</xdr:rowOff>
    </xdr:to>
    <xdr:graphicFrame>
      <xdr:nvGraphicFramePr>
        <xdr:cNvPr id="4" name="Chart 4"/>
        <xdr:cNvGraphicFramePr/>
      </xdr:nvGraphicFramePr>
      <xdr:xfrm>
        <a:off x="12959640" y="28216440"/>
        <a:ext cx="13659480" cy="210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63360</xdr:colOff>
      <xdr:row>174</xdr:row>
      <xdr:rowOff>-360</xdr:rowOff>
    </xdr:from>
    <xdr:to>
      <xdr:col>17</xdr:col>
      <xdr:colOff>775080</xdr:colOff>
      <xdr:row>187</xdr:row>
      <xdr:rowOff>146160</xdr:rowOff>
    </xdr:to>
    <xdr:graphicFrame>
      <xdr:nvGraphicFramePr>
        <xdr:cNvPr id="5" name="Chart 5"/>
        <xdr:cNvGraphicFramePr/>
      </xdr:nvGraphicFramePr>
      <xdr:xfrm>
        <a:off x="13003920" y="30494880"/>
        <a:ext cx="13819320" cy="24246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60480</xdr:colOff>
      <xdr:row>189</xdr:row>
      <xdr:rowOff>2520</xdr:rowOff>
    </xdr:from>
    <xdr:to>
      <xdr:col>17</xdr:col>
      <xdr:colOff>570960</xdr:colOff>
      <xdr:row>198</xdr:row>
      <xdr:rowOff>96480</xdr:rowOff>
    </xdr:to>
    <xdr:graphicFrame>
      <xdr:nvGraphicFramePr>
        <xdr:cNvPr id="6" name="Chart 6"/>
        <xdr:cNvGraphicFramePr/>
      </xdr:nvGraphicFramePr>
      <xdr:xfrm>
        <a:off x="13001040" y="33126480"/>
        <a:ext cx="13618080" cy="167148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22320</xdr:colOff>
      <xdr:row>200</xdr:row>
      <xdr:rowOff>2520</xdr:rowOff>
    </xdr:from>
    <xdr:to>
      <xdr:col>17</xdr:col>
      <xdr:colOff>570960</xdr:colOff>
      <xdr:row>209</xdr:row>
      <xdr:rowOff>147240</xdr:rowOff>
    </xdr:to>
    <xdr:graphicFrame>
      <xdr:nvGraphicFramePr>
        <xdr:cNvPr id="7" name="Chart 7"/>
        <xdr:cNvGraphicFramePr/>
      </xdr:nvGraphicFramePr>
      <xdr:xfrm>
        <a:off x="12962880" y="35054280"/>
        <a:ext cx="13656240" cy="17222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104760</xdr:colOff>
      <xdr:row>212</xdr:row>
      <xdr:rowOff>2520</xdr:rowOff>
    </xdr:from>
    <xdr:to>
      <xdr:col>17</xdr:col>
      <xdr:colOff>570600</xdr:colOff>
      <xdr:row>221</xdr:row>
      <xdr:rowOff>7920</xdr:rowOff>
    </xdr:to>
    <xdr:graphicFrame>
      <xdr:nvGraphicFramePr>
        <xdr:cNvPr id="8" name="Chart 8"/>
        <xdr:cNvGraphicFramePr/>
      </xdr:nvGraphicFramePr>
      <xdr:xfrm>
        <a:off x="13045320" y="37157400"/>
        <a:ext cx="13573440" cy="158292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200160</xdr:colOff>
      <xdr:row>225</xdr:row>
      <xdr:rowOff>2520</xdr:rowOff>
    </xdr:from>
    <xdr:to>
      <xdr:col>18</xdr:col>
      <xdr:colOff>63720</xdr:colOff>
      <xdr:row>238</xdr:row>
      <xdr:rowOff>141120</xdr:rowOff>
    </xdr:to>
    <xdr:graphicFrame>
      <xdr:nvGraphicFramePr>
        <xdr:cNvPr id="9" name="Chart 9"/>
        <xdr:cNvGraphicFramePr/>
      </xdr:nvGraphicFramePr>
      <xdr:xfrm>
        <a:off x="13140720" y="39435840"/>
        <a:ext cx="13746600" cy="241704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47520</xdr:colOff>
      <xdr:row>0</xdr:row>
      <xdr:rowOff>0</xdr:rowOff>
    </xdr:from>
    <xdr:to>
      <xdr:col>18</xdr:col>
      <xdr:colOff>63360</xdr:colOff>
      <xdr:row>14</xdr:row>
      <xdr:rowOff>165240</xdr:rowOff>
    </xdr:to>
    <xdr:graphicFrame>
      <xdr:nvGraphicFramePr>
        <xdr:cNvPr id="10" name="Chart 10"/>
        <xdr:cNvGraphicFramePr/>
      </xdr:nvGraphicFramePr>
      <xdr:xfrm>
        <a:off x="12988080" y="0"/>
        <a:ext cx="13898880" cy="261864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3240</xdr:colOff>
      <xdr:row>30</xdr:row>
      <xdr:rowOff>-360</xdr:rowOff>
    </xdr:from>
    <xdr:to>
      <xdr:col>17</xdr:col>
      <xdr:colOff>507240</xdr:colOff>
      <xdr:row>44</xdr:row>
      <xdr:rowOff>98280</xdr:rowOff>
    </xdr:to>
    <xdr:graphicFrame>
      <xdr:nvGraphicFramePr>
        <xdr:cNvPr id="11" name="Chart 11"/>
        <xdr:cNvGraphicFramePr/>
      </xdr:nvGraphicFramePr>
      <xdr:xfrm>
        <a:off x="12943800" y="5257440"/>
        <a:ext cx="13611600" cy="255204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22680</xdr:colOff>
      <xdr:row>59</xdr:row>
      <xdr:rowOff>2520</xdr:rowOff>
    </xdr:from>
    <xdr:to>
      <xdr:col>18</xdr:col>
      <xdr:colOff>119160</xdr:colOff>
      <xdr:row>74</xdr:row>
      <xdr:rowOff>96480</xdr:rowOff>
    </xdr:to>
    <xdr:graphicFrame>
      <xdr:nvGraphicFramePr>
        <xdr:cNvPr id="12" name="Chart 2"/>
        <xdr:cNvGraphicFramePr/>
      </xdr:nvGraphicFramePr>
      <xdr:xfrm>
        <a:off x="822600" y="3122640"/>
        <a:ext cx="12798360" cy="2723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184320</xdr:colOff>
      <xdr:row>71</xdr:row>
      <xdr:rowOff>-360</xdr:rowOff>
    </xdr:from>
    <xdr:to>
      <xdr:col>18</xdr:col>
      <xdr:colOff>184320</xdr:colOff>
      <xdr:row>79</xdr:row>
      <xdr:rowOff>124560</xdr:rowOff>
    </xdr:to>
    <xdr:graphicFrame>
      <xdr:nvGraphicFramePr>
        <xdr:cNvPr id="13" name="Chart 2"/>
        <xdr:cNvGraphicFramePr/>
      </xdr:nvGraphicFramePr>
      <xdr:xfrm>
        <a:off x="7698600" y="1607400"/>
        <a:ext cx="9241200" cy="1526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12</xdr:col>
      <xdr:colOff>334440</xdr:colOff>
      <xdr:row>1</xdr:row>
      <xdr:rowOff>181800</xdr:rowOff>
    </xdr:from>
    <xdr:to>
      <xdr:col>12</xdr:col>
      <xdr:colOff>334440</xdr:colOff>
      <xdr:row>2</xdr:row>
      <xdr:rowOff>190440</xdr:rowOff>
    </xdr:to>
    <xdr:sp>
      <xdr:nvSpPr>
        <xdr:cNvPr id="14" name="Line 1"/>
        <xdr:cNvSpPr/>
      </xdr:nvSpPr>
      <xdr:spPr>
        <a:xfrm flipV="1">
          <a:off x="12049200" y="356760"/>
          <a:ext cx="0" cy="199440"/>
        </a:xfrm>
        <a:prstGeom prst="line">
          <a:avLst/>
        </a:prstGeom>
        <a:ln w="6480">
          <a:solidFill>
            <a:srgbClr val="5b9bd5"/>
          </a:solidFill>
          <a:round/>
        </a:ln>
      </xdr:spPr>
      <xdr:style>
        <a:lnRef idx="0"/>
        <a:fillRef idx="0"/>
        <a:effectRef idx="0"/>
        <a:fontRef idx="minor"/>
      </xdr:style>
    </xdr:sp>
    <xdr:clientData/>
  </xdr:twoCellAnchor>
  <xdr:twoCellAnchor editAs="twoCell">
    <xdr:from>
      <xdr:col>15</xdr:col>
      <xdr:colOff>477720</xdr:colOff>
      <xdr:row>2</xdr:row>
      <xdr:rowOff>27720</xdr:rowOff>
    </xdr:from>
    <xdr:to>
      <xdr:col>15</xdr:col>
      <xdr:colOff>477720</xdr:colOff>
      <xdr:row>2</xdr:row>
      <xdr:rowOff>190440</xdr:rowOff>
    </xdr:to>
    <xdr:sp>
      <xdr:nvSpPr>
        <xdr:cNvPr id="15" name="Line 1"/>
        <xdr:cNvSpPr/>
      </xdr:nvSpPr>
      <xdr:spPr>
        <a:xfrm flipV="1">
          <a:off x="14712840" y="393480"/>
          <a:ext cx="0" cy="162720"/>
        </a:xfrm>
        <a:prstGeom prst="line">
          <a:avLst/>
        </a:prstGeom>
        <a:ln w="6480">
          <a:solidFill>
            <a:srgbClr val="5b9bd5"/>
          </a:solidFill>
          <a:round/>
        </a:ln>
      </xdr:spPr>
      <xdr:style>
        <a:lnRef idx="0"/>
        <a:fillRef idx="0"/>
        <a:effectRef idx="0"/>
        <a:fontRef idx="minor"/>
      </xdr:style>
    </xdr:sp>
    <xdr:clientData/>
  </xdr:twoCellAnchor>
  <xdr:twoCellAnchor editAs="oneCell">
    <xdr:from>
      <xdr:col>19</xdr:col>
      <xdr:colOff>371520</xdr:colOff>
      <xdr:row>0</xdr:row>
      <xdr:rowOff>90360</xdr:rowOff>
    </xdr:from>
    <xdr:to>
      <xdr:col>30</xdr:col>
      <xdr:colOff>399240</xdr:colOff>
      <xdr:row>71</xdr:row>
      <xdr:rowOff>46800</xdr:rowOff>
    </xdr:to>
    <xdr:graphicFrame>
      <xdr:nvGraphicFramePr>
        <xdr:cNvPr id="16" name="Chart 5"/>
        <xdr:cNvGraphicFramePr/>
      </xdr:nvGraphicFramePr>
      <xdr:xfrm>
        <a:off x="17967240" y="90360"/>
        <a:ext cx="9268920" cy="1564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115560</xdr:colOff>
      <xdr:row>83</xdr:row>
      <xdr:rowOff>-360</xdr:rowOff>
    </xdr:from>
    <xdr:to>
      <xdr:col>19</xdr:col>
      <xdr:colOff>122760</xdr:colOff>
      <xdr:row>91</xdr:row>
      <xdr:rowOff>164520</xdr:rowOff>
    </xdr:to>
    <xdr:graphicFrame>
      <xdr:nvGraphicFramePr>
        <xdr:cNvPr id="17" name="Chart 6"/>
        <xdr:cNvGraphicFramePr/>
      </xdr:nvGraphicFramePr>
      <xdr:xfrm>
        <a:off x="8470080" y="3710520"/>
        <a:ext cx="9248400" cy="15667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106200</xdr:colOff>
      <xdr:row>93</xdr:row>
      <xdr:rowOff>1440</xdr:rowOff>
    </xdr:from>
    <xdr:to>
      <xdr:col>19</xdr:col>
      <xdr:colOff>123120</xdr:colOff>
      <xdr:row>101</xdr:row>
      <xdr:rowOff>126360</xdr:rowOff>
    </xdr:to>
    <xdr:graphicFrame>
      <xdr:nvGraphicFramePr>
        <xdr:cNvPr id="18" name="Chart 7"/>
        <xdr:cNvGraphicFramePr/>
      </xdr:nvGraphicFramePr>
      <xdr:xfrm>
        <a:off x="8460720" y="5464800"/>
        <a:ext cx="9258120" cy="15271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390960</xdr:colOff>
      <xdr:row>83</xdr:row>
      <xdr:rowOff>-360</xdr:rowOff>
    </xdr:from>
    <xdr:to>
      <xdr:col>30</xdr:col>
      <xdr:colOff>407520</xdr:colOff>
      <xdr:row>91</xdr:row>
      <xdr:rowOff>174960</xdr:rowOff>
    </xdr:to>
    <xdr:graphicFrame>
      <xdr:nvGraphicFramePr>
        <xdr:cNvPr id="19" name="Chart 8"/>
        <xdr:cNvGraphicFramePr/>
      </xdr:nvGraphicFramePr>
      <xdr:xfrm>
        <a:off x="17986680" y="3710520"/>
        <a:ext cx="9257760" cy="15771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385560</xdr:colOff>
      <xdr:row>94</xdr:row>
      <xdr:rowOff>-360</xdr:rowOff>
    </xdr:from>
    <xdr:to>
      <xdr:col>30</xdr:col>
      <xdr:colOff>407520</xdr:colOff>
      <xdr:row>102</xdr:row>
      <xdr:rowOff>45000</xdr:rowOff>
    </xdr:to>
    <xdr:graphicFrame>
      <xdr:nvGraphicFramePr>
        <xdr:cNvPr id="20" name="Chart 9"/>
        <xdr:cNvGraphicFramePr/>
      </xdr:nvGraphicFramePr>
      <xdr:xfrm>
        <a:off x="17981280" y="5638320"/>
        <a:ext cx="9263160" cy="14475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385560</xdr:colOff>
      <xdr:row>104</xdr:row>
      <xdr:rowOff>2520</xdr:rowOff>
    </xdr:from>
    <xdr:to>
      <xdr:col>30</xdr:col>
      <xdr:colOff>452880</xdr:colOff>
      <xdr:row>112</xdr:row>
      <xdr:rowOff>92160</xdr:rowOff>
    </xdr:to>
    <xdr:graphicFrame>
      <xdr:nvGraphicFramePr>
        <xdr:cNvPr id="21" name="Chart 10"/>
        <xdr:cNvGraphicFramePr/>
      </xdr:nvGraphicFramePr>
      <xdr:xfrm>
        <a:off x="17981280" y="7393680"/>
        <a:ext cx="9308520" cy="14918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100440</xdr:colOff>
      <xdr:row>104</xdr:row>
      <xdr:rowOff>2520</xdr:rowOff>
    </xdr:from>
    <xdr:to>
      <xdr:col>19</xdr:col>
      <xdr:colOff>94320</xdr:colOff>
      <xdr:row>112</xdr:row>
      <xdr:rowOff>39240</xdr:rowOff>
    </xdr:to>
    <xdr:graphicFrame>
      <xdr:nvGraphicFramePr>
        <xdr:cNvPr id="22" name="Chart 11"/>
        <xdr:cNvGraphicFramePr/>
      </xdr:nvGraphicFramePr>
      <xdr:xfrm>
        <a:off x="8454960" y="7393680"/>
        <a:ext cx="9235080" cy="143892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289080</xdr:colOff>
      <xdr:row>0</xdr:row>
      <xdr:rowOff>17280</xdr:rowOff>
    </xdr:from>
    <xdr:to>
      <xdr:col>17</xdr:col>
      <xdr:colOff>627480</xdr:colOff>
      <xdr:row>70</xdr:row>
      <xdr:rowOff>121320</xdr:rowOff>
    </xdr:to>
    <xdr:graphicFrame>
      <xdr:nvGraphicFramePr>
        <xdr:cNvPr id="23" name="Chart 12"/>
        <xdr:cNvGraphicFramePr/>
      </xdr:nvGraphicFramePr>
      <xdr:xfrm>
        <a:off x="7803360" y="17280"/>
        <a:ext cx="8739720" cy="15364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390240</xdr:colOff>
      <xdr:row>72</xdr:row>
      <xdr:rowOff>1080</xdr:rowOff>
    </xdr:from>
    <xdr:to>
      <xdr:col>30</xdr:col>
      <xdr:colOff>430200</xdr:colOff>
      <xdr:row>81</xdr:row>
      <xdr:rowOff>136800</xdr:rowOff>
    </xdr:to>
    <xdr:graphicFrame>
      <xdr:nvGraphicFramePr>
        <xdr:cNvPr id="24" name="Chart 13"/>
        <xdr:cNvGraphicFramePr/>
      </xdr:nvGraphicFramePr>
      <xdr:xfrm>
        <a:off x="17985960" y="1784160"/>
        <a:ext cx="9281160" cy="171288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smb://192.168.1.2/Thanakom/Users/tajima/Desktop/2011%20Planning/2011%20Planning/Budget%20Making(2011)Final.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smb://192.168.2.50/Data/My%20Documents/MPI/Domestic/Domestic_New.xls"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smb://192.168.2.50/Data/Home/Buyer_Center/Sales%20report%20by%20Akanay/Domestic/Domestic_PIT.xls" TargetMode="External"/>
</Relationships>
</file>

<file path=xl/externalLinks/_rels/externalLink4.xml.rels><?xml version="1.0" encoding="UTF-8"?>
<Relationships xmlns="http://schemas.openxmlformats.org/package/2006/relationships"><Relationship Id="rId1" Type="http://schemas.openxmlformats.org/officeDocument/2006/relationships/externalLinkPath" Target="smb://192.168.2.50/Data/My%20Documents/PIT/Domestic_PIT.xls" TargetMode="External"/>
</Relationships>
</file>

<file path=xl/externalLinks/_rels/externalLink5.xml.rels><?xml version="1.0" encoding="UTF-8"?>
<Relationships xmlns="http://schemas.openxmlformats.org/package/2006/relationships"><Relationship Id="rId1" Type="http://schemas.openxmlformats.org/officeDocument/2006/relationships/externalLinkPath" Target="smb://192.168.2.50/Data/F%20drive/REPORTS/HFS-%20Businesss%20Review%20Jan-Jun10.xls" TargetMode="External"/>
</Relationships>
</file>

<file path=xl/externalLinks/_rels/externalLink6.xml.rels><?xml version="1.0" encoding="UTF-8"?>
<Relationships xmlns="http://schemas.openxmlformats.org/package/2006/relationships"><Relationship Id="rId1" Type="http://schemas.openxmlformats.org/officeDocument/2006/relationships/externalLinkPath" Target="smb://192.168.2.50/Data/Users/pigeon/AppData/Local/Temp/Rar$DI29.080/2013%20-%20PIN%20FR_Mar%202013.xls" TargetMode="External"/>
</Relationships>
</file>

<file path=xl/externalLinks/_rels/externalLink7.xml.rels><?xml version="1.0" encoding="UTF-8"?>
<Relationships xmlns="http://schemas.openxmlformats.org/package/2006/relationships"><Relationship Id="rId1" Type="http://schemas.openxmlformats.org/officeDocument/2006/relationships/externalLinkPath" Target="smb://Kaigai-gpw5k/H/My%20Documents/Monthly%20Report/P&apos;Spore/PS/CURRENCY.xls" TargetMode="External"/>
</Relationships>
</file>

<file path=xl/externalLinks/_rels/externalLink8.xml.rels><?xml version="1.0" encoding="UTF-8"?>
<Relationships xmlns="http://schemas.openxmlformats.org/package/2006/relationships"><Relationship Id="rId1" Type="http://schemas.openxmlformats.org/officeDocument/2006/relationships/externalLinkPath" Target="smb://192.168.2.50/Data/Yanti&apos;s%20Document/Every%20Month/Sales/Sales%202003%20(back%20up).xls" TargetMode="External"/>
</Relationships>
</file>

<file path=xl/externalLinks/_rels/externalLink9.xml.rels><?xml version="1.0" encoding="UTF-8"?>
<Relationships xmlns="http://schemas.openxmlformats.org/package/2006/relationships"><Relationship Id="rId1" Type="http://schemas.openxmlformats.org/officeDocument/2006/relationships/externalLinkPath" Target="smb://192.168.2.50/Data/FY%202014-15/BOM/Data%20Template%20Sheet.xls" TargetMode="External"/>
</Relationships>
</file>

<file path=xl/externalLinks/_rels/externalLink10.xml.rels><?xml version="1.0" encoding="UTF-8"?>
<Relationships xmlns="http://schemas.openxmlformats.org/package/2006/relationships"><Relationship Id="rId1" Type="http://schemas.openxmlformats.org/officeDocument/2006/relationships/externalLinkPath" Target="smb://192.168.2.50/Data/3.%20Finance/Forecasts/2012/1H2012/05_May%202012/2012%20-%20PIN%20FR_February%202012%20(rev-19.3.12).xls" TargetMode="External"/>
</Relationships>
</file>

<file path=xl/externalLinks/_rels/externalLink11.xml.rels><?xml version="1.0" encoding="UTF-8"?>
<Relationships xmlns="http://schemas.openxmlformats.org/package/2006/relationships"><Relationship Id="rId1" Type="http://schemas.openxmlformats.org/officeDocument/2006/relationships/externalLinkPath" Target="smb://192.168.2.41/11_Production/01_Reports/2020/Feb_2020/11.a%20Production%20Report%20Feb%20_2020.xlsx" TargetMode="External"/>
</Relationships>
</file>

<file path=xl/externalLinks/_rels/externalLink12.xml.rels><?xml version="1.0" encoding="UTF-8"?>
<Relationships xmlns="http://schemas.openxmlformats.org/package/2006/relationships"><Relationship Id="rId1" Type="http://schemas.openxmlformats.org/officeDocument/2006/relationships/externalLinkPath" Target="smb://192.168.2.41/11_Production/01_Reports/2020/March%20_2020/1.2%20a%20Production%20Report%20March-2020.xlsx" TargetMode="External"/>
</Relationships>
</file>

<file path=xl/externalLinks/_rels/externalLink13.xml.rels><?xml version="1.0" encoding="UTF-8"?>
<Relationships xmlns="http://schemas.openxmlformats.org/package/2006/relationships"><Relationship Id="rId1" Type="http://schemas.openxmlformats.org/officeDocument/2006/relationships/externalLinkPath" Target="smb://192.168.2.41/11_Production/01_Reports/2020/May_%202020/Production%20Report%2029-May-2020.xlsx" TargetMode="External"/>
</Relationships>
</file>

<file path=xl/externalLinks/_rels/externalLink14.xml.rels><?xml version="1.0" encoding="UTF-8"?>
<Relationships xmlns="http://schemas.openxmlformats.org/package/2006/relationships"><Relationship Id="rId1" Type="http://schemas.openxmlformats.org/officeDocument/2006/relationships/externalLinkPath" Target="smb://192.168.2.41/11_Production/01_Reports/2020/June_%202020/1.2%20a.Production%20Report%20June-20%20Final.xlsx" TargetMode="External"/>
</Relationships>
</file>

<file path=xl/externalLinks/externalLink1.xml><?xml version="1.0" encoding="utf-8"?>
<externalLink xmlns="http://schemas.openxmlformats.org/spreadsheetml/2006/main">
  <externalBook xmlns:r="http://schemas.openxmlformats.org/officeDocument/2006/relationships" r:id="rId1"/>
</externalLink>
</file>

<file path=xl/externalLinks/externalLink2.xml><?xml version="1.0" encoding="utf-8"?>
<externalLink xmlns="http://schemas.openxmlformats.org/spreadsheetml/2006/main">
  <externalBook xmlns:r="http://schemas.openxmlformats.org/officeDocument/2006/relationships" r:id="rId1"/>
</externalLink>
</file>

<file path=xl/externalLinks/externalLink3.xml><?xml version="1.0" encoding="utf-8"?>
<externalLink xmlns="http://schemas.openxmlformats.org/spreadsheetml/2006/main">
  <externalBook xmlns:r="http://schemas.openxmlformats.org/officeDocument/2006/relationships" r:id="rId1"/>
</externalLink>
</file>

<file path=xl/externalLinks/externalLink4.xml><?xml version="1.0" encoding="utf-8"?>
<externalLink xmlns="http://schemas.openxmlformats.org/spreadsheetml/2006/main">
  <externalBook xmlns:r="http://schemas.openxmlformats.org/officeDocument/2006/relationships" r:id="rId1"/>
</externalLink>
</file>

<file path=xl/externalLinks/externalLink5.xml><?xml version="1.0" encoding="utf-8"?>
<externalLink xmlns="http://schemas.openxmlformats.org/spreadsheetml/2006/main">
  <externalBook xmlns:r="http://schemas.openxmlformats.org/officeDocument/2006/relationships" r:id="rId1"/>
</externalLink>
</file>

<file path=xl/externalLinks/externalLink6.xml><?xml version="1.0" encoding="utf-8"?>
<externalLink xmlns="http://schemas.openxmlformats.org/spreadsheetml/2006/main">
  <externalBook xmlns:r="http://schemas.openxmlformats.org/officeDocument/2006/relationships" r:id="rId1"/>
</externalLink>
</file>

<file path=xl/externalLinks/externalLink7.xml><?xml version="1.0" encoding="utf-8"?>
<externalLink xmlns="http://schemas.openxmlformats.org/spreadsheetml/2006/main">
  <externalBook xmlns:r="http://schemas.openxmlformats.org/officeDocument/2006/relationships" r:id="rId1"/>
</externalLink>
</file>

<file path=xl/externalLinks/externalLink8.xml><?xml version="1.0" encoding="utf-8"?>
<externalLink xmlns="http://schemas.openxmlformats.org/spreadsheetml/2006/main">
  <externalBook xmlns:r="http://schemas.openxmlformats.org/officeDocument/2006/relationships" r:id="rId1"/>
</externalLink>
</file>

<file path=xl/externalLinks/externalLink9.xml><?xml version="1.0" encoding="utf-8"?>
<externalLink xmlns="http://schemas.openxmlformats.org/spreadsheetml/2006/main">
  <externalBook xmlns:r="http://schemas.openxmlformats.org/officeDocument/2006/relationships" r:id="rId1"/>
</externalLink>
</file>

<file path=xl/externalLinks/externalLink10.xml><?xml version="1.0" encoding="utf-8"?>
<externalLink xmlns="http://schemas.openxmlformats.org/spreadsheetml/2006/main">
  <externalBook xmlns:r="http://schemas.openxmlformats.org/officeDocument/2006/relationships" r:id="rId1"/>
</externalLink>
</file>

<file path=xl/externalLinks/externalLink11.xml><?xml version="1.0" encoding="utf-8"?>
<externalLink xmlns="http://schemas.openxmlformats.org/spreadsheetml/2006/main">
  <externalBook xmlns:r="http://schemas.openxmlformats.org/officeDocument/2006/relationships" r:id="rId1"/>
</externalLink>
</file>

<file path=xl/externalLinks/externalLink12.xml><?xml version="1.0" encoding="utf-8"?>
<externalLink xmlns="http://schemas.openxmlformats.org/spreadsheetml/2006/main">
  <externalBook xmlns:r="http://schemas.openxmlformats.org/officeDocument/2006/relationships" r:id="rId1"/>
</externalLink>
</file>

<file path=xl/externalLinks/externalLink13.xml><?xml version="1.0" encoding="utf-8"?>
<externalLink xmlns="http://schemas.openxmlformats.org/spreadsheetml/2006/main">
  <externalBook xmlns:r="http://schemas.openxmlformats.org/officeDocument/2006/relationships" r:id="rId1"/>
</externalLink>
</file>

<file path=xl/externalLinks/externalLink14.xml><?xml version="1.0" encoding="utf-8"?>
<externalLink xmlns="http://schemas.openxmlformats.org/spreadsheetml/2006/main">
  <externalBook xmlns:r="http://schemas.openxmlformats.org/officeDocument/2006/relationships" r:id="rId1"/>
</externalLink>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pivotCacheDefinition1.xml><?xml version="1.0" encoding="utf-8"?>
<pivotCacheDefinition xmlns="http://schemas.openxmlformats.org/spreadsheetml/2006/main" xmlns:r="http://schemas.openxmlformats.org/officeDocument/2006/relationships" r:id="rId1" recordCount="1509" createdVersion="3">
  <cacheSource type="worksheet">
    <worksheetSource ref="A3:AM1512" sheet="Data Sheet Aug-2021"/>
  </cacheSource>
  <cacheFields count="39">
    <cacheField name="Month" numFmtId="0">
      <sharedItems containsSemiMixedTypes="0" containsString="0" containsNumber="1" containsInteger="1" minValue="8" maxValue="11" count="4">
        <n v="8"/>
        <n v="9"/>
        <n v="10"/>
        <n v="11"/>
      </sharedItems>
    </cacheField>
    <cacheField name="Date" numFmtId="0">
      <sharedItems containsSemiMixedTypes="0" containsNonDate="0" containsDate="1" containsString="0" minDate="2021-08-02T00:00:00" maxDate="2021-11-30T00:00:00" count="88">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d v="2021-10-11T00:00:00"/>
        <d v="2021-10-12T00:00:00"/>
        <d v="2021-10-13T00:00:00"/>
        <d v="2021-10-18T00:00:00"/>
        <d v="2021-10-19T00:00:00"/>
        <d v="2021-10-20T00:00:00"/>
        <d v="2021-10-21T00:00:00"/>
        <d v="2021-10-22T00:00:00"/>
        <d v="2021-10-23T00:00:00"/>
        <d v="2021-10-25T00:00:00"/>
        <d v="2021-10-26T00:00:00"/>
        <d v="2021-10-27T00:00:00"/>
        <d v="2021-10-28T00:00:00"/>
        <d v="2021-10-29T00:00:00"/>
        <d v="2021-10-30T00:00:00"/>
        <d v="2021-11-01T00:00:00"/>
        <d v="2021-11-02T00:00:00"/>
        <d v="2021-11-09T00:00:00"/>
        <d v="2021-11-10T00:00:00"/>
        <d v="2021-11-11T00:00:00"/>
        <d v="2021-11-12T00:00:00"/>
        <d v="2021-11-13T00:00:00"/>
        <d v="2021-11-15T00:00:00"/>
        <d v="2021-11-16T00:00:00"/>
        <d v="2021-11-17T00:00:00"/>
        <d v="2021-11-18T00:00:00"/>
        <d v="2021-11-19T00:00:00"/>
        <d v="2021-11-20T00:00:00"/>
        <d v="2021-11-22T00:00:00"/>
        <d v="2021-11-23T00:00:00"/>
        <d v="2021-11-24T00:00:00"/>
        <d v="2021-11-25T00:00:00"/>
        <d v="2021-11-26T00:00:00"/>
        <d v="2021-11-27T00:00:00"/>
        <d v="2021-11-29T00:00:00"/>
        <d v="2021-11-30T00:00:00"/>
      </sharedItems>
    </cacheField>
    <cacheField name="Shift" numFmtId="0">
      <sharedItems count="7">
        <s v="   A"/>
        <s v="   B  "/>
        <s v="A"/>
        <s v="B"/>
        <s v="B "/>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85">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7"/>
        <s v="FO098"/>
        <s v="FO099"/>
        <s v="FO100"/>
        <s v="FO101"/>
        <s v="FO102"/>
        <s v="FO103"/>
        <s v="FO104"/>
        <s v="FO105"/>
        <s v="FO106"/>
        <s v="FO107"/>
        <s v="FO108"/>
        <s v="FO109"/>
        <s v="FO110"/>
        <s v="FO111"/>
        <s v="FO112"/>
        <s v="FO113"/>
        <s v="FO114"/>
        <s v="FO115"/>
        <s v="FO116"/>
        <s v="FO117"/>
        <s v="FO118"/>
        <s v="FO119"/>
        <s v="FO130"/>
        <s v="FO141"/>
        <s v="FO142"/>
        <s v="FO143"/>
        <s v="FO144"/>
        <s v="FO145"/>
        <s v="FO146"/>
        <s v="FO147"/>
        <s v="FO148"/>
        <s v="FO149"/>
        <s v="FO150"/>
        <s v="FO151"/>
        <s v="FO152"/>
      </sharedItems>
    </cacheField>
    <cacheField name="Mold No" numFmtId="0">
      <sharedItems containsBlank="1" count="12">
        <s v="B2"/>
        <s v="BM1"/>
        <s v="BM2"/>
        <s v="BM3"/>
        <s v="BM4"/>
        <s v="BM5"/>
        <s v="M1"/>
        <s v="M2"/>
        <s v="MB2"/>
        <s v="RECYCLE"/>
        <s v="VERGIN"/>
        <m/>
      </sharedItems>
    </cacheField>
    <cacheField name="M/c No" numFmtId="0">
      <sharedItems containsBlank="1" count="20">
        <s v="B1"/>
        <s v="B2"/>
        <s v="B3"/>
        <s v="INJ"/>
        <s v="INJ-1"/>
        <s v="INJ1"/>
        <s v="L1"/>
        <s v="L2"/>
        <s v="LZ1"/>
        <s v="LZR"/>
        <s v="P1"/>
        <s v="PC1"/>
        <s v="PR1"/>
        <s v="Recycle"/>
        <s v="Vergin"/>
        <s v="Virgen"/>
        <s v="Virgin"/>
        <s v="WR1"/>
        <s v="WR2"/>
        <m/>
      </sharedItems>
    </cacheField>
    <cacheField name="SKU" numFmtId="0">
      <sharedItems count="85">
        <s v="50 ML JUICE BOTTLE MOLDED"/>
        <s v="50 ML RPP BOTTLE PRINTED - BIRDS"/>
        <s v="50 ML RPP BOTTLE PRINTED - RABBIT"/>
        <s v="50 ML RPP BOTTLE PRINTED - WHALES"/>
        <s v="CAP S TYPE MOLDED BLUE"/>
        <s v="CAP S TYPE MOLDED PALE BLUE"/>
        <s v="CAP S TYPE MOLDED PINK"/>
        <s v="CAP S TYPE MOLDED RED"/>
        <s v="CAP S TYPE MOLDED WHITE"/>
        <s v="CAP S TYPE MOLDED YELLOW"/>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BEE"/>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ABSTRCT PNK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1309">
        <s v=" HEK17CH22"/>
        <s v=" HEK19BH22"/>
        <s v="DA30Ba2EG05Pa"/>
        <s v="EC09BA2I03PA"/>
        <s v="EC25BC1H27Pa"/>
        <s v="ED14Ba1H24Pa"/>
        <s v="EF17BA1I02PA"/>
        <s v="EF17BA1I03PA"/>
        <s v="EF22Ba1H24Pa"/>
        <s v="EF28Ba1H28PA"/>
        <s v="EG05Ba1H20Pa"/>
        <s v="EG05Bb1J13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3CRc"/>
        <s v="EH24Bb1"/>
        <s v="EH24Bb2"/>
        <s v="EH24Bb2H25Pa"/>
        <s v="EH24Bb2H26Pa"/>
        <s v="EH24Bb2I23Pa"/>
        <s v="EH24Bc1"/>
        <s v="EH24HA"/>
        <s v="EH24Hc"/>
        <s v="EH25Bb2"/>
        <s v="EH25Bc1"/>
        <s v="EH25BC1H28PA"/>
        <s v="EH25Ha"/>
        <s v="EH25Hb"/>
        <s v="EH25Hc"/>
        <s v="EH26Ba1"/>
        <s v="EH26Bb1"/>
        <s v="EH26Bc1"/>
        <s v="EH26Ha"/>
        <s v="EH26Hb"/>
        <s v="EH26Hc"/>
        <s v="EH27Bb1H31Pa"/>
        <s v="EH27Bb2"/>
        <s v="EH27Bc1"/>
        <s v="EH27Bc1I24Pa"/>
        <s v="EH27HA"/>
        <s v="EH27Hb"/>
        <s v="EH27Hc"/>
        <s v="EH28Ba1"/>
        <s v="EH28Ba1H31Pa"/>
        <s v="EH28Ba1I25Pa"/>
        <s v="EH28Bb1"/>
        <s v="EH28Bb1H31Pa"/>
        <s v="EH28Bb1I22Pb"/>
        <s v="EH28Bb1I23Pa"/>
        <s v="EH28Bb1I24Pa"/>
        <s v="EH28Bc1"/>
        <s v="EH28Bc1K25Pa"/>
        <s v="EH28Ha"/>
        <s v="EH28Hb"/>
        <s v="EH28Hc"/>
        <s v="EH31Ha"/>
        <s v="EH31Hb"/>
        <s v="EHI07BB2I06PA"/>
        <s v="EI02BA2"/>
        <s v="EI02BA2I03PA"/>
        <s v="EI02BB2"/>
        <s v="EI02Bb2I25Pa"/>
        <s v="EI02Bb2J12Pa"/>
        <s v="EI02Bc2"/>
        <s v="EI02BC2J13Pa"/>
        <s v="EI02Ha"/>
        <s v="EI02Hb"/>
        <s v="EI02Hc"/>
        <s v="EI02Na"/>
        <s v="EI03Ba2"/>
        <s v="EI03BB2I04PA"/>
        <s v="EI03Bb2I23Pa"/>
        <s v="EI03Bc2"/>
        <s v="EI03Ha"/>
        <s v="EI03Hb"/>
        <s v="EI03Hc"/>
        <s v="EI03Nb"/>
        <s v="EI04Ba2"/>
        <s v="EI04Bb1"/>
        <s v="EI04BB1I06PA"/>
        <s v="EI04Bc1"/>
        <s v="EI04BC1I07PA"/>
        <s v="EI04Bc1J20Pa"/>
        <s v="EI04Ha"/>
        <s v="EI04Hb"/>
        <s v="EI04Hc"/>
        <s v="EI06Ba1"/>
        <s v="EI06Bb1"/>
        <s v="EI06Bb1J18Pa"/>
        <s v="EI06Bb2I07Pa"/>
        <s v="EI06Bc2"/>
        <s v="EI06BC2I08Pa"/>
        <s v="EI06Bc2K10Pa"/>
        <s v="EI06Ha"/>
        <s v="EI06Hb"/>
        <s v="EI06Hc"/>
        <s v="EI07Ba2"/>
        <s v="EI07Ba2K18Pa"/>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a2J09Pb"/>
        <s v="EI23Bb2"/>
        <s v="EI23Bb2J11Pa"/>
        <s v="EI23Bc2"/>
        <s v="EI23Ca"/>
        <s v="EI23Cb"/>
        <s v="EI23Cc"/>
        <s v="EI23CRa"/>
        <s v="EI23CRb"/>
        <s v="EI23CRc"/>
        <s v="EI24Ba1"/>
        <s v="EI24Ba1J04Pa"/>
        <s v="EI24Bb1"/>
        <s v="EI24Cb"/>
        <s v="EI24Cc"/>
        <s v="EI24CRa"/>
        <s v="EI24CRb"/>
        <s v="EI24CRc"/>
        <s v="EI25Ba2"/>
        <s v="EI25Bb2"/>
        <s v="EI25Bb2J12Pa"/>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1J18Pa"/>
        <s v="EJ06Ba2"/>
        <s v="EJ06Bb2"/>
        <s v="EJ06Bb2J13Pa"/>
        <s v="EJ06Bb2K26Pa"/>
        <s v="EJ06Ca"/>
        <s v="EJ06Cb"/>
        <s v="EJ06Cc"/>
        <s v="EJ06CRa"/>
        <s v="EJ06CRb"/>
        <s v="EJ06CRc"/>
        <s v="EJ07Ba1"/>
        <s v="EJ07Ba1K18Pa"/>
        <s v="EJ07BC1J20Pa"/>
        <s v="EJ07Bc2"/>
        <s v="EJ07Ca"/>
        <s v="EJ07CRb"/>
        <s v="EJ07CRc"/>
        <s v="EJ08Ba2"/>
        <s v="EJ08Ba2J20Pb"/>
        <s v="EJ08Bb2"/>
        <s v="EJ08Bb2J21Pa"/>
        <s v="EJ08Bc2"/>
        <s v="EJ08Bc2K10Pb"/>
        <s v="EJ08Bc2k11Pa"/>
        <s v="EJ08Ca"/>
        <s v="EJ08Cb"/>
        <s v="EJ08Cc"/>
        <s v="EJ08CRa"/>
        <s v="EJ09Ba2"/>
        <s v="EJ09Bb2"/>
        <s v="EJ09Bc2"/>
        <s v="EJ09Bc2K11Pb"/>
        <s v="EJ09Ca"/>
        <s v="EJ09Cb"/>
        <s v="EJ09CRb"/>
        <s v="EJ09CRc"/>
        <s v="EJ11Ba2"/>
        <s v="EJ11Bb2"/>
        <s v="EJ11Bc2"/>
        <s v="EJ11Cc"/>
        <s v="EJ11CRa"/>
        <s v="EJ11CRb"/>
        <s v="EJ11CRc"/>
        <s v="EJ12Ba2"/>
        <s v="EJ12Bb1"/>
        <s v="EJ12Bb1J19Pa"/>
        <s v="EJ12Bb1J19Pb"/>
        <s v="EJ12Bb2"/>
        <s v="EJ12Bc1"/>
        <s v="EJ12Ca"/>
        <s v="EJ12Cb"/>
        <s v="EJ12CRb"/>
        <s v="EJ12CRc"/>
        <s v="EJ13Ba1"/>
        <s v="EJ13Ba1J20Pa"/>
        <s v="EJ13Bb1"/>
        <s v="EJ13Ca"/>
        <s v="EJ13Cb"/>
        <s v="EJ13Cc"/>
        <s v="EJ13CRa"/>
        <s v="EJ13CRb"/>
        <s v="EJ13CRc"/>
        <s v="EJ18Ca"/>
        <s v="EJ18Cb"/>
        <s v="EJ18CRc"/>
        <s v="EJ19Cb"/>
        <s v="EJ19Cc"/>
        <s v="EJ19CRb"/>
        <s v="EJ19CRc"/>
        <s v="EJ1CRb"/>
        <s v="EJ20Bb2"/>
        <s v="EJ20Bb2J21Pa"/>
        <s v="EJ20Bb2J21Pb"/>
        <s v="EJ20Bb2J22Pa"/>
        <s v="EJ20BC2"/>
        <s v="EJ20Ca"/>
        <s v="EJ20Cb"/>
        <s v="EJ20Cc"/>
        <s v="EJ21Ba2"/>
        <s v="EJ21Bb2"/>
        <s v="EJ21Bc2"/>
        <s v="EJ21Ca"/>
        <s v="EJ21Hb"/>
        <s v="EJ21Hc"/>
        <s v="EJ22Ba2"/>
        <s v="EJ22Bb2"/>
        <s v="EJ22Bb2J22Pb"/>
        <s v="EJ22Bc2"/>
        <s v="EJ22Ha"/>
        <s v="EJ22Hb"/>
        <s v="EJ22Hc"/>
        <s v="EJ23Ba2"/>
        <s v="EJ23Ba2J25Pa"/>
        <s v="EJ23Ba2J25Pb"/>
        <s v="EJ23Ha"/>
        <s v="EJ25Ba2"/>
        <s v="EJ25Bb2"/>
        <s v="EJ25Bb2J28Pa"/>
        <s v="EJ25Bc2"/>
        <s v="EJ25Ha"/>
        <s v="EJ25Hb"/>
        <s v="EJ25Hc"/>
        <s v="EJ26Ba2"/>
        <s v="EJ26Bb2"/>
        <s v="EJ26Bc2"/>
        <s v="EJ26Ha"/>
        <s v="EJ26Hb"/>
        <s v="EJ26Hc"/>
        <s v="EJ27Ba2"/>
        <s v="EJ27Ba2J28Pb"/>
        <s v="EJ27BaJ29Pa"/>
        <s v="EJ27Bb2"/>
        <s v="EJ27Bb2J30Pa"/>
        <s v="EJ27Bc2"/>
        <s v="EJ27Ha"/>
        <s v="EJ27Hb"/>
        <s v="EJ27Hc"/>
        <s v="EJ28Ba2"/>
        <s v="EJ28Ba2J29Pb"/>
        <s v="EJ28Ba2J30Pb"/>
        <s v="EJ28Bb2"/>
        <s v="EJ28Bb2K01Pb"/>
        <s v="EJ28Bc2"/>
        <s v="EJ28Bc2K02Pbb"/>
        <s v="EJ28Ha"/>
        <s v="EJ28Hb"/>
        <s v="EJ28Hc"/>
        <s v="EJ29Bc2"/>
        <s v="EJ29Ha"/>
        <s v="EJ29Hb"/>
        <s v="EJ29Hc"/>
        <s v="EJ30BA2"/>
        <s v="EJ30Ba2K02Pa"/>
        <s v="EJ30Bb2"/>
        <s v="EJ30Bb2K09Pa"/>
        <s v="EJ30Ha"/>
        <s v="EJ30Hc"/>
        <s v="EJO4CRb"/>
        <s v="EK01Ba2"/>
        <s v="EK01Ba2K09Pb"/>
        <s v="EK01Bb2"/>
        <s v="EK01Bc2"/>
        <s v="EK01Bc2K12Pb"/>
        <s v="EK01Ha"/>
        <s v="EK01Hb"/>
        <s v="EK01Hc"/>
        <s v="EK02Ba2"/>
        <s v="EK02Ba2K12Pa"/>
        <s v="EK02Bb2"/>
        <s v="EK02Bc2"/>
        <s v="EK02Bc2K13Pa"/>
        <s v="EK02Ha"/>
        <s v="EK02Hb"/>
        <s v="EK02Hc"/>
        <s v="EK09Ba2"/>
        <s v="EK09Ba2K13Pb"/>
        <s v="EK09Bb2"/>
        <s v="EK09Bc2"/>
        <s v="EK09Bc2K15Pa"/>
        <s v="EK09Ha"/>
        <s v="EK09Hb"/>
        <s v="EK09Hc"/>
        <s v="EK10Ba2"/>
        <s v="EK10Ba2K15Pb"/>
        <s v="EK10Bb2"/>
        <s v="EK10Bc2"/>
        <s v="EK10Bc2K16Pa"/>
        <s v="EK10Bc2k16pB"/>
        <s v="EK10Ha"/>
        <s v="EK10Hb"/>
        <s v="EK10Hc"/>
        <s v="EK11Ba2"/>
        <s v="EK11Bb2"/>
        <s v="EK11Bc2"/>
        <s v="EK11Bc2K17Pa"/>
        <s v="EK11Ha"/>
        <s v="EK11Hb"/>
        <s v="EK11Hc"/>
        <s v="EK12Ba2"/>
        <s v="EK12Ba2K17Pb"/>
        <s v="EK12Bb1"/>
        <s v="EK12Bb1K22Pa"/>
        <s v="EK12Bb2"/>
        <s v="EK12Bb2K23Pa"/>
        <s v="EK12Bc2"/>
        <s v="EK12Bc2K19Pa"/>
        <s v="EK12Hb"/>
        <s v="EK12Hc"/>
        <s v="EK13Ba2"/>
        <s v="EK13Ba2K18Pb"/>
        <s v="EK13Bb1"/>
        <s v="EK13Bb2"/>
        <s v="EK13Bb2K24Pa"/>
        <s v="EK13Ha"/>
        <s v="EK13Hb"/>
        <s v="EK13Hc"/>
        <s v="EK15Bb2"/>
        <s v="EK15Bc2"/>
        <s v="EK15Bc2K19Pa"/>
        <s v="EK15Ha"/>
        <s v="EK15Hb"/>
        <s v="EK15Hc"/>
        <s v="EK16Ba2"/>
        <s v="EK16Ba2K25Pa"/>
        <s v="EK16Bb2"/>
        <s v="EK16Bc2"/>
        <s v="EK16Ha"/>
        <s v="EK16Hb"/>
        <s v="EK17Ba1"/>
        <s v="EK17Ba2"/>
        <s v="EK17Bb1"/>
        <s v="EK17Bc1"/>
        <s v="EK17Ha"/>
        <s v="EK17Hb"/>
        <s v="EK17Hc"/>
        <s v="EK18Ba1"/>
        <s v="EK18Bb1"/>
        <s v="EK18Bc1"/>
        <s v="EK18Ha"/>
        <s v="EK18Hb"/>
        <s v="EK18Hc"/>
        <s v="EK19Ba1"/>
        <s v="EK19Ba2"/>
        <s v="EK19Bb2"/>
        <s v="EK19Bc2"/>
        <s v="EK19Ha"/>
        <s v="EK19Hb"/>
        <s v="EK19Hc"/>
        <s v="EK20Ba2"/>
        <s v="EK20Ha"/>
        <s v="EK22Ba1"/>
        <s v="EK22Ba1K25Pa"/>
        <s v="EK22Bb1"/>
        <s v="EK22Bc1"/>
        <s v="EK22Ha"/>
        <s v="EK22Hb"/>
        <s v="EK23CRb"/>
        <s v="EK24Ba1"/>
        <s v="EK24CRa"/>
        <s v="EK24CRb"/>
        <s v="EK24CRc"/>
        <s v="EK25Ba2"/>
        <s v="EK25Bb2"/>
        <s v="EK25Bc2"/>
        <s v="EK25Cc"/>
        <s v="EK25CRb"/>
        <s v="EK25CRc"/>
        <s v="EK26Ba2"/>
        <s v="EK26Bb1"/>
        <s v="EK26Bb1K27Pa"/>
        <s v="EK26Bb2"/>
        <s v="EK26Bc1"/>
        <s v="EK26Bc1K29Pa"/>
        <s v="EK26Bc2"/>
        <s v="EK26Ca"/>
        <s v="EK26Cc"/>
        <s v="EK26CRa"/>
        <s v="EK26CRb"/>
        <s v="EK26CRc"/>
        <s v="EK27Ba1"/>
        <s v="EK27Bb1"/>
        <s v="EK27Bb2"/>
        <s v="EK27Bc1"/>
        <s v="EK27Cc"/>
        <s v="EK27CRa"/>
        <s v="EK27CRb"/>
        <s v="EK27CRc"/>
        <s v="EK29Ba1"/>
        <s v="EK29Bb1k30Pa"/>
        <s v="EK29Ca"/>
        <s v="EK29CRa"/>
        <s v="EK29CRb"/>
        <s v="EK29CRc"/>
        <s v="EK30Ba1"/>
        <s v="EK30Bb1"/>
        <s v="EK30Bc1"/>
        <s v="EK30CRa"/>
        <s v="EK30CRb"/>
        <s v="EK30CRc"/>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c2J12Pa"/>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AH22"/>
        <s v="HEJ09CH22"/>
        <s v="HEJ09Na"/>
        <s v="HEJ09NaJ09Pb"/>
        <s v="HEJ09NaJ11Pa"/>
        <s v="HEJ09Nb"/>
        <s v="HEJ09Nc"/>
        <s v="HEJ11CH22"/>
        <s v="HEJ11Na"/>
        <s v="HEJ11NaJ11Pb"/>
        <s v="HEJ11NaJ12Pa"/>
        <s v="HEJ11Nb"/>
        <s v="HEJ11Nc"/>
        <s v="HEJ11NcJ12Pb"/>
        <s v="HEJ120Na"/>
        <s v="HEJ12AH22"/>
        <s v="HEJ12BH22"/>
        <s v="HEJ12CH22"/>
        <s v="HEJ12Na"/>
        <s v="HEJ12NaJ2021Pa"/>
        <s v="HEJ12Nb"/>
        <s v="HEJ12NbJ13Pa"/>
        <s v="HEJ12Nc"/>
        <s v="HEJ13AH22"/>
        <s v="HEJ13BH22"/>
        <s v="HEJ13CH22"/>
        <s v="HEJ13Na"/>
        <s v="HEJ13NaJ13Pb"/>
        <s v="HEJ13NaJ18Pa"/>
        <s v="HEJ13Nb"/>
        <s v="HEJ13Nc"/>
        <s v="HEJ13NcJ18Pb"/>
        <s v="HEJ13NcJ18Pc"/>
        <s v="HEJ18AH22"/>
        <s v="HEJ18BH22"/>
        <s v="HEJ18CH22"/>
        <s v="HEJ18Na"/>
        <s v="HEJ18NaJ19Pa"/>
        <s v="HEJ18Nb"/>
        <s v="HEJ18Nc"/>
        <s v="HEJ18NcJ19Pb"/>
        <s v="HEJ19AH22"/>
        <s v="HEJ19CH22"/>
        <s v="HEJ19Na"/>
        <s v="HEJ19NaJ20Pa"/>
        <s v="HEJ19Nb"/>
        <s v="HEJ19Nc"/>
        <s v="HEJ19NcJ20Pb"/>
        <s v="HEJ20Nb"/>
        <s v="HEJ20Nc"/>
        <s v="HEJ20NcJ21Pb"/>
        <s v="HEJ21AH22"/>
        <s v="HEJ21Na"/>
        <s v="HEJ22BH22"/>
        <s v="HEJ22Nb"/>
        <s v="HEJ22NbJ22Pb"/>
        <s v="HEJ22Nbj23Pa"/>
        <s v="HEJ22Nc"/>
        <s v="HEJ22NcJ25Pa"/>
        <s v="HEJ23Na"/>
        <s v="HEJ25AH22"/>
        <s v="HEJ25BH22"/>
        <s v="HEJ25Na"/>
        <s v="HEJ25NaJ25Pb"/>
        <s v="HEJ25Nb"/>
        <s v="HEJ25Nc"/>
        <s v="HEJ25NcH26Pa"/>
        <s v="HEJ26AH22"/>
        <s v="HEJ26CH22"/>
        <s v="HEJ26Na"/>
        <s v="HEJ26NaJ26Pb"/>
        <s v="HEJ26Nb"/>
        <s v="HEJ26Nc"/>
        <s v="HEJ27AH22"/>
        <s v="HEJ27CH22"/>
        <s v="HEJ27Na"/>
        <s v="HEJ27NaJ27Pb"/>
        <s v="HEJ27Nb"/>
        <s v="HEJ27Nc"/>
        <s v="HEJ28AH22"/>
        <s v="HEJ28BH22"/>
        <s v="HEJ28CH22"/>
        <s v="HEJ28Na"/>
        <s v="HEJ28NAH22"/>
        <s v="HEJ28NaJ28Pa"/>
        <s v="HEJ28NaJ28Pb"/>
        <s v="HEJ28Nb"/>
        <s v="HEJ28NbJ29Pa"/>
        <s v="HEJ28Nc"/>
        <s v="HEJ28NcJ29Pb"/>
        <s v="HEJ29BH22"/>
        <s v="HEJ29CH22"/>
        <s v="HEJ29Na"/>
        <s v="HEJ29Nb"/>
        <s v="HEJ29NbJ30Pa"/>
        <s v="HEJ29Nc"/>
        <s v="HEJ29NcJ30Pb"/>
        <s v="HEJ30AH22"/>
        <s v="HEJ30BH22"/>
        <s v="HEJ30CH22"/>
        <s v="HEJ30Na"/>
        <s v="HEJ30Nb"/>
        <s v="HEJ30NbK01Pa"/>
        <s v="HEJ3BH22"/>
        <s v="HEJ5AH22"/>
        <s v="HEJO4Na"/>
        <s v="HEK01BH22"/>
        <s v="HEK01CH22"/>
        <s v="HEK01Na"/>
        <s v="HEK01NaK01Pb"/>
        <s v="HEK01NaK02Pa"/>
        <s v="HEK01Nb"/>
        <s v="HEK01NbK02"/>
        <s v="HEK01Nc"/>
        <s v="HEK01Nck02Pb"/>
        <s v="HEK02BH22"/>
        <s v="HEK02HC22"/>
        <s v="HEK02Na"/>
        <s v="HEK02Nb"/>
        <s v="HEK02NbK09Pa"/>
        <s v="HEK02NbK09Pb"/>
        <s v="HEK02Nc"/>
        <s v="HEK02NcK10Pa"/>
        <s v="HEK09Na"/>
        <s v="HEK10CH22"/>
        <s v="HEK10Nc"/>
        <s v="HEK11AH22"/>
        <s v="HEK11CH22"/>
        <s v="HEK11Na"/>
        <s v="HEK11NaK11Pb"/>
        <s v="HEK11Nb"/>
        <s v="HEK11Nc"/>
        <s v="HEK11NcK12Pa"/>
        <s v="HEK12CH22"/>
        <s v="HEK12Na"/>
        <s v="HEK12NaK12Pb"/>
        <s v="HEK12Nb"/>
        <s v="HEK12NbK13Pa"/>
        <s v="HEK12Nc"/>
        <s v="HEK13AH22"/>
        <s v="HEK13BH22"/>
        <s v="HEK13CH22"/>
        <s v="HEK13Na"/>
        <s v="HEK13NaK13Pb"/>
        <s v="HEK13Nb"/>
        <s v="HEK13NbK15Pa"/>
        <s v="HEK13Nc"/>
        <s v="HEK15BH22"/>
        <s v="HEK15CH22"/>
        <s v="HEK15Na"/>
        <s v="HEK15Nb"/>
        <s v="HEK15NbK15Pb"/>
        <s v="HEK15Nc"/>
        <s v="HEK15NcK16Pa"/>
        <s v="HEK16AH22"/>
        <s v="HEK16CH22"/>
        <s v="HEK16Na"/>
        <s v="HEK16Nb"/>
        <s v="HEK16NbK16Pb"/>
        <s v="HEK16Nc"/>
        <s v="HEK16NcK17Pa"/>
        <s v="HEK17AH22"/>
        <s v="HEK17BH22"/>
        <s v="HEK17CH22"/>
        <s v="HEK17Na"/>
        <s v="HEK17NaK17Pb"/>
        <s v="HEK17NaK18Pa"/>
        <s v="HEK17Nb"/>
        <s v="HEK17NbK23Pc"/>
        <s v="HEK17Nc"/>
        <s v="HEK17NcK18Pb"/>
        <s v="HEK18AH11"/>
        <s v="HEK18AH22"/>
        <s v="HEK18BH11"/>
        <s v="HEK18CH11"/>
        <s v="HEK18CH22"/>
        <s v="HEK18Na"/>
        <s v="HEK18Nak19Pb"/>
        <s v="HEK18NaK23Pa"/>
        <s v="HEK18Nb"/>
        <s v="HEK18NbK19Pa"/>
        <s v="HEK18Nc"/>
        <s v="HEK18NcK24Pc"/>
        <s v="HEK19AH11"/>
        <s v="HEK19AH22"/>
        <s v="HEK19BH11"/>
        <s v="HEK19BH22"/>
        <s v="HEK19CH11"/>
        <s v="HEK19CH22"/>
        <s v="HEK19Na"/>
        <s v="HEK19NaK19Pc"/>
        <s v="HEK19NaK24Pa"/>
        <s v="HEK19Nb"/>
        <s v="HEK19NbK24Pb"/>
        <s v="HEK19Nc"/>
        <s v="HEK19NcK20Pa"/>
        <s v="HEK19NcK22Pa"/>
        <s v="HEK1NCK11Pa"/>
        <s v="HEK20AH22"/>
        <s v="HEK20Na"/>
        <s v="HEK20NaK22Pb"/>
        <s v="HEK22AH22"/>
        <s v="HEK22BH22"/>
        <s v="HEK22Na"/>
        <s v="HEK22NaK22Pc"/>
        <s v="HEK22Nb"/>
        <s v="HEK22NbK23Pa"/>
        <s v="HEK22NbK23Pb"/>
        <s v="HEK22NbK24Pc"/>
        <s v="HEK22NbK25Pa"/>
        <s v="HEK22Nc"/>
        <s v="HEK22NcK27Pa"/>
        <s v="HEK23AH22"/>
        <s v="HEK23BH11"/>
        <s v="HEK23BH22"/>
        <s v="HEK23CH11"/>
        <s v="HEK23CH22"/>
        <s v="HEK23Na"/>
        <s v="HEK23Nb"/>
        <s v="HEK23NbK25Pa"/>
        <s v="HEK23NbK25Pb"/>
        <s v="HEK23NbK27Pb"/>
        <s v="HEK23Nc"/>
        <s v="HEK24AH11"/>
        <s v="HEK24BH22"/>
        <s v="HEK24CH11"/>
        <s v="HEK24CH22"/>
        <s v="HEK24Na"/>
        <s v="HEK24NaK27Pc"/>
        <s v="HEK24NaK29Pa"/>
        <s v="HEK24Nb"/>
        <s v="HEK24NbK25Pc"/>
        <s v="HEK24NbK29Pb"/>
        <s v="HEK24Nc"/>
        <s v="HEK25AH22"/>
        <s v="HEK25BH11"/>
        <s v="HEK25CH11"/>
        <s v="HEK25CH22"/>
        <s v="HEK25Na"/>
        <s v="HEK25Nb"/>
        <s v="HEK25NbK26Pa"/>
        <s v="HEK25NbK29Pc"/>
        <s v="HEK25Nc"/>
        <s v="HEK25NCk30Pa"/>
        <s v="HEK26BH11"/>
        <s v="HEK26CH11"/>
        <s v="HEK26Na"/>
        <s v="HEK26NaK26Pb"/>
        <s v="HEK26NaK30Pb"/>
        <s v="HEK26Nb"/>
        <s v="HEK26NbK230Pc"/>
        <s v="HEK26NbK26Pc"/>
        <s v="HEK26Nc"/>
        <s v="HEK26NcK27Pa"/>
        <s v="HEK27Na"/>
        <s v="HEK27Nb"/>
        <s v="HEK27Nc"/>
        <s v="HEK29Bb1"/>
        <s v="HEK29Na"/>
        <s v="HEK29Nb"/>
        <s v="HEK29Nc"/>
        <s v="HEK30Na"/>
        <s v="HEK30Nb"/>
        <s v="HEK30Nc"/>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5">
        <n v="0.1"/>
        <n v="0.3"/>
        <n v="0.5"/>
        <n v="0.6"/>
        <n v="0.7"/>
        <n v="0.8"/>
        <n v="1"/>
        <n v="1.2"/>
        <n v="1.3"/>
        <n v="1.4"/>
        <n v="1.5"/>
        <n v="1.6"/>
        <n v="1.7"/>
        <n v="1.8"/>
        <n v="2"/>
        <n v="2.3"/>
        <n v="2.5"/>
        <n v="2.7"/>
        <n v="2.8"/>
        <n v="2.9"/>
        <n v="3"/>
        <n v="3.3"/>
        <n v="3.5"/>
        <n v="3.9"/>
        <n v="4"/>
        <n v="4.1"/>
        <n v="4.3"/>
        <n v="4.5"/>
        <n v="5"/>
        <n v="5.2"/>
        <n v="5.4"/>
        <n v="5.5"/>
        <n v="5.7"/>
        <n v="5.8"/>
        <n v="6"/>
        <n v="6.2"/>
        <n v="6.5"/>
        <n v="6.8"/>
        <n v="7"/>
        <n v="7.4"/>
        <n v="7.5"/>
        <n v="7.8"/>
        <n v="8"/>
        <n v="8.5"/>
        <n v="10.5"/>
      </sharedItems>
    </cacheField>
    <cacheField name="Plan Qty" numFmtId="0">
      <sharedItems containsSemiMixedTypes="0" containsString="0" containsNumber="1" minValue="5" maxValue="19000" count="232">
        <n v="5"/>
        <n v="10"/>
        <n v="57"/>
        <n v="60"/>
        <n v="200"/>
        <n v="210"/>
        <n v="215"/>
        <n v="324"/>
        <n v="332"/>
        <n v="400"/>
        <n v="425"/>
        <n v="487"/>
        <n v="500"/>
        <n v="517"/>
        <n v="550"/>
        <n v="600"/>
        <n v="626"/>
        <n v="630"/>
        <n v="638"/>
        <n v="644"/>
        <n v="650"/>
        <n v="700"/>
        <n v="800"/>
        <n v="850"/>
        <n v="875"/>
        <n v="937"/>
        <n v="960"/>
        <n v="992"/>
        <n v="1000"/>
        <n v="1031"/>
        <n v="1034"/>
        <n v="1036"/>
        <n v="1037"/>
        <n v="1040"/>
        <n v="1050"/>
        <n v="1062"/>
        <n v="1100"/>
        <n v="1137"/>
        <n v="1200"/>
        <n v="1204"/>
        <n v="1250"/>
        <n v="1251.5"/>
        <n v="1260"/>
        <n v="1275"/>
        <n v="1280"/>
        <n v="1284"/>
        <n v="1287"/>
        <n v="1290"/>
        <n v="1292"/>
        <n v="1300"/>
        <n v="1303"/>
        <n v="1337"/>
        <n v="1374"/>
        <n v="1400"/>
        <n v="1420"/>
        <n v="1439"/>
        <n v="1440"/>
        <n v="1450"/>
        <n v="1500"/>
        <n v="1537"/>
        <n v="1551"/>
        <n v="1553"/>
        <n v="1557"/>
        <n v="1558"/>
        <n v="1574"/>
        <n v="1575"/>
        <n v="1600"/>
        <n v="1682"/>
        <n v="1700"/>
        <n v="1730"/>
        <n v="1750"/>
        <n v="1767"/>
        <n v="1773"/>
        <n v="1774"/>
        <n v="1800"/>
        <n v="1817"/>
        <n v="1840"/>
        <n v="1860"/>
        <n v="1920"/>
        <n v="1926"/>
        <n v="1930"/>
        <n v="1932"/>
        <n v="1974"/>
        <n v="2000"/>
        <n v="2036"/>
        <n v="2040"/>
        <n v="2050"/>
        <n v="2060"/>
        <n v="2065"/>
        <n v="2068.5"/>
        <n v="2072"/>
        <n v="2074"/>
        <n v="2100"/>
        <n v="2125"/>
        <n v="2137"/>
        <n v="2250"/>
        <n v="2252"/>
        <n v="2320"/>
        <n v="2337"/>
        <n v="2400"/>
        <n v="2407"/>
        <n v="2500"/>
        <n v="2503"/>
        <n v="2537"/>
        <n v="2550"/>
        <n v="2560"/>
        <n v="2573"/>
        <n v="2574"/>
        <n v="2580"/>
        <n v="2585"/>
        <n v="2586"/>
        <n v="2600"/>
        <n v="2637"/>
        <n v="2650"/>
        <n v="2687"/>
        <n v="2800"/>
        <n v="2845"/>
        <n v="2847"/>
        <n v="2887"/>
        <n v="2900"/>
        <n v="2937"/>
        <n v="3000"/>
        <n v="3097"/>
        <n v="3101"/>
        <n v="3102"/>
        <n v="3103"/>
        <n v="3108"/>
        <n v="3137"/>
        <n v="3200"/>
        <n v="3226"/>
        <n v="3300"/>
        <n v="3374"/>
        <n v="3400"/>
        <n v="3500"/>
        <n v="3518"/>
        <n v="3534"/>
        <n v="3587"/>
        <n v="3600"/>
        <n v="3611"/>
        <n v="3612"/>
        <n v="3619"/>
        <n v="3620"/>
        <n v="3626"/>
        <n v="3637"/>
        <n v="3650"/>
        <n v="3700"/>
        <n v="3800"/>
        <n v="3840"/>
        <n v="4000"/>
        <n v="4034"/>
        <n v="4036"/>
        <n v="4042"/>
        <n v="4044"/>
        <n v="4137"/>
        <n v="4160"/>
        <n v="4250"/>
        <n v="4350"/>
        <n v="4375"/>
        <n v="4400"/>
        <n v="4500"/>
        <n v="4597"/>
        <n v="4750"/>
        <n v="4814"/>
        <n v="4815"/>
        <n v="4845"/>
        <n v="4900"/>
        <n v="5000"/>
        <n v="5036"/>
        <n v="5100"/>
        <n v="5120"/>
        <n v="5123"/>
        <n v="5130"/>
        <n v="5132"/>
        <n v="5134"/>
        <n v="5250"/>
        <n v="5400"/>
        <n v="5800"/>
        <n v="6000"/>
        <n v="6036"/>
        <n v="6091"/>
        <n v="6122"/>
        <n v="6125"/>
        <n v="6300"/>
        <n v="6500"/>
        <n v="7000"/>
        <n v="7036"/>
        <n v="7068"/>
        <n v="7072"/>
        <n v="7091"/>
        <n v="7096"/>
        <n v="7125"/>
        <n v="7132"/>
        <n v="7500"/>
        <n v="8000"/>
        <n v="8016"/>
        <n v="8060"/>
        <n v="8066"/>
        <n v="8080"/>
        <n v="8091"/>
        <n v="8134"/>
        <n v="8750"/>
        <n v="8886"/>
        <n v="9000"/>
        <n v="10000"/>
        <n v="10072"/>
        <n v="10091"/>
        <n v="10400"/>
        <n v="10598"/>
        <n v="11000"/>
        <n v="11132"/>
        <n v="11500"/>
        <n v="12000"/>
        <n v="12108"/>
        <n v="12126"/>
        <n v="12250"/>
        <n v="12409"/>
        <n v="12411"/>
        <n v="12500"/>
        <n v="12700"/>
        <n v="13000"/>
        <n v="13861"/>
        <n v="14000"/>
        <n v="14072"/>
        <n v="14132"/>
        <n v="14137"/>
        <n v="14182"/>
        <n v="14250"/>
        <n v="16032"/>
        <n v="16132"/>
        <n v="16137"/>
        <n v="16171"/>
        <n v="19000"/>
      </sharedItems>
    </cacheField>
    <cacheField name="Plan Qty per Hr" numFmtId="0">
      <sharedItems containsSemiMixedTypes="0" containsString="0" containsNumber="1" minValue="16.6666666666667" maxValue="2375" count="245">
        <n v="16.6666666666667"/>
        <n v="50"/>
        <n v="100"/>
        <n v="125"/>
        <n v="190"/>
        <n v="200"/>
        <n v="211.764705882353"/>
        <n v="215"/>
        <n v="216.666666666667"/>
        <n v="236.666666666667"/>
        <n v="241.25"/>
        <n v="245.142857142857"/>
        <n v="250"/>
        <n v="255"/>
        <n v="266.666666666667"/>
        <n v="267.125"/>
        <n v="275"/>
        <n v="285.714285714286"/>
        <n v="288"/>
        <n v="300"/>
        <n v="310"/>
        <n v="312.875"/>
        <n v="313"/>
        <n v="315"/>
        <n v="319"/>
        <n v="319.53488372093"/>
        <n v="321.428571428571"/>
        <n v="321.625"/>
        <n v="321.714285714286"/>
        <n v="321.75"/>
        <n v="322"/>
        <n v="325"/>
        <n v="325.75"/>
        <n v="327.272727272727"/>
        <n v="329"/>
        <n v="333.333333333333"/>
        <n v="345.666666666667"/>
        <n v="352.941176470588"/>
        <n v="354.8"/>
        <n v="363.636363636364"/>
        <n v="382"/>
        <n v="389.5"/>
        <n v="393.5"/>
        <n v="400"/>
        <n v="413.793103448276"/>
        <n v="416.666666666667"/>
        <n v="420"/>
        <n v="424.8"/>
        <n v="425"/>
        <n v="428.571428571429"/>
        <n v="433.333333333333"/>
        <n v="436.363636363636"/>
        <n v="437.5"/>
        <n v="444.444444444444"/>
        <n v="445.666666666667"/>
        <n v="448.142857142857"/>
        <n v="450"/>
        <n v="451.375"/>
        <n v="464.285714285714"/>
        <n v="475"/>
        <n v="479.666666666667"/>
        <n v="480"/>
        <n v="481.4"/>
        <n v="484.615384615385"/>
        <n v="487"/>
        <n v="496"/>
        <n v="500"/>
        <n v="507.4"/>
        <n v="509"/>
        <n v="512.333333333333"/>
        <n v="512.428571428571"/>
        <n v="512.5"/>
        <n v="512.820512820513"/>
        <n v="514.285714285714"/>
        <n v="515"/>
        <n v="515.263157894737"/>
        <n v="515.5"/>
        <n v="515.555555555556"/>
        <n v="516"/>
        <n v="516.129032258065"/>
        <n v="516.166666666667"/>
        <n v="516.25"/>
        <n v="516.730769230769"/>
        <n v="516.8"/>
        <n v="516.833333333333"/>
        <n v="517"/>
        <n v="517.125"/>
        <n v="517.142857142857"/>
        <n v="517.166666666667"/>
        <n v="517.2"/>
        <n v="517.272727272727"/>
        <n v="517.636363636364"/>
        <n v="517.666666666667"/>
        <n v="517.857142857143"/>
        <n v="518"/>
        <n v="518.5"/>
        <n v="518.518518518519"/>
        <n v="519"/>
        <n v="519.142857142857"/>
        <n v="519.333333333333"/>
        <n v="519.571428571429"/>
        <n v="520"/>
        <n v="520.555555555556"/>
        <n v="521.219512195122"/>
        <n v="521.428571428571"/>
        <n v="521.739130434783"/>
        <n v="522.833333333333"/>
        <n v="525"/>
        <n v="527.4"/>
        <n v="533.333333333333"/>
        <n v="534.25"/>
        <n v="540"/>
        <n v="550"/>
        <n v="553.846153846154"/>
        <n v="560"/>
        <n v="566.666666666667"/>
        <n v="568.5"/>
        <n v="574.625"/>
        <n v="576.666666666667"/>
        <n v="577.4"/>
        <n v="586.545454545455"/>
        <n v="591"/>
        <n v="600"/>
        <n v="601.75"/>
        <n v="601.875"/>
        <n v="602"/>
        <n v="605.625"/>
        <n v="607.142857142857"/>
        <n v="625"/>
        <n v="625.75"/>
        <n v="628.205128205128"/>
        <n v="637.5"/>
        <n v="638"/>
        <n v="640"/>
        <n v="640.375"/>
        <n v="641.25"/>
        <n v="641.75"/>
        <n v="642"/>
        <n v="644.444444444444"/>
        <n v="660"/>
        <n v="666.666666666667"/>
        <n v="676.923076923077"/>
        <n v="700"/>
        <n v="725"/>
        <n v="742.857142857143"/>
        <n v="750"/>
        <n v="797.5"/>
        <n v="800"/>
        <n v="814.4"/>
        <n v="827.764705882353"/>
        <n v="833.333333333333"/>
        <n v="834.235294117647"/>
        <n v="843.5"/>
        <n v="857.142857142857"/>
        <n v="862.285714285714"/>
        <n v="866.666666666667"/>
        <n v="875"/>
        <n v="878.378378378378"/>
        <n v="879.5"/>
        <n v="882.352941176471"/>
        <n v="883.333333333333"/>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6.66666666667"/>
        <n v="1419.2"/>
        <n v="1437.5"/>
        <n v="1500"/>
        <n v="1514"/>
        <n v="1522.75"/>
        <n v="1555.55555555556"/>
        <n v="1584.88888888889"/>
        <n v="1587.5"/>
        <n v="1600"/>
        <n v="1612"/>
        <n v="1647.05882352941"/>
        <n v="1652.17391304348"/>
        <n v="1655.52941176471"/>
        <n v="1666.66666666667"/>
        <n v="1668.47058823529"/>
        <n v="1682"/>
        <n v="1710.66666666667"/>
        <n v="1750"/>
        <n v="1759"/>
        <n v="1766.5"/>
        <n v="1767"/>
        <n v="1767.125"/>
        <n v="1768"/>
        <n v="1772.71428571429"/>
        <n v="1772.75"/>
        <n v="1773"/>
        <n v="1777.77777777778"/>
        <n v="1798"/>
        <n v="1807.55555555556"/>
        <n v="1831.27272727273"/>
        <n v="1833.33333333333"/>
        <n v="1846.15384615385"/>
        <n v="1850"/>
        <n v="1851.85185185185"/>
        <n v="1857.14285714286"/>
        <n v="1886.11764705882"/>
        <n v="1897.88235294118"/>
        <n v="1916.66666666667"/>
        <n v="1919.31034482759"/>
        <n v="1980.14285714286"/>
        <n v="2000"/>
        <n v="2004"/>
        <n v="2016.5"/>
        <n v="2017"/>
        <n v="2017.125"/>
        <n v="2018"/>
        <n v="2020"/>
        <n v="2021"/>
        <n v="2021.375"/>
        <n v="2022"/>
        <n v="2040"/>
        <n v="2040.66666666667"/>
        <n v="2068.5"/>
        <n v="2221.5"/>
        <n v="2375"/>
      </sharedItems>
    </cacheField>
    <cacheField name="Total Produced Qty" numFmtId="0">
      <sharedItems containsSemiMixedTypes="0" containsString="0" containsNumber="1" containsInteger="1" minValue="5" maxValue="22365" count="1028">
        <n v="5"/>
        <n v="7"/>
        <n v="10"/>
        <n v="51"/>
        <n v="57"/>
        <n v="60"/>
        <n v="140"/>
        <n v="196"/>
        <n v="224"/>
        <n v="258"/>
        <n v="268"/>
        <n v="283"/>
        <n v="328"/>
        <n v="393"/>
        <n v="407"/>
        <n v="418"/>
        <n v="426"/>
        <n v="445"/>
        <n v="468"/>
        <n v="487"/>
        <n v="489"/>
        <n v="496"/>
        <n v="500"/>
        <n v="533"/>
        <n v="535"/>
        <n v="545"/>
        <n v="550"/>
        <n v="552"/>
        <n v="605"/>
        <n v="607"/>
        <n v="608"/>
        <n v="614"/>
        <n v="628"/>
        <n v="630"/>
        <n v="652"/>
        <n v="665"/>
        <n v="682"/>
        <n v="700"/>
        <n v="750"/>
        <n v="760"/>
        <n v="770"/>
        <n v="791"/>
        <n v="795"/>
        <n v="800"/>
        <n v="816"/>
        <n v="821"/>
        <n v="850"/>
        <n v="863"/>
        <n v="864"/>
        <n v="896"/>
        <n v="913"/>
        <n v="921"/>
        <n v="925"/>
        <n v="928"/>
        <n v="938"/>
        <n v="945"/>
        <n v="956"/>
        <n v="959"/>
        <n v="987"/>
        <n v="988"/>
        <n v="990"/>
        <n v="997"/>
        <n v="998"/>
        <n v="1000"/>
        <n v="1005"/>
        <n v="1008"/>
        <n v="1011"/>
        <n v="1012"/>
        <n v="1014"/>
        <n v="1031"/>
        <n v="1032"/>
        <n v="1040"/>
        <n v="1042"/>
        <n v="1045"/>
        <n v="1051"/>
        <n v="1077"/>
        <n v="1087"/>
        <n v="1092"/>
        <n v="1130"/>
        <n v="1132"/>
        <n v="1133"/>
        <n v="1140"/>
        <n v="1141"/>
        <n v="1145"/>
        <n v="1150"/>
        <n v="1165"/>
        <n v="1168"/>
        <n v="1173"/>
        <n v="1180"/>
        <n v="1186"/>
        <n v="1193"/>
        <n v="1200"/>
        <n v="1230"/>
        <n v="1233"/>
        <n v="1239"/>
        <n v="1246"/>
        <n v="1250"/>
        <n v="1257"/>
        <n v="1269"/>
        <n v="1290"/>
        <n v="1300"/>
        <n v="1306"/>
        <n v="1310"/>
        <n v="1312"/>
        <n v="1316"/>
        <n v="1326"/>
        <n v="1350"/>
        <n v="1370"/>
        <n v="1376"/>
        <n v="1378"/>
        <n v="1382"/>
        <n v="1383"/>
        <n v="1386"/>
        <n v="1400"/>
        <n v="1420"/>
        <n v="1425"/>
        <n v="1452"/>
        <n v="1453"/>
        <n v="1456"/>
        <n v="1494"/>
        <n v="1495"/>
        <n v="1500"/>
        <n v="1507"/>
        <n v="1510"/>
        <n v="1515"/>
        <n v="1516"/>
        <n v="1524"/>
        <n v="1533"/>
        <n v="1554"/>
        <n v="1556"/>
        <n v="1560"/>
        <n v="1563"/>
        <n v="1565"/>
        <n v="1572"/>
        <n v="1578"/>
        <n v="1580"/>
        <n v="1582"/>
        <n v="1596"/>
        <n v="1600"/>
        <n v="1606"/>
        <n v="1608"/>
        <n v="1612"/>
        <n v="1614"/>
        <n v="1624"/>
        <n v="1625"/>
        <n v="1629"/>
        <n v="1644"/>
        <n v="1648"/>
        <n v="1656"/>
        <n v="1676"/>
        <n v="1698"/>
        <n v="1700"/>
        <n v="1705"/>
        <n v="1710"/>
        <n v="1720"/>
        <n v="1730"/>
        <n v="1734"/>
        <n v="1736"/>
        <n v="1739"/>
        <n v="1773"/>
        <n v="1779"/>
        <n v="1795"/>
        <n v="1800"/>
        <n v="1801"/>
        <n v="1802"/>
        <n v="1807"/>
        <n v="1840"/>
        <n v="1860"/>
        <n v="1863"/>
        <n v="1873"/>
        <n v="1897"/>
        <n v="1898"/>
        <n v="1906"/>
        <n v="1921"/>
        <n v="1940"/>
        <n v="1956"/>
        <n v="1981"/>
        <n v="1997"/>
        <n v="2000"/>
        <n v="2004"/>
        <n v="2006"/>
        <n v="2008"/>
        <n v="2010"/>
        <n v="2017"/>
        <n v="2025"/>
        <n v="2040"/>
        <n v="2050"/>
        <n v="2052"/>
        <n v="2066"/>
        <n v="2108"/>
        <n v="2120"/>
        <n v="2126"/>
        <n v="2130"/>
        <n v="2132"/>
        <n v="2161"/>
        <n v="2164"/>
        <n v="2174"/>
        <n v="2190"/>
        <n v="2217"/>
        <n v="2228"/>
        <n v="2242"/>
        <n v="2250"/>
        <n v="2256"/>
        <n v="2273"/>
        <n v="2278"/>
        <n v="2280"/>
        <n v="2288"/>
        <n v="2290"/>
        <n v="2300"/>
        <n v="2304"/>
        <n v="2308"/>
        <n v="2312"/>
        <n v="2326"/>
        <n v="2332"/>
        <n v="2381"/>
        <n v="2390"/>
        <n v="2392"/>
        <n v="2402"/>
        <n v="2439"/>
        <n v="2440"/>
        <n v="2443"/>
        <n v="2466"/>
        <n v="2472"/>
        <n v="2485"/>
        <n v="2492"/>
        <n v="2497"/>
        <n v="2500"/>
        <n v="2503"/>
        <n v="2510"/>
        <n v="2511"/>
        <n v="2512"/>
        <n v="2520"/>
        <n v="2524"/>
        <n v="2537"/>
        <n v="2538"/>
        <n v="2546"/>
        <n v="2560"/>
        <n v="2588"/>
        <n v="2600"/>
        <n v="2604"/>
        <n v="2608"/>
        <n v="2609"/>
        <n v="2612"/>
        <n v="2640"/>
        <n v="2650"/>
        <n v="2658"/>
        <n v="2666"/>
        <n v="2670"/>
        <n v="2673"/>
        <n v="2686"/>
        <n v="2688"/>
        <n v="2700"/>
        <n v="2704"/>
        <n v="2708"/>
        <n v="2715"/>
        <n v="2721"/>
        <n v="2739"/>
        <n v="2754"/>
        <n v="2760"/>
        <n v="2762"/>
        <n v="2770"/>
        <n v="2778"/>
        <n v="2787"/>
        <n v="2788"/>
        <n v="2790"/>
        <n v="2793"/>
        <n v="2797"/>
        <n v="2808"/>
        <n v="2810"/>
        <n v="2812"/>
        <n v="2826"/>
        <n v="2828"/>
        <n v="2830"/>
        <n v="2831"/>
        <n v="2843"/>
        <n v="2848"/>
        <n v="2852"/>
        <n v="2854"/>
        <n v="2872"/>
        <n v="2880"/>
        <n v="2893"/>
        <n v="2906"/>
        <n v="2908"/>
        <n v="2915"/>
        <n v="2930"/>
        <n v="2940"/>
        <n v="2943"/>
        <n v="2946"/>
        <n v="2951"/>
        <n v="2963"/>
        <n v="2965"/>
        <n v="2970"/>
        <n v="2974"/>
        <n v="2976"/>
        <n v="2983"/>
        <n v="2986"/>
        <n v="2988"/>
        <n v="2992"/>
        <n v="3000"/>
        <n v="3004"/>
        <n v="3008"/>
        <n v="3010"/>
        <n v="3011"/>
        <n v="3012"/>
        <n v="3023"/>
        <n v="3032"/>
        <n v="3034"/>
        <n v="3036"/>
        <n v="3038"/>
        <n v="3040"/>
        <n v="3046"/>
        <n v="3049"/>
        <n v="3050"/>
        <n v="3052"/>
        <n v="3058"/>
        <n v="3060"/>
        <n v="3066"/>
        <n v="3075"/>
        <n v="3078"/>
        <n v="3082"/>
        <n v="3097"/>
        <n v="3100"/>
        <n v="3102"/>
        <n v="3103"/>
        <n v="3109"/>
        <n v="3114"/>
        <n v="3115"/>
        <n v="3117"/>
        <n v="3120"/>
        <n v="3123"/>
        <n v="3129"/>
        <n v="3130"/>
        <n v="3136"/>
        <n v="3138"/>
        <n v="3140"/>
        <n v="3141"/>
        <n v="3142"/>
        <n v="3143"/>
        <n v="3145"/>
        <n v="3150"/>
        <n v="3154"/>
        <n v="3158"/>
        <n v="3159"/>
        <n v="3160"/>
        <n v="3166"/>
        <n v="3172"/>
        <n v="3174"/>
        <n v="3175"/>
        <n v="3177"/>
        <n v="3180"/>
        <n v="3182"/>
        <n v="3194"/>
        <n v="3200"/>
        <n v="3201"/>
        <n v="3202"/>
        <n v="3203"/>
        <n v="3204"/>
        <n v="3205"/>
        <n v="3208"/>
        <n v="3214"/>
        <n v="3222"/>
        <n v="3223"/>
        <n v="3224"/>
        <n v="3226"/>
        <n v="3227"/>
        <n v="3228"/>
        <n v="3231"/>
        <n v="3235"/>
        <n v="3239"/>
        <n v="3242"/>
        <n v="3246"/>
        <n v="3250"/>
        <n v="3252"/>
        <n v="3260"/>
        <n v="3262"/>
        <n v="3265"/>
        <n v="3270"/>
        <n v="3271"/>
        <n v="3275"/>
        <n v="3277"/>
        <n v="3279"/>
        <n v="3280"/>
        <n v="3286"/>
        <n v="3287"/>
        <n v="3297"/>
        <n v="3300"/>
        <n v="3302"/>
        <n v="3304"/>
        <n v="3305"/>
        <n v="3308"/>
        <n v="3314"/>
        <n v="3315"/>
        <n v="3320"/>
        <n v="3334"/>
        <n v="3335"/>
        <n v="3338"/>
        <n v="3340"/>
        <n v="3344"/>
        <n v="3347"/>
        <n v="3350"/>
        <n v="3358"/>
        <n v="3360"/>
        <n v="3364"/>
        <n v="3371"/>
        <n v="3376"/>
        <n v="3380"/>
        <n v="3382"/>
        <n v="3386"/>
        <n v="3390"/>
        <n v="3395"/>
        <n v="3400"/>
        <n v="3402"/>
        <n v="3403"/>
        <n v="3406"/>
        <n v="3408"/>
        <n v="3410"/>
        <n v="3414"/>
        <n v="3420"/>
        <n v="3429"/>
        <n v="3443"/>
        <n v="3450"/>
        <n v="3458"/>
        <n v="3473"/>
        <n v="3498"/>
        <n v="3500"/>
        <n v="3505"/>
        <n v="3522"/>
        <n v="3550"/>
        <n v="3576"/>
        <n v="3578"/>
        <n v="3580"/>
        <n v="3585"/>
        <n v="3588"/>
        <n v="3600"/>
        <n v="3605"/>
        <n v="3608"/>
        <n v="3612"/>
        <n v="3615"/>
        <n v="3616"/>
        <n v="3626"/>
        <n v="3633"/>
        <n v="3643"/>
        <n v="3650"/>
        <n v="3652"/>
        <n v="3683"/>
        <n v="3686"/>
        <n v="3694"/>
        <n v="3699"/>
        <n v="3700"/>
        <n v="3702"/>
        <n v="3708"/>
        <n v="3735"/>
        <n v="3750"/>
        <n v="3752"/>
        <n v="3770"/>
        <n v="3800"/>
        <n v="3802"/>
        <n v="3805"/>
        <n v="3808"/>
        <n v="3812"/>
        <n v="3843"/>
        <n v="3870"/>
        <n v="3906"/>
        <n v="3917"/>
        <n v="3923"/>
        <n v="3931"/>
        <n v="3940"/>
        <n v="3950"/>
        <n v="3962"/>
        <n v="3965"/>
        <n v="3973"/>
        <n v="3978"/>
        <n v="3982"/>
        <n v="3990"/>
        <n v="3993"/>
        <n v="4000"/>
        <n v="4001"/>
        <n v="4002"/>
        <n v="4004"/>
        <n v="4006"/>
        <n v="4008"/>
        <n v="4010"/>
        <n v="4011"/>
        <n v="4012"/>
        <n v="4013"/>
        <n v="4014"/>
        <n v="4015"/>
        <n v="4018"/>
        <n v="4024"/>
        <n v="4026"/>
        <n v="4029"/>
        <n v="4030"/>
        <n v="4033"/>
        <n v="4034"/>
        <n v="4043"/>
        <n v="4044"/>
        <n v="4047"/>
        <n v="4050"/>
        <n v="4051"/>
        <n v="4058"/>
        <n v="4060"/>
        <n v="4065"/>
        <n v="4075"/>
        <n v="4082"/>
        <n v="4090"/>
        <n v="4095"/>
        <n v="4100"/>
        <n v="4108"/>
        <n v="4110"/>
        <n v="4116"/>
        <n v="4130"/>
        <n v="4132"/>
        <n v="4135"/>
        <n v="4136"/>
        <n v="4143"/>
        <n v="4148"/>
        <n v="4149"/>
        <n v="4155"/>
        <n v="4156"/>
        <n v="4160"/>
        <n v="4169"/>
        <n v="4170"/>
        <n v="4199"/>
        <n v="4200"/>
        <n v="4202"/>
        <n v="4208"/>
        <n v="4210"/>
        <n v="4211"/>
        <n v="4213"/>
        <n v="4220"/>
        <n v="4223"/>
        <n v="4230"/>
        <n v="4250"/>
        <n v="4254"/>
        <n v="4292"/>
        <n v="4294"/>
        <n v="4299"/>
        <n v="4300"/>
        <n v="4302"/>
        <n v="4303"/>
        <n v="4305"/>
        <n v="4307"/>
        <n v="4308"/>
        <n v="4310"/>
        <n v="4313"/>
        <n v="4316"/>
        <n v="4320"/>
        <n v="4329"/>
        <n v="4338"/>
        <n v="4340"/>
        <n v="4343"/>
        <n v="4348"/>
        <n v="4350"/>
        <n v="4356"/>
        <n v="4360"/>
        <n v="4366"/>
        <n v="4367"/>
        <n v="4372"/>
        <n v="4376"/>
        <n v="4385"/>
        <n v="4400"/>
        <n v="4402"/>
        <n v="4404"/>
        <n v="4405"/>
        <n v="4410"/>
        <n v="4418"/>
        <n v="4432"/>
        <n v="4448"/>
        <n v="4479"/>
        <n v="4504"/>
        <n v="4505"/>
        <n v="4506"/>
        <n v="4508"/>
        <n v="4512"/>
        <n v="4513"/>
        <n v="4514"/>
        <n v="4516"/>
        <n v="4520"/>
        <n v="4522"/>
        <n v="4524"/>
        <n v="4540"/>
        <n v="4545"/>
        <n v="4564"/>
        <n v="4573"/>
        <n v="4575"/>
        <n v="4583"/>
        <n v="4586"/>
        <n v="4600"/>
        <n v="4605"/>
        <n v="4610"/>
        <n v="4612"/>
        <n v="4614"/>
        <n v="4616"/>
        <n v="4630"/>
        <n v="4642"/>
        <n v="4644"/>
        <n v="4660"/>
        <n v="4664"/>
        <n v="4665"/>
        <n v="4678"/>
        <n v="4690"/>
        <n v="4698"/>
        <n v="4702"/>
        <n v="4708"/>
        <n v="4712"/>
        <n v="4713"/>
        <n v="4717"/>
        <n v="4718"/>
        <n v="4740"/>
        <n v="4741"/>
        <n v="4743"/>
        <n v="4748"/>
        <n v="4750"/>
        <n v="4760"/>
        <n v="4762"/>
        <n v="4765"/>
        <n v="4783"/>
        <n v="4785"/>
        <n v="4787"/>
        <n v="4792"/>
        <n v="4800"/>
        <n v="4808"/>
        <n v="4810"/>
        <n v="4813"/>
        <n v="4816"/>
        <n v="4818"/>
        <n v="4819"/>
        <n v="4820"/>
        <n v="4821"/>
        <n v="4833"/>
        <n v="4836"/>
        <n v="4848"/>
        <n v="4850"/>
        <n v="4870"/>
        <n v="4878"/>
        <n v="4886"/>
        <n v="4889"/>
        <n v="4897"/>
        <n v="4900"/>
        <n v="4904"/>
        <n v="4905"/>
        <n v="4910"/>
        <n v="4924"/>
        <n v="4946"/>
        <n v="4950"/>
        <n v="4952"/>
        <n v="4956"/>
        <n v="4959"/>
        <n v="4963"/>
        <n v="4970"/>
        <n v="4994"/>
        <n v="4996"/>
        <n v="5000"/>
        <n v="5002"/>
        <n v="5004"/>
        <n v="5005"/>
        <n v="5008"/>
        <n v="5010"/>
        <n v="5012"/>
        <n v="5013"/>
        <n v="5016"/>
        <n v="5020"/>
        <n v="5029"/>
        <n v="5033"/>
        <n v="5038"/>
        <n v="5040"/>
        <n v="5042"/>
        <n v="5046"/>
        <n v="5047"/>
        <n v="5050"/>
        <n v="5054"/>
        <n v="5065"/>
        <n v="5070"/>
        <n v="5080"/>
        <n v="5083"/>
        <n v="5085"/>
        <n v="5086"/>
        <n v="5090"/>
        <n v="5091"/>
        <n v="5095"/>
        <n v="5096"/>
        <n v="5098"/>
        <n v="5099"/>
        <n v="5100"/>
        <n v="5101"/>
        <n v="5104"/>
        <n v="5108"/>
        <n v="5109"/>
        <n v="5110"/>
        <n v="5112"/>
        <n v="5118"/>
        <n v="5119"/>
        <n v="5120"/>
        <n v="5122"/>
        <n v="5123"/>
        <n v="5124"/>
        <n v="5126"/>
        <n v="5127"/>
        <n v="5128"/>
        <n v="5130"/>
        <n v="5138"/>
        <n v="5140"/>
        <n v="5152"/>
        <n v="5175"/>
        <n v="5181"/>
        <n v="5190"/>
        <n v="5199"/>
        <n v="5200"/>
        <n v="5202"/>
        <n v="5203"/>
        <n v="5204"/>
        <n v="5205"/>
        <n v="5206"/>
        <n v="5207"/>
        <n v="5208"/>
        <n v="5209"/>
        <n v="5216"/>
        <n v="5218"/>
        <n v="5244"/>
        <n v="5288"/>
        <n v="5290"/>
        <n v="5296"/>
        <n v="5298"/>
        <n v="5300"/>
        <n v="5303"/>
        <n v="5304"/>
        <n v="5309"/>
        <n v="5310"/>
        <n v="5312"/>
        <n v="5315"/>
        <n v="5316"/>
        <n v="5320"/>
        <n v="5321"/>
        <n v="5322"/>
        <n v="5324"/>
        <n v="5326"/>
        <n v="5331"/>
        <n v="5337"/>
        <n v="5353"/>
        <n v="5358"/>
        <n v="5360"/>
        <n v="5365"/>
        <n v="5366"/>
        <n v="5367"/>
        <n v="5368"/>
        <n v="5370"/>
        <n v="5373"/>
        <n v="5375"/>
        <n v="5377"/>
        <n v="5378"/>
        <n v="5383"/>
        <n v="5390"/>
        <n v="5400"/>
        <n v="5401"/>
        <n v="5402"/>
        <n v="5404"/>
        <n v="5405"/>
        <n v="5406"/>
        <n v="5411"/>
        <n v="5413"/>
        <n v="5417"/>
        <n v="5426"/>
        <n v="5430"/>
        <n v="5432"/>
        <n v="5438"/>
        <n v="5440"/>
        <n v="5442"/>
        <n v="5455"/>
        <n v="5458"/>
        <n v="5459"/>
        <n v="5462"/>
        <n v="5463"/>
        <n v="5465"/>
        <n v="5466"/>
        <n v="5470"/>
        <n v="5482"/>
        <n v="5486"/>
        <n v="5487"/>
        <n v="5488"/>
        <n v="5490"/>
        <n v="5500"/>
        <n v="5510"/>
        <n v="5512"/>
        <n v="5513"/>
        <n v="5514"/>
        <n v="5515"/>
        <n v="5516"/>
        <n v="5517"/>
        <n v="5518"/>
        <n v="5520"/>
        <n v="5523"/>
        <n v="5524"/>
        <n v="5525"/>
        <n v="5526"/>
        <n v="5534"/>
        <n v="5536"/>
        <n v="5538"/>
        <n v="5547"/>
        <n v="5550"/>
        <n v="5552"/>
        <n v="5557"/>
        <n v="5565"/>
        <n v="5580"/>
        <n v="5582"/>
        <n v="5588"/>
        <n v="5590"/>
        <n v="5600"/>
        <n v="5612"/>
        <n v="5619"/>
        <n v="5630"/>
        <n v="5634"/>
        <n v="5649"/>
        <n v="5659"/>
        <n v="5660"/>
        <n v="5665"/>
        <n v="5676"/>
        <n v="5680"/>
        <n v="5686"/>
        <n v="5696"/>
        <n v="5697"/>
        <n v="5700"/>
        <n v="5720"/>
        <n v="5740"/>
        <n v="5748"/>
        <n v="5750"/>
        <n v="5753"/>
        <n v="5761"/>
        <n v="5762"/>
        <n v="5767"/>
        <n v="5790"/>
        <n v="5805"/>
        <n v="5882"/>
        <n v="5900"/>
        <n v="5911"/>
        <n v="5924"/>
        <n v="5928"/>
        <n v="5932"/>
        <n v="5936"/>
        <n v="6000"/>
        <n v="6012"/>
        <n v="6034"/>
        <n v="6041"/>
        <n v="6048"/>
        <n v="6065"/>
        <n v="6089"/>
        <n v="6100"/>
        <n v="6103"/>
        <n v="6143"/>
        <n v="6189"/>
        <n v="6200"/>
        <n v="6210"/>
        <n v="6220"/>
        <n v="6275"/>
        <n v="6299"/>
        <n v="6300"/>
        <n v="6340"/>
        <n v="6347"/>
        <n v="6350"/>
        <n v="6353"/>
        <n v="6377"/>
        <n v="6392"/>
        <n v="6400"/>
        <n v="6415"/>
        <n v="6442"/>
        <n v="6470"/>
        <n v="6500"/>
        <n v="6529"/>
        <n v="6588"/>
        <n v="6592"/>
        <n v="6600"/>
        <n v="6618"/>
        <n v="6643"/>
        <n v="6650"/>
        <n v="6700"/>
        <n v="6710"/>
        <n v="6730"/>
        <n v="6750"/>
        <n v="6800"/>
        <n v="6820"/>
        <n v="6850"/>
        <n v="6865"/>
        <n v="6884"/>
        <n v="6900"/>
        <n v="6949"/>
        <n v="6950"/>
        <n v="7000"/>
        <n v="7040"/>
        <n v="7050"/>
        <n v="7070"/>
        <n v="7100"/>
        <n v="7120"/>
        <n v="7150"/>
        <n v="7170"/>
        <n v="7200"/>
        <n v="7224"/>
        <n v="7230"/>
        <n v="7231"/>
        <n v="7288"/>
        <n v="7300"/>
        <n v="7310"/>
        <n v="7320"/>
        <n v="7350"/>
        <n v="7370"/>
        <n v="7392"/>
        <n v="7400"/>
        <n v="7420"/>
        <n v="7500"/>
        <n v="7600"/>
        <n v="7612"/>
        <n v="7668"/>
        <n v="7700"/>
        <n v="7900"/>
        <n v="7926"/>
        <n v="8043"/>
        <n v="8058"/>
        <n v="8142"/>
        <n v="8178"/>
        <n v="8200"/>
        <n v="8276"/>
        <n v="8277"/>
        <n v="8400"/>
        <n v="8612"/>
        <n v="8650"/>
        <n v="8705"/>
        <n v="8833"/>
        <n v="9027"/>
        <n v="9050"/>
        <n v="9075"/>
        <n v="9100"/>
        <n v="9150"/>
        <n v="9163"/>
        <n v="9206"/>
        <n v="9300"/>
        <n v="9320"/>
        <n v="9500"/>
        <n v="9558"/>
        <n v="9600"/>
        <n v="9968"/>
        <n v="10040"/>
        <n v="10140"/>
        <n v="10200"/>
        <n v="10300"/>
        <n v="10350"/>
        <n v="10400"/>
        <n v="10800"/>
        <n v="10851"/>
        <n v="10938"/>
        <n v="11000"/>
        <n v="11288"/>
        <n v="11300"/>
        <n v="11426"/>
        <n v="11500"/>
        <n v="11557"/>
        <n v="11588"/>
        <n v="11590"/>
        <n v="11700"/>
        <n v="11710"/>
        <n v="11840"/>
        <n v="11900"/>
        <n v="12150"/>
        <n v="12200"/>
        <n v="12230"/>
        <n v="12254"/>
        <n v="12300"/>
        <n v="12305"/>
        <n v="12442"/>
        <n v="12470"/>
        <n v="12600"/>
        <n v="12700"/>
        <n v="12762"/>
        <n v="12873"/>
        <n v="12900"/>
        <n v="13000"/>
        <n v="13200"/>
        <n v="13300"/>
        <n v="13347"/>
        <n v="13390"/>
        <n v="13450"/>
        <n v="13563"/>
        <n v="13628"/>
        <n v="13630"/>
        <n v="13700"/>
        <n v="13750"/>
        <n v="13860"/>
        <n v="13900"/>
        <n v="13948"/>
        <n v="14000"/>
        <n v="14200"/>
        <n v="14250"/>
        <n v="14270"/>
        <n v="14300"/>
        <n v="14400"/>
        <n v="14408"/>
        <n v="14432"/>
        <n v="14452"/>
        <n v="14600"/>
        <n v="15089"/>
        <n v="15100"/>
        <n v="15184"/>
        <n v="15285"/>
        <n v="15300"/>
        <n v="15422"/>
        <n v="15500"/>
        <n v="15850"/>
        <n v="15874"/>
        <n v="16090"/>
        <n v="16171"/>
        <n v="16188"/>
        <n v="16200"/>
        <n v="16270"/>
        <n v="16305"/>
        <n v="16329"/>
        <n v="16530"/>
        <n v="16741"/>
        <n v="16748"/>
        <n v="16925"/>
        <n v="16992"/>
        <n v="17212"/>
        <n v="17412"/>
        <n v="17547"/>
        <n v="17700"/>
        <n v="17945"/>
        <n v="18036"/>
        <n v="18065"/>
        <n v="18229"/>
        <n v="19400"/>
        <n v="20800"/>
        <n v="22365"/>
      </sharedItems>
    </cacheField>
    <cacheField name="Total Good Pc's" numFmtId="0">
      <sharedItems containsSemiMixedTypes="0" containsString="0" containsNumber="1" containsInteger="1" minValue="5" maxValue="22125" count="577">
        <n v="5"/>
        <n v="7"/>
        <n v="10"/>
        <n v="51"/>
        <n v="57"/>
        <n v="60"/>
        <n v="137"/>
        <n v="196"/>
        <n v="222"/>
        <n v="255"/>
        <n v="259"/>
        <n v="275"/>
        <n v="324"/>
        <n v="385"/>
        <n v="396"/>
        <n v="410"/>
        <n v="420"/>
        <n v="437"/>
        <n v="453"/>
        <n v="457"/>
        <n v="467"/>
        <n v="488"/>
        <n v="500"/>
        <n v="524"/>
        <n v="540"/>
        <n v="542"/>
        <n v="550"/>
        <n v="592"/>
        <n v="595"/>
        <n v="599"/>
        <n v="600"/>
        <n v="630"/>
        <n v="642"/>
        <n v="648"/>
        <n v="670"/>
        <n v="700"/>
        <n v="720"/>
        <n v="750"/>
        <n v="756"/>
        <n v="770"/>
        <n v="790"/>
        <n v="800"/>
        <n v="802"/>
        <n v="808"/>
        <n v="830"/>
        <n v="836"/>
        <n v="840"/>
        <n v="850"/>
        <n v="854"/>
        <n v="864"/>
        <n v="900"/>
        <n v="902"/>
        <n v="911"/>
        <n v="917"/>
        <n v="960"/>
        <n v="972"/>
        <n v="973"/>
        <n v="990"/>
        <n v="993"/>
        <n v="997"/>
        <n v="1000"/>
        <n v="1020"/>
        <n v="1032"/>
        <n v="1038"/>
        <n v="1040"/>
        <n v="1063"/>
        <n v="1080"/>
        <n v="1100"/>
        <n v="1104"/>
        <n v="1116"/>
        <n v="1130"/>
        <n v="1137"/>
        <n v="1156"/>
        <n v="1165"/>
        <n v="1171"/>
        <n v="1175"/>
        <n v="1188"/>
        <n v="1198"/>
        <n v="1200"/>
        <n v="1220"/>
        <n v="1230"/>
        <n v="1237"/>
        <n v="1246"/>
        <n v="1250"/>
        <n v="1260"/>
        <n v="1290"/>
        <n v="1296"/>
        <n v="1300"/>
        <n v="1310"/>
        <n v="1320"/>
        <n v="1350"/>
        <n v="1370"/>
        <n v="1382"/>
        <n v="1390"/>
        <n v="1402"/>
        <n v="1404"/>
        <n v="1420"/>
        <n v="1439"/>
        <n v="1440"/>
        <n v="1450"/>
        <n v="1460"/>
        <n v="1477"/>
        <n v="1484"/>
        <n v="1500"/>
        <n v="1512"/>
        <n v="1545"/>
        <n v="1550"/>
        <n v="1554"/>
        <n v="1560"/>
        <n v="1565"/>
        <n v="1566"/>
        <n v="1570"/>
        <n v="1580"/>
        <n v="1600"/>
        <n v="1609"/>
        <n v="1620"/>
        <n v="1626"/>
        <n v="1640"/>
        <n v="1654"/>
        <n v="1656"/>
        <n v="1680"/>
        <n v="1698"/>
        <n v="1700"/>
        <n v="1728"/>
        <n v="1750"/>
        <n v="1755"/>
        <n v="1786"/>
        <n v="1800"/>
        <n v="1836"/>
        <n v="1838"/>
        <n v="1840"/>
        <n v="1849"/>
        <n v="1860"/>
        <n v="1877"/>
        <n v="1900"/>
        <n v="1920"/>
        <n v="1944"/>
        <n v="1950"/>
        <n v="1970"/>
        <n v="1980"/>
        <n v="1983"/>
        <n v="1986"/>
        <n v="1989"/>
        <n v="2000"/>
        <n v="2040"/>
        <n v="2050"/>
        <n v="2052"/>
        <n v="2102"/>
        <n v="2160"/>
        <n v="2217"/>
        <n v="2220"/>
        <n v="2248"/>
        <n v="2249"/>
        <n v="2250"/>
        <n v="2280"/>
        <n v="2290"/>
        <n v="2300"/>
        <n v="2320"/>
        <n v="2330"/>
        <n v="2340"/>
        <n v="2350"/>
        <n v="2376"/>
        <n v="2382"/>
        <n v="2384"/>
        <n v="2400"/>
        <n v="2436"/>
        <n v="2440"/>
        <n v="2455"/>
        <n v="2475"/>
        <n v="2484"/>
        <n v="2496"/>
        <n v="2500"/>
        <n v="2510"/>
        <n v="2520"/>
        <n v="2523"/>
        <n v="2580"/>
        <n v="2592"/>
        <n v="2600"/>
        <n v="2615"/>
        <n v="2630"/>
        <n v="2640"/>
        <n v="2670"/>
        <n v="2698"/>
        <n v="2700"/>
        <n v="2730"/>
        <n v="2732"/>
        <n v="2739"/>
        <n v="2760"/>
        <n v="2800"/>
        <n v="2808"/>
        <n v="2825"/>
        <n v="2827"/>
        <n v="2830"/>
        <n v="2880"/>
        <n v="2885"/>
        <n v="2910"/>
        <n v="2916"/>
        <n v="2950"/>
        <n v="2982"/>
        <n v="2992"/>
        <n v="3000"/>
        <n v="3021"/>
        <n v="3024"/>
        <n v="3040"/>
        <n v="3050"/>
        <n v="3060"/>
        <n v="3120"/>
        <n v="3132"/>
        <n v="3180"/>
        <n v="3200"/>
        <n v="3210"/>
        <n v="3215"/>
        <n v="3235"/>
        <n v="3240"/>
        <n v="3246"/>
        <n v="3250"/>
        <n v="3300"/>
        <n v="3304"/>
        <n v="3334"/>
        <n v="3348"/>
        <n v="3350"/>
        <n v="3356"/>
        <n v="3360"/>
        <n v="3365"/>
        <n v="3375"/>
        <n v="3390"/>
        <n v="3400"/>
        <n v="3405"/>
        <n v="3408"/>
        <n v="3410"/>
        <n v="3445"/>
        <n v="3470"/>
        <n v="3480"/>
        <n v="3500"/>
        <n v="3510"/>
        <n v="3556"/>
        <n v="3564"/>
        <n v="3580"/>
        <n v="3588"/>
        <n v="3590"/>
        <n v="3600"/>
        <n v="3626"/>
        <n v="3639"/>
        <n v="3643"/>
        <n v="3650"/>
        <n v="3675"/>
        <n v="3699"/>
        <n v="3700"/>
        <n v="3750"/>
        <n v="3752"/>
        <n v="3769"/>
        <n v="3780"/>
        <n v="3788"/>
        <n v="3800"/>
        <n v="3840"/>
        <n v="3888"/>
        <n v="3895"/>
        <n v="3900"/>
        <n v="3910"/>
        <n v="3920"/>
        <n v="3942"/>
        <n v="3950"/>
        <n v="3960"/>
        <n v="3984"/>
        <n v="3996"/>
        <n v="3997"/>
        <n v="4000"/>
        <n v="4025"/>
        <n v="4040"/>
        <n v="4050"/>
        <n v="4100"/>
        <n v="4104"/>
        <n v="4140"/>
        <n v="4144"/>
        <n v="4170"/>
        <n v="4200"/>
        <n v="4202"/>
        <n v="4210"/>
        <n v="4220"/>
        <n v="4250"/>
        <n v="4273"/>
        <n v="4299"/>
        <n v="4300"/>
        <n v="4310"/>
        <n v="4312"/>
        <n v="4320"/>
        <n v="4330"/>
        <n v="4392"/>
        <n v="4400"/>
        <n v="4405"/>
        <n v="4410"/>
        <n v="4428"/>
        <n v="4500"/>
        <n v="4536"/>
        <n v="4562"/>
        <n v="4575"/>
        <n v="4600"/>
        <n v="4620"/>
        <n v="4626"/>
        <n v="4630"/>
        <n v="4644"/>
        <n v="4698"/>
        <n v="4700"/>
        <n v="4709"/>
        <n v="4730"/>
        <n v="4750"/>
        <n v="4752"/>
        <n v="4760"/>
        <n v="4762"/>
        <n v="4770"/>
        <n v="4772"/>
        <n v="4775"/>
        <n v="4800"/>
        <n v="4814"/>
        <n v="4820"/>
        <n v="4840"/>
        <n v="4850"/>
        <n v="4860"/>
        <n v="4888"/>
        <n v="4890"/>
        <n v="4900"/>
        <n v="4915"/>
        <n v="4924"/>
        <n v="4936"/>
        <n v="4950"/>
        <n v="4952"/>
        <n v="4968"/>
        <n v="5000"/>
        <n v="5012"/>
        <n v="5013"/>
        <n v="5019"/>
        <n v="5040"/>
        <n v="5050"/>
        <n v="5070"/>
        <n v="5100"/>
        <n v="5175"/>
        <n v="5179"/>
        <n v="5180"/>
        <n v="5181"/>
        <n v="5184"/>
        <n v="5190"/>
        <n v="5200"/>
        <n v="5227"/>
        <n v="5268"/>
        <n v="5288"/>
        <n v="5292"/>
        <n v="5300"/>
        <n v="5310"/>
        <n v="5350"/>
        <n v="5400"/>
        <n v="5484"/>
        <n v="5500"/>
        <n v="5508"/>
        <n v="5569"/>
        <n v="5580"/>
        <n v="5588"/>
        <n v="5600"/>
        <n v="5630"/>
        <n v="5683"/>
        <n v="5700"/>
        <n v="5724"/>
        <n v="5750"/>
        <n v="5762"/>
        <n v="5800"/>
        <n v="5840"/>
        <n v="5880"/>
        <n v="5899"/>
        <n v="5900"/>
        <n v="5924"/>
        <n v="5934"/>
        <n v="5940"/>
        <n v="6000"/>
        <n v="6060"/>
        <n v="6065"/>
        <n v="6075"/>
        <n v="6090"/>
        <n v="6095"/>
        <n v="6100"/>
        <n v="6116"/>
        <n v="6185"/>
        <n v="6200"/>
        <n v="6220"/>
        <n v="6225"/>
        <n v="6275"/>
        <n v="6297"/>
        <n v="6299"/>
        <n v="6300"/>
        <n v="6322"/>
        <n v="6340"/>
        <n v="6350"/>
        <n v="6377"/>
        <n v="6392"/>
        <n v="6400"/>
        <n v="6401"/>
        <n v="6470"/>
        <n v="6480"/>
        <n v="6496"/>
        <n v="6500"/>
        <n v="6588"/>
        <n v="6592"/>
        <n v="6600"/>
        <n v="6629"/>
        <n v="6643"/>
        <n v="6650"/>
        <n v="6700"/>
        <n v="6710"/>
        <n v="6730"/>
        <n v="6750"/>
        <n v="6792"/>
        <n v="6800"/>
        <n v="6820"/>
        <n v="6840"/>
        <n v="6850"/>
        <n v="6865"/>
        <n v="6900"/>
        <n v="6949"/>
        <n v="6950"/>
        <n v="6967"/>
        <n v="6970"/>
        <n v="6994"/>
        <n v="6998"/>
        <n v="7000"/>
        <n v="7040"/>
        <n v="7050"/>
        <n v="7070"/>
        <n v="7100"/>
        <n v="7120"/>
        <n v="7150"/>
        <n v="7170"/>
        <n v="7200"/>
        <n v="7222"/>
        <n v="7230"/>
        <n v="7262"/>
        <n v="7276"/>
        <n v="7288"/>
        <n v="7298"/>
        <n v="7300"/>
        <n v="7320"/>
        <n v="7350"/>
        <n v="7370"/>
        <n v="7392"/>
        <n v="7400"/>
        <n v="7500"/>
        <n v="7570"/>
        <n v="7600"/>
        <n v="7668"/>
        <n v="7700"/>
        <n v="7838"/>
        <n v="7900"/>
        <n v="7905"/>
        <n v="7978"/>
        <n v="8004"/>
        <n v="8139"/>
        <n v="8174"/>
        <n v="8181"/>
        <n v="8200"/>
        <n v="8270"/>
        <n v="8276"/>
        <n v="8309"/>
        <n v="8612"/>
        <n v="8650"/>
        <n v="8701"/>
        <n v="8782"/>
        <n v="8970"/>
        <n v="8994"/>
        <n v="9047"/>
        <n v="9086"/>
        <n v="9100"/>
        <n v="9131"/>
        <n v="9163"/>
        <n v="9188"/>
        <n v="9206"/>
        <n v="9263"/>
        <n v="9300"/>
        <n v="9500"/>
        <n v="9558"/>
        <n v="9600"/>
        <n v="9958"/>
        <n v="9977"/>
        <n v="10091"/>
        <n v="10200"/>
        <n v="10300"/>
        <n v="10330"/>
        <n v="10400"/>
        <n v="10756"/>
        <n v="10807"/>
        <n v="10849"/>
        <n v="11000"/>
        <n v="11254"/>
        <n v="11300"/>
        <n v="11344"/>
        <n v="11423"/>
        <n v="11500"/>
        <n v="11507"/>
        <n v="11580"/>
        <n v="11650"/>
        <n v="11651"/>
        <n v="11670"/>
        <n v="11867"/>
        <n v="12028"/>
        <n v="12081"/>
        <n v="12188"/>
        <n v="12216"/>
        <n v="12239"/>
        <n v="12244"/>
        <n v="12254"/>
        <n v="12440"/>
        <n v="12444"/>
        <n v="12543"/>
        <n v="12633"/>
        <n v="12669"/>
        <n v="12694"/>
        <n v="12700"/>
        <n v="12752"/>
        <n v="12856"/>
        <n v="12861"/>
        <n v="12953"/>
        <n v="13116"/>
        <n v="13243"/>
        <n v="13270"/>
        <n v="13323"/>
        <n v="13390"/>
        <n v="13551"/>
        <n v="13552"/>
        <n v="13624"/>
        <n v="13628"/>
        <n v="13690"/>
        <n v="13741"/>
        <n v="13791"/>
        <n v="13816"/>
        <n v="13817"/>
        <n v="13893"/>
        <n v="13918"/>
        <n v="13925"/>
        <n v="14000"/>
        <n v="14102"/>
        <n v="14223"/>
        <n v="14228"/>
        <n v="14230"/>
        <n v="14247"/>
        <n v="14364"/>
        <n v="14390"/>
        <n v="14396"/>
        <n v="14451"/>
        <n v="14530"/>
        <n v="14937"/>
        <n v="14960"/>
        <n v="15182"/>
        <n v="15183"/>
        <n v="15244"/>
        <n v="15251"/>
        <n v="15411"/>
        <n v="15747"/>
        <n v="15836"/>
        <n v="16038"/>
        <n v="16171"/>
        <n v="16180"/>
        <n v="16186"/>
        <n v="16269"/>
        <n v="16287"/>
        <n v="16325"/>
        <n v="16516"/>
        <n v="16740"/>
        <n v="16741"/>
        <n v="16890"/>
        <n v="16982"/>
        <n v="17198"/>
        <n v="17390"/>
        <n v="17545"/>
        <n v="17640"/>
        <n v="17935"/>
        <n v="18026"/>
        <n v="18065"/>
        <n v="18229"/>
        <n v="19200"/>
        <n v="20691"/>
        <n v="22125"/>
      </sharedItems>
    </cacheField>
    <cacheField name="Purge Material (in KG)" numFmtId="0">
      <sharedItems containsMixedTypes="1" containsNumber="1" minValue="0" maxValue="64.88" count="84">
        <n v="0"/>
        <n v="0.09"/>
        <n v="0.1"/>
        <n v="0.11"/>
        <n v="0.12"/>
        <n v="0.124"/>
        <n v="0.147"/>
        <n v="0.15"/>
        <n v="0.157"/>
        <n v="0.18"/>
        <n v="0.185"/>
        <n v="0.19"/>
        <n v="0.2"/>
        <n v="0.21"/>
        <n v="0.22"/>
        <n v="0.23"/>
        <n v="0.24"/>
        <n v="0.25"/>
        <n v="0.26"/>
        <n v="0.28"/>
        <n v="0.282"/>
        <n v="0.3"/>
        <n v="0.32"/>
        <n v="0.35"/>
        <n v="0.36"/>
        <n v="0.37"/>
        <n v="0.38"/>
        <n v="0.39"/>
        <n v="0.4"/>
        <n v="0.43"/>
        <n v="0.448"/>
        <n v="0.45"/>
        <n v="0.48"/>
        <n v="0.5"/>
        <n v="0.524"/>
        <n v="0.58"/>
        <n v="0.6"/>
        <n v="0.615"/>
        <n v="0.62"/>
        <n v="0.63"/>
        <n v="0.681"/>
        <n v="0.7"/>
        <n v="0.8"/>
        <n v="0.84"/>
        <n v="0.85"/>
        <n v="0.9"/>
        <n v="0.915"/>
        <n v="0.92"/>
        <n v="0.928"/>
        <n v="1"/>
        <n v="1.1"/>
        <n v="1.12"/>
        <n v="1.147"/>
        <n v="1.2"/>
        <n v="1.3"/>
        <n v="1.4"/>
        <n v="1.5"/>
        <n v="1.56"/>
        <n v="1.6"/>
        <n v="1.8"/>
        <n v="1.85"/>
        <n v="2.1"/>
        <n v="2.2"/>
        <n v="2.3"/>
        <n v="3.2"/>
        <n v="4"/>
        <n v="4.267"/>
        <n v="4.567"/>
        <n v="5.25"/>
        <n v="5.4"/>
        <n v="5.9"/>
        <n v="5.91"/>
        <n v="6.1"/>
        <n v="6.38"/>
        <n v="6.997"/>
        <n v="7"/>
        <n v="7.263"/>
        <n v="8.8"/>
        <n v="9.95"/>
        <n v="10.2"/>
        <n v="15.69"/>
        <n v="64.88"/>
        <s v="O"/>
        <e v="#NAME?"/>
      </sharedItems>
    </cacheField>
    <cacheField name="Setup Qty" numFmtId="0">
      <sharedItems containsSemiMixedTypes="0" containsString="0" containsNumber="1" containsInteger="1" minValue="0" maxValue="2137" count="116">
        <n v="0"/>
        <n v="2"/>
        <n v="4"/>
        <n v="5"/>
        <n v="8"/>
        <n v="10"/>
        <n v="12"/>
        <n v="14"/>
        <n v="15"/>
        <n v="16"/>
        <n v="18"/>
        <n v="19"/>
        <n v="20"/>
        <n v="21"/>
        <n v="22"/>
        <n v="23"/>
        <n v="24"/>
        <n v="25"/>
        <n v="26"/>
        <n v="27"/>
        <n v="28"/>
        <n v="29"/>
        <n v="30"/>
        <n v="32"/>
        <n v="33"/>
        <n v="34"/>
        <n v="35"/>
        <n v="36"/>
        <n v="37"/>
        <n v="38"/>
        <n v="40"/>
        <n v="41"/>
        <n v="42"/>
        <n v="43"/>
        <n v="44"/>
        <n v="45"/>
        <n v="46"/>
        <n v="47"/>
        <n v="48"/>
        <n v="49"/>
        <n v="50"/>
        <n v="51"/>
        <n v="52"/>
        <n v="53"/>
        <n v="54"/>
        <n v="55"/>
        <n v="56"/>
        <n v="57"/>
        <n v="58"/>
        <n v="60"/>
        <n v="62"/>
        <n v="63"/>
        <n v="64"/>
        <n v="65"/>
        <n v="66"/>
        <n v="67"/>
        <n v="68"/>
        <n v="69"/>
        <n v="70"/>
        <n v="71"/>
        <n v="72"/>
        <n v="73"/>
        <n v="74"/>
        <n v="75"/>
        <n v="76"/>
        <n v="77"/>
        <n v="78"/>
        <n v="79"/>
        <n v="80"/>
        <n v="82"/>
        <n v="86"/>
        <n v="90"/>
        <n v="91"/>
        <n v="92"/>
        <n v="94"/>
        <n v="95"/>
        <n v="100"/>
        <n v="101"/>
        <n v="102"/>
        <n v="105"/>
        <n v="107"/>
        <n v="110"/>
        <n v="111"/>
        <n v="114"/>
        <n v="115"/>
        <n v="118"/>
        <n v="120"/>
        <n v="127"/>
        <n v="128"/>
        <n v="142"/>
        <n v="150"/>
        <n v="155"/>
        <n v="160"/>
        <n v="167"/>
        <n v="171"/>
        <n v="173"/>
        <n v="188"/>
        <n v="200"/>
        <n v="220"/>
        <n v="230"/>
        <n v="241"/>
        <n v="255"/>
        <n v="265"/>
        <n v="280"/>
        <n v="282"/>
        <n v="292"/>
        <n v="300"/>
        <n v="308"/>
        <n v="325"/>
        <n v="400"/>
        <n v="403"/>
        <n v="465"/>
        <n v="600"/>
        <n v="630"/>
        <n v="700"/>
        <n v="2137"/>
      </sharedItems>
    </cacheField>
    <cacheField name="Rework Qty" numFmtId="0">
      <sharedItems containsString="0" containsBlank="1" containsNumber="1" containsInteger="1" minValue="0" maxValue="232" count="59">
        <n v="0"/>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6"/>
        <n v="58"/>
        <n v="61"/>
        <n v="72"/>
        <n v="92"/>
        <n v="232"/>
        <m/>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29">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7"/>
        <n v="88"/>
        <n v="90"/>
        <n v="91"/>
        <n v="92"/>
        <n v="93"/>
        <n v="94"/>
        <n v="95"/>
        <n v="98"/>
        <n v="100"/>
        <n v="101"/>
        <n v="103"/>
        <n v="104"/>
        <n v="106"/>
        <n v="108"/>
        <n v="109"/>
        <n v="110"/>
        <n v="112"/>
        <n v="119"/>
        <n v="120"/>
        <n v="122"/>
        <n v="131"/>
        <n v="135"/>
        <n v="137"/>
        <n v="140"/>
        <n v="142"/>
        <n v="144"/>
        <n v="148"/>
        <n v="150"/>
        <n v="152"/>
        <n v="153"/>
        <n v="159"/>
        <n v="170"/>
        <n v="175"/>
        <n v="183"/>
        <n v="184"/>
        <n v="186"/>
        <n v="200"/>
        <n v="207"/>
        <n v="240"/>
        <n v="244"/>
        <n v="317"/>
        <n v="658"/>
      </sharedItems>
    </cacheField>
    <cacheField name="QC Sample Qty." numFmtId="0">
      <sharedItems containsString="0" containsBlank="1" containsNumber="1" containsInteger="1" minValue="0" maxValue="33" count="13">
        <n v="0"/>
        <n v="4"/>
        <n v="6"/>
        <n v="8"/>
        <n v="12"/>
        <n v="16"/>
        <n v="18"/>
        <n v="24"/>
        <n v="28"/>
        <n v="30"/>
        <n v="32"/>
        <n v="33"/>
        <m/>
      </sharedItems>
    </cacheField>
    <cacheField name="Man Power" numFmtId="0">
      <sharedItems containsSemiMixedTypes="0" containsString="0" containsNumber="1" minValue="1" maxValue="6" count="6">
        <n v="1"/>
        <n v="2"/>
        <n v="4"/>
        <n v="4.5"/>
        <n v="5"/>
        <n v="6"/>
      </sharedItems>
    </cacheField>
    <cacheField name="P.P. Output " numFmtId="0">
      <sharedItems containsSemiMixedTypes="0" containsString="0" containsNumber="1" minValue="0.833333333333333" maxValue="18229" count="607">
        <n v="0.833333333333333"/>
        <n v="1"/>
        <n v="2"/>
        <n v="7"/>
        <n v="9.5"/>
        <n v="12"/>
        <n v="27.4"/>
        <n v="32.6666666666667"/>
        <n v="45.8333333333333"/>
        <n v="51"/>
        <n v="54"/>
        <n v="64.1666666666667"/>
        <n v="77.8333333333333"/>
        <n v="79.2"/>
        <n v="82"/>
        <n v="84"/>
        <n v="90"/>
        <n v="90.3333333333333"/>
        <n v="91.4"/>
        <n v="97.6"/>
        <n v="99.1666666666667"/>
        <n v="100"/>
        <n v="104.8"/>
        <n v="107"/>
        <n v="108.4"/>
        <n v="111.666666666667"/>
        <n v="119.8"/>
        <n v="120"/>
        <n v="128.333333333333"/>
        <n v="129.6"/>
        <n v="133.666666666667"/>
        <n v="151.833333333333"/>
        <n v="166.666666666667"/>
        <n v="167.2"/>
        <n v="177.166666666667"/>
        <n v="180.4"/>
        <n v="186"/>
        <n v="194.4"/>
        <n v="194.6"/>
        <n v="195.166666666667"/>
        <n v="204"/>
        <n v="206.4"/>
        <n v="207.6"/>
        <n v="207.666666666667"/>
        <n v="213.5"/>
        <n v="216"/>
        <n v="222"/>
        <n v="227.4"/>
        <n v="229.25"/>
        <n v="231.2"/>
        <n v="233.666666666667"/>
        <n v="235"/>
        <n v="244"/>
        <n v="247.333333333333"/>
        <n v="247.4"/>
        <n v="257.5"/>
        <n v="259"/>
        <n v="268.166666666667"/>
        <n v="275.666666666667"/>
        <n v="288"/>
        <n v="292.5"/>
        <n v="295.4"/>
        <n v="306"/>
        <n v="312"/>
        <n v="324"/>
        <n v="325.2"/>
        <n v="331"/>
        <n v="331.5"/>
        <n v="348"/>
        <n v="357.2"/>
        <n v="360"/>
        <n v="367.6"/>
        <n v="388.8"/>
        <n v="390"/>
        <n v="394"/>
        <n v="396"/>
        <n v="408"/>
        <n v="410.4"/>
        <n v="420"/>
        <n v="420.4"/>
        <n v="437"/>
        <n v="449.6"/>
        <n v="453"/>
        <n v="469.25"/>
        <n v="476.8"/>
        <n v="488"/>
        <n v="495"/>
        <n v="498.5"/>
        <n v="500"/>
        <n v="535"/>
        <n v="550"/>
        <n v="558"/>
        <n v="583.2"/>
        <n v="592"/>
        <n v="594"/>
        <n v="600"/>
        <n v="612"/>
        <n v="630"/>
        <n v="648"/>
        <n v="666"/>
        <n v="669.6"/>
        <n v="690.666666666667"/>
        <n v="700"/>
        <n v="712.166666666667"/>
        <n v="720"/>
        <n v="727.8"/>
        <n v="750"/>
        <n v="756"/>
        <n v="770"/>
        <n v="774"/>
        <n v="777.6"/>
        <n v="790"/>
        <n v="792"/>
        <n v="799.2"/>
        <n v="800"/>
        <n v="808"/>
        <n v="810"/>
        <n v="828"/>
        <n v="830"/>
        <n v="834"/>
        <n v="840"/>
        <n v="850"/>
        <n v="862.4"/>
        <n v="864"/>
        <n v="878"/>
        <n v="882"/>
        <n v="885.6"/>
        <n v="900"/>
        <n v="907.2"/>
        <n v="912"/>
        <n v="924"/>
        <n v="941.8"/>
        <n v="942.25"/>
        <n v="950.4"/>
        <n v="954"/>
        <n v="960"/>
        <n v="972"/>
        <n v="983"/>
        <n v="983.166666666667"/>
        <n v="990"/>
        <n v="991.5"/>
        <n v="993"/>
        <n v="993.6"/>
        <n v="997"/>
        <n v="1000"/>
        <n v="1008"/>
        <n v="1010"/>
        <n v="1019.33333333333"/>
        <n v="1032"/>
        <n v="1036.8"/>
        <n v="1040"/>
        <n v="1045.4"/>
        <n v="1050"/>
        <n v="1053.66666666667"/>
        <n v="1058.4"/>
        <n v="1080"/>
        <n v="1096.8"/>
        <n v="1100"/>
        <n v="1101.6"/>
        <n v="1104"/>
        <n v="1130"/>
        <n v="1144.8"/>
        <n v="1165"/>
        <n v="1176"/>
        <n v="1188"/>
        <n v="1191"/>
        <n v="1198"/>
        <n v="1200"/>
        <n v="1215"/>
        <n v="1220"/>
        <n v="1230"/>
        <n v="1250"/>
        <n v="1260"/>
        <n v="1280.2"/>
        <n v="1290"/>
        <n v="1296"/>
        <n v="1300"/>
        <n v="1310"/>
        <n v="1320"/>
        <n v="1350"/>
        <n v="1368"/>
        <n v="1370"/>
        <n v="1382"/>
        <n v="1390"/>
        <n v="1404"/>
        <n v="1420"/>
        <n v="1439"/>
        <n v="1440"/>
        <n v="1450"/>
        <n v="1460"/>
        <n v="1500"/>
        <n v="1510.5"/>
        <n v="1512"/>
        <n v="1550"/>
        <n v="1554"/>
        <n v="1560"/>
        <n v="1565"/>
        <n v="1570"/>
        <n v="1580"/>
        <n v="1600"/>
        <n v="1620"/>
        <n v="1640"/>
        <n v="1656"/>
        <n v="1680"/>
        <n v="1698"/>
        <n v="1700"/>
        <n v="1728"/>
        <n v="1735"/>
        <n v="1750"/>
        <n v="1778"/>
        <n v="1800"/>
        <n v="1836"/>
        <n v="1840"/>
        <n v="1849"/>
        <n v="1860"/>
        <n v="1876"/>
        <n v="1900"/>
        <n v="1920"/>
        <n v="1944"/>
        <n v="1971"/>
        <n v="1980"/>
        <n v="1983"/>
        <n v="2000"/>
        <n v="2040"/>
        <n v="2050"/>
        <n v="2052"/>
        <n v="2100"/>
        <n v="2160"/>
        <n v="2202.5"/>
        <n v="2217"/>
        <n v="2220"/>
        <n v="2249"/>
        <n v="2250"/>
        <n v="2280"/>
        <n v="2290"/>
        <n v="2300"/>
        <n v="2320"/>
        <n v="2330"/>
        <n v="2340"/>
        <n v="2350"/>
        <n v="2376"/>
        <n v="2386"/>
        <n v="2400"/>
        <n v="2407"/>
        <n v="2436"/>
        <n v="2440"/>
        <n v="2455"/>
        <n v="2475"/>
        <n v="2484"/>
        <n v="2496"/>
        <n v="2500"/>
        <n v="2510"/>
        <n v="2520"/>
        <n v="2523"/>
        <n v="2580"/>
        <n v="2589.5"/>
        <n v="2590"/>
        <n v="2590.5"/>
        <n v="2592"/>
        <n v="2595"/>
        <n v="2600"/>
        <n v="2615"/>
        <n v="2630"/>
        <n v="2640"/>
        <n v="2670"/>
        <n v="2698"/>
        <n v="2700"/>
        <n v="2730"/>
        <n v="2732"/>
        <n v="2739"/>
        <n v="2760"/>
        <n v="2800"/>
        <n v="2808"/>
        <n v="2825"/>
        <n v="2827"/>
        <n v="2830"/>
        <n v="2841.5"/>
        <n v="2880"/>
        <n v="2885"/>
        <n v="2910"/>
        <n v="2916"/>
        <n v="2950"/>
        <n v="2967"/>
        <n v="2982"/>
        <n v="2992"/>
        <n v="3000"/>
        <n v="3024"/>
        <n v="3040"/>
        <n v="3045"/>
        <n v="3050"/>
        <n v="3060"/>
        <n v="3120"/>
        <n v="3132"/>
        <n v="3180"/>
        <n v="3188.5"/>
        <n v="3200"/>
        <n v="3210"/>
        <n v="3215"/>
        <n v="3235"/>
        <n v="3240"/>
        <n v="3246"/>
        <n v="3250"/>
        <n v="3300"/>
        <n v="3304"/>
        <n v="3314.5"/>
        <n v="3334"/>
        <n v="3348"/>
        <n v="3350"/>
        <n v="3356"/>
        <n v="3360"/>
        <n v="3365"/>
        <n v="3375"/>
        <n v="3390"/>
        <n v="3400"/>
        <n v="3405"/>
        <n v="3408"/>
        <n v="3410"/>
        <n v="3445"/>
        <n v="3480"/>
        <n v="3500"/>
        <n v="3510"/>
        <n v="3580"/>
        <n v="3588"/>
        <n v="3590"/>
        <n v="3600"/>
        <n v="3626"/>
        <n v="3643"/>
        <n v="3650"/>
        <n v="3675"/>
        <n v="3699"/>
        <n v="3700"/>
        <n v="3750"/>
        <n v="3785"/>
        <n v="3788"/>
        <n v="3800"/>
        <n v="3834"/>
        <n v="3840"/>
        <n v="3895"/>
        <n v="3900"/>
        <n v="3910"/>
        <n v="3919"/>
        <n v="3920"/>
        <n v="3950"/>
        <n v="3952.5"/>
        <n v="3984"/>
        <n v="3989"/>
        <n v="3997"/>
        <n v="4000"/>
        <n v="4002"/>
        <n v="4025"/>
        <n v="4040"/>
        <n v="4050"/>
        <n v="4069.5"/>
        <n v="4087"/>
        <n v="4100"/>
        <n v="4135"/>
        <n v="4138"/>
        <n v="4154.5"/>
        <n v="4170"/>
        <n v="4200"/>
        <n v="4202"/>
        <n v="4210"/>
        <n v="4220"/>
        <n v="4250"/>
        <n v="4299"/>
        <n v="4300"/>
        <n v="4310"/>
        <n v="4320"/>
        <n v="4325"/>
        <n v="4330"/>
        <n v="4392"/>
        <n v="4400"/>
        <n v="4410"/>
        <n v="4500"/>
        <n v="4523.5"/>
        <n v="4562"/>
        <n v="4575"/>
        <n v="4581.5"/>
        <n v="4600"/>
        <n v="4603"/>
        <n v="4626"/>
        <n v="4630"/>
        <n v="4698"/>
        <n v="4700"/>
        <n v="4730"/>
        <n v="4750"/>
        <n v="4760"/>
        <n v="4762"/>
        <n v="4775"/>
        <n v="4779"/>
        <n v="4800"/>
        <n v="4820"/>
        <n v="4840"/>
        <n v="4850"/>
        <n v="4888"/>
        <n v="4890"/>
        <n v="4900"/>
        <n v="4924"/>
        <n v="4936"/>
        <n v="4950"/>
        <n v="4952"/>
        <n v="4979"/>
        <n v="4988.5"/>
        <n v="5000"/>
        <n v="5012"/>
        <n v="5013"/>
        <n v="5019"/>
        <n v="5050"/>
        <n v="5070"/>
        <n v="5100"/>
        <n v="5165"/>
        <n v="5175"/>
        <n v="5200"/>
        <n v="5288"/>
        <n v="5300"/>
        <n v="5310"/>
        <n v="5350"/>
        <n v="5400"/>
        <n v="5424.5"/>
        <n v="5500"/>
        <n v="5569"/>
        <n v="5580"/>
        <n v="5588"/>
        <n v="5600"/>
        <n v="5630"/>
        <n v="5672"/>
        <n v="5700"/>
        <n v="5711.5"/>
        <n v="5750"/>
        <n v="5753.5"/>
        <n v="5762"/>
        <n v="5790"/>
        <n v="5800"/>
        <n v="5825.5"/>
        <n v="5835"/>
        <n v="5840"/>
        <n v="5900"/>
        <n v="5924"/>
        <n v="5934"/>
        <n v="6000"/>
        <n v="6040.5"/>
        <n v="6065"/>
        <n v="6075"/>
        <n v="6094"/>
        <n v="6095"/>
        <n v="6119.5"/>
        <n v="6185"/>
        <n v="6200"/>
        <n v="6220"/>
        <n v="6222"/>
        <n v="6225"/>
        <n v="6271.5"/>
        <n v="6275"/>
        <n v="6297"/>
        <n v="6299"/>
        <n v="6300"/>
        <n v="6340"/>
        <n v="6347"/>
        <n v="6350"/>
        <n v="6376"/>
        <n v="6392"/>
        <n v="6400"/>
        <n v="6430.5"/>
        <n v="6470"/>
        <n v="6476.5"/>
        <n v="6496"/>
        <n v="6500"/>
        <n v="6558"/>
        <n v="6588"/>
        <n v="6592"/>
        <n v="6600"/>
        <n v="6643"/>
        <n v="6650"/>
        <n v="6695"/>
        <n v="6700"/>
        <n v="6710"/>
        <n v="6730"/>
        <n v="6750"/>
        <n v="6776"/>
        <n v="6792"/>
        <n v="6800"/>
        <n v="6812"/>
        <n v="6820"/>
        <n v="6850"/>
        <n v="6865"/>
        <n v="6870.5"/>
        <n v="6895.5"/>
        <n v="6900"/>
        <n v="6908"/>
        <n v="6908.5"/>
        <n v="6946.5"/>
        <n v="6949"/>
        <n v="6950"/>
        <n v="6959"/>
        <n v="6962.5"/>
        <n v="6967"/>
        <n v="6970"/>
        <n v="6994"/>
        <n v="6998"/>
        <n v="7000"/>
        <n v="7040"/>
        <n v="7050"/>
        <n v="7070"/>
        <n v="7100"/>
        <n v="7114"/>
        <n v="7120"/>
        <n v="7123.5"/>
        <n v="7150"/>
        <n v="7170"/>
        <n v="7182"/>
        <n v="7195"/>
        <n v="7198"/>
        <n v="7200"/>
        <n v="7222"/>
        <n v="7225.5"/>
        <n v="7230"/>
        <n v="7262"/>
        <n v="7265"/>
        <n v="7276"/>
        <n v="7288"/>
        <n v="7298"/>
        <n v="7300"/>
        <n v="7320"/>
        <n v="7350"/>
        <n v="7370"/>
        <n v="7392"/>
        <n v="7400"/>
        <n v="7468.5"/>
        <n v="7500"/>
        <n v="7591"/>
        <n v="7591.5"/>
        <n v="7600"/>
        <n v="7622"/>
        <n v="7625.5"/>
        <n v="7700"/>
        <n v="7705.5"/>
        <n v="7873.5"/>
        <n v="7900"/>
        <n v="7918"/>
        <n v="8019"/>
        <n v="8085.5"/>
        <n v="8090"/>
        <n v="8093"/>
        <n v="8134.5"/>
        <n v="8143.5"/>
        <n v="8162.5"/>
        <n v="8181"/>
        <n v="8200"/>
        <n v="8258"/>
        <n v="8370"/>
        <n v="8370.5"/>
        <n v="8445"/>
        <n v="8491"/>
        <n v="8599"/>
        <n v="8612"/>
        <n v="8695"/>
        <n v="8701"/>
        <n v="8782"/>
        <n v="8820"/>
        <n v="8967.5"/>
        <n v="8970"/>
        <n v="8994"/>
        <n v="9013"/>
        <n v="9032.5"/>
        <n v="9086"/>
        <n v="9100"/>
        <n v="9131"/>
        <n v="9188"/>
        <n v="9263"/>
        <n v="9300"/>
        <n v="9500"/>
        <n v="9600"/>
        <n v="10091"/>
        <n v="10200"/>
        <n v="10300"/>
        <n v="10345.5"/>
        <n v="10400"/>
        <n v="10756"/>
        <n v="10807"/>
        <n v="11000"/>
        <n v="11062.5"/>
        <n v="11254"/>
        <n v="11300"/>
        <n v="11500"/>
        <n v="11650"/>
        <n v="11867"/>
        <n v="12028"/>
        <n v="12216"/>
        <n v="12244"/>
        <n v="12254"/>
        <n v="12633"/>
        <n v="12669"/>
        <n v="12700"/>
        <n v="12856"/>
        <n v="13243"/>
        <n v="13270"/>
        <n v="13323"/>
        <n v="13551"/>
        <n v="13628"/>
        <n v="13690"/>
        <n v="14000"/>
        <n v="14102"/>
        <n v="14223"/>
        <n v="14230"/>
        <n v="14960"/>
        <n v="17545"/>
        <n v="18229"/>
      </sharedItems>
    </cacheField>
    <cacheField name="Plan vs Actual Achievement" numFmtId="0">
      <sharedItems containsSemiMixedTypes="0" containsString="0" containsNumber="1" minValue="0.0333333333333333" maxValue="3.4" count="777">
        <n v="0.0333333333333333"/>
        <n v="0.166666666666667"/>
        <n v="0.185714285714286"/>
        <n v="0.187142857142857"/>
        <n v="0.21"/>
        <n v="0.228333333333333"/>
        <n v="0.237209302325581"/>
        <n v="0.25894538606403"/>
        <n v="0.265625"/>
        <n v="0.265893159294174"/>
        <n v="0.27693159789532"/>
        <n v="0.27972027972028"/>
        <n v="0.285714285714286"/>
        <n v="0.293706293706294"/>
        <n v="0.302941176470588"/>
        <n v="0.305859375"/>
        <n v="0.335664335664336"/>
        <n v="0.33785654943229"/>
        <n v="0.34965034965035"/>
        <n v="0.372960372960373"/>
        <n v="0.373333333333333"/>
        <n v="0.374667633550882"/>
        <n v="0.377622377622378"/>
        <n v="0.384008307372793"/>
        <n v="0.394285714285714"/>
        <n v="0.39460020768432"/>
        <n v="0.401790790221717"/>
        <n v="0.404399323181049"/>
        <n v="0.40809968847352"/>
        <n v="0.412156862745098"/>
        <n v="0.415282392026578"/>
        <n v="0.415368639667705"/>
        <n v="0.418"/>
        <n v="0.41958041958042"/>
        <n v="0.423529411764706"/>
        <n v="0.425752855659398"/>
        <n v="0.426378624218306"/>
        <n v="0.428571428571429"/>
        <n v="0.43375"/>
        <n v="0.4405"/>
        <n v="0.45480386583286"/>
        <n v="0.457142857142857"/>
        <n v="0.461059190031153"/>
        <n v="0.465882352941176"/>
        <n v="0.474630443467839"/>
        <n v="0.476116303219107"/>
        <n v="0.478846153846154"/>
        <n v="0.482352941176471"/>
        <n v="0.486111111111111"/>
        <n v="0.487142857142857"/>
        <n v="0.48951048951049"/>
        <n v="0.493333333333333"/>
        <n v="0.497642857142857"/>
        <n v="0.5"/>
        <n v="0.512820512820513"/>
        <n v="0.515796260477112"/>
        <n v="0.528428571428572"/>
        <n v="0.539979231568017"/>
        <n v="0.54"/>
        <n v="0.542857142857143"/>
        <n v="0.546209761163032"/>
        <n v="0.546370967741936"/>
        <n v="0.559440559440559"/>
        <n v="0.560747663551402"/>
        <n v="0.560926887734718"/>
        <n v="0.5625"/>
        <n v="0.563210055595842"/>
        <n v="0.566978193146417"/>
        <n v="0.568421052631579"/>
        <n v="0.568504832291074"/>
        <n v="0.571428571428571"/>
        <n v="0.573529411764706"/>
        <n v="0.575428571428571"/>
        <n v="0.576"/>
        <n v="0.581516095534787"/>
        <n v="0.584357142857143"/>
        <n v="0.585714285714286"/>
        <n v="0.5865625"/>
        <n v="0.587412587412587"/>
        <n v="0.590368608799049"/>
        <n v="0.590625"/>
        <n v="0.592300098716683"/>
        <n v="0.592666287663445"/>
        <n v="0.592941176470588"/>
        <n v="0.5935"/>
        <n v="0.597214326321774"/>
        <n v="0.598259608411893"/>
        <n v="0.6"/>
        <n v="0.601428571428571"/>
        <n v="0.604075109868158"/>
        <n v="0.604361370716511"/>
        <n v="0.606060606060606"/>
        <n v="0.607142857142857"/>
        <n v="0.609411764705882"/>
        <n v="0.614142857142857"/>
        <n v="0.614285714285714"/>
        <n v="0.615862068965517"/>
        <n v="0.623052959501558"/>
        <n v="0.6242183058556"/>
        <n v="0.624879459980714"/>
        <n v="0.625"/>
        <n v="0.626808100289296"/>
        <n v="0.628571428571429"/>
        <n v="0.629019607843137"/>
        <n v="0.629370629370629"/>
        <n v="0.63"/>
        <n v="0.6328125"/>
        <n v="0.633333333333333"/>
        <n v="0.63515625"/>
        <n v="0.641269841269841"/>
        <n v="0.641666666666667"/>
        <n v="0.646122275686385"/>
        <n v="0.647223332001598"/>
        <n v="0.652777777777778"/>
        <n v="0.656470588235294"/>
        <n v="0.657142857142857"/>
        <n v="0.658333333333333"/>
        <n v="0.66"/>
        <n v="0.660857142857143"/>
        <n v="0.661176470588235"/>
        <n v="0.662387676508344"/>
        <n v="0.664589823468328"/>
        <n v="0.664635834948768"/>
        <n v="0.666666666666667"/>
        <n v="0.6671875"/>
        <n v="0.671142857142857"/>
        <n v="0.671194566520176"/>
        <n v="0.672514257376643"/>
        <n v="0.674974039460021"/>
        <n v="0.675"/>
        <n v="0.68"/>
        <n v="0.680285714285714"/>
        <n v="0.681097906055461"/>
        <n v="0.682142857142857"/>
        <n v="0.682861977278221"/>
        <n v="0.685185185185185"/>
        <n v="0.685358255451713"/>
        <n v="0.685714285714286"/>
        <n v="0.689303904923599"/>
        <n v="0.6923289947383"/>
        <n v="0.69609375"/>
        <n v="0.698571428571429"/>
        <n v="0.698823529411765"/>
        <n v="0.7"/>
        <n v="0.703428571428571"/>
        <n v="0.705142857142857"/>
        <n v="0.706126687435099"/>
        <n v="0.707533926064577"/>
        <n v="0.71"/>
        <n v="0.710631040363843"/>
        <n v="0.7125124750499"/>
        <n v="0.713302752293578"/>
        <n v="0.713529411764706"/>
        <n v="0.713800664921836"/>
        <n v="0.714285714285714"/>
        <n v="0.716142857142857"/>
        <n v="0.72"/>
        <n v="0.722424242424242"/>
        <n v="0.726895119418484"/>
        <n v="0.729530366363413"/>
        <n v="0.731210526315789"/>
        <n v="0.731974921630094"/>
        <n v="0.734125438254772"/>
        <n v="0.739056281978397"/>
        <n v="0.739285714285714"/>
        <n v="0.740142857142857"/>
        <n v="0.741176470588235"/>
        <n v="0.74121817595875"/>
        <n v="0.741839762611276"/>
        <n v="0.742857142857143"/>
        <n v="0.745920745920746"/>
        <n v="0.747663551401869"/>
        <n v="0.747692307692308"/>
        <n v="0.747715314317364"/>
        <n v="0.748631578947368"/>
        <n v="0.75"/>
        <n v="0.755368421052632"/>
        <n v="0.757142857142857"/>
        <n v="0.757692307692308"/>
        <n v="0.758571428571429"/>
        <n v="0.759166666666667"/>
        <n v="0.759375"/>
        <n v="0.761666666666667"/>
        <n v="0.762352941176471"/>
        <n v="0.7625"/>
        <n v="0.764447902666761"/>
        <n v="0.768285714285714"/>
        <n v="0.768431983385254"/>
        <n v="0.769230769230769"/>
        <n v="0.769278337765135"/>
        <n v="0.772984579348038"/>
        <n v="0.773507372492144"/>
        <n v="0.775408474106896"/>
        <n v="0.783450993268757"/>
        <n v="0.783529411764706"/>
        <n v="0.784137931034483"/>
        <n v="0.784626540971719"/>
        <n v="0.785714285714286"/>
        <n v="0.786026200873362"/>
        <n v="0.78920041536864"/>
        <n v="0.792096902303415"/>
        <n v="0.792540792540793"/>
        <n v="0.794201250710631"/>
        <n v="0.795571428571429"/>
        <n v="0.796551724137931"/>
        <n v="0.797202797202797"/>
        <n v="0.797679477882524"/>
        <n v="0.79895652173913"/>
        <n v="0.8"/>
        <n v="0.8015625"/>
        <n v="0.8025"/>
        <n v="0.802707930367505"/>
        <n v="0.803214285714286"/>
        <n v="0.804285714285714"/>
        <n v="0.804705882352941"/>
        <n v="0.808290155440414"/>
        <n v="0.810119386014781"/>
        <n v="0.815808556925308"/>
        <n v="0.816326530612245"/>
        <n v="0.817647058823529"/>
        <n v="0.820555555555556"/>
        <n v="0.821210621804387"/>
        <n v="0.821428571428571"/>
        <n v="0.821851583272903"/>
        <n v="0.822050290135397"/>
        <n v="0.823142857142857"/>
        <n v="0.823785351704133"/>
        <n v="0.824440984998585"/>
        <n v="0.824444444444444"/>
        <n v="0.825333333333333"/>
        <n v="0.83073727933541"/>
        <n v="0.83079479368596"/>
        <n v="0.832142857142857"/>
        <n v="0.832729030698574"/>
        <n v="0.832842105263158"/>
        <n v="0.833571428571429"/>
        <n v="0.835327387426582"/>
        <n v="0.837931034482759"/>
        <n v="0.838439213157046"/>
        <n v="0.838509316770186"/>
        <n v="0.838736842105263"/>
        <n v="0.839044652128764"/>
        <n v="0.839160839160839"/>
        <n v="0.83989092325672"/>
        <n v="0.841121495327103"/>
        <n v="0.841449162446435"/>
        <n v="0.842495825861109"/>
        <n v="0.842857142857143"/>
        <n v="0.846285714285714"/>
        <n v="0.846386110586903"/>
        <n v="0.846632710809281"/>
        <n v="0.847058823529412"/>
        <n v="0.848440899202321"/>
        <n v="0.85"/>
        <n v="0.852757248436612"/>
        <n v="0.857142857142857"/>
        <n v="0.858605821056414"/>
        <n v="0.859047619047619"/>
        <n v="0.861373572133691"/>
        <n v="0.862928571428571"/>
        <n v="0.862964442668797"/>
        <n v="0.86299534621351"/>
        <n v="0.866043613707165"/>
        <n v="0.866259238203525"/>
        <n v="0.867857142857143"/>
        <n v="0.868235294117647"/>
        <n v="0.868965517241379"/>
        <n v="0.870195794053662"/>
        <n v="0.870571428571428"/>
        <n v="0.871428571428571"/>
        <n v="0.871875"/>
        <n v="0.872274143302181"/>
        <n v="0.874285714285714"/>
        <n v="0.874350986500519"/>
        <n v="0.874571428571429"/>
        <n v="0.874613003095975"/>
        <n v="0.877777777777778"/>
        <n v="0.879050596930074"/>
        <n v="0.87962962962963"/>
        <n v="0.881182490051165"/>
        <n v="0.884309266628766"/>
        <n v="0.885714285714286"/>
        <n v="0.886181113265024"/>
        <n v="0.8868"/>
        <n v="0.888571428571428"/>
        <n v="0.888888888888889"/>
        <n v="0.889152341434499"/>
        <n v="0.889411764705882"/>
        <n v="0.889748549323017"/>
        <n v="0.892015869080089"/>
        <n v="0.893042575285566"/>
        <n v="0.893636757157875"/>
        <n v="0.893893340701851"/>
        <n v="0.895119418483904"/>
        <n v="0.895395110858442"/>
        <n v="0.895771428571429"/>
        <n v="0.895928571428571"/>
        <n v="0.896476082649306"/>
        <n v="0.897330595482546"/>
        <n v="0.898245117463912"/>
        <n v="0.899273104880582"/>
        <n v="0.899571428571429"/>
        <n v="0.899857142857143"/>
        <n v="0.9"/>
        <n v="0.902357142857143"/>
        <n v="0.902857142857143"/>
        <n v="0.903846153846154"/>
        <n v="0.905714285714286"/>
        <n v="0.906"/>
        <n v="0.906196702671973"/>
        <n v="0.906453952139231"/>
        <n v="0.906501198702581"/>
        <n v="0.906922395035861"/>
        <n v="0.90703125"/>
        <n v="0.907142857142857"/>
        <n v="0.909090909090909"/>
        <n v="0.909607731665719"/>
        <n v="0.910588235294118"/>
        <n v="0.911602209944751"/>
        <n v="0.913340854604428"/>
        <n v="0.913811007268951"/>
        <n v="0.914285714285714"/>
        <n v="0.915639352187575"/>
        <n v="0.916666666666667"/>
        <n v="0.918540004834421"/>
        <n v="0.918888888888889"/>
        <n v="0.9197265625"/>
        <n v="0.919970082273747"/>
        <n v="0.92"/>
        <n v="0.923076923076923"/>
        <n v="0.923251847640705"/>
        <n v="0.924285714285714"/>
        <n v="0.924834296996192"/>
        <n v="0.925"/>
        <n v="0.925714285714286"/>
        <n v="0.927720852949321"/>
        <n v="0.927855133107279"/>
        <n v="0.928291408036589"/>
        <n v="0.928421052631579"/>
        <n v="0.928571428571429"/>
        <n v="0.929100116867939"/>
        <n v="0.93"/>
        <n v="0.930101465614431"/>
        <n v="0.930677470177808"/>
        <n v="0.931616832779623"/>
        <n v="0.93167701863354"/>
        <n v="0.931764705882353"/>
        <n v="0.934579439252336"/>
        <n v="0.934615384615385"/>
        <n v="0.935607465084662"/>
        <n v="0.935608145294441"/>
        <n v="0.936"/>
        <n v="0.9363274587834"/>
        <n v="0.93676168918441"/>
        <n v="0.9375"/>
        <n v="0.937889077532541"/>
        <n v="0.938032973280273"/>
        <n v="0.938871473354232"/>
        <n v="0.941110835606248"/>
        <n v="0.941503504955282"/>
        <n v="0.941714285714286"/>
        <n v="0.941818181818182"/>
        <n v="0.942857142857143"/>
        <n v="0.943333333333333"/>
        <n v="0.943907156673114"/>
        <n v="0.944444444444444"/>
        <n v="0.944954128440367"/>
        <n v="0.945079453582381"/>
        <n v="0.945333333333333"/>
        <n v="0.947455867082035"/>
        <n v="0.947857142857143"/>
        <n v="0.947976878612717"/>
        <n v="0.949"/>
        <n v="0.949260886935677"/>
        <n v="0.95"/>
        <n v="0.951642857142857"/>
        <n v="0.951724137931035"/>
        <n v="0.95224559408755"/>
        <n v="0.952380952380952"/>
        <n v="0.952941176470588"/>
        <n v="0.953353762342526"/>
        <n v="0.953666856168277"/>
        <n v="0.955306223654847"/>
        <n v="0.955347871235722"/>
        <n v="0.956392467789891"/>
        <n v="0.956428571428571"/>
        <n v="0.956586826347305"/>
        <n v="0.957142857142857"/>
        <n v="0.957446808510638"/>
        <n v="0.958466453674121"/>
        <n v="0.958571428571429"/>
        <n v="0.96"/>
        <n v="0.961428571428571"/>
        <n v="0.961666666666667"/>
        <n v="0.961782541249471"/>
        <n v="0.96224"/>
        <n v="0.9625"/>
        <n v="0.963333333333333"/>
        <n v="0.963725490196078"/>
        <n v="0.964"/>
        <n v="0.964285714285714"/>
        <n v="0.964320154291225"/>
        <n v="0.965321205230244"/>
        <n v="0.96688421561518"/>
        <n v="0.967117988394584"/>
        <n v="0.967666536813401"/>
        <n v="0.96969696969697"/>
        <n v="0.970285714285714"/>
        <n v="0.970873786407767"/>
        <n v="0.971428571428571"/>
        <n v="0.972"/>
        <n v="0.973"/>
        <n v="0.973333333333333"/>
        <n v="0.973428571428571"/>
        <n v="0.974117647058823"/>
        <n v="0.974192638555916"/>
        <n v="0.975"/>
        <n v="0.975609756097561"/>
        <n v="0.976"/>
        <n v="0.976116303219107"/>
        <n v="0.977857142857143"/>
        <n v="0.978571428571429"/>
        <n v="0.979020979020979"/>
        <n v="0.98"/>
        <n v="0.980670835702103"/>
        <n v="0.980714285714286"/>
        <n v="0.9815"/>
        <n v="0.98187843745593"/>
        <n v="0.982318271119843"/>
        <n v="0.982346832814122"/>
        <n v="0.982857142857143"/>
        <n v="0.983384615384615"/>
        <n v="0.984167736414206"/>
        <n v="0.985415845486795"/>
        <n v="0.9855"/>
        <n v="0.985714285714286"/>
        <n v="0.9865005192108"/>
        <n v="0.986928571428571"/>
        <n v="0.987142857142857"/>
        <n v="0.987166831194472"/>
        <n v="0.987777146105742"/>
        <n v="0.988172043010753"/>
        <n v="0.988235294117647"/>
        <n v="0.989330746847721"/>
        <n v="0.99"/>
        <n v="0.990204081632653"/>
        <n v="0.990476190476191"/>
        <n v="0.99105632100556"/>
        <n v="0.992714285714286"/>
        <n v="0.993"/>
        <n v="0.993052109181141"/>
        <n v="0.994"/>
        <n v="0.994030699260944"/>
        <n v="0.994142857142857"/>
        <n v="0.994184436444198"/>
        <n v="0.994599204093235"/>
        <n v="0.99488345650938"/>
        <n v="0.995040297582145"/>
        <n v="0.995714285714286"/>
        <n v="0.995794161306284"/>
        <n v="0.996884735202492"/>
        <n v="0.996953752423151"/>
        <n v="0.997"/>
        <n v="0.997333333333333"/>
        <n v="0.998333333333333"/>
        <n v="0.999333333333333"/>
        <n v="1"/>
        <n v="1.00103842159917"/>
        <n v="1.0019267822736"/>
        <n v="1.00241755516985"/>
        <n v="1.00266468364628"/>
        <n v="1.00324354815964"/>
        <n v="1.00334738408133"/>
        <n v="1.00519210799585"/>
        <n v="1.00541176470588"/>
        <n v="1.005625"/>
        <n v="1.00571428571429"/>
        <n v="1.00588235294118"/>
        <n v="1.00606023127821"/>
        <n v="1.00608332743864"/>
        <n v="1.00679184978026"/>
        <n v="1.00699300699301"/>
        <n v="1.00714285714286"/>
        <n v="1.0072380952381"/>
        <n v="1.00726895119418"/>
        <n v="1.00728571428571"/>
        <n v="1.00902643455835"/>
        <n v="1.00909607731666"/>
        <n v="1.0096082320853"/>
        <n v="1.01"/>
        <n v="1.01052631578947"/>
        <n v="1.01055583044697"/>
        <n v="1.01106050748211"/>
        <n v="1.01196379866105"/>
        <n v="1.0125"/>
        <n v="1.01333333333333"/>
        <n v="1.01379310344828"/>
        <n v="1.01387755102041"/>
        <n v="1.01388888888889"/>
        <n v="1.01428571428571"/>
        <n v="1.01516095534787"/>
        <n v="1.01522842639594"/>
        <n v="1.0156862745098"/>
        <n v="1.01587301587302"/>
        <n v="1.01641664307954"/>
        <n v="1.01642857142857"/>
        <n v="1.01647058823529"/>
        <n v="1.01714285714286"/>
        <n v="1.017375"/>
        <n v="1.01765316718588"/>
        <n v="1.01811320754717"/>
        <n v="1.02006284747402"/>
        <n v="1.02083333333333"/>
        <n v="1.02142857142857"/>
        <n v="1.02147039687703"/>
        <n v="1.02175"/>
        <n v="1.02285714285714"/>
        <n v="1.02330869812393"/>
        <n v="1.02348639771953"/>
        <n v="1.02425742574257"/>
        <n v="1.02428571428571"/>
        <n v="1.02462620932278"/>
        <n v="1.02464691221268"/>
        <n v="1.02490196078431"/>
        <n v="1.02514506769826"/>
        <n v="1.02564102564103"/>
        <n v="1.02643547470154"/>
        <n v="1.02666666666667"/>
        <n v="1.02727272727273"/>
        <n v="1.02803738317757"/>
        <n v="1.02816303424851"/>
        <n v="1.02857142857143"/>
        <n v="1.03026400515132"/>
        <n v="1.03076923076923"/>
        <n v="1.03083333333333"/>
        <n v="1.03117263110511"/>
        <n v="1.03159252095422"/>
        <n v="1.03212052302445"/>
        <n v="1.03285714285714"/>
        <n v="1.03294117647059"/>
        <n v="1.03333333333333"/>
        <n v="1.03448275862069"/>
        <n v="1.03518644487045"/>
        <n v="1.03524828396512"/>
        <n v="1.03555733120256"/>
        <n v="1.03609410248147"/>
        <n v="1.03723706651507"/>
        <n v="1.03752131893121"/>
        <n v="1.03764705882353"/>
        <n v="1.038"/>
        <n v="1.03833333333333"/>
        <n v="1.03842159916926"/>
        <n v="1.0386373078521"/>
        <n v="1.03914097679252"/>
        <n v="1.03940053178632"/>
        <n v="1.03942857142857"/>
        <n v="1.03959575878065"/>
        <n v="1.04036384309267"/>
        <n v="1.04085714285714"/>
        <n v="1.04091381100727"/>
        <n v="1.04114285714286"/>
        <n v="1.04285714285714"/>
        <n v="1.04423495286439"/>
        <n v="1.04651162790698"/>
        <n v="1.0469873543268"/>
        <n v="1.04895104895105"/>
        <n v="1.05"/>
        <n v="1.05172413793103"/>
        <n v="1.05173393973849"/>
        <n v="1.05209656925032"/>
        <n v="1.05236413211873"/>
        <n v="1.05285714285714"/>
        <n v="1.05295950155763"/>
        <n v="1.05323649696799"/>
        <n v="1.05374077976818"/>
        <n v="1.05406988092914"/>
        <n v="1.05448275862069"/>
        <n v="1.05485827104781"/>
        <n v="1.05555555555556"/>
        <n v="1.056"/>
        <n v="1.05714285714286"/>
        <n v="1.05882352941176"/>
        <n v="1.05919003115265"/>
        <n v="1.06138306138306"/>
        <n v="1.0625"/>
        <n v="1.063"/>
        <n v="1.0635726371767"/>
        <n v="1.06410256410256"/>
        <n v="1.06454545454545"/>
        <n v="1.06511927788524"/>
        <n v="1.06541129831516"/>
        <n v="1.06547368421053"/>
        <n v="1.0660798413092"/>
        <n v="1.06666666666667"/>
        <n v="1.06723585912487"/>
        <n v="1.07142857142857"/>
        <n v="1.072"/>
        <n v="1.07240267790727"/>
        <n v="1.07271557271557"/>
        <n v="1.075"/>
        <n v="1.07529411764706"/>
        <n v="1.07537723875335"/>
        <n v="1.07798165137615"/>
        <n v="1.078705553336"/>
        <n v="1.07995846313603"/>
        <n v="1.08"/>
        <n v="1.08003323179175"/>
        <n v="1.08108108108108"/>
        <n v="1.08275328692962"/>
        <n v="1.0828025477707"/>
        <n v="1.08333333333333"/>
        <n v="1.084"/>
        <n v="1.08557186374965"/>
        <n v="1.08571428571429"/>
        <n v="1.08758988346144"/>
        <n v="1.08774474256708"/>
        <n v="1.089"/>
        <n v="1.09014209591474"/>
        <n v="1.09090909090909"/>
        <n v="1.09391124871001"/>
        <n v="1.09411764705882"/>
        <n v="1.09980753368161"/>
        <n v="1.1"/>
        <n v="1.10072689511942"/>
        <n v="1.10362068965517"/>
        <n v="1.10526315789474"/>
        <n v="1.10772639158128"/>
        <n v="1.1089588377724"/>
        <n v="1.10926464478604"/>
        <n v="1.11027777777778"/>
        <n v="1.11035114934424"/>
        <n v="1.11111111111111"/>
        <n v="1.11176543515993"/>
        <n v="1.11191684795746"/>
        <n v="1.11471152062334"/>
        <n v="1.11662670991398"/>
        <n v="1.11801242236025"/>
        <n v="1.11844331641286"/>
        <n v="1.11849390919158"/>
        <n v="1.11888111888112"/>
        <n v="1.11916847957457"/>
        <n v="1.11982395239276"/>
        <n v="1.12"/>
        <n v="1.1214953271028"/>
        <n v="1.12185377546944"/>
        <n v="1.1219512195122"/>
        <n v="1.12235294117647"/>
        <n v="1.12478031634446"/>
        <n v="1.12579591836735"/>
        <n v="1.12857142857143"/>
        <n v="1.12925"/>
        <n v="1.12928571428571"/>
        <n v="1.12999008182494"/>
        <n v="1.13012592831773"/>
        <n v="1.13087011704978"/>
        <n v="1.13157894736842"/>
        <n v="1.13286713286713"/>
        <n v="1.13314285714286"/>
        <n v="1.13333333333333"/>
        <n v="1.13608895334784"/>
        <n v="1.1375146084924"/>
        <n v="1.13765642775882"/>
        <n v="1.14"/>
        <n v="1.14121772394007"/>
        <n v="1.141333994545"/>
        <n v="1.14226375908619"/>
        <n v="1.14285714285714"/>
        <n v="1.1496138996139"/>
        <n v="1.15076923076923"/>
        <n v="1.15384615384615"/>
        <n v="1.15428571428571"/>
        <n v="1.15449915110357"/>
        <n v="1.15666666666667"/>
        <n v="1.15830115830116"/>
        <n v="1.16009280742459"/>
        <n v="1.16016757976152"/>
        <n v="1.16026105873822"/>
        <n v="1.1605415860735"/>
        <n v="1.16303219106957"/>
        <n v="1.16311271116034"/>
        <n v="1.16470588235294"/>
        <n v="1.16500199760288"/>
        <n v="1.16550116550117"/>
        <n v="1.16571428571429"/>
        <n v="1.16666666666667"/>
        <n v="1.16833333333333"/>
        <n v="1.16986429574169"/>
        <n v="1.17142857142857"/>
        <n v="1.17482517482517"/>
        <n v="1.1759984144287"/>
        <n v="1.17692307692308"/>
        <n v="1.17931034482759"/>
        <n v="1.18055555555556"/>
        <n v="1.18380062305296"/>
        <n v="1.1844331641286"/>
        <n v="1.18461538461538"/>
        <n v="1.18667186282151"/>
        <n v="1.18823529411765"/>
        <n v="1.18881118881119"/>
        <n v="1.1954096270322"/>
        <n v="1.19856172592889"/>
        <n v="1.2"/>
        <n v="1.20456905503634"/>
        <n v="1.20860526951898"/>
        <n v="1.21212121212121"/>
        <n v="1.21428571428571"/>
        <n v="1.21678321678322"/>
        <n v="1.21725612125923"/>
        <n v="1.21844660194175"/>
        <n v="1.21972443799855"/>
        <n v="1.22"/>
        <n v="1.22916666666667"/>
        <n v="1.23256140350877"/>
        <n v="1.23277737490935"/>
        <n v="1.23529411764706"/>
        <n v="1.23960784313725"/>
        <n v="1.24137931034483"/>
        <n v="1.24610591900312"/>
        <n v="1.24674358020097"/>
        <n v="1.24708624708625"/>
        <n v="1.25"/>
        <n v="1.25694948029973"/>
        <n v="1.25835866261398"/>
        <n v="1.25874125874126"/>
        <n v="1.26345343940103"/>
        <n v="1.27058823529412"/>
        <n v="1.27290260366442"/>
        <n v="1.27659574468085"/>
        <n v="1.28112158569011"/>
        <n v="1.2847850678733"/>
        <n v="1.29242857142857"/>
        <n v="1.29334849346219"/>
        <n v="1.2944466640032"/>
        <n v="1.3006993006993"/>
        <n v="1.3038073038073"/>
        <n v="1.30529369108049"/>
        <n v="1.30536130536131"/>
        <n v="1.30630376533634"/>
        <n v="1.30872727272727"/>
        <n v="1.31926121372032"/>
        <n v="1.32239382239382"/>
        <n v="1.32284382284382"/>
        <n v="1.32857142857143"/>
        <n v="1.32946579647087"/>
        <n v="1.33759488613664"/>
        <n v="1.34429400386847"/>
        <n v="1.3501989766913"/>
        <n v="1.35198135198135"/>
        <n v="1.35211267605634"/>
        <n v="1.35363790186125"/>
        <n v="1.3989063376332"/>
        <n v="1.40232108317215"/>
        <n v="1.40905602455871"/>
        <n v="1.44"/>
        <n v="1.45016666666667"/>
        <n v="1.45032632342277"/>
        <n v="1.45067698259188"/>
        <n v="1.45714285714286"/>
        <n v="1.46389994314952"/>
        <n v="1.46954813359529"/>
        <n v="1.46987951807229"/>
        <n v="1.47142857142857"/>
        <n v="1.47406989853439"/>
        <n v="1.47571428571429"/>
        <n v="1.49588631264024"/>
        <n v="1.50577777777778"/>
        <n v="1.56007615286984"/>
        <n v="1.58081308874566"/>
        <n v="1.583"/>
        <n v="1.71008737092931"/>
        <n v="1.73"/>
        <n v="1.74825174825175"/>
        <n v="1.83752417794971"/>
        <n v="1.84964285714286"/>
        <n v="1.875"/>
        <n v="2.13675213675214"/>
        <n v="3.4"/>
      </sharedItems>
    </cacheField>
    <cacheField name="Material Type Consumed" numFmtId="0">
      <sharedItems count="46">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2"/>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5.9935" count="710">
        <n v="0"/>
        <n v="3.2485"/>
        <n v="3.65"/>
        <n v="4.015"/>
        <n v="5.168"/>
        <n v="5.236"/>
        <n v="5.475"/>
        <n v="6.04"/>
        <n v="6.205"/>
        <n v="7.0176"/>
        <n v="7.227"/>
        <n v="7.3"/>
        <n v="7.3365"/>
        <n v="7.3584"/>
        <n v="7.3876"/>
        <n v="7.4304"/>
        <n v="7.592"/>
        <n v="8.249"/>
        <n v="8.352"/>
        <n v="8.4252"/>
        <n v="8.4728"/>
        <n v="8.5045"/>
        <n v="8.76"/>
        <n v="8.908"/>
        <n v="8.979"/>
        <n v="9.2637"/>
        <n v="9.417"/>
        <n v="9.5776"/>
        <n v="9.6798"/>
        <n v="9.855"/>
        <n v="10.001"/>
        <n v="10.366"/>
        <n v="10.5672"/>
        <n v="10.5996"/>
        <n v="10.6657"/>
        <n v="10.92"/>
        <n v="10.95"/>
        <n v="11.0595"/>
        <n v="11.2288"/>
        <n v="11.3442"/>
        <n v="11.4245"/>
        <n v="11.4756"/>
        <n v="11.68"/>
        <n v="11.7094"/>
        <n v="11.7384"/>
        <n v="11.7676"/>
        <n v="12.0304"/>
        <n v="12.41"/>
        <n v="12.7364"/>
        <n v="12.9064"/>
        <n v="13.14"/>
        <n v="13.3704"/>
        <n v="13.376"/>
        <n v="13.4418"/>
        <n v="13.578"/>
        <n v="13.9138"/>
        <n v="13.9378"/>
        <n v="14.0233"/>
        <n v="14.484"/>
        <n v="14.6"/>
        <n v="14.6584"/>
        <n v="15"/>
        <n v="15.1844"/>
        <n v="15.437"/>
        <n v="15.5438"/>
        <n v="16.26"/>
        <n v="16.79"/>
        <n v="16.8776"/>
        <n v="16.9484"/>
        <n v="17.0236"/>
        <n v="17.217"/>
        <n v="17.4192"/>
        <n v="17.4575"/>
        <n v="17.812"/>
        <n v="18.1288"/>
        <n v="18.156"/>
        <n v="18.3303"/>
        <n v="18.3376"/>
        <n v="18.923"/>
        <n v="18.9824"/>
        <n v="19.0092"/>
        <n v="19.0676"/>
        <n v="19.1062"/>
        <n v="19.2204"/>
        <n v="19.272"/>
        <n v="19.3324"/>
        <n v="19.6224"/>
        <n v="19.7684"/>
        <n v="19.972"/>
        <n v="20.1285"/>
        <n v="20.223"/>
        <n v="20.3184"/>
        <n v="20.468"/>
        <n v="20.4984"/>
        <n v="20.5276"/>
        <n v="20.5628"/>
        <n v="20.6572"/>
        <n v="20.7536"/>
        <n v="20.7584"/>
        <n v="20.808"/>
        <n v="20.90564"/>
        <n v="21.024"/>
        <n v="21.1189"/>
        <n v="21.2926"/>
        <n v="21.3588"/>
        <n v="21.371"/>
        <n v="21.416"/>
        <n v="21.42"/>
        <n v="21.488"/>
        <n v="21.8956"/>
        <n v="21.9"/>
        <n v="21.9292"/>
        <n v="21.9584"/>
        <n v="21.9876"/>
        <n v="22.1482"/>
        <n v="22.9568"/>
        <n v="23.12"/>
        <n v="23.1404"/>
        <n v="23.214"/>
        <n v="23.3819"/>
        <n v="23.4184"/>
        <n v="23.46"/>
        <n v="23.5279"/>
        <n v="23.6972"/>
        <n v="23.8344"/>
        <n v="24.0875"/>
        <n v="24.1192"/>
        <n v="24.14"/>
        <n v="24.1484"/>
        <n v="24.2958"/>
        <n v="24.3304"/>
        <n v="24.3382"/>
        <n v="24.3744"/>
        <n v="24.378"/>
        <n v="24.4196"/>
        <n v="24.455"/>
        <n v="24.5324"/>
        <n v="24.6164"/>
        <n v="24.7044"/>
        <n v="24.82"/>
        <n v="24.8336"/>
        <n v="24.8346"/>
        <n v="25.02"/>
        <n v="25.0648"/>
        <n v="25.1222"/>
        <n v="25.16"/>
        <n v="25.1736"/>
        <n v="25.185"/>
        <n v="25.2144"/>
        <n v="25.5618"/>
        <n v="25.5865"/>
        <n v="25.636"/>
        <n v="25.798"/>
        <n v="25.8256"/>
        <n v="25.84"/>
        <n v="25.8606"/>
        <n v="25.9155"/>
        <n v="26.134"/>
        <n v="26.3384"/>
        <n v="26.3676"/>
        <n v="26.3968"/>
        <n v="26.5341"/>
        <n v="26.5964"/>
        <n v="26.645"/>
        <n v="26.9416"/>
        <n v="26.962"/>
        <n v="27.0164"/>
        <n v="27.132"/>
        <n v="27.1524"/>
        <n v="27.2068"/>
        <n v="27.375"/>
        <n v="27.3896"/>
        <n v="27.4312"/>
        <n v="27.4384"/>
        <n v="27.5468"/>
        <n v="27.608"/>
        <n v="27.642"/>
        <n v="27.71"/>
        <n v="27.7271"/>
        <n v="27.74"/>
        <n v="27.7984"/>
        <n v="27.812"/>
        <n v="27.846"/>
        <n v="27.88"/>
        <n v="27.8924"/>
        <n v="27.948"/>
        <n v="27.95"/>
        <n v="27.992"/>
        <n v="28.0765"/>
        <n v="28.084"/>
        <n v="28.118"/>
        <n v="28.1576"/>
        <n v="28.2132"/>
        <n v="28.4248"/>
        <n v="28.5138"/>
        <n v="28.552"/>
        <n v="28.628"/>
        <n v="28.6344"/>
        <n v="28.648"/>
        <n v="28.884"/>
        <n v="28.886"/>
        <n v="28.9272"/>
        <n v="29.197"/>
        <n v="29.2"/>
        <n v="29.2146"/>
        <n v="29.2292"/>
        <n v="29.24"/>
        <n v="29.2438"/>
        <n v="29.2584"/>
        <n v="29.273"/>
        <n v="29.2803"/>
        <n v="29.2876"/>
        <n v="29.2944"/>
        <n v="29.2949"/>
        <n v="29.3022"/>
        <n v="29.3095"/>
        <n v="29.435"/>
        <n v="29.4372"/>
        <n v="29.4409"/>
        <n v="29.488"/>
        <n v="29.512"/>
        <n v="29.5324"/>
        <n v="29.5641"/>
        <n v="29.58"/>
        <n v="29.5992"/>
        <n v="29.648"/>
        <n v="29.6656"/>
        <n v="29.7568"/>
        <n v="29.7764"/>
        <n v="29.8822"/>
        <n v="29.93"/>
        <n v="29.988"/>
        <n v="30.1532"/>
        <n v="30.218"/>
        <n v="30.256"/>
        <n v="30.5664"/>
        <n v="30.6536"/>
        <n v="30.7184"/>
        <n v="30.733"/>
        <n v="30.736"/>
        <n v="30.746105"/>
        <n v="30.7549"/>
        <n v="30.7839"/>
        <n v="30.806"/>
        <n v="30.807"/>
        <n v="30.9779"/>
        <n v="31.089"/>
        <n v="31.1644"/>
        <n v="31.1848"/>
        <n v="31.348"/>
        <n v="31.39"/>
        <n v="31.3941"/>
        <n v="31.4252"/>
        <n v="31.463"/>
        <n v="31.5068"/>
        <n v="31.536"/>
        <n v="31.634"/>
        <n v="31.6738"/>
        <n v="31.688"/>
        <n v="31.7152"/>
        <n v="31.9156"/>
        <n v="31.9736"/>
        <n v="32.0144"/>
        <n v="32.1492"/>
        <n v="32.2388"/>
        <n v="32.3904"/>
        <n v="32.6529"/>
        <n v="32.6994"/>
        <n v="32.7844"/>
        <n v="32.8792"/>
        <n v="32.8848"/>
        <n v="32.8865"/>
        <n v="32.9084"/>
        <n v="32.9668"/>
        <n v="33.09"/>
        <n v="33.116"/>
        <n v="33.138"/>
        <n v="33.32"/>
        <n v="33.3376"/>
        <n v="33.541"/>
        <n v="33.5682"/>
        <n v="33.628"/>
        <n v="33.653"/>
        <n v="33.66"/>
        <n v="33.706715"/>
        <n v="33.7484"/>
        <n v="33.796"/>
        <n v="33.8546"/>
        <n v="33.8676"/>
        <n v="33.8866"/>
        <n v="33.9976"/>
        <n v="34.068"/>
        <n v="34.13209"/>
        <n v="34.3128"/>
        <n v="34.442"/>
        <n v="34.476"/>
        <n v="34.5032"/>
        <n v="34.544"/>
        <n v="34.5548"/>
        <n v="34.578"/>
        <n v="34.5848"/>
        <n v="34.612"/>
        <n v="34.6188"/>
        <n v="34.646"/>
        <n v="34.6528"/>
        <n v="34.6664"/>
        <n v="34.6732"/>
        <n v="34.68"/>
        <n v="34.6868"/>
        <n v="34.7072"/>
        <n v="34.7344"/>
        <n v="34.7412"/>
        <n v="34.748"/>
        <n v="34.758"/>
        <n v="34.7616"/>
        <n v="34.7776"/>
        <n v="34.7784"/>
        <n v="34.816"/>
        <n v="34.8296"/>
        <n v="34.8364"/>
        <n v="34.8432"/>
        <n v="34.8568"/>
        <n v="34.8636"/>
        <n v="34.8704"/>
        <n v="34.884"/>
        <n v="34.9384"/>
        <n v="34.952"/>
        <n v="34.9988"/>
        <n v="35.0092"/>
        <n v="35.0336"/>
        <n v="35.04"/>
        <n v="35.0984"/>
        <n v="35.292"/>
        <n v="35.4008"/>
        <n v="35.4824"/>
        <n v="35.5176"/>
        <n v="35.6728"/>
        <n v="35.7992"/>
        <n v="35.843"/>
        <n v="35.9236"/>
        <n v="35.9524"/>
        <n v="35.9584"/>
        <n v="35.972"/>
        <n v="35.9948"/>
        <n v="36.0128"/>
        <n v="36.0264"/>
        <n v="36.0672"/>
        <n v="36.108"/>
        <n v="36.1896"/>
        <n v="36.2508"/>
        <n v="36.2916"/>
        <n v="36.292"/>
        <n v="36.3136"/>
        <n v="36.3704"/>
        <n v="36.378"/>
        <n v="36.4004"/>
        <n v="36.4344"/>
        <n v="36.448"/>
        <n v="36.482"/>
        <n v="36.4888"/>
        <n v="36.5024"/>
        <n v="36.516"/>
        <n v="36.5364"/>
        <n v="36.54796"/>
        <n v="36.55"/>
        <n v="36.5584"/>
        <n v="36.5636"/>
        <n v="36.5704"/>
        <n v="36.573"/>
        <n v="36.6044"/>
        <n v="36.6168"/>
        <n v="36.646"/>
        <n v="36.652"/>
        <n v="36.72"/>
        <n v="36.7268"/>
        <n v="36.7336"/>
        <n v="36.7472"/>
        <n v="36.7501"/>
        <n v="36.754"/>
        <n v="36.7608"/>
        <n v="36.7948"/>
        <n v="36.8084"/>
        <n v="36.8356"/>
        <n v="36.876"/>
        <n v="36.924"/>
        <n v="36.992"/>
        <n v="37.0292"/>
        <n v="37.094"/>
        <n v="37.1144"/>
        <n v="37.1484"/>
        <n v="37.162"/>
        <n v="37.196"/>
        <n v="37.2776"/>
        <n v="37.3048"/>
        <n v="37.3116"/>
        <n v="37.3184"/>
        <n v="37.332"/>
        <n v="37.4"/>
        <n v="37.41"/>
        <n v="37.4616"/>
        <n v="37.502"/>
        <n v="37.5088"/>
        <n v="37.5156"/>
        <n v="37.5224"/>
        <n v="37.57"/>
        <n v="37.6448"/>
        <n v="37.7196"/>
        <n v="37.74"/>
        <n v="37.7536"/>
        <n v="37.7876"/>
        <n v="37.8016"/>
        <n v="37.842"/>
        <n v="37.944"/>
        <n v="38.012"/>
        <n v="38.1152"/>
        <n v="38.1616"/>
        <n v="38.3112"/>
        <n v="38.3728"/>
        <n v="38.4132"/>
        <n v="38.4812"/>
        <n v="38.488"/>
        <n v="38.522"/>
        <n v="38.5326"/>
        <n v="38.5968"/>
        <n v="38.624"/>
        <n v="38.6648"/>
        <n v="38.719"/>
        <n v="38.7328"/>
        <n v="38.7396"/>
        <n v="38.7516"/>
        <n v="38.7942"/>
        <n v="38.8118"/>
        <n v="38.8376"/>
        <n v="38.896"/>
        <n v="38.9064"/>
        <n v="38.9304"/>
        <n v="39.032"/>
        <n v="39.0392"/>
        <n v="39.044"/>
        <n v="39.0864"/>
        <n v="39.1204"/>
        <n v="39.1748"/>
        <n v="39.3278"/>
        <n v="39.372"/>
        <n v="39.437"/>
        <n v="39.474"/>
        <n v="39.5466"/>
        <n v="39.6804"/>
        <n v="39.6976"/>
        <n v="39.89584"/>
        <n v="39.9976"/>
        <n v="40.1212"/>
        <n v="40.2294"/>
        <n v="40.4888"/>
        <n v="40.6318"/>
        <n v="40.692"/>
        <n v="40.764"/>
        <n v="40.8328"/>
        <n v="41.3488"/>
        <n v="41.366"/>
        <n v="41.3918"/>
        <n v="41.4176"/>
        <n v="41.4348"/>
        <n v="41.4434"/>
        <n v="41.4606"/>
        <n v="41.5348"/>
        <n v="41.5638"/>
        <n v="41.71"/>
        <n v="42.3264"/>
        <n v="43.0172"/>
        <n v="43.0344"/>
        <n v="43.0688"/>
        <n v="43.086"/>
        <n v="43.1032"/>
        <n v="43.1118"/>
        <n v="43.1376"/>
        <n v="43.143"/>
        <n v="43.1596"/>
        <n v="43.172"/>
        <n v="43.2494"/>
        <n v="43.317055"/>
        <n v="43.3268"/>
        <n v="43.344"/>
        <n v="43.3612"/>
        <n v="43.372"/>
        <n v="43.43"/>
        <n v="43.5042"/>
        <n v="43.7138"/>
        <n v="43.8056"/>
        <n v="44.0148"/>
        <n v="44.1696"/>
        <n v="44.7458"/>
        <n v="44.7544"/>
        <n v="44.7716"/>
        <n v="44.7888"/>
        <n v="44.8576"/>
        <n v="44.8748"/>
        <n v="45.24"/>
        <n v="45.6058"/>
        <n v="45.6212"/>
        <n v="45.6534"/>
        <n v="45.6832"/>
        <n v="45.709"/>
        <n v="45.7176"/>
        <n v="45.752"/>
        <n v="45.7606"/>
        <n v="45.7692"/>
        <n v="45.8024"/>
        <n v="46.2293"/>
        <n v="46.5518"/>
        <n v="46.6316"/>
        <n v="47.3421"/>
        <n v="47.386"/>
        <n v="47.4032"/>
        <n v="47.4118"/>
        <n v="47.4204"/>
        <n v="47.4462"/>
        <n v="47.472"/>
        <n v="47.4978"/>
        <n v="47.5236"/>
        <n v="47.6268"/>
        <n v="47.84"/>
        <n v="47.8746"/>
        <n v="47.925"/>
        <n v="48.0774"/>
        <n v="48.3234"/>
        <n v="48.4128"/>
        <n v="48.564"/>
        <n v="48.681"/>
        <n v="48.7949"/>
        <n v="48.8076"/>
        <n v="48.883"/>
        <n v="49.706"/>
        <n v="50.1417"/>
        <n v="50.1796"/>
        <n v="50.9153"/>
        <n v="51.9924"/>
        <n v="52.0359"/>
        <n v="52.4625"/>
        <n v="53.7996"/>
        <n v="55.6614"/>
        <n v="55.7504"/>
        <n v="55.9256"/>
        <n v="56.44824"/>
        <n v="56.712"/>
        <n v="56.8154"/>
        <n v="57.1433"/>
        <n v="57.583"/>
        <n v="57.9573"/>
        <n v="58.8602"/>
        <n v="59.101"/>
        <n v="59.12"/>
        <n v="59.1714"/>
        <n v="59.6344"/>
        <n v="59.8104"/>
        <n v="60.1092"/>
        <n v="60.5003"/>
        <n v="60.9884"/>
        <n v="61.06835"/>
        <n v="61.1736"/>
        <n v="61.5876"/>
        <n v="62.409"/>
        <n v="62.722"/>
        <n v="63.0563"/>
        <n v="63.261"/>
        <n v="63.2619"/>
        <n v="64.1968"/>
        <n v="64.4484"/>
        <n v="64.5637"/>
        <n v="64.644"/>
        <n v="64.721"/>
        <n v="65.0025"/>
        <n v="66.2939"/>
        <n v="66.3717"/>
        <n v="66.456"/>
        <n v="66.5495"/>
        <n v="66.7399"/>
        <n v="66.882"/>
        <n v="66.9033"/>
        <n v="67.1459"/>
        <n v="67.408"/>
        <n v="67.7736"/>
        <n v="67.7766"/>
        <n v="67.9475"/>
        <n v="67.9521"/>
        <n v="68.4582"/>
        <n v="68.493"/>
        <n v="68.66627"/>
        <n v="68.6859"/>
        <n v="69.6723"/>
        <n v="69.9527"/>
        <n v="70.064"/>
        <n v="70.2261"/>
        <n v="70.29"/>
        <n v="70.3752"/>
        <n v="70.5354"/>
        <n v="70.57"/>
        <n v="70.6704"/>
        <n v="70.8192"/>
        <n v="71.442"/>
        <n v="71.936"/>
        <n v="72.0366"/>
        <n v="72.207"/>
        <n v="72.6676"/>
        <n v="73.7448"/>
        <n v="73.7547"/>
        <n v="75.4766"/>
        <n v="77.7922"/>
        <n v="77.949"/>
        <n v="79.5607"/>
        <n v="81.092"/>
        <n v="81.6586"/>
        <n v="81.7148"/>
        <n v="81.8244"/>
        <n v="83.2341"/>
        <n v="83.8223"/>
        <n v="83.8694"/>
        <n v="83.9289"/>
        <n v="84.0256"/>
        <n v="84.5124"/>
        <n v="84.6372"/>
        <n v="84.944"/>
        <n v="85.3996"/>
        <n v="85.5678"/>
        <n v="87.0257"/>
        <n v="87.0918"/>
        <n v="87.1184"/>
        <n v="87.3042"/>
        <n v="87.5034"/>
        <n v="87.7377"/>
        <n v="87.9219"/>
        <n v="88.7225"/>
        <n v="89.1894"/>
        <n v="89.5827"/>
        <n v="89.7514"/>
        <n v="89.8553"/>
        <n v="89.95649"/>
        <n v="89.9762"/>
        <n v="90.0324"/>
        <n v="90.1368"/>
        <n v="90.521"/>
        <n v="90.7146"/>
        <n v="92.168"/>
        <n v="93.1234"/>
        <n v="93.9268"/>
        <n v="94.4703"/>
        <n v="94.604"/>
        <n v="95.336"/>
        <n v="96.102"/>
        <n v="96.4865"/>
        <n v="97.0383"/>
        <n v="97.4556"/>
        <n v="97.6926"/>
        <n v="97.7766"/>
        <n v="98.0729"/>
        <n v="98.1266"/>
        <n v="98.2938"/>
        <n v="98.6012"/>
        <n v="99.51"/>
        <n v="100.25443"/>
        <n v="100.4409"/>
        <n v="100.473"/>
        <n v="100.6656"/>
        <n v="100.9545"/>
        <n v="101.0782"/>
        <n v="101.1582"/>
        <n v="101.4434"/>
        <n v="101.6918"/>
        <n v="101.9934"/>
        <n v="102.0339"/>
        <n v="102.178"/>
        <n v="102.9021"/>
        <n v="102.9042"/>
        <n v="103.2005"/>
        <n v="103.2163"/>
        <n v="103.2694"/>
        <n v="103.6762"/>
        <n v="103.7151"/>
        <n v="103.7404"/>
        <n v="103.7437"/>
        <n v="103.9367"/>
        <n v="104.24759"/>
        <n v="104.2482"/>
        <n v="104.3719"/>
        <n v="104.3892"/>
        <n v="104.7946"/>
        <n v="104.9102"/>
        <n v="104.996"/>
        <n v="105.147"/>
        <n v="105.4217"/>
        <n v="105.4806"/>
        <n v="105.5127"/>
        <n v="106.0905"/>
        <n v="106.2942"/>
        <n v="106.8115"/>
        <n v="106.94364"/>
        <n v="107.1498"/>
        <n v="107.2035"/>
        <n v="107.214"/>
        <n v="107.5424"/>
        <n v="107.6387"/>
        <n v="107.856"/>
        <n v="107.9918"/>
        <n v="108.2844"/>
        <n v="109.3326"/>
        <n v="109.461"/>
        <n v="109.782"/>
        <n v="111.0018"/>
        <n v="112.9008"/>
        <n v="115.9935"/>
      </sharedItems>
    </cacheField>
    <cacheField name="Material Yield" numFmtId="0">
      <sharedItems containsMixedTypes="1" containsNumber="1" minValue="0.301082989289774" maxValue="1" count="647">
        <n v="0.301082989289774"/>
        <n v="0.332409747548711"/>
        <n v="0.381679389312977"/>
        <n v="0.481540930979133"/>
        <n v="0.492084248479693"/>
        <n v="0.612813370473538"/>
        <n v="0.622247166335208"/>
        <n v="0.642848409690322"/>
        <n v="0.643199233716475"/>
        <n v="0.650915203586104"/>
        <n v="0.697546410853863"/>
        <n v="0.743483585048691"/>
        <n v="0.745267551050827"/>
        <n v="0.751855067241069"/>
        <n v="0.751990563255677"/>
        <n v="0.753249310752265"/>
        <n v="0.754131392080077"/>
        <n v="0.761904761904762"/>
        <n v="0.789473684210526"/>
        <n v="0.79030966708851"/>
        <n v="0.794443864437451"/>
        <n v="0.805207966161438"/>
        <n v="0.808057039320423"/>
        <n v="0.813297582358897"/>
        <n v="0.823529411764706"/>
        <n v="0.831408295352854"/>
        <n v="0.837312957656797"/>
        <n v="0.84134351010712"/>
        <n v="0.84360766336037"/>
        <n v="0.845149467901922"/>
        <n v="0.848715640794849"/>
        <n v="0.851495184997466"/>
        <n v="0.851703406813627"/>
        <n v="0.861407249466951"/>
        <n v="0.86997947933851"/>
        <n v="0.870220937091974"/>
        <n v="0.871539076047776"/>
        <n v="0.878476299584706"/>
        <n v="0.881010334456109"/>
        <n v="0.884189114620714"/>
        <n v="0.885239335069097"/>
        <n v="0.892018779342723"/>
        <n v="0.892608089260809"/>
        <n v="0.894736842105263"/>
        <n v="0.895656068069861"/>
        <n v="0.897901414068632"/>
        <n v="0.898819097604334"/>
        <n v="0.898995240613432"/>
        <n v="0.899653979238754"/>
        <n v="0.899936624181395"/>
        <n v="0.900225056264066"/>
        <n v="0.900938477580813"/>
        <n v="0.90361836226046"/>
        <n v="0.90466636038891"/>
        <n v="0.905405405405405"/>
        <n v="0.906116284923232"/>
        <n v="0.908131174502984"/>
        <n v="0.908328675237563"/>
        <n v="0.90961884937641"/>
        <n v="0.910027947283409"/>
        <n v="0.911062906724512"/>
        <n v="0.911250024116841"/>
        <n v="0.911411557705423"/>
        <n v="0.911627906976744"/>
        <n v="0.912052117263844"/>
        <n v="0.912097061972166"/>
        <n v="0.912278576573731"/>
        <n v="0.912966132984258"/>
        <n v="0.914581613847841"/>
        <n v="0.914708711744468"/>
        <n v="0.915329275041505"/>
        <n v="0.915740530732592"/>
        <n v="0.916351093557427"/>
        <n v="0.916948793906052"/>
        <n v="0.918011689634833"/>
        <n v="0.919165479214423"/>
        <n v="0.920878153874164"/>
        <n v="0.921778887368215"/>
        <n v="0.922409115572436"/>
        <n v="0.923120891683338"/>
        <n v="0.924000924000924"/>
        <n v="0.924069984712077"/>
        <n v="0.926121372031662"/>
        <n v="0.926130099228225"/>
        <n v="0.926621587778613"/>
        <n v="0.926853750031899"/>
        <n v="0.927336827387437"/>
        <n v="0.928088679315967"/>
        <n v="0.928413284132841"/>
        <n v="0.929212454212454"/>
        <n v="0.929368029739777"/>
        <n v="0.930647005480424"/>
        <n v="0.931212336974454"/>
        <n v="0.931387767773983"/>
        <n v="0.931701333611713"/>
        <n v="0.932266033808625"/>
        <n v="0.934024658417465"/>
        <n v="0.934329951948745"/>
        <n v="0.934359296482412"/>
        <n v="0.935493732803424"/>
        <n v="0.936329588014981"/>
        <n v="0.936604774535809"/>
        <n v="0.937081659973226"/>
        <n v="0.939334637964775"/>
        <n v="0.939510939510939"/>
        <n v="0.939766690785874"/>
        <n v="0.940096528680156"/>
        <n v="0.940111420612813"/>
        <n v="0.940215445699222"/>
        <n v="0.940291490362012"/>
        <n v="0.940531741725448"/>
        <n v="0.940996928625772"/>
        <n v="0.941697825785902"/>
        <n v="0.941860465116279"/>
        <n v="0.942665289256198"/>
        <n v="0.942738589211618"/>
        <n v="0.942885424501331"/>
        <n v="0.943344371852049"/>
        <n v="0.943728276650975"/>
        <n v="0.943905070118662"/>
        <n v="0.944872353999142"/>
        <n v="0.945328501654325"/>
        <n v="0.945445363380577"/>
        <n v="0.945467686862897"/>
        <n v="0.946902654867257"/>
        <n v="0.947368421052632"/>
        <n v="0.947814168524845"/>
        <n v="0.947867298578199"/>
        <n v="0.948148148148148"/>
        <n v="0.948556040486582"/>
        <n v="0.949295037304244"/>
        <n v="0.949367088607595"/>
        <n v="0.949418494306863"/>
        <n v="0.949455459368891"/>
        <n v="0.949528563505269"/>
        <n v="0.949701020049244"/>
        <n v="0.949906406280558"/>
        <n v="0.949925909971142"/>
        <n v="0.950047004071303"/>
        <n v="0.950118764845606"/>
        <n v="0.950327186198691"/>
        <n v="0.950505671821134"/>
        <n v="0.95084388710415"/>
        <n v="0.950980392156863"/>
        <n v="0.951021821960513"/>
        <n v="0.951338199513382"/>
        <n v="0.951354402801422"/>
        <n v="0.951400617856419"/>
        <n v="0.951485624976045"/>
        <n v="0.951523943269381"/>
        <n v="0.951722532360914"/>
        <n v="0.95190468092343"/>
        <n v="0.95229798455453"/>
        <n v="0.952380952380952"/>
        <n v="0.952780009301932"/>
        <n v="0.952844539093398"/>
        <n v="0.953134510042605"/>
        <n v="0.953403335271348"/>
        <n v="0.953667034396144"/>
        <n v="0.953906484072616"/>
        <n v="0.954128440366972"/>
        <n v="0.954152882440042"/>
        <n v="0.954182645553129"/>
        <n v="0.954197642792384"/>
        <n v="0.954428797353805"/>
        <n v="0.954510364546104"/>
        <n v="0.954554841196635"/>
        <n v="0.954980280271881"/>
        <n v="0.955058862421716"/>
        <n v="0.955148452305748"/>
        <n v="0.955187321393056"/>
        <n v="0.955201569580044"/>
        <n v="0.955414012738854"/>
        <n v="0.955819881053526"/>
        <n v="0.956158520927844"/>
        <n v="0.956299923659858"/>
        <n v="0.956521739130435"/>
        <n v="0.956892217729295"/>
        <n v="0.956910866567223"/>
        <n v="0.957321076822062"/>
        <n v="0.957533620328393"/>
        <n v="0.957587769599929"/>
        <n v="0.957598535897849"/>
        <n v="0.957746478873239"/>
        <n v="0.957838722881703"/>
        <n v="0.958013010053223"/>
        <n v="0.958316731833511"/>
        <n v="0.958378970427163"/>
        <n v="0.958889250461004"/>
        <n v="0.95906007751938"/>
        <n v="0.959111559818274"/>
        <n v="0.95917565461553"/>
        <n v="0.959240590161522"/>
        <n v="0.959274121099599"/>
        <n v="0.959405374499714"/>
        <n v="0.959536396909313"/>
        <n v="0.959568619523071"/>
        <n v="0.959590028292318"/>
        <n v="0.959780621572212"/>
        <n v="0.96"/>
        <n v="0.960349511566292"/>
        <n v="0.960470760331128"/>
        <n v="0.960474308300395"/>
        <n v="0.960829493087558"/>
        <n v="0.961010640297778"/>
        <n v="0.961432543893822"/>
        <n v="0.961449662419349"/>
        <n v="0.961526232114467"/>
        <n v="0.961538461538461"/>
        <n v="0.961659333752357"/>
        <n v="0.961692435723359"/>
        <n v="0.961701901625412"/>
        <n v="0.962090084502675"/>
        <n v="0.962791298358397"/>
        <n v="0.963053964230754"/>
        <n v="0.963073122218539"/>
        <n v="0.96309963099631"/>
        <n v="0.963293310463122"/>
        <n v="0.963302752293578"/>
        <n v="0.963391136801542"/>
        <n v="0.963855421686747"/>
        <n v="0.963878938183154"/>
        <n v="0.964087731983611"/>
        <n v="0.964175460824153"/>
        <n v="0.964285714285714"/>
        <n v="0.96430430923483"/>
        <n v="0.964320154291225"/>
        <n v="0.964327445621592"/>
        <n v="0.964376266047784"/>
        <n v="0.964402263060657"/>
        <n v="0.964550783314952"/>
        <n v="0.964604697320543"/>
        <n v="0.964890942998459"/>
        <n v="0.965003723008191"/>
        <n v="0.965409811413876"/>
        <n v="0.965599311311041"/>
        <n v="0.965612104539202"/>
        <n v="0.965665236051502"/>
        <n v="0.96571823750247"/>
        <n v="0.965986394557823"/>
        <n v="0.965991419723272"/>
        <n v="0.966134185303514"/>
        <n v="0.966276668960771"/>
        <n v="0.966442953020134"/>
        <n v="0.966587112171838"/>
        <n v="0.966887417218543"/>
        <n v="0.966917873249466"/>
        <n v="0.9670734515312"/>
        <n v="0.967097628470259"/>
        <n v="0.967292592510634"/>
        <n v="0.967313649870393"/>
        <n v="0.967351874244256"/>
        <n v="0.967485909667826"/>
        <n v="0.967591339648173"/>
        <n v="0.967635184327222"/>
        <n v="0.968127490039841"/>
        <n v="0.968292554034772"/>
        <n v="0.968342644320298"/>
        <n v="0.968504987023822"/>
        <n v="0.96853390994887"/>
        <n v="0.968805028667381"/>
        <n v="0.968921389396709"/>
        <n v="0.968992248062015"/>
        <n v="0.969064480059635"/>
        <n v="0.969092099086499"/>
        <n v="0.969359331476323"/>
        <n v="0.969557130077953"/>
        <n v="0.969683174232832"/>
        <n v="0.96969696969697"/>
        <n v="0.969723041546662"/>
        <n v="0.969732588892154"/>
        <n v="0.969797612869746"/>
        <n v="0.970024979184013"/>
        <n v="0.970059880239521"/>
        <n v="0.970154892330941"/>
        <n v="0.970259438936933"/>
        <n v="0.970311859657825"/>
        <n v="0.970496894409938"/>
        <n v="0.970607761482286"/>
        <n v="0.970641102456561"/>
        <n v="0.970692179269322"/>
        <n v="0.970958935935413"/>
        <n v="0.971098265895954"/>
        <n v="0.971173291591924"/>
        <n v="0.971740208230045"/>
        <n v="0.971820007984437"/>
        <n v="0.971877584780811"/>
        <n v="0.971922246220302"/>
        <n v="0.972042296890628"/>
        <n v="0.972447325769854"/>
        <n v="0.972844902095429"/>
        <n v="0.973079981726198"/>
        <n v="0.973141300116777"/>
        <n v="0.973313998639241"/>
        <n v="0.973333333333333"/>
        <n v="0.973451327433628"/>
        <n v="0.973542985627882"/>
        <n v="0.973715377089545"/>
        <n v="0.973740819469725"/>
        <n v="0.97418335089568"/>
        <n v="0.97419233051076"/>
        <n v="0.9741929544915"/>
        <n v="0.974212034383954"/>
        <n v="0.974330148023234"/>
        <n v="0.974486621032981"/>
        <n v="0.97452229299363"/>
        <n v="0.974658869395711"/>
        <n v="0.974756310922269"/>
        <n v="0.974930362116992"/>
        <n v="0.975"/>
        <n v="0.975039001560062"/>
        <n v="0.975056689342404"/>
        <n v="0.975174232614822"/>
        <n v="0.975176033614892"/>
        <n v="0.975216602861173"/>
        <n v="0.975229178857031"/>
        <n v="0.975290581832112"/>
        <n v="0.975304373595436"/>
        <n v="0.975359342915811"/>
        <n v="0.975419430355053"/>
        <n v="0.975426749202776"/>
        <n v="0.975483870967742"/>
        <n v="0.975609756097561"/>
        <n v="0.97564870259481"/>
        <n v="0.975687722609936"/>
        <n v="0.975800156128025"/>
        <n v="0.975855130784708"/>
        <n v="0.975990630489947"/>
        <n v="0.976058931860037"/>
        <n v="0.976138828633406"/>
        <n v="0.976181179226865"/>
        <n v="0.976215832445864"/>
        <n v="0.976428802066516"/>
        <n v="0.976533315221083"/>
        <n v="0.976557267247153"/>
        <n v="0.9765625"/>
        <n v="0.976597207967048"/>
        <n v="0.976668475311991"/>
        <n v="0.976744186046512"/>
        <n v="0.976990416051623"/>
        <n v="0.977017961732559"/>
        <n v="0.977060900234794"/>
        <n v="0.977076287110109"/>
        <n v="0.977170355596308"/>
        <n v="0.977198697068404"/>
        <n v="0.97737556561086"/>
        <n v="0.977443609022556"/>
        <n v="0.977528089887641"/>
        <n v="0.977539389875964"/>
        <n v="0.977670488835244"/>
        <n v="0.977922630012753"/>
        <n v="0.97799511002445"/>
        <n v="0.978030037307484"/>
        <n v="0.978090766823161"/>
        <n v="0.978130360205832"/>
        <n v="0.978138663335415"/>
        <n v="0.978307103360272"/>
        <n v="0.978401329148976"/>
        <n v="0.978454139548536"/>
        <n v="0.978473581213307"/>
        <n v="0.978615440376948"/>
        <n v="0.978665100802505"/>
        <n v="0.978786274275369"/>
        <n v="0.978792822185971"/>
        <n v="0.978856695379796"/>
        <n v="0.978947368421053"/>
        <n v="0.97897026831037"/>
        <n v="0.979020979020979"/>
        <n v="0.979124330315906"/>
        <n v="0.979284369114878"/>
        <n v="0.979391280174907"/>
        <n v="0.979486231750139"/>
        <n v="0.979591836734694"/>
        <n v="0.979623824451411"/>
        <n v="0.979638878217441"/>
        <n v="0.97979797979798"/>
        <n v="0.980042765502495"/>
        <n v="0.980066445182724"/>
        <n v="0.980199960792002"/>
        <n v="0.980332829046899"/>
        <n v="0.980359198386353"/>
        <n v="0.980392156862745"/>
        <n v="0.980573543015726"/>
        <n v="0.980584428319278"/>
        <n v="0.98058860363181"/>
        <n v="0.980629539951574"/>
        <n v="0.980754996299038"/>
        <n v="0.980769230769231"/>
        <n v="0.980776775205963"/>
        <n v="0.980861244019139"/>
        <n v="0.980975029726516"/>
        <n v="0.981118104405776"/>
        <n v="0.98116169544741"/>
        <n v="0.981247274313127"/>
        <n v="0.981299759303833"/>
        <n v="0.981311965920328"/>
        <n v="0.98135426889107"/>
        <n v="0.981432360742705"/>
        <n v="0.981481481481482"/>
        <n v="0.981502453756134"/>
        <n v="0.98159509202454"/>
        <n v="0.981818181818182"/>
        <n v="0.981873111782477"/>
        <n v="0.981889591970325"/>
        <n v="0.981912144702842"/>
        <n v="0.982014925035821"/>
        <n v="0.982022471910112"/>
        <n v="0.982053838484546"/>
        <n v="0.982125319190729"/>
        <n v="0.982318271119843"/>
        <n v="0.982711555959964"/>
        <n v="0.982890841971725"/>
        <n v="0.982935153583618"/>
        <n v="0.982937830947244"/>
        <n v="0.982961992136304"/>
        <n v="0.982971227246036"/>
        <n v="0.982973494821836"/>
        <n v="0.982986767485822"/>
        <n v="0.983090837593394"/>
        <n v="0.98314606741573"/>
        <n v="0.983167380407549"/>
        <n v="0.983284169124877"/>
        <n v="0.98330241187384"/>
        <n v="0.983358547655068"/>
        <n v="0.983455882352941"/>
        <n v="0.983531564501372"/>
        <n v="0.983606557377049"/>
        <n v="0.983671060397403"/>
        <n v="0.983899821109123"/>
        <n v="0.98394174871303"/>
        <n v="0.983965014577259"/>
        <n v="0.984009840098401"/>
        <n v="0.984036737371529"/>
        <n v="0.984144341170038"/>
        <n v="0.984251968503937"/>
        <n v="0.984323733138899"/>
        <n v="0.984351337708228"/>
        <n v="0.984455958549223"/>
        <n v="0.984581088612298"/>
        <n v="0.984615384615385"/>
        <n v="0.984665052461663"/>
        <n v="0.984673221515327"/>
        <n v="0.984875131902919"/>
        <n v="0.984985156428408"/>
        <n v="0.985027580772262"/>
        <n v="0.985041955490697"/>
        <n v="0.985221674876847"/>
        <n v="0.98533724340176"/>
        <n v="0.985373872144366"/>
        <n v="0.985496467088137"/>
        <n v="0.985663082437276"/>
        <n v="0.985679747070857"/>
        <n v="0.985708575934668"/>
        <n v="0.985915492957747"/>
        <n v="0.985964912280702"/>
        <n v="0.986012382481082"/>
        <n v="0.986059163549813"/>
        <n v="0.986115164908477"/>
        <n v="0.986193293885602"/>
        <n v="0.986381322957199"/>
        <n v="0.98641354922762"/>
        <n v="0.986552341796671"/>
        <n v="0.986554563857196"/>
        <n v="0.986568986568986"/>
        <n v="0.98661028893587"/>
        <n v="0.986767485822306"/>
        <n v="0.986964618249534"/>
        <n v="0.987144168962351"/>
        <n v="0.987166831194472"/>
        <n v="0.987332339791356"/>
        <n v="0.987410515921995"/>
        <n v="0.98780487804878"/>
        <n v="0.987884436160298"/>
        <n v="0.98797079873578"/>
        <n v="0.988014887895571"/>
        <n v="0.988106129917658"/>
        <n v="0.988142292490119"/>
        <n v="0.988164051747867"/>
        <n v="0.988319856244384"/>
        <n v="0.988410314406425"/>
        <n v="0.988428158148505"/>
        <n v="0.988467874794069"/>
        <n v="0.988505747126437"/>
        <n v="0.988526037069726"/>
        <n v="0.988793671720501"/>
        <n v="0.988805970149254"/>
        <n v="0.989068193649141"/>
        <n v="0.989119683481701"/>
        <n v="0.989175065322882"/>
        <n v="0.989373396848663"/>
        <n v="0.989399293286219"/>
        <n v="0.98941156049297"/>
        <n v="0.989574129704895"/>
        <n v="0.989690721649485"/>
        <n v="0.989700212900627"/>
        <n v="0.989737845367181"/>
        <n v="0.989742666906604"/>
        <n v="0.989890480202191"/>
        <n v="0.989917506874427"/>
        <n v="0.99009900990099"/>
        <n v="0.990634005763689"/>
        <n v="0.990653985036935"/>
        <n v="0.990740740740741"/>
        <n v="0.990787415261603"/>
        <n v="0.990804597701149"/>
        <n v="0.990812278137398"/>
        <n v="0.990853658536585"/>
        <n v="0.990966221523959"/>
        <n v="0.990990990990991"/>
        <n v="0.991189427312775"/>
        <n v="0.991311297362651"/>
        <n v="0.991325898389095"/>
        <n v="0.991423037904639"/>
        <n v="0.991508108044266"/>
        <n v="0.991526951505318"/>
        <n v="0.991561181434599"/>
        <n v="0.991649269311065"/>
        <n v="0.991669972233241"/>
        <n v="0.991682661548304"/>
        <n v="0.991817505578974"/>
        <n v="0.992006394884093"/>
        <n v="0.992063492063492"/>
        <n v="0.992182231962239"/>
        <n v="0.992366412213741"/>
        <n v="0.992452743093221"/>
        <n v="0.992457324335054"/>
        <n v="0.992555831265509"/>
        <n v="0.992642140468227"/>
        <n v="0.992647058823529"/>
        <n v="0.992779783393502"/>
        <n v="0.992907801418439"/>
        <n v="0.993031358885017"/>
        <n v="0.993138317081979"/>
        <n v="0.993171942892613"/>
        <n v="0.993303571428572"/>
        <n v="0.99349710982659"/>
        <n v="0.993865385170989"/>
        <n v="0.993975903614458"/>
        <n v="0.994081745884964"/>
        <n v="0.994108983799706"/>
        <n v="0.994233446013124"/>
        <n v="0.994694960212202"/>
        <n v="0.994773519163763"/>
        <n v="0.994787334058545"/>
        <n v="0.994809688581315"/>
        <n v="0.994854202401372"/>
        <n v="0.99502487562189"/>
        <n v="0.995145631067961"/>
        <n v="0.995222929936306"/>
        <n v="0.995228357191547"/>
        <n v="0.995260663507109"/>
        <n v="0.995294969236337"/>
        <n v="0.99537037037037"/>
        <n v="0.995405819295559"/>
        <n v="0.995475113122172"/>
        <n v="0.995575221238938"/>
        <n v="0.995619275189168"/>
        <n v="0.995644057249533"/>
        <n v="0.995732574679943"/>
        <n v="0.995835596596053"/>
        <n v="0.99586621570838"/>
        <n v="0.995975855130785"/>
        <n v="0.99601593625498"/>
        <n v="0.996053373426048"/>
        <n v="0.996057273293214"/>
        <n v="0.996240601503759"/>
        <n v="0.99626400996264"/>
        <n v="0.996292863762743"/>
        <n v="0.996376811594203"/>
        <n v="0.996457041629761"/>
        <n v="0.99647266313933"/>
        <n v="0.996483001172333"/>
        <n v="0.996512207274539"/>
        <n v="0.996533795493934"/>
        <n v="0.996550402453047"/>
        <n v="0.996618615411995"/>
        <n v="0.996677740863787"/>
        <n v="0.996685441438936"/>
        <n v="0.99676052828308"/>
        <n v="0.996810207336523"/>
        <n v="0.996842105263158"/>
        <n v="0.99685204616999"/>
        <n v="0.996914312841206"/>
        <n v="0.996918615189414"/>
        <n v="0.996932515337423"/>
        <n v="0.996965756393585"/>
        <n v="0.99699021820918"/>
        <n v="0.997008973080758"/>
        <n v="0.997045790251108"/>
        <n v="0.997119432749834"/>
        <n v="0.997145187601958"/>
        <n v="0.997150997150997"/>
        <n v="0.997177798682973"/>
        <n v="0.997183819764465"/>
        <n v="0.997234704459039"/>
        <n v="0.99725754176016"/>
        <n v="0.99728014505893"/>
        <n v="0.997298981923956"/>
        <n v="0.997340425531915"/>
        <n v="0.997406742469579"/>
        <n v="0.997414907367514"/>
        <n v="0.997461008342401"/>
        <n v="0.997506234413965"/>
        <n v="0.997517840521254"/>
        <n v="0.997598374284131"/>
        <n v="0.997605746209098"/>
        <n v="0.997624703087886"/>
        <n v="0.997641937239253"/>
        <n v="0.997679814385151"/>
        <n v="0.997740963855422"/>
        <n v="0.997782705099778"/>
        <n v="0.997822931785196"/>
        <n v="0.997827857724681"/>
        <n v="0.997830802603037"/>
        <n v="0.997899159663866"/>
        <n v="0.997920997920998"/>
        <n v="0.9979633401222"/>
        <n v="0.998003992015968"/>
        <n v="0.998098859315589"/>
        <n v="0.998185117967332"/>
        <n v="0.998225377107365"/>
        <n v="0.998300764655905"/>
        <n v="0.998336106489185"/>
        <n v="0.998402555910543"/>
        <n v="0.998463901689708"/>
        <n v="0.998502246630055"/>
        <n v="0.998550724637681"/>
        <n v="0.998573466476462"/>
        <n v="0.998622589531681"/>
        <n v="0.99866844207723"/>
        <n v="0.998789346246973"/>
        <n v="0.998790810157195"/>
        <n v="0.998847483672685"/>
        <n v="0.99889012208657"/>
        <n v="0.999000999000999"/>
        <n v="0.999063378083047"/>
        <n v="0.999091734786557"/>
        <n v="0.99911190053286"/>
        <n v="0.999200639488409"/>
        <n v="0.999231360491929"/>
        <n v="0.999423409571401"/>
        <n v="0.999434282481614"/>
        <n v="0.999466950959488"/>
        <n v="0.999500249875062"/>
        <n v="0.999600159936026"/>
        <n v="1"/>
        <s v=" "/>
      </sharedItems>
    </cacheField>
    <cacheField name="Rej." numFmtId="0">
      <sharedItems containsSemiMixedTypes="0" containsString="0" containsNumber="1" minValue="0" maxValue="0.5264" count="778">
        <n v="0"/>
        <n v="6.14628149969268E-005"/>
        <n v="6.91945751453086E-005"/>
        <n v="0.00011397959765202"/>
        <n v="0.000123548307388189"/>
        <n v="0.000131717597471022"/>
        <n v="0.000160745860794085"/>
        <n v="0.000184314809694959"/>
        <n v="0.000193012931866435"/>
        <n v="0.00024496294935391"/>
        <n v="0.000262559075792053"/>
        <n v="0.000273972602739726"/>
        <n v="0.000285714285714286"/>
        <n v="0.000293513354857646"/>
        <n v="0.000336927223719677"/>
        <n v="0.000363504180298073"/>
        <n v="0.000368459837877671"/>
        <n v="0.00039984006397441"/>
        <n v="0.000434593654932638"/>
        <n v="0.000444247001332741"/>
        <n v="0.000459506031016657"/>
        <n v="0.000464900046490005"/>
        <n v="0.000475963826749167"/>
        <n v="0.000476190476190476"/>
        <n v="0.000477668975400048"/>
        <n v="0.000489117143555882"/>
        <n v="0.000499750124937531"/>
        <n v="0.000533049040511727"/>
        <n v="0.000554446662231093"/>
        <n v="0.000557258289217052"/>
        <n v="0.000565717518385819"/>
        <n v="0.000576590428598885"/>
        <n v="0.000588512241054614"/>
        <n v="0.000615384615384615"/>
        <n v="0.000713266761768902"/>
        <n v="0.000726744186046512"/>
        <n v="0.000740740740740741"/>
        <n v="0.000749437921558831"/>
        <n v="0.000754147812971342"/>
        <n v="0.000768639508070715"/>
        <n v="0.000769625448948179"/>
        <n v="0.000799360511590727"/>
        <n v="0.00080742834073476"/>
        <n v="0.0008110300081103"/>
        <n v="0.000813386009760632"/>
        <n v="0.000819672131147541"/>
        <n v="0.000845717047239338"/>
        <n v="0.000846944948578342"/>
        <n v="0.000850340136054422"/>
        <n v="0.000857142857142857"/>
        <n v="0.000862812769628991"/>
        <n v="0.000863185153215365"/>
        <n v="0.000863806507342355"/>
        <n v="0.000863930885529158"/>
        <n v="0.00088809946714032"/>
        <n v="0.000908265213442325"/>
        <n v="0.000929368029739777"/>
        <n v="0.000932183640177115"/>
        <n v="0.000936621916952857"/>
        <n v="0.000992802184164805"/>
        <n v="0.000999000999000999"/>
        <n v="0.00100321027287319"/>
        <n v="0.00104058272632674"/>
        <n v="0.00105485232067511"/>
        <n v="0.00106007067137809"/>
        <n v="0.00106082036775106"/>
        <n v="0.00106269925611052"/>
        <n v="0.00110395584176633"/>
        <n v="0.00110987791342952"/>
        <n v="0.00113830392714855"/>
        <n v="0.00115251632731464"/>
        <n v="0.00117647058823529"/>
        <n v="0.00117855038302887"/>
        <n v="0.00118906064209275"/>
        <n v="0.00119856172592889"/>
        <n v="0.00120918984280532"/>
        <n v="0.00121065375302663"/>
        <n v="0.00122549019607843"/>
        <n v="0.00123456790123457"/>
        <n v="0.00124843945068664"/>
        <n v="0.00124930594114381"/>
        <n v="0.00126349643923731"/>
        <n v="0.00130264871906209"/>
        <n v="0.00131406044678055"/>
        <n v="0.00133155792276964"/>
        <n v="0.00137741046831956"/>
        <n v="0.0014265335235378"/>
        <n v="0.0014367816091954"/>
        <n v="0.00144927536231884"/>
        <n v="0.00149775336994508"/>
        <n v="0.00150715900527506"/>
        <n v="0.00153609831029186"/>
        <n v="0.00153846153846154"/>
        <n v="0.00154798761609907"/>
        <n v="0.00159744408945687"/>
        <n v="0.00161177295024527"/>
        <n v="0.00163369032492285"/>
        <n v="0.00166389351081531"/>
        <n v="0.00169923534409516"/>
        <n v="0.00172117039586919"/>
        <n v="0.00173611111111111"/>
        <n v="0.00174694285001248"/>
        <n v="0.00176159718144451"/>
        <n v="0.00177462289263532"/>
        <n v="0.00179815688918858"/>
        <n v="0.00181818181818182"/>
        <n v="0.00185701021355617"/>
        <n v="0.00189473684210526"/>
        <n v="0.00191938579654511"/>
        <n v="0.00193236714975845"/>
        <n v="0.00194741966893866"/>
        <n v="0.00195694716242661"/>
        <n v="0.00196043486009624"/>
        <n v="0.00202183582693085"/>
        <n v="0.00203665987780041"/>
        <n v="0.00206794682422452"/>
        <n v="0.00207650273224044"/>
        <n v="0.00207900207900208"/>
        <n v="0.0020850040096231"/>
        <n v="0.00213009995084385"/>
        <n v="0.00217214227531903"/>
        <n v="0.00217706821480406"/>
        <n v="0.00218238503507404"/>
        <n v="0.00221729490022173"/>
        <n v="0.00225563909774436"/>
        <n v="0.00225903614457831"/>
        <n v="0.00226415094339623"/>
        <n v="0.00228642693826647"/>
        <n v="0.00231707317073171"/>
        <n v="0.00232891436761018"/>
        <n v="0.00237529691211401"/>
        <n v="0.00239385158120197"/>
        <n v="0.00239425379090184"/>
        <n v="0.0024016257158692"/>
        <n v="0.00244094488188976"/>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84900284900285"/>
        <n v="0.00288517022504328"/>
        <n v="0.00295420974889217"/>
        <n v="0.00298245614035088"/>
        <n v="0.003"/>
        <n v="0.00301204819277108"/>
        <n v="0.00306748466257669"/>
        <n v="0.00308539944903581"/>
        <n v="0.00314795383001049"/>
        <n v="0.00315789473684211"/>
        <n v="0.0031717263253285"/>
        <n v="0.00320261437908497"/>
        <n v="0.00321543408360129"/>
        <n v="0.00323182100683654"/>
        <n v="0.0032418001525553"/>
        <n v="0.00324189526184539"/>
        <n v="0.00326205146792316"/>
        <n v="0.00332225913621262"/>
        <n v="0.00335570469798658"/>
        <n v="0.00338983050847458"/>
        <n v="0.00341085271317829"/>
        <n v="0.00343417825020442"/>
        <n v="0.00344959754695286"/>
        <n v="0.00354295837023915"/>
        <n v="0.00355128472947566"/>
        <n v="0.00355871886120996"/>
        <n v="0.00361538461538462"/>
        <n v="0.0036231884057971"/>
        <n v="0.00365569956796278"/>
        <n v="0.003690036900369"/>
        <n v="0.00370713623725672"/>
        <n v="0.00373134328358209"/>
        <n v="0.0037359900373599"/>
        <n v="0.00384985563041386"/>
        <n v="0.00394321766561514"/>
        <n v="0.00394662657395226"/>
        <n v="0.00398406374501992"/>
        <n v="0.004"/>
        <n v="0.00402576489533011"/>
        <n v="0.00403458213256484"/>
        <n v="0.00403690888119954"/>
        <n v="0.00403846153846154"/>
        <n v="0.00407407407407407"/>
        <n v="0.00409836065573771"/>
        <n v="0.00412087912087912"/>
        <n v="0.00413378429161969"/>
        <n v="0.004149377593361"/>
        <n v="0.00417362270450751"/>
        <n v="0.00418803418803419"/>
        <n v="0.00419287211740042"/>
        <n v="0.00428571428571429"/>
        <n v="0.00428709722030148"/>
        <n v="0.00428816466552316"/>
        <n v="0.00430999430755469"/>
        <n v="0.00432638227913819"/>
        <n v="0.00436363636363636"/>
        <n v="0.00441713078548108"/>
        <n v="0.00451467268623025"/>
        <n v="0.00452380952380952"/>
        <n v="0.00452488687782805"/>
        <n v="0.00465116279069768"/>
        <n v="0.0046982291290206"/>
        <n v="0.00471428571428571"/>
        <n v="0.00476268681228445"/>
        <n v="0.0047917434574272"/>
        <n v="0.00479452054794521"/>
        <n v="0.00483234714003945"/>
        <n v="0.00484893696381947"/>
        <n v="0.00487804878048781"/>
        <n v="0.00487958444829215"/>
        <n v="0.00489203778677463"/>
        <n v="0.0048951048951049"/>
        <n v="0.00493716337522442"/>
        <n v="0.00495934959349593"/>
        <n v="0.00495970241785493"/>
        <n v="0.00497512437810945"/>
        <n v="0.00497835497835498"/>
        <n v="0.00503496503496504"/>
        <n v="0.00506512301013025"/>
        <n v="0.00510204081632653"/>
        <n v="0.00512382578992314"/>
        <n v="0.00516795865633075"/>
        <n v="0.00517309988062077"/>
        <n v="0.00518134715025907"/>
        <n v="0.00520547945205479"/>
        <n v="0.0052062474969964"/>
        <n v="0.00520833333333333"/>
        <n v="0.00524038461538462"/>
        <n v="0.0052444594823211"/>
        <n v="0.00525547445255474"/>
        <n v="0.0052755905511811"/>
        <n v="0.00532037936618089"/>
        <n v="0.00532132623823168"/>
        <n v="0.00532831844538474"/>
        <n v="0.00535714285714286"/>
        <n v="0.00550826239359039"/>
        <n v="0.00551760378349974"/>
        <n v="0.00552486187845304"/>
        <n v="0.00555555555555556"/>
        <n v="0.0056044835868695"/>
        <n v="0.00577380278501076"/>
        <n v="0.00578642819568648"/>
        <n v="0.0057960381511372"/>
        <n v="0.00584795321637427"/>
        <n v="0.00585714285714286"/>
        <n v="0.00589101620029455"/>
        <n v="0.00591016548463357"/>
        <n v="0.00596421471172962"/>
        <n v="0.006"/>
        <n v="0.00601051840721262"/>
        <n v="0.00611587982832618"/>
        <n v="0.00613496932515337"/>
        <n v="0.00618374558303887"/>
        <n v="0.0062111801242236"/>
        <n v="0.00627490039840637"/>
        <n v="0.00632547441058079"/>
        <n v="0.00635930047694754"/>
        <n v="0.00636363636363636"/>
        <n v="0.00639163277164439"/>
        <n v="0.00643974241030359"/>
        <n v="0.0064812878946268"/>
        <n v="0.00649842271293375"/>
        <n v="0.00651971437441788"/>
        <n v="0.00668896321070234"/>
        <n v="0.00670391061452514"/>
        <n v="0.00677637947725073"/>
        <n v="0.00678695580201953"/>
        <n v="0.00679560899111343"/>
        <n v="0.0068229012162563"/>
        <n v="0.00682926829268293"/>
        <n v="0.00690140845070423"/>
        <n v="0.00695134061569017"/>
        <n v="0.00695825049701789"/>
        <n v="0.00696864111498258"/>
        <n v="0.00697188008366256"/>
        <n v="0.00698689956331878"/>
        <n v="0.00698786318499448"/>
        <n v="0.00699983721308807"/>
        <n v="0.007"/>
        <n v="0.0070694087403599"/>
        <n v="0.00709219858156028"/>
        <n v="0.00716845878136201"/>
        <n v="0.0072202166064982"/>
        <n v="0.00724112961622013"/>
        <n v="0.00726821485552207"/>
        <n v="0.0073370738023306"/>
        <n v="0.00735785953177258"/>
        <n v="0.00736987563334869"/>
        <n v="0.00740095777100566"/>
        <n v="0.00740362522338524"/>
        <n v="0.00740507326295888"/>
        <n v="0.00744416873449132"/>
        <n v="0.00745621640367609"/>
        <n v="0.00750497779139225"/>
        <n v="0.00755564631406984"/>
        <n v="0.00763358778625954"/>
        <n v="0.00765696784073507"/>
        <n v="0.00769039940461424"/>
        <n v="0.00771775082690187"/>
        <n v="0.00772273497833867"/>
        <n v="0.0077893175074184"/>
        <n v="0.00782778864970646"/>
        <n v="0.00783289817232376"/>
        <n v="0.00784810126582279"/>
        <n v="0.00786222388618495"/>
        <n v="0.00793650793650794"/>
        <n v="0.00796812749003984"/>
        <n v="0.00798722044728434"/>
        <n v="0.00801603206412826"/>
        <n v="0.00810372771474878"/>
        <n v="0.00811541929666366"/>
        <n v="0.00813330688355485"/>
        <n v="0.00819318671841311"/>
        <n v="0.00826446280991736"/>
        <n v="0.008272800645682"/>
        <n v="0.00832870627429206"/>
        <n v="0.00839454354669465"/>
        <n v="0.00841908325537886"/>
        <n v="0.00847304849468181"/>
        <n v="0.0085"/>
        <n v="0.00862068965517241"/>
        <n v="0.00867410161090459"/>
        <n v="0.00872323552735924"/>
        <n v="0.00875099443118536"/>
        <n v="0.00875979714153988"/>
        <n v="0.00881057268722467"/>
        <n v="0.00883041989547666"/>
        <n v="0.00883977900552486"/>
        <n v="0.00887121443866626"/>
        <n v="0.00892174356359929"/>
        <n v="0.00892857142857143"/>
        <n v="0.00894700619408121"/>
        <n v="0.00897531787584144"/>
        <n v="0.00900900900900901"/>
        <n v="0.00902495133604672"/>
        <n v="0.00914634146341463"/>
        <n v="0.0091743119266055"/>
        <n v="0.00920028308563341"/>
        <n v="0.00921658986175115"/>
        <n v="0.00923645320197045"/>
        <n v="0.00925925925925926"/>
        <n v="0.00927152317880795"/>
        <n v="0.00929549902152642"/>
        <n v="0.00931246284921736"/>
        <n v="0.00934579439252336"/>
        <n v="0.00935374149659864"/>
        <n v="0.00935608145294441"/>
        <n v="0.00936599423631124"/>
        <n v="0.00937555280382098"/>
        <n v="0.00941346850108617"/>
        <n v="0.00942007653812187"/>
        <n v="0.00943396226415094"/>
        <n v="0.00946745562130178"/>
        <n v="0.0094876660341556"/>
        <n v="0.00950819672131148"/>
        <n v="0.00950871632329636"/>
        <n v="0.00952380952380952"/>
        <n v="0.00953778429933969"/>
        <n v="0.00955076052352317"/>
        <n v="0.00958466453674121"/>
        <n v="0.00962861072902338"/>
        <n v="0.00966753124263146"/>
        <n v="0.00968783638320775"/>
        <n v="0.00970873786407767"/>
        <n v="0.00971599402092676"/>
        <n v="0.0097194205024757"/>
        <n v="0.00973640465447637"/>
        <n v="0.00975409836065574"/>
        <n v="0.0097799511002445"/>
        <n v="0.00982318271119843"/>
        <n v="0.00983881096922755"/>
        <n v="0.0099009900990099"/>
        <n v="0.00992802184164805"/>
        <n v="0.0100411522633745"/>
        <n v="0.0100452034153692"/>
        <n v="0.0100735635230963"/>
        <n v="0.0100824931255729"/>
        <n v="0.0100894726822768"/>
        <n v="0.0101010101010101"/>
        <n v="0.0102573330933957"/>
        <n v="0.0102639296187683"/>
        <n v="0.0102707749766573"/>
        <n v="0.0102739726027397"/>
        <n v="0.0102778835173201"/>
        <n v="0.0102929532858274"/>
        <n v="0.0103092783505155"/>
        <n v="0.0103908955962395"/>
        <n v="0.0104"/>
        <n v="0.0104166666666667"/>
        <n v="0.0104287369640788"/>
        <n v="0.0104452996151732"/>
        <n v="0.0104555638536221"/>
        <n v="0.0105359596885021"/>
        <n v="0.0105429625724829"/>
        <n v="0.0106007067137809"/>
        <n v="0.0106692531522793"/>
        <n v="0.0106849315068493"/>
        <n v="0.0106951871657754"/>
        <n v="0.0107310529845741"/>
        <n v="0.0107391029690461"/>
        <n v="0.0107625372108999"/>
        <n v="0.0107715981534403"/>
        <n v="0.0108078402637846"/>
        <n v="0.0108333333333333"/>
        <n v="0.010840108401084"/>
        <n v="0.0108548168249661"/>
        <n v="0.0108803165182987"/>
        <n v="0.0109386924446706"/>
        <n v="0.010989010989011"/>
        <n v="0.011"/>
        <n v="0.0111183780248528"/>
        <n v="0.0111248454882571"/>
        <n v="0.0111940298507463"/>
        <n v="0.011206328279499"/>
        <n v="0.0112226816302422"/>
        <n v="0.0112299465240642"/>
        <n v="0.0112606426805823"/>
        <n v="0.0112715048447696"/>
        <n v="0.0112888052681091"/>
        <n v="0.0112908147696063"/>
        <n v="0.0113085621970921"/>
        <n v="0.0113511534236543"/>
        <n v="0.011373092926491"/>
        <n v="0.0113864701942398"/>
        <n v="0.0113941018766756"/>
        <n v="0.0114068441064639"/>
        <n v="0.0114235500878735"/>
        <n v="0.0114388489208633"/>
        <n v="0.011441647597254"/>
        <n v="0.0114669829972321"/>
        <n v="0.0114728682170543"/>
        <n v="0.0114739629302736"/>
        <n v="0.0115667718191377"/>
        <n v="0.0115774240231548"/>
        <n v="0.0116279069767442"/>
        <n v="0.0117471564422898"/>
        <n v="0.0117647058823529"/>
        <n v="0.0117825921702775"/>
        <n v="0.0117951203748586"/>
        <n v="0.0118194148420849"/>
        <n v="0.0118279569892473"/>
        <n v="0.0118296529968454"/>
        <n v="0.0118359482521332"/>
        <n v="0.0118534482758621"/>
        <n v="0.0118577075098814"/>
        <n v="0.0118938700823422"/>
        <n v="0.0119470455279303"/>
        <n v="0.0119760479041916"/>
        <n v="0.0119765953556409"/>
        <n v="0.0119971771347918"/>
        <n v="0.0120430107526882"/>
        <n v="0.0120481927710843"/>
        <n v="0.0120746432491767"/>
        <n v="0.0120824449182658"/>
        <n v="0.0121017535193875"/>
        <n v="0.0121155638397018"/>
        <n v="0.0121951219512195"/>
        <n v="0.0122126436781609"/>
        <n v="0.0122199592668024"/>
        <n v="0.0122481232714342"/>
        <n v="0.0122996645546031"/>
        <n v="0.0123456790123457"/>
        <n v="0.0123691722169363"/>
        <n v="0.0123893805309735"/>
        <n v="0.0124023886081764"/>
        <n v="0.0124401913875598"/>
        <n v="0.0124617916764637"/>
        <n v="0.0124836966648034"/>
        <n v="0.0124961901859189"/>
        <n v="0.0124974390493751"/>
        <n v="0.0125332320546905"/>
        <n v="0.0125673249551167"/>
        <n v="0.0126019273535953"/>
        <n v="0.0126103404791929"/>
        <n v="0.0126291618828932"/>
        <n v="0.0126382306477093"/>
        <n v="0.0126641651031895"/>
        <n v="0.0126676602086438"/>
        <n v="0.0126939351198872"/>
        <n v="0.0127970749542962"/>
        <n v="0.0128331688055281"/>
        <n v="0.012884455527847"/>
        <n v="0.0129032258064516"/>
        <n v="0.0129147625670574"/>
        <n v="0.0129259694477086"/>
        <n v="0.0129975629569456"/>
        <n v="0.0129990714948932"/>
        <n v="0.0130226182316655"/>
        <n v="0.0130280300039479"/>
        <n v="0.0130353817504655"/>
        <n v="0.0130548302872063"/>
        <n v="0.0130714285714286"/>
        <n v="0.0130983567516075"/>
        <n v="0.0131428571428571"/>
        <n v="0.0131578947368421"/>
        <n v="0.0131795716639209"/>
        <n v="0.0131926121372032"/>
        <n v="0.0131979695431472"/>
        <n v="0.0132075471698113"/>
        <n v="0.013219139824986"/>
        <n v="0.0132827324478178"/>
        <n v="0.0133333333333333"/>
        <n v="0.0134028294862249"/>
        <n v="0.0134083044982699"/>
        <n v="0.0134310134310134"/>
        <n v="0.0134907251264755"/>
        <n v="0.0135184508586043"/>
        <n v="0.013531799729364"/>
        <n v="0.0135635018495684"/>
        <n v="0.0136121522982837"/>
        <n v="0.0136570561456753"/>
        <n v="0.0136986301369863"/>
        <n v="0.0137080191912269"/>
        <n v="0.0138067061143984"/>
        <n v="0.0138530171401738"/>
        <n v="0.0138575572027071"/>
        <n v="0.0138820029747149"/>
        <n v="0.0138951142985208"/>
        <n v="0.0139064475347661"/>
        <n v="0.0139126189895045"/>
        <n v="0.0139742873113471"/>
        <n v="0.0139835066332019"/>
        <n v="0.0140114167099118"/>
        <n v="0.0140350877192982"/>
        <n v="0.0140587913091108"/>
        <n v="0.0140845070422535"/>
        <n v="0.0141185962081484"/>
        <n v="0.0141342756183746"/>
        <n v="0.0141843971631206"/>
        <n v="0.0141955835962145"/>
        <n v="0.014218009478673"/>
        <n v="0.0142387732749179"/>
        <n v="0.0142428785607196"/>
        <n v="0.014336917562724"/>
        <n v="0.0143581081081081"/>
        <n v="0.0144048521607278"/>
        <n v="0.0144092219020173"/>
        <n v="0.0144927536231884"/>
        <n v="0.0145167980091248"/>
        <n v="0.0145454545454545"/>
        <n v="0.0145985401459854"/>
        <n v="0.0146750524109015"/>
        <n v="0.0147145379635079"/>
        <n v="0.0147783251231527"/>
        <n v="0.0148698884758364"/>
        <n v="0.0148890092041148"/>
        <n v="0.0149253731343284"/>
        <n v="0.0149649554839932"/>
        <n v="0.0149960536700868"/>
        <n v="0.0150044130626655"/>
        <n v="0.0150284321689683"/>
        <n v="0.0150478796169631"/>
        <n v="0.0150880134115675"/>
        <n v="0.0150943396226415"/>
        <n v="0.015127132281944"/>
        <n v="0.0151351351351351"/>
        <n v="0.0151664368721686"/>
        <n v="0.0151975683890578"/>
        <n v="0.0152634170359429"/>
        <n v="0.0153267784846732"/>
        <n v="0.0153349475383374"/>
        <n v="0.0153374233128834"/>
        <n v="0.0153903345724907"/>
        <n v="0.015459723352319"/>
        <n v="0.0154759380962476"/>
        <n v="0.0154968094804011"/>
        <n v="0.0155091031692515"/>
        <n v="0.0155912688894219"/>
        <n v="0.015625"/>
        <n v="0.0156486622917718"/>
        <n v="0.015676266861101"/>
        <n v="0.0156893508531085"/>
        <n v="0.0157133878064111"/>
        <n v="0.015748031496063"/>
        <n v="0.0157728706624606"/>
        <n v="0.0158102766798419"/>
        <n v="0.0159453302961276"/>
        <n v="0.0160226201696513"/>
        <n v="0.0160520607375271"/>
        <n v="0.016057396651862"/>
        <n v="0.0161290322580645"/>
        <n v="0.016140350877193"/>
        <n v="0.0161943319838057"/>
        <n v="0.0162162162162162"/>
        <n v="0.0163934426229508"/>
        <n v="0.0165261382799325"/>
        <n v="0.0165631469979296"/>
        <n v="0.0167095115681234"/>
        <n v="0.0167364016736402"/>
        <n v="0.0167865707434053"/>
        <n v="0.0168918918918919"/>
        <n v="0.0169491525423729"/>
        <n v="0.0170380078636959"/>
        <n v="0.017156862745098"/>
        <n v="0.0171990171990172"/>
        <n v="0.0172361657091019"/>
        <n v="0.0172576090367116"/>
        <n v="0.0174672489082969"/>
        <n v="0.0174966352624495"/>
        <n v="0.0175438596491228"/>
        <n v="0.0175953079178886"/>
        <n v="0.0177935943060498"/>
        <n v="0.0178246635140051"/>
        <n v="0.0179461615154536"/>
        <n v="0.0181159420289855"/>
        <n v="0.0181818181818182"/>
        <n v="0.0184049079754601"/>
        <n v="0.0184409052808047"/>
        <n v="0.0184414039262344"/>
        <n v="0.0184530820573223"/>
        <n v="0.0185387131952017"/>
        <n v="0.0185592953759044"/>
        <n v="0.0186210367388022"/>
        <n v="0.0186915887850467"/>
        <n v="0.0187764990914597"/>
        <n v="0.018796992481203"/>
        <n v="0.0188189487345879"/>
        <n v="0.0189328743545611"/>
        <n v="0.0190735694822888"/>
        <n v="0.0191204588910134"/>
        <n v="0.0191387559808612"/>
        <n v="0.0192106182326231"/>
        <n v="0.0193704600484262"/>
        <n v="0.0194113963681904"/>
        <n v="0.0194552529182879"/>
        <n v="0.0194846008799497"/>
        <n v="0.0195530726256983"/>
        <n v="0.0196078431372549"/>
        <n v="0.0196671709531014"/>
        <n v="0.0197926484448633"/>
        <n v="0.0198319327731092"/>
        <n v="0.019907100199071"/>
        <n v="0.02"/>
        <n v="0.0200348432055749"/>
        <n v="0.0200907323395982"/>
        <n v="0.0201612903225806"/>
        <n v="0.020260054429997"/>
        <n v="0.0203562340966921"/>
        <n v="0.0204081632653061"/>
        <n v="0.0204516129032258"/>
        <n v="0.0205607476635514"/>
        <n v="0.0205680705190989"/>
        <n v="0.0206978119455943"/>
        <n v="0.0207419226166733"/>
        <n v="0.0208"/>
        <n v="0.0208078335373317"/>
        <n v="0.02088772845953"/>
        <n v="0.0209440450140669"/>
        <n v="0.0210297316896302"/>
        <n v="0.0210390725633319"/>
        <n v="0.0210562651018295"/>
        <n v="0.0213414634146341"/>
        <n v="0.0213592233009709"/>
        <n v="0.0214168039538715"/>
        <n v="0.0214285714285714"/>
        <n v="0.0214765100671141"/>
        <n v="0.0215982721382289"/>
        <n v="0.021602787456446"/>
        <n v="0.0217391304347826"/>
        <n v="0.0218047635021805"/>
        <n v="0.0218209179834462"/>
        <n v="0.0218613366645846"/>
        <n v="0.0219922380336352"/>
        <n v="0.0220934444042014"/>
        <n v="0.0221667187012176"/>
        <n v="0.0221739130434783"/>
        <n v="0.0223295111647556"/>
        <n v="0.0224606101240362"/>
        <n v="0.0224719101123595"/>
        <n v="0.0225563909774436"/>
        <n v="0.0226244343891403"/>
        <n v="0.0228013029315961"/>
        <n v="0.02291917973462"/>
        <n v="0.0229459659511473"/>
        <n v="0.022964509394572"/>
        <n v="0.0229885057471264"/>
        <n v="0.0231195050472159"/>
        <n v="0.023304347826087"/>
        <n v="0.0233372228704784"/>
        <n v="0.0233863423760524"/>
        <n v="0.0235042735042735"/>
        <n v="0.023728813559322"/>
        <n v="0.0238233585124927"/>
        <n v="0.0238611713665944"/>
        <n v="0.024"/>
        <n v="0.0240963855421687"/>
        <n v="0.0242013552758954"/>
        <n v="0.0242990654205607"/>
        <n v="0.024390243902439"/>
        <n v="0.0244293151782139"/>
        <n v="0.0245188505141049"/>
        <n v="0.0245261984392419"/>
        <n v="0.0248306997742664"/>
        <n v="0.0250696378830084"/>
        <n v="0.0252707581227437"/>
        <n v="0.0253411306042885"/>
        <n v="0.0253807106598985"/>
        <n v="0.0255639097744361"/>
        <n v="0.025974025974026"/>
        <n v="0.0260399053094352"/>
        <n v="0.0260521042084168"/>
        <n v="0.0260981912144703"/>
        <n v="0.0262172284644195"/>
        <n v="0.0262857142857143"/>
        <n v="0.0264005151320026"/>
        <n v="0.0264078905504295"/>
        <n v="0.0264423076923077"/>
        <n v="0.0264797507788162"/>
        <n v="0.0265486725663717"/>
        <n v="0.026676279740447"/>
        <n v="0.0267022696929239"/>
        <n v="0.027027027027027"/>
        <n v="0.0274079874706343"/>
        <n v="0.0275423728813559"/>
        <n v="0.0279542566709022"/>
        <n v="0.0280220904070362"/>
        <n v="0.0282685512367491"/>
        <n v="0.0283400809716599"/>
        <n v="0.0283860502838605"/>
        <n v="0.0286181520850368"/>
        <n v="0.0287769784172662"/>
        <n v="0.029126213592233"/>
        <n v="0.0292134831460674"/>
        <n v="0.0293225480283114"/>
        <n v="0.0293282876064333"/>
        <n v="0.0294117647058823"/>
        <n v="0.0301475304682489"/>
        <n v="0.0302351623740202"/>
        <n v="0.0303030303030303"/>
        <n v="0.0305206463195691"/>
        <n v="0.0309555854643338"/>
        <n v="0.0311778290993072"/>
        <n v="0.0313390313390313"/>
        <n v="0.031886285055705"/>
        <n v="0.032258064516129"/>
        <n v="0.0324074074074074"/>
        <n v="0.0332522303325223"/>
        <n v="0.0333716915995397"/>
        <n v="0.0335820895522388"/>
        <n v="0.0344827586206897"/>
        <n v="0.0357142857142857"/>
        <n v="0.036144578313253"/>
        <n v="0.0372"/>
        <n v="0.0378006872852234"/>
        <n v="0.0381895332390382"/>
        <n v="0.0388349514563107"/>
        <n v="0.04"/>
        <n v="0.0410677618069815"/>
        <n v="0.0412135088723526"/>
        <n v="0.0422919508867667"/>
        <n v="0.0422984836392658"/>
        <n v="0.0441412520064205"/>
        <n v="0.0452876376988984"/>
        <n v="0.0459770114942529"/>
        <n v="0.0470139771283355"/>
        <n v="0.0487329434697856"/>
        <n v="0.0504807692307692"/>
        <n v="0.0526315789473684"/>
        <n v="0.0532544378698225"/>
        <n v="0.0555555555555556"/>
        <n v="0.0582750582750583"/>
        <n v="0.0594059405940594"/>
        <n v="0.0649350649350649"/>
        <n v="0.0666666666666667"/>
        <n v="0.0794979079497908"/>
        <n v="0.083969465648855"/>
        <n v="0.0846707249584947"/>
        <n v="0.0859630032644179"/>
        <n v="0.180327868852459"/>
        <n v="0.5264"/>
      </sharedItems>
    </cacheField>
    <cacheField name=" Setup rej " numFmtId="0">
      <sharedItems containsSemiMixedTypes="0" containsString="0" containsNumber="1" minValue="0" maxValue="0.348258706467662" count="482">
        <n v="0"/>
        <n v="0.000415627597672486"/>
        <n v="0.000443852640923214"/>
        <n v="0.00049825610363727"/>
        <n v="0.000724900326205147"/>
        <n v="0.000796812749003984"/>
        <n v="0.000798084596967279"/>
        <n v="0.000866551126516464"/>
        <n v="0.000885739592559787"/>
        <n v="0.000998003992015968"/>
        <n v="0.00124378109452736"/>
        <n v="0.00150262960180316"/>
        <n v="0.00158478605388273"/>
        <n v="0.00158982511923688"/>
        <n v="0.0017683465959328"/>
        <n v="0.00189214758751183"/>
        <n v="0.00198314328210213"/>
        <n v="0.00198807157057654"/>
        <n v="0.00237435694499406"/>
        <n v="0.00264666960741067"/>
        <n v="0.0027002700270027"/>
        <n v="0.00271278399457443"/>
        <n v="0.00277585010409438"/>
        <n v="0.00292397660818713"/>
        <n v="0.00293685756240822"/>
        <n v="0.00317145688800793"/>
        <n v="0.00323974082073434"/>
        <n v="0.00330360092500826"/>
        <n v="0.00349344978165939"/>
        <n v="0.00349895031490553"/>
        <n v="0.0035810205908684"/>
        <n v="0.00359066427289048"/>
        <n v="0.00363504180298073"/>
        <n v="0.00368098159509202"/>
        <n v="0.00371057513914657"/>
        <n v="0.00394632991318074"/>
        <n v="0.00412898151789225"/>
        <n v="0.00417422867513612"/>
        <n v="0.0041780199818347"/>
        <n v="0.00420315236427321"/>
        <n v="0.00432050274941084"/>
        <n v="0.00432632880098887"/>
        <n v="0.00444664031620553"/>
        <n v="0.0046279155868197"/>
        <n v="0.00468566966028895"/>
        <n v="0.00470588235294118"/>
        <n v="0.00472999605833662"/>
        <n v="0.00482509047044632"/>
        <n v="0.0048433968356474"/>
        <n v="0.00492408699220353"/>
        <n v="0.00497048772910842"/>
        <n v="0.00498430865792874"/>
        <n v="0.00499075785582255"/>
        <n v="0.00515463917525773"/>
        <n v="0.00525394045534151"/>
        <n v="0.00525854513584575"/>
        <n v="0.00526711813393529"/>
        <n v="0.00526726492391728"/>
        <n v="0.0053212455656287"/>
        <n v="0.00536062378167641"/>
        <n v="0.00538292145828236"/>
        <n v="0.00540930400288496"/>
        <n v="0.00542168674698795"/>
        <n v="0.00542406311637081"/>
        <n v="0.0054367524465386"/>
        <n v="0.00544267053701016"/>
        <n v="0.00547045951859956"/>
        <n v="0.00551977920883165"/>
        <n v="0.0055238445958387"/>
        <n v="0.00559179869524697"/>
        <n v="0.0056390977443609"/>
        <n v="0.00573065902578797"/>
        <n v="0.00576576576576577"/>
        <n v="0.00579500181093807"/>
        <n v="0.0058027079303675"/>
        <n v="0.00581135449262405"/>
        <n v="0.00585251658213032"/>
        <n v="0.00586510263929619"/>
        <n v="0.00587911078449385"/>
        <n v="0.00587920897915553"/>
        <n v="0.00588451636631114"/>
        <n v="0.00591949486977111"/>
        <n v="0.00594149908592322"/>
        <n v="0.00594530321046373"/>
        <n v="0.00600961538461539"/>
        <n v="0.00601503759398496"/>
        <n v="0.00601604278074866"/>
        <n v="0.00601684717208183"/>
        <n v="0.00602409638554217"/>
        <n v="0.00602954476936991"/>
        <n v="0.00607416879795396"/>
        <n v="0.00616903146206046"/>
        <n v="0.00622325943212758"/>
        <n v="0.00624755954705193"/>
        <n v="0.00627943485086342"/>
        <n v="0.00632911392405063"/>
        <n v="0.00636942675159236"/>
        <n v="0.00637213254035684"/>
        <n v="0.00639163277164439"/>
        <n v="0.00647482014388489"/>
        <n v="0.00649350649350649"/>
        <n v="0.00649734199645599"/>
        <n v="0.00654878847413229"/>
        <n v="0.00658787056771943"/>
        <n v="0.0066006600660066"/>
        <n v="0.006640625"/>
        <n v="0.00667556742323098"/>
        <n v="0.00670578373847443"/>
        <n v="0.00675675675675676"/>
        <n v="0.00677966101694915"/>
        <n v="0.00678899082568807"/>
        <n v="0.00679501698754247"/>
        <n v="0.00681729645500584"/>
        <n v="0.00682261208576998"/>
        <n v="0.00684931506849315"/>
        <n v="0.00695047784535187"/>
        <n v="0.00696864111498258"/>
        <n v="0.00698215671062839"/>
        <n v="0.00698529411764706"/>
        <n v="0.00708955223880597"/>
        <n v="0.00710479573712256"/>
        <n v="0.00718778077268643"/>
        <n v="0.0072202166064982"/>
        <n v="0.00726392251815981"/>
        <n v="0.0072992700729927"/>
        <n v="0.00730816077953715"/>
        <n v="0.0073385518590998"/>
        <n v="0.00735294117647059"/>
        <n v="0.00737327188940092"/>
        <n v="0.00737797956867196"/>
        <n v="0.0073823438941864"/>
        <n v="0.00741198270537369"/>
        <n v="0.00743494423791822"/>
        <n v="0.0074580484773151"/>
        <n v="0.00747663551401869"/>
        <n v="0.00748727163821503"/>
        <n v="0.00749625187406297"/>
        <n v="0.0075046904315197"/>
        <n v="0.00757411815624324"/>
        <n v="0.0075790385448246"/>
        <n v="0.00758785942492013"/>
        <n v="0.0076555023923445"/>
        <n v="0.00773694390715667"/>
        <n v="0.00773993808049536"/>
        <n v="0.00776849873761895"/>
        <n v="0.00777000777000777"/>
        <n v="0.00777934936350778"/>
        <n v="0.00778210116731518"/>
        <n v="0.00779727095516569"/>
        <n v="0.00781860828772478"/>
        <n v="0.00788412174550788"/>
        <n v="0.00789473684210526"/>
        <n v="0.00801603206412826"/>
        <n v="0.00808500808500808"/>
        <n v="0.00813008130081301"/>
        <n v="0.00813338755591704"/>
        <n v="0.00816167897396036"/>
        <n v="0.00816522574447646"/>
        <n v="0.00821815465072843"/>
        <n v="0.00823874038813621"/>
        <n v="0.00830288940551312"/>
        <n v="0.00832365466511808"/>
        <n v="0.00835421888053467"/>
        <n v="0.0083993280537557"/>
        <n v="0.0084005376344086"/>
        <n v="0.00842223469960696"/>
        <n v="0.00844772967265048"/>
        <n v="0.00850340136054422"/>
        <n v="0.0085397096498719"/>
        <n v="0.00856979622928966"/>
        <n v="0.00857959961868446"/>
        <n v="0.00875"/>
        <n v="0.00877535101404056"/>
        <n v="0.00886524822695036"/>
        <n v="0.00890207715133531"/>
        <n v="0.00890736342042755"/>
        <n v="0.00894759267149553"/>
        <n v="0.00896860986547085"/>
        <n v="0.00903010033444816"/>
        <n v="0.00905966885348329"/>
        <n v="0.00909918107370337"/>
        <n v="0.00914634146341463"/>
        <n v="0.00916546068499759"/>
        <n v="0.00919963201471941"/>
        <n v="0.00921076395159834"/>
        <n v="0.00921234454168586"/>
        <n v="0.00921942224953903"/>
        <n v="0.00928433268858801"/>
        <n v="0.00929073192839338"/>
        <n v="0.00930232558139535"/>
        <n v="0.00934922089825848"/>
        <n v="0.0093812375249501"/>
        <n v="0.00938337801608579"/>
        <n v="0.00941662838768948"/>
        <n v="0.00944881889763779"/>
        <n v="0.00946073793755913"/>
        <n v="0.00954198473282443"/>
        <n v="0.00962566844919786"/>
        <n v="0.00966702470461869"/>
        <n v="0.00968523002421308"/>
        <n v="0.00968992248062015"/>
        <n v="0.00972573429293912"/>
        <n v="0.0097444781290602"/>
        <n v="0.00980911983032874"/>
        <n v="0.00989853996535511"/>
        <n v="0.010016694490818"/>
        <n v="0.0100484478736767"/>
        <n v="0.0100541376643465"/>
        <n v="0.0100882723833544"/>
        <n v="0.0101052631578947"/>
        <n v="0.0101626016260163"/>
        <n v="0.0102726195179771"/>
        <n v="0.0102832751261156"/>
        <n v="0.0103159252095422"/>
        <n v="0.0104275286757039"/>
        <n v="0.0104679802955665"/>
        <n v="0.0105722822339692"/>
        <n v="0.0106496272630458"/>
        <n v="0.0107142857142857"/>
        <n v="0.0107671601615074"/>
        <n v="0.0109289617486339"/>
        <n v="0.0109546165884194"/>
        <n v="0.0110395584176633"/>
        <n v="0.0111040609137056"/>
        <n v="0.0111621799080762"/>
        <n v="0.0111749680715198"/>
        <n v="0.0114795918367347"/>
        <n v="0.0115429011158138"/>
        <n v="0.0116472545757072"/>
        <n v="0.0116867939228672"/>
        <n v="0.0118343195266272"/>
        <n v="0.011873840445269"/>
        <n v="0.01194743130227"/>
        <n v="0.011966801775719"/>
        <n v="0.0119722747321991"/>
        <n v="0.0120611096220852"/>
        <n v="0.0120967741935484"/>
        <n v="0.0121212121212121"/>
        <n v="0.012187690432663"/>
        <n v="0.0122249388753056"/>
        <n v="0.012396694214876"/>
        <n v="0.0124250214224507"/>
        <n v="0.0124939932724652"/>
        <n v="0.012561686855092"/>
        <n v="0.0125667609173735"/>
        <n v="0.0125707102451288"/>
        <n v="0.0125756870051234"/>
        <n v="0.012586532410321"/>
        <n v="0.0126692878986457"/>
        <n v="0.0128988458927359"/>
        <n v="0.0129107981220657"/>
        <n v="0.0130039011703511"/>
        <n v="0.0130556419023935"/>
        <n v="0.0130742049469965"/>
        <n v="0.0130973451327434"/>
        <n v="0.0131386861313869"/>
        <n v="0.0131434830230011"/>
        <n v="0.0131909547738693"/>
        <n v="0.0132236262121657"/>
        <n v="0.013262599469496"/>
        <n v="0.0132827324478178"/>
        <n v="0.0132875143184422"/>
        <n v="0.013328530259366"/>
        <n v="0.0133426966292135"/>
        <n v="0.0134615384615385"/>
        <n v="0.0134719014626636"/>
        <n v="0.0135135135135135"/>
        <n v="0.0136186770428016"/>
        <n v="0.0137030995106036"/>
        <n v="0.0137931034482759"/>
        <n v="0.0138461538461538"/>
        <n v="0.0138512496236073"/>
        <n v="0.0138626339004411"/>
        <n v="0.013873473917869"/>
        <n v="0.0138888888888889"/>
        <n v="0.0139192682441837"/>
        <n v="0.0141145139813582"/>
        <n v="0.0141776937618147"/>
        <n v="0.014246947082768"/>
        <n v="0.0143540669856459"/>
        <n v="0.0144167758846658"/>
        <n v="0.0144356955380577"/>
        <n v="0.0146029814420444"/>
        <n v="0.0146735143066764"/>
        <n v="0.0146829115901281"/>
        <n v="0.0147255689424364"/>
        <n v="0.0147368421052632"/>
        <n v="0.0148080991236023"/>
        <n v="0.0150474321229964"/>
        <n v="0.0152761457109283"/>
        <n v="0.0153939028071235"/>
        <n v="0.015429403202329"/>
        <n v="0.0154875043998592"/>
        <n v="0.0155288602402578"/>
        <n v="0.0155971479500891"/>
        <n v="0.0156709108716944"/>
        <n v="0.015748031496063"/>
        <n v="0.0157740278796772"/>
        <n v="0.0158102766798419"/>
        <n v="0.0159051474840949"/>
        <n v="0.0161498708010336"/>
        <n v="0.0161591050341827"/>
        <n v="0.0161870503597122"/>
        <n v="0.0161917098445596"/>
        <n v="0.0164674035641778"/>
        <n v="0.0164835164835165"/>
        <n v="0.0165056360708535"/>
        <n v="0.0165916093861105"/>
        <n v="0.0165940676208256"/>
        <n v="0.0166636147225783"/>
        <n v="0.0166724557137895"/>
        <n v="0.0167580743449116"/>
        <n v="0.0170454545454545"/>
        <n v="0.0171984611903146"/>
        <n v="0.0172149961744453"/>
        <n v="0.0172257479601088"/>
        <n v="0.0174237710018668"/>
        <n v="0.0174278846153846"/>
        <n v="0.0175261206605999"/>
        <n v="0.0175980240815066"/>
        <n v="0.0176252319109462"/>
        <n v="0.017736214124476"/>
        <n v="0.017933390264731"/>
        <n v="0.01806684733514"/>
        <n v="0.0180722891566265"/>
        <n v="0.0182054616384915"/>
        <n v="0.0183374083129584"/>
        <n v="0.0183887915936953"/>
        <n v="0.0187425860023725"/>
        <n v="0.0190389845874887"/>
        <n v="0.01904296875"/>
        <n v="0.0190657769304099"/>
        <n v="0.0193192272309108"/>
        <n v="0.019346230820547"/>
        <n v="0.0193602693602694"/>
        <n v="0.0194126431060229"/>
        <n v="0.0196188340807175"/>
        <n v="0.0197368421052632"/>
        <n v="0.0197520487497373"/>
        <n v="0.01985559566787"/>
        <n v="0.01998001998002"/>
        <n v="0.0201279157261099"/>
        <n v="0.0201612903225806"/>
        <n v="0.0203915171288744"/>
        <n v="0.0204081632653061"/>
        <n v="0.0205601907032181"/>
        <n v="0.0206456456456456"/>
        <n v="0.0207622298065984"/>
        <n v="0.0207900207900208"/>
        <n v="0.0208333333333333"/>
        <n v="0.0209142515685689"/>
        <n v="0.0209371884346959"/>
        <n v="0.0211764705882353"/>
        <n v="0.0211878009630819"/>
        <n v="0.0214532871972318"/>
        <n v="0.021484375"/>
        <n v="0.0214943705220061"/>
        <n v="0.021694637740483"/>
        <n v="0.0217391304347826"/>
        <n v="0.0218041898247114"/>
        <n v="0.0218068535825545"/>
        <n v="0.0218181818181818"/>
        <n v="0.0219603642206749"/>
        <n v="0.022090852520224"/>
        <n v="0.022108843537415"/>
        <n v="0.0221774193548387"/>
        <n v="0.0222112537018756"/>
        <n v="0.0223137658771026"/>
        <n v="0.0223463687150838"/>
        <n v="0.0223529411764706"/>
        <n v="0.0225770925110132"/>
        <n v="0.0226055919095776"/>
        <n v="0.0228310502283105"/>
        <n v="0.0229166666666667"/>
        <n v="0.0229226361031519"/>
        <n v="0.0230547550432277"/>
        <n v="0.0232959447799827"/>
        <n v="0.0235404896421846"/>
        <n v="0.0237529691211401"/>
        <n v="0.0238611713665944"/>
        <n v="0.0238679455721615"/>
        <n v="0.0239324260910371"/>
        <n v="0.0240302094061105"/>
        <n v="0.0242214532871972"/>
        <n v="0.0244003308519438"/>
        <n v="0.0249382161312065"/>
        <n v="0.0252667040988209"/>
        <n v="0.02551950419249"/>
        <n v="0.0255220417633411"/>
        <n v="0.0256629597946963"/>
        <n v="0.0258564964447317"/>
        <n v="0.0259665320253895"/>
        <n v="0.025989138867339"/>
        <n v="0.0261020881670534"/>
        <n v="0.0267777447188337"/>
        <n v="0.0269691780821918"/>
        <n v="0.0271659324522761"/>
        <n v="0.027266530334015"/>
        <n v="0.0277136258660508"/>
        <n v="0.0280612244897959"/>
        <n v="0.028169014084507"/>
        <n v="0.0281995661605206"/>
        <n v="0.0291878172588832"/>
        <n v="0.0294117647058823"/>
        <n v="0.0297872340425532"/>
        <n v="0.0306306306306306"/>
        <n v="0.0306748466257669"/>
        <n v="0.0308310991957105"/>
        <n v="0.0310391363022942"/>
        <n v="0.0313479623824451"/>
        <n v="0.0315855969677827"/>
        <n v="0.0316678395496129"/>
        <n v="0.0319284802043423"/>
        <n v="0.0324384787472036"/>
        <n v="0.0325538743695552"/>
        <n v="0.0335392762577229"/>
        <n v="0.0337078651685393"/>
        <n v="0.0339138405132906"/>
        <n v="0.0340599455040872"/>
        <n v="0.0349703512239623"/>
        <n v="0.0352112676056338"/>
        <n v="0.0354648038688877"/>
        <n v="0.0355029585798817"/>
        <n v="0.0355067785668173"/>
        <n v="0.036026762738034"/>
        <n v="0.0361613351877608"/>
        <n v="0.0361663652802893"/>
        <n v="0.0366358712965913"/>
        <n v="0.0367965367965368"/>
        <n v="0.0379572118702553"/>
        <n v="0.038"/>
        <n v="0.0383048084759576"/>
        <n v="0.0393310622483741"/>
        <n v="0.0402116402116402"/>
        <n v="0.0412371134020619"/>
        <n v="0.0416233090530697"/>
        <n v="0.0419235511713933"/>
        <n v="0.0419393218322427"/>
        <n v="0.0420070011668611"/>
        <n v="0.0420972062763108"/>
        <n v="0.0422794117647059"/>
        <n v="0.0442604226156482"/>
        <n v="0.0446507515473033"/>
        <n v="0.0449653193016025"/>
        <n v="0.0463414634146341"/>
        <n v="0.0481761871988988"/>
        <n v="0.0491071428571429"/>
        <n v="0.0499390986601705"/>
        <n v="0.0503833515881709"/>
        <n v="0.0512820512820513"/>
        <n v="0.0513126491646778"/>
        <n v="0.052863436123348"/>
        <n v="0.0536231884057971"/>
        <n v="0.0564796905222437"/>
        <n v="0.0566171266808209"/>
        <n v="0.0569148936170213"/>
        <n v="0.0572337042925278"/>
        <n v="0.0587889476778366"/>
        <n v="0.0602409638554217"/>
        <n v="0.0625294950448325"/>
        <n v="0.0651906519065191"/>
        <n v="0.0665275241325333"/>
        <n v="0.0677368833202819"/>
        <n v="0.0678733031674208"/>
        <n v="0.0686658715283694"/>
        <n v="0.0691344583560152"/>
        <n v="0.0716145833333333"/>
        <n v="0.0769653655854865"/>
        <n v="0.0785854616895874"/>
        <n v="0.0831202046035806"/>
        <n v="0.0849933598937583"/>
        <n v="0.105263157894737"/>
        <n v="0.121387283236994"/>
        <n v="0.128951747088186"/>
        <n v="0.150179856115108"/>
        <n v="0.156017830609212"/>
        <n v="0.171043293115685"/>
        <n v="0.212707182320442"/>
        <n v="0.244089091947459"/>
        <n v="0.250521920668058"/>
        <n v="0.335820895522388"/>
        <n v="0.348258706467662"/>
      </sharedItems>
    </cacheField>
    <cacheField name="Quality Ratio" numFmtId="0">
      <sharedItems containsSemiMixedTypes="0" containsString="0" containsNumber="1" minValue="0.522496371552975" maxValue="1" count="959">
        <n v="0.522496371552975"/>
        <n v="0.915329275041505"/>
        <n v="0.916030534351145"/>
        <n v="0.927631578947369"/>
        <n v="0.93236301369863"/>
        <n v="0.937434827945777"/>
        <n v="0.941176470588235"/>
        <n v="0.943661971830986"/>
        <n v="0.944444444444444"/>
        <n v="0.946695095948827"/>
        <n v="0.947075208913649"/>
        <n v="0.95054945054945"/>
        <n v="0.951456310679612"/>
        <n v="0.953095684803002"/>
        <n v="0.954151177199504"/>
        <n v="0.955357142857143"/>
        <n v="0.95585874799358"/>
        <n v="0.957324106113033"/>
        <n v="0.957671957671958"/>
        <n v="0.958932238193018"/>
        <n v="0.95910290237467"/>
        <n v="0.960240060015004"/>
        <n v="0.961081081081081"/>
        <n v="0.961864406779661"/>
        <n v="0.9628"/>
        <n v="0.96298010180472"/>
        <n v="0.963157894736842"/>
        <n v="0.964169381107492"/>
        <n v="0.964473684210526"/>
        <n v="0.965130759651307"/>
        <n v="0.965349965349965"/>
        <n v="0.966417910447761"/>
        <n v="0.966747769667478"/>
        <n v="0.967441860465116"/>
        <n v="0.967462039045553"/>
        <n v="0.967592592592593"/>
        <n v="0.968026460859978"/>
        <n v="0.968948746726525"/>
        <n v="0.969125214408233"/>
        <n v="0.969811320754717"/>
        <n v="0.969842657342657"/>
        <n v="0.96986301369863"/>
        <n v="0.97037037037037"/>
        <n v="0.97054698457223"/>
        <n v="0.971065182829889"/>
        <n v="0.97131931166348"/>
        <n v="0.971332209106239"/>
        <n v="0.971349353049908"/>
        <n v="0.971428571428571"/>
        <n v="0.97161394971614"/>
        <n v="0.971731448763251"/>
        <n v="0.971757322175732"/>
        <n v="0.971953578336557"/>
        <n v="0.971954425942156"/>
        <n v="0.971977909592964"/>
        <n v="0.972185430463576"/>
        <n v="0.972222222222222"/>
        <n v="0.972434915773354"/>
        <n v="0.972514619883041"/>
        <n v="0.972972972972973"/>
        <n v="0.973096912259248"/>
        <n v="0.973128598848369"/>
        <n v="0.973169796857033"/>
        <n v="0.97319587628866"/>
        <n v="0.973451327433628"/>
        <n v="0.973736047275115"/>
        <n v="0.973833543505675"/>
        <n v="0.973860826563052"/>
        <n v="0.97390180878553"/>
        <n v="0.974099810486418"/>
        <n v="0.97442143727162"/>
        <n v="0.974427100631019"/>
        <n v="0.974436090225564"/>
        <n v="0.974531835205993"/>
        <n v="0.974550484094053"/>
        <n v="0.974566473988439"/>
        <n v="0.974603174603175"/>
        <n v="0.974830103196577"/>
        <n v="0.974852071005917"/>
        <n v="0.974892395982783"/>
        <n v="0.974930362116992"/>
        <n v="0.975111996017919"/>
        <n v="0.975552421250588"/>
        <n v="0.975570684821786"/>
        <n v="0.975620567375887"/>
        <n v="0.975640224859463"/>
        <n v="0.975974372664175"/>
        <n v="0.976"/>
        <n v="0.976049674748669"/>
        <n v="0.976220672162333"/>
        <n v="0.976267529665588"/>
        <n v="0.976270155156678"/>
        <n v="0.976284584980237"/>
        <n v="0.976495726495726"/>
        <n v="0.976572958500669"/>
        <n v="0.976645435244161"/>
        <n v="0.97669256381798"/>
        <n v="0.976709241172051"/>
        <n v="0.976787372330548"/>
        <n v="0.97687456201822"/>
        <n v="0.977129788450543"/>
        <n v="0.977158774373259"/>
        <n v="0.977168949771689"/>
        <n v="0.977198697068404"/>
        <n v="0.977234114848794"/>
        <n v="0.977257298031229"/>
        <n v="0.977272727272727"/>
        <n v="0.977364001460387"/>
        <n v="0.977551020408163"/>
        <n v="0.977615571776156"/>
        <n v="0.977721196690006"/>
        <n v="0.977826086956522"/>
        <n v="0.977834072197593"/>
        <n v="0.9778410889522"/>
        <n v="0.977896029471961"/>
        <n v="0.977900552486188"/>
        <n v="0.977957156162682"/>
        <n v="0.977981651376147"/>
        <n v="0.977998140687945"/>
        <n v="0.978003939592909"/>
        <n v="0.978050921861282"/>
        <n v="0.978220858895705"/>
        <n v="0.978234212139792"/>
        <n v="0.978274363749224"/>
        <n v="0.978299120234604"/>
        <n v="0.978354978354978"/>
        <n v="0.978357733927435"/>
        <n v="0.978408389882788"/>
        <n v="0.978498180615283"/>
        <n v="0.978543791769258"/>
        <n v="0.978567399887197"/>
        <n v="0.978571428571429"/>
        <n v="0.978596908442331"/>
        <n v="0.978679504814305"/>
        <n v="0.97869750456482"/>
        <n v="0.978867924528302"/>
        <n v="0.978933508887426"/>
        <n v="0.978943734898171"/>
        <n v="0.978954081632653"/>
        <n v="0.978964401294498"/>
        <n v="0.979002624671916"/>
        <n v="0.979154258487195"/>
        <n v="0.97921146953405"/>
        <n v="0.979291119076065"/>
        <n v="0.979344729344729"/>
        <n v="0.979351032448378"/>
        <n v="0.979430379746835"/>
        <n v="0.979439252336448"/>
        <n v="0.979443772672309"/>
        <n v="0.979460093896714"/>
        <n v="0.979490806223479"/>
        <n v="0.979497907949791"/>
        <n v="0.979503350413875"/>
        <n v="0.979527559055118"/>
        <n v="0.979548387096774"/>
        <n v="0.979550102249489"/>
        <n v="0.979554470552334"/>
        <n v="0.979572595851666"/>
        <n v="0.979601087941976"/>
        <n v="0.979637289214127"/>
        <n v="0.979643765903308"/>
        <n v="0.979838709677419"/>
        <n v="0.979857819905213"/>
        <n v="0.979895755770663"/>
        <n v="0.980047505938242"/>
        <n v="0.980059523809524"/>
        <n v="0.980092899800929"/>
        <n v="0.980168567178979"/>
        <n v="0.980191693290735"/>
        <n v="0.980276134122288"/>
        <n v="0.980377906976744"/>
        <n v="0.980500211954218"/>
        <n v="0.980549552330966"/>
        <n v="0.98062015503876"/>
        <n v="0.980637101811368"/>
        <n v="0.980643240023824"/>
        <n v="0.980649393243687"/>
        <n v="0.98072952512044"/>
        <n v="0.980732177263969"/>
        <n v="0.980769230769231"/>
        <n v="0.980809595202399"/>
        <n v="0.980824544582934"/>
        <n v="0.980832420591457"/>
        <n v="0.980845070422535"/>
        <n v="0.980861244019139"/>
        <n v="0.980883602378929"/>
        <n v="0.980923076923077"/>
        <n v="0.981132075471698"/>
        <n v="0.981203007518797"/>
        <n v="0.981220657276995"/>
        <n v="0.981392364453"/>
        <n v="0.981395348837209"/>
        <n v="0.981437125748503"/>
        <n v="0.981453634085213"/>
        <n v="0.98152221733392"/>
        <n v="0.981559094719195"/>
        <n v="0.981578947368421"/>
        <n v="0.981579768966594"/>
        <n v="0.98159509202454"/>
        <n v="0.981707317073171"/>
        <n v="0.981812169312169"/>
        <n v="0.981884057971014"/>
        <n v="0.981954309848339"/>
        <n v="0.981992448446123"/>
        <n v="0.982025164769323"/>
        <n v="0.982035928143712"/>
        <n v="0.982053838484546"/>
        <n v="0.98207171314741"/>
        <n v="0.982073498655512"/>
        <n v="0.982100238663485"/>
        <n v="0.982132221560453"/>
        <n v="0.982404692082111"/>
        <n v="0.982418371008253"/>
        <n v="0.982608695652174"/>
        <n v="0.982692307692308"/>
        <n v="0.9828141783029"/>
        <n v="0.982843137254902"/>
        <n v="0.982926829268293"/>
        <n v="0.982942430703625"/>
        <n v="0.982949701619778"/>
        <n v="0.982961992136304"/>
        <n v="0.983087330873309"/>
        <n v="0.98320033599328"/>
        <n v="0.98326359832636"/>
        <n v="0.983268983268983"/>
        <n v="0.983412322274882"/>
        <n v="0.983473861720067"/>
        <n v="0.983490566037736"/>
        <n v="0.983498349834984"/>
        <n v="0.983606557377049"/>
        <n v="0.983632357570035"/>
        <n v="0.983660130718954"/>
        <n v="0.983763132760267"/>
        <n v="0.983800202497469"/>
        <n v="0.983805668016194"/>
        <n v="0.983846542150429"/>
        <n v="0.983859649122807"/>
        <n v="0.983870967741935"/>
        <n v="0.983947939262473"/>
        <n v="0.984009840098401"/>
        <n v="0.984031936127744"/>
        <n v="0.98406747891284"/>
        <n v="0.984069312465064"/>
        <n v="0.984175084175084"/>
        <n v="0.984199438202247"/>
        <n v="0.984310649146892"/>
        <n v="0.984351337708228"/>
        <n v="0.984384149912161"/>
        <n v="0.984408731110578"/>
        <n v="0.984443061605476"/>
        <n v="0.984444444444444"/>
        <n v="0.98445778876722"/>
        <n v="0.984490896830748"/>
        <n v="0.984491315136476"/>
        <n v="0.984521238300936"/>
        <n v="0.984524061903752"/>
        <n v="0.984609665427509"/>
        <n v="0.984662576687117"/>
        <n v="0.984665052461663"/>
        <n v="0.984673221515327"/>
        <n v="0.984686681442676"/>
        <n v="0.984802431610942"/>
        <n v="0.984810126582278"/>
        <n v="0.984848484848485"/>
        <n v="0.984864864864865"/>
        <n v="0.984905660377359"/>
        <n v="0.984907497565725"/>
        <n v="0.984911717495987"/>
        <n v="0.984911986588432"/>
        <n v="0.984929671801742"/>
        <n v="0.984981470645602"/>
        <n v="0.984982332155477"/>
        <n v="0.984995586937334"/>
        <n v="0.985096153846154"/>
        <n v="0.985110663983904"/>
        <n v="0.985110990795885"/>
        <n v="0.98515625"/>
        <n v="0.985274431057564"/>
        <n v="0.985288640595903"/>
        <n v="0.985301322880941"/>
        <n v="0.985320023487962"/>
        <n v="0.985347408224358"/>
        <n v="0.985374771480804"/>
        <n v="0.985401459854015"/>
        <n v="0.985442546583851"/>
        <n v="0.985454545454545"/>
        <n v="0.985507246376812"/>
        <n v="0.985559566787004"/>
        <n v="0.985641891891892"/>
        <n v="0.985649856498565"/>
        <n v="0.985719654265314"/>
        <n v="0.985727029438002"/>
        <n v="0.985815602836879"/>
        <n v="0.985826771653543"/>
        <n v="0.985894798707023"/>
        <n v="0.98590021691974"/>
        <n v="0.985915492957746"/>
        <n v="0.985928705440901"/>
        <n v="0.985947161326588"/>
        <n v="0.985964912280702"/>
        <n v="0.986016779864163"/>
        <n v="0.986025712688653"/>
        <n v="0.986027944111776"/>
        <n v="0.98606334841629"/>
        <n v="0.986072423398329"/>
        <n v="0.986093552465234"/>
        <n v="0.986117997025285"/>
        <n v="0.98615548455804"/>
        <n v="0.986200551977921"/>
        <n v="0.98620522749274"/>
        <n v="0.98625343664084"/>
        <n v="0.986283185840708"/>
        <n v="0.986294416243655"/>
        <n v="0.986301369863014"/>
        <n v="0.986318803690741"/>
        <n v="0.986376021798365"/>
        <n v="0.986394557823129"/>
        <n v="0.986414920561824"/>
        <n v="0.986425339366516"/>
        <n v="0.986494421608925"/>
        <n v="0.986509274873524"/>
        <n v="0.986559139784946"/>
        <n v="0.986568986568987"/>
        <n v="0.986582184122251"/>
        <n v="0.986590680522964"/>
        <n v="0.98659217877095"/>
        <n v="0.986706689536878"/>
        <n v="0.986708510245523"/>
        <n v="0.986728599867286"/>
        <n v="0.986743793685225"/>
        <n v="0.986771540936718"/>
        <n v="0.986807387862797"/>
        <n v="0.986817325800377"/>
        <n v="0.986820428336079"/>
        <n v="0.986832204665162"/>
        <n v="0.986842105263158"/>
        <n v="0.986857142857143"/>
        <n v="0.986878580669008"/>
        <n v="0.986901643248392"/>
        <n v="0.986928571428571"/>
        <n v="0.98695652173913"/>
        <n v="0.986965966690804"/>
        <n v="0.986984008925251"/>
        <n v="0.986988847583643"/>
        <n v="0.987000928505107"/>
        <n v="0.987002437043054"/>
        <n v="0.987064676616915"/>
        <n v="0.987085237432943"/>
        <n v="0.987096774193548"/>
        <n v="0.987108655616943"/>
        <n v="0.987114408434205"/>
        <n v="0.98711943793911"/>
        <n v="0.987123009149441"/>
        <n v="0.987124463519313"/>
        <n v="0.987261146496815"/>
        <n v="0.987268993839836"/>
        <n v="0.987309644670051"/>
        <n v="0.98731424429141"/>
        <n v="0.987370320252594"/>
        <n v="0.987385321100918"/>
        <n v="0.987398072646405"/>
        <n v="0.987437650101607"/>
        <n v="0.98744769874477"/>
        <n v="0.987448519317513"/>
        <n v="0.987457240592931"/>
        <n v="0.987479712497102"/>
        <n v="0.987480438184664"/>
        <n v="0.98748495788207"/>
        <n v="0.9875"/>
        <n v="0.987514863258026"/>
        <n v="0.987515605493133"/>
        <n v="0.987519500780031"/>
        <n v="0.987554449284381"/>
        <n v="0.98755980861244"/>
        <n v="0.987570621468927"/>
        <n v="0.987604070305273"/>
        <n v="0.987604586303068"/>
        <n v="0.987628243814122"/>
        <n v="0.987630827783064"/>
        <n v="0.987666034155598"/>
        <n v="0.987699132889695"/>
        <n v="0.987719298245614"/>
        <n v="0.987755102040816"/>
        <n v="0.987775061124694"/>
        <n v="0.987791342952275"/>
        <n v="0.98780487804878"/>
        <n v="0.987852664576803"/>
        <n v="0.987866927592955"/>
        <n v="0.987878787878788"/>
        <n v="0.987883107626515"/>
        <n v="0.987884436160298"/>
        <n v="0.987888482632541"/>
        <n v="0.98790194205667"/>
        <n v="0.987902475339661"/>
        <n v="0.987908101571947"/>
        <n v="0.987951807228916"/>
        <n v="0.987956989247312"/>
        <n v="0.987980769230769"/>
        <n v="0.988015978695073"/>
        <n v="0.988023404644359"/>
        <n v="0.988023952095808"/>
        <n v="0.988106129917658"/>
        <n v="0.988122962272939"/>
        <n v="0.988142292490119"/>
        <n v="0.988146551724138"/>
        <n v="0.98815241754723"/>
        <n v="0.988152804642166"/>
        <n v="0.98815331010453"/>
        <n v="0.988164051747867"/>
        <n v="0.988172043010753"/>
        <n v="0.988204879625141"/>
        <n v="0.988210075026795"/>
        <n v="0.988232986860169"/>
        <n v="0.988235294117647"/>
        <n v="0.988248847926267"/>
        <n v="0.988253719655442"/>
        <n v="0.98825831702544"/>
        <n v="0.988269794721408"/>
        <n v="0.98828125"/>
        <n v="0.988282750672301"/>
        <n v="0.988310708898944"/>
        <n v="0.988311688311688"/>
        <n v="0.988372093023256"/>
        <n v="0.988526037069726"/>
        <n v="0.988527131782946"/>
        <n v="0.988561151079137"/>
        <n v="0.988612099644128"/>
        <n v="0.98861352980576"/>
        <n v="0.98861852433281"/>
        <n v="0.988622989407611"/>
        <n v="0.988626907073509"/>
        <n v="0.988626964433416"/>
        <n v="0.988643737832576"/>
        <n v="0.988648846576346"/>
        <n v="0.988657844990548"/>
        <n v="0.988690259029551"/>
        <n v="0.988704318936877"/>
        <n v="0.988711194731891"/>
        <n v="0.988720173535792"/>
        <n v="0.988720592974541"/>
        <n v="0.988777318369758"/>
        <n v="0.988804841149773"/>
        <n v="0.988805970149254"/>
        <n v="0.988822652757079"/>
        <n v="0.988865012697793"/>
        <n v="0.988879197557785"/>
        <n v="0.988881621975147"/>
        <n v="0.988888888888889"/>
        <n v="0.988891631695878"/>
        <n v="0.988911476621697"/>
        <n v="0.988916256157635"/>
        <n v="0.98892490545651"/>
        <n v="0.988935721812434"/>
        <n v="0.988957055214724"/>
        <n v="0.989"/>
        <n v="0.989061307555329"/>
        <n v="0.989090909090909"/>
        <n v="0.989097516656572"/>
        <n v="0.98910411622276"/>
        <n v="0.989119683481701"/>
        <n v="0.989166666666667"/>
        <n v="0.989192159736215"/>
        <n v="0.9892374627891"/>
        <n v="0.989240080699395"/>
        <n v="0.989268947015426"/>
        <n v="0.989287964713295"/>
        <n v="0.989290495314592"/>
        <n v="0.989315068493151"/>
        <n v="0.989330746847721"/>
        <n v="0.989359391965255"/>
        <n v="0.989389920424403"/>
        <n v="0.989399293286219"/>
        <n v="0.989429175475687"/>
        <n v="0.989457037427517"/>
        <n v="0.989464040311498"/>
        <n v="0.989466292134832"/>
        <n v="0.989569990850869"/>
        <n v="0.989571263035921"/>
        <n v="0.9896"/>
        <n v="0.989633469085524"/>
        <n v="0.989637305699482"/>
        <n v="0.989690721649485"/>
        <n v="0.98972602739726"/>
        <n v="0.989742666906604"/>
        <n v="0.989761092150171"/>
        <n v="0.989775855289029"/>
        <n v="0.98978102189781"/>
        <n v="0.989793915603533"/>
        <n v="0.989794058684163"/>
        <n v="0.989816700610998"/>
        <n v="0.989832970225127"/>
        <n v="0.989861058956065"/>
        <n v="0.989863547758285"/>
        <n v="0.98989898989899"/>
        <n v="0.989917506874427"/>
        <n v="0.989926436476904"/>
        <n v="0.989932271645616"/>
        <n v="0.989937797292353"/>
        <n v="0.989954796584631"/>
        <n v="0.989958847736625"/>
        <n v="0.989996224990562"/>
        <n v="0.990071978158352"/>
        <n v="0.99009900990099"/>
        <n v="0.990139408364502"/>
        <n v="0.990166414523449"/>
        <n v="0.990176817288802"/>
        <n v="0.9901776384535"/>
        <n v="0.990245901639344"/>
        <n v="0.990253411306043"/>
        <n v="0.990263595345524"/>
        <n v="0.99030303030303"/>
        <n v="0.990313206328705"/>
        <n v="0.99032917984006"/>
        <n v="0.990350595046639"/>
        <n v="0.990356798457088"/>
        <n v="0.990393329708175"/>
        <n v="0.990415335463259"/>
        <n v="0.990445859872611"/>
        <n v="0.990480612955654"/>
        <n v="0.990491803278688"/>
        <n v="0.990502989799507"/>
        <n v="0.990504612045578"/>
        <n v="0.990508331575617"/>
        <n v="0.990514410798978"/>
        <n v="0.990532544378698"/>
        <n v="0.99054820415879"/>
        <n v="0.990586531498914"/>
        <n v="0.990607388854101"/>
        <n v="0.990634005763689"/>
        <n v="0.990635973468591"/>
        <n v="0.990639625585023"/>
        <n v="0.990667833187518"/>
        <n v="0.990668159761105"/>
        <n v="0.990696825975921"/>
        <n v="0.990696857995436"/>
        <n v="0.990697674418605"/>
        <n v="0.990728476821192"/>
        <n v="0.990757128810226"/>
        <n v="0.99076354679803"/>
        <n v="0.990799031476998"/>
        <n v="0.990808823529412"/>
        <n v="0.990812720848057"/>
        <n v="0.990825688073394"/>
        <n v="0.990840965861782"/>
        <n v="0.990889212827988"/>
        <n v="0.990892531876138"/>
        <n v="0.990936555891239"/>
        <n v="0.990946129470349"/>
        <n v="0.990987807033045"/>
        <n v="0.99099606077659"/>
        <n v="0.991052993805919"/>
        <n v="0.991055456171735"/>
        <n v="0.991071428571429"/>
        <n v="0.991078256436401"/>
        <n v="0.991083039197473"/>
        <n v="0.991160220994475"/>
        <n v="0.991182292603923"/>
        <n v="0.991204124962087"/>
        <n v="0.991235758106924"/>
        <n v="0.991249005568815"/>
        <n v="0.991272092515819"/>
        <n v="0.991312931885489"/>
        <n v="0.991343062082612"/>
        <n v="0.991367560199909"/>
        <n v="0.991449337323643"/>
        <n v="0.9915"/>
        <n v="0.991526951505318"/>
        <n v="0.9915770609319"/>
        <n v="0.991593498972539"/>
        <n v="0.991605456453305"/>
        <n v="0.991671293725708"/>
        <n v="0.991672834937084"/>
        <n v="0.991727199354318"/>
        <n v="0.991735537190083"/>
        <n v="0.991836734693877"/>
        <n v="0.991913746630728"/>
        <n v="0.991918332624415"/>
        <n v="0.991946572382636"/>
        <n v="0.991983967935872"/>
        <n v="0.991987179487179"/>
        <n v="0.992012779552716"/>
        <n v="0.99203187250996"/>
        <n v="0.992063492063492"/>
        <n v="0.992078285181733"/>
        <n v="0.992110453648915"/>
        <n v="0.992151898734177"/>
        <n v="0.992158400313664"/>
        <n v="0.992172211350293"/>
        <n v="0.99217799409004"/>
        <n v="0.992178770949721"/>
        <n v="0.992188856101371"/>
        <n v="0.992214869599066"/>
        <n v="0.992217898832685"/>
        <n v="0.992222222222222"/>
        <n v="0.992277265021661"/>
        <n v="0.992282249173098"/>
        <n v="0.992304873580066"/>
        <n v="0.992343032159265"/>
        <n v="0.992373923739237"/>
        <n v="0.992433795712484"/>
        <n v="0.99244435368593"/>
        <n v="0.992495022208608"/>
        <n v="0.992543783596324"/>
        <n v="0.992594926737041"/>
        <n v="0.992596374776615"/>
        <n v="0.992605633802817"/>
        <n v="0.992642140468227"/>
        <n v="0.99264367816092"/>
        <n v="0.992675570874623"/>
        <n v="0.992691315563199"/>
        <n v="0.992742078243937"/>
        <n v="0.99275887038378"/>
        <n v="0.992831541218638"/>
        <n v="0.992844364937388"/>
        <n v="0.99290780141844"/>
        <n v="0.99293059125964"/>
        <n v="0.993"/>
        <n v="0.993000162786912"/>
        <n v="0.993006993006993"/>
        <n v="0.993012136815005"/>
        <n v="0.993013100436681"/>
        <n v="0.993028119916337"/>
        <n v="0.993031358885017"/>
        <n v="0.993041057759221"/>
        <n v="0.993041749502982"/>
        <n v="0.993098591549296"/>
        <n v="0.993170731707317"/>
        <n v="0.993177098783744"/>
        <n v="0.993197278911565"/>
        <n v="0.99321304419798"/>
        <n v="0.993223620522749"/>
        <n v="0.993232691306611"/>
        <n v="0.99328165374677"/>
        <n v="0.993296089385475"/>
        <n v="0.993311036789298"/>
        <n v="0.993501577287066"/>
        <n v="0.993518712105373"/>
        <n v="0.993560257589696"/>
        <n v="0.993579454253612"/>
        <n v="0.993587786259542"/>
        <n v="0.993608367228356"/>
        <n v="0.993620123951878"/>
        <n v="0.993636363636364"/>
        <n v="0.993650793650794"/>
        <n v="0.993674525589419"/>
        <n v="0.993725099601594"/>
        <n v="0.993801140590131"/>
        <n v="0.993846153846154"/>
        <n v="0.993865030674847"/>
        <n v="0.993877104745244"/>
        <n v="0.993884120171674"/>
        <n v="0.993989481592787"/>
        <n v="0.994"/>
        <n v="0.9940499801666"/>
        <n v="0.994097973637616"/>
        <n v="0.994108405341713"/>
        <n v="0.994108983799706"/>
        <n v="0.994117647058824"/>
        <n v="0.994142857142857"/>
        <n v="0.994152046783626"/>
        <n v="0.994203961848863"/>
        <n v="0.994213571804314"/>
        <n v="0.994226197214989"/>
        <n v="0.994395516413131"/>
        <n v="0.994444444444444"/>
        <n v="0.994475138121547"/>
        <n v="0.9944823962165"/>
        <n v="0.99449173760641"/>
        <n v="0.994642857142857"/>
        <n v="0.994671681554615"/>
        <n v="0.994678673761768"/>
        <n v="0.994724409448819"/>
        <n v="0.994739249771272"/>
        <n v="0.994744525547445"/>
        <n v="0.994755540517679"/>
        <n v="0.994759615384615"/>
        <n v="0.994791666666667"/>
        <n v="0.994793752503004"/>
        <n v="0.994794520547945"/>
        <n v="0.994827229464101"/>
        <n v="0.994832041343669"/>
        <n v="0.994851485148515"/>
        <n v="0.994876174210077"/>
        <n v="0.994910941475827"/>
        <n v="0.994942196531792"/>
        <n v="0.994965034965035"/>
        <n v="0.995021645021645"/>
        <n v="0.99502487562189"/>
        <n v="0.995040297582145"/>
        <n v="0.995040650406504"/>
        <n v="0.995062836624776"/>
        <n v="0.995071463775259"/>
        <n v="0.995104895104895"/>
        <n v="0.995107962213225"/>
        <n v="0.995120415551708"/>
        <n v="0.995121951219512"/>
        <n v="0.99515106303618"/>
        <n v="0.995167652859961"/>
        <n v="0.995205479452055"/>
        <n v="0.995208256542573"/>
        <n v="0.995237313187716"/>
        <n v="0.995285714285714"/>
        <n v="0.995301770870979"/>
        <n v="0.995348837209302"/>
        <n v="0.995475113122172"/>
        <n v="0.99547619047619"/>
        <n v="0.99548532731377"/>
        <n v="0.995487364620939"/>
        <n v="0.995582869214519"/>
        <n v="0.995636363636364"/>
        <n v="0.995673617720862"/>
        <n v="0.995692807801707"/>
        <n v="0.995711835334477"/>
        <n v="0.995712902779698"/>
        <n v="0.995714285714286"/>
        <n v="0.995811965811966"/>
        <n v="0.995824634655532"/>
        <n v="0.995826377295492"/>
        <n v="0.995850622406639"/>
        <n v="0.99586621570838"/>
        <n v="0.995879120879121"/>
        <n v="0.995901639344262"/>
        <n v="0.995925925925926"/>
        <n v="0.995961538461538"/>
        <n v="0.9959630911188"/>
        <n v="0.995965417867435"/>
        <n v="0.99597423510467"/>
        <n v="0.996"/>
        <n v="0.99601593625498"/>
        <n v="0.996036036036036"/>
        <n v="0.996037249851397"/>
        <n v="0.996053373426048"/>
        <n v="0.996056782334385"/>
        <n v="0.996059889676911"/>
        <n v="0.996150144369586"/>
        <n v="0.996279761904762"/>
        <n v="0.996288659793814"/>
        <n v="0.996309963099631"/>
        <n v="0.99632183908046"/>
        <n v="0.996344300432037"/>
        <n v="0.996376811594203"/>
        <n v="0.996384615384615"/>
        <n v="0.996385542168675"/>
        <n v="0.996448022732655"/>
        <n v="0.996448715270524"/>
        <n v="0.996463306808134"/>
        <n v="0.99647577092511"/>
        <n v="0.996550402453047"/>
        <n v="0.996565821749796"/>
        <n v="0.996589147286822"/>
        <n v="0.996610169491525"/>
        <n v="0.996644295302013"/>
        <n v="0.996677740863787"/>
        <n v="0.996704021094265"/>
        <n v="0.996742671009772"/>
        <n v="0.996758199847445"/>
        <n v="0.99676455948233"/>
        <n v="0.996768178993163"/>
        <n v="0.996797385620915"/>
        <n v="0.996801023672425"/>
        <n v="0.996842105263158"/>
        <n v="0.996852046169989"/>
        <n v="0.996852517985611"/>
        <n v="0.996914600550964"/>
        <n v="0.996951219512195"/>
        <n v="0.996987951807229"/>
        <n v="0.997"/>
        <n v="0.997017543859649"/>
        <n v="0.997054491899853"/>
        <n v="0.997114829774957"/>
        <n v="0.997156398104265"/>
        <n v="0.997177798682973"/>
        <n v="0.997226890756303"/>
        <n v="0.997229916897507"/>
        <n v="0.997271773347324"/>
        <n v="0.99728014505893"/>
        <n v="0.997284084736556"/>
        <n v="0.997303464011616"/>
        <n v="0.997304582210242"/>
        <n v="0.997317631665031"/>
        <n v="0.997340425531915"/>
        <n v="0.997350492051476"/>
        <n v="0.997359735973597"/>
        <n v="0.9975"/>
        <n v="0.997505543237251"/>
        <n v="0.997509339975093"/>
        <n v="0.997516145057129"/>
        <n v="0.997517070142768"/>
        <n v="0.997518610421836"/>
        <n v="0.99755905511811"/>
        <n v="0.997598374284131"/>
        <n v="0.997605746209098"/>
        <n v="0.997606148418798"/>
        <n v="0.997609561752988"/>
        <n v="0.997622820919176"/>
        <n v="0.997635933806147"/>
        <n v="0.99767108563239"/>
        <n v="0.997682926829268"/>
        <n v="0.997717368748703"/>
        <n v="0.997735849056604"/>
        <n v="0.997744360902256"/>
        <n v="0.997787610619469"/>
        <n v="0.997817614964926"/>
        <n v="0.997826086956522"/>
        <n v="0.997827857724681"/>
        <n v="0.99783315276273"/>
        <n v="0.997869900049156"/>
        <n v="0.997914995990377"/>
        <n v="0.99792349726776"/>
        <n v="0.997924449979244"/>
        <n v="0.997932053175775"/>
        <n v="0.9979633401222"/>
        <n v="0.997978164173069"/>
        <n v="0.998042356291155"/>
        <n v="0.998046111762407"/>
        <n v="0.998067632850242"/>
        <n v="0.998071359691418"/>
        <n v="0.998083556918359"/>
        <n v="0.998105263157895"/>
        <n v="0.998146431881372"/>
        <n v="0.998163452708907"/>
        <n v="0.998181818181818"/>
        <n v="0.998201843110811"/>
        <n v="0.99822695035461"/>
        <n v="0.99822852081488"/>
        <n v="0.998242530755712"/>
        <n v="0.998256537982565"/>
        <n v="0.998263888888889"/>
        <n v="0.998265394622723"/>
        <n v="0.998266897746967"/>
        <n v="0.998269896193772"/>
        <n v="0.998284734133791"/>
        <n v="0.99831223628692"/>
        <n v="0.998315080033698"/>
        <n v="0.998336106489185"/>
        <n v="0.998336798336798"/>
        <n v="0.998338870431894"/>
        <n v="0.99836867862969"/>
        <n v="0.998388227049755"/>
        <n v="0.998402555910543"/>
        <n v="0.998405103668262"/>
        <n v="0.998412068281064"/>
        <n v="0.998454404945904"/>
        <n v="0.998461538461538"/>
        <n v="0.998463901689708"/>
        <n v="0.998466257668712"/>
        <n v="0.998468606431853"/>
        <n v="0.99849510910459"/>
        <n v="0.998502246630055"/>
        <n v="0.998505231689088"/>
        <n v="0.998550724637681"/>
        <n v="0.998571428571429"/>
        <n v="0.998573466476462"/>
        <n v="0.998577524893314"/>
        <n v="0.998622589531681"/>
        <n v="0.99866844207723"/>
        <n v="0.99867080194949"/>
        <n v="0.99867197875166"/>
        <n v="0.998685939553219"/>
        <n v="0.998699609882965"/>
        <n v="0.998736503560763"/>
        <n v="0.998750694058856"/>
        <n v="0.998754049339646"/>
        <n v="0.998765432098765"/>
        <n v="0.998776508972268"/>
        <n v="0.998789346246973"/>
        <n v="0.998790810157195"/>
        <n v="0.998805256869773"/>
        <n v="0.998813197246618"/>
        <n v="0.998823529411765"/>
        <n v="0.998824221046443"/>
        <n v="0.998847483672685"/>
        <n v="0.998864281658149"/>
        <n v="0.99889012208657"/>
        <n v="0.998892089519167"/>
        <n v="0.998892580287929"/>
        <n v="0.998896044158234"/>
        <n v="0.998939104604286"/>
        <n v="0.998939179632249"/>
        <n v="0.998939929328622"/>
        <n v="0.998947368421053"/>
        <n v="0.998961146893829"/>
        <n v="0.998996789727127"/>
        <n v="0.999000999000999"/>
        <n v="0.99900259325753"/>
        <n v="0.999002991026919"/>
        <n v="0.999005634736493"/>
        <n v="0.999005766553987"/>
        <n v="0.999007197815835"/>
        <n v="0.999007444168734"/>
        <n v="0.999063378083047"/>
        <n v="0.999067816359823"/>
        <n v="0.999074074074074"/>
        <n v="0.999091734786558"/>
        <n v="0.999093052784328"/>
        <n v="0.99911190053286"/>
        <n v="0.999136069114471"/>
        <n v="0.999136193492658"/>
        <n v="0.999137187230371"/>
        <n v="0.999138302455838"/>
        <n v="0.999142857142857"/>
        <n v="0.999151103565365"/>
        <n v="0.999153055051422"/>
        <n v="0.999154282952761"/>
        <n v="0.999180327868852"/>
        <n v="0.999186613990239"/>
        <n v="0.99918896999189"/>
        <n v="0.999195171026157"/>
        <n v="0.999200639488409"/>
        <n v="0.999201277955272"/>
        <n v="0.999201915403033"/>
        <n v="0.999202551834131"/>
        <n v="0.999231360491929"/>
        <n v="0.999231950844854"/>
        <n v="0.999246987951807"/>
        <n v="0.99925205684368"/>
        <n v="0.999259259259259"/>
        <n v="0.999274310595065"/>
        <n v="0.999286733238231"/>
        <n v="0.999384615384615"/>
        <n v="0.999411487758945"/>
        <n v="0.999423409571401"/>
        <n v="0.999434282481614"/>
        <n v="0.999442741710783"/>
        <n v="0.999445553337769"/>
        <n v="0.999466950959488"/>
        <n v="0.999500249875062"/>
        <n v="0.999501246882793"/>
        <n v="0.99950149551346"/>
        <n v="0.999510882856444"/>
        <n v="0.9995223310246"/>
        <n v="0.999523809523809"/>
        <n v="0.999524940617577"/>
        <n v="0.99953596287703"/>
        <n v="0.999540493968983"/>
        <n v="0.99955595026643"/>
        <n v="0.999557717823972"/>
        <n v="0.999566160520607"/>
        <n v="0.999600159936026"/>
        <n v="0.999600798403194"/>
        <n v="0.999601593625498"/>
        <n v="0.999631540162122"/>
        <n v="0.999637023593466"/>
        <n v="0.999637286906057"/>
        <n v="0.99966307277628"/>
        <n v="0.999706486645142"/>
        <n v="0.999714285714286"/>
        <n v="0.99972602739726"/>
        <n v="0.999737440924208"/>
        <n v="0.999755037050646"/>
        <n v="0.999806987068133"/>
        <n v="0.999815685190305"/>
        <n v="0.999839254139206"/>
        <n v="0.999868282402529"/>
        <n v="0.999876451692612"/>
        <n v="0.999886020402348"/>
        <n v="0.999930805424855"/>
        <n v="0.999938537185003"/>
        <n v="1"/>
      </sharedItems>
    </cacheField>
    <cacheField name="Break down Hrs" numFmtId="0">
      <sharedItems containsSemiMixedTypes="0" containsString="0" containsNumber="1" minValue="0" maxValue="7.16666666666667" count="61">
        <n v="0"/>
        <n v="0.15"/>
        <n v="0.166666666666667"/>
        <n v="0.216666666666667"/>
        <n v="0.25"/>
        <n v="0.333333333333333"/>
        <n v="0.416666666666667"/>
        <n v="0.5"/>
        <n v="0.583333333333333"/>
        <n v="0.666666666666667"/>
        <n v="0.716666666666667"/>
        <n v="0.75"/>
        <n v="0.833333333333333"/>
        <n v="0.916666666666667"/>
        <n v="1"/>
        <n v="1.08333333333333"/>
        <n v="1.16666666666667"/>
        <n v="1.25"/>
        <n v="1.28333333333333"/>
        <n v="1.33333333333333"/>
        <n v="1.41666666666667"/>
        <n v="1.5"/>
        <n v="1.58333333333333"/>
        <n v="1.66666666666667"/>
        <n v="1.75"/>
        <n v="1.83333333333333"/>
        <n v="2"/>
        <n v="2.08333333333333"/>
        <n v="2.16666666666667"/>
        <n v="2.33333333333333"/>
        <n v="2.41666666666667"/>
        <n v="2.5"/>
        <n v="2.66666666666667"/>
        <n v="2.83333333333333"/>
        <n v="2.91666666666667"/>
        <n v="3"/>
        <n v="3.16666666666667"/>
        <n v="3.33333333333333"/>
        <n v="3.41666666666667"/>
        <n v="3.5"/>
        <n v="3.66666666666667"/>
        <n v="3.83333333333333"/>
        <n v="4"/>
        <n v="4.08333333333333"/>
        <n v="4.16666666666667"/>
        <n v="4.25"/>
        <n v="4.33333333333333"/>
        <n v="4.5"/>
        <n v="4.66666666666667"/>
        <n v="4.83333333333333"/>
        <n v="5"/>
        <n v="5.16666666666667"/>
        <n v="5.25"/>
        <n v="5.5"/>
        <n v="5.66666666666667"/>
        <n v="6"/>
        <n v="6.08333333333333"/>
        <n v="6.16666666666667"/>
        <n v="6.33333333333333"/>
        <n v="6.66666666666667"/>
        <n v="7.16666666666667"/>
      </sharedItems>
    </cacheField>
    <cacheField name="Total Running Hrs" numFmtId="0">
      <sharedItems containsSemiMixedTypes="0" containsString="0" containsNumber="1" minValue="-0.7" maxValue="10.5" count="105">
        <n v="-0.7"/>
        <n v="0.0833333333333333"/>
        <n v="0.1"/>
        <n v="0.166666666666667"/>
        <n v="0.283333333333333"/>
        <n v="0.3"/>
        <n v="0.333333333333333"/>
        <n v="0.5"/>
        <n v="0.6"/>
        <n v="0.616666666666667"/>
        <n v="0.666666666666667"/>
        <n v="0.75"/>
        <n v="0.8"/>
        <n v="0.833333333333333"/>
        <n v="0.95"/>
        <n v="1"/>
        <n v="1.03333333333333"/>
        <n v="1.16666666666667"/>
        <n v="1.2"/>
        <n v="1.3"/>
        <n v="1.33333333333333"/>
        <n v="1.4"/>
        <n v="1.5"/>
        <n v="1.53333333333333"/>
        <n v="1.6"/>
        <n v="1.66666666666667"/>
        <n v="1.8"/>
        <n v="1.83333333333333"/>
        <n v="1.91666666666667"/>
        <n v="2"/>
        <n v="2.16666666666667"/>
        <n v="2.25"/>
        <n v="2.3"/>
        <n v="2.33333333333333"/>
        <n v="2.4"/>
        <n v="2.5"/>
        <n v="2.66666666666667"/>
        <n v="2.7"/>
        <n v="2.75"/>
        <n v="2.8"/>
        <n v="2.83333333333333"/>
        <n v="2.96666666666667"/>
        <n v="3"/>
        <n v="3.06666666666667"/>
        <n v="3.15"/>
        <n v="3.16666666666667"/>
        <n v="3.25"/>
        <n v="3.33333333333333"/>
        <n v="3.5"/>
        <n v="3.6"/>
        <n v="3.66666666666667"/>
        <n v="3.75"/>
        <n v="3.8"/>
        <n v="3.83333333333333"/>
        <n v="3.91666666666667"/>
        <n v="4"/>
        <n v="4.16666666666667"/>
        <n v="4.33333333333333"/>
        <n v="4.5"/>
        <n v="4.53333333333333"/>
        <n v="4.58333333333333"/>
        <n v="4.66666666666667"/>
        <n v="4.83333333333333"/>
        <n v="5"/>
        <n v="5.06666666666667"/>
        <n v="5.08333333333333"/>
        <n v="5.16666666666667"/>
        <n v="5.2"/>
        <n v="5.33333333333333"/>
        <n v="5.36666666666667"/>
        <n v="5.5"/>
        <n v="5.58333333333333"/>
        <n v="5.66666666666667"/>
        <n v="5.75"/>
        <n v="5.83333333333333"/>
        <n v="5.91666666666667"/>
        <n v="6"/>
        <n v="6.16666666666667"/>
        <n v="6.2"/>
        <n v="6.25"/>
        <n v="6.33333333333333"/>
        <n v="6.41666666666667"/>
        <n v="6.5"/>
        <n v="6.58333333333333"/>
        <n v="6.66666666666667"/>
        <n v="6.71666666666667"/>
        <n v="6.73333333333333"/>
        <n v="6.75"/>
        <n v="6.8"/>
        <n v="6.83333333333333"/>
        <n v="6.91666666666667"/>
        <n v="7"/>
        <n v="7.08333333333333"/>
        <n v="7.13333333333333"/>
        <n v="7.16666666666667"/>
        <n v="7.25"/>
        <n v="7.28333333333333"/>
        <n v="7.33333333333333"/>
        <n v="7.41666666666667"/>
        <n v="7.5"/>
        <n v="7.66666666666667"/>
        <n v="7.83333333333333"/>
        <n v="8"/>
        <n v="8.5"/>
        <n v="10.5"/>
      </sharedItems>
    </cacheField>
    <cacheField name="Machine Availability" numFmtId="0">
      <sharedItems containsSemiMixedTypes="0" containsString="0" containsNumber="1" minValue="-2.33333333333333" maxValue="1" count="131">
        <n v="-2.33333333333333"/>
        <n v="0.0833333333333334"/>
        <n v="0.104166666666667"/>
        <n v="0.166666666666667"/>
        <n v="0.2"/>
        <n v="0.208333333333333"/>
        <n v="0.222222222222222"/>
        <n v="0.229166666666667"/>
        <n v="0.239583333333333"/>
        <n v="0.25"/>
        <n v="0.277777777777778"/>
        <n v="0.291666666666667"/>
        <n v="0.3125"/>
        <n v="0.333333333333333"/>
        <n v="0.34375"/>
        <n v="0.354166666666667"/>
        <n v="0.375"/>
        <n v="0.388888888888889"/>
        <n v="0.404761904761905"/>
        <n v="0.411764705882353"/>
        <n v="0.416666666666667"/>
        <n v="0.431372549019608"/>
        <n v="0.4375"/>
        <n v="0.444444444444444"/>
        <n v="0.454545454545455"/>
        <n v="0.458333333333333"/>
        <n v="0.464285714285714"/>
        <n v="0.46875"/>
        <n v="0.476190476190476"/>
        <n v="0.479166666666667"/>
        <n v="0.489583333333333"/>
        <n v="0.5"/>
        <n v="0.513888888888889"/>
        <n v="0.518518518518519"/>
        <n v="0.520833333333333"/>
        <n v="0.541666666666667"/>
        <n v="0.555555555555556"/>
        <n v="0.558823529411765"/>
        <n v="0.5625"/>
        <n v="0.572916666666667"/>
        <n v="0.583333333333333"/>
        <n v="0.588235294117647"/>
        <n v="0.592592592592593"/>
        <n v="0.6"/>
        <n v="0.604166666666667"/>
        <n v="0.611111111111111"/>
        <n v="0.615384615384615"/>
        <n v="0.625"/>
        <n v="0.633333333333333"/>
        <n v="0.635416666666667"/>
        <n v="0.636363636363636"/>
        <n v="0.638888888888889"/>
        <n v="0.645833333333333"/>
        <n v="0.655172413793103"/>
        <n v="0.666666666666667"/>
        <n v="0.6875"/>
        <n v="0.689922480620155"/>
        <n v="0.694444444444444"/>
        <n v="0.697916666666667"/>
        <n v="0.7"/>
        <n v="0.703703703703704"/>
        <n v="0.708333333333333"/>
        <n v="0.722222222222222"/>
        <n v="0.729166666666667"/>
        <n v="0.733333333333333"/>
        <n v="0.739583333333333"/>
        <n v="0.740740740740741"/>
        <n v="0.745098039215686"/>
        <n v="0.75"/>
        <n v="0.761904761904762"/>
        <n v="0.766666666666667"/>
        <n v="0.770833333333333"/>
        <n v="0.777777777777778"/>
        <n v="0.78125"/>
        <n v="0.782608695652174"/>
        <n v="0.784313725490196"/>
        <n v="0.786324786324786"/>
        <n v="0.791666666666667"/>
        <n v="0.795321637426901"/>
        <n v="0.8"/>
        <n v="0.802083333333333"/>
        <n v="0.805555555555555"/>
        <n v="0.8125"/>
        <n v="0.814814814814815"/>
        <n v="0.821428571428571"/>
        <n v="0.822222222222222"/>
        <n v="0.822916666666667"/>
        <n v="0.823529411764706"/>
        <n v="0.827586206896552"/>
        <n v="0.833333333333333"/>
        <n v="0.839583333333333"/>
        <n v="0.84375"/>
        <n v="0.847222222222222"/>
        <n v="0.848484848484848"/>
        <n v="0.851851851851852"/>
        <n v="0.854166666666667"/>
        <n v="0.857142857142857"/>
        <n v="0.861111111111111"/>
        <n v="0.864583333333333"/>
        <n v="0.865591397849462"/>
        <n v="0.866666666666667"/>
        <n v="0.871794871794872"/>
        <n v="0.875"/>
        <n v="0.878048780487805"/>
        <n v="0.880952380952381"/>
        <n v="0.885416666666667"/>
        <n v="0.888888888888889"/>
        <n v="0.892857142857143"/>
        <n v="0.895833333333333"/>
        <n v="0.9"/>
        <n v="0.901960784313726"/>
        <n v="0.904761904761905"/>
        <n v="0.90625"/>
        <n v="0.909090909090909"/>
        <n v="0.90990990990991"/>
        <n v="0.910416666666667"/>
        <n v="0.914529914529915"/>
        <n v="0.916666666666667"/>
        <n v="0.92156862745098"/>
        <n v="0.927083333333333"/>
        <n v="0.928571428571429"/>
        <n v="0.933333333333333"/>
        <n v="0.9375"/>
        <n v="0.938271604938272"/>
        <n v="0.944444444444444"/>
        <n v="0.952380952380952"/>
        <n v="0.954545454545455"/>
        <n v="0.958333333333333"/>
        <n v="0.962962962962963"/>
        <n v="0.974358974358974"/>
        <n v="1"/>
      </sharedItems>
    </cacheField>
    <cacheField name="Actual output per hr" numFmtId="0">
      <sharedItems containsSemiMixedTypes="0" containsString="0" containsNumber="1" minValue="14" maxValue="3188.5" count="642">
        <n v="14"/>
        <n v="16.6666666666667"/>
        <n v="50"/>
        <n v="51"/>
        <n v="68.5"/>
        <n v="75"/>
        <n v="90"/>
        <n v="94.5"/>
        <n v="100"/>
        <n v="105"/>
        <n v="108"/>
        <n v="110"/>
        <n v="112.5"/>
        <n v="120"/>
        <n v="121.5"/>
        <n v="125"/>
        <n v="135"/>
        <n v="148"/>
        <n v="148.5"/>
        <n v="152.5"/>
        <n v="157.5"/>
        <n v="162.5"/>
        <n v="163.75"/>
        <n v="165"/>
        <n v="170"/>
        <n v="175.5"/>
        <n v="180"/>
        <n v="189"/>
        <n v="190"/>
        <n v="192.5"/>
        <n v="193.125"/>
        <n v="193.75"/>
        <n v="194.588235294118"/>
        <n v="195"/>
        <n v="195.75"/>
        <n v="197.5"/>
        <n v="198"/>
        <n v="202"/>
        <n v="202.5"/>
        <n v="205"/>
        <n v="209"/>
        <n v="210"/>
        <n v="216"/>
        <n v="223.333333333333"/>
        <n v="228.5"/>
        <n v="231.125"/>
        <n v="237.5"/>
        <n v="240"/>
        <n v="243"/>
        <n v="243.75"/>
        <n v="246.25"/>
        <n v="247.294117647059"/>
        <n v="247.5"/>
        <n v="250"/>
        <n v="251.162790697674"/>
        <n v="255"/>
        <n v="256.25"/>
        <n v="256.5"/>
        <n v="258"/>
        <n v="262"/>
        <n v="266.666666666667"/>
        <n v="267.333333333333"/>
        <n v="269.818181818182"/>
        <n v="270"/>
        <n v="271"/>
        <n v="275"/>
        <n v="276"/>
        <n v="277.5"/>
        <n v="280"/>
        <n v="281"/>
        <n v="285"/>
        <n v="288"/>
        <n v="292.5"/>
        <n v="292.75"/>
        <n v="293.75"/>
        <n v="297"/>
        <n v="299.5"/>
        <n v="300"/>
        <n v="303.666666666667"/>
        <n v="305.666666666667"/>
        <n v="306.333333333333"/>
        <n v="309.375"/>
        <n v="312"/>
        <n v="312.5"/>
        <n v="315"/>
        <n v="320"/>
        <n v="321"/>
        <n v="324"/>
        <n v="324.333333333333"/>
        <n v="325"/>
        <n v="325.333333333333"/>
        <n v="328.75"/>
        <n v="330"/>
        <n v="337.5"/>
        <n v="341.25"/>
        <n v="341.5"/>
        <n v="342.375"/>
        <n v="345"/>
        <n v="350"/>
        <n v="350.714285714286"/>
        <n v="351"/>
        <n v="352.941176470588"/>
        <n v="353.125"/>
        <n v="353.375"/>
        <n v="355"/>
        <n v="360"/>
        <n v="360.8"/>
        <n v="363.75"/>
        <n v="364.5"/>
        <n v="370"/>
        <n v="375"/>
        <n v="375.4"/>
        <n v="377.5"/>
        <n v="378"/>
        <n v="381.818181818182"/>
        <n v="382.5"/>
        <n v="383.333333333333"/>
        <n v="384"/>
        <n v="390"/>
        <n v="391.5"/>
        <n v="391.666666666667"/>
        <n v="392.727272727273"/>
        <n v="396.888888888889"/>
        <n v="400"/>
        <n v="401.25"/>
        <n v="402.25"/>
        <n v="405"/>
        <n v="405.75"/>
        <n v="406.25"/>
        <n v="406.5"/>
        <n v="410"/>
        <n v="412.5"/>
        <n v="414"/>
        <n v="415"/>
        <n v="416.666666666667"/>
        <n v="418.5"/>
        <n v="418.75"/>
        <n v="419.294117647059"/>
        <n v="419.5"/>
        <n v="420"/>
        <n v="421.875"/>
        <n v="425"/>
        <n v="425.625"/>
        <n v="426"/>
        <n v="426.25"/>
        <n v="427"/>
        <n v="428.571428571429"/>
        <n v="430.625"/>
        <n v="432"/>
        <n v="433.333333333333"/>
        <n v="435"/>
        <n v="437"/>
        <n v="437.5"/>
        <n v="438.75"/>
        <n v="441.333333333333"/>
        <n v="444.705882352941"/>
        <n v="445.5"/>
        <n v="446.4"/>
        <n v="448.75"/>
        <n v="450"/>
        <n v="451.666666666667"/>
        <n v="452"/>
        <n v="454.875"/>
        <n v="457.692307692308"/>
        <n v="459"/>
        <n v="460"/>
        <n v="462.142857142857"/>
        <n v="462.375"/>
        <n v="462.5"/>
        <n v="468.75"/>
        <n v="471.125"/>
        <n v="471.428571428571"/>
        <n v="472.5"/>
        <n v="473.5"/>
        <n v="475"/>
        <n v="476.8"/>
        <n v="479.666666666667"/>
        <n v="480"/>
        <n v="480.833333333333"/>
        <n v="483.448275862069"/>
        <n v="484.285714285714"/>
        <n v="485.714285714286"/>
        <n v="486"/>
        <n v="486.875"/>
        <n v="487.179487179487"/>
        <n v="487.5"/>
        <n v="488"/>
        <n v="488.75"/>
        <n v="490"/>
        <n v="490.588235294118"/>
        <n v="491.228070175439"/>
        <n v="492.333333333333"/>
        <n v="495"/>
        <n v="499.5"/>
        <n v="500"/>
        <n v="505"/>
        <n v="506.25"/>
        <n v="506.666666666667"/>
        <n v="510"/>
        <n v="511.111111111111"/>
        <n v="511.428571428572"/>
        <n v="512.5"/>
        <n v="513"/>
        <n v="515.555555555556"/>
        <n v="516"/>
        <n v="516.129032258065"/>
        <n v="517.857142857143"/>
        <n v="518"/>
        <n v="519"/>
        <n v="520"/>
        <n v="521.25"/>
        <n v="521.428571428571"/>
        <n v="521.666666666667"/>
        <n v="523"/>
        <n v="523.333333333333"/>
        <n v="525"/>
        <n v="525.25"/>
        <n v="526.25"/>
        <n v="527.5"/>
        <n v="530"/>
        <n v="531.25"/>
        <n v="531.428571428571"/>
        <n v="531.5"/>
        <n v="533.333333333333"/>
        <n v="534"/>
        <n v="535.833333333333"/>
        <n v="537.375"/>
        <n v="537.5"/>
        <n v="538.75"/>
        <n v="539"/>
        <n v="540"/>
        <n v="541.25"/>
        <n v="545.454545454546"/>
        <n v="546.666666666667"/>
        <n v="549"/>
        <n v="550"/>
        <n v="550.625"/>
        <n v="550.666666666667"/>
        <n v="551.25"/>
        <n v="553.5"/>
        <n v="555.555555555556"/>
        <n v="555.666666666667"/>
        <n v="558"/>
        <n v="559.058823529412"/>
        <n v="560"/>
        <n v="560.833333333333"/>
        <n v="560.869565217391"/>
        <n v="562.5"/>
        <n v="566.666666666667"/>
        <n v="567"/>
        <n v="568.285714285714"/>
        <n v="568.5"/>
        <n v="569.733333333333"/>
        <n v="570.25"/>
        <n v="571.428571428571"/>
        <n v="572.5"/>
        <n v="575"/>
        <n v="577.5"/>
        <n v="578"/>
        <n v="578.25"/>
        <n v="578.75"/>
        <n v="580.5"/>
        <n v="581.818181818182"/>
        <n v="582.5"/>
        <n v="583.333333333333"/>
        <n v="583.636363636364"/>
        <n v="583.75"/>
        <n v="584"/>
        <n v="585"/>
        <n v="587.25"/>
        <n v="587.5"/>
        <n v="588.625"/>
        <n v="591.25"/>
        <n v="593.75"/>
        <n v="594"/>
        <n v="595"/>
        <n v="595.25"/>
        <n v="596.25"/>
        <n v="596.875"/>
        <n v="598.153846153846"/>
        <n v="600"/>
        <n v="602.5"/>
        <n v="605"/>
        <n v="606.25"/>
        <n v="607.5"/>
        <n v="608.333333333333"/>
        <n v="609.882352941176"/>
        <n v="611"/>
        <n v="611.25"/>
        <n v="612.5"/>
        <n v="614.375"/>
        <n v="615.384615384615"/>
        <n v="615.5"/>
        <n v="617"/>
        <n v="618.5"/>
        <n v="618.75"/>
        <n v="619.764705882353"/>
        <n v="621"/>
        <n v="622.588235294118"/>
        <n v="623"/>
        <n v="625"/>
        <n v="626.5"/>
        <n v="626.625"/>
        <n v="627.5"/>
        <n v="630"/>
        <n v="630.75"/>
        <n v="633.75"/>
        <n v="636.923076923077"/>
        <n v="637.5"/>
        <n v="637.538461538462"/>
        <n v="644.230769230769"/>
        <n v="645.161290322581"/>
        <n v="646.875"/>
        <n v="648"/>
        <n v="650"/>
        <n v="653.375"/>
        <n v="655.555555555556"/>
        <n v="658.536585365854"/>
        <n v="660"/>
        <n v="661.5"/>
        <n v="662.5"/>
        <n v="663.75"/>
        <n v="666.666666666667"/>
        <n v="668.75"/>
        <n v="673.333333333333"/>
        <n v="675"/>
        <n v="680"/>
        <n v="685"/>
        <n v="685.5"/>
        <n v="687.5"/>
        <n v="690"/>
        <n v="694"/>
        <n v="695"/>
        <n v="696.125"/>
        <n v="697.5"/>
        <n v="700"/>
        <n v="703.75"/>
        <n v="707.428571428572"/>
        <n v="712.5"/>
        <n v="714.285714285714"/>
        <n v="715.5"/>
        <n v="717"/>
        <n v="717.6"/>
        <n v="718.75"/>
        <n v="720.25"/>
        <n v="725"/>
        <n v="730"/>
        <n v="735"/>
        <n v="737.5"/>
        <n v="740.5"/>
        <n v="741.176470588235"/>
        <n v="742.5"/>
        <n v="743.764705882353"/>
        <n v="748"/>
        <n v="750"/>
        <n v="757.5"/>
        <n v="759.375"/>
        <n v="761.875"/>
        <n v="762.352941176471"/>
        <n v="762.5"/>
        <n v="764.5"/>
        <n v="771.428571428571"/>
        <n v="772.727272727273"/>
        <n v="773.125"/>
        <n v="775"/>
        <n v="777.5"/>
        <n v="787.125"/>
        <n v="787.375"/>
        <n v="787.5"/>
        <n v="790"/>
        <n v="791.666666666667"/>
        <n v="792.5"/>
        <n v="793.75"/>
        <n v="800"/>
        <n v="800.125"/>
        <n v="803.333333333333"/>
        <n v="808.75"/>
        <n v="810"/>
        <n v="812"/>
        <n v="812.5"/>
        <n v="823.5"/>
        <n v="824"/>
        <n v="825"/>
        <n v="830.375"/>
        <n v="831.25"/>
        <n v="833.333333333333"/>
        <n v="834"/>
        <n v="837.5"/>
        <n v="838.75"/>
        <n v="841.25"/>
        <n v="843.75"/>
        <n v="849"/>
        <n v="849.647058823529"/>
        <n v="850"/>
        <n v="852.5"/>
        <n v="854.352941176471"/>
        <n v="855"/>
        <n v="856.25"/>
        <n v="857.142857142857"/>
        <n v="858.125"/>
        <n v="860"/>
        <n v="862.5"/>
        <n v="863.333333333333"/>
        <n v="863.75"/>
        <n v="863.783783783784"/>
        <n v="866.428571428571"/>
        <n v="866.666666666667"/>
        <n v="867.5"/>
        <n v="868.571428571429"/>
        <n v="868.625"/>
        <n v="870.875"/>
        <n v="871.25"/>
        <n v="874.25"/>
        <n v="874.285714285714"/>
        <n v="874.75"/>
        <n v="875"/>
        <n v="880"/>
        <n v="881.25"/>
        <n v="881.333333333333"/>
        <n v="883.75"/>
        <n v="886.8"/>
        <n v="887.5"/>
        <n v="888.222222222222"/>
        <n v="888.888888888889"/>
        <n v="889.285714285714"/>
        <n v="890"/>
        <n v="893.75"/>
        <n v="895"/>
        <n v="896.25"/>
        <n v="896.428571428572"/>
        <n v="899.333333333333"/>
        <n v="900"/>
        <n v="903.75"/>
        <n v="906.5"/>
        <n v="909.5"/>
        <n v="910.75"/>
        <n v="911"/>
        <n v="911.764705882353"/>
        <n v="912.25"/>
        <n v="912.5"/>
        <n v="914.285714285714"/>
        <n v="915"/>
        <n v="918.75"/>
        <n v="920"/>
        <n v="921.25"/>
        <n v="923.076923076923"/>
        <n v="924"/>
        <n v="925"/>
        <n v="933.333333333333"/>
        <n v="937.5"/>
        <n v="943.333333333333"/>
        <n v="944.444444444444"/>
        <n v="950"/>
        <n v="955.555555555556"/>
        <n v="978.260869565218"/>
        <n v="987.5"/>
        <n v="990"/>
        <n v="993"/>
        <n v="994"/>
        <n v="997"/>
        <n v="997.333333333333"/>
        <n v="1000"/>
        <n v="1007"/>
        <n v="1010"/>
        <n v="1016.66666666667"/>
        <n v="1020"/>
        <n v="1022.625"/>
        <n v="1025"/>
        <n v="1036.2"/>
        <n v="1038.625"/>
        <n v="1040"/>
        <n v="1058.11764705882"/>
        <n v="1062.5"/>
        <n v="1089.76470588235"/>
        <n v="1117.6"/>
        <n v="1124.5"/>
        <n v="1137.5"/>
        <n v="1141.375"/>
        <n v="1162.5"/>
        <n v="1166.66666666667"/>
        <n v="1187.5"/>
        <n v="1191"/>
        <n v="1193"/>
        <n v="1198"/>
        <n v="1200"/>
        <n v="1203.5"/>
        <n v="1216.66666666667"/>
        <n v="1218"/>
        <n v="1250"/>
        <n v="1260"/>
        <n v="1261.375"/>
        <n v="1275"/>
        <n v="1281.42857142857"/>
        <n v="1283.33333333333"/>
        <n v="1287.5"/>
        <n v="1300"/>
        <n v="1314"/>
        <n v="1318.66666666667"/>
        <n v="1320"/>
        <n v="1333.33333333333"/>
        <n v="1343.88235294118"/>
        <n v="1344.5"/>
        <n v="1350.875"/>
        <n v="1353.76470588235"/>
        <n v="1356.125"/>
        <n v="1360"/>
        <n v="1370.58823529412"/>
        <n v="1375"/>
        <n v="1396.11764705882"/>
        <n v="1412.5"/>
        <n v="1437.17647058824"/>
        <n v="1437.5"/>
        <n v="1439.88235294118"/>
        <n v="1440"/>
        <n v="1450.54545454545"/>
        <n v="1456.375"/>
        <n v="1458.75"/>
        <n v="1464"/>
        <n v="1480"/>
        <n v="1496"/>
        <n v="1500"/>
        <n v="1500.23529411765"/>
        <n v="1510.125"/>
        <n v="1523.5"/>
        <n v="1523.88235294118"/>
        <n v="1530.5"/>
        <n v="1531.33333333333"/>
        <n v="1543.05882352941"/>
        <n v="1555"/>
        <n v="1567.6"/>
        <n v="1567.875"/>
        <n v="1575.29411764706"/>
        <n v="1579.125"/>
        <n v="1583.625"/>
        <n v="1586.75"/>
        <n v="1587.5"/>
        <n v="1600"/>
        <n v="1600.8"/>
        <n v="1603.73333333333"/>
        <n v="1607"/>
        <n v="1607.71428571429"/>
        <n v="1626.66666666667"/>
        <n v="1638.23529411765"/>
        <n v="1647.93103448276"/>
        <n v="1650"/>
        <n v="1655.375"/>
        <n v="1657.25"/>
        <n v="1658.75"/>
        <n v="1659.66666666667"/>
        <n v="1665.375"/>
        <n v="1682.22222222222"/>
        <n v="1693.875"/>
        <n v="1694"/>
        <n v="1703"/>
        <n v="1703.5"/>
        <n v="1711.25"/>
        <n v="1717.625"/>
        <n v="1722.4"/>
        <n v="1727"/>
        <n v="1727.125"/>
        <n v="1736.625"/>
        <n v="1737.5"/>
        <n v="1739.75"/>
        <n v="1740.2"/>
        <n v="1745.23076923077"/>
        <n v="1750"/>
        <n v="1757.29411764706"/>
        <n v="1762.75"/>
        <n v="1777.875"/>
        <n v="1778"/>
        <n v="1778.5"/>
        <n v="1778.75"/>
        <n v="1780.875"/>
        <n v="1793.41176470588"/>
        <n v="1794.23529411765"/>
        <n v="1795.5"/>
        <n v="1798.75"/>
        <n v="1806.375"/>
        <n v="1816.25"/>
        <n v="1816.44444444444"/>
        <n v="1826.08695652174"/>
        <n v="1837.28571428571"/>
        <n v="1863.05882352941"/>
        <n v="1870"/>
        <n v="1876"/>
        <n v="1886.82352941176"/>
        <n v="1894.33333333333"/>
        <n v="1897.75"/>
        <n v="1902.47058823529"/>
        <n v="1916.11764705882"/>
        <n v="1917"/>
        <n v="1922.22222222222"/>
        <n v="1926.375"/>
        <n v="1930"/>
        <n v="1968.375"/>
        <n v="1970.14285714286"/>
        <n v="1976.25"/>
        <n v="1978"/>
        <n v="1980"/>
        <n v="1983"/>
        <n v="1992"/>
        <n v="2000"/>
        <n v="2010.44444444444"/>
        <n v="2012.5"/>
        <n v="2022.5"/>
        <n v="2023.25"/>
        <n v="2023.29411764706"/>
        <n v="2030"/>
        <n v="2033.625"/>
        <n v="2034.75"/>
        <n v="2040"/>
        <n v="2040.625"/>
        <n v="2042.33333333333"/>
        <n v="2045.88235294118"/>
        <n v="2064.11764705882"/>
        <n v="2064.5"/>
        <n v="2067.5"/>
        <n v="2069"/>
        <n v="2072"/>
        <n v="2092.5"/>
        <n v="2092.625"/>
        <n v="2110"/>
        <n v="2111.25"/>
        <n v="2122.75"/>
        <n v="2144.58823529412"/>
        <n v="2162.5"/>
        <n v="2205"/>
        <n v="2217.11111111111"/>
        <n v="2253.25"/>
        <n v="2258.125"/>
        <n v="2271.5"/>
        <n v="2290.75"/>
        <n v="2301.5"/>
        <n v="2399.33333333333"/>
        <n v="2400"/>
        <n v="2530.5"/>
        <n v="2582.5"/>
        <n v="2586.375"/>
        <n v="2602.94117647059"/>
        <n v="2927.33333333333"/>
        <n v="3046.47058823529"/>
        <n v="3188.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9.72972972972973" maxValue="1296" count="786">
        <n v="-9.72972972972973"/>
        <n v="0.500834724540901"/>
        <n v="1.04347826086957"/>
        <n v="1.22978820314279"/>
        <n v="1.31445904954499"/>
        <n v="1.3172338090011"/>
        <n v="1.58485582214396"/>
        <n v="1.67864391903012"/>
        <n v="1.74408663436877"/>
        <n v="1.76268973396442"/>
        <n v="1.76470588235294"/>
        <n v="1.80722891566265"/>
        <n v="1.81268882175227"/>
        <n v="1.81307097680956"/>
        <n v="1.81396329888209"/>
        <n v="1.81543116490166"/>
        <n v="1.82952772656361"/>
        <n v="1.8845872899927"/>
        <n v="1.89316113883182"/>
        <n v="1.90391852999779"/>
        <n v="1.92513368983957"/>
        <n v="1.93650078811079"/>
        <n v="1.94423511680482"/>
        <n v="1.94819904855395"/>
        <n v="1.97263195308335"/>
        <n v="1.99534419687396"/>
        <n v="2.03646696661141"/>
        <n v="2.04227024459748"/>
        <n v="2.05351586807716"/>
        <n v="2.05714285714286"/>
        <n v="2.06872773244455"/>
        <n v="2.07194244604317"/>
        <n v="2.07692307692308"/>
        <n v="2.07874015748031"/>
        <n v="2.0901068276823"/>
        <n v="2.10715452466514"/>
        <n v="2.13168565360108"/>
        <n v="2.13428190306803"/>
        <n v="2.18181818181818"/>
        <n v="2.25"/>
        <n v="2.25933202357564"/>
        <n v="2.28260869565217"/>
        <n v="2.29565217391304"/>
        <n v="2.32577736580433"/>
        <n v="2.33766233766234"/>
        <n v="2.35089246843709"/>
        <n v="2.35294117647059"/>
        <n v="2.36220472440945"/>
        <n v="2.36363636363636"/>
        <n v="2.36909871244635"/>
        <n v="2.38734153789211"/>
        <n v="2.3986612123466"/>
        <n v="2.4"/>
        <n v="2.40641711229946"/>
        <n v="2.43037974683544"/>
        <n v="2.43243243243243"/>
        <n v="2.47491638795987"/>
        <n v="2.47619047619048"/>
        <n v="2.48571428571429"/>
        <n v="2.49383790053646"/>
        <n v="2.49491525423729"/>
        <n v="2.5"/>
        <n v="2.53846153846154"/>
        <n v="2.54416961130742"/>
        <n v="2.54826254826255"/>
        <n v="2.54867256637168"/>
        <n v="2.55673372311961"/>
        <n v="2.5631067961165"/>
        <n v="2.58823529411765"/>
        <n v="2.60869565217391"/>
        <n v="2.61818181818182"/>
        <n v="2.63013698630137"/>
        <n v="2.63583815028902"/>
        <n v="2.64705882352941"/>
        <n v="2.6674076132259"/>
        <n v="2.66844563042028"/>
        <n v="2.67182962245886"/>
        <n v="2.6875"/>
        <n v="2.7"/>
        <n v="2.73047563123899"/>
        <n v="2.74502903396094"/>
        <n v="2.75"/>
        <n v="2.75695284159613"/>
        <n v="2.76636263405833"/>
        <n v="2.76657060518732"/>
        <n v="2.76923076923077"/>
        <n v="2.77894736842105"/>
        <n v="2.7906976744186"/>
        <n v="2.79169649248389"/>
        <n v="2.79742765273312"/>
        <n v="2.8"/>
        <n v="2.80748663101604"/>
        <n v="2.81524926686217"/>
        <n v="2.82553937137225"/>
        <n v="2.82685512367491"/>
        <n v="2.82857142857143"/>
        <n v="2.83114256825076"/>
        <n v="2.83870967741935"/>
        <n v="2.8452874925904"/>
        <n v="2.86252354048964"/>
        <n v="2.86253189836902"/>
        <n v="2.88"/>
        <n v="2.9010989010989"/>
        <n v="2.92517006802721"/>
        <n v="2.95566502463054"/>
        <n v="2.97699594046008"/>
        <n v="2.97959624311778"/>
        <n v="2.9903536977492"/>
        <n v="3"/>
        <n v="3.03851136497468"/>
        <n v="3.07778087538333"/>
        <n v="3.08225315094678"/>
        <n v="3.08243727598566"/>
        <n v="3.08910891089109"/>
        <n v="3.11341734618236"/>
        <n v="3.12"/>
        <n v="3.12424315814967"/>
        <n v="3.12611012433393"/>
        <n v="3.12839452530958"/>
        <n v="3.14307541198297"/>
        <n v="3.15364869820315"/>
        <n v="3.17167619398857"/>
        <n v="3.17423806785509"/>
        <n v="3.18848602269582"/>
        <n v="3.18912237330037"/>
        <n v="3.19354838709677"/>
        <n v="3.2093023255814"/>
        <n v="3.21949097237329"/>
        <n v="3.21951219512195"/>
        <n v="3.23430321592649"/>
        <n v="3.26207833930557"/>
        <n v="3.29398847104035"/>
        <n v="3.3"/>
        <n v="3.30943188086045"/>
        <n v="3.34825773797937"/>
        <n v="3.35301962278529"/>
        <n v="3.36"/>
        <n v="3.38823529411765"/>
        <n v="3.38920611530669"/>
        <n v="3.39791356184799"/>
        <n v="3.39876169147675"/>
        <n v="3.4"/>
        <n v="3.4135180260961"/>
        <n v="3.426939552594"/>
        <n v="3.42857142857143"/>
        <n v="3.42888745506498"/>
        <n v="3.44182566404789"/>
        <n v="3.45229764404012"/>
        <n v="3.47368421052632"/>
        <n v="3.47994200096665"/>
        <n v="3.49090909090909"/>
        <n v="3.51219512195122"/>
        <n v="3.52"/>
        <n v="3.52053646269908"/>
        <n v="3.525"/>
        <n v="3.52941176470588"/>
        <n v="3.53731343283582"/>
        <n v="3.5385182454847"/>
        <n v="3.54098360655738"/>
        <n v="3.54679802955665"/>
        <n v="3.55127322780454"/>
        <n v="3.55263157894737"/>
        <n v="3.55855332015351"/>
        <n v="3.56150543066431"/>
        <n v="3.5625"/>
        <n v="3.56521739130435"/>
        <n v="3.56626506024096"/>
        <n v="3.56756756756757"/>
        <n v="3.57068714967822"/>
        <n v="3.57142857142857"/>
        <n v="3.58129766773516"/>
        <n v="3.58208955223881"/>
        <n v="3.5858234885337"/>
        <n v="3.59090909090909"/>
        <n v="3.59183673469388"/>
        <n v="3.59231411862991"/>
        <n v="3.5966149506347"/>
        <n v="3.59937402190923"/>
        <n v="3.6"/>
        <n v="3.6096256684492"/>
        <n v="3.61083249749248"/>
        <n v="3.61643835616438"/>
        <n v="3.61742943272129"/>
        <n v="3.61904761904762"/>
        <n v="3.61943479116124"/>
        <n v="3.62109682498032"/>
        <n v="3.62173038229376"/>
        <n v="3.62790697674419"/>
        <n v="3.63086232980333"/>
        <n v="3.63164721141375"/>
        <n v="3.63636363636364"/>
        <n v="3.64285714285714"/>
        <n v="3.64326375711575"/>
        <n v="3.64597093791281"/>
        <n v="3.65145228215768"/>
        <n v="3.65217391304348"/>
        <n v="3.65957446808511"/>
        <n v="3.66315789473684"/>
        <n v="3.66412213740458"/>
        <n v="3.66666666666667"/>
        <n v="3.67741935483871"/>
        <n v="3.68"/>
        <n v="3.68200836820084"/>
        <n v="3.69230769230769"/>
        <n v="3.69552118899377"/>
        <n v="3.69565217391304"/>
        <n v="3.70212765957447"/>
        <n v="3.70317209702885"/>
        <n v="3.70546318289786"/>
        <n v="3.70570524202887"/>
        <n v="3.70786516853933"/>
        <n v="3.71099240933371"/>
        <n v="3.71410062621464"/>
        <n v="3.71830985915493"/>
        <n v="3.72"/>
        <n v="3.72727272727273"/>
        <n v="3.73056994818653"/>
        <n v="3.73333333333333"/>
        <n v="3.73452992690164"/>
        <n v="3.73480023161552"/>
        <n v="3.74077112387203"/>
        <n v="3.7410071942446"/>
        <n v="3.74566473988439"/>
        <n v="3.75"/>
        <n v="3.77142857142857"/>
        <n v="3.77250643040869"/>
        <n v="3.77272727272727"/>
        <n v="3.78082191780822"/>
        <n v="3.78461538461538"/>
        <n v="3.78694581280788"/>
        <n v="3.78766140602582"/>
        <n v="3.78947368421053"/>
        <n v="3.79224030037547"/>
        <n v="3.79746835443038"/>
        <n v="3.79910778529285"/>
        <n v="3.8"/>
        <n v="3.8006058936932"/>
        <n v="3.80755608028335"/>
        <n v="3.81176470588235"/>
        <n v="3.82165605095541"/>
        <n v="3.82608695652174"/>
        <n v="3.83004189108318"/>
        <n v="3.83333333333333"/>
        <n v="3.83795309168443"/>
        <n v="3.84"/>
        <n v="3.84263494967978"/>
        <n v="3.84375"/>
        <n v="3.84559359067735"/>
        <n v="3.85185185185185"/>
        <n v="3.85401459854015"/>
        <n v="3.85714285714286"/>
        <n v="3.86045181584215"/>
        <n v="3.8796992481203"/>
        <n v="3.88235294117647"/>
        <n v="3.886925795053"/>
        <n v="3.89189189189189"/>
        <n v="3.9"/>
        <n v="3.91111111111111"/>
        <n v="3.91304347826087"/>
        <n v="3.92188904322249"/>
        <n v="3.92273402674591"/>
        <n v="3.92307692307692"/>
        <n v="3.9344262295082"/>
        <n v="3.94029850746269"/>
        <n v="3.94285714285714"/>
        <n v="3.94520547945205"/>
        <n v="3.94838709677419"/>
        <n v="3.95170142700329"/>
        <n v="3.95713107996702"/>
        <n v="3.95821880153931"/>
        <n v="3.9622641509434"/>
        <n v="3.96280524897888"/>
        <n v="3.96378761928065"/>
        <n v="3.96409335727109"/>
        <n v="3.96774193548387"/>
        <n v="3.97410808369712"/>
        <n v="3.98340248962656"/>
        <n v="4"/>
        <n v="4.00485436893204"/>
        <n v="4.00728597449909"/>
        <n v="4.01593625498008"/>
        <n v="4.01739130434783"/>
        <n v="4.02234636871508"/>
        <n v="4.02985074626866"/>
        <n v="4.04295641187618"/>
        <n v="4.04973357015986"/>
        <n v="4.05"/>
        <n v="4.05303977983488"/>
        <n v="4.05797101449276"/>
        <n v="4.06108989934051"/>
        <n v="4.06153846153846"/>
        <n v="4.0649125571136"/>
        <n v="4.06779661016949"/>
        <n v="4.07355021216407"/>
        <n v="4.08037094281298"/>
        <n v="4.08472012102874"/>
        <n v="4.09409229664213"/>
        <n v="4.1"/>
        <n v="4.10526315789474"/>
        <n v="4.11384836163597"/>
        <n v="4.11428571428571"/>
        <n v="4.12247946228529"/>
        <n v="4.125"/>
        <n v="4.1385256502371"/>
        <n v="4.15384615384615"/>
        <n v="4.15748031496063"/>
        <n v="4.15791684166317"/>
        <n v="4.16403785488959"/>
        <n v="4.16787264833575"/>
        <n v="4.17391304347826"/>
        <n v="4.19047619047619"/>
        <n v="4.19183465541081"/>
        <n v="4.19247260600286"/>
        <n v="4.2"/>
        <n v="4.20967741935484"/>
        <n v="4.2336724647194"/>
        <n v="4.23529411764706"/>
        <n v="4.24615384615385"/>
        <n v="4.25806451612903"/>
        <n v="4.26839126919968"/>
        <n v="4.27116960516514"/>
        <n v="4.27118644067797"/>
        <n v="4.32"/>
        <n v="4.32873274780427"/>
        <n v="4.33822052621008"/>
        <n v="4.34454668879167"/>
        <n v="4.34567901234568"/>
        <n v="4.35374149659864"/>
        <n v="4.36363636363636"/>
        <n v="4.37158469945355"/>
        <n v="4.4"/>
        <n v="4.40069484655472"/>
        <n v="4.42159383033419"/>
        <n v="4.42622950819672"/>
        <n v="4.42880439447258"/>
        <n v="4.43076923076923"/>
        <n v="4.43587270973963"/>
        <n v="4.45161290322581"/>
        <n v="4.45702157764415"/>
        <n v="4.46615491974878"/>
        <n v="4.48132780082988"/>
        <n v="4.49775112443778"/>
        <n v="4.5"/>
        <n v="4.51240912509401"/>
        <n v="4.51505016722408"/>
        <n v="4.53400503778338"/>
        <n v="4.55696202531646"/>
        <n v="4.56"/>
        <n v="4.57142857142857"/>
        <n v="4.57215431020797"/>
        <n v="4.57478005865103"/>
        <n v="4.59300842051544"/>
        <n v="4.6"/>
        <n v="4.61538461538462"/>
        <n v="4.6236559139785"/>
        <n v="4.64516129032258"/>
        <n v="4.72536348949919"/>
        <n v="4.76591647611024"/>
        <n v="4.78991596638655"/>
        <n v="4.8"/>
        <n v="4.83235577343955"/>
        <n v="4.85714285714286"/>
        <n v="4.86158001350439"/>
        <n v="4.87062404870624"/>
        <n v="4.92"/>
        <n v="4.93150684931507"/>
        <n v="4.95"/>
        <n v="4.96551724137931"/>
        <n v="4.97872340425532"/>
        <n v="5"/>
        <n v="5.01818181818182"/>
        <n v="5.01923076923077"/>
        <n v="5.02092050209205"/>
        <n v="5.02325581395349"/>
        <n v="5.0377358490566"/>
        <n v="5.04"/>
        <n v="5.05263157894737"/>
        <n v="5.06666666666667"/>
        <n v="5.07692307692308"/>
        <n v="5.08333333333333"/>
        <n v="5.08695652173913"/>
        <n v="5.14285714285714"/>
        <n v="5.16385302879841"/>
        <n v="5.17985611510791"/>
        <n v="5.19059205190592"/>
        <n v="5.2"/>
        <n v="5.21052631578947"/>
        <n v="5.22"/>
        <n v="5.23636363636364"/>
        <n v="5.25"/>
        <n v="5.25547445255474"/>
        <n v="5.26829268292683"/>
        <n v="5.28"/>
        <n v="5.28571428571429"/>
        <n v="5.30973451327434"/>
        <n v="5.31199351701783"/>
        <n v="5.33333333333333"/>
        <n v="5.34441805225653"/>
        <n v="5.34653465346535"/>
        <n v="5.35424553812872"/>
        <n v="5.35714285714286"/>
        <n v="5.38317757009346"/>
        <n v="5.38707102952913"/>
        <n v="5.4"/>
        <n v="5.4149377593361"/>
        <n v="5.42857142857143"/>
        <n v="5.4292343387471"/>
        <n v="5.43396226415094"/>
        <n v="5.45454545454545"/>
        <n v="5.49152542372881"/>
        <n v="5.52"/>
        <n v="5.52389302937308"/>
        <n v="5.52879581151832"/>
        <n v="5.53846153846154"/>
        <n v="5.5531914893617"/>
        <n v="5.56701030927835"/>
        <n v="5.57142857142857"/>
        <n v="5.58"/>
        <n v="5.58805970149254"/>
        <n v="5.6"/>
        <n v="5.625"/>
        <n v="5.64705882352941"/>
        <n v="5.68047337278107"/>
        <n v="5.68421052631579"/>
        <n v="5.7"/>
        <n v="5.70749108204518"/>
        <n v="5.70824524312896"/>
        <n v="5.72307692307692"/>
        <n v="5.73248407643312"/>
        <n v="5.73333333333333"/>
        <n v="5.73705179282869"/>
        <n v="5.74468085106383"/>
        <n v="5.76"/>
        <n v="5.77777777777778"/>
        <n v="5.79150579150579"/>
        <n v="5.79207920792079"/>
        <n v="5.81052631578947"/>
        <n v="5.81818181818182"/>
        <n v="5.81986143187067"/>
        <n v="5.82857142857143"/>
        <n v="5.83333333333333"/>
        <n v="5.84890333062551"/>
        <n v="5.85"/>
        <n v="5.85714285714286"/>
        <n v="5.86046511627907"/>
        <n v="5.86666666666667"/>
        <n v="5.87234042553192"/>
        <n v="5.87484035759898"/>
        <n v="5.87755102040816"/>
        <n v="5.88957055214724"/>
        <n v="5.89198036006547"/>
        <n v="5.9016393442623"/>
        <n v="5.90277777777778"/>
        <n v="5.91780821917808"/>
        <n v="5.93814432989691"/>
        <n v="5.94827586206897"/>
        <n v="5.9504132231405"/>
        <n v="5.98255089322809"/>
        <n v="6"/>
        <n v="6.0375"/>
        <n v="6.0431654676259"/>
        <n v="6.04395604395605"/>
        <n v="6.045"/>
        <n v="6.06060606060606"/>
        <n v="6.06315789473684"/>
        <n v="6.075"/>
        <n v="6.07792207792208"/>
        <n v="6.08219178082192"/>
        <n v="6.12765957446809"/>
        <n v="6.13953488372093"/>
        <n v="6.14285714285714"/>
        <n v="6.14634146341463"/>
        <n v="6.15"/>
        <n v="6.15384615384615"/>
        <n v="6.15969581749049"/>
        <n v="6.17142857142857"/>
        <n v="6.17848970251716"/>
        <n v="6.18025751072961"/>
        <n v="6.18181818181818"/>
        <n v="6.1875"/>
        <n v="6.21176470588235"/>
        <n v="6.21428571428571"/>
        <n v="6.22030237580994"/>
        <n v="6.22222222222222"/>
        <n v="6.23076923076923"/>
        <n v="6.26086956521739"/>
        <n v="6.27272727272727"/>
        <n v="6.27906976744186"/>
        <n v="6.28465804066543"/>
        <n v="6.2882096069869"/>
        <n v="6.3"/>
        <n v="6.31578947368421"/>
        <n v="6.32432432432432"/>
        <n v="6.33333333333334"/>
        <n v="6.33802816901409"/>
        <n v="6.35294117647059"/>
        <n v="6.3716814159292"/>
        <n v="6.4"/>
        <n v="6.41901931649331"/>
        <n v="6.42857142857143"/>
        <n v="6.46153846153846"/>
        <n v="6.47870425914817"/>
        <n v="6.48"/>
        <n v="6.48648648648649"/>
        <n v="6.5"/>
        <n v="6.51162790697674"/>
        <n v="6.525"/>
        <n v="6.53753026634383"/>
        <n v="6.54545454545455"/>
        <n v="6.58536585365854"/>
        <n v="6.6"/>
        <n v="6.63157894736842"/>
        <n v="6.63716814159292"/>
        <n v="6.65258711721225"/>
        <n v="6.66666666666667"/>
        <n v="6.69767441860465"/>
        <n v="6.71850699844479"/>
        <n v="6.72727272727273"/>
        <n v="6.74157303370787"/>
        <n v="6.75"/>
        <n v="6.7741935483871"/>
        <n v="6.79245283018868"/>
        <n v="6.81818181818182"/>
        <n v="6.82464454976303"/>
        <n v="6.85714285714286"/>
        <n v="6.88336520076482"/>
        <n v="6.90095846645367"/>
        <n v="6.92307692307692"/>
        <n v="6.95172413793103"/>
        <n v="6.96774193548387"/>
        <n v="7"/>
        <n v="7.02439024390244"/>
        <n v="7.0391061452514"/>
        <n v="7.04347826086957"/>
        <n v="7.10526315789474"/>
        <n v="7.14078374455733"/>
        <n v="7.2"/>
        <n v="7.3469387755102"/>
        <n v="7.36572890025575"/>
        <n v="7.37704918032787"/>
        <n v="7.38461538461539"/>
        <n v="7.48700173310225"/>
        <n v="7.5"/>
        <n v="7.50521195274496"/>
        <n v="7.57894736842105"/>
        <n v="7.68"/>
        <n v="7.78378378378378"/>
        <n v="7.78979907264297"/>
        <n v="7.8"/>
        <n v="7.84313725490196"/>
        <n v="8"/>
        <n v="8.02228412256267"/>
        <n v="8.04529201430274"/>
        <n v="8.22857142857143"/>
        <n v="8.27586206896552"/>
        <n v="8.33333333333333"/>
        <n v="8.4"/>
        <n v="8.45814977973568"/>
        <n v="8.47058823529412"/>
        <n v="8.51851851851852"/>
        <n v="8.53333333333333"/>
        <n v="8.54700854700855"/>
        <n v="8.57142857142857"/>
        <n v="8.59701492537313"/>
        <n v="8.60215053763441"/>
        <n v="8.67469879518072"/>
        <n v="8.69565217391305"/>
        <n v="8.75"/>
        <n v="8.81226053639847"/>
        <n v="8.83838383838384"/>
        <n v="8.88888888888889"/>
        <n v="8.91089108910891"/>
        <n v="8.92857142857143"/>
        <n v="8.97196261682243"/>
        <n v="8.97435897435897"/>
        <n v="9"/>
        <n v="9.01960784313726"/>
        <n v="9.05349794238683"/>
        <n v="9.0625"/>
        <n v="9.06432748538012"/>
        <n v="9.09090909090909"/>
        <n v="9.12698412698413"/>
        <n v="9.16666666666667"/>
        <n v="9.19540229885057"/>
        <n v="9.23076923076923"/>
        <n v="9.25925925925926"/>
        <n v="9.30555555555556"/>
        <n v="9.35672514619883"/>
        <n v="9.375"/>
        <n v="9.41176470588235"/>
        <n v="9.44444444444444"/>
        <n v="9.52380952380952"/>
        <n v="9.5364238410596"/>
        <n v="9.58333333333333"/>
        <n v="9.6"/>
        <n v="9.72222222222222"/>
        <n v="9.72972972972973"/>
        <n v="9.76190476190476"/>
        <n v="9.87654320987654"/>
        <n v="9.88888888888889"/>
        <n v="9.9537037037037"/>
        <n v="10"/>
        <n v="10.2564102564103"/>
        <n v="10.2647657841141"/>
        <n v="10.2857142857143"/>
        <n v="10.3174603174603"/>
        <n v="10.3703703703704"/>
        <n v="10.3846153846154"/>
        <n v="10.4166666666667"/>
        <n v="10.5147864184009"/>
        <n v="10.5263157894737"/>
        <n v="10.5417276720351"/>
        <n v="10.5882352941176"/>
        <n v="10.6060606060606"/>
        <n v="10.6481481481481"/>
        <n v="10.6666666666667"/>
        <n v="10.7142857142857"/>
        <n v="10.8024691358025"/>
        <n v="10.8333333333333"/>
        <n v="10.9090909090909"/>
        <n v="11"/>
        <n v="11.0655737704918"/>
        <n v="11.1111111111111"/>
        <n v="11.25"/>
        <n v="11.4285714285714"/>
        <n v="11.52"/>
        <n v="11.5384615384615"/>
        <n v="11.7139614074915"/>
        <n v="12"/>
        <n v="12.1212121212121"/>
        <n v="12.3076923076923"/>
        <n v="12.8571428571429"/>
        <n v="13.2"/>
        <n v="13.3333333333333"/>
        <n v="14.4"/>
        <n v="14.5454545454545"/>
        <n v="15"/>
        <n v="18.2278481012658"/>
        <n v="18.3333333333333"/>
        <n v="18.4696569920844"/>
        <n v="19.2982456140351"/>
        <n v="20"/>
        <n v="20.5882352941176"/>
        <n v="20.6217778472114"/>
        <n v="21.2345679012346"/>
        <n v="21.5827338129496"/>
        <n v="21.6393442622951"/>
        <n v="21.7171717171717"/>
        <n v="22.2222222222222"/>
        <n v="22.4489795918367"/>
        <n v="23.5294117647059"/>
        <n v="23.8888888888889"/>
        <n v="23.9130434782609"/>
        <n v="24.025974025974"/>
        <n v="24.0700218818381"/>
        <n v="24.3243243243243"/>
        <n v="24.4444444444444"/>
        <n v="24.5756457564576"/>
        <n v="24.9433106575964"/>
        <n v="25"/>
        <n v="25.0544662309368"/>
        <n v="25.1572327044025"/>
        <n v="25.2534914865123"/>
        <n v="25.3106605624591"/>
        <n v="25.462962962963"/>
        <n v="25.5555555555556"/>
        <n v="25.8454106280193"/>
        <n v="25.9259259259259"/>
        <n v="26.1386138613861"/>
        <n v="26.1627906976744"/>
        <n v="26.1904761904762"/>
        <n v="26.1942423283771"/>
        <n v="26.2857142857143"/>
        <n v="26.4"/>
        <n v="26.4150943396226"/>
        <n v="26.4705882352941"/>
        <n v="26.5700483091787"/>
        <n v="26.6666666666667"/>
        <n v="26.8817204301075"/>
        <n v="27.1604938271605"/>
        <n v="27.7777777777778"/>
        <n v="27.906976744186"/>
        <n v="28.030303030303"/>
        <n v="28.0314291781695"/>
        <n v="28.0725546702831"/>
        <n v="28.436018957346"/>
        <n v="28.4391534391534"/>
        <n v="28.4722222222222"/>
        <n v="28.7081339712919"/>
        <n v="28.7878787878788"/>
        <n v="28.9429530201342"/>
        <n v="29.0420168067227"/>
        <n v="29.1026677445433"/>
        <n v="29.2397660818713"/>
        <n v="29.2980671414039"/>
        <n v="29.320987654321"/>
        <n v="29.4086307938199"/>
        <n v="29.5366795366795"/>
        <n v="30"/>
        <n v="30.3030303030303"/>
        <n v="30.4659498207885"/>
        <n v="30.4797742238946"/>
        <n v="30.5555555555556"/>
        <n v="30.5651366410188"/>
        <n v="30.6122448979592"/>
        <n v="30.6306306306306"/>
        <n v="30.8641975308642"/>
        <n v="31.1418685121107"/>
        <n v="31.1724783524456"/>
        <n v="31.2244897959184"/>
        <n v="31.2925170068027"/>
        <n v="31.3272877164056"/>
        <n v="31.3653136531365"/>
        <n v="31.3725490196078"/>
        <n v="31.3986679352997"/>
        <n v="31.4018691588785"/>
        <n v="31.4350797266515"/>
        <n v="31.5789473684211"/>
        <n v="31.7460317460317"/>
        <n v="31.7817014446228"/>
        <n v="31.8181818181818"/>
        <n v="31.8840579710145"/>
        <n v="31.9148936170213"/>
        <n v="31.9444444444444"/>
        <n v="32"/>
        <n v="32.3809523809524"/>
        <n v="32.520325203252"/>
        <n v="32.5925925925926"/>
        <n v="32.621359223301"/>
        <n v="32.6441784548422"/>
        <n v="32.7956989247312"/>
        <n v="32.8703703703704"/>
        <n v="33.033033033033"/>
        <n v="33.0935251798561"/>
        <n v="33.210332103321"/>
        <n v="33.3333333333333"/>
        <n v="33.7236533957845"/>
        <n v="34.2"/>
        <n v="34.3511450381679"/>
        <n v="34.3891402714932"/>
        <n v="34.4827586206897"/>
        <n v="34.6153846153846"/>
        <n v="34.6820809248555"/>
        <n v="34.9206349206349"/>
        <n v="35"/>
        <n v="35.0584307178631"/>
        <n v="35.2941176470588"/>
        <n v="35.5653128430296"/>
        <n v="35.7142857142857"/>
        <n v="35.7446808510638"/>
        <n v="36.3881401617251"/>
        <n v="36.5853658536585"/>
        <n v="36.6412213740458"/>
        <n v="36.8852459016393"/>
        <n v="36.9230769230769"/>
        <n v="36.9757489300999"/>
        <n v="37.0021413276231"/>
        <n v="37.037037037037"/>
        <n v="37.2093023255814"/>
        <n v="37.4025974025974"/>
        <n v="37.6119402985075"/>
        <n v="37.8787878787879"/>
        <n v="38.0952380952381"/>
        <n v="38.7096774193548"/>
        <n v="39.2523364485981"/>
        <n v="39.2727272727273"/>
        <n v="39.3873085339168"/>
        <n v="39.5833333333333"/>
        <n v="39.8791540785498"/>
        <n v="39.9113082039911"/>
        <n v="39.9658411614005"/>
        <n v="40"/>
        <n v="40.1234567901235"/>
        <n v="40.3990024937656"/>
        <n v="42.5108763206961"/>
        <n v="42.8571428571429"/>
        <n v="43.2"/>
        <n v="43.7956204379562"/>
        <n v="44.1624365482234"/>
        <n v="45.7073760580411"/>
        <n v="55.5555555555556"/>
        <n v="57.3843416370107"/>
        <n v="66.1538461538462"/>
        <n v="180"/>
        <n v="360"/>
        <n v="1296"/>
      </sharedItems>
    </cacheField>
    <cacheField name="Effieciency" numFmtId="0">
      <sharedItems containsSemiMixedTypes="0" containsString="0" containsNumber="1" minValue="-3.33" maxValue="7.98666666666667" count="771">
        <n v="-3.33"/>
        <n v="0.025"/>
        <n v="0.09"/>
        <n v="0.18"/>
        <n v="0.213420542635659"/>
        <n v="0.215833333333334"/>
        <n v="0.225"/>
        <n v="0.265151515151515"/>
        <n v="0.288020833333334"/>
        <n v="0.364583333333333"/>
        <n v="0.4375"/>
        <n v="0.45"/>
        <n v="0.455729166666667"/>
        <n v="0.486111111111111"/>
        <n v="0.489767441860465"/>
        <n v="0.510416666666666"/>
        <n v="0.517346014492754"/>
        <n v="0.53030303030303"/>
        <n v="0.546875"/>
        <n v="0.559027777777778"/>
        <n v="0.56344696969697"/>
        <n v="0.564613953488372"/>
        <n v="0.576273148148148"/>
        <n v="0.583199999999999"/>
        <n v="0.583333333333333"/>
        <n v="0.584583333333333"/>
        <n v="0.595760869565217"/>
        <n v="0.598402777777778"/>
        <n v="0.6"/>
        <n v="0.607638888888889"/>
        <n v="0.610677083333334"/>
        <n v="0.614807692307692"/>
        <n v="0.618750000000002"/>
        <n v="0.619791666666667"/>
        <n v="0.630709876543209"/>
        <n v="0.630866228070175"/>
        <n v="0.633049242424243"/>
        <n v="0.634057971014493"/>
        <n v="0.638020833333333"/>
        <n v="0.651388888888889"/>
        <n v="0.654427083333334"/>
        <n v="0.65625"/>
        <n v="0.656589147286822"/>
        <n v="0.658886346300534"/>
        <n v="0.662878787878788"/>
        <n v="0.666666666666667"/>
        <n v="0.667438271604939"/>
        <n v="0.668402777777777"/>
        <n v="0.668611111111111"/>
        <n v="0.670138888888889"/>
        <n v="0.673076923076923"/>
        <n v="0.674296875"/>
        <n v="0.674479166666667"/>
        <n v="0.675000000000002"/>
        <n v="0.687499999999999"/>
        <n v="0.689393939393939"/>
        <n v="0.690398550724638"/>
        <n v="0.692361111111111"/>
        <n v="0.694444444444444"/>
        <n v="0.694565217391304"/>
        <n v="0.697189922480621"/>
        <n v="0.697463768115942"/>
        <n v="0.699999999999998"/>
        <n v="0.70014534883721"/>
        <n v="0.702532679738561"/>
        <n v="0.703125"/>
        <n v="0.704861111111111"/>
        <n v="0.706510416666667"/>
        <n v="0.708857142857143"/>
        <n v="0.710937499999999"/>
        <n v="0.711382113821138"/>
        <n v="0.712760416666667"/>
        <n v="0.714393939393939"/>
        <n v="0.714583333333334"/>
        <n v="0.718402777777778"/>
        <n v="0.719930555555555"/>
        <n v="0.720202020202021"/>
        <n v="0.724155405405406"/>
        <n v="0.729099462365592"/>
        <n v="0.729166666666667"/>
        <n v="0.730701754385966"/>
        <n v="0.73125"/>
        <n v="0.732382246376811"/>
        <n v="0.733655172413792"/>
        <n v="0.735562015503876"/>
        <n v="0.737179487179487"/>
        <n v="0.737635869565217"/>
        <n v="0.7398"/>
        <n v="0.740683760683761"/>
        <n v="0.742500000000001"/>
        <n v="0.746656976744185"/>
        <n v="0.75"/>
        <n v="0.753472222222222"/>
        <n v="0.756"/>
        <n v="0.758333333333333"/>
        <n v="0.760869565217391"/>
        <n v="0.762157894736842"/>
        <n v="0.765064102564102"/>
        <n v="0.765503472222222"/>
        <n v="0.765625"/>
        <n v="0.766382575757576"/>
        <n v="0.767543859649123"/>
        <n v="0.768055555555555"/>
        <n v="0.770238095238095"/>
        <n v="0.772964015151516"/>
        <n v="0.774615384615385"/>
        <n v="0.775185185185185"/>
        <n v="0.777777777777778"/>
        <n v="0.780000000000003"/>
        <n v="0.780405405405405"/>
        <n v="0.781018518518518"/>
        <n v="0.78125"/>
        <n v="0.783671875"/>
        <n v="0.783854166666667"/>
        <n v="0.783914728682171"/>
        <n v="0.784071180555556"/>
        <n v="0.785277777777778"/>
        <n v="0.78623188405797"/>
        <n v="0.7875"/>
        <n v="0.787590579710145"/>
        <n v="0.788226744186046"/>
        <n v="0.789930555555556"/>
        <n v="0.791666666666667"/>
        <n v="0.79280303030303"/>
        <n v="0.795399305555557"/>
        <n v="0.795454545454545"/>
        <n v="0.796666666666667"/>
        <n v="0.798611111111111"/>
        <n v="0.799131944444445"/>
        <n v="0.799715909090908"/>
        <n v="0.8"/>
        <n v="0.800193798449613"/>
        <n v="0.800625"/>
        <n v="0.801388888888889"/>
        <n v="0.802"/>
        <n v="0.802083333333333"/>
        <n v="0.80390625"/>
        <n v="0.805397727272727"/>
        <n v="0.807507692307691"/>
        <n v="0.809375"/>
        <n v="0.810000000000001"/>
        <n v="0.810185185185185"/>
        <n v="0.810227272727273"/>
        <n v="0.810692307692307"/>
        <n v="0.811046511627908"/>
        <n v="0.811094961240309"/>
        <n v="0.811800000000001"/>
        <n v="0.812273550724638"/>
        <n v="0.812454545454546"/>
        <n v="0.8125"/>
        <n v="0.813131313131313"/>
        <n v="0.813333333333333"/>
        <n v="0.816979166666667"/>
        <n v="0.817881944444445"/>
        <n v="0.818181818181818"/>
        <n v="0.818526315789474"/>
        <n v="0.819444444444444"/>
        <n v="0.81998106060606"/>
        <n v="0.8203125"/>
        <n v="0.82125"/>
        <n v="0.821969696969697"/>
        <n v="0.822183908045977"/>
        <n v="0.8226"/>
        <n v="0.822771317829457"/>
        <n v="0.823871794871795"/>
        <n v="0.824166666666668"/>
        <n v="0.82427536231884"/>
        <n v="0.825"/>
        <n v="0.825428571428572"/>
        <n v="0.826388888888889"/>
        <n v="0.827651515151515"/>
        <n v="0.830128205128205"/>
        <n v="0.830555555555555"/>
        <n v="0.830769230769231"/>
        <n v="0.83125"/>
        <n v="0.831417624521073"/>
        <n v="0.833142857142855"/>
        <n v="0.833333333333333"/>
        <n v="0.834829545454545"/>
        <n v="0.835227272727273"/>
        <n v="0.836021505376343"/>
        <n v="0.836111111111111"/>
        <n v="0.836363636363636"/>
        <n v="0.837000000000001"/>
        <n v="0.838541666666667"/>
        <n v="0.83929292929293"/>
        <n v="0.839756944444443"/>
        <n v="0.840000000000001"/>
        <n v="0.840243902439024"/>
        <n v="0.840530303030303"/>
        <n v="0.841767676767676"/>
        <n v="0.841856060606061"/>
        <n v="0.842592592592593"/>
        <n v="0.843749999999997"/>
        <n v="0.84375"/>
        <n v="0.845217391304348"/>
        <n v="0.848484848484848"/>
        <n v="0.848571428571429"/>
        <n v="0.849264705882353"/>
        <n v="0.850000000000004"/>
        <n v="0.8505"/>
        <n v="0.850694444444445"/>
        <n v="0.851851851851852"/>
        <n v="0.852314814814815"/>
        <n v="0.852380952380952"/>
        <n v="0.852564102564102"/>
        <n v="0.853658536585366"/>
        <n v="0.853750000000003"/>
        <n v="0.854166666666666"/>
        <n v="0.854890350877192"/>
        <n v="0.854999999999999"/>
        <n v="0.85536"/>
        <n v="0.855937499999998"/>
        <n v="0.856851851851853"/>
        <n v="0.857765151515152"/>
        <n v="0.859201388888889"/>
        <n v="0.860416666666667"/>
        <n v="0.861111111111111"/>
        <n v="0.861428571428571"/>
        <n v="0.861742424242424"/>
        <n v="0.861837606837606"/>
        <n v="0.862499999999999"/>
        <n v="0.863095238095239"/>
        <n v="0.863782051282051"/>
        <n v="0.864"/>
        <n v="0.864197530864197"/>
        <n v="0.864254385964912"/>
        <n v="0.865885416666667"/>
        <n v="0.86625"/>
        <n v="0.866666666666667"/>
        <n v="0.867857142857143"/>
        <n v="0.868518518518518"/>
        <n v="0.868636363636363"/>
        <n v="0.86875"/>
        <n v="0.868888888888889"/>
        <n v="0.869444444444445"/>
        <n v="0.870138888888889"/>
        <n v="0.87075"/>
        <n v="0.870888888888888"/>
        <n v="0.87121212121212"/>
        <n v="0.871527777777778"/>
        <n v="0.872307692307694"/>
        <n v="0.873352713178295"/>
        <n v="0.873355263157895"/>
        <n v="0.873409090909091"/>
        <n v="0.873939393939394"/>
        <n v="0.874479166666667"/>
        <n v="0.874800000000001"/>
        <n v="0.875"/>
        <n v="0.875625"/>
        <n v="0.876249999999999"/>
        <n v="0.87678571428571"/>
        <n v="0.877499999999996"/>
        <n v="0.8775"/>
        <n v="0.878400000000001"/>
        <n v="0.878472222222222"/>
        <n v="0.878645833333332"/>
        <n v="0.879166666666667"/>
        <n v="0.880700757575759"/>
        <n v="0.882113821138212"/>
        <n v="0.882222222222222"/>
        <n v="0.882291666666666"/>
        <n v="0.883035714285714"/>
        <n v="0.883333333333333"/>
        <n v="0.884114583333333"/>
        <n v="0.88425"/>
        <n v="0.884479166666667"/>
        <n v="0.885600000000001"/>
        <n v="0.885694444444445"/>
        <n v="0.885714285714285"/>
        <n v="0.886437908496733"/>
        <n v="0.886444444444444"/>
        <n v="0.887152777777778"/>
        <n v="0.88768115942029"/>
        <n v="0.888257575757575"/>
        <n v="0.888636363636364"/>
        <n v="0.888888888888889"/>
        <n v="0.889333333333333"/>
        <n v="0.889583333333333"/>
        <n v="0.889999999999999"/>
        <n v="0.8904"/>
        <n v="0.891041666666667"/>
        <n v="0.892156862745099"/>
        <n v="0.892234848484849"/>
        <n v="0.892857142857143"/>
        <n v="0.893055555555556"/>
        <n v="0.893229166666667"/>
        <n v="0.894021739130436"/>
        <n v="0.894444444444444"/>
        <n v="0.894886363636364"/>
        <n v="0.895833333333333"/>
        <n v="0.896341463414634"/>
        <n v="0.897348484848485"/>
        <n v="0.897435897435897"/>
        <n v="0.899305555555556"/>
        <n v="0.9"/>
        <n v="0.900454545454545"/>
        <n v="0.901515151515151"/>
        <n v="0.901739130434783"/>
        <n v="0.901904761904762"/>
        <n v="0.902083333333333"/>
        <n v="0.902131782945737"/>
        <n v="0.90234375"/>
        <n v="0.902430555555556"/>
        <n v="0.903178294573643"/>
        <n v="0.903645833333333"/>
        <n v="0.903703703703704"/>
        <n v="0.904"/>
        <n v="0.904027777777778"/>
        <n v="0.904186046511628"/>
        <n v="0.904651162790698"/>
        <n v="0.904761904761905"/>
        <n v="0.906060606060606"/>
        <n v="0.906410256410257"/>
        <n v="0.906428571428572"/>
        <n v="0.90662962962963"/>
        <n v="0.906798245614035"/>
        <n v="0.9072"/>
        <n v="0.907407407407407"/>
        <n v="0.908143939393938"/>
        <n v="0.908653846153847"/>
        <n v="0.908947368421052"/>
        <n v="0.909090909090909"/>
        <n v="0.910112359550562"/>
        <n v="0.910132575757575"/>
        <n v="0.910569105691057"/>
        <n v="0.911000000000001"/>
        <n v="0.911111111111111"/>
        <n v="0.91125"/>
        <n v="0.911458333333333"/>
        <n v="0.91304347826087"/>
        <n v="0.913828125000001"/>
        <n v="0.914772727272727"/>
        <n v="0.915591397849462"/>
        <n v="0.915697674418605"/>
        <n v="0.916666666666666"/>
        <n v="0.91733870967742"/>
        <n v="0.917777777777777"/>
        <n v="0.918000000000001"/>
        <n v="0.919540229885057"/>
        <n v="0.919722222222223"/>
        <n v="0.920694444444445"/>
        <n v="0.921052631578947"/>
        <n v="0.921268939393939"/>
        <n v="0.921428571428571"/>
        <n v="0.921666666666667"/>
        <n v="0.921951219512195"/>
        <n v="0.922937293729373"/>
        <n v="0.923076923076923"/>
        <n v="0.923611111111111"/>
        <n v="0.924053030303032"/>
        <n v="0.924057971014493"/>
        <n v="0.924171428571429"/>
        <n v="0.924218749999999"/>
        <n v="0.924227642276423"/>
        <n v="0.924796747967481"/>
        <n v="0.925"/>
        <n v="0.925287356321837"/>
        <n v="0.925714285714286"/>
        <n v="0.925724637681159"/>
        <n v="0.925925925925926"/>
        <n v="0.926111111111111"/>
        <n v="0.927710843373495"/>
        <n v="0.927765151515152"/>
        <n v="0.927818181818182"/>
        <n v="0.928030303030303"/>
        <n v="0.928571428571429"/>
        <n v="0.928846153846154"/>
        <n v="0.9296875"/>
        <n v="0.933333333333333"/>
        <n v="0.9342"/>
        <n v="0.935635964912281"/>
        <n v="0.936"/>
        <n v="0.936511627906976"/>
        <n v="0.9375"/>
        <n v="0.939024390243902"/>
        <n v="0.939130434782609"/>
        <n v="0.939599999999999"/>
        <n v="0.940860215053763"/>
        <n v="0.941287878787879"/>
        <n v="0.941666666666667"/>
        <n v="0.942157894736842"/>
        <n v="0.942307692307693"/>
        <n v="0.943055555555556"/>
        <n v="0.943200000000001"/>
        <n v="0.94375"/>
        <n v="0.943939393939393"/>
        <n v="0.944444444444444"/>
        <n v="0.944551282051283"/>
        <n v="0.944806201550387"/>
        <n v="0.945"/>
        <n v="0.945402298850574"/>
        <n v="0.945555555555555"/>
        <n v="0.946354166666668"/>
        <n v="0.946666666666666"/>
        <n v="0.947058823529413"/>
        <n v="0.947368421052631"/>
        <n v="0.947916666666666"/>
        <n v="0.948464912280701"/>
        <n v="0.95"/>
        <n v="0.950416666666667"/>
        <n v="0.950568181818182"/>
        <n v="0.951086956521739"/>
        <n v="0.951754385964912"/>
        <n v="0.952380952380952"/>
        <n v="0.952941176470588"/>
        <n v="0.954166666666667"/>
        <n v="0.954236111111112"/>
        <n v="0.954545454545454"/>
        <n v="0.954705882352942"/>
        <n v="0.955208333333333"/>
        <n v="0.955459770114943"/>
        <n v="0.955555555555556"/>
        <n v="0.956018518518519"/>
        <n v="0.95625"/>
        <n v="0.956395348837208"/>
        <n v="0.956521739130435"/>
        <n v="0.958333333333334"/>
        <n v="0.958522727272726"/>
        <n v="0.96"/>
        <n v="0.960750000000001"/>
        <n v="0.960784313725491"/>
        <n v="0.961875"/>
        <n v="0.9625"/>
        <n v="0.962962962962963"/>
        <n v="0.96375"/>
        <n v="0.964583333333333"/>
        <n v="0.96474358974359"/>
        <n v="0.965517241379311"/>
        <n v="0.966145833333334"/>
        <n v="0.966388888888889"/>
        <n v="0.966527777777778"/>
        <n v="0.966987179487179"/>
        <n v="0.967105263157895"/>
        <n v="0.967164179104477"/>
        <n v="0.967537878787879"/>
        <n v="0.967803030303031"/>
        <n v="0.969540229885057"/>
        <n v="0.96962962962963"/>
        <n v="0.96969696969697"/>
        <n v="0.970289855072463"/>
        <n v="0.970833333333333"/>
        <n v="0.971111111111111"/>
        <n v="0.972"/>
        <n v="0.972222222222222"/>
        <n v="0.972325581395349"/>
        <n v="0.973076923076923"/>
        <n v="0.974431818181817"/>
        <n v="0.974555555555556"/>
        <n v="0.974683544303798"/>
        <n v="0.975000000000001"/>
        <n v="0.975260416666666"/>
        <n v="0.975600000000001"/>
        <n v="0.976190476190477"/>
        <n v="0.976744186046512"/>
        <n v="0.977083333333332"/>
        <n v="0.977272727272727"/>
        <n v="0.97875"/>
        <n v="0.97904347826087"/>
        <n v="0.979166666666666"/>
        <n v="0.979999999999999"/>
        <n v="0.980530303030303"/>
        <n v="0.980836363636365"/>
        <n v="0.981060606060605"/>
        <n v="0.98170731707317"/>
        <n v="0.981818181818182"/>
        <n v="0.981944444444444"/>
        <n v="0.982333333333333"/>
        <n v="0.982456140350877"/>
        <n v="0.983888888888888"/>
        <n v="0.984031007751937"/>
        <n v="0.984375000000001"/>
        <n v="0.985185185185185"/>
        <n v="0.985690140845069"/>
        <n v="0.986086956521739"/>
        <n v="0.986486486486486"/>
        <n v="0.987654320987654"/>
        <n v="0.987934426229508"/>
        <n v="0.988425925925925"/>
        <n v="0.989375000000001"/>
        <n v="0.989451476793249"/>
        <n v="0.99"/>
        <n v="0.991666666666667"/>
        <n v="0.992520000000001"/>
        <n v="0.992555831265509"/>
        <n v="0.992903225806451"/>
        <n v="0.992907801418439"/>
        <n v="0.993103448275862"/>
        <n v="0.993214285714285"/>
        <n v="0.993243243243242"/>
        <n v="0.993788819875777"/>
        <n v="0.994090909090909"/>
        <n v="0.994318181818182"/>
        <n v="0.996300000000001"/>
        <n v="0.996527777777778"/>
        <n v="0.997826086956522"/>
        <n v="1"/>
        <n v="1.00058823529412"/>
        <n v="1.00189393939394"/>
        <n v="1.00260416666667"/>
        <n v="1.00285714285714"/>
        <n v="1.003125"/>
        <n v="1.00574712643678"/>
        <n v="1.00757575757576"/>
        <n v="1.00761904761905"/>
        <n v="1.008"/>
        <n v="1.00869565217391"/>
        <n v="1.00905797101449"/>
        <n v="1.00961538461538"/>
        <n v="1.01"/>
        <n v="1.01055555555555"/>
        <n v="1.0125"/>
        <n v="1.01426086956522"/>
        <n v="1.0152"/>
        <n v="1.01618181818182"/>
        <n v="1.01828571428571"/>
        <n v="1.01828571428572"/>
        <n v="1.01875"/>
        <n v="1.01945454545455"/>
        <n v="1.01991666666667"/>
        <n v="1.0206"/>
        <n v="1.02083333333333"/>
        <n v="1.02130434782609"/>
        <n v="1.02131944444445"/>
        <n v="1.02173913043478"/>
        <n v="1.02222222222222"/>
        <n v="1.02272727272727"/>
        <n v="1.026"/>
        <n v="1.02857142857143"/>
        <n v="1.02941176470588"/>
        <n v="1.03004385964912"/>
        <n v="1.03069565217391"/>
        <n v="1.03178571428571"/>
        <n v="1.03189090909091"/>
        <n v="1.03205128205128"/>
        <n v="1.03260869565217"/>
        <n v="1.03275"/>
        <n v="1.03298611111111"/>
        <n v="1.03298823529412"/>
        <n v="1.03424210526316"/>
        <n v="1.035"/>
        <n v="1.03539130434783"/>
        <n v="1.036"/>
        <n v="1.03618421052632"/>
        <n v="1.0375"/>
        <n v="1.03764705882353"/>
        <n v="1.0390625"/>
        <n v="1.03937837837838"/>
        <n v="1.0404"/>
        <n v="1.04095238095238"/>
        <n v="1.04166666666667"/>
        <n v="1.04213483146067"/>
        <n v="1.04444444444444"/>
        <n v="1.04583333333333"/>
        <n v="1.04597701149425"/>
        <n v="1.04625"/>
        <n v="1.04666666666667"/>
        <n v="1.04976"/>
        <n v="1.05"/>
        <n v="1.05125"/>
        <n v="1.05246376811594"/>
        <n v="1.05263157894737"/>
        <n v="1.053"/>
        <n v="1.05416666666667"/>
        <n v="1.05448717948718"/>
        <n v="1.05652173913043"/>
        <n v="1.05729166666667"/>
        <n v="1.05758333333333"/>
        <n v="1.05776470588235"/>
        <n v="1.0584"/>
        <n v="1.06003125"/>
        <n v="1.06036363636363"/>
        <n v="1.06060606060606"/>
        <n v="1.0625"/>
        <n v="1.06254166666667"/>
        <n v="1.063"/>
        <n v="1.06348235294118"/>
        <n v="1.0640625"/>
        <n v="1.06458333333333"/>
        <n v="1.06666666666667"/>
        <n v="1.0692"/>
        <n v="1.07100775193798"/>
        <n v="1.07108527131783"/>
        <n v="1.07142857142857"/>
        <n v="1.07371794871795"/>
        <n v="1.0752688172043"/>
        <n v="1.07697674418605"/>
        <n v="1.07787878787879"/>
        <n v="1.07941666666667"/>
        <n v="1.08"/>
        <n v="1.08015503875969"/>
        <n v="1.08088235294118"/>
        <n v="1.08239130434783"/>
        <n v="1.08333333333333"/>
        <n v="1.08695652173913"/>
        <n v="1.0875"/>
        <n v="1.09057971014493"/>
        <n v="1.09375"/>
        <n v="1.09694117647059"/>
        <n v="1.09710144927536"/>
        <n v="1.09791666666667"/>
        <n v="1.1"/>
        <n v="1.10042222222222"/>
        <n v="1.10166666666667"/>
        <n v="1.10171739130435"/>
        <n v="1.10416666666667"/>
        <n v="1.10501052631579"/>
        <n v="1.10514492753623"/>
        <n v="1.105875"/>
        <n v="1.10643939393939"/>
        <n v="1.10740740740741"/>
        <n v="1.10777777777778"/>
        <n v="1.10808"/>
        <n v="1.11006944444444"/>
        <n v="1.11111111111111"/>
        <n v="1.1121568627451"/>
        <n v="1.1133"/>
        <n v="1.11348837209302"/>
        <n v="1.115625"/>
        <n v="1.11691358024691"/>
        <n v="1.11805555555556"/>
        <n v="1.11866666666667"/>
        <n v="1.11944347826087"/>
        <n v="1.12162162162162"/>
        <n v="1.12312056737589"/>
        <n v="1.12416666666667"/>
        <n v="1.125"/>
        <n v="1.12547368421053"/>
        <n v="1.12635658914729"/>
        <n v="1.1286"/>
        <n v="1.13"/>
        <n v="1.13301282051282"/>
        <n v="1.13619047619048"/>
        <n v="1.1379512195122"/>
        <n v="1.13927441860465"/>
        <n v="1.1394"/>
        <n v="1.14166666666667"/>
        <n v="1.14583333333333"/>
        <n v="1.1475"/>
        <n v="1.15415217391304"/>
        <n v="1.15584545454545"/>
        <n v="1.15589189189189"/>
        <n v="1.15833333333333"/>
        <n v="1.161"/>
        <n v="1.16217391304348"/>
        <n v="1.1664"/>
        <n v="1.16666666666667"/>
        <n v="1.18032786885246"/>
        <n v="1.18181818181818"/>
        <n v="1.19290909090909"/>
        <n v="1.19295454545455"/>
        <n v="1.19444444444444"/>
        <n v="1.19916666666667"/>
        <n v="1.2"/>
        <n v="1.20528"/>
        <n v="1.20833333333333"/>
        <n v="1.20847222222222"/>
        <n v="1.215"/>
        <n v="1.21941818181818"/>
        <n v="1.224"/>
        <n v="1.22657142857143"/>
        <n v="1.22727272727273"/>
        <n v="1.23260869565217"/>
        <n v="1.23691304347826"/>
        <n v="1.23709090909091"/>
        <n v="1.238125"/>
        <n v="1.2384"/>
        <n v="1.23954545454546"/>
        <n v="1.24243243243243"/>
        <n v="1.24666666666667"/>
        <n v="1.24971428571429"/>
        <n v="1.25"/>
        <n v="1.25360747663552"/>
        <n v="1.26666666666667"/>
        <n v="1.26782608695652"/>
        <n v="1.26837209302326"/>
        <n v="1.27243636363636"/>
        <n v="1.28009302325582"/>
        <n v="1.28299090909091"/>
        <n v="1.2879"/>
        <n v="1.29318260869565"/>
        <n v="1.296"/>
        <n v="1.2962962962963"/>
        <n v="1.29894545454545"/>
        <n v="1.3075"/>
        <n v="1.31837837837838"/>
        <n v="1.32"/>
        <n v="1.32545454545455"/>
        <n v="1.34166666666667"/>
        <n v="1.34246376811594"/>
        <n v="1.34363636363636"/>
        <n v="1.34607272727273"/>
        <n v="1.34854054054054"/>
        <n v="1.35333333333333"/>
        <n v="1.35490909090909"/>
        <n v="1.35627906976744"/>
        <n v="1.36744186046512"/>
        <n v="1.377"/>
        <n v="1.37731481481482"/>
        <n v="1.40583333333333"/>
        <n v="1.41565891472868"/>
        <n v="1.41828703703704"/>
        <n v="1.43341503267974"/>
        <n v="1.44327272727273"/>
        <n v="1.44594202898551"/>
        <n v="1.45717948717949"/>
        <n v="1.458"/>
        <n v="1.45833333333333"/>
        <n v="1.48037037037037"/>
        <n v="1.4875"/>
        <n v="1.48837209302326"/>
        <n v="1.48929738562092"/>
        <n v="1.49190697674419"/>
        <n v="1.49710144927536"/>
        <n v="1.49727272727273"/>
        <n v="1.499"/>
        <n v="1.49958333333333"/>
        <n v="1.5012"/>
        <n v="1.52470588235294"/>
        <n v="1.52581395348837"/>
        <n v="1.56449612403101"/>
        <n v="1.57115454545454"/>
        <n v="1.57371428571429"/>
        <n v="1.58333333333333"/>
        <n v="1.6"/>
        <n v="1.60326086956522"/>
        <n v="1.6039534883721"/>
        <n v="1.61621621621621"/>
        <n v="1.66222222222223"/>
        <n v="1.66666666666667"/>
        <n v="1.6675968992248"/>
        <n v="1.67550387596899"/>
        <n v="1.67890909090909"/>
        <n v="1.68840579710145"/>
        <n v="1.69333333333333"/>
        <n v="1.70148148148148"/>
        <n v="1.71985507246377"/>
        <n v="1.75422857142857"/>
        <n v="1.76727272727273"/>
        <n v="1.7704347826087"/>
        <n v="1.87416666666667"/>
        <n v="1.87644927536232"/>
        <n v="1.89791666666666"/>
        <n v="1.89829457364341"/>
        <n v="1.94787878787879"/>
        <n v="1.95860465116279"/>
        <n v="1.96418604651163"/>
        <n v="2.00466666666667"/>
        <n v="2.02774774774775"/>
        <n v="2.05317829457365"/>
        <n v="2.05736434108527"/>
        <n v="2.06558139534883"/>
        <n v="2.07777777777778"/>
        <n v="2.10093023255814"/>
        <n v="2.11286821705426"/>
        <n v="2.12248062015503"/>
        <n v="2.18635658914728"/>
        <n v="2.20333333333334"/>
        <n v="2.20511627906977"/>
        <n v="2.20620155038759"/>
        <n v="2.20666666666666"/>
        <n v="2.21333333333333"/>
        <n v="2.26666666666667"/>
        <n v="2.39583333333332"/>
        <n v="2.52388888888889"/>
        <n v="3.04307692307693"/>
        <n v="3.2525925925926"/>
        <n v="6.48"/>
        <n v="6.57"/>
        <n v="7.00744186046511"/>
        <n v="7.98666666666667"/>
      </sharedItems>
    </cacheField>
    <cacheField name="OEE" numFmtId="0">
      <sharedItems containsSemiMixedTypes="0" containsString="0" containsNumber="1" minValue="0.025" maxValue="7.50906716417909" count="1221">
        <n v="0.025"/>
        <n v="0.09"/>
        <n v="0.108672752808989"/>
        <n v="0.112772133526851"/>
        <n v="0.120657857142857"/>
        <n v="0.126"/>
        <n v="0.157986111111111"/>
        <n v="0.159201388888889"/>
        <n v="0.160335689045936"/>
        <n v="0.178758882428941"/>
        <n v="0.18"/>
        <n v="0.183224755700326"/>
        <n v="0.186338028169014"/>
        <n v="0.191189236111111"/>
        <n v="0.215476190476191"/>
        <n v="0.218985404896422"/>
        <n v="0.23020706455542"/>
        <n v="0.243055555555556"/>
        <n v="0.25310740354536"/>
        <n v="0.267168462515056"/>
        <n v="0.273306746861925"/>
        <n v="0.277409539473685"/>
        <n v="0.28287213740458"/>
        <n v="0.285"/>
        <n v="0.285164835164835"/>
        <n v="0.287639580655527"/>
        <n v="0.289250814332248"/>
        <n v="0.291938579654511"/>
        <n v="0.297758875739645"/>
        <n v="0.300955086060722"/>
        <n v="0.302441860465116"/>
        <n v="0.319444444444444"/>
        <n v="0.321883663894221"/>
        <n v="0.326841255868545"/>
        <n v="0.328034618755478"/>
        <n v="0.329105571847507"/>
        <n v="0.333327996026519"/>
        <n v="0.335416666666667"/>
        <n v="0.343194830928543"/>
        <n v="0.343402777777779"/>
        <n v="0.346180555555555"/>
        <n v="0.346767567567568"/>
        <n v="0.360086574952562"/>
        <n v="0.361016462480858"/>
        <n v="0.361937799043063"/>
        <n v="0.364008333333333"/>
        <n v="0.364583333333333"/>
        <n v="0.367528375589623"/>
        <n v="0.380938177874187"/>
        <n v="0.384140977443609"/>
        <n v="0.388888888888889"/>
        <n v="0.394120098039216"/>
        <n v="0.399408967391304"/>
        <n v="0.400714285714285"/>
        <n v="0.401041666666666"/>
        <n v="0.401284403669725"/>
        <n v="0.401632692307692"/>
        <n v="0.401749346305868"/>
        <n v="0.402391904323828"/>
        <n v="0.405838815789474"/>
        <n v="0.412587328030955"/>
        <n v="0.414409722222222"/>
        <n v="0.42"/>
        <n v="0.420105026256564"/>
        <n v="0.420806398416885"/>
        <n v="0.422395209082435"/>
        <n v="0.428155339805825"/>
        <n v="0.431027137468567"/>
        <n v="0.431884149419485"/>
        <n v="0.435295363908275"/>
        <n v="0.43972602739726"/>
        <n v="0.440104432516187"/>
        <n v="0.442520066889633"/>
        <n v="0.444122581148565"/>
        <n v="0.444444444444444"/>
        <n v="0.448605945945946"/>
        <n v="0.44953125"/>
        <n v="0.457716101377658"/>
        <n v="0.458622775119617"/>
        <n v="0.459"/>
        <n v="0.459513157894738"/>
        <n v="0.461805555555556"/>
        <n v="0.461903551401869"/>
        <n v="0.46205837517934"/>
        <n v="0.464105436081242"/>
        <n v="0.466352230483271"/>
        <n v="0.466503300150214"/>
        <n v="0.466695501730103"/>
        <n v="0.468023542447466"/>
        <n v="0.470789946555105"/>
        <n v="0.473626946699565"/>
        <n v="0.474115030674847"/>
        <n v="0.478081023454158"/>
        <n v="0.478200000000002"/>
        <n v="0.478963043478261"/>
        <n v="0.480073170731707"/>
        <n v="0.480392156862744"/>
        <n v="0.481627022511432"/>
        <n v="0.482078014964789"/>
        <n v="0.485676617804791"/>
        <n v="0.486111111111111"/>
        <n v="0.489793001667837"/>
        <n v="0.493374277456647"/>
        <n v="0.495138888888889"/>
        <n v="0.495263929618768"/>
        <n v="0.495399746192894"/>
        <n v="0.496736111111111"/>
        <n v="0.496831395348837"/>
        <n v="0.498263888888889"/>
        <n v="0.498459114234716"/>
        <n v="0.498701052631579"/>
        <n v="0.507936507936508"/>
        <n v="0.510659722222223"/>
        <n v="0.511111111111111"/>
        <n v="0.511631944444445"/>
        <n v="0.513008356545961"/>
        <n v="0.515210010060362"/>
        <n v="0.516493055555556"/>
        <n v="0.520833333333333"/>
        <n v="0.52180095996732"/>
        <n v="0.522447916666667"/>
        <n v="0.525036460865338"/>
        <n v="0.528311688311688"/>
        <n v="0.531190248565966"/>
        <n v="0.53199489291598"/>
        <n v="0.532779545454546"/>
        <n v="0.532833333333333"/>
        <n v="0.532894736842106"/>
        <n v="0.532986111111111"/>
        <n v="0.534722222222223"/>
        <n v="0.535474985110185"/>
        <n v="0.535868055555556"/>
        <n v="0.5359375"/>
        <n v="0.537557339449541"/>
        <n v="0.538568037974683"/>
        <n v="0.539843763953633"/>
        <n v="0.540015243902439"/>
        <n v="0.544652777777778"/>
        <n v="0.54487806451613"/>
        <n v="0.554125136612022"/>
        <n v="0.555555555555556"/>
        <n v="0.559027777777778"/>
        <n v="0.561701808855291"/>
        <n v="0.567129629629629"/>
        <n v="0.568291127819548"/>
        <n v="0.570762905092593"/>
        <n v="0.5709375"/>
        <n v="0.571583728278041"/>
        <n v="0.572198275862069"/>
        <n v="0.572356526739505"/>
        <n v="0.572910462576931"/>
        <n v="0.573342752787389"/>
        <n v="0.573570432357043"/>
        <n v="0.573755465587044"/>
        <n v="0.575519148936171"/>
        <n v="0.575695025005946"/>
        <n v="0.577272768373844"/>
        <n v="0.578472222222223"/>
        <n v="0.578715277777777"/>
        <n v="0.58188679245283"/>
        <n v="0.582222222222222"/>
        <n v="0.583009814025526"/>
        <n v="0.583333333333333"/>
        <n v="0.585297315380112"/>
        <n v="0.586910191441442"/>
        <n v="0.587717401099397"/>
        <n v="0.587777777777778"/>
        <n v="0.587917329679397"/>
        <n v="0.590729832268371"/>
        <n v="0.591145884290513"/>
        <n v="0.591666666666666"/>
        <n v="0.592844202898551"/>
        <n v="0.593077339847194"/>
        <n v="0.595843937991672"/>
        <n v="0.597772752192982"/>
        <n v="0.597801955049261"/>
        <n v="0.598402777777778"/>
        <n v="0.598648290425484"/>
        <n v="0.599641791044775"/>
        <n v="0.602685185185186"/>
        <n v="0.607638888888889"/>
        <n v="0.607919600938967"/>
        <n v="0.609218750000001"/>
        <n v="0.617200975435675"/>
        <n v="0.618287671232879"/>
        <n v="0.621042074228012"/>
        <n v="0.622877772643254"/>
        <n v="0.622879022833513"/>
        <n v="0.623466923761495"/>
        <n v="0.623785698242489"/>
        <n v="0.625791518346112"/>
        <n v="0.626830635609948"/>
        <n v="0.627170141892126"/>
        <n v="0.628906249999999"/>
        <n v="0.629207746478872"/>
        <n v="0.630401385529982"/>
        <n v="0.630902777777779"/>
        <n v="0.631944444444444"/>
        <n v="0.632226782363977"/>
        <n v="0.632459871589085"/>
        <n v="0.634057971014493"/>
        <n v="0.637351745347405"/>
        <n v="0.638888888888889"/>
        <n v="0.639732255222754"/>
        <n v="0.640097560975608"/>
        <n v="0.641615421686748"/>
        <n v="0.642202339986236"/>
        <n v="0.643738777777777"/>
        <n v="0.643827046918124"/>
        <n v="0.644097222222222"/>
        <n v="0.645257200674536"/>
        <n v="0.6453125"/>
        <n v="0.646681318240206"/>
        <n v="0.648148148148148"/>
        <n v="0.648397435897435"/>
        <n v="0.648981969205835"/>
        <n v="0.649258474576271"/>
        <n v="0.650018651654911"/>
        <n v="0.651388888888889"/>
        <n v="0.652654109589039"/>
        <n v="0.654643793706295"/>
        <n v="0.654861111111111"/>
        <n v="0.658353530295443"/>
        <n v="0.658770035061358"/>
        <n v="0.658854178100486"/>
        <n v="0.65955304501324"/>
        <n v="0.660011593396401"/>
        <n v="0.660184372256366"/>
        <n v="0.660580065359477"/>
        <n v="0.661459169187087"/>
        <n v="0.662391857506361"/>
        <n v="0.662564102564103"/>
        <n v="0.662565789473685"/>
        <n v="0.662917661097852"/>
        <n v="0.663660226795464"/>
        <n v="0.664444444444444"/>
        <n v="0.664500000000001"/>
        <n v="0.66458414506557"/>
        <n v="0.665365744870649"/>
        <n v="0.665425531914893"/>
        <n v="0.665625"/>
        <n v="0.667322889036251"/>
        <n v="0.667438271604939"/>
        <n v="0.667645454545453"/>
        <n v="0.66793893129771"/>
        <n v="0.668402777777777"/>
        <n v="0.668403118313123"/>
        <n v="0.66956068449813"/>
        <n v="0.675212012694574"/>
        <n v="0.67625"/>
        <n v="0.678"/>
        <n v="0.678521739130435"/>
        <n v="0.679597790948276"/>
        <n v="0.680555555555555"/>
        <n v="0.681518698468787"/>
        <n v="0.681988977955911"/>
        <n v="0.683214361252115"/>
        <n v="0.683333333333333"/>
        <n v="0.684201388888889"/>
        <n v="0.685015060240964"/>
        <n v="0.687777777777778"/>
        <n v="0.691708256720077"/>
        <n v="0.691930843706778"/>
        <n v="0.692708333333333"/>
        <n v="0.692793625638317"/>
        <n v="0.694362950544845"/>
        <n v="0.694444444444444"/>
        <n v="0.696805682278995"/>
        <n v="0.697666666666667"/>
        <n v="0.697752192982456"/>
        <n v="0.698784722222221"/>
        <n v="0.699973509933775"/>
        <n v="0.700243055555555"/>
        <n v="0.700412121963313"/>
        <n v="0.701053939617085"/>
        <n v="0.701164552611847"/>
        <n v="0.701389960562414"/>
        <n v="0.701961249485462"/>
        <n v="0.702430566280236"/>
        <n v="0.703359686492982"/>
        <n v="0.703901016401016"/>
        <n v="0.70488188976378"/>
        <n v="0.705558401639344"/>
        <n v="0.705872093023256"/>
        <n v="0.706076391556545"/>
        <n v="0.706153846153847"/>
        <n v="0.706250095953083"/>
        <n v="0.708333333333333"/>
        <n v="0.708376778639402"/>
        <n v="0.708449972237646"/>
        <n v="0.709478259678173"/>
        <n v="0.711340307161887"/>
        <n v="0.713467876588021"/>
        <n v="0.714022222222222"/>
        <n v="0.714177750906892"/>
        <n v="0.714617973079968"/>
        <n v="0.715086471551372"/>
        <n v="0.716233153525577"/>
        <n v="0.716668176328502"/>
        <n v="0.716717479674797"/>
        <n v="0.717013888888888"/>
        <n v="0.717071484992102"/>
        <n v="0.717274819446123"/>
        <n v="0.718161716975008"/>
        <n v="0.718402777777778"/>
        <n v="0.718444565217392"/>
        <n v="0.718448881267353"/>
        <n v="0.719305582362906"/>
        <n v="0.719500682895476"/>
        <n v="0.719930555555555"/>
        <n v="0.720252648736756"/>
        <n v="0.720402644230769"/>
        <n v="0.720528086718246"/>
        <n v="0.721066814778244"/>
        <n v="0.721084770114942"/>
        <n v="0.721112817887012"/>
        <n v="0.721114519427403"/>
        <n v="0.721715328467153"/>
        <n v="0.721875"/>
        <n v="0.722496048942135"/>
        <n v="0.722667001506781"/>
        <n v="0.722854316101905"/>
        <n v="0.72360598605986"/>
        <n v="0.726215443635062"/>
        <n v="0.726299058163924"/>
        <n v="0.726605902777777"/>
        <n v="0.726736111111111"/>
        <n v="0.726881067961165"/>
        <n v="0.727123655913978"/>
        <n v="0.727222222222222"/>
        <n v="0.728333333333334"/>
        <n v="0.729166666666667"/>
        <n v="0.730419505962522"/>
        <n v="0.731488347457628"/>
        <n v="0.73155696085672"/>
        <n v="0.731845018450186"/>
        <n v="0.732230619795053"/>
        <n v="0.735255507172131"/>
        <n v="0.736632199875104"/>
        <n v="0.739808005930319"/>
        <n v="0.740104664731329"/>
        <n v="0.741319444444444"/>
        <n v="0.741839762611276"/>
        <n v="0.742708333333333"/>
        <n v="0.742834394904459"/>
        <n v="0.74537037037037"/>
        <n v="0.746168165680474"/>
        <n v="0.748623342167651"/>
        <n v="0.749169435215947"/>
        <n v="0.75"/>
        <n v="0.750868055555555"/>
        <n v="0.751223538306452"/>
        <n v="0.751262626262626"/>
        <n v="0.753333333333333"/>
        <n v="0.753472222222222"/>
        <n v="0.754961699164345"/>
        <n v="0.755059797608095"/>
        <n v="0.755223923555147"/>
        <n v="0.75596688646789"/>
        <n v="0.756014644351465"/>
        <n v="0.756352119515539"/>
        <n v="0.756531642990219"/>
        <n v="0.756554878048781"/>
        <n v="0.7578392481065"/>
        <n v="0.758336719294173"/>
        <n v="0.758502906976744"/>
        <n v="0.758680555555555"/>
        <n v="0.762320837927235"/>
        <n v="0.76304713804714"/>
        <n v="0.764305750350631"/>
        <n v="0.764896006944444"/>
        <n v="0.765335648148148"/>
        <n v="0.765503472222222"/>
        <n v="0.765625"/>
        <n v="0.766666666666667"/>
        <n v="0.768055555555555"/>
        <n v="0.768421875000003"/>
        <n v="0.769675925925926"/>
        <n v="0.770238095238095"/>
        <n v="0.770486111111112"/>
        <n v="0.770858490566039"/>
        <n v="0.771701388888889"/>
        <n v="0.773006134969327"/>
        <n v="0.7732215879042"/>
        <n v="0.773870192307694"/>
        <n v="0.774022472443938"/>
        <n v="0.774255952380952"/>
        <n v="0.775184490306442"/>
        <n v="0.775568181818182"/>
        <n v="0.776757252527539"/>
        <n v="0.777087592760866"/>
        <n v="0.777314814814815"/>
        <n v="0.777777777777778"/>
        <n v="0.779897389846744"/>
        <n v="0.7808335554371"/>
        <n v="0.781018518518518"/>
        <n v="0.781944685089698"/>
        <n v="0.784071180555556"/>
        <n v="0.784167483820357"/>
        <n v="0.784763057765479"/>
        <n v="0.786284722222222"/>
        <n v="0.786886490250697"/>
        <n v="0.787225548902195"/>
        <n v="0.787500000000001"/>
        <n v="0.788335964912281"/>
        <n v="0.788958632478632"/>
        <n v="0.789630177514793"/>
        <n v="0.789930555555555"/>
        <n v="0.790626368812965"/>
        <n v="0.791081305309734"/>
        <n v="0.791666666666667"/>
        <n v="0.792099447513812"/>
        <n v="0.793715562174238"/>
        <n v="0.795399305555557"/>
        <n v="0.795967484988575"/>
        <n v="0.797858004216902"/>
        <n v="0.798611111111111"/>
        <n v="0.798780616554054"/>
        <n v="0.799131944444445"/>
        <n v="0.800625"/>
        <n v="0.801111111111111"/>
        <n v="0.801388888888889"/>
        <n v="0.802083333333333"/>
        <n v="0.803097345132743"/>
        <n v="0.804631080076465"/>
        <n v="0.805"/>
        <n v="0.805708695394111"/>
        <n v="0.806193835558915"/>
        <n v="0.806319962686567"/>
        <n v="0.80632530120482"/>
        <n v="0.806470988667761"/>
        <n v="0.806584251488901"/>
        <n v="0.80719557195572"/>
        <n v="0.807309027777779"/>
        <n v="0.808159722222222"/>
        <n v="0.808746271691974"/>
        <n v="0.80952380952381"/>
        <n v="0.809750536480686"/>
        <n v="0.810185185185185"/>
        <n v="0.810249333705972"/>
        <n v="0.810641077170418"/>
        <n v="0.81083509344598"/>
        <n v="0.811059517353579"/>
        <n v="0.811189966746621"/>
        <n v="0.811583876221498"/>
        <n v="0.811637530072173"/>
        <n v="0.813123082822086"/>
        <n v="0.813152888391883"/>
        <n v="0.813333333333333"/>
        <n v="0.814236111111111"/>
        <n v="0.814583333333333"/>
        <n v="0.815089239950429"/>
        <n v="0.815451388888889"/>
        <n v="0.817881944444446"/>
        <n v="0.818713450292398"/>
        <n v="0.819907407407406"/>
        <n v="0.820312500000001"/>
        <n v="0.820559672491424"/>
        <n v="0.821695072412575"/>
        <n v="0.822569444444444"/>
        <n v="0.822597493036209"/>
        <n v="0.823451910408432"/>
        <n v="0.823901829052034"/>
        <n v="0.824044585987258"/>
        <n v="0.82423791170287"/>
        <n v="0.824266402901417"/>
        <n v="0.824445588235294"/>
        <n v="0.825000000000001"/>
        <n v="0.825416666666668"/>
        <n v="0.826322115384615"/>
        <n v="0.826388888888889"/>
        <n v="0.82644536775106"/>
        <n v="0.827664399092971"/>
        <n v="0.828167617158442"/>
        <n v="0.828315548780488"/>
        <n v="0.828915500538214"/>
        <n v="0.829187396351575"/>
        <n v="0.829226219812716"/>
        <n v="0.829249462943069"/>
        <n v="0.829701605839418"/>
        <n v="0.830255976745566"/>
        <n v="0.830555555555555"/>
        <n v="0.830582507206637"/>
        <n v="0.830689794816412"/>
        <n v="0.830775051229507"/>
        <n v="0.831257783312577"/>
        <n v="0.831263454214274"/>
        <n v="0.83137157973493"/>
        <n v="0.831565884476532"/>
        <n v="0.831764851836098"/>
        <n v="0.831880448318804"/>
        <n v="0.832085205525046"/>
        <n v="0.83208769307424"/>
        <n v="0.832465277777777"/>
        <n v="0.832500832500832"/>
        <n v="0.832502492522433"/>
        <n v="0.832506203473945"/>
        <n v="0.832710047369733"/>
        <n v="0.832752534395363"/>
        <n v="0.832916874895885"/>
        <n v="0.832917705735661"/>
        <n v="0.832917912927883"/>
        <n v="0.833333333333333"/>
        <n v="0.834288194444445"/>
        <n v="0.835171568627448"/>
        <n v="0.835744886663153"/>
        <n v="0.836111111111111"/>
        <n v="0.836557377049181"/>
        <n v="0.837417417417417"/>
        <n v="0.838541666666667"/>
        <n v="0.838849315068494"/>
        <n v="0.839665041067761"/>
        <n v="0.839756944444443"/>
        <n v="0.83978978978979"/>
        <n v="0.840595155464268"/>
        <n v="0.841043819489863"/>
        <n v="0.842361111111112"/>
        <n v="0.842592592592593"/>
        <n v="0.842632700770078"/>
        <n v="0.84263433857294"/>
        <n v="0.843333333333333"/>
        <n v="0.843418402777779"/>
        <n v="0.843482238575451"/>
        <n v="0.843540517848165"/>
        <n v="0.844027580071177"/>
        <n v="0.844444444444444"/>
        <n v="0.844496527777778"/>
        <n v="0.845578642819569"/>
        <n v="0.847026748173422"/>
        <n v="0.848641831280502"/>
        <n v="0.849236736111111"/>
        <n v="0.850208402777778"/>
        <n v="0.85037805972062"/>
        <n v="0.850694444444445"/>
        <n v="0.851799643493761"/>
        <n v="0.851851851851852"/>
        <n v="0.852380952380952"/>
        <n v="0.852519286403086"/>
        <n v="0.85377035440613"/>
        <n v="0.854166666666667"/>
        <n v="0.854861824093088"/>
        <n v="0.854911809923132"/>
        <n v="0.855555555555556"/>
        <n v="0.856770833333332"/>
        <n v="0.857522935779817"/>
        <n v="0.8575432790224"/>
        <n v="0.857785401181627"/>
        <n v="0.857801020408162"/>
        <n v="0.858670788253477"/>
        <n v="0.858791265474549"/>
        <n v="0.858814544737876"/>
        <n v="0.859201388888889"/>
        <n v="0.859409357490793"/>
        <n v="0.860590158293182"/>
        <n v="0.860943396226412"/>
        <n v="0.86190640167913"/>
        <n v="0.86225614927905"/>
        <n v="0.862847222222222"/>
        <n v="0.863333333333333"/>
        <n v="0.864054064697608"/>
        <n v="0.864147286821706"/>
        <n v="0.864197530864197"/>
        <n v="0.864232258064517"/>
        <n v="0.865277777777777"/>
        <n v="0.865304783950618"/>
        <n v="0.865339458907606"/>
        <n v="0.865661888701518"/>
        <n v="0.866666666666667"/>
        <n v="0.867016080617496"/>
        <n v="0.867101240079365"/>
        <n v="0.867837727700477"/>
        <n v="0.867857142857142"/>
        <n v="0.868152274837512"/>
        <n v="0.868558327803583"/>
        <n v="0.868780853314527"/>
        <n v="0.868888888888889"/>
        <n v="0.868923611111112"/>
        <n v="0.869047619047619"/>
        <n v="0.869433128834357"/>
        <n v="0.869444444444445"/>
        <n v="0.870950704225353"/>
        <n v="0.871112551428732"/>
        <n v="0.871354166666667"/>
        <n v="0.871527777777778"/>
        <n v="0.871892019891073"/>
        <n v="0.872222222222222"/>
        <n v="0.872511848341232"/>
        <n v="0.872931442080378"/>
        <n v="0.873099375509096"/>
        <n v="0.873398042929293"/>
        <n v="0.873704183813442"/>
        <n v="0.87396154759079"/>
        <n v="0.874198988195615"/>
        <n v="0.874461005489825"/>
        <n v="0.874584323040381"/>
        <n v="0.874758220502901"/>
        <n v="0.875"/>
        <n v="0.87516339869281"/>
        <n v="0.876830717059324"/>
        <n v="0.876984390567917"/>
        <n v="0.8775"/>
        <n v="0.877651810947494"/>
        <n v="0.878058510638298"/>
        <n v="0.878472222222222"/>
        <n v="0.878591982701264"/>
        <n v="0.878645833333333"/>
        <n v="0.879166666666667"/>
        <n v="0.880866574202497"/>
        <n v="0.881319444444445"/>
        <n v="0.882014814814815"/>
        <n v="0.883333333333333"/>
        <n v="0.883369995600528"/>
        <n v="0.885021012060176"/>
        <n v="0.885420182247722"/>
        <n v="0.885451388888889"/>
        <n v="0.885694444444445"/>
        <n v="0.885714285714285"/>
        <n v="0.885757575757576"/>
        <n v="0.886204449381345"/>
        <n v="0.886437908496733"/>
        <n v="0.886484098939929"/>
        <n v="0.886666733257229"/>
        <n v="0.886683209263854"/>
        <n v="0.886688988095237"/>
        <n v="0.886746987951808"/>
        <n v="0.886968325791856"/>
        <n v="0.887152777777778"/>
        <n v="0.887316973079449"/>
        <n v="0.887755102040816"/>
        <n v="0.888410708234497"/>
        <n v="0.888633288227335"/>
        <n v="0.888888888888888"/>
        <n v="0.889052154903186"/>
        <n v="0.889583333333333"/>
        <n v="0.889639328063241"/>
        <n v="0.890784982935154"/>
        <n v="0.891077864892984"/>
        <n v="0.891120577920098"/>
        <n v="0.891206089954039"/>
        <n v="0.891656467085677"/>
        <n v="0.892053159973667"/>
        <n v="0.892538314176246"/>
        <n v="0.892843836978133"/>
        <n v="0.893055555555556"/>
        <n v="0.893229166666666"/>
        <n v="0.89361675959331"/>
        <n v="0.893896515735388"/>
        <n v="0.894172845227063"/>
        <n v="0.894188093051729"/>
        <n v="0.894444444444446"/>
        <n v="0.894516728624535"/>
        <n v="0.894912848605577"/>
        <n v="0.895003858024691"/>
        <n v="0.895010438663851"/>
        <n v="0.895417633410672"/>
        <n v="0.895659722222221"/>
        <n v="0.895833333333333"/>
        <n v="0.896881551362683"/>
        <n v="0.897225136638689"/>
        <n v="0.897435897435897"/>
        <n v="0.897517163429338"/>
        <n v="0.897769569598856"/>
        <n v="0.898189821105073"/>
        <n v="0.898333333333334"/>
        <n v="0.898540026246719"/>
        <n v="0.899002016129032"/>
        <n v="0.899030757626551"/>
        <n v="0.899040644868301"/>
        <n v="0.899148561362301"/>
        <n v="0.899305555555556"/>
        <n v="0.89971365352076"/>
        <n v="0.899718237704918"/>
        <n v="0.9"/>
        <n v="0.900018181669608"/>
        <n v="0.900047274387064"/>
        <n v="0.900329560585885"/>
        <n v="0.900386543234065"/>
        <n v="0.900399543378996"/>
        <n v="0.900735294117647"/>
        <n v="0.900752088227616"/>
        <n v="0.900756278538812"/>
        <n v="0.900777180989583"/>
        <n v="0.901084592490843"/>
        <n v="0.901088662220479"/>
        <n v="0.901309256365176"/>
        <n v="0.901445023537324"/>
        <n v="0.902139451435313"/>
        <n v="0.90215591265947"/>
        <n v="0.902219379467187"/>
        <n v="0.902430555555556"/>
        <n v="0.902504911591356"/>
        <n v="0.902894950807348"/>
        <n v="0.902923413317726"/>
        <n v="0.902926742069682"/>
        <n v="0.903033841363487"/>
        <n v="0.903540432708128"/>
        <n v="0.90411796961959"/>
        <n v="0.904267340565417"/>
        <n v="0.90427258805513"/>
        <n v="0.904311041952558"/>
        <n v="0.904323630136986"/>
        <n v="0.904362511353316"/>
        <n v="0.905255018674136"/>
        <n v="0.906673114119923"/>
        <n v="0.907407407407407"/>
        <n v="0.908205625606209"/>
        <n v="0.911111111111111"/>
        <n v="0.91113259874555"/>
        <n v="0.911458333333333"/>
        <n v="0.912048567870485"/>
        <n v="0.91253008423586"/>
        <n v="0.913781474820143"/>
        <n v="0.915834090221011"/>
        <n v="0.916666666666667"/>
        <n v="0.916668010210936"/>
        <n v="0.916741071428572"/>
        <n v="0.91702638618677"/>
        <n v="0.917142691190707"/>
        <n v="0.917656597774246"/>
        <n v="0.917786988304094"/>
        <n v="0.918402777777778"/>
        <n v="0.918409958638244"/>
        <n v="0.918794119765655"/>
        <n v="0.919469898668786"/>
        <n v="0.920524320909665"/>
        <n v="0.922467640964843"/>
        <n v="0.922528535193405"/>
        <n v="0.922644719314938"/>
        <n v="0.92298356510746"/>
        <n v="0.92361111111111"/>
        <n v="0.923946530872056"/>
        <n v="0.924053198226726"/>
        <n v="0.924059829059829"/>
        <n v="0.924450408997955"/>
        <n v="0.924548058561426"/>
        <n v="0.925111607142857"/>
        <n v="0.925925925925926"/>
        <n v="0.926111111111111"/>
        <n v="0.926281150159745"/>
        <n v="0.926322195704057"/>
        <n v="0.926791907514451"/>
        <n v="0.926879194630873"/>
        <n v="0.927415784408085"/>
        <n v="0.928269235868652"/>
        <n v="0.929012345679011"/>
        <n v="0.929411325846778"/>
        <n v="0.930523922347906"/>
        <n v="0.931228325977302"/>
        <n v="0.931759785698666"/>
        <n v="0.932005689900426"/>
        <n v="0.932806451612903"/>
        <n v="0.933965153550005"/>
        <n v="0.9339715238982"/>
        <n v="0.934184350132626"/>
        <n v="0.934196035242291"/>
        <n v="0.934268332251785"/>
        <n v="0.934380088938995"/>
        <n v="0.934595746674162"/>
        <n v="0.934782608695652"/>
        <n v="0.935024752475247"/>
        <n v="0.935197695365884"/>
        <n v="0.935207169459963"/>
        <n v="0.935420590081607"/>
        <n v="0.935789473684211"/>
        <n v="0.935837765957447"/>
        <n v="0.93583923826395"/>
        <n v="0.935845979980627"/>
        <n v="0.936134651600753"/>
        <n v="0.936251664447403"/>
        <n v="0.936253876827647"/>
        <n v="0.936459489456159"/>
        <n v="0.936461333924219"/>
        <n v="0.936580300632911"/>
        <n v="0.936667406749556"/>
        <n v="0.936673228346457"/>
        <n v="0.936716294783156"/>
        <n v="0.936836192810457"/>
        <n v="0.937083703374778"/>
        <n v="0.937085360459974"/>
        <n v="0.93716524889729"/>
        <n v="0.9375"/>
        <n v="0.938297872340426"/>
        <n v="0.93830579546877"/>
        <n v="0.938433921605637"/>
        <n v="0.938595247100353"/>
        <n v="0.938957151858853"/>
        <n v="0.93932527693857"/>
        <n v="0.939381682611143"/>
        <n v="0.940038684719536"/>
        <n v="0.940598441926346"/>
        <n v="0.940723495702006"/>
        <n v="0.941821829855538"/>
        <n v="0.942784612380395"/>
        <n v="0.943167356029272"/>
        <n v="0.943196950911513"/>
        <n v="0.94332074840128"/>
        <n v="0.943781632989541"/>
        <n v="0.94406847133758"/>
        <n v="0.944339582773748"/>
        <n v="0.944444444444444"/>
        <n v="0.944920749279539"/>
        <n v="0.945219638242895"/>
        <n v="0.945464067031905"/>
        <n v="0.945555555555555"/>
        <n v="0.946100038328861"/>
        <n v="0.946834603174603"/>
        <n v="0.946971671626984"/>
        <n v="0.947022756513349"/>
        <n v="0.948586605957124"/>
        <n v="0.948587740384615"/>
        <n v="0.949157070827765"/>
        <n v="0.950730590961762"/>
        <n v="0.951086956521739"/>
        <n v="0.951194332704425"/>
        <n v="0.951314088754847"/>
        <n v="0.952015729737964"/>
        <n v="0.953304315888253"/>
        <n v="0.953468628719276"/>
        <n v="0.953570487789761"/>
        <n v="0.953690914671578"/>
        <n v="0.954008771322126"/>
        <n v="0.954166666666667"/>
        <n v="0.95416955750848"/>
        <n v="0.954350490196079"/>
        <n v="0.954440431811121"/>
        <n v="0.9544578602891"/>
        <n v="0.95485321969697"/>
        <n v="0.955330768034827"/>
        <n v="0.955346885866865"/>
        <n v="0.95541087962963"/>
        <n v="0.955432702673567"/>
        <n v="0.955524414359599"/>
        <n v="0.956030640668524"/>
        <n v="0.956035813522692"/>
        <n v="0.956130252684192"/>
        <n v="0.956307281059064"/>
        <n v="0.95667100318011"/>
        <n v="0.956672443674177"/>
        <n v="0.956802410730892"/>
        <n v="0.957040274742429"/>
        <n v="0.957087126137842"/>
        <n v="0.957129914769193"/>
        <n v="0.957199541284404"/>
        <n v="0.957215680198326"/>
        <n v="0.957433665644172"/>
        <n v="0.957446735131822"/>
        <n v="0.957486033519553"/>
        <n v="0.957530748807976"/>
        <n v="0.957617211597779"/>
        <n v="0.957732371794872"/>
        <n v="0.957810218978104"/>
        <n v="0.957900182592817"/>
        <n v="0.957917570498915"/>
        <n v="0.95802392739274"/>
        <n v="0.958100577504319"/>
        <n v="0.958333333333334"/>
        <n v="0.958589385474861"/>
        <n v="0.958738938053097"/>
        <n v="0.959798563397876"/>
        <n v="0.959879032258064"/>
        <n v="0.9604"/>
        <n v="0.960590555555556"/>
        <n v="0.960866686507937"/>
        <n v="0.960987283123028"/>
        <n v="0.961204436809082"/>
        <n v="0.961367590943779"/>
        <n v="0.961538813831005"/>
        <n v="0.961941437690813"/>
        <n v="0.962196725092251"/>
        <n v="0.9625"/>
        <n v="0.963077162698412"/>
        <n v="0.963156044985942"/>
        <n v="0.96352364654636"/>
        <n v="0.96375215424386"/>
        <n v="0.96397641509434"/>
        <n v="0.966296626072304"/>
        <n v="0.966439946513432"/>
        <n v="0.966530898876404"/>
        <n v="0.966534711388456"/>
        <n v="0.966568917237088"/>
        <n v="0.966617988844128"/>
        <n v="0.96767505787037"/>
        <n v="0.967966804979255"/>
        <n v="0.968265595463138"/>
        <n v="0.968755935422602"/>
        <n v="0.969556981840952"/>
        <n v="0.969629629629631"/>
        <n v="0.96969696969697"/>
        <n v="0.970656108597286"/>
        <n v="0.970833333333333"/>
        <n v="0.970835314629894"/>
        <n v="0.971882931472082"/>
        <n v="0.971887459224357"/>
        <n v="0.972222222222222"/>
        <n v="0.973241973732215"/>
        <n v="0.973636363636364"/>
        <n v="0.974107959743824"/>
        <n v="0.974328526517223"/>
        <n v="0.974450045829515"/>
        <n v="0.974464579901154"/>
        <n v="0.974918433931485"/>
        <n v="0.975037623130245"/>
        <n v="0.975217188070047"/>
        <n v="0.975406568877551"/>
        <n v="0.975409836065573"/>
        <n v="0.976800109930378"/>
        <n v="0.977514064697608"/>
        <n v="0.977516849199661"/>
        <n v="0.97809480951513"/>
        <n v="0.978127873258363"/>
        <n v="0.97833545557442"/>
        <n v="0.978584558823531"/>
        <n v="0.979166666666665"/>
        <n v="0.980221969265795"/>
        <n v="0.980468581687613"/>
        <n v="0.981155803848541"/>
        <n v="0.981944444444445"/>
        <n v="0.982411504424779"/>
        <n v="0.98308073038073"/>
        <n v="0.98495565974548"/>
        <n v="0.987780352137353"/>
        <n v="0.988250295683027"/>
        <n v="0.988425925925925"/>
        <n v="0.988723597799077"/>
        <n v="0.989488636363636"/>
        <n v="0.990455719885959"/>
        <n v="0.99082936979786"/>
        <n v="0.991183035714286"/>
        <n v="0.991666666666667"/>
        <n v="0.992310267857143"/>
        <n v="0.99232012176834"/>
        <n v="0.992901280524122"/>
        <n v="0.993069715142429"/>
        <n v="0.993127938570586"/>
        <n v="0.993213781820365"/>
        <n v="0.993605027980691"/>
        <n v="0.993636329755515"/>
        <n v="0.993705089820359"/>
        <n v="0.993763496490912"/>
        <n v="0.994109052941529"/>
        <n v="0.99415929286141"/>
        <n v="0.99430047932894"/>
        <n v="0.994311377245508"/>
        <n v="0.994496855345912"/>
        <n v="0.994827229464101"/>
        <n v="0.995006249999999"/>
        <n v="0.995429897137745"/>
        <n v="0.996288659793814"/>
        <n v="0.996704021094265"/>
        <n v="0.997303464011616"/>
        <n v="0.997517070142768"/>
        <n v="0.99753319183526"/>
        <n v="0.997717368748703"/>
        <n v="0.997787610619469"/>
        <n v="0.997924449979244"/>
        <n v="0.998336106489185"/>
        <n v="0.998336798336798"/>
        <n v="0.998338870431894"/>
        <n v="0.99862987987988"/>
        <n v="0.99866844207723"/>
        <n v="0.99867197875166"/>
        <n v="0.998755656108597"/>
        <n v="0.998961146893829"/>
        <n v="0.99984375"/>
        <n v="0.99987722877002"/>
        <n v="0.999973596861799"/>
        <n v="1"/>
        <n v="1.00015243902439"/>
        <n v="1.0002569528416"/>
        <n v="1.00045745654163"/>
        <n v="1.00116490166415"/>
        <n v="1.00145454545455"/>
        <n v="1.00146123561478"/>
        <n v="1.00146791767554"/>
        <n v="1.00268181818182"/>
        <n v="1.00359417652411"/>
        <n v="1.00418997336378"/>
        <n v="1.00421726681128"/>
        <n v="1.00585529715762"/>
        <n v="1.00723073974703"/>
        <n v="1.00764835974936"/>
        <n v="1.00912032950868"/>
        <n v="1.01000335811945"/>
        <n v="1.01001177856302"/>
        <n v="1.0100422832981"/>
        <n v="1.01008017322098"/>
        <n v="1.01113846875366"/>
        <n v="1.01133637587034"/>
        <n v="1.01145465253239"/>
        <n v="1.01163338634623"/>
        <n v="1.01328491784038"/>
        <n v="1.01342420487402"/>
        <n v="1.01369463869464"/>
        <n v="1.01413306451613"/>
        <n v="1.01423611111111"/>
        <n v="1.01615030567686"/>
        <n v="1.01634178131788"/>
        <n v="1.01637006861063"/>
        <n v="1.0175035685155"/>
        <n v="1.01875424304141"/>
        <n v="1.02016420717593"/>
        <n v="1.02222222222222"/>
        <n v="1.02232204116638"/>
        <n v="1.02829501295337"/>
        <n v="1.02971095890411"/>
        <n v="1.03089107457428"/>
        <n v="1.03093494698418"/>
        <n v="1.03094623329283"/>
        <n v="1.03118520551287"/>
        <n v="1.03156578947368"/>
        <n v="1.03182164634146"/>
        <n v="1.03183172407794"/>
        <n v="1.03208171834625"/>
        <n v="1.03236635174419"/>
        <n v="1.03255496512157"/>
        <n v="1.03298611111111"/>
        <n v="1.03340131578947"/>
        <n v="1.03412790697674"/>
        <n v="1.03472403444676"/>
        <n v="1.03505291005291"/>
        <n v="1.03546872934021"/>
        <n v="1.03551872253918"/>
        <n v="1.03590738866397"/>
        <n v="1.03630363036304"/>
        <n v="1.0375166002656"/>
        <n v="1.03753880192854"/>
        <n v="1.03768328445748"/>
        <n v="1.03917265230114"/>
        <n v="1.03917662682603"/>
        <n v="1.04000266240682"/>
        <n v="1.04000531632111"/>
        <n v="1.04001257112611"/>
        <n v="1.04042214257268"/>
        <n v="1.04062770130993"/>
        <n v="1.04063100682707"/>
        <n v="1.04083399946709"/>
        <n v="1.04083466453674"/>
        <n v="1.04083532854483"/>
        <n v="1.04083599149389"/>
        <n v="1.04125016660003"/>
        <n v="1.04125083166999"/>
        <n v="1.04125166002656"/>
        <n v="1.04166666666667"/>
        <n v="1.04484758527401"/>
        <n v="1.04505646111548"/>
        <n v="1.04583333333333"/>
        <n v="1.04686614530205"/>
        <n v="1.04775384976865"/>
        <n v="1.04926864847303"/>
        <n v="1.05053594137952"/>
        <n v="1.05192983870968"/>
        <n v="1.05416666666667"/>
        <n v="1.05482796892342"/>
        <n v="1.06042399374756"/>
        <n v="1.06628298006296"/>
        <n v="1.06870561065179"/>
        <n v="1.06929916317992"/>
        <n v="1.06943858366409"/>
        <n v="1.06964063955293"/>
        <n v="1.07371794871795"/>
        <n v="1.0752688172043"/>
        <n v="1.07772372774539"/>
        <n v="1.07928716490658"/>
        <n v="1.07959626932413"/>
        <n v="1.08"/>
        <n v="1.08166922683052"/>
        <n v="1.0816717791411"/>
        <n v="1.08208477397874"/>
        <n v="1.08250064053292"/>
        <n v="1.08270869370235"/>
        <n v="1.08333333333333"/>
        <n v="1.08346788990826"/>
        <n v="1.08523790075557"/>
        <n v="1.08643537066246"/>
        <n v="1.08768112975849"/>
        <n v="1.08907488146774"/>
        <n v="1.0923025"/>
        <n v="1.09500772773152"/>
        <n v="1.09502262443439"/>
        <n v="1.09561"/>
        <n v="1.09672631658596"/>
        <n v="1.09756097560976"/>
        <n v="1.09960227984467"/>
        <n v="1.09980893315793"/>
        <n v="1.1"/>
        <n v="1.10042222222222"/>
        <n v="1.10105048604578"/>
        <n v="1.10167606516291"/>
        <n v="1.10172168"/>
        <n v="1.10250501630299"/>
        <n v="1.10333521586345"/>
        <n v="1.10353200678412"/>
        <n v="1.10354202024012"/>
        <n v="1.10416666666667"/>
        <n v="1.10445444444444"/>
        <n v="1.10711805555555"/>
        <n v="1.10887188498403"/>
        <n v="1.11006944444444"/>
        <n v="1.11020316478551"/>
        <n v="1.1115353082466"/>
        <n v="1.1134674557018"/>
        <n v="1.11674226804124"/>
        <n v="1.11736467472273"/>
        <n v="1.11805555555556"/>
        <n v="1.12229817106965"/>
        <n v="1.13083839710954"/>
        <n v="1.13085872576177"/>
        <n v="1.13322394571013"/>
        <n v="1.13361722560976"/>
        <n v="1.13494724892561"/>
        <n v="1.14049277594652"/>
        <n v="1.14166666666667"/>
        <n v="1.14168176328502"/>
        <n v="1.1421009771987"/>
        <n v="1.14272134709397"/>
        <n v="1.14303243587026"/>
        <n v="1.14334239130435"/>
        <n v="1.14335048754063"/>
        <n v="1.14396411092985"/>
        <n v="1.14479412298204"/>
        <n v="1.14500181422351"/>
        <n v="1.14541742286751"/>
        <n v="1.14541772457986"/>
        <n v="1.15667857142857"/>
        <n v="1.15924417177914"/>
        <n v="1.15995580110497"/>
        <n v="1.16091998554391"/>
        <n v="1.16124785865181"/>
        <n v="1.16303473744951"/>
        <n v="1.16438274900635"/>
        <n v="1.1701343952215"/>
        <n v="1.17138831870402"/>
        <n v="1.17226239988559"/>
        <n v="1.17406081609838"/>
        <n v="1.18325204600752"/>
        <n v="1.18532437923251"/>
        <n v="1.20120834859026"/>
        <n v="1.2018684740795"/>
        <n v="1.20219880897847"/>
        <n v="1.20335393772894"/>
        <n v="1.20344426211114"/>
        <n v="1.20562293274532"/>
        <n v="1.20650974623023"/>
        <n v="1.20784241531664"/>
        <n v="1.20791692194779"/>
        <n v="1.21684210526316"/>
        <n v="1.22084745762712"/>
        <n v="1.22173937198068"/>
        <n v="1.22399942206483"/>
        <n v="1.22496517016655"/>
        <n v="1.23721847930702"/>
        <n v="1.23762376237624"/>
        <n v="1.24069735006974"/>
        <n v="1.24875704342062"/>
        <n v="1.25"/>
        <n v="1.26556103521554"/>
        <n v="1.27829713889371"/>
        <n v="1.2902831075997"/>
        <n v="1.29332612417771"/>
        <n v="1.2962962962963"/>
        <n v="1.31606158010489"/>
        <n v="1.31958762886598"/>
        <n v="1.32027232679215"/>
        <n v="1.32049401197605"/>
        <n v="1.32783775872883"/>
        <n v="1.3296379444855"/>
        <n v="1.36183118081181"/>
        <n v="1.36289272342504"/>
        <n v="1.36640411963688"/>
        <n v="1.37708177419355"/>
        <n v="1.39475510902915"/>
        <n v="1.39618193444747"/>
        <n v="1.41122336227308"/>
        <n v="1.41828703703704"/>
        <n v="1.42934522235577"/>
        <n v="1.43056048710564"/>
        <n v="1.43194981213097"/>
        <n v="1.43325165261105"/>
        <n v="1.43708187451286"/>
        <n v="1.45833333333333"/>
        <n v="1.47558072009291"/>
        <n v="1.48299568527661"/>
        <n v="1.48780267489712"/>
        <n v="1.48929738562092"/>
        <n v="1.51507286660751"/>
        <n v="1.52916327716444"/>
        <n v="1.5469400670072"/>
        <n v="1.56603763066202"/>
        <n v="1.57834907310248"/>
        <n v="1.58595734098517"/>
        <n v="1.59468438538206"/>
        <n v="1.61305490250311"/>
        <n v="1.64029316915861"/>
        <n v="1.65343915343915"/>
        <n v="1.6809905217045"/>
        <n v="1.68564862996481"/>
        <n v="1.6932309359339"/>
        <n v="1.74532687007874"/>
        <n v="1.75528828740158"/>
        <n v="1.76403333638165"/>
        <n v="1.77946528854436"/>
        <n v="1.78096863645056"/>
        <n v="1.81099802767452"/>
        <n v="1.83889828738513"/>
        <n v="1.84708932718963"/>
        <n v="1.87117470652971"/>
        <n v="1.8828303325223"/>
        <n v="1.89309191919192"/>
        <n v="1.94509393583724"/>
        <n v="1.96671425796425"/>
        <n v="1.97167377192983"/>
        <n v="2.0585136129507"/>
        <n v="2.17360222222223"/>
        <n v="2.184605"/>
        <n v="2.20448"/>
        <n v="2.25560975609756"/>
        <n v="2.52000598290598"/>
        <n v="3.23381276442298"/>
        <n v="6.2173322683706"/>
        <n v="6.46810519217801"/>
        <n v="7.50906716417909"/>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861" createdVersion="3">
  <cacheSource type="worksheet">
    <worksheetSource ref="B3:AN864" sheet="Data Sheet Aug-2021"/>
  </cacheSource>
  <cacheFields count="39">
    <cacheField name="Date" numFmtId="0">
      <sharedItems containsSemiMixedTypes="0" containsNonDate="0" containsDate="1" containsString="0" minDate="2021-08-02T00:00:00" maxDate="2021-10-09T00:00:00" count="5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sharedItems>
    </cacheField>
    <cacheField name="Shift" numFmtId="0">
      <sharedItems count="5">
        <s v="   A"/>
        <s v="A"/>
        <s v="B"/>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79">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8"/>
        <s v="FO099"/>
        <s v="FO100"/>
        <s v="FO101"/>
        <s v="FO102"/>
        <s v="FO103"/>
        <s v="FO104"/>
        <s v="FO105"/>
        <s v="FO106"/>
        <s v="FO107"/>
        <s v="FO108"/>
        <s v="FO109"/>
        <s v="FO110"/>
        <s v="FO111"/>
        <s v="FO113"/>
        <s v="FO116"/>
        <s v="FO117"/>
        <s v="FO119"/>
        <s v="FO130"/>
        <s v="FO141"/>
        <s v="FO142"/>
        <s v="FO143"/>
        <s v="FO144"/>
        <s v="FO145"/>
        <s v="FO146"/>
        <s v="FO148"/>
        <s v="FO149"/>
        <s v="FO150"/>
        <s v="FO151"/>
        <s v="FO152"/>
      </sharedItems>
    </cacheField>
    <cacheField name="Mold No" numFmtId="0">
      <sharedItems containsBlank="1" count="10">
        <s v="B2"/>
        <s v="BM1"/>
        <s v="BM2"/>
        <s v="BM3"/>
        <s v="BM4"/>
        <s v="BM5"/>
        <s v="M1"/>
        <s v="M2"/>
        <s v="MB2"/>
        <m/>
      </sharedItems>
    </cacheField>
    <cacheField name="M/c No" numFmtId="0">
      <sharedItems containsBlank="1" count="19">
        <s v="B1"/>
        <s v="B2"/>
        <s v="INJ"/>
        <s v="INJ-1"/>
        <s v="INJ1"/>
        <s v="L1"/>
        <s v="L2"/>
        <s v="LZ1"/>
        <s v="LZR"/>
        <s v="P1"/>
        <s v="PC1"/>
        <s v="PR1"/>
        <s v="Recycle"/>
        <s v="Vergin"/>
        <s v="Virgen"/>
        <s v="Virgin"/>
        <s v="WR1"/>
        <s v="WR2"/>
        <m/>
      </sharedItems>
    </cacheField>
    <cacheField name="SKU" numFmtId="0">
      <sharedItems count="79">
        <s v="50 ML RPP BOTTLE PRINTED - BIRDS"/>
        <s v="CAP S TYPE MOLDED BLUE"/>
        <s v="CAP S TYPE MOLDED PALE BLUE"/>
        <s v="CAP S TYPE MOLDED PINK"/>
        <s v="CAP S TYPE MOLDED RED"/>
        <s v="CAP S TYPE MOLDED WHITE"/>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775">
        <s v="DA30Ba2EG05Pa"/>
        <s v="EC09BA2I03PA"/>
        <s v="EC25BC1H27Pa"/>
        <s v="ED14Ba1H24Pa"/>
        <s v="EF17BA1I02PA"/>
        <s v="EF17BA1I03PA"/>
        <s v="EF22Ba1H24Pa"/>
        <s v="EF28Ba1H28PA"/>
        <s v="EG05Ba1H20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4Bb1"/>
        <s v="EH24Bb2"/>
        <s v="EH24Bb2H25Pa"/>
        <s v="EH24Bb2H26Pa"/>
        <s v="EH24Bb2I23Pa"/>
        <s v="EH24Bc1"/>
        <s v="EH24HA"/>
        <s v="EH24Hc"/>
        <s v="EH25Bb2"/>
        <s v="EH25Bc1"/>
        <s v="EH25BC1H28PA"/>
        <s v="EH25Ha"/>
        <s v="EH25Hb"/>
        <s v="EH25Hc"/>
        <s v="EH26Bb1"/>
        <s v="EH26Bc1"/>
        <s v="EH26Ha"/>
        <s v="EH26Hb"/>
        <s v="EH26Hc"/>
        <s v="EH27Bb1H31Pa"/>
        <s v="EH27Bb2"/>
        <s v="EH27Bc1"/>
        <s v="EH27Bc1I24Pa"/>
        <s v="EH27HA"/>
        <s v="EH27Hb"/>
        <s v="EH27Hc"/>
        <s v="EH28Ba1"/>
        <s v="EH28Ba1H31Pa"/>
        <s v="EH28Ba1I25Pa"/>
        <s v="EH28Bb1"/>
        <s v="EH28Bb1H31Pa"/>
        <s v="EH28Bb1I22Pb"/>
        <s v="EH28Bb1I23Pa"/>
        <s v="EH28Bb1I24Pa"/>
        <s v="EH28Bc1"/>
        <s v="EH28Ha"/>
        <s v="EH28Hb"/>
        <s v="EH28Hc"/>
        <s v="EH31Ha"/>
        <s v="EH31Hb"/>
        <s v="EHI07BB2I06PA"/>
        <s v="EI02BA2"/>
        <s v="EI02BA2I03PA"/>
        <s v="EI02BB2"/>
        <s v="EI02Bb2I25Pa"/>
        <s v="EI02Bc2"/>
        <s v="EI02Ha"/>
        <s v="EI02Hb"/>
        <s v="EI02Hc"/>
        <s v="EI02Na"/>
        <s v="EI03Ba2"/>
        <s v="EI03BB2I04PA"/>
        <s v="EI03Bb2I23Pa"/>
        <s v="EI03Bc2"/>
        <s v="EI03Ha"/>
        <s v="EI03Hb"/>
        <s v="EI03Hc"/>
        <s v="EI03Nb"/>
        <s v="EI04Ba2"/>
        <s v="EI04Bb1"/>
        <s v="EI04BB1I06PA"/>
        <s v="EI04Bc1"/>
        <s v="EI04BC1I07PA"/>
        <s v="EI04Ha"/>
        <s v="EI04Hb"/>
        <s v="EI04Hc"/>
        <s v="EI06Ba1"/>
        <s v="EI06Bb1"/>
        <s v="EI06Bb2I07Pa"/>
        <s v="EI06Bc2"/>
        <s v="EI06BC2I08Pa"/>
        <s v="EI06Ha"/>
        <s v="EI06Hb"/>
        <s v="EI06Hc"/>
        <s v="EI07Ba2"/>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b2"/>
        <s v="EI23Bc2"/>
        <s v="EI23Ca"/>
        <s v="EI23Cb"/>
        <s v="EI23Cc"/>
        <s v="EI23CRa"/>
        <s v="EI23CRb"/>
        <s v="EI23CRc"/>
        <s v="EI24Ba1"/>
        <s v="EI24Ba1J04Pa"/>
        <s v="EI24Bb1"/>
        <s v="EI24Cb"/>
        <s v="EI24Cc"/>
        <s v="EI24CRa"/>
        <s v="EI24CRb"/>
        <s v="EI24CRc"/>
        <s v="EI25Ba2"/>
        <s v="EI25Bb2"/>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2"/>
        <s v="EJ06Bb2"/>
        <s v="EJ06Ca"/>
        <s v="EJ06Cb"/>
        <s v="EJ06Cc"/>
        <s v="EJ06CRa"/>
        <s v="EJ06CRb"/>
        <s v="EJ06CRc"/>
        <s v="EJ07Ba1"/>
        <s v="EJ07Bc2"/>
        <s v="EJ07Ca"/>
        <s v="EJ07CRb"/>
        <s v="EJ07CRc"/>
        <s v="EJ08Ba2"/>
        <s v="EJ08Bb2"/>
        <s v="EJ08Bc2"/>
        <s v="EJ08Ca"/>
        <s v="EJ08Cb"/>
        <s v="EJ08Cc"/>
        <s v="EJ08CRa"/>
        <s v="EJ09Ba2"/>
        <s v="EJ09Ca"/>
        <s v="EJO4CRb"/>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Na"/>
        <s v="HEJ5AH22"/>
        <s v="HEJO4Na"/>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0">
        <n v="0.1"/>
        <n v="0.3"/>
        <n v="0.5"/>
        <n v="0.6"/>
        <n v="0.7"/>
        <n v="0.8"/>
        <n v="1"/>
        <n v="1.2"/>
        <n v="1.3"/>
        <n v="1.4"/>
        <n v="1.5"/>
        <n v="1.6"/>
        <n v="1.7"/>
        <n v="1.8"/>
        <n v="2"/>
        <n v="2.3"/>
        <n v="2.5"/>
        <n v="2.7"/>
        <n v="2.9"/>
        <n v="3"/>
        <n v="3.3"/>
        <n v="3.5"/>
        <n v="4"/>
        <n v="4.3"/>
        <n v="4.5"/>
        <n v="5"/>
        <n v="5.4"/>
        <n v="5.5"/>
        <n v="5.8"/>
        <n v="6"/>
        <n v="6.2"/>
        <n v="6.5"/>
        <n v="6.8"/>
        <n v="7"/>
        <n v="7.4"/>
        <n v="7.5"/>
        <n v="7.8"/>
        <n v="8"/>
        <n v="8.5"/>
        <n v="10.5"/>
      </sharedItems>
    </cacheField>
    <cacheField name="Plan Qty" numFmtId="0">
      <sharedItems containsSemiMixedTypes="0" containsString="0" containsNumber="1" minValue="5" maxValue="16132" count="179">
        <n v="5"/>
        <n v="10"/>
        <n v="57"/>
        <n v="200"/>
        <n v="210"/>
        <n v="215"/>
        <n v="324"/>
        <n v="332"/>
        <n v="400"/>
        <n v="487"/>
        <n v="500"/>
        <n v="517"/>
        <n v="550"/>
        <n v="600"/>
        <n v="626"/>
        <n v="630"/>
        <n v="638"/>
        <n v="644"/>
        <n v="650"/>
        <n v="700"/>
        <n v="800"/>
        <n v="875"/>
        <n v="937"/>
        <n v="1000"/>
        <n v="1031"/>
        <n v="1034"/>
        <n v="1036"/>
        <n v="1037"/>
        <n v="1040"/>
        <n v="1050"/>
        <n v="1062"/>
        <n v="1100"/>
        <n v="1137"/>
        <n v="1200"/>
        <n v="1204"/>
        <n v="1250"/>
        <n v="1251.5"/>
        <n v="1260"/>
        <n v="1275"/>
        <n v="1287"/>
        <n v="1290"/>
        <n v="1292"/>
        <n v="1300"/>
        <n v="1303"/>
        <n v="1337"/>
        <n v="1374"/>
        <n v="1400"/>
        <n v="1420"/>
        <n v="1439"/>
        <n v="1450"/>
        <n v="1500"/>
        <n v="1537"/>
        <n v="1551"/>
        <n v="1557"/>
        <n v="1575"/>
        <n v="1600"/>
        <n v="1682"/>
        <n v="1700"/>
        <n v="1750"/>
        <n v="1767"/>
        <n v="1773"/>
        <n v="1800"/>
        <n v="1840"/>
        <n v="1860"/>
        <n v="1930"/>
        <n v="1932"/>
        <n v="1974"/>
        <n v="2000"/>
        <n v="2036"/>
        <n v="2065"/>
        <n v="2068.5"/>
        <n v="2072"/>
        <n v="2074"/>
        <n v="2100"/>
        <n v="2125"/>
        <n v="2137"/>
        <n v="2250"/>
        <n v="2337"/>
        <n v="2400"/>
        <n v="2500"/>
        <n v="2503"/>
        <n v="2537"/>
        <n v="2550"/>
        <n v="2574"/>
        <n v="2580"/>
        <n v="2585"/>
        <n v="2586"/>
        <n v="2600"/>
        <n v="2637"/>
        <n v="2800"/>
        <n v="2845"/>
        <n v="2847"/>
        <n v="2887"/>
        <n v="2900"/>
        <n v="3000"/>
        <n v="3097"/>
        <n v="3102"/>
        <n v="3103"/>
        <n v="3108"/>
        <n v="3137"/>
        <n v="3200"/>
        <n v="3226"/>
        <n v="3300"/>
        <n v="3374"/>
        <n v="3400"/>
        <n v="3500"/>
        <n v="3518"/>
        <n v="3587"/>
        <n v="3600"/>
        <n v="3611"/>
        <n v="3612"/>
        <n v="3619"/>
        <n v="3620"/>
        <n v="3626"/>
        <n v="3637"/>
        <n v="3650"/>
        <n v="3700"/>
        <n v="3800"/>
        <n v="4000"/>
        <n v="4034"/>
        <n v="4036"/>
        <n v="4137"/>
        <n v="4250"/>
        <n v="4350"/>
        <n v="4375"/>
        <n v="4400"/>
        <n v="4500"/>
        <n v="4750"/>
        <n v="4814"/>
        <n v="4815"/>
        <n v="4900"/>
        <n v="5000"/>
        <n v="5036"/>
        <n v="5100"/>
        <n v="5123"/>
        <n v="5132"/>
        <n v="5134"/>
        <n v="5250"/>
        <n v="5800"/>
        <n v="6000"/>
        <n v="6036"/>
        <n v="6091"/>
        <n v="6122"/>
        <n v="6125"/>
        <n v="6300"/>
        <n v="6500"/>
        <n v="7000"/>
        <n v="7036"/>
        <n v="7072"/>
        <n v="7091"/>
        <n v="7096"/>
        <n v="7132"/>
        <n v="7500"/>
        <n v="8016"/>
        <n v="8060"/>
        <n v="8080"/>
        <n v="8091"/>
        <n v="9000"/>
        <n v="10072"/>
        <n v="10091"/>
        <n v="10400"/>
        <n v="10598"/>
        <n v="11000"/>
        <n v="11132"/>
        <n v="11500"/>
        <n v="12000"/>
        <n v="12108"/>
        <n v="12409"/>
        <n v="12411"/>
        <n v="12500"/>
        <n v="12700"/>
        <n v="13000"/>
        <n v="13861"/>
        <n v="14000"/>
        <n v="14072"/>
        <n v="14132"/>
        <n v="14182"/>
        <n v="16032"/>
        <n v="16132"/>
      </sharedItems>
    </cacheField>
    <cacheField name="Plan Qty per Hr" numFmtId="0">
      <sharedItems containsSemiMixedTypes="0" containsString="0" containsNumber="1" minValue="16.6666666666667" maxValue="2068.5" count="195">
        <n v="16.6666666666667"/>
        <n v="50"/>
        <n v="100"/>
        <n v="190"/>
        <n v="200"/>
        <n v="211.764705882353"/>
        <n v="215"/>
        <n v="216.666666666667"/>
        <n v="236.666666666667"/>
        <n v="241.25"/>
        <n v="245.142857142857"/>
        <n v="250"/>
        <n v="275"/>
        <n v="285.714285714286"/>
        <n v="300"/>
        <n v="310"/>
        <n v="312.875"/>
        <n v="313"/>
        <n v="315"/>
        <n v="319.53488372093"/>
        <n v="321.428571428571"/>
        <n v="321.75"/>
        <n v="322"/>
        <n v="325.75"/>
        <n v="327.272727272727"/>
        <n v="329"/>
        <n v="333.333333333333"/>
        <n v="345.666666666667"/>
        <n v="352.941176470588"/>
        <n v="363.636363636364"/>
        <n v="382"/>
        <n v="400"/>
        <n v="413.793103448276"/>
        <n v="416.666666666667"/>
        <n v="420"/>
        <n v="424.8"/>
        <n v="425"/>
        <n v="433.333333333333"/>
        <n v="436.363636363636"/>
        <n v="444.444444444444"/>
        <n v="445.666666666667"/>
        <n v="448.142857142857"/>
        <n v="450"/>
        <n v="451.375"/>
        <n v="464.285714285714"/>
        <n v="479.666666666667"/>
        <n v="480"/>
        <n v="484.615384615385"/>
        <n v="487"/>
        <n v="500"/>
        <n v="507.4"/>
        <n v="509"/>
        <n v="512.333333333333"/>
        <n v="512.428571428571"/>
        <n v="514.285714285714"/>
        <n v="515.5"/>
        <n v="516"/>
        <n v="516.129032258065"/>
        <n v="516.166666666667"/>
        <n v="516.25"/>
        <n v="516.8"/>
        <n v="517"/>
        <n v="517.125"/>
        <n v="517.142857142857"/>
        <n v="517.166666666667"/>
        <n v="517.2"/>
        <n v="517.272727272727"/>
        <n v="517.636363636364"/>
        <n v="518"/>
        <n v="518.5"/>
        <n v="518.518518518519"/>
        <n v="519"/>
        <n v="519.333333333333"/>
        <n v="519.571428571429"/>
        <n v="520"/>
        <n v="520.555555555556"/>
        <n v="521.428571428571"/>
        <n v="522.833333333333"/>
        <n v="525"/>
        <n v="527.4"/>
        <n v="533.333333333333"/>
        <n v="534.25"/>
        <n v="540"/>
        <n v="550"/>
        <n v="553.846153846154"/>
        <n v="560"/>
        <n v="566.666666666667"/>
        <n v="568.5"/>
        <n v="577.4"/>
        <n v="586.545454545455"/>
        <n v="591"/>
        <n v="600"/>
        <n v="601.75"/>
        <n v="601.875"/>
        <n v="602"/>
        <n v="607.142857142857"/>
        <n v="625"/>
        <n v="625.75"/>
        <n v="628.205128205128"/>
        <n v="637.5"/>
        <n v="640.375"/>
        <n v="641.75"/>
        <n v="644.444444444444"/>
        <n v="660"/>
        <n v="666.666666666667"/>
        <n v="676.923076923077"/>
        <n v="700"/>
        <n v="725"/>
        <n v="742.857142857143"/>
        <n v="750"/>
        <n v="797.5"/>
        <n v="814.4"/>
        <n v="827.764705882353"/>
        <n v="833.333333333333"/>
        <n v="834.235294117647"/>
        <n v="843.5"/>
        <n v="857.142857142857"/>
        <n v="862.285714285714"/>
        <n v="875"/>
        <n v="878.378378378378"/>
        <n v="879.5"/>
        <n v="882.352941176471"/>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9.2"/>
        <n v="1437.5"/>
        <n v="1500"/>
        <n v="1514"/>
        <n v="1522.75"/>
        <n v="1584.88888888889"/>
        <n v="1587.5"/>
        <n v="1600"/>
        <n v="1612"/>
        <n v="1647.05882352941"/>
        <n v="1652.17391304348"/>
        <n v="1655.52941176471"/>
        <n v="1666.66666666667"/>
        <n v="1668.47058823529"/>
        <n v="1682"/>
        <n v="1710.66666666667"/>
        <n v="1750"/>
        <n v="1759"/>
        <n v="1766.5"/>
        <n v="1767"/>
        <n v="1768"/>
        <n v="1772.71428571429"/>
        <n v="1772.75"/>
        <n v="1773"/>
        <n v="1798"/>
        <n v="1831.27272727273"/>
        <n v="1833.33333333333"/>
        <n v="1846.15384615385"/>
        <n v="1850"/>
        <n v="1851.85185185185"/>
        <n v="1857.14285714286"/>
        <n v="1886.11764705882"/>
        <n v="1897.88235294118"/>
        <n v="1916.66666666667"/>
        <n v="1919.31034482759"/>
        <n v="1980.14285714286"/>
        <n v="2000"/>
        <n v="2004"/>
        <n v="2016.5"/>
        <n v="2017"/>
        <n v="2018"/>
        <n v="2020"/>
        <n v="2040"/>
        <n v="2040.66666666667"/>
        <n v="2068.5"/>
      </sharedItems>
    </cacheField>
    <cacheField name="Total Produced Qty" numFmtId="0">
      <sharedItems containsSemiMixedTypes="0" containsString="0" containsNumber="1" containsInteger="1" minValue="5" maxValue="22365" count="632">
        <n v="5"/>
        <n v="7"/>
        <n v="10"/>
        <n v="51"/>
        <n v="57"/>
        <n v="140"/>
        <n v="196"/>
        <n v="224"/>
        <n v="283"/>
        <n v="328"/>
        <n v="393"/>
        <n v="407"/>
        <n v="426"/>
        <n v="445"/>
        <n v="468"/>
        <n v="487"/>
        <n v="489"/>
        <n v="496"/>
        <n v="500"/>
        <n v="533"/>
        <n v="545"/>
        <n v="550"/>
        <n v="605"/>
        <n v="628"/>
        <n v="630"/>
        <n v="652"/>
        <n v="682"/>
        <n v="700"/>
        <n v="750"/>
        <n v="760"/>
        <n v="791"/>
        <n v="800"/>
        <n v="816"/>
        <n v="821"/>
        <n v="850"/>
        <n v="864"/>
        <n v="913"/>
        <n v="921"/>
        <n v="925"/>
        <n v="938"/>
        <n v="988"/>
        <n v="997"/>
        <n v="998"/>
        <n v="1000"/>
        <n v="1005"/>
        <n v="1008"/>
        <n v="1011"/>
        <n v="1012"/>
        <n v="1031"/>
        <n v="1040"/>
        <n v="1042"/>
        <n v="1051"/>
        <n v="1077"/>
        <n v="1092"/>
        <n v="1130"/>
        <n v="1132"/>
        <n v="1133"/>
        <n v="1140"/>
        <n v="1141"/>
        <n v="1145"/>
        <n v="1150"/>
        <n v="1165"/>
        <n v="1168"/>
        <n v="1173"/>
        <n v="1180"/>
        <n v="1186"/>
        <n v="1193"/>
        <n v="1200"/>
        <n v="1230"/>
        <n v="1233"/>
        <n v="1246"/>
        <n v="1250"/>
        <n v="1257"/>
        <n v="1269"/>
        <n v="1300"/>
        <n v="1306"/>
        <n v="1310"/>
        <n v="1312"/>
        <n v="1316"/>
        <n v="1326"/>
        <n v="1350"/>
        <n v="1378"/>
        <n v="1382"/>
        <n v="1386"/>
        <n v="1400"/>
        <n v="1420"/>
        <n v="1425"/>
        <n v="1453"/>
        <n v="1456"/>
        <n v="1494"/>
        <n v="1495"/>
        <n v="1500"/>
        <n v="1507"/>
        <n v="1510"/>
        <n v="1515"/>
        <n v="1524"/>
        <n v="1556"/>
        <n v="1565"/>
        <n v="1572"/>
        <n v="1578"/>
        <n v="1582"/>
        <n v="1606"/>
        <n v="1608"/>
        <n v="1612"/>
        <n v="1614"/>
        <n v="1624"/>
        <n v="1625"/>
        <n v="1648"/>
        <n v="1705"/>
        <n v="1734"/>
        <n v="1739"/>
        <n v="1773"/>
        <n v="1779"/>
        <n v="1795"/>
        <n v="1800"/>
        <n v="1801"/>
        <n v="1802"/>
        <n v="1807"/>
        <n v="1840"/>
        <n v="1860"/>
        <n v="1863"/>
        <n v="1873"/>
        <n v="1898"/>
        <n v="1940"/>
        <n v="1997"/>
        <n v="2000"/>
        <n v="2004"/>
        <n v="2008"/>
        <n v="2017"/>
        <n v="2050"/>
        <n v="2108"/>
        <n v="2126"/>
        <n v="2164"/>
        <n v="2174"/>
        <n v="2190"/>
        <n v="2217"/>
        <n v="2228"/>
        <n v="2242"/>
        <n v="2250"/>
        <n v="2256"/>
        <n v="2273"/>
        <n v="2278"/>
        <n v="2288"/>
        <n v="2290"/>
        <n v="2300"/>
        <n v="2304"/>
        <n v="2308"/>
        <n v="2312"/>
        <n v="2326"/>
        <n v="2381"/>
        <n v="2392"/>
        <n v="2402"/>
        <n v="2440"/>
        <n v="2466"/>
        <n v="2472"/>
        <n v="2485"/>
        <n v="2492"/>
        <n v="2500"/>
        <n v="2511"/>
        <n v="2512"/>
        <n v="2524"/>
        <n v="2538"/>
        <n v="2546"/>
        <n v="2560"/>
        <n v="2588"/>
        <n v="2609"/>
        <n v="2640"/>
        <n v="2650"/>
        <n v="2673"/>
        <n v="2686"/>
        <n v="2739"/>
        <n v="2762"/>
        <n v="2787"/>
        <n v="2788"/>
        <n v="2797"/>
        <n v="2808"/>
        <n v="2812"/>
        <n v="2828"/>
        <n v="2830"/>
        <n v="2831"/>
        <n v="2852"/>
        <n v="2854"/>
        <n v="2880"/>
        <n v="2893"/>
        <n v="2906"/>
        <n v="2908"/>
        <n v="2943"/>
        <n v="2946"/>
        <n v="2951"/>
        <n v="2970"/>
        <n v="2986"/>
        <n v="2992"/>
        <n v="3000"/>
        <n v="3004"/>
        <n v="3008"/>
        <n v="3012"/>
        <n v="3023"/>
        <n v="3034"/>
        <n v="3036"/>
        <n v="3038"/>
        <n v="3040"/>
        <n v="3075"/>
        <n v="3102"/>
        <n v="3103"/>
        <n v="3109"/>
        <n v="3114"/>
        <n v="3117"/>
        <n v="3120"/>
        <n v="3123"/>
        <n v="3136"/>
        <n v="3140"/>
        <n v="3141"/>
        <n v="3143"/>
        <n v="3158"/>
        <n v="3160"/>
        <n v="3172"/>
        <n v="3174"/>
        <n v="3175"/>
        <n v="3177"/>
        <n v="3180"/>
        <n v="3182"/>
        <n v="3194"/>
        <n v="3200"/>
        <n v="3201"/>
        <n v="3202"/>
        <n v="3203"/>
        <n v="3208"/>
        <n v="3214"/>
        <n v="3226"/>
        <n v="3227"/>
        <n v="3235"/>
        <n v="3242"/>
        <n v="3246"/>
        <n v="3250"/>
        <n v="3252"/>
        <n v="3270"/>
        <n v="3271"/>
        <n v="3275"/>
        <n v="3277"/>
        <n v="3279"/>
        <n v="3280"/>
        <n v="3286"/>
        <n v="3287"/>
        <n v="3297"/>
        <n v="3300"/>
        <n v="3302"/>
        <n v="3304"/>
        <n v="3305"/>
        <n v="3308"/>
        <n v="3314"/>
        <n v="3334"/>
        <n v="3340"/>
        <n v="3347"/>
        <n v="3358"/>
        <n v="3371"/>
        <n v="3380"/>
        <n v="3382"/>
        <n v="3390"/>
        <n v="3400"/>
        <n v="3402"/>
        <n v="3408"/>
        <n v="3410"/>
        <n v="3414"/>
        <n v="3429"/>
        <n v="3450"/>
        <n v="3458"/>
        <n v="3498"/>
        <n v="3500"/>
        <n v="3505"/>
        <n v="3576"/>
        <n v="3580"/>
        <n v="3585"/>
        <n v="3588"/>
        <n v="3612"/>
        <n v="3615"/>
        <n v="3626"/>
        <n v="3643"/>
        <n v="3650"/>
        <n v="3694"/>
        <n v="3699"/>
        <n v="3700"/>
        <n v="3702"/>
        <n v="3750"/>
        <n v="3752"/>
        <n v="3770"/>
        <n v="3800"/>
        <n v="3802"/>
        <n v="3805"/>
        <n v="3812"/>
        <n v="3906"/>
        <n v="3923"/>
        <n v="3940"/>
        <n v="3950"/>
        <n v="3962"/>
        <n v="3973"/>
        <n v="3978"/>
        <n v="3982"/>
        <n v="4000"/>
        <n v="4002"/>
        <n v="4004"/>
        <n v="4006"/>
        <n v="4010"/>
        <n v="4012"/>
        <n v="4013"/>
        <n v="4014"/>
        <n v="4015"/>
        <n v="4024"/>
        <n v="4033"/>
        <n v="4044"/>
        <n v="4047"/>
        <n v="4050"/>
        <n v="4095"/>
        <n v="4100"/>
        <n v="4108"/>
        <n v="4116"/>
        <n v="4130"/>
        <n v="4132"/>
        <n v="4136"/>
        <n v="4148"/>
        <n v="4155"/>
        <n v="4156"/>
        <n v="4160"/>
        <n v="4170"/>
        <n v="4199"/>
        <n v="4200"/>
        <n v="4202"/>
        <n v="4208"/>
        <n v="4210"/>
        <n v="4211"/>
        <n v="4213"/>
        <n v="4220"/>
        <n v="4223"/>
        <n v="4250"/>
        <n v="4294"/>
        <n v="4299"/>
        <n v="4300"/>
        <n v="4303"/>
        <n v="4305"/>
        <n v="4308"/>
        <n v="4313"/>
        <n v="4320"/>
        <n v="4329"/>
        <n v="4338"/>
        <n v="4340"/>
        <n v="4343"/>
        <n v="4372"/>
        <n v="4385"/>
        <n v="4400"/>
        <n v="4410"/>
        <n v="4504"/>
        <n v="4505"/>
        <n v="4506"/>
        <n v="4514"/>
        <n v="4520"/>
        <n v="4522"/>
        <n v="4545"/>
        <n v="4564"/>
        <n v="4573"/>
        <n v="4583"/>
        <n v="4586"/>
        <n v="4605"/>
        <n v="4610"/>
        <n v="4630"/>
        <n v="4660"/>
        <n v="4664"/>
        <n v="4678"/>
        <n v="4708"/>
        <n v="4712"/>
        <n v="4718"/>
        <n v="4765"/>
        <n v="4787"/>
        <n v="4792"/>
        <n v="4821"/>
        <n v="4848"/>
        <n v="4878"/>
        <n v="4889"/>
        <n v="4897"/>
        <n v="4910"/>
        <n v="4950"/>
        <n v="4959"/>
        <n v="4963"/>
        <n v="4970"/>
        <n v="4994"/>
        <n v="5000"/>
        <n v="5004"/>
        <n v="5005"/>
        <n v="5010"/>
        <n v="5012"/>
        <n v="5020"/>
        <n v="5033"/>
        <n v="5046"/>
        <n v="5047"/>
        <n v="5050"/>
        <n v="5054"/>
        <n v="5065"/>
        <n v="5070"/>
        <n v="5080"/>
        <n v="5085"/>
        <n v="5086"/>
        <n v="5090"/>
        <n v="5096"/>
        <n v="5099"/>
        <n v="5100"/>
        <n v="5104"/>
        <n v="5108"/>
        <n v="5109"/>
        <n v="5110"/>
        <n v="5112"/>
        <n v="5119"/>
        <n v="5120"/>
        <n v="5122"/>
        <n v="5126"/>
        <n v="5130"/>
        <n v="5138"/>
        <n v="5181"/>
        <n v="5190"/>
        <n v="5200"/>
        <n v="5202"/>
        <n v="5203"/>
        <n v="5204"/>
        <n v="5205"/>
        <n v="5206"/>
        <n v="5208"/>
        <n v="5216"/>
        <n v="5218"/>
        <n v="5288"/>
        <n v="5296"/>
        <n v="5298"/>
        <n v="5300"/>
        <n v="5303"/>
        <n v="5304"/>
        <n v="5309"/>
        <n v="5312"/>
        <n v="5315"/>
        <n v="5316"/>
        <n v="5320"/>
        <n v="5321"/>
        <n v="5322"/>
        <n v="5324"/>
        <n v="5326"/>
        <n v="5331"/>
        <n v="5337"/>
        <n v="5353"/>
        <n v="5360"/>
        <n v="5365"/>
        <n v="5368"/>
        <n v="5370"/>
        <n v="5373"/>
        <n v="5378"/>
        <n v="5383"/>
        <n v="5390"/>
        <n v="5402"/>
        <n v="5404"/>
        <n v="5405"/>
        <n v="5406"/>
        <n v="5411"/>
        <n v="5413"/>
        <n v="5417"/>
        <n v="5430"/>
        <n v="5432"/>
        <n v="5438"/>
        <n v="5440"/>
        <n v="5455"/>
        <n v="5465"/>
        <n v="5466"/>
        <n v="5470"/>
        <n v="5482"/>
        <n v="5486"/>
        <n v="5500"/>
        <n v="5510"/>
        <n v="5512"/>
        <n v="5513"/>
        <n v="5514"/>
        <n v="5517"/>
        <n v="5520"/>
        <n v="5523"/>
        <n v="5524"/>
        <n v="5526"/>
        <n v="5534"/>
        <n v="5550"/>
        <n v="5557"/>
        <n v="5580"/>
        <n v="5582"/>
        <n v="5588"/>
        <n v="5600"/>
        <n v="5612"/>
        <n v="5619"/>
        <n v="5634"/>
        <n v="5660"/>
        <n v="5680"/>
        <n v="5686"/>
        <n v="5700"/>
        <n v="5740"/>
        <n v="5748"/>
        <n v="5753"/>
        <n v="5790"/>
        <n v="5882"/>
        <n v="5911"/>
        <n v="5928"/>
        <n v="5932"/>
        <n v="6000"/>
        <n v="6034"/>
        <n v="6041"/>
        <n v="6048"/>
        <n v="6065"/>
        <n v="6089"/>
        <n v="6100"/>
        <n v="6103"/>
        <n v="6200"/>
        <n v="6210"/>
        <n v="6220"/>
        <n v="6275"/>
        <n v="6300"/>
        <n v="6340"/>
        <n v="6347"/>
        <n v="6350"/>
        <n v="6353"/>
        <n v="6377"/>
        <n v="6392"/>
        <n v="6400"/>
        <n v="6415"/>
        <n v="6470"/>
        <n v="6500"/>
        <n v="6529"/>
        <n v="6588"/>
        <n v="6592"/>
        <n v="6600"/>
        <n v="6618"/>
        <n v="6643"/>
        <n v="6700"/>
        <n v="6710"/>
        <n v="6800"/>
        <n v="6820"/>
        <n v="6850"/>
        <n v="6865"/>
        <n v="6884"/>
        <n v="6900"/>
        <n v="6950"/>
        <n v="7000"/>
        <n v="7040"/>
        <n v="7050"/>
        <n v="7100"/>
        <n v="7150"/>
        <n v="7170"/>
        <n v="7200"/>
        <n v="7224"/>
        <n v="7231"/>
        <n v="7288"/>
        <n v="7300"/>
        <n v="7320"/>
        <n v="7350"/>
        <n v="7392"/>
        <n v="7400"/>
        <n v="7420"/>
        <n v="7500"/>
        <n v="7612"/>
        <n v="7668"/>
        <n v="7700"/>
        <n v="7900"/>
        <n v="7926"/>
        <n v="8043"/>
        <n v="8058"/>
        <n v="8200"/>
        <n v="8276"/>
        <n v="8400"/>
        <n v="8612"/>
        <n v="8705"/>
        <n v="9027"/>
        <n v="9050"/>
        <n v="9100"/>
        <n v="9150"/>
        <n v="9300"/>
        <n v="9320"/>
        <n v="9500"/>
        <n v="9558"/>
        <n v="9600"/>
        <n v="10040"/>
        <n v="10200"/>
        <n v="10300"/>
        <n v="10350"/>
        <n v="10400"/>
        <n v="10851"/>
        <n v="11000"/>
        <n v="11288"/>
        <n v="11300"/>
        <n v="11426"/>
        <n v="11500"/>
        <n v="11557"/>
        <n v="11588"/>
        <n v="11590"/>
        <n v="11700"/>
        <n v="11710"/>
        <n v="11840"/>
        <n v="11900"/>
        <n v="12150"/>
        <n v="12300"/>
        <n v="12470"/>
        <n v="12600"/>
        <n v="12700"/>
        <n v="12873"/>
        <n v="12900"/>
        <n v="13000"/>
        <n v="13200"/>
        <n v="13390"/>
        <n v="13900"/>
        <n v="14000"/>
        <n v="14300"/>
        <n v="14400"/>
        <n v="14408"/>
        <n v="14432"/>
        <n v="14600"/>
        <n v="15089"/>
        <n v="15100"/>
        <n v="15184"/>
        <n v="15285"/>
        <n v="15300"/>
        <n v="15422"/>
        <n v="15850"/>
        <n v="15874"/>
        <n v="16090"/>
        <n v="16171"/>
        <n v="16188"/>
        <n v="16305"/>
        <n v="16329"/>
        <n v="16925"/>
        <n v="17212"/>
        <n v="17412"/>
        <n v="17547"/>
        <n v="17945"/>
        <n v="18065"/>
        <n v="18229"/>
        <n v="22365"/>
      </sharedItems>
    </cacheField>
    <cacheField name="Total Good Pc's" numFmtId="0">
      <sharedItems containsSemiMixedTypes="0" containsString="0" containsNumber="1" containsInteger="1" minValue="5" maxValue="22125" count="395">
        <n v="5"/>
        <n v="7"/>
        <n v="10"/>
        <n v="51"/>
        <n v="57"/>
        <n v="137"/>
        <n v="196"/>
        <n v="222"/>
        <n v="275"/>
        <n v="324"/>
        <n v="385"/>
        <n v="396"/>
        <n v="420"/>
        <n v="437"/>
        <n v="453"/>
        <n v="457"/>
        <n v="467"/>
        <n v="488"/>
        <n v="500"/>
        <n v="540"/>
        <n v="542"/>
        <n v="550"/>
        <n v="592"/>
        <n v="595"/>
        <n v="600"/>
        <n v="630"/>
        <n v="642"/>
        <n v="670"/>
        <n v="700"/>
        <n v="750"/>
        <n v="756"/>
        <n v="770"/>
        <n v="790"/>
        <n v="800"/>
        <n v="802"/>
        <n v="808"/>
        <n v="836"/>
        <n v="840"/>
        <n v="850"/>
        <n v="902"/>
        <n v="911"/>
        <n v="960"/>
        <n v="972"/>
        <n v="990"/>
        <n v="993"/>
        <n v="997"/>
        <n v="1000"/>
        <n v="1020"/>
        <n v="1038"/>
        <n v="1040"/>
        <n v="1063"/>
        <n v="1080"/>
        <n v="1100"/>
        <n v="1104"/>
        <n v="1116"/>
        <n v="1130"/>
        <n v="1137"/>
        <n v="1156"/>
        <n v="1165"/>
        <n v="1171"/>
        <n v="1175"/>
        <n v="1188"/>
        <n v="1198"/>
        <n v="1200"/>
        <n v="1230"/>
        <n v="1237"/>
        <n v="1246"/>
        <n v="1250"/>
        <n v="1260"/>
        <n v="1296"/>
        <n v="1300"/>
        <n v="1320"/>
        <n v="1350"/>
        <n v="1382"/>
        <n v="1402"/>
        <n v="1420"/>
        <n v="1439"/>
        <n v="1440"/>
        <n v="1450"/>
        <n v="1484"/>
        <n v="1500"/>
        <n v="1512"/>
        <n v="1545"/>
        <n v="1560"/>
        <n v="1565"/>
        <n v="1570"/>
        <n v="1600"/>
        <n v="1609"/>
        <n v="1620"/>
        <n v="1654"/>
        <n v="1680"/>
        <n v="1728"/>
        <n v="1750"/>
        <n v="1755"/>
        <n v="1786"/>
        <n v="1800"/>
        <n v="1836"/>
        <n v="1838"/>
        <n v="1840"/>
        <n v="1849"/>
        <n v="1860"/>
        <n v="1920"/>
        <n v="1983"/>
        <n v="1986"/>
        <n v="1989"/>
        <n v="2000"/>
        <n v="2040"/>
        <n v="2050"/>
        <n v="2052"/>
        <n v="2102"/>
        <n v="2160"/>
        <n v="2217"/>
        <n v="2220"/>
        <n v="2249"/>
        <n v="2250"/>
        <n v="2280"/>
        <n v="2290"/>
        <n v="2300"/>
        <n v="2330"/>
        <n v="2376"/>
        <n v="2382"/>
        <n v="2384"/>
        <n v="2440"/>
        <n v="2475"/>
        <n v="2484"/>
        <n v="2496"/>
        <n v="2500"/>
        <n v="2520"/>
        <n v="2523"/>
        <n v="2580"/>
        <n v="2592"/>
        <n v="2600"/>
        <n v="2640"/>
        <n v="2700"/>
        <n v="2739"/>
        <n v="2800"/>
        <n v="2808"/>
        <n v="2825"/>
        <n v="2827"/>
        <n v="2830"/>
        <n v="2880"/>
        <n v="2885"/>
        <n v="2916"/>
        <n v="2982"/>
        <n v="2992"/>
        <n v="3000"/>
        <n v="3024"/>
        <n v="3040"/>
        <n v="3060"/>
        <n v="3132"/>
        <n v="3180"/>
        <n v="3200"/>
        <n v="3210"/>
        <n v="3235"/>
        <n v="3240"/>
        <n v="3246"/>
        <n v="3250"/>
        <n v="3300"/>
        <n v="3304"/>
        <n v="3334"/>
        <n v="3348"/>
        <n v="3356"/>
        <n v="3360"/>
        <n v="3365"/>
        <n v="3390"/>
        <n v="3400"/>
        <n v="3405"/>
        <n v="3408"/>
        <n v="3445"/>
        <n v="3500"/>
        <n v="3564"/>
        <n v="3580"/>
        <n v="3588"/>
        <n v="3600"/>
        <n v="3626"/>
        <n v="3639"/>
        <n v="3643"/>
        <n v="3650"/>
        <n v="3699"/>
        <n v="3700"/>
        <n v="3750"/>
        <n v="3752"/>
        <n v="3780"/>
        <n v="3788"/>
        <n v="3800"/>
        <n v="3888"/>
        <n v="3895"/>
        <n v="3942"/>
        <n v="3950"/>
        <n v="3960"/>
        <n v="3996"/>
        <n v="4000"/>
        <n v="4040"/>
        <n v="4050"/>
        <n v="4100"/>
        <n v="4140"/>
        <n v="4144"/>
        <n v="4170"/>
        <n v="4200"/>
        <n v="4202"/>
        <n v="4210"/>
        <n v="4220"/>
        <n v="4250"/>
        <n v="4273"/>
        <n v="4299"/>
        <n v="4300"/>
        <n v="4320"/>
        <n v="4330"/>
        <n v="4392"/>
        <n v="4400"/>
        <n v="4500"/>
        <n v="4600"/>
        <n v="4626"/>
        <n v="4644"/>
        <n v="4700"/>
        <n v="4752"/>
        <n v="4770"/>
        <n v="4772"/>
        <n v="4800"/>
        <n v="4820"/>
        <n v="4840"/>
        <n v="4850"/>
        <n v="4860"/>
        <n v="4888"/>
        <n v="4900"/>
        <n v="4950"/>
        <n v="4968"/>
        <n v="5000"/>
        <n v="5012"/>
        <n v="5019"/>
        <n v="5040"/>
        <n v="5050"/>
        <n v="5100"/>
        <n v="5179"/>
        <n v="5180"/>
        <n v="5181"/>
        <n v="5184"/>
        <n v="5190"/>
        <n v="5200"/>
        <n v="5268"/>
        <n v="5288"/>
        <n v="5292"/>
        <n v="5300"/>
        <n v="5350"/>
        <n v="5400"/>
        <n v="5484"/>
        <n v="5500"/>
        <n v="5508"/>
        <n v="5569"/>
        <n v="5588"/>
        <n v="5600"/>
        <n v="5683"/>
        <n v="5700"/>
        <n v="5800"/>
        <n v="5840"/>
        <n v="5880"/>
        <n v="5899"/>
        <n v="6000"/>
        <n v="6060"/>
        <n v="6065"/>
        <n v="6090"/>
        <n v="6095"/>
        <n v="6185"/>
        <n v="6200"/>
        <n v="6220"/>
        <n v="6225"/>
        <n v="6275"/>
        <n v="6300"/>
        <n v="6322"/>
        <n v="6340"/>
        <n v="6350"/>
        <n v="6377"/>
        <n v="6392"/>
        <n v="6400"/>
        <n v="6401"/>
        <n v="6470"/>
        <n v="6480"/>
        <n v="6496"/>
        <n v="6500"/>
        <n v="6588"/>
        <n v="6592"/>
        <n v="6600"/>
        <n v="6643"/>
        <n v="6700"/>
        <n v="6710"/>
        <n v="6792"/>
        <n v="6800"/>
        <n v="6820"/>
        <n v="6840"/>
        <n v="6850"/>
        <n v="6865"/>
        <n v="6900"/>
        <n v="6950"/>
        <n v="6994"/>
        <n v="6998"/>
        <n v="7000"/>
        <n v="7040"/>
        <n v="7050"/>
        <n v="7100"/>
        <n v="7150"/>
        <n v="7170"/>
        <n v="7200"/>
        <n v="7222"/>
        <n v="7262"/>
        <n v="7288"/>
        <n v="7298"/>
        <n v="7300"/>
        <n v="7320"/>
        <n v="7350"/>
        <n v="7392"/>
        <n v="7400"/>
        <n v="7500"/>
        <n v="7570"/>
        <n v="7668"/>
        <n v="7700"/>
        <n v="7900"/>
        <n v="7905"/>
        <n v="7978"/>
        <n v="8004"/>
        <n v="8200"/>
        <n v="8276"/>
        <n v="8309"/>
        <n v="8612"/>
        <n v="8701"/>
        <n v="8970"/>
        <n v="8994"/>
        <n v="9086"/>
        <n v="9100"/>
        <n v="9131"/>
        <n v="9188"/>
        <n v="9263"/>
        <n v="9300"/>
        <n v="9500"/>
        <n v="9558"/>
        <n v="9600"/>
        <n v="9977"/>
        <n v="10200"/>
        <n v="10300"/>
        <n v="10330"/>
        <n v="10400"/>
        <n v="10849"/>
        <n v="11000"/>
        <n v="11254"/>
        <n v="11300"/>
        <n v="11344"/>
        <n v="11423"/>
        <n v="11500"/>
        <n v="11507"/>
        <n v="11580"/>
        <n v="11650"/>
        <n v="11651"/>
        <n v="11670"/>
        <n v="11867"/>
        <n v="12028"/>
        <n v="12216"/>
        <n v="12239"/>
        <n v="12444"/>
        <n v="12543"/>
        <n v="12700"/>
        <n v="12752"/>
        <n v="12856"/>
        <n v="12861"/>
        <n v="12953"/>
        <n v="13116"/>
        <n v="13390"/>
        <n v="13741"/>
        <n v="13816"/>
        <n v="13925"/>
        <n v="14000"/>
        <n v="14228"/>
        <n v="14364"/>
        <n v="14390"/>
        <n v="14396"/>
        <n v="14530"/>
        <n v="14937"/>
        <n v="14960"/>
        <n v="15182"/>
        <n v="15244"/>
        <n v="15251"/>
        <n v="15411"/>
        <n v="15747"/>
        <n v="15836"/>
        <n v="16038"/>
        <n v="16171"/>
        <n v="16186"/>
        <n v="16287"/>
        <n v="16325"/>
        <n v="16890"/>
        <n v="17198"/>
        <n v="17390"/>
        <n v="17545"/>
        <n v="17935"/>
        <n v="18065"/>
        <n v="18229"/>
        <n v="22125"/>
      </sharedItems>
    </cacheField>
    <cacheField name="Purge Material (in KG)" numFmtId="0">
      <sharedItems containsMixedTypes="1" containsNumber="1" minValue="0" maxValue="64.88" count="66">
        <n v="0"/>
        <n v="0.09"/>
        <n v="0.1"/>
        <n v="0.11"/>
        <n v="0.12"/>
        <n v="0.124"/>
        <n v="0.147"/>
        <n v="0.15"/>
        <n v="0.18"/>
        <n v="0.185"/>
        <n v="0.19"/>
        <n v="0.2"/>
        <n v="0.21"/>
        <n v="0.22"/>
        <n v="0.23"/>
        <n v="0.24"/>
        <n v="0.25"/>
        <n v="0.26"/>
        <n v="0.28"/>
        <n v="0.282"/>
        <n v="0.3"/>
        <n v="0.32"/>
        <n v="0.35"/>
        <n v="0.36"/>
        <n v="0.37"/>
        <n v="0.38"/>
        <n v="0.39"/>
        <n v="0.4"/>
        <n v="0.43"/>
        <n v="0.448"/>
        <n v="0.45"/>
        <n v="0.5"/>
        <n v="0.58"/>
        <n v="0.6"/>
        <n v="0.62"/>
        <n v="0.63"/>
        <n v="0.681"/>
        <n v="0.7"/>
        <n v="0.8"/>
        <n v="0.84"/>
        <n v="0.85"/>
        <n v="0.9"/>
        <n v="0.928"/>
        <n v="1"/>
        <n v="1.1"/>
        <n v="1.147"/>
        <n v="1.2"/>
        <n v="1.4"/>
        <n v="1.5"/>
        <n v="1.56"/>
        <n v="1.6"/>
        <n v="1.8"/>
        <n v="1.85"/>
        <n v="2.1"/>
        <n v="2.3"/>
        <n v="3.2"/>
        <n v="4"/>
        <n v="4.267"/>
        <n v="5.4"/>
        <n v="5.9"/>
        <n v="7.263"/>
        <n v="9.95"/>
        <n v="15.69"/>
        <n v="64.88"/>
        <s v="O"/>
        <e v="#NAME?"/>
      </sharedItems>
    </cacheField>
    <cacheField name="Setup Qty" numFmtId="0">
      <sharedItems containsSemiMixedTypes="0" containsString="0" containsNumber="1" containsInteger="1" minValue="0" maxValue="2137" count="94">
        <n v="0"/>
        <n v="2"/>
        <n v="4"/>
        <n v="5"/>
        <n v="8"/>
        <n v="10"/>
        <n v="12"/>
        <n v="14"/>
        <n v="16"/>
        <n v="18"/>
        <n v="19"/>
        <n v="20"/>
        <n v="21"/>
        <n v="22"/>
        <n v="23"/>
        <n v="24"/>
        <n v="25"/>
        <n v="26"/>
        <n v="27"/>
        <n v="28"/>
        <n v="29"/>
        <n v="30"/>
        <n v="32"/>
        <n v="33"/>
        <n v="34"/>
        <n v="35"/>
        <n v="36"/>
        <n v="37"/>
        <n v="38"/>
        <n v="40"/>
        <n v="41"/>
        <n v="42"/>
        <n v="43"/>
        <n v="44"/>
        <n v="45"/>
        <n v="46"/>
        <n v="47"/>
        <n v="48"/>
        <n v="50"/>
        <n v="51"/>
        <n v="52"/>
        <n v="53"/>
        <n v="54"/>
        <n v="55"/>
        <n v="56"/>
        <n v="57"/>
        <n v="58"/>
        <n v="60"/>
        <n v="62"/>
        <n v="63"/>
        <n v="64"/>
        <n v="66"/>
        <n v="69"/>
        <n v="70"/>
        <n v="71"/>
        <n v="72"/>
        <n v="74"/>
        <n v="75"/>
        <n v="76"/>
        <n v="78"/>
        <n v="79"/>
        <n v="80"/>
        <n v="90"/>
        <n v="91"/>
        <n v="92"/>
        <n v="95"/>
        <n v="100"/>
        <n v="102"/>
        <n v="105"/>
        <n v="107"/>
        <n v="110"/>
        <n v="111"/>
        <n v="115"/>
        <n v="118"/>
        <n v="120"/>
        <n v="127"/>
        <n v="128"/>
        <n v="142"/>
        <n v="155"/>
        <n v="171"/>
        <n v="173"/>
        <n v="200"/>
        <n v="220"/>
        <n v="230"/>
        <n v="265"/>
        <n v="280"/>
        <n v="292"/>
        <n v="308"/>
        <n v="325"/>
        <n v="403"/>
        <n v="600"/>
        <n v="630"/>
        <n v="700"/>
        <n v="2137"/>
      </sharedItems>
    </cacheField>
    <cacheField name="Rework Qty" numFmtId="0">
      <sharedItems containsSemiMixedTypes="0" containsString="0" containsNumber="1" containsInteger="1" minValue="0" maxValue="232" count="51">
        <n v="0"/>
        <n v="4"/>
        <n v="5"/>
        <n v="6"/>
        <n v="7"/>
        <n v="8"/>
        <n v="9"/>
        <n v="10"/>
        <n v="11"/>
        <n v="12"/>
        <n v="13"/>
        <n v="14"/>
        <n v="15"/>
        <n v="16"/>
        <n v="17"/>
        <n v="18"/>
        <n v="19"/>
        <n v="20"/>
        <n v="21"/>
        <n v="22"/>
        <n v="23"/>
        <n v="24"/>
        <n v="25"/>
        <n v="26"/>
        <n v="27"/>
        <n v="28"/>
        <n v="29"/>
        <n v="30"/>
        <n v="31"/>
        <n v="32"/>
        <n v="34"/>
        <n v="35"/>
        <n v="36"/>
        <n v="37"/>
        <n v="39"/>
        <n v="40"/>
        <n v="41"/>
        <n v="42"/>
        <n v="43"/>
        <n v="45"/>
        <n v="46"/>
        <n v="48"/>
        <n v="49"/>
        <n v="50"/>
        <n v="52"/>
        <n v="53"/>
        <n v="54"/>
        <n v="56"/>
        <n v="58"/>
        <n v="61"/>
        <n v="232"/>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07">
        <n v="0"/>
        <n v="1"/>
        <n v="2"/>
        <n v="3"/>
        <n v="4"/>
        <n v="5"/>
        <n v="6"/>
        <n v="7"/>
        <n v="8"/>
        <n v="9"/>
        <n v="10"/>
        <n v="11"/>
        <n v="12"/>
        <n v="13"/>
        <n v="14"/>
        <n v="15"/>
        <n v="16"/>
        <n v="17"/>
        <n v="18"/>
        <n v="19"/>
        <n v="20"/>
        <n v="21"/>
        <n v="22"/>
        <n v="23"/>
        <n v="24"/>
        <n v="25"/>
        <n v="26"/>
        <n v="27"/>
        <n v="28"/>
        <n v="29"/>
        <n v="30"/>
        <n v="31"/>
        <n v="32"/>
        <n v="33"/>
        <n v="34"/>
        <n v="35"/>
        <n v="36"/>
        <n v="37"/>
        <n v="38"/>
        <n v="39"/>
        <n v="40"/>
        <n v="41"/>
        <n v="42"/>
        <n v="43"/>
        <n v="44"/>
        <n v="45"/>
        <n v="47"/>
        <n v="48"/>
        <n v="49"/>
        <n v="50"/>
        <n v="51"/>
        <n v="52"/>
        <n v="53"/>
        <n v="54"/>
        <n v="55"/>
        <n v="56"/>
        <n v="57"/>
        <n v="58"/>
        <n v="59"/>
        <n v="60"/>
        <n v="61"/>
        <n v="62"/>
        <n v="63"/>
        <n v="64"/>
        <n v="65"/>
        <n v="66"/>
        <n v="67"/>
        <n v="68"/>
        <n v="69"/>
        <n v="70"/>
        <n v="71"/>
        <n v="72"/>
        <n v="74"/>
        <n v="75"/>
        <n v="76"/>
        <n v="78"/>
        <n v="79"/>
        <n v="80"/>
        <n v="81"/>
        <n v="82"/>
        <n v="83"/>
        <n v="84"/>
        <n v="87"/>
        <n v="88"/>
        <n v="90"/>
        <n v="91"/>
        <n v="92"/>
        <n v="95"/>
        <n v="100"/>
        <n v="103"/>
        <n v="108"/>
        <n v="110"/>
        <n v="112"/>
        <n v="122"/>
        <n v="135"/>
        <n v="137"/>
        <n v="140"/>
        <n v="148"/>
        <n v="150"/>
        <n v="152"/>
        <n v="153"/>
        <n v="159"/>
        <n v="170"/>
        <n v="184"/>
        <n v="240"/>
        <n v="244"/>
        <n v="658"/>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5">
        <n v="1"/>
        <n v="2"/>
        <n v="4"/>
        <n v="5"/>
        <n v="6"/>
      </sharedItems>
    </cacheField>
    <cacheField name="P.P. Output " numFmtId="0">
      <sharedItems containsSemiMixedTypes="0" containsString="0" containsNumber="1" minValue="0.833333333333333" maxValue="18229" count="415">
        <n v="0.833333333333333"/>
        <n v="1"/>
        <n v="2"/>
        <n v="7"/>
        <n v="9.5"/>
        <n v="27.4"/>
        <n v="32.6666666666667"/>
        <n v="45.8333333333333"/>
        <n v="51"/>
        <n v="54"/>
        <n v="64.1666666666667"/>
        <n v="77.8333333333333"/>
        <n v="79.2"/>
        <n v="84"/>
        <n v="90"/>
        <n v="90.3333333333333"/>
        <n v="91.4"/>
        <n v="97.6"/>
        <n v="99.1666666666667"/>
        <n v="100"/>
        <n v="107"/>
        <n v="111.666666666667"/>
        <n v="128.333333333333"/>
        <n v="133.666666666667"/>
        <n v="151.833333333333"/>
        <n v="166.666666666667"/>
        <n v="167.2"/>
        <n v="177.166666666667"/>
        <n v="180.4"/>
        <n v="186"/>
        <n v="194.4"/>
        <n v="195.166666666667"/>
        <n v="204"/>
        <n v="207.6"/>
        <n v="207.666666666667"/>
        <n v="216"/>
        <n v="222"/>
        <n v="227.4"/>
        <n v="231.2"/>
        <n v="233.666666666667"/>
        <n v="235"/>
        <n v="244"/>
        <n v="247.333333333333"/>
        <n v="247.4"/>
        <n v="257.5"/>
        <n v="268.166666666667"/>
        <n v="275.666666666667"/>
        <n v="288"/>
        <n v="292.5"/>
        <n v="306"/>
        <n v="312"/>
        <n v="331"/>
        <n v="331.5"/>
        <n v="357.2"/>
        <n v="360"/>
        <n v="367.6"/>
        <n v="396"/>
        <n v="420"/>
        <n v="420.4"/>
        <n v="437"/>
        <n v="453"/>
        <n v="476.8"/>
        <n v="488"/>
        <n v="495"/>
        <n v="498.5"/>
        <n v="500"/>
        <n v="535"/>
        <n v="550"/>
        <n v="558"/>
        <n v="592"/>
        <n v="594"/>
        <n v="600"/>
        <n v="612"/>
        <n v="630"/>
        <n v="648"/>
        <n v="666"/>
        <n v="669.6"/>
        <n v="690.666666666667"/>
        <n v="700"/>
        <n v="712.166666666667"/>
        <n v="727.8"/>
        <n v="750"/>
        <n v="756"/>
        <n v="774"/>
        <n v="790"/>
        <n v="792"/>
        <n v="799.2"/>
        <n v="800"/>
        <n v="808"/>
        <n v="828"/>
        <n v="834"/>
        <n v="840"/>
        <n v="850"/>
        <n v="864"/>
        <n v="878"/>
        <n v="882"/>
        <n v="950.4"/>
        <n v="954"/>
        <n v="960"/>
        <n v="972"/>
        <n v="983.166666666667"/>
        <n v="993"/>
        <n v="993.6"/>
        <n v="997"/>
        <n v="1000"/>
        <n v="1008"/>
        <n v="1010"/>
        <n v="1040"/>
        <n v="1050"/>
        <n v="1053.66666666667"/>
        <n v="1058.4"/>
        <n v="1080"/>
        <n v="1096.8"/>
        <n v="1100"/>
        <n v="1101.6"/>
        <n v="1104"/>
        <n v="1130"/>
        <n v="1165"/>
        <n v="1176"/>
        <n v="1188"/>
        <n v="1191"/>
        <n v="1198"/>
        <n v="1200"/>
        <n v="1215"/>
        <n v="1230"/>
        <n v="1250"/>
        <n v="1260"/>
        <n v="1280.2"/>
        <n v="1296"/>
        <n v="1300"/>
        <n v="1320"/>
        <n v="1350"/>
        <n v="1368"/>
        <n v="1382"/>
        <n v="1420"/>
        <n v="1439"/>
        <n v="1440"/>
        <n v="1450"/>
        <n v="1500"/>
        <n v="1512"/>
        <n v="1560"/>
        <n v="1565"/>
        <n v="1570"/>
        <n v="1600"/>
        <n v="1620"/>
        <n v="1680"/>
        <n v="1728"/>
        <n v="1750"/>
        <n v="1800"/>
        <n v="1836"/>
        <n v="1840"/>
        <n v="1849"/>
        <n v="1860"/>
        <n v="1876"/>
        <n v="1920"/>
        <n v="1971"/>
        <n v="1983"/>
        <n v="2000"/>
        <n v="2040"/>
        <n v="2050"/>
        <n v="2052"/>
        <n v="2100"/>
        <n v="2160"/>
        <n v="2217"/>
        <n v="2220"/>
        <n v="2249"/>
        <n v="2250"/>
        <n v="2280"/>
        <n v="2290"/>
        <n v="2300"/>
        <n v="2330"/>
        <n v="2376"/>
        <n v="2386"/>
        <n v="2440"/>
        <n v="2475"/>
        <n v="2484"/>
        <n v="2496"/>
        <n v="2500"/>
        <n v="2520"/>
        <n v="2523"/>
        <n v="2580"/>
        <n v="2589.5"/>
        <n v="2590"/>
        <n v="2590.5"/>
        <n v="2592"/>
        <n v="2595"/>
        <n v="2600"/>
        <n v="2640"/>
        <n v="2700"/>
        <n v="2739"/>
        <n v="2800"/>
        <n v="2808"/>
        <n v="2825"/>
        <n v="2827"/>
        <n v="2830"/>
        <n v="2841.5"/>
        <n v="2880"/>
        <n v="2885"/>
        <n v="2916"/>
        <n v="2982"/>
        <n v="2992"/>
        <n v="3000"/>
        <n v="3024"/>
        <n v="3040"/>
        <n v="3045"/>
        <n v="3060"/>
        <n v="3132"/>
        <n v="3180"/>
        <n v="3188.5"/>
        <n v="3200"/>
        <n v="3210"/>
        <n v="3235"/>
        <n v="3240"/>
        <n v="3246"/>
        <n v="3250"/>
        <n v="3300"/>
        <n v="3304"/>
        <n v="3334"/>
        <n v="3356"/>
        <n v="3360"/>
        <n v="3365"/>
        <n v="3390"/>
        <n v="3400"/>
        <n v="3405"/>
        <n v="3408"/>
        <n v="3445"/>
        <n v="3500"/>
        <n v="3580"/>
        <n v="3588"/>
        <n v="3600"/>
        <n v="3626"/>
        <n v="3643"/>
        <n v="3650"/>
        <n v="3699"/>
        <n v="3700"/>
        <n v="3750"/>
        <n v="3785"/>
        <n v="3788"/>
        <n v="3800"/>
        <n v="3834"/>
        <n v="3895"/>
        <n v="3950"/>
        <n v="3952.5"/>
        <n v="3989"/>
        <n v="4000"/>
        <n v="4002"/>
        <n v="4040"/>
        <n v="4050"/>
        <n v="4100"/>
        <n v="4138"/>
        <n v="4154.5"/>
        <n v="4170"/>
        <n v="4200"/>
        <n v="4202"/>
        <n v="4210"/>
        <n v="4220"/>
        <n v="4250"/>
        <n v="4299"/>
        <n v="4300"/>
        <n v="4320"/>
        <n v="4330"/>
        <n v="4392"/>
        <n v="4400"/>
        <n v="4500"/>
        <n v="4600"/>
        <n v="4626"/>
        <n v="4700"/>
        <n v="4779"/>
        <n v="4800"/>
        <n v="4820"/>
        <n v="4840"/>
        <n v="4850"/>
        <n v="4888"/>
        <n v="4900"/>
        <n v="4950"/>
        <n v="4988.5"/>
        <n v="5000"/>
        <n v="5012"/>
        <n v="5019"/>
        <n v="5050"/>
        <n v="5100"/>
        <n v="5165"/>
        <n v="5200"/>
        <n v="5288"/>
        <n v="5300"/>
        <n v="5350"/>
        <n v="5400"/>
        <n v="5424.5"/>
        <n v="5500"/>
        <n v="5569"/>
        <n v="5588"/>
        <n v="5600"/>
        <n v="5672"/>
        <n v="5700"/>
        <n v="5711.5"/>
        <n v="5753.5"/>
        <n v="5790"/>
        <n v="5800"/>
        <n v="5825.5"/>
        <n v="5835"/>
        <n v="5840"/>
        <n v="6000"/>
        <n v="6065"/>
        <n v="6095"/>
        <n v="6119.5"/>
        <n v="6185"/>
        <n v="6200"/>
        <n v="6220"/>
        <n v="6222"/>
        <n v="6225"/>
        <n v="6271.5"/>
        <n v="6275"/>
        <n v="6300"/>
        <n v="6340"/>
        <n v="6350"/>
        <n v="6376"/>
        <n v="6392"/>
        <n v="6400"/>
        <n v="6430.5"/>
        <n v="6470"/>
        <n v="6476.5"/>
        <n v="6496"/>
        <n v="6500"/>
        <n v="6558"/>
        <n v="6588"/>
        <n v="6592"/>
        <n v="6600"/>
        <n v="6643"/>
        <n v="6695"/>
        <n v="6700"/>
        <n v="6710"/>
        <n v="6792"/>
        <n v="6800"/>
        <n v="6820"/>
        <n v="6850"/>
        <n v="6865"/>
        <n v="6870.5"/>
        <n v="6900"/>
        <n v="6908"/>
        <n v="6950"/>
        <n v="6962.5"/>
        <n v="6994"/>
        <n v="6998"/>
        <n v="7000"/>
        <n v="7040"/>
        <n v="7050"/>
        <n v="7100"/>
        <n v="7114"/>
        <n v="7150"/>
        <n v="7170"/>
        <n v="7182"/>
        <n v="7195"/>
        <n v="7198"/>
        <n v="7200"/>
        <n v="7222"/>
        <n v="7262"/>
        <n v="7265"/>
        <n v="7288"/>
        <n v="7298"/>
        <n v="7300"/>
        <n v="7320"/>
        <n v="7350"/>
        <n v="7392"/>
        <n v="7400"/>
        <n v="7468.5"/>
        <n v="7500"/>
        <n v="7591"/>
        <n v="7622"/>
        <n v="7625.5"/>
        <n v="7700"/>
        <n v="7705.5"/>
        <n v="7873.5"/>
        <n v="7900"/>
        <n v="7918"/>
        <n v="8019"/>
        <n v="8085.5"/>
        <n v="8093"/>
        <n v="8143.5"/>
        <n v="8162.5"/>
        <n v="8200"/>
        <n v="8445"/>
        <n v="8599"/>
        <n v="8612"/>
        <n v="8695"/>
        <n v="8701"/>
        <n v="8967.5"/>
        <n v="8970"/>
        <n v="8994"/>
        <n v="9032.5"/>
        <n v="9086"/>
        <n v="9100"/>
        <n v="9131"/>
        <n v="9188"/>
        <n v="9263"/>
        <n v="9300"/>
        <n v="9500"/>
        <n v="9600"/>
        <n v="10200"/>
        <n v="10300"/>
        <n v="10400"/>
        <n v="11000"/>
        <n v="11062.5"/>
        <n v="11254"/>
        <n v="11300"/>
        <n v="11500"/>
        <n v="11650"/>
        <n v="11867"/>
        <n v="12028"/>
        <n v="12216"/>
        <n v="12700"/>
        <n v="12856"/>
        <n v="14000"/>
        <n v="14960"/>
        <n v="17545"/>
        <n v="18229"/>
      </sharedItems>
    </cacheField>
    <cacheField name="Plan vs Actual Achievement" numFmtId="0">
      <sharedItems containsSemiMixedTypes="0" containsString="0" containsNumber="1" minValue="0.0333333333333333" maxValue="3.4" count="506">
        <n v="0.0333333333333333"/>
        <n v="0.166666666666667"/>
        <n v="0.185714285714286"/>
        <n v="0.21"/>
        <n v="0.228333333333333"/>
        <n v="0.237209302325581"/>
        <n v="0.25894538606403"/>
        <n v="0.265893159294174"/>
        <n v="0.293706293706294"/>
        <n v="0.302941176470588"/>
        <n v="0.372960372960373"/>
        <n v="0.373333333333333"/>
        <n v="0.384008307372793"/>
        <n v="0.401790790221717"/>
        <n v="0.404399323181049"/>
        <n v="0.412156862745098"/>
        <n v="0.415282392026578"/>
        <n v="0.415368639667705"/>
        <n v="0.418"/>
        <n v="0.41958041958042"/>
        <n v="0.423529411764706"/>
        <n v="0.426378624218306"/>
        <n v="0.45480386583286"/>
        <n v="0.457142857142857"/>
        <n v="0.461059190031153"/>
        <n v="0.465882352941176"/>
        <n v="0.474630443467839"/>
        <n v="0.478846153846154"/>
        <n v="0.486111111111111"/>
        <n v="0.493333333333333"/>
        <n v="0.512820512820513"/>
        <n v="0.515796260477112"/>
        <n v="0.528428571428572"/>
        <n v="0.539979231568017"/>
        <n v="0.54"/>
        <n v="0.542857142857143"/>
        <n v="0.560747663551402"/>
        <n v="0.563210055595842"/>
        <n v="0.568504832291074"/>
        <n v="0.571428571428571"/>
        <n v="0.576"/>
        <n v="0.585714285714286"/>
        <n v="0.587412587412587"/>
        <n v="0.590368608799049"/>
        <n v="0.592300098716683"/>
        <n v="0.592666287663445"/>
        <n v="0.5935"/>
        <n v="0.597214326321774"/>
        <n v="0.598259608411893"/>
        <n v="0.601428571428571"/>
        <n v="0.604075109868158"/>
        <n v="0.606060606060606"/>
        <n v="0.614142857142857"/>
        <n v="0.614285714285714"/>
        <n v="0.615862068965517"/>
        <n v="0.623052959501558"/>
        <n v="0.6242183058556"/>
        <n v="0.624879459980714"/>
        <n v="0.625"/>
        <n v="0.626808100289296"/>
        <n v="0.628571428571429"/>
        <n v="0.629019607843137"/>
        <n v="0.629370629370629"/>
        <n v="0.633333333333333"/>
        <n v="0.641269841269841"/>
        <n v="0.646122275686385"/>
        <n v="0.647223332001598"/>
        <n v="0.656470588235294"/>
        <n v="0.658333333333333"/>
        <n v="0.66"/>
        <n v="0.660857142857143"/>
        <n v="0.664589823468328"/>
        <n v="0.666666666666667"/>
        <n v="0.671194566520176"/>
        <n v="0.672514257376643"/>
        <n v="0.675"/>
        <n v="0.682861977278221"/>
        <n v="0.685185185185185"/>
        <n v="0.685358255451713"/>
        <n v="0.698823529411765"/>
        <n v="0.7"/>
        <n v="0.706126687435099"/>
        <n v="0.71"/>
        <n v="0.710631040363843"/>
        <n v="0.7125124750499"/>
        <n v="0.713302752293578"/>
        <n v="0.713529411764706"/>
        <n v="0.714285714285714"/>
        <n v="0.722424242424242"/>
        <n v="0.731974921630094"/>
        <n v="0.739056281978397"/>
        <n v="0.740142857142857"/>
        <n v="0.741176470588235"/>
        <n v="0.74121817595875"/>
        <n v="0.747663551401869"/>
        <n v="0.747692307692308"/>
        <n v="0.75"/>
        <n v="0.755368421052632"/>
        <n v="0.757142857142857"/>
        <n v="0.759166666666667"/>
        <n v="0.761666666666667"/>
        <n v="0.762352941176471"/>
        <n v="0.768431983385254"/>
        <n v="0.772984579348038"/>
        <n v="0.773507372492144"/>
        <n v="0.783450993268757"/>
        <n v="0.783529411764706"/>
        <n v="0.784137931034483"/>
        <n v="0.784626540971719"/>
        <n v="0.785714285714286"/>
        <n v="0.786026200873362"/>
        <n v="0.78920041536864"/>
        <n v="0.792096902303415"/>
        <n v="0.792540792540793"/>
        <n v="0.794201250710631"/>
        <n v="0.795571428571429"/>
        <n v="0.797202797202797"/>
        <n v="0.79895652173913"/>
        <n v="0.8"/>
        <n v="0.8025"/>
        <n v="0.803214285714286"/>
        <n v="0.808290155440414"/>
        <n v="0.810119386014781"/>
        <n v="0.817647058823529"/>
        <n v="0.822050290135397"/>
        <n v="0.823785351704133"/>
        <n v="0.824440984998585"/>
        <n v="0.824444444444444"/>
        <n v="0.83073727933541"/>
        <n v="0.832142857142857"/>
        <n v="0.832729030698574"/>
        <n v="0.833571428571429"/>
        <n v="0.837931034482759"/>
        <n v="0.839044652128764"/>
        <n v="0.839160839160839"/>
        <n v="0.841121495327103"/>
        <n v="0.841449162446435"/>
        <n v="0.846386110586903"/>
        <n v="0.847058823529412"/>
        <n v="0.85"/>
        <n v="0.852757248436612"/>
        <n v="0.857142857142857"/>
        <n v="0.858605821056414"/>
        <n v="0.859047619047619"/>
        <n v="0.861373572133691"/>
        <n v="0.862964442668797"/>
        <n v="0.86299534621351"/>
        <n v="0.866043613707165"/>
        <n v="0.866259238203525"/>
        <n v="0.868965517241379"/>
        <n v="0.870195794053662"/>
        <n v="0.872274143302181"/>
        <n v="0.874285714285714"/>
        <n v="0.874350986500519"/>
        <n v="0.874613003095975"/>
        <n v="0.877777777777778"/>
        <n v="0.879050596930074"/>
        <n v="0.881182490051165"/>
        <n v="0.884309266628766"/>
        <n v="0.885714285714286"/>
        <n v="0.8868"/>
        <n v="0.888571428571428"/>
        <n v="0.888888888888889"/>
        <n v="0.889152341434499"/>
        <n v="0.889748549323017"/>
        <n v="0.892015869080089"/>
        <n v="0.893042575285566"/>
        <n v="0.893893340701851"/>
        <n v="0.895395110858442"/>
        <n v="0.895928571428571"/>
        <n v="0.897330595482546"/>
        <n v="0.899273104880582"/>
        <n v="0.9"/>
        <n v="0.903846153846154"/>
        <n v="0.905714285714286"/>
        <n v="0.906"/>
        <n v="0.906196702671973"/>
        <n v="0.906453952139231"/>
        <n v="0.906501198702581"/>
        <n v="0.906922395035861"/>
        <n v="0.907142857142857"/>
        <n v="0.909607731665719"/>
        <n v="0.910588235294118"/>
        <n v="0.911602209944751"/>
        <n v="0.913340854604428"/>
        <n v="0.913811007268951"/>
        <n v="0.914285714285714"/>
        <n v="0.915639352187575"/>
        <n v="0.918540004834421"/>
        <n v="0.918888888888889"/>
        <n v="0.919970082273747"/>
        <n v="0.92"/>
        <n v="0.923076923076923"/>
        <n v="0.923251847640705"/>
        <n v="0.924285714285714"/>
        <n v="0.924834296996192"/>
        <n v="0.925"/>
        <n v="0.925714285714286"/>
        <n v="0.927855133107279"/>
        <n v="0.928291408036589"/>
        <n v="0.928571428571429"/>
        <n v="0.929100116867939"/>
        <n v="0.93"/>
        <n v="0.930101465614431"/>
        <n v="0.931616832779623"/>
        <n v="0.93167701863354"/>
        <n v="0.931764705882353"/>
        <n v="0.934579439252336"/>
        <n v="0.935607465084662"/>
        <n v="0.936"/>
        <n v="0.9363274587834"/>
        <n v="0.9375"/>
        <n v="0.938032973280273"/>
        <n v="0.941110835606248"/>
        <n v="0.941503504955282"/>
        <n v="0.941714285714286"/>
        <n v="0.941818181818182"/>
        <n v="0.942857142857143"/>
        <n v="0.943333333333333"/>
        <n v="0.943907156673114"/>
        <n v="0.944444444444444"/>
        <n v="0.944954128440367"/>
        <n v="0.945079453582381"/>
        <n v="0.945333333333333"/>
        <n v="0.949"/>
        <n v="0.951724137931035"/>
        <n v="0.95224559408755"/>
        <n v="0.952941176470588"/>
        <n v="0.953666856168277"/>
        <n v="0.955306223654847"/>
        <n v="0.955347871235722"/>
        <n v="0.956392467789891"/>
        <n v="0.956428571428571"/>
        <n v="0.956586826347305"/>
        <n v="0.957142857142857"/>
        <n v="0.958466453674121"/>
        <n v="0.958571428571429"/>
        <n v="0.96"/>
        <n v="0.961666666666667"/>
        <n v="0.961782541249471"/>
        <n v="0.96224"/>
        <n v="0.9625"/>
        <n v="0.963333333333333"/>
        <n v="0.964320154291225"/>
        <n v="0.965321205230244"/>
        <n v="0.96688421561518"/>
        <n v="0.967117988394584"/>
        <n v="0.96969696969697"/>
        <n v="0.971428571428571"/>
        <n v="0.974117647058823"/>
        <n v="0.974192638555916"/>
        <n v="0.975"/>
        <n v="0.976"/>
        <n v="0.976116303219107"/>
        <n v="0.978571428571429"/>
        <n v="0.979020979020979"/>
        <n v="0.98"/>
        <n v="0.980670835702103"/>
        <n v="0.980714285714286"/>
        <n v="0.9815"/>
        <n v="0.98187843745593"/>
        <n v="0.982318271119843"/>
        <n v="0.982857142857143"/>
        <n v="0.983384615384615"/>
        <n v="0.984167736414206"/>
        <n v="0.985415845486795"/>
        <n v="0.9855"/>
        <n v="0.985714285714286"/>
        <n v="0.987142857142857"/>
        <n v="0.987166831194472"/>
        <n v="0.987777146105742"/>
        <n v="0.988172043010753"/>
        <n v="0.988235294117647"/>
        <n v="0.989330746847721"/>
        <n v="0.99"/>
        <n v="0.990204081632653"/>
        <n v="0.99105632100556"/>
        <n v="0.993"/>
        <n v="0.993052109181141"/>
        <n v="0.994"/>
        <n v="0.994030699260944"/>
        <n v="0.994599204093235"/>
        <n v="0.99488345650938"/>
        <n v="0.995040297582145"/>
        <n v="0.997"/>
        <n v="0.997333333333333"/>
        <n v="0.998333333333333"/>
        <n v="0.999333333333333"/>
        <n v="1"/>
        <n v="1.00103842159917"/>
        <n v="1.0019267822736"/>
        <n v="1.00241755516985"/>
        <n v="1.00324354815964"/>
        <n v="1.00334738408133"/>
        <n v="1.00519210799585"/>
        <n v="1.00541176470588"/>
        <n v="1.005625"/>
        <n v="1.00571428571429"/>
        <n v="1.00679184978026"/>
        <n v="1.00699300699301"/>
        <n v="1.00714285714286"/>
        <n v="1.0072380952381"/>
        <n v="1.00726895119418"/>
        <n v="1.00902643455835"/>
        <n v="1.00909607731666"/>
        <n v="1.0096082320853"/>
        <n v="1.01196379866105"/>
        <n v="1.01333333333333"/>
        <n v="1.01379310344828"/>
        <n v="1.01387755102041"/>
        <n v="1.01428571428571"/>
        <n v="1.01516095534787"/>
        <n v="1.01522842639594"/>
        <n v="1.0156862745098"/>
        <n v="1.01587301587302"/>
        <n v="1.01641664307954"/>
        <n v="1.01647058823529"/>
        <n v="1.02006284747402"/>
        <n v="1.02142857142857"/>
        <n v="1.02147039687703"/>
        <n v="1.02330869812393"/>
        <n v="1.02425742574257"/>
        <n v="1.02428571428571"/>
        <n v="1.02462620932278"/>
        <n v="1.02514506769826"/>
        <n v="1.02564102564103"/>
        <n v="1.02643547470154"/>
        <n v="1.02666666666667"/>
        <n v="1.02727272727273"/>
        <n v="1.02803738317757"/>
        <n v="1.02816303424851"/>
        <n v="1.02857142857143"/>
        <n v="1.03076923076923"/>
        <n v="1.03083333333333"/>
        <n v="1.03159252095422"/>
        <n v="1.03212052302445"/>
        <n v="1.03294117647059"/>
        <n v="1.03333333333333"/>
        <n v="1.03448275862069"/>
        <n v="1.03723706651507"/>
        <n v="1.03752131893121"/>
        <n v="1.03764705882353"/>
        <n v="1.038"/>
        <n v="1.03833333333333"/>
        <n v="1.03842159916926"/>
        <n v="1.0386373078521"/>
        <n v="1.03914097679252"/>
        <n v="1.03940053178632"/>
        <n v="1.03959575878065"/>
        <n v="1.04036384309267"/>
        <n v="1.04085714285714"/>
        <n v="1.04091381100727"/>
        <n v="1.04114285714286"/>
        <n v="1.04285714285714"/>
        <n v="1.04423495286439"/>
        <n v="1.04651162790698"/>
        <n v="1.0469873543268"/>
        <n v="1.04895104895105"/>
        <n v="1.05"/>
        <n v="1.05173393973849"/>
        <n v="1.05323649696799"/>
        <n v="1.05374077976818"/>
        <n v="1.05406988092914"/>
        <n v="1.05485827104781"/>
        <n v="1.05555555555556"/>
        <n v="1.056"/>
        <n v="1.05714285714286"/>
        <n v="1.05919003115265"/>
        <n v="1.063"/>
        <n v="1.06410256410256"/>
        <n v="1.06454545454545"/>
        <n v="1.06511927788524"/>
        <n v="1.06541129831516"/>
        <n v="1.0660798413092"/>
        <n v="1.06666666666667"/>
        <n v="1.06723585912487"/>
        <n v="1.07142857142857"/>
        <n v="1.072"/>
        <n v="1.07271557271557"/>
        <n v="1.07529411764706"/>
        <n v="1.07537723875335"/>
        <n v="1.07798165137615"/>
        <n v="1.078705553336"/>
        <n v="1.07995846313603"/>
        <n v="1.08"/>
        <n v="1.08108108108108"/>
        <n v="1.08275328692962"/>
        <n v="1.084"/>
        <n v="1.08758988346144"/>
        <n v="1.08774474256708"/>
        <n v="1.09090909090909"/>
        <n v="1.09980753368161"/>
        <n v="1.1"/>
        <n v="1.10072689511942"/>
        <n v="1.10362068965517"/>
        <n v="1.10526315789474"/>
        <n v="1.10772639158128"/>
        <n v="1.1089588377724"/>
        <n v="1.11035114934424"/>
        <n v="1.11111111111111"/>
        <n v="1.11176543515993"/>
        <n v="1.11191684795746"/>
        <n v="1.11662670991398"/>
        <n v="1.11801242236025"/>
        <n v="1.11844331641286"/>
        <n v="1.11849390919158"/>
        <n v="1.11888111888112"/>
        <n v="1.11982395239276"/>
        <n v="1.12"/>
        <n v="1.1214953271028"/>
        <n v="1.12185377546944"/>
        <n v="1.12478031634446"/>
        <n v="1.12857142857143"/>
        <n v="1.12928571428571"/>
        <n v="1.12999008182494"/>
        <n v="1.13012592831773"/>
        <n v="1.13087011704978"/>
        <n v="1.13286713286713"/>
        <n v="1.13333333333333"/>
        <n v="1.13608895334784"/>
        <n v="1.1375146084924"/>
        <n v="1.13765642775882"/>
        <n v="1.14121772394007"/>
        <n v="1.14226375908619"/>
        <n v="1.14285714285714"/>
        <n v="1.1496138996139"/>
        <n v="1.15384615384615"/>
        <n v="1.15428571428571"/>
        <n v="1.15449915110357"/>
        <n v="1.15666666666667"/>
        <n v="1.15830115830116"/>
        <n v="1.16009280742459"/>
        <n v="1.16026105873822"/>
        <n v="1.1605415860735"/>
        <n v="1.16303219106957"/>
        <n v="1.16500199760288"/>
        <n v="1.16833333333333"/>
        <n v="1.16986429574169"/>
        <n v="1.17142857142857"/>
        <n v="1.17482517482517"/>
        <n v="1.1759984144287"/>
        <n v="1.17692307692308"/>
        <n v="1.17931034482759"/>
        <n v="1.18380062305296"/>
        <n v="1.1844331641286"/>
        <n v="1.18461538461538"/>
        <n v="1.18667186282151"/>
        <n v="1.18823529411765"/>
        <n v="1.18881118881119"/>
        <n v="1.1954096270322"/>
        <n v="1.19856172592889"/>
        <n v="1.2"/>
        <n v="1.20456905503634"/>
        <n v="1.20860526951898"/>
        <n v="1.21678321678322"/>
        <n v="1.21972443799855"/>
        <n v="1.22"/>
        <n v="1.23529411764706"/>
        <n v="1.23960784313725"/>
        <n v="1.24137931034483"/>
        <n v="1.24708624708625"/>
        <n v="1.25"/>
        <n v="1.25694948029973"/>
        <n v="1.25835866261398"/>
        <n v="1.25874125874126"/>
        <n v="1.27058823529412"/>
        <n v="1.27290260366442"/>
        <n v="1.27659574468085"/>
        <n v="1.28112158569011"/>
        <n v="1.2847850678733"/>
        <n v="1.29334849346219"/>
        <n v="1.2944466640032"/>
        <n v="1.3038073038073"/>
        <n v="1.30529369108049"/>
        <n v="1.30536130536131"/>
        <n v="1.30630376533634"/>
        <n v="1.30872727272727"/>
        <n v="1.31926121372032"/>
        <n v="1.32284382284382"/>
        <n v="1.32857142857143"/>
        <n v="1.32946579647087"/>
        <n v="1.3501989766913"/>
        <n v="1.35211267605634"/>
        <n v="1.35363790186125"/>
        <n v="1.3989063376332"/>
        <n v="1.40232108317215"/>
        <n v="1.40905602455871"/>
        <n v="1.44"/>
        <n v="1.45016666666667"/>
        <n v="1.45032632342277"/>
        <n v="1.45067698259188"/>
        <n v="1.45714285714286"/>
        <n v="1.46389994314952"/>
        <n v="1.46954813359529"/>
        <n v="1.46987951807229"/>
        <n v="1.47142857142857"/>
        <n v="1.47571428571429"/>
        <n v="1.49588631264024"/>
        <n v="1.56007615286984"/>
        <n v="1.58081308874566"/>
        <n v="1.71008737092931"/>
        <n v="1.73"/>
        <n v="1.74825174825175"/>
        <n v="1.84964285714286"/>
        <n v="2.13675213675214"/>
        <n v="3.4"/>
      </sharedItems>
    </cacheField>
    <cacheField name="Material Type Consumed" numFmtId="0">
      <sharedItems count="45">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1.0018" count="395">
        <n v="0"/>
        <n v="3.2485"/>
        <n v="3.65"/>
        <n v="4.015"/>
        <n v="5.168"/>
        <n v="5.475"/>
        <n v="6.04"/>
        <n v="6.205"/>
        <n v="7.3"/>
        <n v="7.3365"/>
        <n v="7.3584"/>
        <n v="7.3876"/>
        <n v="7.4304"/>
        <n v="7.592"/>
        <n v="8.249"/>
        <n v="8.352"/>
        <n v="8.4728"/>
        <n v="8.5045"/>
        <n v="8.76"/>
        <n v="8.908"/>
        <n v="8.979"/>
        <n v="9.2637"/>
        <n v="9.5776"/>
        <n v="9.6798"/>
        <n v="9.855"/>
        <n v="10.366"/>
        <n v="10.6657"/>
        <n v="10.95"/>
        <n v="11.0595"/>
        <n v="11.2288"/>
        <n v="11.4245"/>
        <n v="11.4756"/>
        <n v="11.7094"/>
        <n v="11.7384"/>
        <n v="11.7676"/>
        <n v="12.7364"/>
        <n v="12.9064"/>
        <n v="13.14"/>
        <n v="13.3704"/>
        <n v="13.578"/>
        <n v="14.6"/>
        <n v="14.6584"/>
        <n v="15.1844"/>
        <n v="15.437"/>
        <n v="15.5438"/>
        <n v="16.26"/>
        <n v="16.8776"/>
        <n v="16.9484"/>
        <n v="17.217"/>
        <n v="17.4192"/>
        <n v="17.812"/>
        <n v="18.3303"/>
        <n v="18.3376"/>
        <n v="18.9824"/>
        <n v="19.1062"/>
        <n v="19.272"/>
        <n v="20.223"/>
        <n v="20.5276"/>
        <n v="20.6572"/>
        <n v="20.7584"/>
        <n v="20.90564"/>
        <n v="21.024"/>
        <n v="21.1189"/>
        <n v="21.2926"/>
        <n v="21.371"/>
        <n v="21.8956"/>
        <n v="21.9"/>
        <n v="21.9292"/>
        <n v="21.9584"/>
        <n v="21.9876"/>
        <n v="22.1482"/>
        <n v="23.214"/>
        <n v="23.3819"/>
        <n v="23.4184"/>
        <n v="23.46"/>
        <n v="23.6972"/>
        <n v="23.8344"/>
        <n v="24.0875"/>
        <n v="24.1192"/>
        <n v="24.1484"/>
        <n v="24.2958"/>
        <n v="24.3382"/>
        <n v="24.3744"/>
        <n v="24.378"/>
        <n v="24.4196"/>
        <n v="24.8346"/>
        <n v="25.1222"/>
        <n v="25.1736"/>
        <n v="25.185"/>
        <n v="25.5618"/>
        <n v="25.5865"/>
        <n v="25.636"/>
        <n v="25.84"/>
        <n v="25.9155"/>
        <n v="26.134"/>
        <n v="26.3676"/>
        <n v="26.5341"/>
        <n v="26.5964"/>
        <n v="26.645"/>
        <n v="26.9416"/>
        <n v="27.0164"/>
        <n v="27.375"/>
        <n v="27.3896"/>
        <n v="27.7271"/>
        <n v="27.74"/>
        <n v="27.846"/>
        <n v="27.992"/>
        <n v="28.0765"/>
        <n v="28.084"/>
        <n v="28.4248"/>
        <n v="28.5138"/>
        <n v="28.6344"/>
        <n v="28.884"/>
        <n v="28.886"/>
        <n v="29.2146"/>
        <n v="29.2292"/>
        <n v="29.2438"/>
        <n v="29.273"/>
        <n v="29.2876"/>
        <n v="29.2944"/>
        <n v="29.2949"/>
        <n v="29.3022"/>
        <n v="29.3095"/>
        <n v="29.435"/>
        <n v="29.4372"/>
        <n v="29.4409"/>
        <n v="29.488"/>
        <n v="29.512"/>
        <n v="29.5324"/>
        <n v="29.5641"/>
        <n v="29.5992"/>
        <n v="29.7764"/>
        <n v="29.8822"/>
        <n v="29.93"/>
        <n v="29.988"/>
        <n v="30.1532"/>
        <n v="30.218"/>
        <n v="30.256"/>
        <n v="30.7184"/>
        <n v="30.733"/>
        <n v="30.736"/>
        <n v="30.746105"/>
        <n v="30.7549"/>
        <n v="30.806"/>
        <n v="30.807"/>
        <n v="30.9779"/>
        <n v="31.089"/>
        <n v="31.1644"/>
        <n v="31.1848"/>
        <n v="31.348"/>
        <n v="31.39"/>
        <n v="31.4252"/>
        <n v="31.5068"/>
        <n v="31.536"/>
        <n v="31.634"/>
        <n v="31.688"/>
        <n v="31.9156"/>
        <n v="32.0144"/>
        <n v="32.3904"/>
        <n v="32.7844"/>
        <n v="32.8792"/>
        <n v="32.8865"/>
        <n v="33.09"/>
        <n v="33.541"/>
        <n v="33.5682"/>
        <n v="33.653"/>
        <n v="33.66"/>
        <n v="33.7484"/>
        <n v="33.796"/>
        <n v="33.9976"/>
        <n v="34.068"/>
        <n v="34.3128"/>
        <n v="34.442"/>
        <n v="34.476"/>
        <n v="34.544"/>
        <n v="34.578"/>
        <n v="34.5848"/>
        <n v="34.612"/>
        <n v="34.6528"/>
        <n v="34.6732"/>
        <n v="34.68"/>
        <n v="34.7072"/>
        <n v="34.7344"/>
        <n v="34.7412"/>
        <n v="34.748"/>
        <n v="34.7616"/>
        <n v="34.7776"/>
        <n v="34.7784"/>
        <n v="34.816"/>
        <n v="34.8296"/>
        <n v="34.8568"/>
        <n v="34.884"/>
        <n v="34.9384"/>
        <n v="35.0092"/>
        <n v="35.4008"/>
        <n v="35.5176"/>
        <n v="35.6728"/>
        <n v="35.843"/>
        <n v="35.9584"/>
        <n v="35.9948"/>
        <n v="36.0128"/>
        <n v="36.0264"/>
        <n v="36.0672"/>
        <n v="36.1896"/>
        <n v="36.2508"/>
        <n v="36.2916"/>
        <n v="36.3704"/>
        <n v="36.4004"/>
        <n v="36.448"/>
        <n v="36.482"/>
        <n v="36.5024"/>
        <n v="36.516"/>
        <n v="36.5364"/>
        <n v="36.54796"/>
        <n v="36.5704"/>
        <n v="36.573"/>
        <n v="36.6044"/>
        <n v="36.652"/>
        <n v="36.7336"/>
        <n v="36.7472"/>
        <n v="36.7501"/>
        <n v="36.754"/>
        <n v="36.7608"/>
        <n v="36.7948"/>
        <n v="36.8084"/>
        <n v="36.8356"/>
        <n v="36.876"/>
        <n v="36.924"/>
        <n v="36.992"/>
        <n v="37.0292"/>
        <n v="37.094"/>
        <n v="37.162"/>
        <n v="37.196"/>
        <n v="37.2776"/>
        <n v="37.3048"/>
        <n v="37.5156"/>
        <n v="37.74"/>
        <n v="37.7876"/>
        <n v="37.8016"/>
        <n v="37.944"/>
        <n v="38.1616"/>
        <n v="38.3112"/>
        <n v="38.488"/>
        <n v="38.5326"/>
        <n v="38.624"/>
        <n v="38.6648"/>
        <n v="38.7516"/>
        <n v="38.9304"/>
        <n v="39.032"/>
        <n v="39.0392"/>
        <n v="39.0864"/>
        <n v="39.1204"/>
        <n v="39.3278"/>
        <n v="39.372"/>
        <n v="39.437"/>
        <n v="39.5466"/>
        <n v="39.9976"/>
        <n v="40.2294"/>
        <n v="41.4606"/>
        <n v="42.3264"/>
        <n v="43.1032"/>
        <n v="43.143"/>
        <n v="43.172"/>
        <n v="43.372"/>
        <n v="43.5042"/>
        <n v="44.7458"/>
        <n v="44.7544"/>
        <n v="44.7888"/>
        <n v="44.8576"/>
        <n v="44.8748"/>
        <n v="45.24"/>
        <n v="45.6058"/>
        <n v="45.6534"/>
        <n v="45.6832"/>
        <n v="45.709"/>
        <n v="45.7176"/>
        <n v="45.752"/>
        <n v="45.7606"/>
        <n v="45.7692"/>
        <n v="45.8024"/>
        <n v="46.5518"/>
        <n v="46.6316"/>
        <n v="47.3421"/>
        <n v="47.386"/>
        <n v="47.4032"/>
        <n v="47.4118"/>
        <n v="47.4204"/>
        <n v="47.4462"/>
        <n v="47.472"/>
        <n v="47.4978"/>
        <n v="47.5236"/>
        <n v="47.84"/>
        <n v="47.8746"/>
        <n v="48.0774"/>
        <n v="48.3234"/>
        <n v="48.4128"/>
        <n v="48.681"/>
        <n v="48.7949"/>
        <n v="48.8076"/>
        <n v="48.883"/>
        <n v="50.1417"/>
        <n v="50.9153"/>
        <n v="51.9924"/>
        <n v="52.4625"/>
        <n v="55.6614"/>
        <n v="56.44824"/>
        <n v="57.1433"/>
        <n v="59.6344"/>
        <n v="59.8104"/>
        <n v="60.5003"/>
        <n v="60.9884"/>
        <n v="61.06835"/>
        <n v="61.5876"/>
        <n v="63.0563"/>
        <n v="63.261"/>
        <n v="64.1968"/>
        <n v="64.4484"/>
        <n v="64.5637"/>
        <n v="64.644"/>
        <n v="66.2939"/>
        <n v="66.3717"/>
        <n v="66.456"/>
        <n v="66.7399"/>
        <n v="66.882"/>
        <n v="66.9033"/>
        <n v="67.1459"/>
        <n v="67.408"/>
        <n v="67.7736"/>
        <n v="67.7766"/>
        <n v="67.9475"/>
        <n v="67.9521"/>
        <n v="68.4582"/>
        <n v="69.6723"/>
        <n v="69.9527"/>
        <n v="70.064"/>
        <n v="70.2261"/>
        <n v="70.29"/>
        <n v="70.3752"/>
        <n v="70.5354"/>
        <n v="70.57"/>
        <n v="70.6704"/>
        <n v="70.8192"/>
        <n v="71.442"/>
        <n v="71.936"/>
        <n v="72.0366"/>
        <n v="72.207"/>
        <n v="73.7448"/>
        <n v="73.7547"/>
        <n v="75.4766"/>
        <n v="77.7922"/>
        <n v="81.6586"/>
        <n v="81.7148"/>
        <n v="81.8244"/>
        <n v="83.9289"/>
        <n v="84.5124"/>
        <n v="84.6372"/>
        <n v="84.944"/>
        <n v="85.3996"/>
        <n v="85.5678"/>
        <n v="87.5034"/>
        <n v="87.7377"/>
        <n v="87.9219"/>
        <n v="88.7225"/>
        <n v="89.1894"/>
        <n v="89.5827"/>
        <n v="89.7514"/>
        <n v="89.95649"/>
        <n v="89.9762"/>
        <n v="90.1368"/>
        <n v="93.1234"/>
        <n v="94.4703"/>
        <n v="97.0383"/>
        <n v="97.4556"/>
        <n v="97.6926"/>
        <n v="98.2938"/>
        <n v="98.6012"/>
        <n v="100.6656"/>
        <n v="101.6918"/>
        <n v="101.9934"/>
        <n v="102.178"/>
        <n v="102.9021"/>
        <n v="102.9042"/>
        <n v="103.9367"/>
        <n v="104.24759"/>
        <n v="104.2482"/>
        <n v="104.3892"/>
        <n v="105.147"/>
        <n v="105.4217"/>
        <n v="105.4806"/>
        <n v="105.5127"/>
        <n v="106.0905"/>
        <n v="106.2942"/>
        <n v="107.6387"/>
        <n v="109.461"/>
        <n v="111.0018"/>
      </sharedItems>
    </cacheField>
    <cacheField name="Material Yield" numFmtId="0">
      <sharedItems containsMixedTypes="1" containsNumber="1" minValue="0.301082989289774" maxValue="1" count="358">
        <n v="0.301082989289774"/>
        <n v="0.332409747548711"/>
        <n v="0.381679389312977"/>
        <n v="0.481540930979133"/>
        <n v="0.492084248479693"/>
        <n v="0.612813370473538"/>
        <n v="0.622247166335208"/>
        <n v="0.642848409690322"/>
        <n v="0.643199233716475"/>
        <n v="0.751855067241069"/>
        <n v="0.753249310752265"/>
        <n v="0.789473684210526"/>
        <n v="0.794443864437451"/>
        <n v="0.808057039320423"/>
        <n v="0.84134351010712"/>
        <n v="0.845149467901922"/>
        <n v="0.848715640794849"/>
        <n v="0.851495184997466"/>
        <n v="0.851703406813627"/>
        <n v="0.861407249466951"/>
        <n v="0.870220937091974"/>
        <n v="0.871539076047776"/>
        <n v="0.881010334456109"/>
        <n v="0.884189114620714"/>
        <n v="0.892608089260809"/>
        <n v="0.894736842105263"/>
        <n v="0.895656068069861"/>
        <n v="0.897901414068632"/>
        <n v="0.898819097604334"/>
        <n v="0.898995240613432"/>
        <n v="0.899653979238754"/>
        <n v="0.899936624181395"/>
        <n v="0.90361836226046"/>
        <n v="0.90466636038891"/>
        <n v="0.906116284923232"/>
        <n v="0.908131174502984"/>
        <n v="0.90961884937641"/>
        <n v="0.910027947283409"/>
        <n v="0.911250024116841"/>
        <n v="0.911411557705423"/>
        <n v="0.912052117263844"/>
        <n v="0.912966132984258"/>
        <n v="0.914581613847841"/>
        <n v="0.915329275041505"/>
        <n v="0.915740530732592"/>
        <n v="0.916351093557427"/>
        <n v="0.918011689634833"/>
        <n v="0.920878153874164"/>
        <n v="0.921778887368215"/>
        <n v="0.922409115572436"/>
        <n v="0.923120891683338"/>
        <n v="0.924000924000924"/>
        <n v="0.924069984712077"/>
        <n v="0.926853750031899"/>
        <n v="0.927336827387437"/>
        <n v="0.928088679315967"/>
        <n v="0.928413284132841"/>
        <n v="0.930647005480424"/>
        <n v="0.934024658417465"/>
        <n v="0.934329951948745"/>
        <n v="0.935493732803424"/>
        <n v="0.936604774535809"/>
        <n v="0.939766690785874"/>
        <n v="0.940096528680156"/>
        <n v="0.940215445699222"/>
        <n v="0.940996928625772"/>
        <n v="0.941697825785902"/>
        <n v="0.942665289256198"/>
        <n v="0.942738589211618"/>
        <n v="0.942885424501331"/>
        <n v="0.943344371852049"/>
        <n v="0.943728276650975"/>
        <n v="0.945445363380577"/>
        <n v="0.945467686862897"/>
        <n v="0.946902654867257"/>
        <n v="0.947814168524845"/>
        <n v="0.948556040486582"/>
        <n v="0.949295037304244"/>
        <n v="0.949528563505269"/>
        <n v="0.949906406280558"/>
        <n v="0.949925909971142"/>
        <n v="0.950047004071303"/>
        <n v="0.950327186198691"/>
        <n v="0.95084388710415"/>
        <n v="0.951400617856419"/>
        <n v="0.95229798455453"/>
        <n v="0.952844539093398"/>
        <n v="0.953134510042605"/>
        <n v="0.953403335271348"/>
        <n v="0.953667034396144"/>
        <n v="0.954128440366972"/>
        <n v="0.954197642792384"/>
        <n v="0.954510364546104"/>
        <n v="0.954554841196635"/>
        <n v="0.955187321393056"/>
        <n v="0.955201569580044"/>
        <n v="0.955819881053526"/>
        <n v="0.956158520927844"/>
        <n v="0.956299923659858"/>
        <n v="0.956521739130435"/>
        <n v="0.956910866567223"/>
        <n v="0.957598535897849"/>
        <n v="0.958013010053223"/>
        <n v="0.958889250461004"/>
        <n v="0.95906007751938"/>
        <n v="0.959111559818274"/>
        <n v="0.95917565461553"/>
        <n v="0.959240590161522"/>
        <n v="0.959405374499714"/>
        <n v="0.959536396909313"/>
        <n v="0.960474308300395"/>
        <n v="0.960829493087558"/>
        <n v="0.961010640297778"/>
        <n v="0.961432543893822"/>
        <n v="0.961449662419349"/>
        <n v="0.961538461538461"/>
        <n v="0.961659333752357"/>
        <n v="0.961701901625412"/>
        <n v="0.96309963099631"/>
        <n v="0.963855421686747"/>
        <n v="0.963878938183154"/>
        <n v="0.964285714285714"/>
        <n v="0.96430430923483"/>
        <n v="0.964320154291225"/>
        <n v="0.964376266047784"/>
        <n v="0.964402263060657"/>
        <n v="0.964604697320543"/>
        <n v="0.964890942998459"/>
        <n v="0.965003723008191"/>
        <n v="0.965599311311041"/>
        <n v="0.965612104539202"/>
        <n v="0.965665236051502"/>
        <n v="0.96571823750247"/>
        <n v="0.965986394557823"/>
        <n v="0.966276668960771"/>
        <n v="0.966887417218543"/>
        <n v="0.966917873249466"/>
        <n v="0.9670734515312"/>
        <n v="0.967292592510634"/>
        <n v="0.967313649870393"/>
        <n v="0.967485909667826"/>
        <n v="0.967635184327222"/>
        <n v="0.968127490039841"/>
        <n v="0.968342644320298"/>
        <n v="0.968504987023822"/>
        <n v="0.96853390994887"/>
        <n v="0.968921389396709"/>
        <n v="0.969557130077953"/>
        <n v="0.96969696969697"/>
        <n v="0.969797612869746"/>
        <n v="0.970024979184013"/>
        <n v="0.970692179269322"/>
        <n v="0.970958935935413"/>
        <n v="0.971098265895954"/>
        <n v="0.971173291591924"/>
        <n v="0.971820007984437"/>
        <n v="0.972447325769854"/>
        <n v="0.972844902095429"/>
        <n v="0.973141300116777"/>
        <n v="0.973451327433628"/>
        <n v="0.973740819469725"/>
        <n v="0.97418335089568"/>
        <n v="0.974212034383954"/>
        <n v="0.974330148023234"/>
        <n v="0.974486621032981"/>
        <n v="0.97452229299363"/>
        <n v="0.974658869395711"/>
        <n v="0.974930362116992"/>
        <n v="0.975"/>
        <n v="0.975056689342404"/>
        <n v="0.975216602861173"/>
        <n v="0.975290581832112"/>
        <n v="0.975304373595436"/>
        <n v="0.975419430355053"/>
        <n v="0.975426749202776"/>
        <n v="0.97564870259481"/>
        <n v="0.975855130784708"/>
        <n v="0.976058931860037"/>
        <n v="0.976138828633406"/>
        <n v="0.976181179226865"/>
        <n v="0.976215832445864"/>
        <n v="0.976533315221083"/>
        <n v="0.976557267247153"/>
        <n v="0.9765625"/>
        <n v="0.976597207967048"/>
        <n v="0.977017961732559"/>
        <n v="0.977076287110109"/>
        <n v="0.977170355596308"/>
        <n v="0.977670488835244"/>
        <n v="0.977922630012753"/>
        <n v="0.978090766823161"/>
        <n v="0.978138663335415"/>
        <n v="0.978401329148976"/>
        <n v="0.978454139548536"/>
        <n v="0.978473581213307"/>
        <n v="0.978665100802505"/>
        <n v="0.978786274275369"/>
        <n v="0.978792822185971"/>
        <n v="0.978856695379796"/>
        <n v="0.979124330315906"/>
        <n v="0.979486231750139"/>
        <n v="0.979623824451411"/>
        <n v="0.979638878217441"/>
        <n v="0.97979797979798"/>
        <n v="0.980042765502495"/>
        <n v="0.980332829046899"/>
        <n v="0.980392156862745"/>
        <n v="0.980573543015726"/>
        <n v="0.980584428319278"/>
        <n v="0.98058860363181"/>
        <n v="0.980629539951574"/>
        <n v="0.980754996299038"/>
        <n v="0.980769230769231"/>
        <n v="0.980975029726516"/>
        <n v="0.981118104405776"/>
        <n v="0.98116169544741"/>
        <n v="0.981247274313127"/>
        <n v="0.981311965920328"/>
        <n v="0.981432360742705"/>
        <n v="0.981502453756134"/>
        <n v="0.981818181818182"/>
        <n v="0.981873111782477"/>
        <n v="0.981889591970325"/>
        <n v="0.982014925035821"/>
        <n v="0.982022471910112"/>
        <n v="0.982318271119843"/>
        <n v="0.982711555959964"/>
        <n v="0.982937830947244"/>
        <n v="0.983090837593394"/>
        <n v="0.983167380407549"/>
        <n v="0.983284169124877"/>
        <n v="0.98330241187384"/>
        <n v="0.983358547655068"/>
        <n v="0.983455882352941"/>
        <n v="0.983531564501372"/>
        <n v="0.98394174871303"/>
        <n v="0.984036737371529"/>
        <n v="0.984251968503937"/>
        <n v="0.984323733138899"/>
        <n v="0.984455958549223"/>
        <n v="0.984581088612298"/>
        <n v="0.984673221515327"/>
        <n v="0.984875131902919"/>
        <n v="0.984985156428408"/>
        <n v="0.985027580772262"/>
        <n v="0.985041955490697"/>
        <n v="0.98533724340176"/>
        <n v="0.985496467088137"/>
        <n v="0.985663082437276"/>
        <n v="0.985708575934668"/>
        <n v="0.985915492957747"/>
        <n v="0.986059163549813"/>
        <n v="0.986193293885602"/>
        <n v="0.98641354922762"/>
        <n v="0.986552341796671"/>
        <n v="0.986554563857196"/>
        <n v="0.986568986568986"/>
        <n v="0.986767485822306"/>
        <n v="0.986964618249534"/>
        <n v="0.987166831194472"/>
        <n v="0.987332339791356"/>
        <n v="0.987884436160298"/>
        <n v="0.98797079873578"/>
        <n v="0.988014887895571"/>
        <n v="0.988106129917658"/>
        <n v="0.988142292490119"/>
        <n v="0.988410314406425"/>
        <n v="0.988793671720501"/>
        <n v="0.988805970149254"/>
        <n v="0.989119683481701"/>
        <n v="0.989399293286219"/>
        <n v="0.989737845367181"/>
        <n v="0.989742666906604"/>
        <n v="0.989917506874427"/>
        <n v="0.99009900990099"/>
        <n v="0.990653985036935"/>
        <n v="0.990787415261603"/>
        <n v="0.990853658536585"/>
        <n v="0.990966221523959"/>
        <n v="0.990990990990991"/>
        <n v="0.991311297362651"/>
        <n v="0.991423037904639"/>
        <n v="0.991649269311065"/>
        <n v="0.991817505578974"/>
        <n v="0.992063492063492"/>
        <n v="0.992182231962239"/>
        <n v="0.992366412213741"/>
        <n v="0.992452743093221"/>
        <n v="0.992555831265509"/>
        <n v="0.992642140468227"/>
        <n v="0.993031358885017"/>
        <n v="0.994081745884964"/>
        <n v="0.994809688581315"/>
        <n v="0.99502487562189"/>
        <n v="0.995222929936306"/>
        <n v="0.995228357191547"/>
        <n v="0.995294969236337"/>
        <n v="0.99537037037037"/>
        <n v="0.995475113122172"/>
        <n v="0.995619275189168"/>
        <n v="0.995644057249533"/>
        <n v="0.995732574679943"/>
        <n v="0.995835596596053"/>
        <n v="0.99586621570838"/>
        <n v="0.995975855130785"/>
        <n v="0.99601593625498"/>
        <n v="0.996053373426048"/>
        <n v="0.996240601503759"/>
        <n v="0.99626400996264"/>
        <n v="0.996376811594203"/>
        <n v="0.99647266313933"/>
        <n v="0.996512207274539"/>
        <n v="0.996550402453047"/>
        <n v="0.996618615411995"/>
        <n v="0.996677740863787"/>
        <n v="0.996685441438936"/>
        <n v="0.99676052828308"/>
        <n v="0.996842105263158"/>
        <n v="0.996914312841206"/>
        <n v="0.996918615189414"/>
        <n v="0.996932515337423"/>
        <n v="0.99699021820918"/>
        <n v="0.997008973080758"/>
        <n v="0.997177798682973"/>
        <n v="0.997183819764465"/>
        <n v="0.997234704459039"/>
        <n v="0.997340425531915"/>
        <n v="0.997461008342401"/>
        <n v="0.997506234413965"/>
        <n v="0.997598374284131"/>
        <n v="0.997605746209098"/>
        <n v="0.997624703087886"/>
        <n v="0.997641937239253"/>
        <n v="0.997740963855422"/>
        <n v="0.997822931785196"/>
        <n v="0.997830802603037"/>
        <n v="0.9979633401222"/>
        <n v="0.998003992015968"/>
        <n v="0.998098859315589"/>
        <n v="0.998185117967332"/>
        <n v="0.998463901689708"/>
        <n v="0.998502246630055"/>
        <n v="0.998550724637681"/>
        <n v="0.998573466476462"/>
        <n v="0.99866844207723"/>
        <n v="0.998789346246973"/>
        <n v="0.998790810157195"/>
        <n v="0.99889012208657"/>
        <n v="0.999000999000999"/>
        <n v="0.999063378083047"/>
        <n v="0.99911190053286"/>
        <n v="0.999231360491929"/>
        <n v="0.999423409571401"/>
        <n v="0.999434282481614"/>
        <n v="0.999466950959488"/>
        <n v="0.999500249875062"/>
        <n v="1"/>
        <s v=" "/>
      </sharedItems>
    </cacheField>
    <cacheField name="Rej." numFmtId="0">
      <sharedItems containsSemiMixedTypes="0" containsString="0" containsNumber="1" minValue="0" maxValue="0.5264" count="472">
        <n v="0"/>
        <n v="0.00011397959765202"/>
        <n v="0.000123548307388189"/>
        <n v="0.000131717597471022"/>
        <n v="0.000184314809694959"/>
        <n v="0.000193012931866435"/>
        <n v="0.00024496294935391"/>
        <n v="0.000262559075792053"/>
        <n v="0.000273972602739726"/>
        <n v="0.000285714285714286"/>
        <n v="0.000363504180298073"/>
        <n v="0.00039984006397441"/>
        <n v="0.000434593654932638"/>
        <n v="0.000444247001332741"/>
        <n v="0.000459506031016657"/>
        <n v="0.000475963826749167"/>
        <n v="0.000499750124937531"/>
        <n v="0.000533049040511727"/>
        <n v="0.000557258289217052"/>
        <n v="0.000565717518385819"/>
        <n v="0.000576590428598885"/>
        <n v="0.000615384615384615"/>
        <n v="0.000713266761768902"/>
        <n v="0.000726744186046512"/>
        <n v="0.000754147812971342"/>
        <n v="0.000768639508070715"/>
        <n v="0.000769625448948179"/>
        <n v="0.000799360511590727"/>
        <n v="0.00080742834073476"/>
        <n v="0.000813386009760632"/>
        <n v="0.000819672131147541"/>
        <n v="0.000850340136054422"/>
        <n v="0.000857142857142857"/>
        <n v="0.000862812769628991"/>
        <n v="0.000863930885529158"/>
        <n v="0.00088809946714032"/>
        <n v="0.000908265213442325"/>
        <n v="0.000929368029739777"/>
        <n v="0.000932183640177115"/>
        <n v="0.000936621916952857"/>
        <n v="0.000999000999000999"/>
        <n v="0.00105485232067511"/>
        <n v="0.00106007067137809"/>
        <n v="0.00106082036775106"/>
        <n v="0.00110395584176633"/>
        <n v="0.00110987791342952"/>
        <n v="0.00117647058823529"/>
        <n v="0.00117855038302887"/>
        <n v="0.00118906064209275"/>
        <n v="0.00119856172592889"/>
        <n v="0.00120918984280532"/>
        <n v="0.00121065375302663"/>
        <n v="0.00124843945068664"/>
        <n v="0.00124930594114381"/>
        <n v="0.00126349643923731"/>
        <n v="0.00131406044678055"/>
        <n v="0.00133155792276964"/>
        <n v="0.0014265335235378"/>
        <n v="0.00144927536231884"/>
        <n v="0.00149775336994508"/>
        <n v="0.00150715900527506"/>
        <n v="0.00153609831029186"/>
        <n v="0.00153846153846154"/>
        <n v="0.00154798761609907"/>
        <n v="0.00163369032492285"/>
        <n v="0.00173611111111111"/>
        <n v="0.00174694285001248"/>
        <n v="0.00176159718144451"/>
        <n v="0.00181818181818182"/>
        <n v="0.00193236714975845"/>
        <n v="0.00196043486009624"/>
        <n v="0.00203665987780041"/>
        <n v="0.00206794682422452"/>
        <n v="0.00207650273224044"/>
        <n v="0.0020850040096231"/>
        <n v="0.00213009995084385"/>
        <n v="0.00217706821480406"/>
        <n v="0.00218238503507404"/>
        <n v="0.00225903614457831"/>
        <n v="0.00226415094339623"/>
        <n v="0.00232891436761018"/>
        <n v="0.00239385158120197"/>
        <n v="0.00239425379090184"/>
        <n v="0.0024016257158692"/>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98245614035088"/>
        <n v="0.003"/>
        <n v="0.00301204819277108"/>
        <n v="0.00306748466257669"/>
        <n v="0.00320261437908497"/>
        <n v="0.00323182100683654"/>
        <n v="0.00326205146792316"/>
        <n v="0.00332225913621262"/>
        <n v="0.00335570469798658"/>
        <n v="0.00341085271317829"/>
        <n v="0.00344959754695286"/>
        <n v="0.00355128472947566"/>
        <n v="0.00355871886120996"/>
        <n v="0.00361538461538462"/>
        <n v="0.0036231884057971"/>
        <n v="0.00365569956796278"/>
        <n v="0.003690036900369"/>
        <n v="0.00384985563041386"/>
        <n v="0.00394662657395226"/>
        <n v="0.00398406374501992"/>
        <n v="0.00402576489533011"/>
        <n v="0.00403458213256484"/>
        <n v="0.00403690888119954"/>
        <n v="0.00403846153846154"/>
        <n v="0.00412087912087912"/>
        <n v="0.00413378429161969"/>
        <n v="0.004149377593361"/>
        <n v="0.00417362270450751"/>
        <n v="0.00418803418803419"/>
        <n v="0.00419287211740042"/>
        <n v="0.00428709722030148"/>
        <n v="0.00428816466552316"/>
        <n v="0.00432638227913819"/>
        <n v="0.00451467268623025"/>
        <n v="0.00452380952380952"/>
        <n v="0.00452488687782805"/>
        <n v="0.0046982291290206"/>
        <n v="0.00476268681228445"/>
        <n v="0.00479452054794521"/>
        <n v="0.00484893696381947"/>
        <n v="0.00487804878048781"/>
        <n v="0.00487958444829215"/>
        <n v="0.00489203778677463"/>
        <n v="0.00493716337522442"/>
        <n v="0.00495934959349593"/>
        <n v="0.00495970241785493"/>
        <n v="0.00497512437810945"/>
        <n v="0.00503496503496504"/>
        <n v="0.00510204081632653"/>
        <n v="0.00512382578992314"/>
        <n v="0.00520547945205479"/>
        <n v="0.0052062474969964"/>
        <n v="0.0052444594823211"/>
        <n v="0.00532037936618089"/>
        <n v="0.00535714285714286"/>
        <n v="0.00550826239359039"/>
        <n v="0.00551760378349974"/>
        <n v="0.00578642819568648"/>
        <n v="0.00589101620029455"/>
        <n v="0.00591016548463357"/>
        <n v="0.006"/>
        <n v="0.00601051840721262"/>
        <n v="0.00611587982832618"/>
        <n v="0.00618374558303887"/>
        <n v="0.0062111801242236"/>
        <n v="0.00627490039840637"/>
        <n v="0.00632547441058079"/>
        <n v="0.00636363636363636"/>
        <n v="0.00639163277164439"/>
        <n v="0.00643974241030359"/>
        <n v="0.00649842271293375"/>
        <n v="0.00651971437441788"/>
        <n v="0.00668896321070234"/>
        <n v="0.00678695580201953"/>
        <n v="0.0068229012162563"/>
        <n v="0.00682926829268293"/>
        <n v="0.00695134061569017"/>
        <n v="0.00695825049701789"/>
        <n v="0.00696864111498258"/>
        <n v="0.00697188008366256"/>
        <n v="0.00698689956331878"/>
        <n v="0.00698786318499448"/>
        <n v="0.007"/>
        <n v="0.0070694087403599"/>
        <n v="0.00709219858156028"/>
        <n v="0.00724112961622013"/>
        <n v="0.00735785953177258"/>
        <n v="0.00740095777100566"/>
        <n v="0.00740507326295888"/>
        <n v="0.00744416873449132"/>
        <n v="0.00750497779139225"/>
        <n v="0.00755564631406984"/>
        <n v="0.00772273497833867"/>
        <n v="0.00783289817232376"/>
        <n v="0.00786222388618495"/>
        <n v="0.00793650793650794"/>
        <n v="0.00796812749003984"/>
        <n v="0.00801603206412826"/>
        <n v="0.00810372771474878"/>
        <n v="0.00826446280991736"/>
        <n v="0.00832870627429206"/>
        <n v="0.00839454354669465"/>
        <n v="0.00841908325537886"/>
        <n v="0.00847304849468181"/>
        <n v="0.0085"/>
        <n v="0.00862068965517241"/>
        <n v="0.00872323552735924"/>
        <n v="0.00875099443118536"/>
        <n v="0.00881057268722467"/>
        <n v="0.00883977900552486"/>
        <n v="0.00887121443866626"/>
        <n v="0.00892174356359929"/>
        <n v="0.00892857142857143"/>
        <n v="0.00894700619408121"/>
        <n v="0.00897531787584144"/>
        <n v="0.00914634146341463"/>
        <n v="0.0091743119266055"/>
        <n v="0.00920028308563341"/>
        <n v="0.00923645320197045"/>
        <n v="0.00925925925925926"/>
        <n v="0.00927152317880795"/>
        <n v="0.00929549902152642"/>
        <n v="0.00931246284921736"/>
        <n v="0.00935374149659864"/>
        <n v="0.00935608145294441"/>
        <n v="0.00942007653812187"/>
        <n v="0.00946745562130178"/>
        <n v="0.0094876660341556"/>
        <n v="0.00950871632329636"/>
        <n v="0.00953778429933969"/>
        <n v="0.00955076052352317"/>
        <n v="0.00970873786407767"/>
        <n v="0.0097194205024757"/>
        <n v="0.00973640465447637"/>
        <n v="0.0097799511002445"/>
        <n v="0.0099009900990099"/>
        <n v="0.00992802184164805"/>
        <n v="0.0100411522633745"/>
        <n v="0.0100452034153692"/>
        <n v="0.0100735635230963"/>
        <n v="0.0100824931255729"/>
        <n v="0.0100894726822768"/>
        <n v="0.0102573330933957"/>
        <n v="0.0102739726027397"/>
        <n v="0.0102778835173201"/>
        <n v="0.0102929532858274"/>
        <n v="0.0104"/>
        <n v="0.0104166666666667"/>
        <n v="0.0104452996151732"/>
        <n v="0.0104555638536221"/>
        <n v="0.0106692531522793"/>
        <n v="0.0106849315068493"/>
        <n v="0.0106951871657754"/>
        <n v="0.0107310529845741"/>
        <n v="0.0107391029690461"/>
        <n v="0.0107715981534403"/>
        <n v="0.0108333333333333"/>
        <n v="0.0108803165182987"/>
        <n v="0.010989010989011"/>
        <n v="0.0111940298507463"/>
        <n v="0.011206328279499"/>
        <n v="0.0112299465240642"/>
        <n v="0.0112606426805823"/>
        <n v="0.0112715048447696"/>
        <n v="0.0112888052681091"/>
        <n v="0.0112908147696063"/>
        <n v="0.0113085621970921"/>
        <n v="0.0114388489208633"/>
        <n v="0.0114669829972321"/>
        <n v="0.0114728682170543"/>
        <n v="0.0117471564422898"/>
        <n v="0.0117647058823529"/>
        <n v="0.0117825921702775"/>
        <n v="0.0118194148420849"/>
        <n v="0.0118279569892473"/>
        <n v="0.0118296529968454"/>
        <n v="0.0118577075098814"/>
        <n v="0.0118938700823422"/>
        <n v="0.0119470455279303"/>
        <n v="0.0119971771347918"/>
        <n v="0.0120430107526882"/>
        <n v="0.0120481927710843"/>
        <n v="0.0120824449182658"/>
        <n v="0.0121017535193875"/>
        <n v="0.0121155638397018"/>
        <n v="0.0121951219512195"/>
        <n v="0.0122126436781609"/>
        <n v="0.0122199592668024"/>
        <n v="0.0122481232714342"/>
        <n v="0.0122996645546031"/>
        <n v="0.0123456790123457"/>
        <n v="0.0123691722169363"/>
        <n v="0.0124023886081764"/>
        <n v="0.0124836966648034"/>
        <n v="0.0124961901859189"/>
        <n v="0.0124974390493751"/>
        <n v="0.0125673249551167"/>
        <n v="0.0126019273535953"/>
        <n v="0.0126291618828932"/>
        <n v="0.0126382306477093"/>
        <n v="0.0126641651031895"/>
        <n v="0.0126676602086438"/>
        <n v="0.0127970749542962"/>
        <n v="0.0128331688055281"/>
        <n v="0.0129032258064516"/>
        <n v="0.0129147625670574"/>
        <n v="0.0129990714948932"/>
        <n v="0.0130226182316655"/>
        <n v="0.0130280300039479"/>
        <n v="0.0130353817504655"/>
        <n v="0.0130983567516075"/>
        <n v="0.0131428571428571"/>
        <n v="0.0131578947368421"/>
        <n v="0.013219139824986"/>
        <n v="0.0133333333333333"/>
        <n v="0.0134028294862249"/>
        <n v="0.0134310134310134"/>
        <n v="0.0134907251264755"/>
        <n v="0.0135184508586043"/>
        <n v="0.0136121522982837"/>
        <n v="0.0136570561456753"/>
        <n v="0.0136986301369863"/>
        <n v="0.0137080191912269"/>
        <n v="0.0138530171401738"/>
        <n v="0.0138575572027071"/>
        <n v="0.0138820029747149"/>
        <n v="0.0138951142985208"/>
        <n v="0.0139064475347661"/>
        <n v="0.0139126189895045"/>
        <n v="0.0139835066332019"/>
        <n v="0.0140114167099118"/>
        <n v="0.0140845070422535"/>
        <n v="0.0141185962081484"/>
        <n v="0.0141955835962145"/>
        <n v="0.014218009478673"/>
        <n v="0.0142387732749179"/>
        <n v="0.0143581081081081"/>
        <n v="0.0144048521607278"/>
        <n v="0.0144927536231884"/>
        <n v="0.0145454545454545"/>
        <n v="0.0145985401459854"/>
        <n v="0.0148698884758364"/>
        <n v="0.0148890092041148"/>
        <n v="0.0149253731343284"/>
        <n v="0.0149649554839932"/>
        <n v="0.0149960536700868"/>
        <n v="0.0150044130626655"/>
        <n v="0.0150284321689683"/>
        <n v="0.0150478796169631"/>
        <n v="0.0150880134115675"/>
        <n v="0.0150943396226415"/>
        <n v="0.0151351351351351"/>
        <n v="0.0151975683890578"/>
        <n v="0.0152634170359429"/>
        <n v="0.0153267784846732"/>
        <n v="0.0153374233128834"/>
        <n v="0.015459723352319"/>
        <n v="0.0154968094804011"/>
        <n v="0.0155091031692515"/>
        <n v="0.015625"/>
        <n v="0.0156893508531085"/>
        <n v="0.0157133878064111"/>
        <n v="0.0158102766798419"/>
        <n v="0.0160226201696513"/>
        <n v="0.016057396651862"/>
        <n v="0.0161290322580645"/>
        <n v="0.016140350877193"/>
        <n v="0.0161943319838057"/>
        <n v="0.0163934426229508"/>
        <n v="0.0165631469979296"/>
        <n v="0.0167095115681234"/>
        <n v="0.0167364016736402"/>
        <n v="0.0170380078636959"/>
        <n v="0.017156862745098"/>
        <n v="0.0171990171990172"/>
        <n v="0.0172576090367116"/>
        <n v="0.0175953079178886"/>
        <n v="0.0177935943060498"/>
        <n v="0.0178246635140051"/>
        <n v="0.0181818181818182"/>
        <n v="0.0184049079754601"/>
        <n v="0.0184409052808047"/>
        <n v="0.0185387131952017"/>
        <n v="0.018796992481203"/>
        <n v="0.0188189487345879"/>
        <n v="0.0189328743545611"/>
        <n v="0.0190735694822888"/>
        <n v="0.0194113963681904"/>
        <n v="0.0194552529182879"/>
        <n v="0.0194846008799497"/>
        <n v="0.0195530726256983"/>
        <n v="0.0196078431372549"/>
        <n v="0.0200348432055749"/>
        <n v="0.0203562340966921"/>
        <n v="0.0204081632653061"/>
        <n v="0.0208"/>
        <n v="0.02088772845953"/>
        <n v="0.0209440450140669"/>
        <n v="0.0210297316896302"/>
        <n v="0.0210562651018295"/>
        <n v="0.0213414634146341"/>
        <n v="0.0213592233009709"/>
        <n v="0.0214168039538715"/>
        <n v="0.0214285714285714"/>
        <n v="0.0214765100671141"/>
        <n v="0.0215982721382289"/>
        <n v="0.021602787456446"/>
        <n v="0.0217391304347826"/>
        <n v="0.0218047635021805"/>
        <n v="0.0218613366645846"/>
        <n v="0.0221667187012176"/>
        <n v="0.0221739130434783"/>
        <n v="0.0223295111647556"/>
        <n v="0.0224719101123595"/>
        <n v="0.0226244343891403"/>
        <n v="0.0228013029315961"/>
        <n v="0.02291917973462"/>
        <n v="0.0229459659511473"/>
        <n v="0.023304347826087"/>
        <n v="0.0235042735042735"/>
        <n v="0.023728813559322"/>
        <n v="0.0238233585124927"/>
        <n v="0.0238611713665944"/>
        <n v="0.024"/>
        <n v="0.0240963855421687"/>
        <n v="0.0242990654205607"/>
        <n v="0.024390243902439"/>
        <n v="0.0250696378830084"/>
        <n v="0.0252707581227437"/>
        <n v="0.0260521042084168"/>
        <n v="0.0262172284644195"/>
        <n v="0.0262857142857143"/>
        <n v="0.0264078905504295"/>
        <n v="0.0265486725663717"/>
        <n v="0.026676279740447"/>
        <n v="0.027027027027027"/>
        <n v="0.0274079874706343"/>
        <n v="0.0275423728813559"/>
        <n v="0.0279542566709022"/>
        <n v="0.0280220904070362"/>
        <n v="0.0282685512367491"/>
        <n v="0.0283400809716599"/>
        <n v="0.0283860502838605"/>
        <n v="0.0287769784172662"/>
        <n v="0.0293225480283114"/>
        <n v="0.0293282876064333"/>
        <n v="0.0294117647058823"/>
        <n v="0.0302351623740202"/>
        <n v="0.0305206463195691"/>
        <n v="0.0309555854643338"/>
        <n v="0.0311778290993072"/>
        <n v="0.0313390313390313"/>
        <n v="0.031886285055705"/>
        <n v="0.032258064516129"/>
        <n v="0.0324074074074074"/>
        <n v="0.0332522303325223"/>
        <n v="0.0357142857142857"/>
        <n v="0.036144578313253"/>
        <n v="0.0378006872852234"/>
        <n v="0.0381895332390382"/>
        <n v="0.04"/>
        <n v="0.0410677618069815"/>
        <n v="0.0441412520064205"/>
        <n v="0.0452876376988984"/>
        <n v="0.0487329434697856"/>
        <n v="0.0504807692307692"/>
        <n v="0.0526315789473684"/>
        <n v="0.0532544378698225"/>
        <n v="0.0555555555555556"/>
        <n v="0.0582750582750583"/>
        <n v="0.0794979079497908"/>
        <n v="0.083969465648855"/>
        <n v="0.0846707249584947"/>
        <n v="0.180327868852459"/>
        <n v="0.5264"/>
      </sharedItems>
    </cacheField>
    <cacheField name=" Setup rej " numFmtId="0">
      <sharedItems containsSemiMixedTypes="0" containsString="0" containsNumber="1" minValue="0" maxValue="0.348258706467662" count="256">
        <n v="0"/>
        <n v="0.00049825610363727"/>
        <n v="0.000724900326205147"/>
        <n v="0.000998003992015968"/>
        <n v="0.00150262960180316"/>
        <n v="0.00158982511923688"/>
        <n v="0.00198807157057654"/>
        <n v="0.00264666960741067"/>
        <n v="0.00271278399457443"/>
        <n v="0.00277585010409438"/>
        <n v="0.00292397660818713"/>
        <n v="0.00330360092500826"/>
        <n v="0.00349344978165939"/>
        <n v="0.00359066427289048"/>
        <n v="0.00371057513914657"/>
        <n v="0.00394632991318074"/>
        <n v="0.00412898151789225"/>
        <n v="0.0041780199818347"/>
        <n v="0.00420315236427321"/>
        <n v="0.00432050274941084"/>
        <n v="0.00482509047044632"/>
        <n v="0.00498430865792874"/>
        <n v="0.00499075785582255"/>
        <n v="0.00515463917525773"/>
        <n v="0.00525394045534151"/>
        <n v="0.00526711813393529"/>
        <n v="0.00526726492391728"/>
        <n v="0.0053212455656287"/>
        <n v="0.00542168674698795"/>
        <n v="0.00544267053701016"/>
        <n v="0.00547045951859956"/>
        <n v="0.00551977920883165"/>
        <n v="0.00559179869524697"/>
        <n v="0.00573065902578797"/>
        <n v="0.00585251658213032"/>
        <n v="0.00586510263929619"/>
        <n v="0.00587911078449385"/>
        <n v="0.00587920897915553"/>
        <n v="0.00588451636631114"/>
        <n v="0.00600961538461539"/>
        <n v="0.00601503759398496"/>
        <n v="0.00601684717208183"/>
        <n v="0.00602409638554217"/>
        <n v="0.00602954476936991"/>
        <n v="0.00607416879795396"/>
        <n v="0.00624755954705193"/>
        <n v="0.00636942675159236"/>
        <n v="0.00637213254035684"/>
        <n v="0.00647482014388489"/>
        <n v="0.00649734199645599"/>
        <n v="0.00654878847413229"/>
        <n v="0.006640625"/>
        <n v="0.00678899082568807"/>
        <n v="0.00679501698754247"/>
        <n v="0.00681729645500584"/>
        <n v="0.00695047784535187"/>
        <n v="0.00698215671062839"/>
        <n v="0.00698529411764706"/>
        <n v="0.00708955223880597"/>
        <n v="0.0072992700729927"/>
        <n v="0.00737797956867196"/>
        <n v="0.0073823438941864"/>
        <n v="0.00741198270537369"/>
        <n v="0.0074580484773151"/>
        <n v="0.00748727163821503"/>
        <n v="0.00749625187406297"/>
        <n v="0.00757411815624324"/>
        <n v="0.0075790385448246"/>
        <n v="0.00758785942492013"/>
        <n v="0.00776849873761895"/>
        <n v="0.00777000777000777"/>
        <n v="0.00777934936350778"/>
        <n v="0.00778210116731518"/>
        <n v="0.00779727095516569"/>
        <n v="0.00781860828772478"/>
        <n v="0.00788412174550788"/>
        <n v="0.00789473684210526"/>
        <n v="0.00801603206412826"/>
        <n v="0.00808500808500808"/>
        <n v="0.00816167897396036"/>
        <n v="0.00816522574447646"/>
        <n v="0.00823874038813621"/>
        <n v="0.00830288940551312"/>
        <n v="0.0083993280537557"/>
        <n v="0.0084005376344086"/>
        <n v="0.00842223469960696"/>
        <n v="0.00844772967265048"/>
        <n v="0.00856979622928966"/>
        <n v="0.00857959961868446"/>
        <n v="0.00894759267149553"/>
        <n v="0.00905966885348329"/>
        <n v="0.00916546068499759"/>
        <n v="0.00919963201471941"/>
        <n v="0.00921076395159834"/>
        <n v="0.00928433268858801"/>
        <n v="0.00929073192839338"/>
        <n v="0.00930232558139535"/>
        <n v="0.00934922089825848"/>
        <n v="0.0093812375249501"/>
        <n v="0.00938337801608579"/>
        <n v="0.00941662838768948"/>
        <n v="0.00946073793755913"/>
        <n v="0.00954198473282443"/>
        <n v="0.00966702470461869"/>
        <n v="0.00968992248062015"/>
        <n v="0.0097444781290602"/>
        <n v="0.010016694490818"/>
        <n v="0.0100484478736767"/>
        <n v="0.0100541376643465"/>
        <n v="0.0100882723833544"/>
        <n v="0.0102726195179771"/>
        <n v="0.0103159252095422"/>
        <n v="0.0104275286757039"/>
        <n v="0.0105722822339692"/>
        <n v="0.0106496272630458"/>
        <n v="0.0107671601615074"/>
        <n v="0.0109289617486339"/>
        <n v="0.0109546165884194"/>
        <n v="0.0111040609137056"/>
        <n v="0.0111621799080762"/>
        <n v="0.0116472545757072"/>
        <n v="0.0118343195266272"/>
        <n v="0.011873840445269"/>
        <n v="0.011966801775719"/>
        <n v="0.0119722747321991"/>
        <n v="0.012187690432663"/>
        <n v="0.0122249388753056"/>
        <n v="0.0125667609173735"/>
        <n v="0.0126692878986457"/>
        <n v="0.0128988458927359"/>
        <n v="0.0130039011703511"/>
        <n v="0.0130556419023935"/>
        <n v="0.0130973451327434"/>
        <n v="0.0131434830230011"/>
        <n v="0.013328530259366"/>
        <n v="0.0134615384615385"/>
        <n v="0.0134719014626636"/>
        <n v="0.0137030995106036"/>
        <n v="0.0138512496236073"/>
        <n v="0.013873473917869"/>
        <n v="0.0139192682441837"/>
        <n v="0.0141145139813582"/>
        <n v="0.014246947082768"/>
        <n v="0.0143540669856459"/>
        <n v="0.0144356955380577"/>
        <n v="0.0146735143066764"/>
        <n v="0.0147368421052632"/>
        <n v="0.015429403202329"/>
        <n v="0.0154875043998592"/>
        <n v="0.015748031496063"/>
        <n v="0.0158102766798419"/>
        <n v="0.0161870503597122"/>
        <n v="0.0161917098445596"/>
        <n v="0.0164835164835165"/>
        <n v="0.0166636147225783"/>
        <n v="0.0166724557137895"/>
        <n v="0.0171984611903146"/>
        <n v="0.0172149961744453"/>
        <n v="0.0172257479601088"/>
        <n v="0.0174237710018668"/>
        <n v="0.0174278846153846"/>
        <n v="0.0175980240815066"/>
        <n v="0.0176252319109462"/>
        <n v="0.017933390264731"/>
        <n v="0.0180722891566265"/>
        <n v="0.0182054616384915"/>
        <n v="0.0183374083129584"/>
        <n v="0.0183887915936953"/>
        <n v="0.0187425860023725"/>
        <n v="0.0190389845874887"/>
        <n v="0.0190657769304099"/>
        <n v="0.0193602693602694"/>
        <n v="0.0194126431060229"/>
        <n v="0.0197368421052632"/>
        <n v="0.01998001998002"/>
        <n v="0.0203915171288744"/>
        <n v="0.0205601907032181"/>
        <n v="0.0206456456456456"/>
        <n v="0.0208333333333333"/>
        <n v="0.0209142515685689"/>
        <n v="0.0209371884346959"/>
        <n v="0.0211764705882353"/>
        <n v="0.021484375"/>
        <n v="0.0218041898247114"/>
        <n v="0.0218068535825545"/>
        <n v="0.022090852520224"/>
        <n v="0.022108843537415"/>
        <n v="0.0221774193548387"/>
        <n v="0.0222112537018756"/>
        <n v="0.0223463687150838"/>
        <n v="0.0223529411764706"/>
        <n v="0.0226055919095776"/>
        <n v="0.0228310502283105"/>
        <n v="0.0229226361031519"/>
        <n v="0.0230547550432277"/>
        <n v="0.0232959447799827"/>
        <n v="0.0235404896421846"/>
        <n v="0.0239324260910371"/>
        <n v="0.0242214532871972"/>
        <n v="0.0244003308519438"/>
        <n v="0.0249382161312065"/>
        <n v="0.02551950419249"/>
        <n v="0.0256629597946963"/>
        <n v="0.0258564964447317"/>
        <n v="0.0261020881670534"/>
        <n v="0.0267777447188337"/>
        <n v="0.0269691780821918"/>
        <n v="0.0271659324522761"/>
        <n v="0.027266530334015"/>
        <n v="0.0280612244897959"/>
        <n v="0.028169014084507"/>
        <n v="0.0294117647058823"/>
        <n v="0.0306306306306306"/>
        <n v="0.0308310991957105"/>
        <n v="0.0325538743695552"/>
        <n v="0.0335392762577229"/>
        <n v="0.0339138405132906"/>
        <n v="0.0354648038688877"/>
        <n v="0.0355029585798817"/>
        <n v="0.036026762738034"/>
        <n v="0.0361613351877608"/>
        <n v="0.0361663652802893"/>
        <n v="0.0366358712965913"/>
        <n v="0.0379572118702553"/>
        <n v="0.038"/>
        <n v="0.0383048084759576"/>
        <n v="0.0393310622483741"/>
        <n v="0.0416233090530697"/>
        <n v="0.0420070011668611"/>
        <n v="0.0422794117647059"/>
        <n v="0.0442604226156482"/>
        <n v="0.0463414634146341"/>
        <n v="0.0503833515881709"/>
        <n v="0.0536231884057971"/>
        <n v="0.0564796905222437"/>
        <n v="0.0569148936170213"/>
        <n v="0.0572337042925278"/>
        <n v="0.0587889476778366"/>
        <n v="0.0602409638554217"/>
        <n v="0.0625294950448325"/>
        <n v="0.0651906519065191"/>
        <n v="0.0677368833202819"/>
        <n v="0.0678733031674208"/>
        <n v="0.0686658715283694"/>
        <n v="0.0716145833333333"/>
        <n v="0.0769653655854865"/>
        <n v="0.0785854616895874"/>
        <n v="0.0831202046035806"/>
        <n v="0.0849933598937583"/>
        <n v="0.121387283236994"/>
        <n v="0.156017830609212"/>
        <n v="0.212707182320442"/>
        <n v="0.244089091947459"/>
        <n v="0.250521920668058"/>
        <n v="0.335820895522388"/>
        <n v="0.348258706467662"/>
      </sharedItems>
    </cacheField>
    <cacheField name="Quality Ratio" numFmtId="0">
      <sharedItems containsSemiMixedTypes="0" containsString="0" containsNumber="1" minValue="0.522496371552975" maxValue="1" count="542">
        <n v="0.522496371552975"/>
        <n v="0.915329275041505"/>
        <n v="0.916030534351145"/>
        <n v="0.927631578947369"/>
        <n v="0.944444444444444"/>
        <n v="0.946695095948827"/>
        <n v="0.947075208913649"/>
        <n v="0.95054945054945"/>
        <n v="0.951456310679612"/>
        <n v="0.953095684803002"/>
        <n v="0.95585874799358"/>
        <n v="0.957324106113033"/>
        <n v="0.958932238193018"/>
        <n v="0.961864406779661"/>
        <n v="0.963157894736842"/>
        <n v="0.964169381107492"/>
        <n v="0.964473684210526"/>
        <n v="0.965130759651307"/>
        <n v="0.965349965349965"/>
        <n v="0.966747769667478"/>
        <n v="0.967592592592593"/>
        <n v="0.968948746726525"/>
        <n v="0.969125214408233"/>
        <n v="0.969842657342657"/>
        <n v="0.96986301369863"/>
        <n v="0.97054698457223"/>
        <n v="0.971332209106239"/>
        <n v="0.971349353049908"/>
        <n v="0.971428571428571"/>
        <n v="0.97161394971614"/>
        <n v="0.971731448763251"/>
        <n v="0.971953578336557"/>
        <n v="0.971954425942156"/>
        <n v="0.971977909592964"/>
        <n v="0.972185430463576"/>
        <n v="0.972434915773354"/>
        <n v="0.972972972972973"/>
        <n v="0.973096912259248"/>
        <n v="0.973128598848369"/>
        <n v="0.973169796857033"/>
        <n v="0.97319587628866"/>
        <n v="0.973451327433628"/>
        <n v="0.973833543505675"/>
        <n v="0.973860826563052"/>
        <n v="0.97442143727162"/>
        <n v="0.974550484094053"/>
        <n v="0.974830103196577"/>
        <n v="0.974892395982783"/>
        <n v="0.975640224859463"/>
        <n v="0.975974372664175"/>
        <n v="0.976"/>
        <n v="0.976049674748669"/>
        <n v="0.976270155156678"/>
        <n v="0.976284584980237"/>
        <n v="0.976495726495726"/>
        <n v="0.97669256381798"/>
        <n v="0.97687456201822"/>
        <n v="0.977158774373259"/>
        <n v="0.977234114848794"/>
        <n v="0.977257298031229"/>
        <n v="0.977364001460387"/>
        <n v="0.977826086956522"/>
        <n v="0.977834072197593"/>
        <n v="0.977981651376147"/>
        <n v="0.977998140687945"/>
        <n v="0.978050921861282"/>
        <n v="0.978299120234604"/>
        <n v="0.978354978354978"/>
        <n v="0.978408389882788"/>
        <n v="0.978498180615283"/>
        <n v="0.978567399887197"/>
        <n v="0.978571428571429"/>
        <n v="0.978679504814305"/>
        <n v="0.97869750456482"/>
        <n v="0.978867924528302"/>
        <n v="0.978933508887426"/>
        <n v="0.978943734898171"/>
        <n v="0.978954081632653"/>
        <n v="0.978964401294498"/>
        <n v="0.979002624671916"/>
        <n v="0.979154258487195"/>
        <n v="0.979344729344729"/>
        <n v="0.979351032448378"/>
        <n v="0.979430379746835"/>
        <n v="0.979460093896714"/>
        <n v="0.979527559055118"/>
        <n v="0.979550102249489"/>
        <n v="0.979554470552334"/>
        <n v="0.979572595851666"/>
        <n v="0.979601087941976"/>
        <n v="0.979637289214127"/>
        <n v="0.979643765903308"/>
        <n v="0.979895755770663"/>
        <n v="0.980500211954218"/>
        <n v="0.980637101811368"/>
        <n v="0.98072952512044"/>
        <n v="0.980732177263969"/>
        <n v="0.980883602378929"/>
        <n v="0.980923076923077"/>
        <n v="0.981392364453"/>
        <n v="0.98152221733392"/>
        <n v="0.981559094719195"/>
        <n v="0.981707317073171"/>
        <n v="0.981812169312169"/>
        <n v="0.982035928143712"/>
        <n v="0.98207171314741"/>
        <n v="0.982073498655512"/>
        <n v="0.982132221560453"/>
        <n v="0.982404692082111"/>
        <n v="0.982418371008253"/>
        <n v="0.982608695652174"/>
        <n v="0.982843137254902"/>
        <n v="0.982949701619778"/>
        <n v="0.983087330873309"/>
        <n v="0.98320033599328"/>
        <n v="0.98326359832636"/>
        <n v="0.983412322274882"/>
        <n v="0.983498349834984"/>
        <n v="0.983632357570035"/>
        <n v="0.983763132760267"/>
        <n v="0.983805668016194"/>
        <n v="0.983846542150429"/>
        <n v="0.983859649122807"/>
        <n v="0.983870967741935"/>
        <n v="0.984009840098401"/>
        <n v="0.984031936127744"/>
        <n v="0.98406747891284"/>
        <n v="0.984175084175084"/>
        <n v="0.984310649146892"/>
        <n v="0.984443061605476"/>
        <n v="0.98445778876722"/>
        <n v="0.984490896830748"/>
        <n v="0.984662576687117"/>
        <n v="0.984673221515327"/>
        <n v="0.984686681442676"/>
        <n v="0.984802431610942"/>
        <n v="0.984848484848485"/>
        <n v="0.984864864864865"/>
        <n v="0.984905660377359"/>
        <n v="0.984907497565725"/>
        <n v="0.984911986588432"/>
        <n v="0.984929671801742"/>
        <n v="0.984982332155477"/>
        <n v="0.984995586937334"/>
        <n v="0.985096153846154"/>
        <n v="0.985110663983904"/>
        <n v="0.985110990795885"/>
        <n v="0.98515625"/>
        <n v="0.985274431057564"/>
        <n v="0.985288640595903"/>
        <n v="0.985374771480804"/>
        <n v="0.985454545454545"/>
        <n v="0.985507246376812"/>
        <n v="0.985641891891892"/>
        <n v="0.985719654265314"/>
        <n v="0.985727029438002"/>
        <n v="0.985815602836879"/>
        <n v="0.985826771653543"/>
        <n v="0.98590021691974"/>
        <n v="0.985915492957746"/>
        <n v="0.985947161326588"/>
        <n v="0.986027944111776"/>
        <n v="0.986072423398329"/>
        <n v="0.986093552465234"/>
        <n v="0.986117997025285"/>
        <n v="0.98615548455804"/>
        <n v="0.98620522749274"/>
        <n v="0.986283185840708"/>
        <n v="0.986294416243655"/>
        <n v="0.986318803690741"/>
        <n v="0.986414920561824"/>
        <n v="0.986494421608925"/>
        <n v="0.986509274873524"/>
        <n v="0.986568986568987"/>
        <n v="0.98659217877095"/>
        <n v="0.986708510245523"/>
        <n v="0.986728599867286"/>
        <n v="0.986771540936718"/>
        <n v="0.986857142857143"/>
        <n v="0.986878580669008"/>
        <n v="0.986901643248392"/>
        <n v="0.98695652173913"/>
        <n v="0.986965966690804"/>
        <n v="0.986984008925251"/>
        <n v="0.986988847583643"/>
        <n v="0.987000928505107"/>
        <n v="0.987085237432943"/>
        <n v="0.987108655616943"/>
        <n v="0.987114408434205"/>
        <n v="0.987123009149441"/>
        <n v="0.987124463519313"/>
        <n v="0.987261146496815"/>
        <n v="0.987370320252594"/>
        <n v="0.987398072646405"/>
        <n v="0.987437650101607"/>
        <n v="0.987448519317513"/>
        <n v="0.987457240592931"/>
        <n v="0.987479712497102"/>
        <n v="0.987480438184664"/>
        <n v="0.98748495788207"/>
        <n v="0.987514863258026"/>
        <n v="0.987604070305273"/>
        <n v="0.987628243814122"/>
        <n v="0.987630827783064"/>
        <n v="0.987666034155598"/>
        <n v="0.987699132889695"/>
        <n v="0.987755102040816"/>
        <n v="0.987791342952275"/>
        <n v="0.98780487804878"/>
        <n v="0.987852664576803"/>
        <n v="0.987878787878788"/>
        <n v="0.987883107626515"/>
        <n v="0.987884436160298"/>
        <n v="0.987902475339661"/>
        <n v="0.987908101571947"/>
        <n v="0.987951807228916"/>
        <n v="0.987956989247312"/>
        <n v="0.987980769230769"/>
        <n v="0.988015978695073"/>
        <n v="0.988106129917658"/>
        <n v="0.988122962272939"/>
        <n v="0.988142292490119"/>
        <n v="0.98815241754723"/>
        <n v="0.988152804642166"/>
        <n v="0.98815331010453"/>
        <n v="0.988172043010753"/>
        <n v="0.988232986860169"/>
        <n v="0.988235294117647"/>
        <n v="0.988248847926267"/>
        <n v="0.988253719655442"/>
        <n v="0.98825831702544"/>
        <n v="0.988269794721408"/>
        <n v="0.98828125"/>
        <n v="0.988282750672301"/>
        <n v="0.988310708898944"/>
        <n v="0.988311688311688"/>
        <n v="0.988527131782946"/>
        <n v="0.988561151079137"/>
        <n v="0.98861852433281"/>
        <n v="0.988711194731891"/>
        <n v="0.988720592974541"/>
        <n v="0.988804841149773"/>
        <n v="0.988805970149254"/>
        <n v="0.988822652757079"/>
        <n v="0.988865012697793"/>
        <n v="0.988879197557785"/>
        <n v="0.988911476621697"/>
        <n v="0.98892490545651"/>
        <n v="0.988935721812434"/>
        <n v="0.989090909090909"/>
        <n v="0.989097516656572"/>
        <n v="0.98910411622276"/>
        <n v="0.989119683481701"/>
        <n v="0.989166666666667"/>
        <n v="0.989268947015426"/>
        <n v="0.989287964713295"/>
        <n v="0.989315068493151"/>
        <n v="0.989330746847721"/>
        <n v="0.989359391965255"/>
        <n v="0.989389920424403"/>
        <n v="0.989569990850869"/>
        <n v="0.9896"/>
        <n v="0.989633469085524"/>
        <n v="0.989637305699482"/>
        <n v="0.98972602739726"/>
        <n v="0.989742666906604"/>
        <n v="0.989775855289029"/>
        <n v="0.989861058956065"/>
        <n v="0.989863547758285"/>
        <n v="0.989917506874427"/>
        <n v="0.989926436476904"/>
        <n v="0.989937797292353"/>
        <n v="0.989954796584631"/>
        <n v="0.989958847736625"/>
        <n v="0.989996224990562"/>
        <n v="0.990071978158352"/>
        <n v="0.99009900990099"/>
        <n v="0.990139408364502"/>
        <n v="0.990166414523449"/>
        <n v="0.990176817288802"/>
        <n v="0.990263595345524"/>
        <n v="0.99030303030303"/>
        <n v="0.990350595046639"/>
        <n v="0.990356798457088"/>
        <n v="0.990393329708175"/>
        <n v="0.990445859872611"/>
        <n v="0.990502989799507"/>
        <n v="0.990514410798978"/>
        <n v="0.990532544378698"/>
        <n v="0.990607388854101"/>
        <n v="0.990635973468591"/>
        <n v="0.990667833187518"/>
        <n v="0.990696825975921"/>
        <n v="0.990728476821192"/>
        <n v="0.990757128810226"/>
        <n v="0.99076354679803"/>
        <n v="0.990799031476998"/>
        <n v="0.990808823529412"/>
        <n v="0.990812720848057"/>
        <n v="0.990825688073394"/>
        <n v="0.990840965861782"/>
        <n v="0.990936555891239"/>
        <n v="0.99099606077659"/>
        <n v="0.991052993805919"/>
        <n v="0.991071428571429"/>
        <n v="0.991078256436401"/>
        <n v="0.991083039197473"/>
        <n v="0.991160220994475"/>
        <n v="0.991204124962087"/>
        <n v="0.991235758106924"/>
        <n v="0.991249005568815"/>
        <n v="0.991272092515819"/>
        <n v="0.991312931885489"/>
        <n v="0.991449337323643"/>
        <n v="0.9915"/>
        <n v="0.9915770609319"/>
        <n v="0.991593498972539"/>
        <n v="0.991605456453305"/>
        <n v="0.991671293725708"/>
        <n v="0.991672834937084"/>
        <n v="0.991735537190083"/>
        <n v="0.991983967935872"/>
        <n v="0.991987179487179"/>
        <n v="0.99203187250996"/>
        <n v="0.992063492063492"/>
        <n v="0.992110453648915"/>
        <n v="0.99217799409004"/>
        <n v="0.992178770949721"/>
        <n v="0.992214869599066"/>
        <n v="0.992277265021661"/>
        <n v="0.99244435368593"/>
        <n v="0.992495022208608"/>
        <n v="0.992594926737041"/>
        <n v="0.992605633802817"/>
        <n v="0.992642140468227"/>
        <n v="0.992691315563199"/>
        <n v="0.99275887038378"/>
        <n v="0.99290780141844"/>
        <n v="0.99293059125964"/>
        <n v="0.993"/>
        <n v="0.993012136815005"/>
        <n v="0.993013100436681"/>
        <n v="0.993028119916337"/>
        <n v="0.993031358885017"/>
        <n v="0.993041749502982"/>
        <n v="0.993170731707317"/>
        <n v="0.993177098783744"/>
        <n v="0.993197278911565"/>
        <n v="0.99321304419798"/>
        <n v="0.993311036789298"/>
        <n v="0.993501577287066"/>
        <n v="0.993560257589696"/>
        <n v="0.993579454253612"/>
        <n v="0.993587786259542"/>
        <n v="0.993608367228356"/>
        <n v="0.993620123951878"/>
        <n v="0.993636363636364"/>
        <n v="0.993674525589419"/>
        <n v="0.993725099601594"/>
        <n v="0.993801140590131"/>
        <n v="0.993877104745244"/>
        <n v="0.993884120171674"/>
        <n v="0.993989481592787"/>
        <n v="0.994"/>
        <n v="0.994108405341713"/>
        <n v="0.994108983799706"/>
        <n v="0.994213571804314"/>
        <n v="0.9944823962165"/>
        <n v="0.99449173760641"/>
        <n v="0.994642857142857"/>
        <n v="0.994739249771272"/>
        <n v="0.994755540517679"/>
        <n v="0.994793752503004"/>
        <n v="0.994794520547945"/>
        <n v="0.994876174210077"/>
        <n v="0.994910941475827"/>
        <n v="0.994965034965035"/>
        <n v="0.99502487562189"/>
        <n v="0.995040297582145"/>
        <n v="0.995040650406504"/>
        <n v="0.995062836624776"/>
        <n v="0.995107962213225"/>
        <n v="0.995120415551708"/>
        <n v="0.995121951219512"/>
        <n v="0.99515106303618"/>
        <n v="0.995205479452055"/>
        <n v="0.995237313187716"/>
        <n v="0.995301770870979"/>
        <n v="0.995475113122172"/>
        <n v="0.99547619047619"/>
        <n v="0.99548532731377"/>
        <n v="0.995673617720862"/>
        <n v="0.995711835334477"/>
        <n v="0.995712902779698"/>
        <n v="0.995811965811966"/>
        <n v="0.995824634655532"/>
        <n v="0.995826377295492"/>
        <n v="0.995850622406639"/>
        <n v="0.99586621570838"/>
        <n v="0.995879120879121"/>
        <n v="0.995961538461538"/>
        <n v="0.9959630911188"/>
        <n v="0.995965417867435"/>
        <n v="0.99597423510467"/>
        <n v="0.99601593625498"/>
        <n v="0.996036036036036"/>
        <n v="0.996037249851397"/>
        <n v="0.996053373426048"/>
        <n v="0.996059889676911"/>
        <n v="0.996150144369586"/>
        <n v="0.996309963099631"/>
        <n v="0.996344300432037"/>
        <n v="0.996376811594203"/>
        <n v="0.996384615384615"/>
        <n v="0.996448022732655"/>
        <n v="0.996448715270524"/>
        <n v="0.996550402453047"/>
        <n v="0.996589147286822"/>
        <n v="0.996644295302013"/>
        <n v="0.996677740863787"/>
        <n v="0.996704021094265"/>
        <n v="0.996742671009772"/>
        <n v="0.996768178993163"/>
        <n v="0.996797385620915"/>
        <n v="0.996951219512195"/>
        <n v="0.996987951807229"/>
        <n v="0.997"/>
        <n v="0.997017543859649"/>
        <n v="0.997177798682973"/>
        <n v="0.997226890756303"/>
        <n v="0.997229916897507"/>
        <n v="0.997271773347324"/>
        <n v="0.997284084736556"/>
        <n v="0.997303464011616"/>
        <n v="0.997304582210242"/>
        <n v="0.997317631665031"/>
        <n v="0.997340425531915"/>
        <n v="0.997350492051476"/>
        <n v="0.997359735973597"/>
        <n v="0.9975"/>
        <n v="0.997505543237251"/>
        <n v="0.997518610421836"/>
        <n v="0.997598374284131"/>
        <n v="0.997605746209098"/>
        <n v="0.997606148418798"/>
        <n v="0.997609561752988"/>
        <n v="0.997622820919176"/>
        <n v="0.99767108563239"/>
        <n v="0.997735849056604"/>
        <n v="0.997744360902256"/>
        <n v="0.997817614964926"/>
        <n v="0.997826086956522"/>
        <n v="0.997869900049156"/>
        <n v="0.997914995990377"/>
        <n v="0.99792349726776"/>
        <n v="0.997932053175775"/>
        <n v="0.9979633401222"/>
        <n v="0.998042356291155"/>
        <n v="0.998067632850242"/>
        <n v="0.998181818181818"/>
        <n v="0.998242530755712"/>
        <n v="0.998256537982565"/>
        <n v="0.998263888888889"/>
        <n v="0.998269896193772"/>
        <n v="0.99836867862969"/>
        <n v="0.998454404945904"/>
        <n v="0.998461538461538"/>
        <n v="0.998463901689708"/>
        <n v="0.998466257668712"/>
        <n v="0.99849510910459"/>
        <n v="0.998502246630055"/>
        <n v="0.998505231689088"/>
        <n v="0.998550724637681"/>
        <n v="0.998573466476462"/>
        <n v="0.998577524893314"/>
        <n v="0.99866844207723"/>
        <n v="0.99867080194949"/>
        <n v="0.99867197875166"/>
        <n v="0.998685939553219"/>
        <n v="0.998736503560763"/>
        <n v="0.998750694058856"/>
        <n v="0.998754049339646"/>
        <n v="0.998789346246973"/>
        <n v="0.998790810157195"/>
        <n v="0.998805256869773"/>
        <n v="0.998813197246618"/>
        <n v="0.998823529411765"/>
        <n v="0.998824221046443"/>
        <n v="0.99889012208657"/>
        <n v="0.998892580287929"/>
        <n v="0.998896044158234"/>
        <n v="0.998939179632249"/>
        <n v="0.998939929328622"/>
        <n v="0.998947368421053"/>
        <n v="0.999000999000999"/>
        <n v="0.999002991026919"/>
        <n v="0.999005634736493"/>
        <n v="0.999063378083047"/>
        <n v="0.999067816359823"/>
        <n v="0.999074074074074"/>
        <n v="0.999093052784328"/>
        <n v="0.99911190053286"/>
        <n v="0.999136069114471"/>
        <n v="0.999137187230371"/>
        <n v="0.999142857142857"/>
        <n v="0.999151103565365"/>
        <n v="0.999180327868852"/>
        <n v="0.999186613990239"/>
        <n v="0.999195171026157"/>
        <n v="0.999200639488409"/>
        <n v="0.999201915403033"/>
        <n v="0.999231360491929"/>
        <n v="0.999231950844854"/>
        <n v="0.999246987951807"/>
        <n v="0.999274310595065"/>
        <n v="0.999286733238231"/>
        <n v="0.999384615384615"/>
        <n v="0.999423409571401"/>
        <n v="0.999434282481614"/>
        <n v="0.999442741710783"/>
        <n v="0.999466950959488"/>
        <n v="0.999500249875062"/>
        <n v="0.999501246882793"/>
        <n v="0.99950149551346"/>
        <n v="0.999524940617577"/>
        <n v="0.999540493968983"/>
        <n v="0.999557717823972"/>
        <n v="0.999566160520607"/>
        <n v="0.999600798403194"/>
        <n v="0.999601593625498"/>
        <n v="0.999637023593466"/>
        <n v="0.999637286906057"/>
        <n v="0.999714285714286"/>
        <n v="0.99972602739726"/>
        <n v="0.999737440924208"/>
        <n v="0.999755037050646"/>
        <n v="0.999806987068133"/>
        <n v="0.999815685190305"/>
        <n v="0.999868282402529"/>
        <n v="0.999876451692612"/>
        <n v="0.999886020402348"/>
        <n v="1"/>
      </sharedItems>
    </cacheField>
    <cacheField name="Break down Hrs" numFmtId="0">
      <sharedItems containsSemiMixedTypes="0" containsString="0" containsNumber="1" minValue="0" maxValue="7.16666666666667" count="53">
        <n v="0"/>
        <n v="0.15"/>
        <n v="0.166666666666667"/>
        <n v="0.216666666666667"/>
        <n v="0.25"/>
        <n v="0.333333333333333"/>
        <n v="0.416666666666667"/>
        <n v="0.5"/>
        <n v="0.583333333333333"/>
        <n v="0.666666666666667"/>
        <n v="0.75"/>
        <n v="0.833333333333333"/>
        <n v="0.916666666666667"/>
        <n v="1"/>
        <n v="1.08333333333333"/>
        <n v="1.16666666666667"/>
        <n v="1.25"/>
        <n v="1.28333333333333"/>
        <n v="1.33333333333333"/>
        <n v="1.41666666666667"/>
        <n v="1.5"/>
        <n v="1.66666666666667"/>
        <n v="1.75"/>
        <n v="1.83333333333333"/>
        <n v="2"/>
        <n v="2.08333333333333"/>
        <n v="2.16666666666667"/>
        <n v="2.33333333333333"/>
        <n v="2.41666666666667"/>
        <n v="2.5"/>
        <n v="2.66666666666667"/>
        <n v="2.83333333333333"/>
        <n v="2.91666666666667"/>
        <n v="3"/>
        <n v="3.16666666666667"/>
        <n v="3.33333333333333"/>
        <n v="3.5"/>
        <n v="3.66666666666667"/>
        <n v="3.83333333333333"/>
        <n v="4"/>
        <n v="4.08333333333333"/>
        <n v="4.25"/>
        <n v="4.5"/>
        <n v="4.66666666666667"/>
        <n v="4.83333333333333"/>
        <n v="5"/>
        <n v="5.16666666666667"/>
        <n v="5.25"/>
        <n v="5.5"/>
        <n v="5.66666666666667"/>
        <n v="6.08333333333333"/>
        <n v="6.33333333333333"/>
        <n v="7.16666666666667"/>
      </sharedItems>
    </cacheField>
    <cacheField name="Total Running Hrs" numFmtId="0">
      <sharedItems containsSemiMixedTypes="0" containsString="0" containsNumber="1" minValue="0.083333333333333" maxValue="10.5" count="95">
        <n v="0.083333333333333"/>
        <n v="0.1"/>
        <n v="0.166666666666667"/>
        <n v="0.283333333333333"/>
        <n v="0.3"/>
        <n v="0.333333333333333"/>
        <n v="0.5"/>
        <n v="0.6"/>
        <n v="0.616666666666667"/>
        <n v="0.666666666666667"/>
        <n v="0.75"/>
        <n v="0.8"/>
        <n v="0.83333333333333"/>
        <n v="0.95"/>
        <n v="1"/>
        <n v="1.03333333333333"/>
        <n v="1.16666666666667"/>
        <n v="1.2"/>
        <n v="1.33333333333333"/>
        <n v="1.4"/>
        <n v="1.5"/>
        <n v="1.53333333333333"/>
        <n v="1.6"/>
        <n v="1.66666666666667"/>
        <n v="1.8"/>
        <n v="1.83333333333333"/>
        <n v="1.91666666666667"/>
        <n v="2"/>
        <n v="2.16666666666667"/>
        <n v="2.25"/>
        <n v="2.3"/>
        <n v="2.33333333333333"/>
        <n v="2.4"/>
        <n v="2.5"/>
        <n v="2.66666666666667"/>
        <n v="2.7"/>
        <n v="2.75"/>
        <n v="2.83333333333333"/>
        <n v="2.96666666666667"/>
        <n v="3"/>
        <n v="3.15"/>
        <n v="3.16666666666667"/>
        <n v="3.25"/>
        <n v="3.33333333333333"/>
        <n v="3.5"/>
        <n v="3.66666666666667"/>
        <n v="3.75"/>
        <n v="3.8"/>
        <n v="3.83333333333333"/>
        <n v="3.91666666666667"/>
        <n v="4"/>
        <n v="4.16666666666667"/>
        <n v="4.33333333333333"/>
        <n v="4.5"/>
        <n v="4.58333333333333"/>
        <n v="4.66666666666667"/>
        <n v="4.83333333333333"/>
        <n v="5"/>
        <n v="5.06666666666667"/>
        <n v="5.08333333333333"/>
        <n v="5.16666666666667"/>
        <n v="5.33333333333333"/>
        <n v="5.36666666666667"/>
        <n v="5.5"/>
        <n v="5.58333333333333"/>
        <n v="5.66666666666667"/>
        <n v="5.75"/>
        <n v="5.83333333333333"/>
        <n v="5.91666666666667"/>
        <n v="6"/>
        <n v="6.16666666666667"/>
        <n v="6.25"/>
        <n v="6.33333333333333"/>
        <n v="6.5"/>
        <n v="6.58333333333333"/>
        <n v="6.66666666666667"/>
        <n v="6.71666666666667"/>
        <n v="6.73333333333333"/>
        <n v="6.75"/>
        <n v="6.8"/>
        <n v="6.83333333333333"/>
        <n v="6.91666666666667"/>
        <n v="7"/>
        <n v="7.08333333333333"/>
        <n v="7.13333333333333"/>
        <n v="7.16666666666667"/>
        <n v="7.25"/>
        <n v="7.33333333333333"/>
        <n v="7.41666666666667"/>
        <n v="7.5"/>
        <n v="7.66666666666667"/>
        <n v="7.83333333333333"/>
        <n v="8"/>
        <n v="8.5"/>
        <n v="10.5"/>
      </sharedItems>
    </cacheField>
    <cacheField name="Machine Availability" numFmtId="0">
      <sharedItems containsSemiMixedTypes="0" containsString="0" containsNumber="1" minValue="0.104166666666666" maxValue="1" count="108">
        <n v="0.104166666666666"/>
        <n v="0.166666666666667"/>
        <n v="0.2"/>
        <n v="0.208333333333332"/>
        <n v="0.208333333333334"/>
        <n v="0.239583333333334"/>
        <n v="0.277777777777777"/>
        <n v="0.291666666666666"/>
        <n v="0.3125"/>
        <n v="0.333333333333333"/>
        <n v="0.34375"/>
        <n v="0.354166666666667"/>
        <n v="0.375"/>
        <n v="0.388888888888889"/>
        <n v="0.404761904761904"/>
        <n v="0.411764705882353"/>
        <n v="0.416666666666667"/>
        <n v="0.431372549019608"/>
        <n v="0.4375"/>
        <n v="0.444444444444443"/>
        <n v="0.454545454545455"/>
        <n v="0.46875"/>
        <n v="0.476190476190477"/>
        <n v="0.489583333333333"/>
        <n v="0.5"/>
        <n v="0.513888888888889"/>
        <n v="0.520833333333334"/>
        <n v="0.541666666666667"/>
        <n v="0.555555555555555"/>
        <n v="0.558823529411765"/>
        <n v="0.5625"/>
        <n v="0.583333333333332"/>
        <n v="0.588235294117647"/>
        <n v="0.592592592592593"/>
        <n v="0.6"/>
        <n v="0.604166666666666"/>
        <n v="0.611111111111111"/>
        <n v="0.615384615384615"/>
        <n v="0.625"/>
        <n v="0.633333333333334"/>
        <n v="0.635416666666666"/>
        <n v="0.636363636363636"/>
        <n v="0.638888888888889"/>
        <n v="0.645833333333334"/>
        <n v="0.655172413793103"/>
        <n v="0.666666666666666"/>
        <n v="0.6875"/>
        <n v="0.689922480620155"/>
        <n v="0.697916666666666"/>
        <n v="0.7"/>
        <n v="0.703703703703704"/>
        <n v="0.708333333333332"/>
        <n v="0.722222222222222"/>
        <n v="0.729166666666666"/>
        <n v="0.733333333333333"/>
        <n v="0.739583333333334"/>
        <n v="0.745098039215686"/>
        <n v="0.75"/>
        <n v="0.766666666666666"/>
        <n v="0.770833333333334"/>
        <n v="0.777777777777778"/>
        <n v="0.78125"/>
        <n v="0.784313725490196"/>
        <n v="0.791666666666666"/>
        <n v="0.8"/>
        <n v="0.8125"/>
        <n v="0.814814814814815"/>
        <n v="0.821428571428571"/>
        <n v="0.822222222222222"/>
        <n v="0.822916666666666"/>
        <n v="0.823529411764706"/>
        <n v="0.827586206896552"/>
        <n v="0.833333333333333"/>
        <n v="0.839583333333333"/>
        <n v="0.84375"/>
        <n v="0.848484848484848"/>
        <n v="0.851851851851852"/>
        <n v="0.854166666666666"/>
        <n v="0.857142857142857"/>
        <n v="0.861111111111111"/>
        <n v="0.864583333333334"/>
        <n v="0.865591397849462"/>
        <n v="0.866666666666667"/>
        <n v="0.871794871794872"/>
        <n v="0.875"/>
        <n v="0.880952380952381"/>
        <n v="0.885416666666667"/>
        <n v="0.888888888888889"/>
        <n v="0.892857142857143"/>
        <n v="0.895833333333333"/>
        <n v="0.9"/>
        <n v="0.901960784313726"/>
        <n v="0.904761904761905"/>
        <n v="0.90625"/>
        <n v="0.909090909090909"/>
        <n v="0.90990990990991"/>
        <n v="0.914529914529915"/>
        <n v="0.916666666666667"/>
        <n v="0.92156862745098"/>
        <n v="0.927083333333333"/>
        <n v="0.933333333333333"/>
        <n v="0.9375"/>
        <n v="0.938271604938272"/>
        <n v="0.952380952380952"/>
        <n v="0.954545454545455"/>
        <n v="0.958333333333333"/>
        <n v="0.962962962962963"/>
        <n v="1"/>
      </sharedItems>
    </cacheField>
    <cacheField name="Actual output per hr" numFmtId="0">
      <sharedItems containsSemiMixedTypes="0" containsString="0" containsNumber="1" minValue="14" maxValue="3188.5" count="431">
        <n v="14"/>
        <n v="16.6666666666667"/>
        <n v="50"/>
        <n v="51"/>
        <n v="68.5"/>
        <n v="75"/>
        <n v="94.5"/>
        <n v="100"/>
        <n v="105"/>
        <n v="110"/>
        <n v="120"/>
        <n v="135"/>
        <n v="148"/>
        <n v="148.5"/>
        <n v="162.5"/>
        <n v="165"/>
        <n v="180"/>
        <n v="189"/>
        <n v="190"/>
        <n v="192.5"/>
        <n v="193.125"/>
        <n v="194.588235294118"/>
        <n v="195"/>
        <n v="197.5"/>
        <n v="198"/>
        <n v="202"/>
        <n v="202.5"/>
        <n v="209"/>
        <n v="210"/>
        <n v="216"/>
        <n v="223.333333333333"/>
        <n v="228.5"/>
        <n v="231.125"/>
        <n v="247.294117647059"/>
        <n v="250"/>
        <n v="251.162790697674"/>
        <n v="255"/>
        <n v="256.5"/>
        <n v="266.666666666667"/>
        <n v="267.333333333333"/>
        <n v="269.818181818182"/>
        <n v="270"/>
        <n v="276"/>
        <n v="277.5"/>
        <n v="280"/>
        <n v="285"/>
        <n v="288"/>
        <n v="292.75"/>
        <n v="297"/>
        <n v="300"/>
        <n v="303.666666666667"/>
        <n v="306.333333333333"/>
        <n v="309.375"/>
        <n v="312"/>
        <n v="315"/>
        <n v="320"/>
        <n v="321"/>
        <n v="324"/>
        <n v="325"/>
        <n v="325.333333333333"/>
        <n v="330"/>
        <n v="337.5"/>
        <n v="342.375"/>
        <n v="351"/>
        <n v="352.941176470588"/>
        <n v="353.125"/>
        <n v="353.375"/>
        <n v="355"/>
        <n v="360"/>
        <n v="360.8"/>
        <n v="364.5"/>
        <n v="370"/>
        <n v="375"/>
        <n v="377.5"/>
        <n v="378"/>
        <n v="381.818181818182"/>
        <n v="382.5"/>
        <n v="383.333333333333"/>
        <n v="384"/>
        <n v="391.5"/>
        <n v="391.666666666667"/>
        <n v="392.727272727273"/>
        <n v="396.888888888889"/>
        <n v="400"/>
        <n v="401.25"/>
        <n v="402.25"/>
        <n v="405"/>
        <n v="405.75"/>
        <n v="410"/>
        <n v="412.5"/>
        <n v="414"/>
        <n v="416.666666666667"/>
        <n v="418.5"/>
        <n v="419.294117647059"/>
        <n v="419.5"/>
        <n v="420"/>
        <n v="425"/>
        <n v="425.625"/>
        <n v="426"/>
        <n v="428.571428571429"/>
        <n v="430.625"/>
        <n v="432"/>
        <n v="437"/>
        <n v="441.333333333333"/>
        <n v="444.705882352941"/>
        <n v="446.4"/>
        <n v="450"/>
        <n v="451.666666666667"/>
        <n v="452"/>
        <n v="454.875"/>
        <n v="457.692307692308"/>
        <n v="459"/>
        <n v="460"/>
        <n v="462.142857142857"/>
        <n v="462.375"/>
        <n v="462.5"/>
        <n v="468.75"/>
        <n v="471.428571428571"/>
        <n v="472.5"/>
        <n v="473.5"/>
        <n v="475"/>
        <n v="476.8"/>
        <n v="479.666666666667"/>
        <n v="480.833333333333"/>
        <n v="483.448275862069"/>
        <n v="484.285714285714"/>
        <n v="486"/>
        <n v="486.875"/>
        <n v="488"/>
        <n v="490.588235294118"/>
        <n v="495"/>
        <n v="499.5"/>
        <n v="500"/>
        <n v="505"/>
        <n v="506.25"/>
        <n v="510"/>
        <n v="511.111111111111"/>
        <n v="511.428571428572"/>
        <n v="512.5"/>
        <n v="516"/>
        <n v="516.129032258065"/>
        <n v="519"/>
        <n v="520"/>
        <n v="521.25"/>
        <n v="521.428571428571"/>
        <n v="521.666666666667"/>
        <n v="523.333333333333"/>
        <n v="525"/>
        <n v="525.25"/>
        <n v="526.25"/>
        <n v="527.5"/>
        <n v="530"/>
        <n v="531.428571428571"/>
        <n v="531.5"/>
        <n v="533.333333333333"/>
        <n v="537.375"/>
        <n v="537.5"/>
        <n v="540"/>
        <n v="541.25"/>
        <n v="545.454545454546"/>
        <n v="549"/>
        <n v="550"/>
        <n v="550.666666666667"/>
        <n v="555.555555555556"/>
        <n v="555.666666666667"/>
        <n v="559.058823529412"/>
        <n v="560"/>
        <n v="560.833333333333"/>
        <n v="562.5"/>
        <n v="566.666666666667"/>
        <n v="568.285714285714"/>
        <n v="568.5"/>
        <n v="569.733333333333"/>
        <n v="571.428571428571"/>
        <n v="572.5"/>
        <n v="575"/>
        <n v="578"/>
        <n v="578.25"/>
        <n v="580.5"/>
        <n v="581.818181818182"/>
        <n v="582.5"/>
        <n v="583.333333333333"/>
        <n v="583.636363636364"/>
        <n v="583.75"/>
        <n v="585"/>
        <n v="587.5"/>
        <n v="594"/>
        <n v="596.25"/>
        <n v="600"/>
        <n v="602.5"/>
        <n v="605"/>
        <n v="606.25"/>
        <n v="607.5"/>
        <n v="609.882352941176"/>
        <n v="611"/>
        <n v="612.5"/>
        <n v="615.384615384615"/>
        <n v="618.5"/>
        <n v="618.75"/>
        <n v="619.764705882353"/>
        <n v="621"/>
        <n v="622.588235294118"/>
        <n v="623"/>
        <n v="625"/>
        <n v="626.5"/>
        <n v="630"/>
        <n v="630.75"/>
        <n v="636.923076923077"/>
        <n v="637.5"/>
        <n v="637.538461538462"/>
        <n v="648"/>
        <n v="650"/>
        <n v="660"/>
        <n v="661.5"/>
        <n v="662.5"/>
        <n v="666.666666666667"/>
        <n v="668.75"/>
        <n v="673.333333333333"/>
        <n v="675"/>
        <n v="685.5"/>
        <n v="687.5"/>
        <n v="690"/>
        <n v="694"/>
        <n v="696.125"/>
        <n v="700"/>
        <n v="712.5"/>
        <n v="717"/>
        <n v="717.6"/>
        <n v="725"/>
        <n v="730"/>
        <n v="735"/>
        <n v="741.176470588235"/>
        <n v="743.764705882353"/>
        <n v="748"/>
        <n v="750"/>
        <n v="757.5"/>
        <n v="761.875"/>
        <n v="762.352941176471"/>
        <n v="772.727272727273"/>
        <n v="773.125"/>
        <n v="775"/>
        <n v="777.5"/>
        <n v="787.5"/>
        <n v="790"/>
        <n v="792.5"/>
        <n v="793.75"/>
        <n v="800"/>
        <n v="800.125"/>
        <n v="808.75"/>
        <n v="810"/>
        <n v="812"/>
        <n v="812.5"/>
        <n v="823.5"/>
        <n v="824"/>
        <n v="825"/>
        <n v="830.375"/>
        <n v="833.333333333333"/>
        <n v="834"/>
        <n v="837.5"/>
        <n v="838.75"/>
        <n v="849"/>
        <n v="849.647058823529"/>
        <n v="850"/>
        <n v="852.5"/>
        <n v="854.352941176471"/>
        <n v="855"/>
        <n v="856.25"/>
        <n v="857.142857142857"/>
        <n v="858.125"/>
        <n v="860"/>
        <n v="862.5"/>
        <n v="863.75"/>
        <n v="863.783783783784"/>
        <n v="866.428571428571"/>
        <n v="868.571428571429"/>
        <n v="874.25"/>
        <n v="874.285714285714"/>
        <n v="874.75"/>
        <n v="875"/>
        <n v="880"/>
        <n v="881.25"/>
        <n v="881.333333333333"/>
        <n v="886.8"/>
        <n v="887.5"/>
        <n v="888.888888888889"/>
        <n v="889.285714285714"/>
        <n v="893.75"/>
        <n v="896.25"/>
        <n v="896.428571428572"/>
        <n v="900"/>
        <n v="906.5"/>
        <n v="910.75"/>
        <n v="911"/>
        <n v="911.764705882353"/>
        <n v="912.25"/>
        <n v="912.5"/>
        <n v="914.285714285714"/>
        <n v="915"/>
        <n v="918.75"/>
        <n v="920"/>
        <n v="923.076923076923"/>
        <n v="924"/>
        <n v="925"/>
        <n v="933.333333333333"/>
        <n v="937.5"/>
        <n v="943.333333333333"/>
        <n v="955.555555555556"/>
        <n v="978.260869565218"/>
        <n v="987.5"/>
        <n v="990"/>
        <n v="993"/>
        <n v="994"/>
        <n v="997"/>
        <n v="1000"/>
        <n v="1010"/>
        <n v="1025"/>
        <n v="1036.2"/>
        <n v="1038.625"/>
        <n v="1040"/>
        <n v="1058.11764705882"/>
        <n v="1089.76470588235"/>
        <n v="1117.6"/>
        <n v="1124.5"/>
        <n v="1137.5"/>
        <n v="1141.375"/>
        <n v="1162.5"/>
        <n v="1166.66666666667"/>
        <n v="1187.5"/>
        <n v="1191"/>
        <n v="1193"/>
        <n v="1198"/>
        <n v="1200"/>
        <n v="1216.66666666667"/>
        <n v="1250"/>
        <n v="1260"/>
        <n v="1275"/>
        <n v="1281.42857142857"/>
        <n v="1283.33333333333"/>
        <n v="1287.5"/>
        <n v="1300"/>
        <n v="1314"/>
        <n v="1320"/>
        <n v="1333.33333333333"/>
        <n v="1343.88235294118"/>
        <n v="1353.76470588235"/>
        <n v="1356.125"/>
        <n v="1360"/>
        <n v="1370.58823529412"/>
        <n v="1375"/>
        <n v="1396.11764705882"/>
        <n v="1412.5"/>
        <n v="1437.17647058824"/>
        <n v="1437.5"/>
        <n v="1439.88235294118"/>
        <n v="1440"/>
        <n v="1450.54545454545"/>
        <n v="1456.375"/>
        <n v="1458.75"/>
        <n v="1464"/>
        <n v="1480"/>
        <n v="1500"/>
        <n v="1500.23529411765"/>
        <n v="1523.88235294118"/>
        <n v="1531.33333333333"/>
        <n v="1543.05882352941"/>
        <n v="1567.875"/>
        <n v="1575.29411764706"/>
        <n v="1587.5"/>
        <n v="1600"/>
        <n v="1600.8"/>
        <n v="1603.73333333333"/>
        <n v="1607"/>
        <n v="1607.71428571429"/>
        <n v="1626.66666666667"/>
        <n v="1638.23529411765"/>
        <n v="1647.93103448276"/>
        <n v="1650"/>
        <n v="1682.22222222222"/>
        <n v="1717.625"/>
        <n v="1722.4"/>
        <n v="1727"/>
        <n v="1737.5"/>
        <n v="1740.2"/>
        <n v="1745.23076923077"/>
        <n v="1750"/>
        <n v="1757.29411764706"/>
        <n v="1778.5"/>
        <n v="1793.41176470588"/>
        <n v="1794.23529411765"/>
        <n v="1795.5"/>
        <n v="1798.75"/>
        <n v="1816.25"/>
        <n v="1826.08695652174"/>
        <n v="1837.28571428571"/>
        <n v="1863.05882352941"/>
        <n v="1870"/>
        <n v="1876"/>
        <n v="1886.82352941176"/>
        <n v="1894.33333333333"/>
        <n v="1897.75"/>
        <n v="1902.47058823529"/>
        <n v="1916.11764705882"/>
        <n v="1917"/>
        <n v="1922.22222222222"/>
        <n v="1926.375"/>
        <n v="1930"/>
        <n v="1968.375"/>
        <n v="1976.25"/>
        <n v="1980"/>
        <n v="1983"/>
        <n v="2000"/>
        <n v="2023.25"/>
        <n v="2023.29411764706"/>
        <n v="2030"/>
        <n v="2040"/>
        <n v="2040.625"/>
        <n v="2045.88235294118"/>
        <n v="2064.11764705882"/>
        <n v="2069"/>
        <n v="2072"/>
        <n v="2110"/>
        <n v="2111.25"/>
        <n v="2144.58823529412"/>
        <n v="2217.11111111111"/>
        <n v="2258.125"/>
        <n v="2271.5"/>
        <n v="2399.33333333333"/>
        <n v="2582.5"/>
        <n v="2602.94117647059"/>
        <n v="3046.47058823529"/>
        <n v="3188.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0.500834724540902" maxValue="1296" count="510">
        <n v="0.500834724540902"/>
        <n v="1.3172338090011"/>
        <n v="1.58485582214396"/>
        <n v="1.67864391903012"/>
        <n v="1.74408663436877"/>
        <n v="1.76470588235294"/>
        <n v="1.81268882175227"/>
        <n v="1.81543116490166"/>
        <n v="1.92513368983957"/>
        <n v="1.97263195308335"/>
        <n v="1.99534419687396"/>
        <n v="2.05351586807716"/>
        <n v="2.05714285714286"/>
        <n v="2.06872773244455"/>
        <n v="2.07194244604317"/>
        <n v="2.07692307692308"/>
        <n v="2.07874015748031"/>
        <n v="2.0901068276823"/>
        <n v="2.13168565360108"/>
        <n v="2.13428190306803"/>
        <n v="2.18181818181818"/>
        <n v="2.25"/>
        <n v="2.25933202357564"/>
        <n v="2.28260869565217"/>
        <n v="2.29565217391304"/>
        <n v="2.32577736580433"/>
        <n v="2.33766233766234"/>
        <n v="2.35089246843709"/>
        <n v="2.36363636363636"/>
        <n v="2.36909871244635"/>
        <n v="2.4"/>
        <n v="2.43037974683544"/>
        <n v="2.43243243243243"/>
        <n v="2.47491638795987"/>
        <n v="2.47619047619048"/>
        <n v="2.48571428571428"/>
        <n v="2.49491525423729"/>
        <n v="2.5"/>
        <n v="2.53846153846154"/>
        <n v="2.54416961130742"/>
        <n v="2.54826254826255"/>
        <n v="2.54867256637168"/>
        <n v="2.5631067961165"/>
        <n v="2.58823529411765"/>
        <n v="2.60869565217391"/>
        <n v="2.61818181818182"/>
        <n v="2.63013698630137"/>
        <n v="2.64705882352941"/>
        <n v="2.6674076132259"/>
        <n v="2.66844563042028"/>
        <n v="2.67182962245886"/>
        <n v="2.7"/>
        <n v="2.74502903396094"/>
        <n v="2.75"/>
        <n v="2.76636263405833"/>
        <n v="2.76923076923077"/>
        <n v="2.77894736842105"/>
        <n v="2.7906976744186"/>
        <n v="2.79169649248389"/>
        <n v="2.79742765273312"/>
        <n v="2.81524926686217"/>
        <n v="2.82553937137225"/>
        <n v="2.82857142857143"/>
        <n v="2.83870967741935"/>
        <n v="2.86252354048964"/>
        <n v="2.88"/>
        <n v="2.9010989010989"/>
        <n v="2.97699594046008"/>
        <n v="2.97959624311778"/>
        <n v="3"/>
        <n v="3.07778087538333"/>
        <n v="3.08910891089109"/>
        <n v="3.12"/>
        <n v="3.12611012433393"/>
        <n v="3.17423806785509"/>
        <n v="3.18848602269582"/>
        <n v="3.19354838709677"/>
        <n v="3.20930232558139"/>
        <n v="3.21951219512195"/>
        <n v="3.23430321592649"/>
        <n v="3.26207833930557"/>
        <n v="3.29398847104035"/>
        <n v="3.3"/>
        <n v="3.30943188086045"/>
        <n v="3.34825773797937"/>
        <n v="3.35301962278529"/>
        <n v="3.36"/>
        <n v="3.38920611530669"/>
        <n v="3.39791356184799"/>
        <n v="3.39876169147675"/>
        <n v="3.4"/>
        <n v="3.4135180260961"/>
        <n v="3.426939552594"/>
        <n v="3.42857142857143"/>
        <n v="3.42888745506498"/>
        <n v="3.44182566404789"/>
        <n v="3.45229764404012"/>
        <n v="3.47994200096665"/>
        <n v="3.51219512195122"/>
        <n v="3.52"/>
        <n v="3.52053646269908"/>
        <n v="3.525"/>
        <n v="3.52941176470588"/>
        <n v="3.53731343283582"/>
        <n v="3.54679802955665"/>
        <n v="3.55127322780454"/>
        <n v="3.55263157894737"/>
        <n v="3.55855332015351"/>
        <n v="3.56150543066431"/>
        <n v="3.5625"/>
        <n v="3.56626506024096"/>
        <n v="3.56756756756757"/>
        <n v="3.57142857142857"/>
        <n v="3.5858234885337"/>
        <n v="3.59090909090909"/>
        <n v="3.59183673469388"/>
        <n v="3.59231411862991"/>
        <n v="3.5966149506347"/>
        <n v="3.59937402190923"/>
        <n v="3.6"/>
        <n v="3.6096256684492"/>
        <n v="3.61083249749248"/>
        <n v="3.61643835616438"/>
        <n v="3.61742943272129"/>
        <n v="3.61943479116124"/>
        <n v="3.62109682498032"/>
        <n v="3.62173038229376"/>
        <n v="3.62790697674419"/>
        <n v="3.63164721141375"/>
        <n v="3.63636363636364"/>
        <n v="3.64285714285714"/>
        <n v="3.64326375711575"/>
        <n v="3.64597093791281"/>
        <n v="3.66666666666667"/>
        <n v="3.67741935483871"/>
        <n v="3.68"/>
        <n v="3.68200836820084"/>
        <n v="3.69230769230769"/>
        <n v="3.69552118899377"/>
        <n v="3.70212765957447"/>
        <n v="3.70546318289786"/>
        <n v="3.70570524202887"/>
        <n v="3.71099240933371"/>
        <n v="3.71830985915493"/>
        <n v="3.72"/>
        <n v="3.72727272727273"/>
        <n v="3.73056994818653"/>
        <n v="3.73480023161552"/>
        <n v="3.74077112387203"/>
        <n v="3.7410071942446"/>
        <n v="3.74566473988439"/>
        <n v="3.75000000000001"/>
        <n v="3.77142857142857"/>
        <n v="3.77250643040869"/>
        <n v="3.77272727272727"/>
        <n v="3.78082191780822"/>
        <n v="3.78461538461538"/>
        <n v="3.78694581280788"/>
        <n v="3.78947368421053"/>
        <n v="3.79224030037547"/>
        <n v="3.8"/>
        <n v="3.8006058936932"/>
        <n v="3.82165605095541"/>
        <n v="3.82608695652174"/>
        <n v="3.83795309168443"/>
        <n v="3.84"/>
        <n v="3.84263494967978"/>
        <n v="3.84375"/>
        <n v="3.84559359067735"/>
        <n v="3.85185185185185"/>
        <n v="3.85401459854015"/>
        <n v="3.85714285714286"/>
        <n v="3.86045181584215"/>
        <n v="3.88235294117647"/>
        <n v="3.886925795053"/>
        <n v="3.89189189189189"/>
        <n v="3.9"/>
        <n v="3.92188904322249"/>
        <n v="3.9344262295082"/>
        <n v="3.94029850746269"/>
        <n v="3.94285714285714"/>
        <n v="3.94520547945205"/>
        <n v="3.94838709677419"/>
        <n v="3.95170142700329"/>
        <n v="3.95713107996702"/>
        <n v="3.96226415094339"/>
        <n v="3.96280524897888"/>
        <n v="3.96409335727109"/>
        <n v="3.97410808369712"/>
        <n v="4"/>
        <n v="4.00485436893204"/>
        <n v="4.00728597449909"/>
        <n v="4.01593625498008"/>
        <n v="4.05"/>
        <n v="4.06153846153846"/>
        <n v="4.08037094281298"/>
        <n v="4.08472012102874"/>
        <n v="4.09409229664212"/>
        <n v="4.1"/>
        <n v="4.10526315789473"/>
        <n v="4.11384836163597"/>
        <n v="4.11428571428571"/>
        <n v="4.12247946228529"/>
        <n v="4.125"/>
        <n v="4.15748031496063"/>
        <n v="4.16403785488959"/>
        <n v="4.16787264833575"/>
        <n v="4.19047619047619"/>
        <n v="4.19183465541081"/>
        <n v="4.2"/>
        <n v="4.20967741935484"/>
        <n v="4.25806451612903"/>
        <n v="4.26839126919968"/>
        <n v="4.32"/>
        <n v="4.32873274780427"/>
        <n v="4.36363636363636"/>
        <n v="4.37158469945355"/>
        <n v="4.4"/>
        <n v="4.40069484655472"/>
        <n v="4.42159383033419"/>
        <n v="4.42622950819672"/>
        <n v="4.42880439447258"/>
        <n v="4.43587270973963"/>
        <n v="4.45702157764415"/>
        <n v="4.46615491974878"/>
        <n v="4.49775112443778"/>
        <n v="4.5"/>
        <n v="4.51240912509401"/>
        <n v="4.51505016722408"/>
        <n v="4.53400503778338"/>
        <n v="4.55696202531646"/>
        <n v="4.57142857142857"/>
        <n v="4.61538461538462"/>
        <n v="4.76591647611024"/>
        <n v="4.8"/>
        <n v="4.83235577343955"/>
        <n v="4.87062404870624"/>
        <n v="4.93150684931507"/>
        <n v="4.96551724137931"/>
        <n v="4.99999999999998"/>
        <n v="5"/>
        <n v="5.01923076923077"/>
        <n v="5.02092050209205"/>
        <n v="5.0377358490566"/>
        <n v="5.04"/>
        <n v="5.05263157894737"/>
        <n v="5.07692307692308"/>
        <n v="5.08695652173913"/>
        <n v="5.14285714285714"/>
        <n v="5.19059205190592"/>
        <n v="5.2"/>
        <n v="5.22"/>
        <n v="5.23636363636364"/>
        <n v="5.28"/>
        <n v="5.28571428571429"/>
        <n v="5.30973451327434"/>
        <n v="5.33333333333333"/>
        <n v="5.34441805225653"/>
        <n v="5.34653465346535"/>
        <n v="5.35424553812872"/>
        <n v="5.38317757009346"/>
        <n v="5.38707102952913"/>
        <n v="5.4"/>
        <n v="5.4149377593361"/>
        <n v="5.43396226415094"/>
        <n v="5.45454545454545"/>
        <n v="5.53846153846154"/>
        <n v="5.5531914893617"/>
        <n v="5.56701030927835"/>
        <n v="5.57142857142857"/>
        <n v="5.6"/>
        <n v="5.64705882352941"/>
        <n v="5.68421052631579"/>
        <n v="5.70749108204518"/>
        <n v="5.73248407643312"/>
        <n v="5.73333333333333"/>
        <n v="5.76"/>
        <n v="5.77777777777777"/>
        <n v="5.79207920792079"/>
        <n v="5.81818181818182"/>
        <n v="5.81986143187067"/>
        <n v="5.83333333333333"/>
        <n v="5.85"/>
        <n v="5.85714285714286"/>
        <n v="5.87755102040816"/>
        <n v="5.89198036006547"/>
        <n v="5.90277777777777"/>
        <n v="5.93814432989691"/>
        <n v="5.9504132231405"/>
        <n v="6"/>
        <n v="6.0375"/>
        <n v="6.0431654676259"/>
        <n v="6.045"/>
        <n v="6.06060606060607"/>
        <n v="6.075"/>
        <n v="6.08219178082192"/>
        <n v="6.12765957446809"/>
        <n v="6.14285714285714"/>
        <n v="6.14634146341463"/>
        <n v="6.15"/>
        <n v="6.15384615384615"/>
        <n v="6.17142857142857"/>
        <n v="6.17848970251716"/>
        <n v="6.18025751072961"/>
        <n v="6.1875"/>
        <n v="6.21428571428571"/>
        <n v="6.22222222222222"/>
        <n v="6.26086956521739"/>
        <n v="6.27272727272727"/>
        <n v="6.27906976744186"/>
        <n v="6.28465804066544"/>
        <n v="6.2882096069869"/>
        <n v="6.3"/>
        <n v="6.31578947368421"/>
        <n v="6.32432432432432"/>
        <n v="6.33333333333334"/>
        <n v="6.33802816901409"/>
        <n v="6.35294117647059"/>
        <n v="6.3716814159292"/>
        <n v="6.4"/>
        <n v="6.41901931649331"/>
        <n v="6.42857142857143"/>
        <n v="6.46153846153845"/>
        <n v="6.47870425914817"/>
        <n v="6.48"/>
        <n v="6.48648648648649"/>
        <n v="6.5"/>
        <n v="6.51162790697674"/>
        <n v="6.525"/>
        <n v="6.53753026634383"/>
        <n v="6.54545454545455"/>
        <n v="6.58536585365854"/>
        <n v="6.6"/>
        <n v="6.63716814159292"/>
        <n v="6.65258711721225"/>
        <n v="6.66666666666667"/>
        <n v="6.69767441860465"/>
        <n v="6.72727272727273"/>
        <n v="6.75"/>
        <n v="6.7741935483871"/>
        <n v="6.79245283018868"/>
        <n v="6.81818181818182"/>
        <n v="6.82464454976303"/>
        <n v="6.85714285714286"/>
        <n v="6.90095846645367"/>
        <n v="6.92307692307692"/>
        <n v="7"/>
        <n v="7.0391061452514"/>
        <n v="7.04347826086957"/>
        <n v="7.14078374455733"/>
        <n v="7.2"/>
        <n v="7.37704918032787"/>
        <n v="7.48700173310225"/>
        <n v="7.50521195274496"/>
        <n v="7.57894736842105"/>
        <n v="7.68"/>
        <n v="7.78979907264297"/>
        <n v="7.84313725490196"/>
        <n v="8"/>
        <n v="8.04529201430274"/>
        <n v="8.4"/>
        <n v="8.45814977973568"/>
        <n v="8.51851851851852"/>
        <n v="8.57142857142857"/>
        <n v="8.69565217391306"/>
        <n v="8.75"/>
        <n v="8.81226053639847"/>
        <n v="8.88888888888889"/>
        <n v="8.91089108910891"/>
        <n v="8.92857142857143"/>
        <n v="8.97196261682243"/>
        <n v="8.97435897435897"/>
        <n v="9"/>
        <n v="9.01960784313726"/>
        <n v="9.05349794238683"/>
        <n v="9.0625"/>
        <n v="9.12698412698414"/>
        <n v="9.16666666666667"/>
        <n v="9.19540229885057"/>
        <n v="9.25925925925926"/>
        <n v="9.30555555555555"/>
        <n v="9.35672514619882"/>
        <n v="9.375"/>
        <n v="9.41176470588235"/>
        <n v="9.44444444444444"/>
        <n v="9.52380952380952"/>
        <n v="9.5364238410596"/>
        <n v="9.6"/>
        <n v="9.72972972972973"/>
        <n v="9.76190476190476"/>
        <n v="9.87654320987654"/>
        <n v="9.88888888888889"/>
        <n v="10"/>
        <n v="10.2564102564103"/>
        <n v="10.3703703703704"/>
        <n v="10.3846153846154"/>
        <n v="10.4166666666667"/>
        <n v="10.5147864184009"/>
        <n v="10.5882352941176"/>
        <n v="10.6060606060606"/>
        <n v="10.6481481481481"/>
        <n v="10.6666666666667"/>
        <n v="10.7142857142857"/>
        <n v="10.8333333333333"/>
        <n v="10.9090909090909"/>
        <n v="11.0655737704918"/>
        <n v="11.1111111111111"/>
        <n v="11.25"/>
        <n v="11.4285714285714"/>
        <n v="11.5384615384615"/>
        <n v="18.2278481012658"/>
        <n v="18.3333333333333"/>
        <n v="18.4696569920844"/>
        <n v="19.2982456140351"/>
        <n v="20.5882352941176"/>
        <n v="20.6217778472114"/>
        <n v="21.2345679012346"/>
        <n v="22.4489795918367"/>
        <n v="23.9130434782609"/>
        <n v="24.0700218818381"/>
        <n v="24.3243243243243"/>
        <n v="24.5756457564576"/>
        <n v="24.9433106575964"/>
        <n v="25.0544662309368"/>
        <n v="25.5555555555556"/>
        <n v="25.8454106280193"/>
        <n v="25.9259259259259"/>
        <n v="26.1386138613861"/>
        <n v="26.1904761904762"/>
        <n v="26.1942423283771"/>
        <n v="26.2857142857143"/>
        <n v="26.4"/>
        <n v="26.4150943396226"/>
        <n v="26.6666666666667"/>
        <n v="27.7777777777778"/>
        <n v="28.030303030303"/>
        <n v="28.0725546702831"/>
        <n v="28.4722222222222"/>
        <n v="28.7081339712918"/>
        <n v="28.7878787878788"/>
        <n v="28.9429530201342"/>
        <n v="29.0420168067227"/>
        <n v="29.1026677445433"/>
        <n v="29.5366795366795"/>
        <n v="30"/>
        <n v="30.3030303030303"/>
        <n v="30.4659498207885"/>
        <n v="30.4797742238946"/>
        <n v="30.5555555555555"/>
        <n v="30.6306306306306"/>
        <n v="31.1418685121107"/>
        <n v="31.1724783524456"/>
        <n v="31.2244897959183"/>
        <n v="31.2925170068027"/>
        <n v="31.3272877164056"/>
        <n v="31.3725490196078"/>
        <n v="31.3986679352997"/>
        <n v="31.4018691588785"/>
        <n v="31.4350797266515"/>
        <n v="31.5789473684209"/>
        <n v="31.7817014446228"/>
        <n v="31.8181818181818"/>
        <n v="31.8840579710145"/>
        <n v="31.9148936170213"/>
        <n v="31.9444444444444"/>
        <n v="32.3809523809524"/>
        <n v="32.6213592233009"/>
        <n v="32.6441784548422"/>
        <n v="32.7956989247312"/>
        <n v="32.8703703703704"/>
        <n v="33.033033033033"/>
        <n v="33.0935251798561"/>
        <n v="33.3333333333333"/>
        <n v="34.2"/>
        <n v="34.3891402714932"/>
        <n v="34.6153846153846"/>
        <n v="34.6820809248555"/>
        <n v="35"/>
        <n v="35.2941176470588"/>
        <n v="35.5653128430296"/>
        <n v="35.7142857142856"/>
        <n v="35.7446808510638"/>
        <n v="36.3881401617251"/>
        <n v="36.8852459016393"/>
        <n v="36.9230769230769"/>
        <n v="36.9757489300999"/>
        <n v="37.0021413276231"/>
        <n v="37.2093023255814"/>
        <n v="37.4025974025974"/>
        <n v="37.6119402985075"/>
        <n v="37.8787878787879"/>
        <n v="38.0952380952381"/>
        <n v="38.7096774193548"/>
        <n v="39.2523364485981"/>
        <n v="39.2727272727273"/>
        <n v="39.3873085339168"/>
        <n v="39.5833333333333"/>
        <n v="39.8791540785498"/>
        <n v="39.9113082039911"/>
        <n v="39.9658411614005"/>
        <n v="40.1234567901235"/>
        <n v="40.3990024937656"/>
        <n v="42.5108763206961"/>
        <n v="42.8571428571429"/>
        <n v="43.2"/>
        <n v="43.7956204379562"/>
        <n v="45.7073760580411"/>
        <n v="180"/>
        <n v="360"/>
        <n v="1296"/>
      </sharedItems>
    </cacheField>
    <cacheField name="Effieciency" numFmtId="0">
      <sharedItems containsSemiMixedTypes="0" containsString="0" containsNumber="1" minValue="0.025" maxValue="7.98666666666665" count="493">
        <n v="0.025"/>
        <n v="0.09"/>
        <n v="0.18"/>
        <n v="0.215833333333333"/>
        <n v="0.288020833333333"/>
        <n v="0.517346014492754"/>
        <n v="0.584583333333333"/>
        <n v="0.614807692307692"/>
        <n v="0.630866228070175"/>
        <n v="0.634057971014493"/>
        <n v="0.651388888888889"/>
        <n v="0.662878787878788"/>
        <n v="0.667438271604938"/>
        <n v="0.670138888888889"/>
        <n v="0.674296875"/>
        <n v="0.6875"/>
        <n v="0.690398550724638"/>
        <n v="0.692361111111111"/>
        <n v="0.694444444444444"/>
        <n v="0.694565217391304"/>
        <n v="0.69718992248062"/>
        <n v="0.702532679738562"/>
        <n v="0.704861111111111"/>
        <n v="0.708857142857143"/>
        <n v="0.714393939393939"/>
        <n v="0.718402777777778"/>
        <n v="0.72020202020202"/>
        <n v="0.724155405405405"/>
        <n v="0.729099462365591"/>
        <n v="0.732382246376812"/>
        <n v="0.735562015503876"/>
        <n v="0.737179487179487"/>
        <n v="0.737635869565217"/>
        <n v="0.7398"/>
        <n v="0.746656976744186"/>
        <n v="0.75"/>
        <n v="0.756"/>
        <n v="0.758333333333332"/>
        <n v="0.762157894736842"/>
        <n v="0.765625"/>
        <n v="0.766382575757576"/>
        <n v="0.768055555555555"/>
        <n v="0.770238095238095"/>
        <n v="0.772964015151515"/>
        <n v="0.775185185185185"/>
        <n v="0.777777777777778"/>
        <n v="0.78"/>
        <n v="0.780405405405405"/>
        <n v="0.78125"/>
        <n v="0.783671875"/>
        <n v="0.783854166666667"/>
        <n v="0.784071180555556"/>
        <n v="0.785277777777778"/>
        <n v="0.7875"/>
        <n v="0.787590579710145"/>
        <n v="0.791666666666667"/>
        <n v="0.79280303030303"/>
        <n v="0.795454545454545"/>
        <n v="0.796666666666667"/>
        <n v="0.798611111111111"/>
        <n v="0.799715909090909"/>
        <n v="0.8"/>
        <n v="0.800625"/>
        <n v="0.801388888888889"/>
        <n v="0.802"/>
        <n v="0.802083333333334"/>
        <n v="0.807507692307692"/>
        <n v="0.809375"/>
        <n v="0.81"/>
        <n v="0.810185185185185"/>
        <n v="0.810227272727273"/>
        <n v="0.810692307692307"/>
        <n v="0.8118"/>
        <n v="0.812273550724638"/>
        <n v="0.812454545454546"/>
        <n v="0.813131313131313"/>
        <n v="0.813333333333333"/>
        <n v="0.816979166666667"/>
        <n v="0.817881944444444"/>
        <n v="0.818526315789473"/>
        <n v="0.819981060606061"/>
        <n v="0.8203125"/>
        <n v="0.82125"/>
        <n v="0.821969696969697"/>
        <n v="0.822183908045977"/>
        <n v="0.8226"/>
        <n v="0.823871794871795"/>
        <n v="0.824166666666667"/>
        <n v="0.825"/>
        <n v="0.825428571428572"/>
        <n v="0.826388888888889"/>
        <n v="0.827651515151515"/>
        <n v="0.830128205128205"/>
        <n v="0.830555555555555"/>
        <n v="0.830769230769231"/>
        <n v="0.83125"/>
        <n v="0.831417624521073"/>
        <n v="0.833333333333333"/>
        <n v="0.835227272727273"/>
        <n v="0.836111111111111"/>
        <n v="0.836363636363636"/>
        <n v="0.837"/>
        <n v="0.839292929292929"/>
        <n v="0.839756944444444"/>
        <n v="0.84"/>
        <n v="0.840243902439024"/>
        <n v="0.840530303030303"/>
        <n v="0.841856060606061"/>
        <n v="0.84375"/>
        <n v="0.845217391304348"/>
        <n v="0.848484848484848"/>
        <n v="0.848571428571429"/>
        <n v="0.85"/>
        <n v="0.8505"/>
        <n v="0.850694444444444"/>
        <n v="0.851851851851852"/>
        <n v="0.852380952380952"/>
        <n v="0.852564102564103"/>
        <n v="0.853658536585366"/>
        <n v="0.854890350877193"/>
        <n v="0.85536"/>
        <n v="0.8559375"/>
        <n v="0.856851851851852"/>
        <n v="0.857765151515152"/>
        <n v="0.861428571428571"/>
        <n v="0.861742424242424"/>
        <n v="0.864"/>
        <n v="0.864197530864197"/>
        <n v="0.86625"/>
        <n v="0.866666666666667"/>
        <n v="0.867857142857143"/>
        <n v="0.86875"/>
        <n v="0.868888888888889"/>
        <n v="0.869444444444444"/>
        <n v="0.87075"/>
        <n v="0.871527777777778"/>
        <n v="0.873355263157895"/>
        <n v="0.873409090909091"/>
        <n v="0.873939393939394"/>
        <n v="0.874479166666667"/>
        <n v="0.875"/>
        <n v="0.875625"/>
        <n v="0.87625"/>
        <n v="0.8775"/>
        <n v="0.8784"/>
        <n v="0.878472222222222"/>
        <n v="0.879166666666667"/>
        <n v="0.880700757575757"/>
        <n v="0.882222222222222"/>
        <n v="0.882291666666667"/>
        <n v="0.883333333333334"/>
        <n v="0.884114583333333"/>
        <n v="0.884479166666667"/>
        <n v="0.885694444444444"/>
        <n v="0.885714285714286"/>
        <n v="0.886437908496732"/>
        <n v="0.886444444444444"/>
        <n v="0.887152777777778"/>
        <n v="0.888257575757576"/>
        <n v="0.888636363636364"/>
        <n v="0.888888888888889"/>
        <n v="0.889333333333333"/>
        <n v="0.889583333333333"/>
        <n v="0.8904"/>
        <n v="0.891041666666667"/>
        <n v="0.895833333333333"/>
        <n v="0.896341463414634"/>
        <n v="0.897348484848485"/>
        <n v="0.897435897435897"/>
        <n v="0.899305555555555"/>
        <n v="0.9"/>
        <n v="0.900454545454545"/>
        <n v="0.901515151515151"/>
        <n v="0.901739130434783"/>
        <n v="0.901904761904762"/>
        <n v="0.902083333333333"/>
        <n v="0.90234375"/>
        <n v="0.902430555555556"/>
        <n v="0.903178294573643"/>
        <n v="0.903703703703703"/>
        <n v="0.904"/>
        <n v="0.904027777777778"/>
        <n v="0.904651162790698"/>
        <n v="0.906060606060606"/>
        <n v="0.906410256410256"/>
        <n v="0.906428571428572"/>
        <n v="0.90662962962963"/>
        <n v="0.907200000000004"/>
        <n v="0.907407407407407"/>
        <n v="0.908143939393939"/>
        <n v="0.908653846153847"/>
        <n v="0.908947368421052"/>
        <n v="0.909090909090909"/>
        <n v="0.910112359550562"/>
        <n v="0.910132575757576"/>
        <n v="0.910569105691057"/>
        <n v="0.911"/>
        <n v="0.911111111111111"/>
        <n v="0.91125"/>
        <n v="0.911458333333333"/>
        <n v="0.914772727272727"/>
        <n v="0.915697674418605"/>
        <n v="0.916666666666667"/>
        <n v="0.917777777777778"/>
        <n v="0.918"/>
        <n v="0.919540229885057"/>
        <n v="0.921052631578947"/>
        <n v="0.921428571428571"/>
        <n v="0.921951219512195"/>
        <n v="0.922937293729373"/>
        <n v="0.923076923076923"/>
        <n v="0.923611111111111"/>
        <n v="0.924057971014493"/>
        <n v="0.924227642276423"/>
        <n v="0.92479674796748"/>
        <n v="0.925"/>
        <n v="0.92528735632184"/>
        <n v="0.925714285714286"/>
        <n v="0.925724637681159"/>
        <n v="0.925925925925926"/>
        <n v="0.926111111111111"/>
        <n v="0.927710843373494"/>
        <n v="0.927765151515152"/>
        <n v="0.928030303030303"/>
        <n v="0.92857142857143"/>
        <n v="0.928846153846154"/>
        <n v="0.9296875"/>
        <n v="0.933333333333333"/>
        <n v="0.9342"/>
        <n v="0.935635964912281"/>
        <n v="0.936"/>
        <n v="0.9375"/>
        <n v="0.939024390243903"/>
        <n v="0.940860215053764"/>
        <n v="0.941287878787879"/>
        <n v="0.941666666666667"/>
        <n v="0.942157894736842"/>
        <n v="0.942307692307692"/>
        <n v="0.943055555555556"/>
        <n v="0.94375"/>
        <n v="0.944444444444444"/>
        <n v="0.944551282051283"/>
        <n v="0.945"/>
        <n v="0.945402298850575"/>
        <n v="0.945555555555555"/>
        <n v="0.946354166666667"/>
        <n v="0.946666666666667"/>
        <n v="0.947368421052631"/>
        <n v="0.947916666666667"/>
        <n v="0.95"/>
        <n v="0.950568181818182"/>
        <n v="0.951086956521739"/>
        <n v="0.951754385964913"/>
        <n v="0.952380952380952"/>
        <n v="0.952941176470588"/>
        <n v="0.954166666666667"/>
        <n v="0.954236111111111"/>
        <n v="0.954545454545455"/>
        <n v="0.954705882352941"/>
        <n v="0.955555555555556"/>
        <n v="0.95625"/>
        <n v="0.956521739130435"/>
        <n v="0.958333333333333"/>
        <n v="0.96"/>
        <n v="0.96078431372549"/>
        <n v="0.961875000000001"/>
        <n v="0.9625"/>
        <n v="0.963749999999999"/>
        <n v="0.96474358974359"/>
        <n v="0.96551724137931"/>
        <n v="0.966145833333333"/>
        <n v="0.966388888888889"/>
        <n v="0.967164179104478"/>
        <n v="0.967537878787879"/>
        <n v="0.96780303030303"/>
        <n v="0.969540229885057"/>
        <n v="0.96962962962963"/>
        <n v="0.96969696969697"/>
        <n v="0.970289855072464"/>
        <n v="0.970833333333333"/>
        <n v="0.971111111111111"/>
        <n v="0.972"/>
        <n v="0.972222222222222"/>
        <n v="0.972325581395349"/>
        <n v="0.973076923076923"/>
        <n v="0.974431818181818"/>
        <n v="0.974555555555556"/>
        <n v="0.974683544303798"/>
        <n v="0.975"/>
        <n v="0.975260416666667"/>
        <n v="0.976190476190476"/>
        <n v="0.976744186046512"/>
        <n v="0.97875"/>
        <n v="0.979043478260869"/>
        <n v="0.979166666666667"/>
        <n v="0.98"/>
        <n v="0.980530303030303"/>
        <n v="0.980836363636363"/>
        <n v="0.981060606060606"/>
        <n v="0.981818181818182"/>
        <n v="0.981944444444444"/>
        <n v="0.982333333333333"/>
        <n v="0.982456140350877"/>
        <n v="0.983888888888889"/>
        <n v="0.984375"/>
        <n v="0.985185185185185"/>
        <n v="0.98569014084507"/>
        <n v="0.986086956521738"/>
        <n v="0.986486486486486"/>
        <n v="0.987654320987654"/>
        <n v="0.987934426229509"/>
        <n v="0.989451476793249"/>
        <n v="0.989999999999999"/>
        <n v="0.991666666666667"/>
        <n v="0.992520000000001"/>
        <n v="0.992555831265509"/>
        <n v="0.992907801418439"/>
        <n v="0.993103448275862"/>
        <n v="0.993214285714287"/>
        <n v="0.993243243243243"/>
        <n v="0.993788819875777"/>
        <n v="0.994090909090909"/>
        <n v="0.994318181818182"/>
        <n v="0.996527777777778"/>
        <n v="0.997826086956522"/>
        <n v="1"/>
        <n v="1.00058823529412"/>
        <n v="1.00189393939394"/>
        <n v="1.00260416666667"/>
        <n v="1.00285714285714"/>
        <n v="1.003125"/>
        <n v="1.00574712643678"/>
        <n v="1.00761904761905"/>
        <n v="1.008"/>
        <n v="1.00905797101449"/>
        <n v="1.00961538461538"/>
        <n v="1.01"/>
        <n v="1.0125"/>
        <n v="1.01426086956522"/>
        <n v="1.0152"/>
        <n v="1.01618181818182"/>
        <n v="1.01828571428571"/>
        <n v="1.01945454545455"/>
        <n v="1.01991666666667"/>
        <n v="1.02083333333333"/>
        <n v="1.02130434782609"/>
        <n v="1.02131944444444"/>
        <n v="1.02222222222222"/>
        <n v="1.026"/>
        <n v="1.02857142857143"/>
        <n v="1.02941176470588"/>
        <n v="1.03004385964912"/>
        <n v="1.03069565217391"/>
        <n v="1.03178571428571"/>
        <n v="1.03189090909091"/>
        <n v="1.03205128205128"/>
        <n v="1.03275"/>
        <n v="1.03424210526316"/>
        <n v="1.035"/>
        <n v="1.03539130434783"/>
        <n v="1.03764705882353"/>
        <n v="1.0390625"/>
        <n v="1.03937837837838"/>
        <n v="1.0404"/>
        <n v="1.04095238095238"/>
        <n v="1.04166666666667"/>
        <n v="1.04213483146067"/>
        <n v="1.04597701149425"/>
        <n v="1.04666666666667"/>
        <n v="1.05"/>
        <n v="1.05"/>
        <n v="1.05125"/>
        <n v="1.05246376811594"/>
        <n v="1.05416666666667"/>
        <n v="1.05652173913043"/>
        <n v="1.05729166666667"/>
        <n v="1.05758333333333"/>
        <n v="1.05776470588235"/>
        <n v="1.06036363636364"/>
        <n v="1.06060606060606"/>
        <n v="1.06254166666667"/>
        <n v="1.063"/>
        <n v="1.06348235294118"/>
        <n v="1.0640625"/>
        <n v="1.06666666666666"/>
        <n v="1.0692"/>
        <n v="1.07100775193798"/>
        <n v="1.07142857142857"/>
        <n v="1.07787878787879"/>
        <n v="1.07941666666667"/>
        <n v="1.08"/>
        <n v="1.08239130434783"/>
        <n v="1.08333333333333"/>
        <n v="1.09057971014493"/>
        <n v="1.09375"/>
        <n v="1.09694117647059"/>
        <n v="1.09710144927536"/>
        <n v="1.09791666666667"/>
        <n v="1.1"/>
        <n v="1.10042222222222"/>
        <n v="1.10416666666667"/>
        <n v="1.10514492753623"/>
        <n v="1.10643939393939"/>
        <n v="1.10740740740741"/>
        <n v="1.10777777777778"/>
        <n v="1.11006944444444"/>
        <n v="1.11111111111111"/>
        <n v="1.1121568627451"/>
        <n v="1.1133"/>
        <n v="1.11348837209302"/>
        <n v="1.115625"/>
        <n v="1.11805555555556"/>
        <n v="1.11866666666667"/>
        <n v="1.11944347826087"/>
        <n v="1.12162162162162"/>
        <n v="1.12312056737589"/>
        <n v="1.125"/>
        <n v="1.12547368421053"/>
        <n v="1.12635658914729"/>
        <n v="1.1286"/>
        <n v="1.13"/>
        <n v="1.13301282051282"/>
        <n v="1.13619047619048"/>
        <n v="1.1379512195122"/>
        <n v="1.14583333333333"/>
        <n v="1.1475"/>
        <n v="1.15415217391304"/>
        <n v="1.15589189189189"/>
        <n v="1.16217391304348"/>
        <n v="1.1664"/>
        <n v="1.16666666666667"/>
        <n v="1.18181818181818"/>
        <n v="1.19295454545455"/>
        <n v="1.19916666666667"/>
        <n v="1.20833333333333"/>
        <n v="1.20847222222222"/>
        <n v="1.215"/>
        <n v="1.22657142857143"/>
        <n v="1.22727272727273"/>
        <n v="1.23260869565217"/>
        <n v="1.23691304347826"/>
        <n v="1.23709090909091"/>
        <n v="1.23954545454545"/>
        <n v="1.24971428571429"/>
        <n v="1.25"/>
        <n v="1.25360747663551"/>
        <n v="1.26782608695652"/>
        <n v="1.29318260869565"/>
        <n v="1.29894545454545"/>
        <n v="1.31837837837838"/>
        <n v="1.32"/>
        <n v="1.34166666666667"/>
        <n v="1.34246376811594"/>
        <n v="1.34363636363636"/>
        <n v="1.34607272727273"/>
        <n v="1.35490909090909"/>
        <n v="1.41565891472868"/>
        <n v="1.43341503267974"/>
        <n v="1.44327272727273"/>
        <n v="1.44594202898551"/>
        <n v="1.45717948717949"/>
        <n v="1.48929738562092"/>
        <n v="1.49710144927536"/>
        <n v="1.499"/>
        <n v="1.49958333333333"/>
        <n v="1.52470588235294"/>
        <n v="1.52581395348837"/>
        <n v="1.57115454545455"/>
        <n v="1.57371428571429"/>
        <n v="1.6"/>
        <n v="1.60326086956522"/>
        <n v="1.61621621621622"/>
        <n v="1.66666666666667"/>
        <n v="1.67890909090909"/>
        <n v="1.68840579710145"/>
        <n v="1.70148148148148"/>
        <n v="1.71985507246377"/>
        <n v="1.75422857142857"/>
        <n v="1.76727272727273"/>
        <n v="1.7704347826087"/>
        <n v="1.87416666666667"/>
        <n v="1.87644927536232"/>
        <n v="1.89791666666667"/>
        <n v="1.94787878787879"/>
        <n v="2.00466666666667"/>
        <n v="2.02774774774775"/>
        <n v="2.07777777777778"/>
        <n v="2.20333333333333"/>
        <n v="2.20666666666667"/>
        <n v="2.26666666666667"/>
        <n v="2.52388888888889"/>
        <n v="6.57"/>
        <n v="7.98666666666665"/>
      </sharedItems>
    </cacheField>
    <cacheField name="OEE" numFmtId="0">
      <sharedItems containsSemiMixedTypes="0" containsString="0" containsNumber="1" minValue="0.025" maxValue="6.46810519217802" count="722">
        <n v="0.025"/>
        <n v="0.09"/>
        <n v="0.108672752808989"/>
        <n v="0.112772133526851"/>
        <n v="0.120657857142857"/>
        <n v="0.126"/>
        <n v="0.157986111111111"/>
        <n v="0.160335689045936"/>
        <n v="0.18"/>
        <n v="0.186338028169014"/>
        <n v="0.23020706455542"/>
        <n v="0.267168462515056"/>
        <n v="0.277409539473684"/>
        <n v="0.28287213740458"/>
        <n v="0.285"/>
        <n v="0.285164835164835"/>
        <n v="0.287639580655527"/>
        <n v="0.289250814332248"/>
        <n v="0.29193857965451"/>
        <n v="0.319444444444444"/>
        <n v="0.328034618755478"/>
        <n v="0.329105571847507"/>
        <n v="0.333327996026519"/>
        <n v="0.343194830928543"/>
        <n v="0.343402777777778"/>
        <n v="0.346180555555556"/>
        <n v="0.346767567567568"/>
        <n v="0.360086574952562"/>
        <n v="0.361016462480858"/>
        <n v="0.364008333333333"/>
        <n v="0.364583333333333"/>
        <n v="0.388888888888889"/>
        <n v="0.394120098039216"/>
        <n v="0.399408967391304"/>
        <n v="0.400714285714286"/>
        <n v="0.401284403669725"/>
        <n v="0.401632692307692"/>
        <n v="0.401749346305868"/>
        <n v="0.402391904323827"/>
        <n v="0.405838815789474"/>
        <n v="0.412587328030954"/>
        <n v="0.42"/>
        <n v="0.428155339805825"/>
        <n v="0.431027137468567"/>
        <n v="0.440104432516186"/>
        <n v="0.442520066889632"/>
        <n v="0.444444444444444"/>
        <n v="0.448605945945946"/>
        <n v="0.44953125"/>
        <n v="0.459"/>
        <n v="0.461805555555556"/>
        <n v="0.46205837517934"/>
        <n v="0.466352230483271"/>
        <n v="0.466503300150214"/>
        <n v="0.466695501730104"/>
        <n v="0.468023542447465"/>
        <n v="0.470789946555105"/>
        <n v="0.474115030674847"/>
        <n v="0.478081023454158"/>
        <n v="0.4782"/>
        <n v="0.480073170731707"/>
        <n v="0.482078014964789"/>
        <n v="0.485676617804791"/>
        <n v="0.486111111111111"/>
        <n v="0.495138888888889"/>
        <n v="0.495263929618768"/>
        <n v="0.495399746192893"/>
        <n v="0.496736111111111"/>
        <n v="0.498263888888889"/>
        <n v="0.507936507936508"/>
        <n v="0.510659722222222"/>
        <n v="0.511111111111111"/>
        <n v="0.511631944444444"/>
        <n v="0.513008356545961"/>
        <n v="0.515210010060362"/>
        <n v="0.522447916666667"/>
        <n v="0.525036460865338"/>
        <n v="0.528311688311688"/>
        <n v="0.532779545454545"/>
        <n v="0.532833333333333"/>
        <n v="0.534722222222222"/>
        <n v="0.535474985110185"/>
        <n v="0.535868055555556"/>
        <n v="0.540015243902439"/>
        <n v="0.544652777777778"/>
        <n v="0.544878064516129"/>
        <n v="0.555555555555556"/>
        <n v="0.559027777777778"/>
        <n v="0.561701808855292"/>
        <n v="0.56712962962963"/>
        <n v="0.570762905092593"/>
        <n v="0.572198275862069"/>
        <n v="0.572356526739505"/>
        <n v="0.572910462576931"/>
        <n v="0.573342752787389"/>
        <n v="0.573570432357043"/>
        <n v="0.573755465587044"/>
        <n v="0.585297315380112"/>
        <n v="0.587777777777778"/>
        <n v="0.587917329679396"/>
        <n v="0.591666666666667"/>
        <n v="0.592844202898551"/>
        <n v="0.597772752192982"/>
        <n v="0.597801955049261"/>
        <n v="0.602685185185185"/>
        <n v="0.607638888888889"/>
        <n v="0.617200975435675"/>
        <n v="0.618287671232877"/>
        <n v="0.621042074228012"/>
        <n v="0.622877772643253"/>
        <n v="0.623466923761495"/>
        <n v="0.623785698242489"/>
        <n v="0.626830635609949"/>
        <n v="0.630902777777778"/>
        <n v="0.632459871589085"/>
        <n v="0.634057971014493"/>
        <n v="0.637351745347405"/>
        <n v="0.638888888888889"/>
        <n v="0.639732255222754"/>
        <n v="0.64009756097561"/>
        <n v="0.641615421686747"/>
        <n v="0.642202339986235"/>
        <n v="0.644097222222222"/>
        <n v="0.648148148148148"/>
        <n v="0.648397435897436"/>
        <n v="0.648981969205835"/>
        <n v="0.649258474576271"/>
        <n v="0.651388888888889"/>
        <n v="0.654643793706294"/>
        <n v="0.654861111111111"/>
        <n v="0.658353530295443"/>
        <n v="0.658854178100486"/>
        <n v="0.659553045013239"/>
        <n v="0.660011593396401"/>
        <n v="0.660184372256365"/>
        <n v="0.660580065359477"/>
        <n v="0.661459169187087"/>
        <n v="0.662391857506361"/>
        <n v="0.663660226795464"/>
        <n v="0.664444444444444"/>
        <n v="0.66458414506557"/>
        <n v="0.665365744870651"/>
        <n v="0.665425531914894"/>
        <n v="0.665625"/>
        <n v="0.667322889036251"/>
        <n v="0.667438271604938"/>
        <n v="0.667645454545455"/>
        <n v="0.66793893129771"/>
        <n v="0.668403118313124"/>
        <n v="0.669560684498131"/>
        <n v="0.675212012694574"/>
        <n v="0.67625"/>
        <n v="0.678"/>
        <n v="0.678521739130435"/>
        <n v="0.680555555555556"/>
        <n v="0.681518698468787"/>
        <n v="0.681988977955912"/>
        <n v="0.683214361252115"/>
        <n v="0.683333333333333"/>
        <n v="0.691708256720077"/>
        <n v="0.691930843706777"/>
        <n v="0.692708333333333"/>
        <n v="0.692793625638316"/>
        <n v="0.694362950544845"/>
        <n v="0.694444444444444"/>
        <n v="0.697666666666667"/>
        <n v="0.699973509933775"/>
        <n v="0.701961249485463"/>
        <n v="0.702430566280235"/>
        <n v="0.703359686492982"/>
        <n v="0.703901016401016"/>
        <n v="0.70488188976378"/>
        <n v="0.708333333333333"/>
        <n v="0.708376778639401"/>
        <n v="0.708449972237646"/>
        <n v="0.709478259678173"/>
        <n v="0.713467876588022"/>
        <n v="0.714022222222222"/>
        <n v="0.716668176328502"/>
        <n v="0.717071484992101"/>
        <n v="0.718161716975008"/>
        <n v="0.718402777777778"/>
        <n v="0.719305582362907"/>
        <n v="0.720402644230769"/>
        <n v="0.720528086718246"/>
        <n v="0.722496048942136"/>
        <n v="0.722667001506781"/>
        <n v="0.726299058163924"/>
        <n v="0.726736111111111"/>
        <n v="0.726881067961165"/>
        <n v="0.727222222222222"/>
        <n v="0.728333333333333"/>
        <n v="0.729166666666667"/>
        <n v="0.731488347457627"/>
        <n v="0.731556960856721"/>
        <n v="0.732230619795053"/>
        <n v="0.739808005930319"/>
        <n v="0.74010466473133"/>
        <n v="0.741839762611276"/>
        <n v="0.742708333333333"/>
        <n v="0.742834394904459"/>
        <n v="0.74537037037037"/>
        <n v="0.746168165680473"/>
        <n v="0.748623342167651"/>
        <n v="0.749169435215947"/>
        <n v="0.751223538306452"/>
        <n v="0.751262626262626"/>
        <n v="0.753333333333333"/>
        <n v="0.753472222222222"/>
        <n v="0.754961699164345"/>
        <n v="0.755223923555146"/>
        <n v="0.756531642990219"/>
        <n v="0.756554878048781"/>
        <n v="0.7578392481065"/>
        <n v="0.758680555555555"/>
        <n v="0.763047138047138"/>
        <n v="0.764305750350631"/>
        <n v="0.765335648148148"/>
        <n v="0.765625"/>
        <n v="0.766666666666667"/>
        <n v="0.768055555555555"/>
        <n v="0.768421875"/>
        <n v="0.770238095238095"/>
        <n v="0.770486111111111"/>
        <n v="0.770858490566038"/>
        <n v="0.771701388888889"/>
        <n v="0.773221587904201"/>
        <n v="0.774022472443938"/>
        <n v="0.774255952380952"/>
        <n v="0.775184490306442"/>
        <n v="0.775568181818182"/>
        <n v="0.777314814814815"/>
        <n v="0.777777777777778"/>
        <n v="0.7808335554371"/>
        <n v="0.784071180555556"/>
        <n v="0.784167483820357"/>
        <n v="0.784763057765479"/>
        <n v="0.786284722222222"/>
        <n v="0.786886490250696"/>
        <n v="0.787225548902196"/>
        <n v="0.7875"/>
        <n v="0.788335964912281"/>
        <n v="0.788958632478632"/>
        <n v="0.789930555555556"/>
        <n v="0.790626368812966"/>
        <n v="0.791081305309734"/>
        <n v="0.793715562174237"/>
        <n v="0.795967484988575"/>
        <n v="0.797858004216902"/>
        <n v="0.798611111111111"/>
        <n v="0.798780616554054"/>
        <n v="0.800625"/>
        <n v="0.801111111111111"/>
        <n v="0.801388888888889"/>
        <n v="0.802083333333333"/>
        <n v="0.803097345132743"/>
        <n v="0.804631080076465"/>
        <n v="0.805"/>
        <n v="0.805708695394112"/>
        <n v="0.806193835558915"/>
        <n v="0.806325301204819"/>
        <n v="0.806584251488901"/>
        <n v="0.80719557195572"/>
        <n v="0.807309027777778"/>
        <n v="0.808746271691974"/>
        <n v="0.809750536480687"/>
        <n v="0.810185185185185"/>
        <n v="0.810249333705972"/>
        <n v="0.81083509344598"/>
        <n v="0.81118996674662"/>
        <n v="0.811583876221498"/>
        <n v="0.811637530072173"/>
        <n v="0.813123082822086"/>
        <n v="0.813152888391883"/>
        <n v="0.813333333333333"/>
        <n v="0.814236111111111"/>
        <n v="0.814583333333333"/>
        <n v="0.815089239950429"/>
        <n v="0.815451388888889"/>
        <n v="0.819907407407407"/>
        <n v="0.821695072412575"/>
        <n v="0.822569444444444"/>
        <n v="0.823451910408432"/>
        <n v="0.823901829052034"/>
        <n v="0.824237911702873"/>
        <n v="0.824266402901418"/>
        <n v="0.824445588235294"/>
        <n v="0.826322115384615"/>
        <n v="0.826388888888889"/>
        <n v="0.827664399092971"/>
        <n v="0.828167617158443"/>
        <n v="0.828315548780488"/>
        <n v="0.828915500538213"/>
        <n v="0.829187396351575"/>
        <n v="0.829701605839416"/>
        <n v="0.830255976745566"/>
        <n v="0.830555555555555"/>
        <n v="0.831371579734929"/>
        <n v="0.831880448318804"/>
        <n v="0.832085205525046"/>
        <n v="0.83208769307424"/>
        <n v="0.832465277777778"/>
        <n v="0.832500832500832"/>
        <n v="0.832502492522433"/>
        <n v="0.832752534395366"/>
        <n v="0.832916874895885"/>
        <n v="0.832917705735661"/>
        <n v="0.832917912927883"/>
        <n v="0.833333333333333"/>
        <n v="0.834288194444444"/>
        <n v="0.836111111111111"/>
        <n v="0.838541666666667"/>
        <n v="0.839665041067761"/>
        <n v="0.839756944444444"/>
        <n v="0.83978978978979"/>
        <n v="0.840595155464268"/>
        <n v="0.842361111111111"/>
        <n v="0.842632700770077"/>
        <n v="0.842634338572942"/>
        <n v="0.843333333333333"/>
        <n v="0.843540517848165"/>
        <n v="0.844444444444444"/>
        <n v="0.845578642819569"/>
        <n v="0.848641831280502"/>
        <n v="0.849236736111111"/>
        <n v="0.850208402777778"/>
        <n v="0.85037805972062"/>
        <n v="0.850694444444444"/>
        <n v="0.851799643493761"/>
        <n v="0.851851851851852"/>
        <n v="0.852380952380952"/>
        <n v="0.854166666666667"/>
        <n v="0.854911809923131"/>
        <n v="0.855555555555556"/>
        <n v="0.856770833333333"/>
        <n v="0.857522935779816"/>
        <n v="0.857543279022403"/>
        <n v="0.858670788253478"/>
        <n v="0.858791265474553"/>
        <n v="0.859409357490793"/>
        <n v="0.860590158293186"/>
        <n v="0.86225614927905"/>
        <n v="0.862847222222222"/>
        <n v="0.864197530864197"/>
        <n v="0.864232258064516"/>
        <n v="0.865661888701518"/>
        <n v="0.866666666666667"/>
        <n v="0.867016080617496"/>
        <n v="0.867101240079365"/>
        <n v="0.867837727700477"/>
        <n v="0.868152274837512"/>
        <n v="0.868780853314527"/>
        <n v="0.868888888888889"/>
        <n v="0.868923611111111"/>
        <n v="0.869047619047619"/>
        <n v="0.869444444444444"/>
        <n v="0.870950704225352"/>
        <n v="0.871112551428733"/>
        <n v="0.871354166666667"/>
        <n v="0.871527777777778"/>
        <n v="0.871892019891073"/>
        <n v="0.872222222222222"/>
        <n v="0.873398042929293"/>
        <n v="0.87396154759079"/>
        <n v="0.874198988195615"/>
        <n v="0.874461005489824"/>
        <n v="0.87458432304038"/>
        <n v="0.874758220502901"/>
        <n v="0.875"/>
        <n v="0.87516339869281"/>
        <n v="0.8775"/>
        <n v="0.878472222222222"/>
        <n v="0.878591982701264"/>
        <n v="0.879166666666667"/>
        <n v="0.881319444444445"/>
        <n v="0.882014814814815"/>
        <n v="0.883333333333333"/>
        <n v="0.883369995600528"/>
        <n v="0.885021012060176"/>
        <n v="0.885451388888889"/>
        <n v="0.885694444444444"/>
        <n v="0.885714285714286"/>
        <n v="0.885757575757576"/>
        <n v="0.886204449381345"/>
        <n v="0.886437908496732"/>
        <n v="0.886484098939929"/>
        <n v="0.88666673325723"/>
        <n v="0.886683209263854"/>
        <n v="0.886746987951807"/>
        <n v="0.886968325791855"/>
        <n v="0.887152777777778"/>
        <n v="0.888410708234497"/>
        <n v="0.888633288227334"/>
        <n v="0.888888888888889"/>
        <n v="0.889052154903185"/>
        <n v="0.889583333333333"/>
        <n v="0.889639328063241"/>
        <n v="0.891077864892985"/>
        <n v="0.891120577920098"/>
        <n v="0.891656467085677"/>
        <n v="0.892053159973667"/>
        <n v="0.892843836978131"/>
        <n v="0.893229166666667"/>
        <n v="0.894444444444444"/>
        <n v="0.894912848605578"/>
        <n v="0.895003858024691"/>
        <n v="0.895833333333333"/>
        <n v="0.896881551362683"/>
        <n v="0.897435897435897"/>
        <n v="0.897517163429337"/>
        <n v="0.898333333333333"/>
        <n v="0.898540026246719"/>
        <n v="0.899148561362302"/>
        <n v="0.899305555555555"/>
        <n v="0.89971365352076"/>
        <n v="0.9"/>
        <n v="0.900018181669608"/>
        <n v="0.900047274387063"/>
        <n v="0.900329560585885"/>
        <n v="0.900386543234065"/>
        <n v="0.900735294117647"/>
        <n v="0.900752088227617"/>
        <n v="0.900756278538813"/>
        <n v="0.900777180989583"/>
        <n v="0.901084592490843"/>
        <n v="0.901309256365176"/>
        <n v="0.902139451435312"/>
        <n v="0.902219379467186"/>
        <n v="0.902430555555556"/>
        <n v="0.902504911591356"/>
        <n v="0.902894950807348"/>
        <n v="0.902923413317727"/>
        <n v="0.903033841363487"/>
        <n v="0.903540432708128"/>
        <n v="0.904267340565417"/>
        <n v="0.904362511353315"/>
        <n v="0.905255018674136"/>
        <n v="0.906673114119923"/>
        <n v="0.907407407407407"/>
        <n v="0.908205625606207"/>
        <n v="0.91113259874555"/>
        <n v="0.911458333333333"/>
        <n v="0.912048567870486"/>
        <n v="0.916666666666667"/>
        <n v="0.916668010210936"/>
        <n v="0.916741071428571"/>
        <n v="0.918402777777778"/>
        <n v="0.918409958638244"/>
        <n v="0.918794119765655"/>
        <n v="0.919469898668786"/>
        <n v="0.922467640964843"/>
        <n v="0.922644719314938"/>
        <n v="0.922983565107459"/>
        <n v="0.924053198226726"/>
        <n v="0.924450408997955"/>
        <n v="0.925111607142857"/>
        <n v="0.925925925925926"/>
        <n v="0.926111111111111"/>
        <n v="0.926322195704057"/>
        <n v="0.926791907514451"/>
        <n v="0.927415784408085"/>
        <n v="0.928269235868652"/>
        <n v="0.929012345679012"/>
        <n v="0.929411325846779"/>
        <n v="0.930523922347906"/>
        <n v="0.931228325977301"/>
        <n v="0.931759785698666"/>
        <n v="0.932005689900427"/>
        <n v="0.933965153550004"/>
        <n v="0.9339715238982"/>
        <n v="0.934380088938995"/>
        <n v="0.934595746674161"/>
        <n v="0.935024752475247"/>
        <n v="0.935207169459963"/>
        <n v="0.936251664447403"/>
        <n v="0.936253876827647"/>
        <n v="0.93645948945616"/>
        <n v="0.936580300632911"/>
        <n v="0.936667406749556"/>
        <n v="0.936673228346457"/>
        <n v="0.936716294783155"/>
        <n v="0.936836192810458"/>
        <n v="0.937085360459973"/>
        <n v="0.938297872340425"/>
        <n v="0.93830579546877"/>
        <n v="0.938433921605637"/>
        <n v="0.938595247100353"/>
        <n v="0.93932527693857"/>
        <n v="0.939381682611142"/>
        <n v="0.940038684719536"/>
        <n v="0.940598441926345"/>
        <n v="0.940723495702006"/>
        <n v="0.942784612380395"/>
        <n v="0.943167356029271"/>
        <n v="0.943196950911512"/>
        <n v="0.943320748401279"/>
        <n v="0.94378163298954"/>
        <n v="0.94406847133758"/>
        <n v="0.944339582773749"/>
        <n v="0.944920749279539"/>
        <n v="0.945464067031904"/>
        <n v="0.945555555555555"/>
        <n v="0.946834603174603"/>
        <n v="0.947022756513348"/>
        <n v="0.948586605957124"/>
        <n v="0.948587740384615"/>
        <n v="0.949157070827765"/>
        <n v="0.951086956521739"/>
        <n v="0.951194332704425"/>
        <n v="0.952015729737965"/>
        <n v="0.953304315888253"/>
        <n v="0.953468628719276"/>
        <n v="0.953570487789761"/>
        <n v="0.953690914671578"/>
        <n v="0.954008771322126"/>
        <n v="0.954166666666667"/>
        <n v="0.95416955750848"/>
        <n v="0.954350490196078"/>
        <n v="0.954440431811121"/>
        <n v="0.9544578602891"/>
        <n v="0.95485321969697"/>
        <n v="0.955330768034826"/>
        <n v="0.955346885866865"/>
        <n v="0.955432702673566"/>
        <n v="0.955524414359598"/>
        <n v="0.956130252684191"/>
        <n v="0.957199541284404"/>
        <n v="0.957215680198327"/>
        <n v="0.957530748807976"/>
        <n v="0.957617211597779"/>
        <n v="0.957732371794872"/>
        <n v="0.957900182592818"/>
        <n v="0.957917570498915"/>
        <n v="0.958023927392739"/>
        <n v="0.958100577504318"/>
        <n v="0.958333333333333"/>
        <n v="0.95858938547486"/>
        <n v="0.958738938053097"/>
        <n v="0.959798563397876"/>
        <n v="0.960590555555556"/>
        <n v="0.961204436809083"/>
        <n v="0.961941437690813"/>
        <n v="0.962196725092251"/>
        <n v="0.9625"/>
        <n v="0.963156044985942"/>
        <n v="0.96352364654636"/>
        <n v="0.96397641509434"/>
        <n v="0.966296626072304"/>
        <n v="0.966439946513432"/>
        <n v="0.967966804979253"/>
        <n v="0.968265595463138"/>
        <n v="0.968755935422602"/>
        <n v="0.969556981840952"/>
        <n v="0.96969696969697"/>
        <n v="0.970833333333333"/>
        <n v="0.970835314629894"/>
        <n v="0.972222222222222"/>
        <n v="0.974107959743824"/>
        <n v="0.974450045829514"/>
        <n v="0.974918433931485"/>
        <n v="0.975037623130244"/>
        <n v="0.975217188070047"/>
        <n v="0.978094809515129"/>
        <n v="0.97833545557442"/>
        <n v="0.980221969265794"/>
        <n v="0.980468581687612"/>
        <n v="0.981944444444444"/>
        <n v="0.982411504424779"/>
        <n v="0.98308073038073"/>
        <n v="0.988250295683028"/>
        <n v="0.988723597799077"/>
        <n v="0.990455719885959"/>
        <n v="0.99232012176834"/>
        <n v="0.993605027980691"/>
        <n v="0.99415929286141"/>
        <n v="0.994311377245509"/>
        <n v="0.99500625"/>
        <n v="0.996704021094265"/>
        <n v="0.997303464011616"/>
        <n v="0.99862987987988"/>
        <n v="0.99866844207723"/>
        <n v="0.99867197875166"/>
        <n v="0.999973596861798"/>
        <n v="1"/>
        <n v="1.00015243902439"/>
        <n v="1.0002569528416"/>
        <n v="1.00045745654163"/>
        <n v="1.00116490166415"/>
        <n v="1.00145454545455"/>
        <n v="1.00146123561478"/>
        <n v="1.00146791767554"/>
        <n v="1.00268181818182"/>
        <n v="1.00359417652411"/>
        <n v="1.00418997336378"/>
        <n v="1.00723073974703"/>
        <n v="1.01113846875366"/>
        <n v="1.01145465253239"/>
        <n v="1.01328491784038"/>
        <n v="1.01423611111111"/>
        <n v="1.01615030567686"/>
        <n v="1.01637006861063"/>
        <n v="1.01875424304141"/>
        <n v="1.02016420717593"/>
        <n v="1.02222222222222"/>
        <n v="1.02829501295337"/>
        <n v="1.02971095890411"/>
        <n v="1.03093494698418"/>
        <n v="1.03118520551287"/>
        <n v="1.03182164634146"/>
        <n v="1.03255496512157"/>
        <n v="1.03472403444676"/>
        <n v="1.03590738866397"/>
        <n v="1.0375166002656"/>
        <n v="1.03753880192854"/>
        <n v="1.03768328445748"/>
        <n v="1.03917265230114"/>
        <n v="1.03917662682603"/>
        <n v="1.04042214257268"/>
        <n v="1.04083399946709"/>
        <n v="1.04083532854483"/>
        <n v="1.04125083166999"/>
        <n v="1.04125166002656"/>
        <n v="1.04166666666667"/>
        <n v="1.04484758527401"/>
        <n v="1.04505646111548"/>
        <n v="1.04686614530205"/>
        <n v="1.04775384976865"/>
        <n v="1.04926864847303"/>
        <n v="1.05053594137952"/>
        <n v="1.05416666666667"/>
        <n v="1.05482796892342"/>
        <n v="1.06628298006296"/>
        <n v="1.06943858366409"/>
        <n v="1.07959626932413"/>
        <n v="1.08166922683052"/>
        <n v="1.0816717791411"/>
        <n v="1.08250064053292"/>
        <n v="1.08270869370235"/>
        <n v="1.08523790075556"/>
        <n v="1.08643537066246"/>
        <n v="1.09500772773152"/>
        <n v="1.09502262443439"/>
        <n v="1.09561"/>
        <n v="1.09960227984467"/>
        <n v="1.09980893315793"/>
        <n v="1.1"/>
        <n v="1.10042222222222"/>
        <n v="1.10105048604578"/>
        <n v="1.10167606516291"/>
        <n v="1.10172168"/>
        <n v="1.10250501630298"/>
        <n v="1.10333521586345"/>
        <n v="1.10353200678412"/>
        <n v="1.10354202024012"/>
        <n v="1.10416666666667"/>
        <n v="1.10445444444444"/>
        <n v="1.10711805555556"/>
        <n v="1.11006944444444"/>
        <n v="1.11020316478551"/>
        <n v="1.11674226804124"/>
        <n v="1.11736467472273"/>
        <n v="1.11805555555556"/>
        <n v="1.12229817106965"/>
        <n v="1.13083839710954"/>
        <n v="1.13085872576177"/>
        <n v="1.13494724892561"/>
        <n v="1.14049277594652"/>
        <n v="1.14168176328502"/>
        <n v="1.1421009771987"/>
        <n v="1.14272134709397"/>
        <n v="1.14334239130435"/>
        <n v="1.14396411092985"/>
        <n v="1.14479412298204"/>
        <n v="1.14500181422351"/>
        <n v="1.14541742286751"/>
        <n v="1.14541772457986"/>
        <n v="1.16091998554391"/>
        <n v="1.16438274900635"/>
        <n v="1.17138831870402"/>
        <n v="1.18325204600752"/>
        <n v="1.18532437923251"/>
        <n v="1.20335393772894"/>
        <n v="1.20344426211114"/>
        <n v="1.20650974623023"/>
        <n v="1.20784241531664"/>
        <n v="1.2079169219478"/>
        <n v="1.22173937198068"/>
        <n v="1.22399942206483"/>
        <n v="1.22496517016655"/>
        <n v="1.23721847930703"/>
        <n v="1.23762376237624"/>
        <n v="1.24875704342062"/>
        <n v="1.25"/>
        <n v="1.26556103521554"/>
        <n v="1.29332612417771"/>
        <n v="1.31606158010489"/>
        <n v="1.32963794448551"/>
        <n v="1.36183118081181"/>
        <n v="1.41122336227309"/>
        <n v="1.43056048710564"/>
        <n v="1.43194981213097"/>
        <n v="1.43325165261105"/>
        <n v="1.43708187451286"/>
        <n v="1.48929738562092"/>
        <n v="1.5150728666075"/>
        <n v="1.52916327716444"/>
        <n v="1.5469400670072"/>
        <n v="1.56603763066202"/>
        <n v="1.58595734098517"/>
        <n v="1.59468438538206"/>
        <n v="1.61305490250311"/>
        <n v="1.65343915343915"/>
        <n v="1.6809905217045"/>
        <n v="1.68564862996481"/>
        <n v="1.76403333638165"/>
        <n v="1.77946528854436"/>
        <n v="1.78096863645056"/>
        <n v="2.0585136129507"/>
        <n v="2.184605"/>
        <n v="2.25560975609756"/>
        <n v="2.52000598290598"/>
        <n v="6.46810519217802"/>
      </sharedItems>
    </cacheField>
    <cacheField name="ERP ENTRY NO" numFmtId="0">
      <sharedItems containsMixedTypes="1" containsNumber="1" minValue="0.108672752808989" maxValue="22882290" count="784">
        <n v="0.108672752808989"/>
        <n v="0.333327996026519"/>
        <n v="0.400714285714286"/>
        <n v="0.405838815789474"/>
        <n v="0.444444444444444"/>
        <n v="0.44953125"/>
        <n v="0.461805555555556"/>
        <n v="0.466352230483271"/>
        <n v="0.482078014964789"/>
        <n v="0.522447916666667"/>
        <n v="0.534722222222222"/>
        <n v="0.572198275862069"/>
        <n v="0.573570432357043"/>
        <n v="0.597772752192982"/>
        <n v="0.623785698242489"/>
        <n v="0.638888888888889"/>
        <n v="0.662391857506361"/>
        <n v="0.665425531914894"/>
        <n v="0.667438271604938"/>
        <n v="0.668403118313124"/>
        <n v="0.675212012694574"/>
        <n v="0.67625"/>
        <n v="0.708333333333333"/>
        <n v="0.728333333333334"/>
        <n v="0.753333333333334"/>
        <n v="0.755223923555146"/>
        <n v="0.765335648148148"/>
        <n v="0.765625"/>
        <n v="0.777777777777778"/>
        <n v="0.784167483820357"/>
        <n v="0.784763057765479"/>
        <n v="0.7875"/>
        <n v="0.805708695394112"/>
        <n v="0.83208769307424"/>
        <n v="0.832917705735661"/>
        <n v="0.833333333333333"/>
        <n v="0.842634338572942"/>
        <n v="0.854166666666667"/>
        <n v="0.856770833333333"/>
        <n v="0.858791265474553"/>
        <n v="0.859409357490793"/>
        <n v="0.869047619047619"/>
        <n v="0.873398042929293"/>
        <n v="0.87458432304038"/>
        <n v="0.875"/>
        <n v="0.886968325791855"/>
        <n v="0.887152777777778"/>
        <n v="0.899305555555555"/>
        <n v="0.900329560585885"/>
        <n v="0.900386543234065"/>
        <n v="0.900752088227617"/>
        <n v="0.903033841363487"/>
        <n v="0.916668010210936"/>
        <n v="0.925925925925926"/>
        <n v="0.932005689900427"/>
        <n v="0.9339715238982"/>
        <n v="0.943167356029271"/>
        <n v="0.945464067031904"/>
        <n v="0.953570487789761"/>
        <n v="0.954350490196078"/>
        <n v="0.95485321969697"/>
        <n v="0.957917570498915"/>
        <n v="0.967966804979253"/>
        <n v="0.969556981840952"/>
        <n v="0.96969696969697"/>
        <n v="0.972222222222222"/>
        <n v="0.974918433931485"/>
        <n v="0.981944444444444"/>
        <n v="0.99500625"/>
        <n v="0.999973596861798"/>
        <n v="1"/>
        <n v="1.00015243902439"/>
        <n v="1.00045745654163"/>
        <n v="1.00145454545455"/>
        <n v="1.00268181818182"/>
        <n v="1.00418997336378"/>
        <n v="1.01615030567686"/>
        <n v="1.11736467472273"/>
        <n v="1.13085872576177"/>
        <n v="1.18532437923251"/>
        <n v="1.20650974623023"/>
        <n v="1.20784241531664"/>
        <n v="1.23721847930703"/>
        <n v="1.25"/>
        <n v="1.26556103521554"/>
        <n v="1.29332612417771"/>
        <n v="1.36183118081181"/>
        <n v="1.41122336227309"/>
        <n v="1.43708187451286"/>
        <n v="1.61305490250311"/>
        <n v="2.25560975609756"/>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2"/>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911"/>
        <n v="2912"/>
        <n v="2913"/>
        <n v="2921"/>
        <n v="2924"/>
        <n v="2926"/>
        <n v="2927"/>
        <n v="2928"/>
        <n v="2929"/>
        <n v="2930"/>
        <n v="2933"/>
        <n v="2936"/>
        <n v="2937"/>
        <n v="2938"/>
        <n v="2958"/>
        <n v="2959"/>
        <n v="2962"/>
        <n v="2964"/>
        <n v="2965"/>
        <n v="2968"/>
        <n v="2977"/>
        <n v="2978"/>
        <n v="2979"/>
        <n v="2984"/>
        <n v="2988"/>
        <n v="2992"/>
        <n v="2993"/>
        <n v="2994"/>
        <n v="2996"/>
        <n v="3005"/>
        <n v="3012"/>
        <n v="3015"/>
        <n v="3016"/>
        <n v="3021"/>
        <n v="3022"/>
        <n v="3023"/>
        <n v="3025"/>
        <n v="3026"/>
        <n v="3027"/>
        <n v="3036"/>
        <n v="3037"/>
        <n v="3051"/>
        <n v="3052"/>
        <n v="3057"/>
        <n v="3059"/>
        <n v="3066"/>
        <n v="3067"/>
        <n v="3068"/>
        <n v="3069"/>
        <n v="3079"/>
        <n v="3080"/>
        <n v="3081"/>
        <n v="3082"/>
        <n v="3088"/>
        <n v="3089"/>
        <n v="3090"/>
        <n v="3091"/>
        <n v="3097"/>
        <n v="3107"/>
        <n v="3108"/>
        <n v="3114"/>
        <n v="3115"/>
        <n v="3133"/>
        <n v="3134"/>
        <n v="3155"/>
        <n v="3162"/>
        <n v="3173"/>
        <n v="3174"/>
        <n v="3175"/>
        <n v="3179"/>
        <n v="3180"/>
        <n v="3181"/>
        <n v="3218"/>
        <n v="3219"/>
        <n v="3220"/>
        <n v="3224"/>
        <n v="3225"/>
        <n v="3226"/>
        <n v="3236"/>
        <n v="3243"/>
        <n v="3244"/>
        <n v="3248"/>
        <n v="3249"/>
        <n v="3250"/>
        <n v="3281"/>
        <n v="3282"/>
        <n v="3285"/>
        <n v="3293"/>
        <n v="3294"/>
        <n v="3295"/>
        <n v="3296"/>
        <n v="3312"/>
        <n v="3313"/>
        <n v="3315"/>
        <n v="3331"/>
        <n v="3334"/>
        <n v="3335"/>
        <n v="3337"/>
        <n v="3338"/>
        <n v="3339"/>
        <n v="3340"/>
        <n v="3358"/>
        <n v="3359"/>
        <n v="3360"/>
        <n v="3361"/>
        <n v="3369"/>
        <n v="3370"/>
        <n v="3388"/>
        <n v="3389"/>
        <n v="3392"/>
        <n v="3393"/>
        <n v="3402"/>
        <n v="3408"/>
        <n v="3414"/>
        <n v="3415"/>
        <n v="3416"/>
        <n v="3417"/>
        <n v="3424"/>
        <n v="3425"/>
        <n v="3426"/>
        <n v="3427"/>
        <n v="3432"/>
        <n v="3433"/>
        <n v="3434"/>
        <n v="3464"/>
        <n v="3467"/>
        <n v="3468"/>
        <n v="3469"/>
        <n v="3470"/>
        <n v="3474"/>
        <n v="3475"/>
        <n v="3478"/>
        <n v="3479"/>
        <n v="3483"/>
        <n v="3484"/>
        <n v="3485"/>
        <n v="3487"/>
        <n v="3488"/>
        <n v="3489"/>
        <n v="3490"/>
        <n v="3491"/>
        <n v="3494"/>
        <n v="3495"/>
        <n v="3496"/>
        <n v="3497"/>
        <n v="3518"/>
        <n v="3521"/>
        <n v="3524"/>
        <n v="3525"/>
        <n v="3526"/>
        <n v="3532"/>
        <n v="3533"/>
        <n v="3541"/>
        <n v="3555"/>
        <n v="3562"/>
        <n v="3580"/>
        <n v="3581"/>
        <n v="3582"/>
        <n v="3583"/>
        <n v="3584"/>
        <n v="3591"/>
        <n v="3592"/>
        <n v="3593"/>
        <n v="3607"/>
        <n v="3608"/>
        <n v="3609"/>
        <n v="3615"/>
        <n v="3636"/>
        <n v="3639"/>
        <n v="3646"/>
        <n v="3651"/>
        <n v="3658"/>
        <n v="3659"/>
        <n v="3660"/>
        <n v="3661"/>
        <n v="3664"/>
        <n v="3665"/>
        <n v="3683"/>
        <n v="3684"/>
        <n v="3685"/>
        <n v="3690"/>
        <n v="3691"/>
        <n v="3692"/>
        <n v="3693"/>
        <n v="3694"/>
        <n v="3695"/>
        <n v="3709"/>
        <n v="3713"/>
        <n v="3716"/>
        <n v="3719"/>
        <n v="3720"/>
        <n v="3721"/>
        <n v="3722"/>
        <n v="3725"/>
        <n v="3753"/>
        <n v="3762"/>
        <n v="3766"/>
        <n v="3767"/>
        <n v="3768"/>
        <n v="3769"/>
        <n v="3770"/>
        <n v="3771"/>
        <n v="3772"/>
        <n v="3773"/>
        <n v="3774"/>
        <n v="3779"/>
        <n v="3780"/>
        <n v="3796"/>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2909/2910"/>
        <s v="2914/2915"/>
        <s v="2916/2917"/>
        <s v="2918/2925"/>
        <s v="2919/2920"/>
        <s v="2922/2923"/>
        <s v="2931/2932"/>
        <s v="2934"/>
        <s v="2935"/>
        <s v="2939/2940/2941"/>
        <s v="2942/2943"/>
        <s v="2944/2945"/>
        <s v="2946/2947/2948"/>
        <s v="2949/2950/2951/2952/2953"/>
        <s v="2954/2961"/>
        <s v="2955"/>
        <s v="2956/2957"/>
        <s v="2960/2963"/>
        <s v="2966/2967"/>
        <s v="2972/2973/2974"/>
        <s v="2976/2980"/>
        <s v="2982/2983"/>
        <s v="2985/2987"/>
        <s v="2986/2991"/>
        <s v="2989/2990"/>
        <s v="2995"/>
        <s v="2997"/>
        <s v="2998/2999/3000"/>
        <s v="3001/3002/3003"/>
        <s v="3004"/>
        <s v="3006/3007"/>
        <s v="3011/3018"/>
        <s v="3013/3014"/>
        <s v="3017/3024"/>
        <s v="3019/3020"/>
        <s v="3030"/>
        <s v="3031/3032"/>
        <s v="3033/3034/3035"/>
        <s v="3045/3049/3050"/>
        <s v="3046/3047/3048"/>
        <s v="3053/3054/3055/3056"/>
        <s v="3063/3064/3065"/>
        <s v="3070/3083/3084"/>
        <s v="3071/3072/3073/3074"/>
        <s v="3075/3076/3077/3078"/>
        <s v="3085/3086/3087"/>
        <s v="3092/3093"/>
        <s v="3094/3095"/>
        <s v="3096/3098"/>
        <s v="3102/3103"/>
        <s v="3109/3110"/>
        <s v="3111/3112/3113"/>
        <s v="3116/3117/3118"/>
        <s v="3137/3138"/>
        <s v="3139/3140"/>
        <s v="3146,3147,3154,3157,3158,3159"/>
        <s v="3149,3182"/>
        <s v="3150,3151"/>
        <s v="3152"/>
        <s v="3153"/>
        <s v="3161"/>
        <s v="3163,3164"/>
        <s v="3165/3166"/>
        <s v="3167,68,69"/>
        <s v="3170/3171/3172"/>
        <s v="3176/3177/3178"/>
        <s v="3190,3191, 3192,3193"/>
        <s v="3194,3195"/>
        <s v="3196"/>
        <s v="3197"/>
        <s v="3199,3200"/>
        <s v="3203,04,06"/>
        <s v="3210/3211/3213"/>
        <s v="3214/3215"/>
        <s v="3216/3217"/>
        <s v="3221/3222/3223"/>
        <s v="3228/3229"/>
        <s v="3229"/>
        <s v="3230"/>
        <s v="3231,3232"/>
        <s v="3234,3235"/>
        <s v="3241/3242/3245"/>
        <s v="3246/3247"/>
        <s v="3254/3255/3256"/>
        <s v="3272/3273/3274"/>
        <s v="3275/3276/3277"/>
        <s v="3278"/>
        <s v="3279"/>
        <s v="3283/3284"/>
        <s v="3286/3287/3288/3289/3290"/>
        <s v="3291/3292"/>
        <s v="3309/3314"/>
        <s v="3310/3311"/>
        <s v="3316,17,18"/>
        <s v="3332/3333"/>
        <s v="3336/3397"/>
        <s v="3342/3343/3344/3345/3357"/>
        <s v="3351,54,56"/>
        <s v="3367/3368"/>
        <s v="3379/3380/3381/3382"/>
        <s v="3384/3385"/>
        <s v="3386/3387"/>
        <s v="3409/3410"/>
        <s v="3411/3412/3413"/>
        <s v="3420/3421"/>
        <s v="3422/3423"/>
        <s v="3435/3436/3437/3438"/>
        <s v="3439/3440"/>
        <s v="3456/3462"/>
        <s v="3457"/>
        <s v="3458/3459"/>
        <s v="3460/3461"/>
        <s v="3463"/>
        <s v="3465/3466/3476/3477"/>
        <s v="3471/3472/3473"/>
        <s v="3492/3493"/>
        <s v="3508,3514"/>
        <s v="3515/3516/3517"/>
        <s v="3519/3520"/>
        <s v="3522/3523/3542"/>
        <s v="3530/3531"/>
        <s v="3543/3544/3545/3546"/>
        <s v="3547/3548/3549/3550"/>
        <s v="3551/3552/3553/3554/3569"/>
        <s v="3556/3357"/>
        <s v="3558/3559"/>
        <s v="3560/3561"/>
        <s v="3586/3587/3588"/>
        <s v="3589/3590"/>
        <s v="3599/3600/3601/3614"/>
        <s v="3602/3603"/>
        <s v="3604/3605/3606"/>
        <s v="3610/3611"/>
        <s v="3612/3613"/>
        <s v="3627/3629"/>
        <s v="3630/3631"/>
        <s v="3647/3656/3657"/>
        <s v="3648/3649/3650"/>
        <s v="3652/3653/3654/3655"/>
        <s v="3662/3663"/>
        <s v="3678/3679/3680"/>
        <s v="3681/3682"/>
        <s v="3703/3714/3715"/>
        <s v="3704/3705/3706/3707/3708/3710"/>
        <s v="3711/3712"/>
        <s v="3717/3718"/>
        <s v="3723/3724"/>
        <s v="3735/3736"/>
        <s v="3737/3738"/>
        <s v="3739"/>
        <s v="3745/3756/3757/3761"/>
        <s v="3751/3752"/>
        <s v="3754/3755"/>
        <s v="3758/3759/3760"/>
        <s v="3763/3764/3765"/>
        <s v="3781"/>
        <s v="3782/3783"/>
        <s v="3788/3789"/>
        <s v="3793/3794/3795"/>
        <s v="3797/3799"/>
        <s v="3798/3800"/>
        <s v="3801/3802"/>
        <s v="pending"/>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 v="PINPM/21-22/3257"/>
        <s v="PINPM/21-22/3258"/>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350" createdVersion="3">
  <cacheSource type="worksheet">
    <worksheetSource ref="B3:BS353" sheet="Data Sheet Aug-2021"/>
  </cacheSource>
  <cacheFields count="70">
    <cacheField name="Date" numFmtId="0">
      <sharedItems containsSemiMixedTypes="0" containsNonDate="0" containsDate="1" containsString="0" minDate="2021-08-02T00:00:00" maxDate="2021-08-31T00:00:00" count="2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sharedItems>
    </cacheField>
    <cacheField name="Shift" numFmtId="0">
      <sharedItems count="4">
        <s v="A"/>
        <s v="B"/>
        <s v="C"/>
        <s v="G"/>
      </sharedItems>
    </cacheField>
    <cacheField name="Section" numFmtId="0">
      <sharedItems count="10">
        <s v="BOTTLE MOLDED"/>
        <s v="BOTTLE PRINTED"/>
        <s v="CAP MOLDED"/>
        <s v="HOOD MOLDED"/>
        <s v="NIPPLE LASER MARKING"/>
        <s v="NIPPLE MOLDED"/>
        <s v="NIPPLE POSTCURE"/>
        <s v="NIPPLE PUNCH"/>
        <s v="NIPPLE PUNCH INSPECTED"/>
        <s v="NIPPLE WRAP PRINTED"/>
      </sharedItems>
    </cacheField>
    <cacheField name="Item Code" numFmtId="0">
      <sharedItems count="60">
        <s v="FO001"/>
        <s v="FO002"/>
        <s v="FO003"/>
        <s v="FO004"/>
        <s v="FO005"/>
        <s v="FO006"/>
        <s v="FO007"/>
        <s v="FO008"/>
        <s v="FO009"/>
        <s v="FO010"/>
        <s v="FO011"/>
        <s v="FO012"/>
        <s v="FO013"/>
        <s v="FO015"/>
        <s v="FO016"/>
        <s v="FO017"/>
        <s v="FO019"/>
        <s v="FO020"/>
        <s v="FO021"/>
        <s v="FO029"/>
        <s v="FO030"/>
        <s v="FO031"/>
        <s v="FO043"/>
        <s v="FO048"/>
        <s v="FO052"/>
        <s v="FO053"/>
        <s v="FO054"/>
        <s v="FO056"/>
        <s v="FO058"/>
        <s v="FO087"/>
        <s v="FO088"/>
        <s v="FO089"/>
        <s v="FO092"/>
        <s v="FO093"/>
        <s v="FO094"/>
        <s v="FO096"/>
        <s v="FO100"/>
        <s v="FO101"/>
        <s v="FO102"/>
        <s v="FO104"/>
        <s v="FO106"/>
        <s v="FO108"/>
        <s v="FO109"/>
        <s v="FO110"/>
        <s v="FO113"/>
        <s v="FO116"/>
        <s v="FO117"/>
        <s v="FO119"/>
        <s v="FO130"/>
        <s v="FO141"/>
        <s v="FO142"/>
        <s v="FO143"/>
        <s v="FO144"/>
        <s v="FO145"/>
        <s v="FO146"/>
        <s v="FO148"/>
        <s v="FO149"/>
        <s v="FO150"/>
        <s v="FO151"/>
        <s v="FO152"/>
      </sharedItems>
    </cacheField>
    <cacheField name="Mold No" numFmtId="0">
      <sharedItems containsBlank="1" count="8">
        <s v="B2"/>
        <s v="BM1"/>
        <s v="BM2"/>
        <s v="BM3"/>
        <s v="BM4"/>
        <s v="BM5"/>
        <s v="M2"/>
        <m/>
      </sharedItems>
    </cacheField>
    <cacheField name="M/c No" numFmtId="0">
      <sharedItems containsBlank="1" count="13">
        <s v="B1"/>
        <s v="B2"/>
        <s v="INJ"/>
        <s v="INJ-1"/>
        <s v="INJ1"/>
        <s v="L2"/>
        <s v="LZ1"/>
        <s v="LZR"/>
        <s v="P1"/>
        <s v="PC1"/>
        <s v="PR1"/>
        <s v="WR1"/>
        <m/>
      </sharedItems>
    </cacheField>
    <cacheField name="SKU" numFmtId="0">
      <sharedItems count="60">
        <s v="50 ML RPP BOTTLE PRINTED - BIRDS"/>
        <s v="CAP S TYPE MOLDED BLUE"/>
        <s v="CAP S TYPE MOLDED PALE BLUE"/>
        <s v="CAP S TYPE MOLDED PINK"/>
        <s v="CAP S TYPE MOLDED RED"/>
        <s v="CAP S TYPE MOLDED WHITE"/>
        <s v="HOOD S TYPE MOLDED"/>
        <s v="KPP 120 BOTTLE PRINTED (WMG3B) W/O OZ &amp; W/BIS LOGO"/>
        <s v="KPP 120 ML BOTTLE MOLDED"/>
        <s v="KPP 120 ML BOTTLE PRINTED"/>
        <s v="KPP 200 BOTTLE PRINTED (WMG3B) W/O OZ &amp; W/BIS LOGO"/>
        <s v="KPP 200 ML BOTTLE MOLDED"/>
        <s v="KPP 200 ML BOTTLE PRINTED"/>
        <s v="KPP 240 BOTTLE PRINTED (WMG3B) W/O OZ &amp; W/BIS LOGO"/>
        <s v="KPP 240 ML BOTTLE MOLDED"/>
        <s v="KPP 240 ML BOTTLE PRINTED"/>
        <s v="KPP BOTTLE 200 ML MOULDED-WMG3B"/>
        <s v="KPP BOTTLE 20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WITH PRINTED WRAP"/>
        <s v="NIPPLE S TYPE S SIZE INJECTION"/>
        <s v="NIPPLE S TYPE S SIZE POSTCURED"/>
        <s v="NIPPLE S TYPE S SIZE PUNCHED"/>
        <s v="NIPPLE S TYPE S SIZE PUNCHED INSPECTED"/>
        <s v="NIPPLE S TYPE S SIZE PUNCHED LASER MARKED"/>
        <s v="NIPPLE S TYPE S SIZE WITH PRINTED WRAP"/>
        <s v="RPP 120 ML BOTTLE MOLDED"/>
        <s v="RPP 120 ML BOTTLE PRINTED"/>
        <s v="RPP 120 ML RPP PRINTED ELEPHANT"/>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FLORAL PNK BOTLE PNTD WM3GB W/BIS LOGO"/>
        <s v="RPP 240ML GRL PNK BOTLE PNTD WM3GB W/BIS LOGO"/>
        <s v="RPP 240ML PINK BOTTLE MOLDED (WM3GB)"/>
      </sharedItems>
    </cacheField>
    <cacheField name="Lot No." numFmtId="0">
      <sharedItems containsBlank="1" count="321">
        <s v="DA30Ba2EG05Pa"/>
        <s v="EC25BC1H27Pa"/>
        <s v="ED14Ba1H24Pa"/>
        <s v="EF22Ba1H24Pa"/>
        <s v="EF28Ba1H28PA"/>
        <s v="EG05Ba1H20Pa"/>
        <s v="EG20Ba1H07Pa"/>
        <s v="EG21Bc2H12Pa"/>
        <s v="EG21Bc2H13Pa"/>
        <s v="EG23Ba2H21Pa"/>
        <s v="EG23Ba2H24Pa"/>
        <s v="EH02Ba1H21Pa"/>
        <s v="EH02Bb1"/>
        <s v="EH02BC1"/>
        <s v="EH02Bc1H09Pa"/>
        <s v="EH03Ba1"/>
        <s v="EH03Ba1H24Pa"/>
        <s v="EH03Bb1"/>
        <s v="EH03Bc1"/>
        <s v="EH04Ba1"/>
        <s v="EH04Bb1"/>
        <s v="EH04Bc1"/>
        <s v="EH05Bb2"/>
        <s v="EH05Bc2"/>
        <s v="EH05Bc2H06Pa"/>
        <s v="EH05Bc2H07Pa"/>
        <s v="EH05Ca"/>
        <s v="EH05CRa"/>
        <s v="EH05CRc"/>
        <s v="EH06Ba1"/>
        <s v="EH06Bb2"/>
        <s v="EH06Bb2H07Pa"/>
        <s v="EH06Bb2H10Pa"/>
        <s v="EH06Bc2"/>
        <s v="EH06CRa"/>
        <s v="EH06CRb"/>
        <s v="EH06CRc"/>
        <s v="EH07Ba1H11Pa"/>
        <s v="EH07Ba2"/>
        <s v="EH07Bb2"/>
        <s v="EH07Bc2"/>
        <s v="EH07Ca"/>
        <s v="EH07Cc"/>
        <s v="EH07CRa"/>
        <s v="EH07CRc"/>
        <s v="EH09Ba2"/>
        <s v="EH09Bb2"/>
        <s v="EH09Bc2"/>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c2"/>
        <s v="EH17Ca"/>
        <s v="EH17Cb"/>
        <s v="EH17Cc"/>
        <s v="EH17CRb"/>
        <s v="EH17CRc"/>
        <s v="EH18Ba2"/>
        <s v="EH18Bb2"/>
        <s v="EH18Bc2"/>
        <s v="EH18Ca"/>
        <s v="EH18Cb"/>
        <s v="EH18CRb"/>
        <s v="EH18CRc"/>
        <s v="EH19Ba2"/>
        <s v="EH19Bb2"/>
        <s v="EH19Bb2H31Pa"/>
        <s v="EH19Bc2"/>
        <s v="EH19Hc"/>
        <s v="EH20Ba2"/>
        <s v="EH20Bb2"/>
        <s v="EH20Bc2"/>
        <s v="EH20Ha"/>
        <s v="EH20Hb"/>
        <s v="EH21Ba2"/>
        <s v="EH21Bb1H25Pa"/>
        <s v="EH22Bb2H20Pa"/>
        <s v="EH24Bb1"/>
        <s v="EH24Bb2"/>
        <s v="EH24Bb2H25Pa"/>
        <s v="EH24Bb2H26Pa"/>
        <s v="EH24Bc1"/>
        <s v="EH24HA"/>
        <s v="EH24Hc"/>
        <s v="EH25Bb2"/>
        <s v="EH25Bc1"/>
        <s v="EH25BC1H28PA"/>
        <s v="EH25Ha"/>
        <s v="EH25Hb"/>
        <s v="EH25Hc"/>
        <s v="EH26Bb1"/>
        <s v="EH26Bc1"/>
        <s v="EH26Ha"/>
        <s v="EH26Hb"/>
        <s v="EH26Hc"/>
        <s v="EH27Bb1H31Pa"/>
        <s v="EH27Bb2"/>
        <s v="EH27Bc1"/>
        <s v="EH27HA"/>
        <s v="EH27Hb"/>
        <s v="EH27Hc"/>
        <s v="EH28Ba1"/>
        <s v="EH28Ba1H31Pa"/>
        <s v="EH28Bb1"/>
        <s v="EH28Bb1H31Pa"/>
        <s v="EH28Bc1"/>
        <s v="EH28Ha"/>
        <s v="EH28Hb"/>
        <s v="EH28Hc"/>
        <s v="EH31Ha"/>
        <s v="EH31Hb"/>
        <s v="HED23G22"/>
        <s v="HED24GG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Bc2H19Pa"/>
        <s v="HEH13BG22"/>
        <s v="HEH13CG22"/>
        <s v="HEH13Na"/>
        <s v="HEH13NaH13Pc"/>
        <s v="HEH13NaH13PcH17Pa"/>
        <s v="HEH13Nb"/>
        <s v="HEH13NbH13PcH17Pa"/>
        <s v="HEH13NbH13PcH18Pb"/>
        <s v="HEH13Nc"/>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NA"/>
        <s v="HEH27NaH27Pb"/>
        <s v="HEH27Nb"/>
        <s v="HEH27NbH27PbH28Pb"/>
        <s v="HEH27NbH28Pa"/>
        <s v="HEH27NbH28PaH28Pb"/>
        <s v="HEH27Nc"/>
        <s v="HEH28Na"/>
        <s v="HEH28NaH28Pb"/>
        <s v="HEH28Nb"/>
        <s v="HEH28NbH28PbH31Pb"/>
        <s v="HEH28Nc"/>
        <s v="HEH28NCH31Pa"/>
        <s v="HEH31Na"/>
        <s v="HEH31NaH31Pb"/>
        <s v="HEH31Nb"/>
        <m/>
      </sharedItems>
    </cacheField>
    <cacheField name="Shift Incharge" numFmtId="0">
      <sharedItems containsBlank="1" count="6">
        <s v="Himanshu"/>
        <s v="Nitin"/>
        <s v="Pintu"/>
        <s v="Saurav"/>
        <s v="Vivek"/>
        <m/>
      </sharedItems>
    </cacheField>
    <cacheField name="Plan Hrs" numFmtId="0">
      <sharedItems containsSemiMixedTypes="0" containsString="0" containsNumber="1" minValue="0.5" maxValue="10.5" count="26">
        <n v="0.5"/>
        <n v="0.6"/>
        <n v="0.8"/>
        <n v="1"/>
        <n v="1.2"/>
        <n v="1.3"/>
        <n v="1.5"/>
        <n v="2"/>
        <n v="2.3"/>
        <n v="2.5"/>
        <n v="3"/>
        <n v="3.3"/>
        <n v="3.5"/>
        <n v="4"/>
        <n v="4.3"/>
        <n v="4.5"/>
        <n v="5"/>
        <n v="5.4"/>
        <n v="5.5"/>
        <n v="6"/>
        <n v="6.5"/>
        <n v="7"/>
        <n v="7.5"/>
        <n v="8"/>
        <n v="8.5"/>
        <n v="10.5"/>
      </sharedItems>
    </cacheField>
    <cacheField name="Plan Qty" numFmtId="0">
      <sharedItems containsSemiMixedTypes="0" containsString="0" containsNumber="1" minValue="210" maxValue="16132" count="87">
        <n v="210"/>
        <n v="215"/>
        <n v="324"/>
        <n v="400"/>
        <n v="500"/>
        <n v="550"/>
        <n v="600"/>
        <n v="630"/>
        <n v="638"/>
        <n v="650"/>
        <n v="800"/>
        <n v="1000"/>
        <n v="1037"/>
        <n v="1040"/>
        <n v="1062"/>
        <n v="1100"/>
        <n v="1137"/>
        <n v="1200"/>
        <n v="1250"/>
        <n v="1251.5"/>
        <n v="1290"/>
        <n v="1337"/>
        <n v="1374"/>
        <n v="1500"/>
        <n v="1537"/>
        <n v="1557"/>
        <n v="1600"/>
        <n v="1800"/>
        <n v="1974"/>
        <n v="2000"/>
        <n v="2036"/>
        <n v="2072"/>
        <n v="2074"/>
        <n v="2100"/>
        <n v="2125"/>
        <n v="2250"/>
        <n v="2500"/>
        <n v="2503"/>
        <n v="2550"/>
        <n v="2574"/>
        <n v="2580"/>
        <n v="2600"/>
        <n v="2637"/>
        <n v="2800"/>
        <n v="2847"/>
        <n v="2887"/>
        <n v="3000"/>
        <n v="3097"/>
        <n v="3400"/>
        <n v="3500"/>
        <n v="3518"/>
        <n v="3587"/>
        <n v="3600"/>
        <n v="3700"/>
        <n v="3800"/>
        <n v="4000"/>
        <n v="4137"/>
        <n v="4250"/>
        <n v="4375"/>
        <n v="4500"/>
        <n v="4750"/>
        <n v="4815"/>
        <n v="5000"/>
        <n v="5036"/>
        <n v="5100"/>
        <n v="5132"/>
        <n v="6000"/>
        <n v="6091"/>
        <n v="7000"/>
        <n v="7036"/>
        <n v="7072"/>
        <n v="7091"/>
        <n v="7096"/>
        <n v="8016"/>
        <n v="8091"/>
        <n v="9000"/>
        <n v="10072"/>
        <n v="10400"/>
        <n v="11000"/>
        <n v="11500"/>
        <n v="12000"/>
        <n v="12700"/>
        <n v="14000"/>
        <n v="14072"/>
        <n v="14182"/>
        <n v="16032"/>
        <n v="16132"/>
      </sharedItems>
    </cacheField>
    <cacheField name="Plan Qty per Hr" numFmtId="0">
      <sharedItems containsSemiMixedTypes="0" containsString="0" containsNumber="1" minValue="200" maxValue="2068.5" count="103">
        <n v="200"/>
        <n v="211.764705882353"/>
        <n v="215"/>
        <n v="216.666666666667"/>
        <n v="245.142857142857"/>
        <n v="275"/>
        <n v="300"/>
        <n v="312.875"/>
        <n v="319.53488372093"/>
        <n v="321.428571428571"/>
        <n v="321.75"/>
        <n v="327.272727272727"/>
        <n v="329"/>
        <n v="333.333333333333"/>
        <n v="345.666666666667"/>
        <n v="363.636363636364"/>
        <n v="382"/>
        <n v="400"/>
        <n v="416.666666666667"/>
        <n v="420"/>
        <n v="424.8"/>
        <n v="444.444444444444"/>
        <n v="450"/>
        <n v="484.615384615385"/>
        <n v="500"/>
        <n v="509"/>
        <n v="512.333333333333"/>
        <n v="512.428571428571"/>
        <n v="516"/>
        <n v="516.166666666667"/>
        <n v="517.125"/>
        <n v="517.636363636364"/>
        <n v="518.5"/>
        <n v="518.518518518519"/>
        <n v="519"/>
        <n v="520"/>
        <n v="525"/>
        <n v="527.4"/>
        <n v="533.333333333333"/>
        <n v="540"/>
        <n v="550"/>
        <n v="566.666666666667"/>
        <n v="568.5"/>
        <n v="577.4"/>
        <n v="591"/>
        <n v="600"/>
        <n v="601.875"/>
        <n v="607.142857142857"/>
        <n v="625"/>
        <n v="625.75"/>
        <n v="637.5"/>
        <n v="666.666666666667"/>
        <n v="750"/>
        <n v="797.5"/>
        <n v="814.4"/>
        <n v="827.764705882353"/>
        <n v="833.333333333333"/>
        <n v="834.235294117647"/>
        <n v="875"/>
        <n v="879.5"/>
        <n v="886.375"/>
        <n v="888.888888888889"/>
        <n v="900"/>
        <n v="909.090909090909"/>
        <n v="950"/>
        <n v="978.260869565218"/>
        <n v="1000"/>
        <n v="1007.2"/>
        <n v="1034.25"/>
        <n v="1036"/>
        <n v="1058.82352941176"/>
        <n v="1082.46153846154"/>
        <n v="1125"/>
        <n v="1172.66666666667"/>
        <n v="1200"/>
        <n v="1300"/>
        <n v="1333.33333333333"/>
        <n v="1360"/>
        <n v="1375"/>
        <n v="1400"/>
        <n v="1407.2"/>
        <n v="1419.2"/>
        <n v="1437.5"/>
        <n v="1500"/>
        <n v="1522.75"/>
        <n v="1587.5"/>
        <n v="1600"/>
        <n v="1652.17391304348"/>
        <n v="1655.52941176471"/>
        <n v="1668.47058823529"/>
        <n v="1710.66666666667"/>
        <n v="1750"/>
        <n v="1759"/>
        <n v="1768"/>
        <n v="1798"/>
        <n v="1831.27272727273"/>
        <n v="1846.15384615385"/>
        <n v="1850"/>
        <n v="1886.11764705882"/>
        <n v="1897.88235294118"/>
        <n v="2004"/>
        <n v="2016.5"/>
        <n v="2068.5"/>
      </sharedItems>
    </cacheField>
    <cacheField name="Total Produced Qty" numFmtId="0">
      <sharedItems containsSemiMixedTypes="0" containsString="0" containsNumber="1" containsInteger="1" minValue="7" maxValue="18229" count="286">
        <n v="7"/>
        <n v="51"/>
        <n v="140"/>
        <n v="224"/>
        <n v="283"/>
        <n v="328"/>
        <n v="393"/>
        <n v="407"/>
        <n v="468"/>
        <n v="487"/>
        <n v="489"/>
        <n v="533"/>
        <n v="550"/>
        <n v="630"/>
        <n v="652"/>
        <n v="682"/>
        <n v="921"/>
        <n v="1000"/>
        <n v="1011"/>
        <n v="1012"/>
        <n v="1040"/>
        <n v="1051"/>
        <n v="1077"/>
        <n v="1132"/>
        <n v="1141"/>
        <n v="1165"/>
        <n v="1168"/>
        <n v="1173"/>
        <n v="1180"/>
        <n v="1186"/>
        <n v="1193"/>
        <n v="1257"/>
        <n v="1269"/>
        <n v="1316"/>
        <n v="1350"/>
        <n v="1386"/>
        <n v="1495"/>
        <n v="1500"/>
        <n v="1572"/>
        <n v="1578"/>
        <n v="1606"/>
        <n v="1624"/>
        <n v="1648"/>
        <n v="1739"/>
        <n v="1773"/>
        <n v="1795"/>
        <n v="1807"/>
        <n v="1863"/>
        <n v="1873"/>
        <n v="1997"/>
        <n v="2000"/>
        <n v="2008"/>
        <n v="2017"/>
        <n v="2250"/>
        <n v="2273"/>
        <n v="2278"/>
        <n v="2381"/>
        <n v="2402"/>
        <n v="2472"/>
        <n v="2492"/>
        <n v="2524"/>
        <n v="2538"/>
        <n v="2588"/>
        <n v="2609"/>
        <n v="2640"/>
        <n v="2787"/>
        <n v="2788"/>
        <n v="2808"/>
        <n v="2830"/>
        <n v="2831"/>
        <n v="2852"/>
        <n v="2880"/>
        <n v="2943"/>
        <n v="2986"/>
        <n v="2992"/>
        <n v="3000"/>
        <n v="3008"/>
        <n v="3012"/>
        <n v="3023"/>
        <n v="3034"/>
        <n v="3036"/>
        <n v="3038"/>
        <n v="3102"/>
        <n v="3114"/>
        <n v="3117"/>
        <n v="3177"/>
        <n v="3180"/>
        <n v="3182"/>
        <n v="3200"/>
        <n v="3201"/>
        <n v="3202"/>
        <n v="3227"/>
        <n v="3250"/>
        <n v="3252"/>
        <n v="3270"/>
        <n v="3271"/>
        <n v="3277"/>
        <n v="3286"/>
        <n v="3287"/>
        <n v="3297"/>
        <n v="3300"/>
        <n v="3304"/>
        <n v="3305"/>
        <n v="3347"/>
        <n v="3358"/>
        <n v="3382"/>
        <n v="3390"/>
        <n v="3400"/>
        <n v="3402"/>
        <n v="3414"/>
        <n v="3450"/>
        <n v="3498"/>
        <n v="3505"/>
        <n v="3588"/>
        <n v="3612"/>
        <n v="3615"/>
        <n v="3700"/>
        <n v="3702"/>
        <n v="3752"/>
        <n v="3770"/>
        <n v="3800"/>
        <n v="3805"/>
        <n v="3812"/>
        <n v="3906"/>
        <n v="3950"/>
        <n v="3962"/>
        <n v="3973"/>
        <n v="3982"/>
        <n v="4000"/>
        <n v="4002"/>
        <n v="4012"/>
        <n v="4014"/>
        <n v="4015"/>
        <n v="4033"/>
        <n v="4044"/>
        <n v="4116"/>
        <n v="4148"/>
        <n v="4160"/>
        <n v="4170"/>
        <n v="4200"/>
        <n v="4223"/>
        <n v="4250"/>
        <n v="4300"/>
        <n v="4303"/>
        <n v="4313"/>
        <n v="4320"/>
        <n v="4340"/>
        <n v="4372"/>
        <n v="4385"/>
        <n v="4505"/>
        <n v="4506"/>
        <n v="4545"/>
        <n v="4564"/>
        <n v="4573"/>
        <n v="4586"/>
        <n v="4605"/>
        <n v="4610"/>
        <n v="4660"/>
        <n v="4678"/>
        <n v="4708"/>
        <n v="4712"/>
        <n v="4718"/>
        <n v="4792"/>
        <n v="4848"/>
        <n v="4889"/>
        <n v="4910"/>
        <n v="4950"/>
        <n v="4959"/>
        <n v="5000"/>
        <n v="5010"/>
        <n v="5012"/>
        <n v="5020"/>
        <n v="5046"/>
        <n v="5065"/>
        <n v="5080"/>
        <n v="5086"/>
        <n v="5090"/>
        <n v="5096"/>
        <n v="5099"/>
        <n v="5109"/>
        <n v="5119"/>
        <n v="5126"/>
        <n v="5130"/>
        <n v="5138"/>
        <n v="5200"/>
        <n v="5205"/>
        <n v="5309"/>
        <n v="5320"/>
        <n v="5324"/>
        <n v="5326"/>
        <n v="5331"/>
        <n v="5337"/>
        <n v="5365"/>
        <n v="5368"/>
        <n v="5373"/>
        <n v="5405"/>
        <n v="5411"/>
        <n v="5417"/>
        <n v="5465"/>
        <n v="5466"/>
        <n v="5470"/>
        <n v="5482"/>
        <n v="5500"/>
        <n v="5510"/>
        <n v="5512"/>
        <n v="5520"/>
        <n v="5526"/>
        <n v="5557"/>
        <n v="5588"/>
        <n v="5600"/>
        <n v="5612"/>
        <n v="5634"/>
        <n v="5660"/>
        <n v="5680"/>
        <n v="5790"/>
        <n v="5882"/>
        <n v="5928"/>
        <n v="6000"/>
        <n v="6048"/>
        <n v="6100"/>
        <n v="6103"/>
        <n v="6200"/>
        <n v="6300"/>
        <n v="6347"/>
        <n v="6353"/>
        <n v="6400"/>
        <n v="6470"/>
        <n v="6500"/>
        <n v="6529"/>
        <n v="6588"/>
        <n v="6600"/>
        <n v="6618"/>
        <n v="6700"/>
        <n v="6710"/>
        <n v="6800"/>
        <n v="6820"/>
        <n v="6900"/>
        <n v="6950"/>
        <n v="7000"/>
        <n v="7100"/>
        <n v="7170"/>
        <n v="7200"/>
        <n v="7224"/>
        <n v="7300"/>
        <n v="7320"/>
        <n v="7420"/>
        <n v="7500"/>
        <n v="7612"/>
        <n v="7668"/>
        <n v="7926"/>
        <n v="8058"/>
        <n v="8200"/>
        <n v="8612"/>
        <n v="8705"/>
        <n v="9027"/>
        <n v="9100"/>
        <n v="9300"/>
        <n v="9320"/>
        <n v="9500"/>
        <n v="9600"/>
        <n v="10200"/>
        <n v="10300"/>
        <n v="10400"/>
        <n v="11000"/>
        <n v="11300"/>
        <n v="11426"/>
        <n v="11500"/>
        <n v="11557"/>
        <n v="11588"/>
        <n v="12300"/>
        <n v="12470"/>
        <n v="12700"/>
        <n v="12900"/>
        <n v="13000"/>
        <n v="13200"/>
        <n v="14000"/>
        <n v="15089"/>
        <n v="15285"/>
        <n v="15300"/>
        <n v="15874"/>
        <n v="16090"/>
        <n v="17412"/>
        <n v="17547"/>
        <n v="17945"/>
        <n v="18065"/>
        <n v="18229"/>
      </sharedItems>
    </cacheField>
    <cacheField name="Total Good Pc's" numFmtId="0">
      <sharedItems containsSemiMixedTypes="0" containsString="0" containsNumber="1" containsInteger="1" minValue="7" maxValue="18229" count="198">
        <n v="7"/>
        <n v="51"/>
        <n v="137"/>
        <n v="222"/>
        <n v="275"/>
        <n v="324"/>
        <n v="385"/>
        <n v="396"/>
        <n v="453"/>
        <n v="457"/>
        <n v="467"/>
        <n v="488"/>
        <n v="550"/>
        <n v="595"/>
        <n v="630"/>
        <n v="642"/>
        <n v="670"/>
        <n v="840"/>
        <n v="1000"/>
        <n v="1038"/>
        <n v="1040"/>
        <n v="1063"/>
        <n v="1080"/>
        <n v="1100"/>
        <n v="1156"/>
        <n v="1165"/>
        <n v="1171"/>
        <n v="1246"/>
        <n v="1250"/>
        <n v="1260"/>
        <n v="1296"/>
        <n v="1350"/>
        <n v="1440"/>
        <n v="1484"/>
        <n v="1500"/>
        <n v="1512"/>
        <n v="1560"/>
        <n v="1570"/>
        <n v="1609"/>
        <n v="1620"/>
        <n v="1654"/>
        <n v="1728"/>
        <n v="1750"/>
        <n v="1836"/>
        <n v="1986"/>
        <n v="1989"/>
        <n v="2000"/>
        <n v="2160"/>
        <n v="2250"/>
        <n v="2330"/>
        <n v="2376"/>
        <n v="2382"/>
        <n v="2484"/>
        <n v="2500"/>
        <n v="2520"/>
        <n v="2580"/>
        <n v="2600"/>
        <n v="2700"/>
        <n v="2808"/>
        <n v="2827"/>
        <n v="2830"/>
        <n v="2880"/>
        <n v="2916"/>
        <n v="2982"/>
        <n v="2992"/>
        <n v="3000"/>
        <n v="3024"/>
        <n v="3060"/>
        <n v="3132"/>
        <n v="3200"/>
        <n v="3210"/>
        <n v="3240"/>
        <n v="3250"/>
        <n v="3300"/>
        <n v="3356"/>
        <n v="3390"/>
        <n v="3400"/>
        <n v="3408"/>
        <n v="3445"/>
        <n v="3500"/>
        <n v="3588"/>
        <n v="3600"/>
        <n v="3700"/>
        <n v="3750"/>
        <n v="3752"/>
        <n v="3780"/>
        <n v="3788"/>
        <n v="3800"/>
        <n v="3895"/>
        <n v="3942"/>
        <n v="3950"/>
        <n v="4000"/>
        <n v="4170"/>
        <n v="4200"/>
        <n v="4210"/>
        <n v="4250"/>
        <n v="4273"/>
        <n v="4300"/>
        <n v="4320"/>
        <n v="4330"/>
        <n v="4500"/>
        <n v="4600"/>
        <n v="4700"/>
        <n v="4752"/>
        <n v="4772"/>
        <n v="4820"/>
        <n v="4888"/>
        <n v="4900"/>
        <n v="4950"/>
        <n v="5000"/>
        <n v="5012"/>
        <n v="5184"/>
        <n v="5200"/>
        <n v="5268"/>
        <n v="5292"/>
        <n v="5300"/>
        <n v="5400"/>
        <n v="5500"/>
        <n v="5588"/>
        <n v="5600"/>
        <n v="5700"/>
        <n v="5800"/>
        <n v="5899"/>
        <n v="6000"/>
        <n v="6090"/>
        <n v="6095"/>
        <n v="6200"/>
        <n v="6300"/>
        <n v="6322"/>
        <n v="6400"/>
        <n v="6470"/>
        <n v="6480"/>
        <n v="6496"/>
        <n v="6500"/>
        <n v="6588"/>
        <n v="6600"/>
        <n v="6700"/>
        <n v="6710"/>
        <n v="6792"/>
        <n v="6800"/>
        <n v="6820"/>
        <n v="6900"/>
        <n v="6950"/>
        <n v="6994"/>
        <n v="6998"/>
        <n v="7000"/>
        <n v="7100"/>
        <n v="7170"/>
        <n v="7200"/>
        <n v="7222"/>
        <n v="7262"/>
        <n v="7298"/>
        <n v="7300"/>
        <n v="7320"/>
        <n v="7400"/>
        <n v="7500"/>
        <n v="7570"/>
        <n v="7668"/>
        <n v="7905"/>
        <n v="7978"/>
        <n v="8200"/>
        <n v="8612"/>
        <n v="8701"/>
        <n v="8994"/>
        <n v="9086"/>
        <n v="9100"/>
        <n v="9263"/>
        <n v="9300"/>
        <n v="9500"/>
        <n v="9600"/>
        <n v="10200"/>
        <n v="10300"/>
        <n v="10400"/>
        <n v="11000"/>
        <n v="11300"/>
        <n v="11344"/>
        <n v="11423"/>
        <n v="11500"/>
        <n v="11507"/>
        <n v="12216"/>
        <n v="12239"/>
        <n v="12444"/>
        <n v="12700"/>
        <n v="12752"/>
        <n v="12953"/>
        <n v="13116"/>
        <n v="13925"/>
        <n v="14000"/>
        <n v="14937"/>
        <n v="15244"/>
        <n v="15251"/>
        <n v="15836"/>
        <n v="16038"/>
        <n v="17390"/>
        <n v="17545"/>
        <n v="17935"/>
        <n v="18065"/>
        <n v="18229"/>
      </sharedItems>
    </cacheField>
    <cacheField name="Purge Material (in KG)" numFmtId="0">
      <sharedItems containsMixedTypes="1" containsNumber="1" minValue="0" maxValue="64.88" count="40">
        <n v="0"/>
        <n v="0.09"/>
        <n v="0.1"/>
        <n v="0.12"/>
        <n v="0.124"/>
        <n v="0.15"/>
        <n v="0.18"/>
        <n v="0.185"/>
        <n v="0.19"/>
        <n v="0.2"/>
        <n v="0.23"/>
        <n v="0.24"/>
        <n v="0.25"/>
        <n v="0.28"/>
        <n v="0.282"/>
        <n v="0.3"/>
        <n v="0.32"/>
        <n v="0.35"/>
        <n v="0.38"/>
        <n v="0.39"/>
        <n v="0.4"/>
        <n v="0.448"/>
        <n v="0.58"/>
        <n v="0.6"/>
        <n v="0.681"/>
        <n v="0.7"/>
        <n v="0.8"/>
        <n v="0.84"/>
        <n v="0.9"/>
        <n v="1.1"/>
        <n v="1.147"/>
        <n v="1.2"/>
        <n v="1.5"/>
        <n v="1.8"/>
        <n v="1.85"/>
        <n v="2.1"/>
        <n v="7.263"/>
        <n v="9.95"/>
        <n v="64.88"/>
        <e v="#NAME?"/>
      </sharedItems>
    </cacheField>
    <cacheField name="Setup Qty" numFmtId="0">
      <sharedItems containsSemiMixedTypes="0" containsString="0" containsNumber="1" containsInteger="1" minValue="0" maxValue="2137" count="66">
        <n v="0"/>
        <n v="2"/>
        <n v="10"/>
        <n v="16"/>
        <n v="18"/>
        <n v="20"/>
        <n v="21"/>
        <n v="23"/>
        <n v="24"/>
        <n v="25"/>
        <n v="26"/>
        <n v="27"/>
        <n v="28"/>
        <n v="30"/>
        <n v="32"/>
        <n v="33"/>
        <n v="34"/>
        <n v="35"/>
        <n v="36"/>
        <n v="37"/>
        <n v="40"/>
        <n v="41"/>
        <n v="42"/>
        <n v="43"/>
        <n v="44"/>
        <n v="45"/>
        <n v="47"/>
        <n v="48"/>
        <n v="50"/>
        <n v="52"/>
        <n v="53"/>
        <n v="54"/>
        <n v="55"/>
        <n v="57"/>
        <n v="58"/>
        <n v="60"/>
        <n v="62"/>
        <n v="63"/>
        <n v="64"/>
        <n v="69"/>
        <n v="70"/>
        <n v="72"/>
        <n v="75"/>
        <n v="76"/>
        <n v="80"/>
        <n v="90"/>
        <n v="92"/>
        <n v="100"/>
        <n v="102"/>
        <n v="107"/>
        <n v="110"/>
        <n v="111"/>
        <n v="115"/>
        <n v="118"/>
        <n v="120"/>
        <n v="127"/>
        <n v="155"/>
        <n v="173"/>
        <n v="200"/>
        <n v="220"/>
        <n v="230"/>
        <n v="265"/>
        <n v="280"/>
        <n v="403"/>
        <n v="600"/>
        <n v="2137"/>
      </sharedItems>
    </cacheField>
    <cacheField name="Rework Qty" numFmtId="0">
      <sharedItems containsSemiMixedTypes="0" containsString="0" containsNumber="1" containsInteger="1" minValue="0" maxValue="232" count="23">
        <n v="0"/>
        <n v="4"/>
        <n v="5"/>
        <n v="6"/>
        <n v="7"/>
        <n v="8"/>
        <n v="9"/>
        <n v="11"/>
        <n v="12"/>
        <n v="13"/>
        <n v="16"/>
        <n v="18"/>
        <n v="26"/>
        <n v="27"/>
        <n v="28"/>
        <n v="36"/>
        <n v="43"/>
        <n v="45"/>
        <n v="52"/>
        <n v="54"/>
        <n v="56"/>
        <n v="61"/>
        <n v="232"/>
      </sharedItems>
    </cacheField>
    <cacheField name="Hold Qty" numFmtId="0">
      <sharedItems containsString="0" containsBlank="1" containsNumber="1" containsInteger="1" minValue="0" maxValue="0" count="2">
        <n v="0"/>
        <m/>
      </sharedItems>
    </cacheField>
    <cacheField name="Line rej Qty" numFmtId="0">
      <sharedItems containsSemiMixedTypes="0" containsString="0" containsNumber="1" containsInteger="1" minValue="0" maxValue="244" count="83">
        <n v="0"/>
        <n v="2"/>
        <n v="3"/>
        <n v="4"/>
        <n v="5"/>
        <n v="6"/>
        <n v="7"/>
        <n v="8"/>
        <n v="10"/>
        <n v="11"/>
        <n v="12"/>
        <n v="13"/>
        <n v="14"/>
        <n v="15"/>
        <n v="17"/>
        <n v="18"/>
        <n v="20"/>
        <n v="21"/>
        <n v="22"/>
        <n v="23"/>
        <n v="24"/>
        <n v="25"/>
        <n v="26"/>
        <n v="27"/>
        <n v="28"/>
        <n v="29"/>
        <n v="30"/>
        <n v="31"/>
        <n v="32"/>
        <n v="33"/>
        <n v="34"/>
        <n v="35"/>
        <n v="36"/>
        <n v="37"/>
        <n v="38"/>
        <n v="40"/>
        <n v="41"/>
        <n v="42"/>
        <n v="44"/>
        <n v="45"/>
        <n v="47"/>
        <n v="48"/>
        <n v="49"/>
        <n v="50"/>
        <n v="51"/>
        <n v="52"/>
        <n v="54"/>
        <n v="55"/>
        <n v="56"/>
        <n v="57"/>
        <n v="58"/>
        <n v="60"/>
        <n v="61"/>
        <n v="62"/>
        <n v="63"/>
        <n v="64"/>
        <n v="65"/>
        <n v="67"/>
        <n v="68"/>
        <n v="69"/>
        <n v="70"/>
        <n v="71"/>
        <n v="72"/>
        <n v="74"/>
        <n v="75"/>
        <n v="78"/>
        <n v="80"/>
        <n v="81"/>
        <n v="84"/>
        <n v="87"/>
        <n v="88"/>
        <n v="90"/>
        <n v="92"/>
        <n v="95"/>
        <n v="100"/>
        <n v="108"/>
        <n v="110"/>
        <n v="135"/>
        <n v="137"/>
        <n v="148"/>
        <n v="152"/>
        <n v="153"/>
        <n v="244"/>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4">
        <n v="1"/>
        <n v="2"/>
        <n v="5"/>
        <n v="6"/>
      </sharedItems>
    </cacheField>
    <cacheField name="P.P. Output " numFmtId="0">
      <sharedItems containsSemiMixedTypes="0" containsString="0" containsNumber="1" minValue="7" maxValue="18229" count="200">
        <n v="7"/>
        <n v="27.4"/>
        <n v="45.8333333333333"/>
        <n v="51"/>
        <n v="54"/>
        <n v="64.1666666666667"/>
        <n v="77.8333333333333"/>
        <n v="79.2"/>
        <n v="91.4"/>
        <n v="99.1666666666667"/>
        <n v="107"/>
        <n v="111.666666666667"/>
        <n v="166.666666666667"/>
        <n v="177.166666666667"/>
        <n v="195.166666666667"/>
        <n v="207.6"/>
        <n v="207.666666666667"/>
        <n v="222"/>
        <n v="231.2"/>
        <n v="247.333333333333"/>
        <n v="268.166666666667"/>
        <n v="275.666666666667"/>
        <n v="288"/>
        <n v="306"/>
        <n v="331"/>
        <n v="331.5"/>
        <n v="420"/>
        <n v="453"/>
        <n v="488"/>
        <n v="550"/>
        <n v="630"/>
        <n v="712.166666666667"/>
        <n v="792"/>
        <n v="840"/>
        <n v="864"/>
        <n v="878"/>
        <n v="882"/>
        <n v="983.166666666667"/>
        <n v="1000"/>
        <n v="1040"/>
        <n v="1050"/>
        <n v="1053.66666666667"/>
        <n v="1080"/>
        <n v="1100"/>
        <n v="1165"/>
        <n v="1191"/>
        <n v="1250"/>
        <n v="1260"/>
        <n v="1296"/>
        <n v="1350"/>
        <n v="1440"/>
        <n v="1500"/>
        <n v="1512"/>
        <n v="1560"/>
        <n v="1570"/>
        <n v="1620"/>
        <n v="1750"/>
        <n v="1876"/>
        <n v="1971"/>
        <n v="2000"/>
        <n v="2100"/>
        <n v="2160"/>
        <n v="2250"/>
        <n v="2330"/>
        <n v="2376"/>
        <n v="2386"/>
        <n v="2484"/>
        <n v="2500"/>
        <n v="2520"/>
        <n v="2580"/>
        <n v="2600"/>
        <n v="2700"/>
        <n v="2808"/>
        <n v="2827"/>
        <n v="2830"/>
        <n v="2880"/>
        <n v="2916"/>
        <n v="2982"/>
        <n v="2992"/>
        <n v="3000"/>
        <n v="3024"/>
        <n v="3045"/>
        <n v="3060"/>
        <n v="3132"/>
        <n v="3200"/>
        <n v="3210"/>
        <n v="3240"/>
        <n v="3250"/>
        <n v="3300"/>
        <n v="3356"/>
        <n v="3390"/>
        <n v="3400"/>
        <n v="3408"/>
        <n v="3445"/>
        <n v="3500"/>
        <n v="3588"/>
        <n v="3600"/>
        <n v="3700"/>
        <n v="3750"/>
        <n v="3785"/>
        <n v="3788"/>
        <n v="3800"/>
        <n v="3834"/>
        <n v="3895"/>
        <n v="3950"/>
        <n v="3952.5"/>
        <n v="3989"/>
        <n v="4000"/>
        <n v="4170"/>
        <n v="4200"/>
        <n v="4210"/>
        <n v="4250"/>
        <n v="4300"/>
        <n v="4320"/>
        <n v="4330"/>
        <n v="4500"/>
        <n v="4600"/>
        <n v="4700"/>
        <n v="4820"/>
        <n v="4888"/>
        <n v="4900"/>
        <n v="4950"/>
        <n v="5000"/>
        <n v="5012"/>
        <n v="5200"/>
        <n v="5300"/>
        <n v="5400"/>
        <n v="5500"/>
        <n v="5588"/>
        <n v="5600"/>
        <n v="5672"/>
        <n v="5700"/>
        <n v="5711.5"/>
        <n v="5753.5"/>
        <n v="5800"/>
        <n v="6000"/>
        <n v="6095"/>
        <n v="6119.5"/>
        <n v="6200"/>
        <n v="6222"/>
        <n v="6300"/>
        <n v="6376"/>
        <n v="6400"/>
        <n v="6470"/>
        <n v="6476.5"/>
        <n v="6496"/>
        <n v="6500"/>
        <n v="6558"/>
        <n v="6588"/>
        <n v="6600"/>
        <n v="6700"/>
        <n v="6710"/>
        <n v="6792"/>
        <n v="6800"/>
        <n v="6820"/>
        <n v="6900"/>
        <n v="6950"/>
        <n v="6962.5"/>
        <n v="6994"/>
        <n v="6998"/>
        <n v="7000"/>
        <n v="7100"/>
        <n v="7170"/>
        <n v="7200"/>
        <n v="7222"/>
        <n v="7262"/>
        <n v="7298"/>
        <n v="7300"/>
        <n v="7320"/>
        <n v="7400"/>
        <n v="7468.5"/>
        <n v="7500"/>
        <n v="7622"/>
        <n v="7625.5"/>
        <n v="7918"/>
        <n v="8019"/>
        <n v="8200"/>
        <n v="8612"/>
        <n v="8695"/>
        <n v="8701"/>
        <n v="8967.5"/>
        <n v="8994"/>
        <n v="9032.5"/>
        <n v="9086"/>
        <n v="9100"/>
        <n v="9263"/>
        <n v="9300"/>
        <n v="9500"/>
        <n v="9600"/>
        <n v="10200"/>
        <n v="10300"/>
        <n v="10400"/>
        <n v="11000"/>
        <n v="11300"/>
        <n v="11500"/>
        <n v="12216"/>
        <n v="12700"/>
        <n v="14000"/>
        <n v="17545"/>
        <n v="18229"/>
      </sharedItems>
    </cacheField>
    <cacheField name="Plan vs Actual Achievement" numFmtId="0">
      <sharedItems containsSemiMixedTypes="0" containsString="0" containsNumber="1" minValue="0.0333333333333333" maxValue="3.4" count="235">
        <n v="0.0333333333333333"/>
        <n v="0.228333333333333"/>
        <n v="0.237209302325581"/>
        <n v="0.25894538606403"/>
        <n v="0.265893159294174"/>
        <n v="0.373333333333333"/>
        <n v="0.401790790221717"/>
        <n v="0.41958041958042"/>
        <n v="0.426378624218306"/>
        <n v="0.486111111111111"/>
        <n v="0.539979231568017"/>
        <n v="0.54"/>
        <n v="0.563210055595842"/>
        <n v="0.571428571428571"/>
        <n v="0.576"/>
        <n v="0.592300098716683"/>
        <n v="0.592666287663445"/>
        <n v="0.604075109868158"/>
        <n v="0.623052959501558"/>
        <n v="0.624879459980714"/>
        <n v="0.625"/>
        <n v="0.629370629370629"/>
        <n v="0.66"/>
        <n v="0.675"/>
        <n v="0.685185185185185"/>
        <n v="0.685358255451713"/>
        <n v="0.710631040363843"/>
        <n v="0.7125124750499"/>
        <n v="0.713302752293578"/>
        <n v="0.714285714285714"/>
        <n v="0.731974921630094"/>
        <n v="0.739056281978397"/>
        <n v="0.741176470588235"/>
        <n v="0.747663551401869"/>
        <n v="0.755368421052632"/>
        <n v="0.761666666666667"/>
        <n v="0.768431983385254"/>
        <n v="0.783450993268757"/>
        <n v="0.785714285714286"/>
        <n v="0.786026200873362"/>
        <n v="0.78920041536864"/>
        <n v="0.792096902303415"/>
        <n v="0.794201250710631"/>
        <n v="0.8"/>
        <n v="0.8025"/>
        <n v="0.823785351704133"/>
        <n v="0.824444444444444"/>
        <n v="0.83073727933541"/>
        <n v="0.832729030698574"/>
        <n v="0.839160839160839"/>
        <n v="0.85"/>
        <n v="0.852757248436612"/>
        <n v="0.857142857142857"/>
        <n v="0.861373572133691"/>
        <n v="0.862964442668797"/>
        <n v="0.86299534621351"/>
        <n v="0.866043613707165"/>
        <n v="0.866259238203525"/>
        <n v="0.870195794053662"/>
        <n v="0.874285714285714"/>
        <n v="0.874350986500519"/>
        <n v="0.877777777777778"/>
        <n v="0.881182490051165"/>
        <n v="0.884309266628766"/>
        <n v="0.893042575285566"/>
        <n v="0.895395110858442"/>
        <n v="0.899273104880582"/>
        <n v="0.9"/>
        <n v="0.906"/>
        <n v="0.906196702671973"/>
        <n v="0.906453952139231"/>
        <n v="0.909607731665719"/>
        <n v="0.913340854604428"/>
        <n v="0.915639352187575"/>
        <n v="0.918540004834421"/>
        <n v="0.918888888888889"/>
        <n v="0.923076923076923"/>
        <n v="0.923251847640705"/>
        <n v="0.924285714285714"/>
        <n v="0.924834296996192"/>
        <n v="0.925"/>
        <n v="0.928571428571429"/>
        <n v="0.930101465614431"/>
        <n v="0.931764705882353"/>
        <n v="0.934579439252336"/>
        <n v="0.935607465084662"/>
        <n v="0.936"/>
        <n v="0.9363274587834"/>
        <n v="0.938032973280273"/>
        <n v="0.941503504955282"/>
        <n v="0.943333333333333"/>
        <n v="0.944444444444444"/>
        <n v="0.944954128440367"/>
        <n v="0.945079453582381"/>
        <n v="0.945333333333333"/>
        <n v="0.95224559408755"/>
        <n v="0.953666856168277"/>
        <n v="0.955347871235722"/>
        <n v="0.956586826347305"/>
        <n v="0.961782541249471"/>
        <n v="0.9625"/>
        <n v="0.963333333333333"/>
        <n v="0.964320154291225"/>
        <n v="0.965321205230244"/>
        <n v="0.96688421561518"/>
        <n v="0.976"/>
        <n v="0.976116303219107"/>
        <n v="0.979020979020979"/>
        <n v="0.980670835702103"/>
        <n v="0.98187843745593"/>
        <n v="0.982318271119843"/>
        <n v="0.982857142857143"/>
        <n v="0.9855"/>
        <n v="0.985714285714286"/>
        <n v="0.987166831194472"/>
        <n v="0.987777146105742"/>
        <n v="0.988235294117647"/>
        <n v="0.99"/>
        <n v="0.993"/>
        <n v="0.994"/>
        <n v="0.994030699260944"/>
        <n v="0.994599204093235"/>
        <n v="0.99488345650938"/>
        <n v="0.997333333333333"/>
        <n v="0.999333333333333"/>
        <n v="1"/>
        <n v="1.00103842159917"/>
        <n v="1.0019267822736"/>
        <n v="1.00541176470588"/>
        <n v="1.005625"/>
        <n v="1.00909607731666"/>
        <n v="1.01428571428571"/>
        <n v="1.01516095534787"/>
        <n v="1.01647058823529"/>
        <n v="1.02147039687703"/>
        <n v="1.02428571428571"/>
        <n v="1.02462620932278"/>
        <n v="1.02643547470154"/>
        <n v="1.02727272727273"/>
        <n v="1.02803738317757"/>
        <n v="1.02857142857143"/>
        <n v="1.03076923076923"/>
        <n v="1.03212052302445"/>
        <n v="1.03294117647059"/>
        <n v="1.03723706651507"/>
        <n v="1.03752131893121"/>
        <n v="1.03764705882353"/>
        <n v="1.03833333333333"/>
        <n v="1.03842159916926"/>
        <n v="1.03914097679252"/>
        <n v="1.03940053178632"/>
        <n v="1.04036384309267"/>
        <n v="1.04091381100727"/>
        <n v="1.04285714285714"/>
        <n v="1.04423495286439"/>
        <n v="1.04651162790698"/>
        <n v="1.04895104895105"/>
        <n v="1.05"/>
        <n v="1.05173393973849"/>
        <n v="1.05323649696799"/>
        <n v="1.05374077976818"/>
        <n v="1.063"/>
        <n v="1.06454545454545"/>
        <n v="1.06666666666667"/>
        <n v="1.07142857142857"/>
        <n v="1.072"/>
        <n v="1.07537723875335"/>
        <n v="1.07798165137615"/>
        <n v="1.078705553336"/>
        <n v="1.07995846313603"/>
        <n v="1.08"/>
        <n v="1.08108108108108"/>
        <n v="1.08758988346144"/>
        <n v="1.08774474256708"/>
        <n v="1.09090909090909"/>
        <n v="1.1"/>
        <n v="1.10072689511942"/>
        <n v="1.10526315789474"/>
        <n v="1.11111111111111"/>
        <n v="1.11176543515993"/>
        <n v="1.11662670991398"/>
        <n v="1.11888111888112"/>
        <n v="1.11982395239276"/>
        <n v="1.12"/>
        <n v="1.1214953271028"/>
        <n v="1.12928571428571"/>
        <n v="1.12999008182494"/>
        <n v="1.13012592831773"/>
        <n v="1.13087011704978"/>
        <n v="1.13286713286713"/>
        <n v="1.13333333333333"/>
        <n v="1.13608895334784"/>
        <n v="1.13765642775882"/>
        <n v="1.14226375908619"/>
        <n v="1.1496138996139"/>
        <n v="1.15384615384615"/>
        <n v="1.15666666666667"/>
        <n v="1.16303219106957"/>
        <n v="1.16500199760288"/>
        <n v="1.17142857142857"/>
        <n v="1.17482517482517"/>
        <n v="1.18380062305296"/>
        <n v="1.1844331641286"/>
        <n v="1.18667186282151"/>
        <n v="1.18881118881119"/>
        <n v="1.20456905503634"/>
        <n v="1.20860526951898"/>
        <n v="1.21678321678322"/>
        <n v="1.23529411764706"/>
        <n v="1.23960784313725"/>
        <n v="1.24708624708625"/>
        <n v="1.25"/>
        <n v="1.25835866261398"/>
        <n v="1.25874125874126"/>
        <n v="1.27058823529412"/>
        <n v="1.28112158569011"/>
        <n v="1.2847850678733"/>
        <n v="1.29334849346219"/>
        <n v="1.2944466640032"/>
        <n v="1.3038073038073"/>
        <n v="1.30630376533634"/>
        <n v="1.32857142857143"/>
        <n v="1.32946579647087"/>
        <n v="1.3501989766913"/>
        <n v="1.44"/>
        <n v="1.45016666666667"/>
        <n v="1.45714285714286"/>
        <n v="1.46389994314952"/>
        <n v="1.46954813359529"/>
        <n v="1.47142857142857"/>
        <n v="1.49588631264024"/>
        <n v="1.71008737092931"/>
        <n v="1.73"/>
        <n v="1.74825174825175"/>
        <n v="3.4"/>
      </sharedItems>
    </cacheField>
    <cacheField name="Material Type Consumed" numFmtId="0">
      <sharedItems count="40">
        <s v="FO001"/>
        <s v="FO002"/>
        <s v="FO003"/>
        <s v="FO004"/>
        <s v="FO005"/>
        <s v="FO011"/>
        <s v="FO012"/>
        <s v="FO013"/>
        <s v="FO015"/>
        <s v="FO016"/>
        <s v="FO017"/>
        <s v="FO019"/>
        <s v="FO020"/>
        <s v="FO021"/>
        <s v="FO042"/>
        <s v="FO043"/>
        <s v="FO044"/>
        <s v="FO052"/>
        <s v="FO053"/>
        <s v="FO054"/>
        <s v="FO057"/>
        <s v="FO104"/>
        <s v="FO105"/>
        <s v="FO106"/>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2">
        <n v="0"/>
        <n v="6.8"/>
        <n v="7.3"/>
        <n v="8.6"/>
        <n v="17.015"/>
        <n v="21.3"/>
        <n v="22.7"/>
        <n v="28.1"/>
        <n v="28.6"/>
        <n v="32"/>
        <n v="32.1"/>
        <n v="33.13"/>
      </sharedItems>
    </cacheField>
    <cacheField name="Total Mtl. Con(KG)" numFmtId="0">
      <sharedItems containsSemiMixedTypes="0" containsString="0" containsNumber="1" minValue="0" maxValue="107.6387" count="169">
        <n v="0"/>
        <n v="4.015"/>
        <n v="7.3876"/>
        <n v="7.4304"/>
        <n v="7.592"/>
        <n v="8.5045"/>
        <n v="9.2637"/>
        <n v="9.855"/>
        <n v="10.6657"/>
        <n v="10.95"/>
        <n v="11.4756"/>
        <n v="11.7094"/>
        <n v="12.7364"/>
        <n v="14.6584"/>
        <n v="15.437"/>
        <n v="15.5438"/>
        <n v="18.9824"/>
        <n v="19.1062"/>
        <n v="20.223"/>
        <n v="20.6572"/>
        <n v="20.7584"/>
        <n v="21.024"/>
        <n v="21.9"/>
        <n v="21.9584"/>
        <n v="21.9876"/>
        <n v="22.1482"/>
        <n v="23.46"/>
        <n v="24.8346"/>
        <n v="25.1222"/>
        <n v="25.1736"/>
        <n v="25.185"/>
        <n v="25.5618"/>
        <n v="25.5865"/>
        <n v="25.636"/>
        <n v="26.3676"/>
        <n v="26.5964"/>
        <n v="26.9416"/>
        <n v="27.0164"/>
        <n v="27.3896"/>
        <n v="27.7271"/>
        <n v="27.74"/>
        <n v="28.0765"/>
        <n v="28.5138"/>
        <n v="28.886"/>
        <n v="29.2146"/>
        <n v="29.2876"/>
        <n v="29.3095"/>
        <n v="29.435"/>
        <n v="29.4409"/>
        <n v="29.488"/>
        <n v="29.512"/>
        <n v="29.5641"/>
        <n v="29.7764"/>
        <n v="29.8822"/>
        <n v="30.1532"/>
        <n v="30.218"/>
        <n v="30.746105"/>
        <n v="30.9779"/>
        <n v="31.089"/>
        <n v="31.1848"/>
        <n v="31.348"/>
        <n v="31.4252"/>
        <n v="31.536"/>
        <n v="31.634"/>
        <n v="31.688"/>
        <n v="31.9156"/>
        <n v="32.0144"/>
        <n v="32.3904"/>
        <n v="32.7844"/>
        <n v="32.8865"/>
        <n v="34.068"/>
        <n v="34.3128"/>
        <n v="34.442"/>
        <n v="34.544"/>
        <n v="34.5848"/>
        <n v="34.612"/>
        <n v="34.6528"/>
        <n v="34.6732"/>
        <n v="34.7412"/>
        <n v="34.7776"/>
        <n v="34.7784"/>
        <n v="34.8568"/>
        <n v="34.884"/>
        <n v="34.9384"/>
        <n v="35.0092"/>
        <n v="35.5176"/>
        <n v="35.6728"/>
        <n v="35.843"/>
        <n v="36.2508"/>
        <n v="36.2916"/>
        <n v="36.482"/>
        <n v="36.5024"/>
        <n v="36.5364"/>
        <n v="36.7501"/>
        <n v="36.754"/>
        <n v="36.7948"/>
        <n v="36.8356"/>
        <n v="37.162"/>
        <n v="37.196"/>
        <n v="37.2776"/>
        <n v="37.7876"/>
        <n v="38.1616"/>
        <n v="38.3112"/>
        <n v="38.488"/>
        <n v="38.624"/>
        <n v="38.7516"/>
        <n v="39.3278"/>
        <n v="39.372"/>
        <n v="39.437"/>
        <n v="39.5466"/>
        <n v="39.9976"/>
        <n v="40.2294"/>
        <n v="42.3264"/>
        <n v="43.1032"/>
        <n v="43.172"/>
        <n v="43.372"/>
        <n v="45.752"/>
        <n v="45.8024"/>
        <n v="46.6316"/>
        <n v="47.386"/>
        <n v="47.4032"/>
        <n v="47.472"/>
        <n v="47.5236"/>
        <n v="47.84"/>
        <n v="48.7949"/>
        <n v="48.8076"/>
        <n v="50.9153"/>
        <n v="56.44824"/>
        <n v="57.1433"/>
        <n v="59.6344"/>
        <n v="59.8104"/>
        <n v="61.5876"/>
        <n v="64.1968"/>
        <n v="64.5637"/>
        <n v="67.7766"/>
        <n v="67.9521"/>
        <n v="69.6723"/>
        <n v="70.2261"/>
        <n v="70.3752"/>
        <n v="70.5354"/>
        <n v="70.8192"/>
        <n v="72.0366"/>
        <n v="72.207"/>
        <n v="83.9289"/>
        <n v="84.6372"/>
        <n v="84.944"/>
        <n v="85.3996"/>
        <n v="85.5678"/>
        <n v="87.5034"/>
        <n v="87.7377"/>
        <n v="89.5827"/>
        <n v="89.9762"/>
        <n v="94.4703"/>
        <n v="97.0383"/>
        <n v="97.4556"/>
        <n v="98.2938"/>
        <n v="98.6012"/>
        <n v="101.9934"/>
        <n v="102.178"/>
        <n v="102.9021"/>
        <n v="102.9042"/>
        <n v="103.9367"/>
        <n v="104.3892"/>
        <n v="105.147"/>
        <n v="105.4217"/>
        <n v="105.4806"/>
        <n v="105.5127"/>
        <n v="106.0905"/>
        <n v="107.6387"/>
      </sharedItems>
    </cacheField>
    <cacheField name="Material Yield" numFmtId="0">
      <sharedItems containsMixedTypes="1" containsNumber="1" minValue="0.332409747548711" maxValue="1" count="161">
        <n v="0.332409747548711"/>
        <n v="0.612813370473538"/>
        <n v="0.622247166335208"/>
        <n v="0.642848409690322"/>
        <n v="0.794443864437451"/>
        <n v="0.845149467901922"/>
        <n v="0.848715640794849"/>
        <n v="0.851703406813627"/>
        <n v="0.871539076047776"/>
        <n v="0.881010334456109"/>
        <n v="0.884189114620714"/>
        <n v="0.897901414068632"/>
        <n v="0.899936624181395"/>
        <n v="0.90361836226046"/>
        <n v="0.90466636038891"/>
        <n v="0.906116284923232"/>
        <n v="0.90961884937641"/>
        <n v="0.910027947283409"/>
        <n v="0.912052117263844"/>
        <n v="0.915329275041505"/>
        <n v="0.915740530732592"/>
        <n v="0.920878153874164"/>
        <n v="0.921778887368215"/>
        <n v="0.922409115572436"/>
        <n v="0.924069984712077"/>
        <n v="0.926853750031899"/>
        <n v="0.927336827387437"/>
        <n v="0.934024658417465"/>
        <n v="0.934329951948745"/>
        <n v="0.935493732803424"/>
        <n v="0.939766690785874"/>
        <n v="0.942738589211618"/>
        <n v="0.942885424501331"/>
        <n v="0.943344371852049"/>
        <n v="0.945467686862897"/>
        <n v="0.946902654867257"/>
        <n v="0.948556040486582"/>
        <n v="0.949295037304244"/>
        <n v="0.950047004071303"/>
        <n v="0.95229798455453"/>
        <n v="0.952844539093398"/>
        <n v="0.953134510042605"/>
        <n v="0.953667034396144"/>
        <n v="0.954128440366972"/>
        <n v="0.955187321393056"/>
        <n v="0.955819881053526"/>
        <n v="0.956158520927844"/>
        <n v="0.956521739130435"/>
        <n v="0.957598535897849"/>
        <n v="0.958013010053223"/>
        <n v="0.95906007751938"/>
        <n v="0.959111559818274"/>
        <n v="0.95917565461553"/>
        <n v="0.959405374499714"/>
        <n v="0.959536396909313"/>
        <n v="0.960474308300395"/>
        <n v="0.960829493087558"/>
        <n v="0.961432543893822"/>
        <n v="0.961538461538461"/>
        <n v="0.961659333752357"/>
        <n v="0.96309963099631"/>
        <n v="0.964320154291225"/>
        <n v="0.964376266047784"/>
        <n v="0.964604697320543"/>
        <n v="0.965665236051502"/>
        <n v="0.96571823750247"/>
        <n v="0.967292592510634"/>
        <n v="0.967313649870393"/>
        <n v="0.967485909667826"/>
        <n v="0.967635184327222"/>
        <n v="0.968127490039841"/>
        <n v="0.968504987023822"/>
        <n v="0.96853390994887"/>
        <n v="0.968921389396709"/>
        <n v="0.970024979184013"/>
        <n v="0.971098265895954"/>
        <n v="0.971173291591924"/>
        <n v="0.972447325769854"/>
        <n v="0.973141300116777"/>
        <n v="0.973740819469725"/>
        <n v="0.974330148023234"/>
        <n v="0.974658869395711"/>
        <n v="0.975419430355053"/>
        <n v="0.975426749202776"/>
        <n v="0.97564870259481"/>
        <n v="0.976138828633406"/>
        <n v="0.976215832445864"/>
        <n v="0.976557267247153"/>
        <n v="0.977017961732559"/>
        <n v="0.977170355596308"/>
        <n v="0.978138663335415"/>
        <n v="0.978401329148976"/>
        <n v="0.978665100802505"/>
        <n v="0.978786274275369"/>
        <n v="0.979486231750139"/>
        <n v="0.980042765502495"/>
        <n v="0.980332829046899"/>
        <n v="0.980573543015726"/>
        <n v="0.980584428319278"/>
        <n v="0.980629539951574"/>
        <n v="0.980975029726516"/>
        <n v="0.98116169544741"/>
        <n v="0.981247274313127"/>
        <n v="0.981311965920328"/>
        <n v="0.981432360742705"/>
        <n v="0.982318271119843"/>
        <n v="0.982711555959964"/>
        <n v="0.982937830947244"/>
        <n v="0.983090837593394"/>
        <n v="0.983531564501372"/>
        <n v="0.98394174871303"/>
        <n v="0.984036737371529"/>
        <n v="0.984251968503937"/>
        <n v="0.984455958549223"/>
        <n v="0.985027580772262"/>
        <n v="0.985041955490697"/>
        <n v="0.985915492957747"/>
        <n v="0.986059163549813"/>
        <n v="0.98641354922762"/>
        <n v="0.986554563857196"/>
        <n v="0.987166831194472"/>
        <n v="0.987332339791356"/>
        <n v="0.987884436160298"/>
        <n v="0.98797079873578"/>
        <n v="0.988014887895571"/>
        <n v="0.988106129917658"/>
        <n v="0.988142292490119"/>
        <n v="0.988793671720501"/>
        <n v="0.989119683481701"/>
        <n v="0.989399293286219"/>
        <n v="0.989737845367181"/>
        <n v="0.989742666906604"/>
        <n v="0.991423037904639"/>
        <n v="0.991817505578974"/>
        <n v="0.992182231962239"/>
        <n v="0.992366412213741"/>
        <n v="0.992642140468227"/>
        <n v="0.995294969236337"/>
        <n v="0.99537037037037"/>
        <n v="0.99601593625498"/>
        <n v="0.996240601503759"/>
        <n v="0.99626400996264"/>
        <n v="0.996376811594203"/>
        <n v="0.99647266313933"/>
        <n v="0.996677740863787"/>
        <n v="0.996842105263158"/>
        <n v="0.997008973080758"/>
        <n v="0.997183819764465"/>
        <n v="0.997340425531915"/>
        <n v="0.997605746209098"/>
        <n v="0.997822931785196"/>
        <n v="0.9979633401222"/>
        <n v="0.998185117967332"/>
        <n v="0.998550724637681"/>
        <n v="0.998573466476462"/>
        <n v="0.99866844207723"/>
        <n v="0.99889012208657"/>
        <n v="0.999466950959488"/>
        <n v="0.999500249875062"/>
        <n v="1"/>
        <s v=" "/>
      </sharedItems>
    </cacheField>
    <cacheField name="Rej." numFmtId="0">
      <sharedItems containsSemiMixedTypes="0" containsString="0" containsNumber="1" minValue="0" maxValue="0.0846707249584947" count="217">
        <n v="0"/>
        <n v="0.00011397959765202"/>
        <n v="0.000262559075792053"/>
        <n v="0.000273972602739726"/>
        <n v="0.000285714285714286"/>
        <n v="0.000363504180298073"/>
        <n v="0.000459506031016657"/>
        <n v="0.000499750124937531"/>
        <n v="0.000533049040511727"/>
        <n v="0.000557258289217052"/>
        <n v="0.000615384615384615"/>
        <n v="0.000726744186046512"/>
        <n v="0.000769625448948179"/>
        <n v="0.000799360511590727"/>
        <n v="0.000819672131147541"/>
        <n v="0.000850340136054422"/>
        <n v="0.000857142857142857"/>
        <n v="0.000929368029739777"/>
        <n v="0.000999000999000999"/>
        <n v="0.00105485232067511"/>
        <n v="0.00106007067137809"/>
        <n v="0.00110987791342952"/>
        <n v="0.00117647058823529"/>
        <n v="0.00117855038302887"/>
        <n v="0.00126349643923731"/>
        <n v="0.00131406044678055"/>
        <n v="0.00133155792276964"/>
        <n v="0.0014265335235378"/>
        <n v="0.00144927536231884"/>
        <n v="0.00149775336994508"/>
        <n v="0.00153846153846154"/>
        <n v="0.00154798761609907"/>
        <n v="0.00174694285001248"/>
        <n v="0.00176159718144451"/>
        <n v="0.00203665987780041"/>
        <n v="0.0020850040096231"/>
        <n v="0.00213009995084385"/>
        <n v="0.00217706821480406"/>
        <n v="0.00225903614457831"/>
        <n v="0.00239385158120197"/>
        <n v="0.00239425379090184"/>
        <n v="0.00264950794852385"/>
        <n v="0.00265957446808511"/>
        <n v="0.00268236833496892"/>
        <n v="0.00269541778975741"/>
        <n v="0.00320261437908497"/>
        <n v="0.00323182100683654"/>
        <n v="0.00326205146792316"/>
        <n v="0.00332225913621262"/>
        <n v="0.00355871886120996"/>
        <n v="0.00361538461538462"/>
        <n v="0.0036231884057971"/>
        <n v="0.00365569956796278"/>
        <n v="0.00398406374501992"/>
        <n v="0.00403458213256484"/>
        <n v="0.00417362270450751"/>
        <n v="0.00432638227913819"/>
        <n v="0.00487958444829215"/>
        <n v="0.00489203778677463"/>
        <n v="0.00495934959349593"/>
        <n v="0.00510204081632653"/>
        <n v="0.00520547945205479"/>
        <n v="0.00532037936618089"/>
        <n v="0.00535714285714286"/>
        <n v="0.00550826239359039"/>
        <n v="0.00551760378349974"/>
        <n v="0.006"/>
        <n v="0.00601051840721262"/>
        <n v="0.00611587982832618"/>
        <n v="0.00618374558303887"/>
        <n v="0.0062111801242236"/>
        <n v="0.00632547441058079"/>
        <n v="0.00636363636363636"/>
        <n v="0.00682926829268293"/>
        <n v="0.00695134061569017"/>
        <n v="0.00697188008366256"/>
        <n v="0.00709219858156028"/>
        <n v="0.00735785953177258"/>
        <n v="0.00740507326295888"/>
        <n v="0.00744416873449132"/>
        <n v="0.00750497779139225"/>
        <n v="0.00772273497833867"/>
        <n v="0.00793650793650794"/>
        <n v="0.00839454354669465"/>
        <n v="0.00862068965517241"/>
        <n v="0.00872323552735924"/>
        <n v="0.00875099443118536"/>
        <n v="0.00881057268722467"/>
        <n v="0.00887121443866626"/>
        <n v="0.00892857142857143"/>
        <n v="0.00914634146341463"/>
        <n v="0.00920028308563341"/>
        <n v="0.00923645320197045"/>
        <n v="0.00935374149659864"/>
        <n v="0.00935608145294441"/>
        <n v="0.00950871632329636"/>
        <n v="0.0099009900990099"/>
        <n v="0.00992802184164805"/>
        <n v="0.0100452034153692"/>
        <n v="0.0100735635230963"/>
        <n v="0.0102573330933957"/>
        <n v="0.0102739726027397"/>
        <n v="0.0102778835173201"/>
        <n v="0.0102929532858274"/>
        <n v="0.0104166666666667"/>
        <n v="0.0104452996151732"/>
        <n v="0.0106849315068493"/>
        <n v="0.0106951871657754"/>
        <n v="0.0107715981534403"/>
        <n v="0.0108803165182987"/>
        <n v="0.010989010989011"/>
        <n v="0.0111940298507463"/>
        <n v="0.011206328279499"/>
        <n v="0.0112606426805823"/>
        <n v="0.0112715048447696"/>
        <n v="0.0112908147696063"/>
        <n v="0.0114669829972321"/>
        <n v="0.0114728682170543"/>
        <n v="0.0118296529968454"/>
        <n v="0.0118577075098814"/>
        <n v="0.0120824449182658"/>
        <n v="0.0121155638397018"/>
        <n v="0.0121951219512195"/>
        <n v="0.0122126436781609"/>
        <n v="0.0123456790123457"/>
        <n v="0.0123691722169363"/>
        <n v="0.0124836966648034"/>
        <n v="0.0124974390493751"/>
        <n v="0.0125673249551167"/>
        <n v="0.0126291618828932"/>
        <n v="0.0126382306477093"/>
        <n v="0.0126641651031895"/>
        <n v="0.0129990714948932"/>
        <n v="0.0131578947368421"/>
        <n v="0.0134028294862249"/>
        <n v="0.0136121522982837"/>
        <n v="0.0138820029747149"/>
        <n v="0.0139835066332019"/>
        <n v="0.0141185962081484"/>
        <n v="0.0141955835962145"/>
        <n v="0.014218009478673"/>
        <n v="0.0142387732749179"/>
        <n v="0.0144927536231884"/>
        <n v="0.0148698884758364"/>
        <n v="0.0149253731343284"/>
        <n v="0.0150943396226415"/>
        <n v="0.0151975683890578"/>
        <n v="0.0152634170359429"/>
        <n v="0.0153374233128834"/>
        <n v="0.0154968094804011"/>
        <n v="0.015625"/>
        <n v="0.0160226201696513"/>
        <n v="0.0165631469979296"/>
        <n v="0.0167095115681234"/>
        <n v="0.0167364016736402"/>
        <n v="0.0172576090367116"/>
        <n v="0.0175953079178886"/>
        <n v="0.0178246635140051"/>
        <n v="0.0181818181818182"/>
        <n v="0.0184409052808047"/>
        <n v="0.0185387131952017"/>
        <n v="0.018796992481203"/>
        <n v="0.0188189487345879"/>
        <n v="0.0189328743545611"/>
        <n v="0.0190735694822888"/>
        <n v="0.0194113963681904"/>
        <n v="0.0194552529182879"/>
        <n v="0.0196078431372549"/>
        <n v="0.0200348432055749"/>
        <n v="0.0203562340966921"/>
        <n v="0.0208"/>
        <n v="0.0209440450140669"/>
        <n v="0.0210297316896302"/>
        <n v="0.0210562651018295"/>
        <n v="0.0213414634146341"/>
        <n v="0.0214168039538715"/>
        <n v="0.0214285714285714"/>
        <n v="0.0214765100671141"/>
        <n v="0.0215982721382289"/>
        <n v="0.0218047635021805"/>
        <n v="0.0218613366645846"/>
        <n v="0.0221667187012176"/>
        <n v="0.0224719101123595"/>
        <n v="0.0226244343891403"/>
        <n v="0.0228013029315961"/>
        <n v="0.02291917973462"/>
        <n v="0.023304347826087"/>
        <n v="0.0235042735042735"/>
        <n v="0.0240963855421687"/>
        <n v="0.0242990654205607"/>
        <n v="0.024390243902439"/>
        <n v="0.0250696378830084"/>
        <n v="0.0260521042084168"/>
        <n v="0.0262172284644195"/>
        <n v="0.0262857142857143"/>
        <n v="0.026676279740447"/>
        <n v="0.027027027027027"/>
        <n v="0.0274079874706343"/>
        <n v="0.0279542566709022"/>
        <n v="0.0280220904070362"/>
        <n v="0.0282685512367491"/>
        <n v="0.0287769784172662"/>
        <n v="0.0293225480283114"/>
        <n v="0.0302351623740202"/>
        <n v="0.0305206463195691"/>
        <n v="0.0311778290993072"/>
        <n v="0.032258064516129"/>
        <n v="0.0357142857142857"/>
        <n v="0.0378006872852234"/>
        <n v="0.04"/>
        <n v="0.0410677618069815"/>
        <n v="0.0441412520064205"/>
        <n v="0.0487329434697856"/>
        <n v="0.0526315789473684"/>
        <n v="0.0555555555555556"/>
        <n v="0.0794979079497908"/>
        <n v="0.0846707249584947"/>
      </sharedItems>
    </cacheField>
    <cacheField name=" Setup rej " numFmtId="0">
      <sharedItems containsSemiMixedTypes="0" containsString="0" containsNumber="1" minValue="0" maxValue="0.250521920668058" count="117">
        <n v="0"/>
        <n v="0.00049825610363727"/>
        <n v="0.00271278399457443"/>
        <n v="0.00349344978165939"/>
        <n v="0.00394632991318074"/>
        <n v="0.00412898151789225"/>
        <n v="0.0041780199818347"/>
        <n v="0.00515463917525773"/>
        <n v="0.00525394045534151"/>
        <n v="0.00526726492391728"/>
        <n v="0.00547045951859956"/>
        <n v="0.00551977920883165"/>
        <n v="0.00559179869524697"/>
        <n v="0.00585251658213032"/>
        <n v="0.00601503759398496"/>
        <n v="0.00601684717208183"/>
        <n v="0.00602954476936991"/>
        <n v="0.00624755954705193"/>
        <n v="0.00637213254035684"/>
        <n v="0.00649734199645599"/>
        <n v="0.00654878847413229"/>
        <n v="0.006640625"/>
        <n v="0.00679501698754247"/>
        <n v="0.00681729645500584"/>
        <n v="0.00737797956867196"/>
        <n v="0.0073823438941864"/>
        <n v="0.00757411815624324"/>
        <n v="0.00776849873761895"/>
        <n v="0.00777934936350778"/>
        <n v="0.00779727095516569"/>
        <n v="0.00781860828772478"/>
        <n v="0.00788412174550788"/>
        <n v="0.00789473684210526"/>
        <n v="0.00823874038813621"/>
        <n v="0.00830288940551312"/>
        <n v="0.00844772967265048"/>
        <n v="0.00929073192839338"/>
        <n v="0.00941662838768948"/>
        <n v="0.00954198473282443"/>
        <n v="0.00966702470461869"/>
        <n v="0.0097444781290602"/>
        <n v="0.010016694490818"/>
        <n v="0.0102726195179771"/>
        <n v="0.0103159252095422"/>
        <n v="0.0106496272630458"/>
        <n v="0.0111040609137056"/>
        <n v="0.0111621799080762"/>
        <n v="0.011873840445269"/>
        <n v="0.011966801775719"/>
        <n v="0.0122249388753056"/>
        <n v="0.0130039011703511"/>
        <n v="0.0130973451327434"/>
        <n v="0.0134615384615385"/>
        <n v="0.0134719014626636"/>
        <n v="0.0137030995106036"/>
        <n v="0.013873473917869"/>
        <n v="0.0139192682441837"/>
        <n v="0.0141145139813582"/>
        <n v="0.0143540669856459"/>
        <n v="0.0147368421052632"/>
        <n v="0.015429403202329"/>
        <n v="0.0161870503597122"/>
        <n v="0.0161917098445596"/>
        <n v="0.0172149961744453"/>
        <n v="0.0172257479601088"/>
        <n v="0.0174278846153846"/>
        <n v="0.0175980240815066"/>
        <n v="0.0176252319109462"/>
        <n v="0.0180722891566265"/>
        <n v="0.0183374083129584"/>
        <n v="0.0190657769304099"/>
        <n v="0.0193602693602694"/>
        <n v="0.0197368421052632"/>
        <n v="0.01998001998002"/>
        <n v="0.0203915171288744"/>
        <n v="0.0205601907032181"/>
        <n v="0.0206456456456456"/>
        <n v="0.0208333333333333"/>
        <n v="0.0209142515685689"/>
        <n v="0.0211764705882353"/>
        <n v="0.0222112537018756"/>
        <n v="0.0226055919095776"/>
        <n v="0.0228310502283105"/>
        <n v="0.0230547550432277"/>
        <n v="0.0232959447799827"/>
        <n v="0.0235404896421846"/>
        <n v="0.0239324260910371"/>
        <n v="0.0244003308519438"/>
        <n v="0.0249382161312065"/>
        <n v="0.0256629597946963"/>
        <n v="0.0267777447188337"/>
        <n v="0.0269691780821918"/>
        <n v="0.028169014084507"/>
        <n v="0.0294117647058823"/>
        <n v="0.0308310991957105"/>
        <n v="0.0355029585798817"/>
        <n v="0.036026762738034"/>
        <n v="0.0361613351877608"/>
        <n v="0.0361663652802893"/>
        <n v="0.0366358712965913"/>
        <n v="0.0379572118702553"/>
        <n v="0.0383048084759576"/>
        <n v="0.0393310622483741"/>
        <n v="0.0416233090530697"/>
        <n v="0.0442604226156482"/>
        <n v="0.0463414634146341"/>
        <n v="0.0569148936170213"/>
        <n v="0.0572337042925278"/>
        <n v="0.0587889476778366"/>
        <n v="0.0625294950448325"/>
        <n v="0.0677368833202819"/>
        <n v="0.0678733031674208"/>
        <n v="0.0686658715283694"/>
        <n v="0.0716145833333333"/>
        <n v="0.0769653655854865"/>
        <n v="0.244089091947459"/>
        <n v="0.250521920668058"/>
      </sharedItems>
    </cacheField>
    <cacheField name="Quality Ratio" numFmtId="0">
      <sharedItems containsSemiMixedTypes="0" containsString="0" containsNumber="1" minValue="0.915329275041505" maxValue="1" count="234">
        <n v="0.915329275041505"/>
        <n v="0.944444444444444"/>
        <n v="0.947075208913649"/>
        <n v="0.951456310679612"/>
        <n v="0.953095684803002"/>
        <n v="0.95585874799358"/>
        <n v="0.958932238193018"/>
        <n v="0.961864406779661"/>
        <n v="0.964169381107492"/>
        <n v="0.965130759651307"/>
        <n v="0.969125214408233"/>
        <n v="0.97054698457223"/>
        <n v="0.971332209106239"/>
        <n v="0.971731448763251"/>
        <n v="0.971953578336557"/>
        <n v="0.971954425942156"/>
        <n v="0.971977909592964"/>
        <n v="0.972972972972973"/>
        <n v="0.973096912259248"/>
        <n v="0.973169796857033"/>
        <n v="0.973860826563052"/>
        <n v="0.974550484094053"/>
        <n v="0.974830103196577"/>
        <n v="0.974892395982783"/>
        <n v="0.975640224859463"/>
        <n v="0.975974372664175"/>
        <n v="0.976049674748669"/>
        <n v="0.976270155156678"/>
        <n v="0.976284584980237"/>
        <n v="0.976495726495726"/>
        <n v="0.977234114848794"/>
        <n v="0.977981651376147"/>
        <n v="0.977998140687945"/>
        <n v="0.978050921861282"/>
        <n v="0.978354978354978"/>
        <n v="0.978498180615283"/>
        <n v="0.978567399887197"/>
        <n v="0.978571428571429"/>
        <n v="0.97869750456482"/>
        <n v="0.978933508887426"/>
        <n v="0.978943734898171"/>
        <n v="0.978964401294498"/>
        <n v="0.979154258487195"/>
        <n v="0.979344729344729"/>
        <n v="0.979351032448378"/>
        <n v="0.979550102249489"/>
        <n v="0.979554470552334"/>
        <n v="0.979572595851666"/>
        <n v="0.979601087941976"/>
        <n v="0.979643765903308"/>
        <n v="0.980500211954218"/>
        <n v="0.980637101811368"/>
        <n v="0.980732177263969"/>
        <n v="0.980883602378929"/>
        <n v="0.981392364453"/>
        <n v="0.98152221733392"/>
        <n v="0.981559094719195"/>
        <n v="0.981707317073171"/>
        <n v="0.981812169312169"/>
        <n v="0.98207171314741"/>
        <n v="0.982073498655512"/>
        <n v="0.982404692082111"/>
        <n v="0.982418371008253"/>
        <n v="0.982949701619778"/>
        <n v="0.983087330873309"/>
        <n v="0.98320033599328"/>
        <n v="0.983498349834984"/>
        <n v="0.983632357570035"/>
        <n v="0.983846542150429"/>
        <n v="0.98406747891284"/>
        <n v="0.984662576687117"/>
        <n v="0.984802431610942"/>
        <n v="0.984848484848485"/>
        <n v="0.984905660377359"/>
        <n v="0.984929671801742"/>
        <n v="0.984982332155477"/>
        <n v="0.985096153846154"/>
        <n v="0.985374771480804"/>
        <n v="0.985507246376812"/>
        <n v="0.985826771653543"/>
        <n v="0.98590021691974"/>
        <n v="0.985947161326588"/>
        <n v="0.986027944111776"/>
        <n v="0.986117997025285"/>
        <n v="0.98615548455804"/>
        <n v="0.986494421608925"/>
        <n v="0.986708510245523"/>
        <n v="0.987000928505107"/>
        <n v="0.987124463519313"/>
        <n v="0.987448519317513"/>
        <n v="0.987457240592931"/>
        <n v="0.987479712497102"/>
        <n v="0.987514863258026"/>
        <n v="0.987604070305273"/>
        <n v="0.987630827783064"/>
        <n v="0.987699132889695"/>
        <n v="0.98780487804878"/>
        <n v="0.987883107626515"/>
        <n v="0.987884436160298"/>
        <n v="0.987902475339661"/>
        <n v="0.987980769230769"/>
        <n v="0.988142292490119"/>
        <n v="0.988232986860169"/>
        <n v="0.988248847926267"/>
        <n v="0.988527131782946"/>
        <n v="0.98861852433281"/>
        <n v="0.988804841149773"/>
        <n v="0.988822652757079"/>
        <n v="0.988865012697793"/>
        <n v="0.988879197557785"/>
        <n v="0.988911476621697"/>
        <n v="0.98892490545651"/>
        <n v="0.98910411622276"/>
        <n v="0.989119683481701"/>
        <n v="0.989315068493151"/>
        <n v="0.989359391965255"/>
        <n v="0.989389920424403"/>
        <n v="0.989569990850869"/>
        <n v="0.989637305699482"/>
        <n v="0.98972602739726"/>
        <n v="0.989742666906604"/>
        <n v="0.989775855289029"/>
        <n v="0.989861058956065"/>
        <n v="0.989863547758285"/>
        <n v="0.989926436476904"/>
        <n v="0.989937797292353"/>
        <n v="0.989954796584631"/>
        <n v="0.990071978158352"/>
        <n v="0.990139408364502"/>
        <n v="0.990176817288802"/>
        <n v="0.990356798457088"/>
        <n v="0.990635973468591"/>
        <n v="0.990696825975921"/>
        <n v="0.99076354679803"/>
        <n v="0.990812720848057"/>
        <n v="0.990840965861782"/>
        <n v="0.99099606077659"/>
        <n v="0.991071428571429"/>
        <n v="0.991204124962087"/>
        <n v="0.991235758106924"/>
        <n v="0.991249005568815"/>
        <n v="0.991312931885489"/>
        <n v="0.991449337323643"/>
        <n v="0.991605456453305"/>
        <n v="0.992214869599066"/>
        <n v="0.992277265021661"/>
        <n v="0.992495022208608"/>
        <n v="0.992594926737041"/>
        <n v="0.992605633802817"/>
        <n v="0.992642140468227"/>
        <n v="0.99290780141844"/>
        <n v="0.993028119916337"/>
        <n v="0.993170731707317"/>
        <n v="0.993197278911565"/>
        <n v="0.993636363636364"/>
        <n v="0.993674525589419"/>
        <n v="0.993801140590131"/>
        <n v="0.993877104745244"/>
        <n v="0.993884120171674"/>
        <n v="0.993989481592787"/>
        <n v="0.994"/>
        <n v="0.9944823962165"/>
        <n v="0.99449173760641"/>
        <n v="0.994642857142857"/>
        <n v="0.994739249771272"/>
        <n v="0.994794520547945"/>
        <n v="0.994910941475827"/>
        <n v="0.995040650406504"/>
        <n v="0.995107962213225"/>
        <n v="0.995120415551708"/>
        <n v="0.995673617720862"/>
        <n v="0.995826377295492"/>
        <n v="0.995965417867435"/>
        <n v="0.99601593625498"/>
        <n v="0.996059889676911"/>
        <n v="0.996344300432037"/>
        <n v="0.996376811594203"/>
        <n v="0.996384615384615"/>
        <n v="0.996448022732655"/>
        <n v="0.996677740863787"/>
        <n v="0.996704021094265"/>
        <n v="0.996742671009772"/>
        <n v="0.996768178993163"/>
        <n v="0.996797385620915"/>
        <n v="0.997304582210242"/>
        <n v="0.997317631665031"/>
        <n v="0.997340425531915"/>
        <n v="0.997350492051476"/>
        <n v="0.997359735973597"/>
        <n v="0.997606148418798"/>
        <n v="0.997609561752988"/>
        <n v="0.997622820919176"/>
        <n v="0.997744360902256"/>
        <n v="0.997826086956522"/>
        <n v="0.997869900049156"/>
        <n v="0.997914995990377"/>
        <n v="0.9979633401222"/>
        <n v="0.998242530755712"/>
        <n v="0.998256537982565"/>
        <n v="0.998454404945904"/>
        <n v="0.998461538461538"/>
        <n v="0.998505231689088"/>
        <n v="0.998550724637681"/>
        <n v="0.998573466476462"/>
        <n v="0.99866844207723"/>
        <n v="0.99867197875166"/>
        <n v="0.998685939553219"/>
        <n v="0.998736503560763"/>
        <n v="0.998823529411765"/>
        <n v="0.998824221046443"/>
        <n v="0.99889012208657"/>
        <n v="0.998892580287929"/>
        <n v="0.998939929328622"/>
        <n v="0.998947368421053"/>
        <n v="0.999002991026919"/>
        <n v="0.999074074074074"/>
        <n v="0.999142857142857"/>
        <n v="0.999151103565365"/>
        <n v="0.999180327868852"/>
        <n v="0.999201915403033"/>
        <n v="0.999231950844854"/>
        <n v="0.999274310595065"/>
        <n v="0.999384615384615"/>
        <n v="0.999442741710783"/>
        <n v="0.999466950959488"/>
        <n v="0.999500249875062"/>
        <n v="0.99950149551346"/>
        <n v="0.999540493968983"/>
        <n v="0.999637023593466"/>
        <n v="0.999714285714286"/>
        <n v="0.99972602739726"/>
        <n v="0.999737440924208"/>
        <n v="0.999886020402348"/>
        <n v="1"/>
      </sharedItems>
    </cacheField>
    <cacheField name="Break down Hrs" numFmtId="0">
      <sharedItems containsSemiMixedTypes="0" containsString="0" containsNumber="1" minValue="0" maxValue="5.16666666666667" count="34">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sharedItems>
    </cacheField>
    <cacheField name="Total Running Hrs" numFmtId="0">
      <sharedItems containsSemiMixedTypes="0" containsString="0" containsNumber="1" minValue="0.0833333333333333" maxValue="10.5" count="62">
        <n v="0.0833333333333333"/>
        <n v="0.333333333333333"/>
        <n v="0.5"/>
        <n v="0.6"/>
        <n v="0.666666666666667"/>
        <n v="0.8"/>
        <n v="0.833333333333333"/>
        <n v="1"/>
        <n v="1.16666666666667"/>
        <n v="1.2"/>
        <n v="1.5"/>
        <n v="1.83333333333333"/>
        <n v="2"/>
        <n v="2.16666666666667"/>
        <n v="2.25"/>
        <n v="2.3"/>
        <n v="2.33333333333333"/>
        <n v="2.5"/>
        <n v="2.66666666666667"/>
        <n v="2.83333333333333"/>
        <n v="2.96666666666667"/>
        <n v="3"/>
        <n v="3.15"/>
        <n v="3.16666666666667"/>
        <n v="3.25"/>
        <n v="3.33333333333333"/>
        <n v="3.5"/>
        <n v="3.66666666666667"/>
        <n v="3.83333333333333"/>
        <n v="3.91666666666667"/>
        <n v="4"/>
        <n v="4.16666666666667"/>
        <n v="4.33333333333333"/>
        <n v="4.5"/>
        <n v="4.58333333333333"/>
        <n v="4.66666666666667"/>
        <n v="5"/>
        <n v="5.06666666666667"/>
        <n v="5.33333333333333"/>
        <n v="5.5"/>
        <n v="5.66666666666667"/>
        <n v="5.83333333333333"/>
        <n v="6"/>
        <n v="6.16666666666667"/>
        <n v="6.25"/>
        <n v="6.33333333333333"/>
        <n v="6.5"/>
        <n v="6.66666666666667"/>
        <n v="6.71666666666667"/>
        <n v="6.75"/>
        <n v="6.83333333333333"/>
        <n v="7"/>
        <n v="7.16666666666667"/>
        <n v="7.25"/>
        <n v="7.33333333333333"/>
        <n v="7.41666666666667"/>
        <n v="7.5"/>
        <n v="7.66666666666667"/>
        <n v="7.83333333333333"/>
        <n v="8"/>
        <n v="8.5"/>
        <n v="10.5"/>
      </sharedItems>
    </cacheField>
    <cacheField name="Machine Availability" numFmtId="0">
      <sharedItems containsSemiMixedTypes="0" containsString="0" containsNumber="1" minValue="0.166666666666667" maxValue="1" count="58">
        <n v="0.166666666666667"/>
        <n v="0.2"/>
        <n v="0.333333333333333"/>
        <n v="0.354166666666667"/>
        <n v="0.388888888888889"/>
        <n v="0.411764705882353"/>
        <n v="0.416666666666667"/>
        <n v="0.4375"/>
        <n v="0.454545454545455"/>
        <n v="0.489583333333333"/>
        <n v="0.5"/>
        <n v="0.520833333333333"/>
        <n v="0.541666666666667"/>
        <n v="0.583333333333333"/>
        <n v="0.592592592592593"/>
        <n v="0.6"/>
        <n v="0.611111111111111"/>
        <n v="0.615384615384615"/>
        <n v="0.638888888888889"/>
        <n v="0.666666666666667"/>
        <n v="0.6875"/>
        <n v="0.689922480620155"/>
        <n v="0.729166666666667"/>
        <n v="0.745098039215686"/>
        <n v="0.75"/>
        <n v="0.770833333333333"/>
        <n v="0.78125"/>
        <n v="0.784313725490196"/>
        <n v="0.791666666666667"/>
        <n v="0.8125"/>
        <n v="0.814814814814815"/>
        <n v="0.822222222222222"/>
        <n v="0.823529411764706"/>
        <n v="0.833333333333333"/>
        <n v="0.839583333333333"/>
        <n v="0.84375"/>
        <n v="0.851851851851852"/>
        <n v="0.854166666666667"/>
        <n v="0.866666666666667"/>
        <n v="0.871794871794872"/>
        <n v="0.875"/>
        <n v="0.888888888888889"/>
        <n v="0.892857142857143"/>
        <n v="0.895833333333333"/>
        <n v="0.9"/>
        <n v="0.901960784313726"/>
        <n v="0.904761904761905"/>
        <n v="0.90625"/>
        <n v="0.909090909090909"/>
        <n v="0.916666666666667"/>
        <n v="0.92156862745098"/>
        <n v="0.927083333333333"/>
        <n v="0.933333333333333"/>
        <n v="0.9375"/>
        <n v="0.938271604938272"/>
        <n v="0.954545454545455"/>
        <n v="0.958333333333333"/>
        <n v="1"/>
      </sharedItems>
    </cacheField>
    <cacheField name="Actual output per hr" numFmtId="0">
      <sharedItems containsSemiMixedTypes="0" containsString="0" containsNumber="1" minValue="14" maxValue="2271.5" count="215">
        <n v="14"/>
        <n v="51"/>
        <n v="68.5"/>
        <n v="110"/>
        <n v="120"/>
        <n v="135"/>
        <n v="180"/>
        <n v="192.5"/>
        <n v="194.588235294118"/>
        <n v="198"/>
        <n v="202.5"/>
        <n v="216"/>
        <n v="223.333333333333"/>
        <n v="228.5"/>
        <n v="251.162790697674"/>
        <n v="269.818181818182"/>
        <n v="270"/>
        <n v="292.75"/>
        <n v="297"/>
        <n v="315"/>
        <n v="321"/>
        <n v="324"/>
        <n v="325"/>
        <n v="325.333333333333"/>
        <n v="337.5"/>
        <n v="351"/>
        <n v="353.375"/>
        <n v="360"/>
        <n v="364.5"/>
        <n v="370"/>
        <n v="375"/>
        <n v="377.5"/>
        <n v="378"/>
        <n v="381.818181818182"/>
        <n v="382.5"/>
        <n v="384"/>
        <n v="391.5"/>
        <n v="401.25"/>
        <n v="402.25"/>
        <n v="405"/>
        <n v="412.5"/>
        <n v="414"/>
        <n v="416.666666666667"/>
        <n v="419.5"/>
        <n v="426"/>
        <n v="428.571428571429"/>
        <n v="430.625"/>
        <n v="441.333333333333"/>
        <n v="444.705882352941"/>
        <n v="450"/>
        <n v="457.692307692308"/>
        <n v="459"/>
        <n v="462.5"/>
        <n v="468.75"/>
        <n v="473.5"/>
        <n v="475"/>
        <n v="484.285714285714"/>
        <n v="486.875"/>
        <n v="500"/>
        <n v="516"/>
        <n v="519"/>
        <n v="520"/>
        <n v="521.25"/>
        <n v="523.333333333333"/>
        <n v="525"/>
        <n v="526.25"/>
        <n v="531.5"/>
        <n v="533.333333333333"/>
        <n v="537.5"/>
        <n v="540"/>
        <n v="541.25"/>
        <n v="545.454545454546"/>
        <n v="550"/>
        <n v="559.058823529412"/>
        <n v="562.5"/>
        <n v="566.666666666667"/>
        <n v="568.285714285714"/>
        <n v="569.733333333333"/>
        <n v="571.428571428571"/>
        <n v="575"/>
        <n v="578"/>
        <n v="582.5"/>
        <n v="583.333333333333"/>
        <n v="583.75"/>
        <n v="587.5"/>
        <n v="600"/>
        <n v="602.5"/>
        <n v="609.882352941176"/>
        <n v="611"/>
        <n v="612.5"/>
        <n v="618.75"/>
        <n v="619.764705882353"/>
        <n v="622.588235294118"/>
        <n v="623"/>
        <n v="625"/>
        <n v="626.5"/>
        <n v="630"/>
        <n v="650"/>
        <n v="662.5"/>
        <n v="666.666666666667"/>
        <n v="675"/>
        <n v="687.5"/>
        <n v="694"/>
        <n v="700"/>
        <n v="712.5"/>
        <n v="717.6"/>
        <n v="725"/>
        <n v="741.176470588235"/>
        <n v="743.764705882353"/>
        <n v="748"/>
        <n v="750"/>
        <n v="761.875"/>
        <n v="762.352941176471"/>
        <n v="772.727272727273"/>
        <n v="775"/>
        <n v="787.5"/>
        <n v="790"/>
        <n v="800"/>
        <n v="808.75"/>
        <n v="812"/>
        <n v="812.5"/>
        <n v="823.5"/>
        <n v="825"/>
        <n v="834"/>
        <n v="837.5"/>
        <n v="838.75"/>
        <n v="849"/>
        <n v="849.647058823529"/>
        <n v="852.5"/>
        <n v="854.352941176471"/>
        <n v="860"/>
        <n v="862.5"/>
        <n v="874.25"/>
        <n v="874.75"/>
        <n v="875"/>
        <n v="887.5"/>
        <n v="888.888888888889"/>
        <n v="896.25"/>
        <n v="900"/>
        <n v="912.25"/>
        <n v="912.5"/>
        <n v="915"/>
        <n v="923.076923076923"/>
        <n v="925"/>
        <n v="933.333333333333"/>
        <n v="937.5"/>
        <n v="943.333333333333"/>
        <n v="978.260869565218"/>
        <n v="990"/>
        <n v="994"/>
        <n v="1000"/>
        <n v="1025"/>
        <n v="1040"/>
        <n v="1058.11764705882"/>
        <n v="1089.76470588235"/>
        <n v="1117.6"/>
        <n v="1137.5"/>
        <n v="1162.5"/>
        <n v="1166.66666666667"/>
        <n v="1187.5"/>
        <n v="1191"/>
        <n v="1193"/>
        <n v="1200"/>
        <n v="1216.66666666667"/>
        <n v="1250"/>
        <n v="1260"/>
        <n v="1275"/>
        <n v="1287.5"/>
        <n v="1300"/>
        <n v="1314"/>
        <n v="1320"/>
        <n v="1333.33333333333"/>
        <n v="1343.88235294118"/>
        <n v="1353.76470588235"/>
        <n v="1360"/>
        <n v="1375"/>
        <n v="1412.5"/>
        <n v="1437.17647058824"/>
        <n v="1437.5"/>
        <n v="1439.88235294118"/>
        <n v="1440"/>
        <n v="1450.54545454545"/>
        <n v="1464"/>
        <n v="1480"/>
        <n v="1500"/>
        <n v="1500.23529411765"/>
        <n v="1523.88235294118"/>
        <n v="1543.05882352941"/>
        <n v="1587.5"/>
        <n v="1600"/>
        <n v="1638.23529411765"/>
        <n v="1650"/>
        <n v="1682.22222222222"/>
        <n v="1722.4"/>
        <n v="1737.5"/>
        <n v="1740.2"/>
        <n v="1745.23076923077"/>
        <n v="1750"/>
        <n v="1757.29411764706"/>
        <n v="1793.41176470588"/>
        <n v="1794.23529411765"/>
        <n v="1826.08695652174"/>
        <n v="1863.05882352941"/>
        <n v="1876"/>
        <n v="1886.82352941176"/>
        <n v="1917"/>
        <n v="1976.25"/>
        <n v="2000"/>
        <n v="2030"/>
        <n v="2045.88235294118"/>
        <n v="2064.11764705882"/>
        <n v="2110"/>
        <n v="2144.58823529412"/>
        <n v="2258.125"/>
        <n v="2271.5"/>
      </sharedItems>
    </cacheField>
    <cacheField name="Standard Cycle Time/Piece (sec)" numFmtId="0">
      <sharedItems containsSemiMixedTypes="0" containsString="0" containsNumber="1" minValue="2.3" maxValue="32.4" count="8">
        <n v="2.3"/>
        <n v="2.5"/>
        <n v="3.5"/>
        <n v="4"/>
        <n v="5.25"/>
        <n v="6"/>
        <n v="9"/>
        <n v="32.4"/>
      </sharedItems>
    </cacheField>
    <cacheField name="Actual Cycle Time per Piece &#10;(in sec)" numFmtId="0">
      <sharedItems containsSemiMixedTypes="0" containsString="0" containsNumber="1" minValue="1.58485582214396" maxValue="45.7073760580411" count="242">
        <n v="1.58485582214396"/>
        <n v="1.67864391903012"/>
        <n v="1.74408663436877"/>
        <n v="2.05714285714286"/>
        <n v="2.06872773244455"/>
        <n v="2.07194244604317"/>
        <n v="2.07692307692308"/>
        <n v="2.07874015748031"/>
        <n v="2.0901068276823"/>
        <n v="2.18181818181818"/>
        <n v="2.25"/>
        <n v="2.25933202357564"/>
        <n v="2.29565217391304"/>
        <n v="2.36363636363636"/>
        <n v="2.4"/>
        <n v="2.43243243243243"/>
        <n v="2.47619047619048"/>
        <n v="2.5"/>
        <n v="2.53846153846154"/>
        <n v="2.54416961130742"/>
        <n v="2.54867256637168"/>
        <n v="2.5631067961165"/>
        <n v="2.58823529411765"/>
        <n v="2.61818181818182"/>
        <n v="2.63013698630137"/>
        <n v="2.64705882352941"/>
        <n v="2.66844563042028"/>
        <n v="2.7"/>
        <n v="2.75"/>
        <n v="2.76923076923077"/>
        <n v="2.77894736842105"/>
        <n v="2.79169649248389"/>
        <n v="2.81524926686217"/>
        <n v="2.82857142857143"/>
        <n v="2.83870967741935"/>
        <n v="2.88"/>
        <n v="2.9010989010989"/>
        <n v="2.97959624311778"/>
        <n v="3.07778087538333"/>
        <n v="3.12"/>
        <n v="3.17423806785509"/>
        <n v="3.18848602269582"/>
        <n v="3.21951219512195"/>
        <n v="3.3"/>
        <n v="3.4"/>
        <n v="3.42857142857143"/>
        <n v="3.44182566404789"/>
        <n v="3.52"/>
        <n v="3.52053646269908"/>
        <n v="3.525"/>
        <n v="3.54679802955665"/>
        <n v="3.56150543066431"/>
        <n v="3.56756756756757"/>
        <n v="3.5966149506347"/>
        <n v="3.59937402190923"/>
        <n v="3.6"/>
        <n v="3.6096256684492"/>
        <n v="3.61643835616438"/>
        <n v="3.61742943272129"/>
        <n v="3.61943479116124"/>
        <n v="3.62109682498032"/>
        <n v="3.62173038229376"/>
        <n v="3.62790697674419"/>
        <n v="3.63636363636364"/>
        <n v="3.64326375711575"/>
        <n v="3.64597093791281"/>
        <n v="3.66666666666667"/>
        <n v="3.68"/>
        <n v="3.68200836820084"/>
        <n v="3.69552118899377"/>
        <n v="3.70570524202887"/>
        <n v="3.71830985915493"/>
        <n v="3.74077112387203"/>
        <n v="3.7410071942446"/>
        <n v="3.75"/>
        <n v="3.77142857142857"/>
        <n v="3.77250643040869"/>
        <n v="3.78694581280788"/>
        <n v="3.8"/>
        <n v="3.8006058936932"/>
        <n v="3.82165605095541"/>
        <n v="3.82608695652174"/>
        <n v="3.83795309168443"/>
        <n v="3.84263494967978"/>
        <n v="3.86045181584215"/>
        <n v="3.88235294117647"/>
        <n v="3.886925795053"/>
        <n v="3.9"/>
        <n v="3.92188904322249"/>
        <n v="3.9344262295082"/>
        <n v="3.94029850746269"/>
        <n v="3.94285714285714"/>
        <n v="3.94520547945205"/>
        <n v="3.96280524897888"/>
        <n v="3.96409335727109"/>
        <n v="4"/>
        <n v="4.00728597449909"/>
        <n v="4.06153846153846"/>
        <n v="4.08037094281298"/>
        <n v="4.125"/>
        <n v="4.19047619047619"/>
        <n v="4.25806451612903"/>
        <n v="4.32873274780427"/>
        <n v="4.4"/>
        <n v="4.43587270973963"/>
        <n v="4.45702157764415"/>
        <n v="4.51240912509401"/>
        <n v="4.51505016722408"/>
        <n v="4.53400503778338"/>
        <n v="4.55696202531646"/>
        <n v="4.83235577343955"/>
        <n v="4.87062404870624"/>
        <n v="4.96551724137931"/>
        <n v="5.01923076923077"/>
        <n v="5.0377358490566"/>
        <n v="5.04"/>
        <n v="5.05263157894737"/>
        <n v="5.08695652173913"/>
        <n v="5.14285714285714"/>
        <n v="5.2"/>
        <n v="5.22"/>
        <n v="5.23636363636364"/>
        <n v="5.28"/>
        <n v="5.33333333333333"/>
        <n v="5.34441805225653"/>
        <n v="5.38707102952913"/>
        <n v="5.4"/>
        <n v="5.4149377593361"/>
        <n v="5.43396226415094"/>
        <n v="5.53846153846154"/>
        <n v="5.5531914893617"/>
        <n v="5.6"/>
        <n v="5.68421052631579"/>
        <n v="5.73248407643312"/>
        <n v="5.73333333333333"/>
        <n v="5.76"/>
        <n v="5.81818181818182"/>
        <n v="5.81986143187067"/>
        <n v="5.83333333333333"/>
        <n v="5.87755102040816"/>
        <n v="5.89198036006547"/>
        <n v="6"/>
        <n v="6.0431654676259"/>
        <n v="6.045"/>
        <n v="6.075"/>
        <n v="6.12765957446809"/>
        <n v="6.15384615384615"/>
        <n v="6.17142857142857"/>
        <n v="6.18025751072961"/>
        <n v="6.27906976744186"/>
        <n v="6.3"/>
        <n v="6.31578947368421"/>
        <n v="6.32432432432432"/>
        <n v="6.33333333333334"/>
        <n v="6.33802816901409"/>
        <n v="6.35294117647059"/>
        <n v="6.4"/>
        <n v="6.48"/>
        <n v="6.5"/>
        <n v="6.51162790697674"/>
        <n v="6.525"/>
        <n v="6.54545454545455"/>
        <n v="6.6"/>
        <n v="6.63716814159292"/>
        <n v="6.65258711721225"/>
        <n v="6.66666666666667"/>
        <n v="6.69767441860465"/>
        <n v="6.72727272727273"/>
        <n v="6.75"/>
        <n v="6.85714285714286"/>
        <n v="6.92307692307692"/>
        <n v="7"/>
        <n v="7.14078374455733"/>
        <n v="7.2"/>
        <n v="7.57894736842105"/>
        <n v="7.68"/>
        <n v="8.04529201430274"/>
        <n v="8.4"/>
        <n v="8.51851851851852"/>
        <n v="8.69565217391304"/>
        <n v="8.81226053639847"/>
        <n v="8.88888888888889"/>
        <n v="8.97196261682243"/>
        <n v="9"/>
        <n v="9.01960784313726"/>
        <n v="9.05349794238683"/>
        <n v="9.0625"/>
        <n v="9.16666666666667"/>
        <n v="9.19540229885057"/>
        <n v="9.25925925925926"/>
        <n v="9.41176470588235"/>
        <n v="9.44444444444444"/>
        <n v="9.52380952380952"/>
        <n v="9.5364238410596"/>
        <n v="9.72972972972973"/>
        <n v="9.87654320987654"/>
        <n v="9.88888888888889"/>
        <n v="10"/>
        <n v="10.2564102564103"/>
        <n v="10.3703703703704"/>
        <n v="10.4166666666667"/>
        <n v="10.6060606060606"/>
        <n v="10.6481481481481"/>
        <n v="10.6666666666667"/>
        <n v="10.8333333333333"/>
        <n v="11.0655737704918"/>
        <n v="11.4285714285714"/>
        <n v="25.5555555555556"/>
        <n v="26.1942423283771"/>
        <n v="26.2857142857143"/>
        <n v="28.0725546702831"/>
        <n v="28.7878787878788"/>
        <n v="29.0420168067227"/>
        <n v="30"/>
        <n v="30.4797742238946"/>
        <n v="31.1418685121107"/>
        <n v="31.1724783524456"/>
        <n v="31.2925170068027"/>
        <n v="31.3725490196078"/>
        <n v="31.4350797266515"/>
        <n v="31.7817014446228"/>
        <n v="31.9444444444444"/>
        <n v="32.3809523809524"/>
        <n v="33.3333333333333"/>
        <n v="34.3891402714932"/>
        <n v="34.6820809248555"/>
        <n v="35.2941176470588"/>
        <n v="36.3881401617251"/>
        <n v="37.0021413276231"/>
        <n v="37.4025974025974"/>
        <n v="37.6119402985075"/>
        <n v="37.8787878787879"/>
        <n v="39.2523364485981"/>
        <n v="39.2727272727273"/>
        <n v="39.3873085339168"/>
        <n v="39.8791540785498"/>
        <n v="39.9658411614005"/>
        <n v="42.5108763206961"/>
        <n v="42.8571428571429"/>
        <n v="43.2"/>
        <n v="43.7956204379562"/>
        <n v="45.7073760580411"/>
      </sharedItems>
    </cacheField>
    <cacheField name="Effieciency" numFmtId="0">
      <sharedItems containsSemiMixedTypes="0" containsString="0" containsNumber="1" minValue="0.517346014492754" maxValue="2.52388888888889" count="237">
        <n v="0.517346014492754"/>
        <n v="0.584583333333333"/>
        <n v="0.614807692307692"/>
        <n v="0.630866228070175"/>
        <n v="0.634057971014493"/>
        <n v="0.651388888888889"/>
        <n v="0.662878787878788"/>
        <n v="0.690398550724638"/>
        <n v="0.694444444444444"/>
        <n v="0.694565217391304"/>
        <n v="0.704861111111111"/>
        <n v="0.708857142857143"/>
        <n v="0.714393939393939"/>
        <n v="0.737179487179487"/>
        <n v="0.7398"/>
        <n v="0.75"/>
        <n v="0.756"/>
        <n v="0.762157894736842"/>
        <n v="0.768055555555555"/>
        <n v="0.775185185185185"/>
        <n v="0.780405405405405"/>
        <n v="0.78125"/>
        <n v="0.783854166666667"/>
        <n v="0.784071180555556"/>
        <n v="0.785277777777778"/>
        <n v="0.7875"/>
        <n v="0.787590579710145"/>
        <n v="0.791666666666667"/>
        <n v="0.79280303030303"/>
        <n v="0.795454545454545"/>
        <n v="0.798611111111111"/>
        <n v="0.810227272727273"/>
        <n v="0.810692307692307"/>
        <n v="0.812273550724638"/>
        <n v="0.812454545454546"/>
        <n v="0.813131313131313"/>
        <n v="0.813333333333333"/>
        <n v="0.816979166666667"/>
        <n v="0.8203125"/>
        <n v="0.82125"/>
        <n v="0.821969696969697"/>
        <n v="0.8226"/>
        <n v="0.823871794871795"/>
        <n v="0.825"/>
        <n v="0.825428571428572"/>
        <n v="0.827651515151515"/>
        <n v="0.830128205128205"/>
        <n v="0.830555555555555"/>
        <n v="0.830769230769231"/>
        <n v="0.833333333333333"/>
        <n v="0.835227272727273"/>
        <n v="0.836363636363636"/>
        <n v="0.840243902439024"/>
        <n v="0.84375"/>
        <n v="0.845217391304348"/>
        <n v="0.848484848484848"/>
        <n v="0.848571428571429"/>
        <n v="0.850694444444444"/>
        <n v="0.851851851851852"/>
        <n v="0.85536"/>
        <n v="0.857765151515152"/>
        <n v="0.861428571428571"/>
        <n v="0.861742424242424"/>
        <n v="0.864"/>
        <n v="0.86625"/>
        <n v="0.866666666666667"/>
        <n v="0.867857142857143"/>
        <n v="0.86875"/>
        <n v="0.868888888888889"/>
        <n v="0.873409090909091"/>
        <n v="0.874479166666667"/>
        <n v="0.875"/>
        <n v="0.875625"/>
        <n v="0.8775"/>
        <n v="0.878472222222222"/>
        <n v="0.882222222222222"/>
        <n v="0.886444444444444"/>
        <n v="0.887152777777778"/>
        <n v="0.888257575757576"/>
        <n v="0.888636363636364"/>
        <n v="0.888888888888889"/>
        <n v="0.889583333333333"/>
        <n v="0.8904"/>
        <n v="0.891041666666667"/>
        <n v="0.895833333333333"/>
        <n v="0.897348484848485"/>
        <n v="0.897435897435897"/>
        <n v="0.9"/>
        <n v="0.900454545454545"/>
        <n v="0.901515151515151"/>
        <n v="0.901739130434783"/>
        <n v="0.901904761904762"/>
        <n v="0.902083333333333"/>
        <n v="0.90234375"/>
        <n v="0.902430555555556"/>
        <n v="0.904"/>
        <n v="0.904027777777778"/>
        <n v="0.906060606060606"/>
        <n v="0.90662962962963"/>
        <n v="0.909090909090909"/>
        <n v="0.910112359550562"/>
        <n v="0.91125"/>
        <n v="0.911458333333333"/>
        <n v="0.914772727272727"/>
        <n v="0.915697674418605"/>
        <n v="0.916666666666667"/>
        <n v="0.918"/>
        <n v="0.919540229885057"/>
        <n v="0.921052631578947"/>
        <n v="0.921428571428571"/>
        <n v="0.923076923076923"/>
        <n v="0.923611111111111"/>
        <n v="0.924057971014493"/>
        <n v="0.924227642276423"/>
        <n v="0.925"/>
        <n v="0.925925925925926"/>
        <n v="0.927765151515152"/>
        <n v="0.928030303030303"/>
        <n v="0.928846153846154"/>
        <n v="0.933333333333333"/>
        <n v="0.9342"/>
        <n v="0.935635964912281"/>
        <n v="0.9375"/>
        <n v="0.941287878787879"/>
        <n v="0.942157894736842"/>
        <n v="0.94375"/>
        <n v="0.944444444444444"/>
        <n v="0.945"/>
        <n v="0.945402298850575"/>
        <n v="0.945555555555555"/>
        <n v="0.946666666666667"/>
        <n v="0.947368421052631"/>
        <n v="0.947916666666667"/>
        <n v="0.95"/>
        <n v="0.950568181818182"/>
        <n v="0.951086956521739"/>
        <n v="0.952380952380952"/>
        <n v="0.952941176470588"/>
        <n v="0.954545454545455"/>
        <n v="0.955555555555556"/>
        <n v="0.95625"/>
        <n v="0.958333333333333"/>
        <n v="0.9625"/>
        <n v="0.96474358974359"/>
        <n v="0.966145833333333"/>
        <n v="0.966388888888889"/>
        <n v="0.967537878787879"/>
        <n v="0.96780303030303"/>
        <n v="0.969540229885057"/>
        <n v="0.96962962962963"/>
        <n v="0.970833333333333"/>
        <n v="0.972"/>
        <n v="0.972222222222222"/>
        <n v="0.973076923076923"/>
        <n v="0.974555555555556"/>
        <n v="0.975"/>
        <n v="0.97875"/>
        <n v="0.979166666666667"/>
        <n v="0.981060606060606"/>
        <n v="0.981818181818182"/>
        <n v="0.982333333333333"/>
        <n v="0.984375"/>
        <n v="0.987654320987654"/>
        <n v="0.992555831265509"/>
        <n v="0.992907801418439"/>
        <n v="0.993103448275862"/>
        <n v="0.994090909090909"/>
        <n v="0.994318181818182"/>
        <n v="0.997826086956522"/>
        <n v="1"/>
        <n v="1.00058823529412"/>
        <n v="1.00189393939394"/>
        <n v="1.00260416666667"/>
        <n v="1.003125"/>
        <n v="1.00574712643678"/>
        <n v="1.00905797101449"/>
        <n v="1.00961538461538"/>
        <n v="1.0125"/>
        <n v="1.01426086956522"/>
        <n v="1.01945454545455"/>
        <n v="1.01991666666667"/>
        <n v="1.02083333333333"/>
        <n v="1.02130434782609"/>
        <n v="1.02222222222222"/>
        <n v="1.02941176470588"/>
        <n v="1.03069565217391"/>
        <n v="1.03205128205128"/>
        <n v="1.03275"/>
        <n v="1.035"/>
        <n v="1.03539130434783"/>
        <n v="1.0390625"/>
        <n v="1.03937837837838"/>
        <n v="1.0404"/>
        <n v="1.04095238095238"/>
        <n v="1.04166666666667"/>
        <n v="1.04213483146067"/>
        <n v="1.04597701149425"/>
        <n v="1.04666666666667"/>
        <n v="1.05246376811594"/>
        <n v="1.05416666666667"/>
        <n v="1.05652173913043"/>
        <n v="1.05729166666667"/>
        <n v="1.06060606060606"/>
        <n v="1.063"/>
        <n v="1.07142857142857"/>
        <n v="1.07941666666667"/>
        <n v="1.08"/>
        <n v="1.08239130434783"/>
        <n v="1.09710144927536"/>
        <n v="1.09791666666667"/>
        <n v="1.10042222222222"/>
        <n v="1.10416666666667"/>
        <n v="1.10514492753623"/>
        <n v="1.10643939393939"/>
        <n v="1.10740740740741"/>
        <n v="1.11006944444444"/>
        <n v="1.1121568627451"/>
        <n v="1.115625"/>
        <n v="1.11805555555556"/>
        <n v="1.11866666666667"/>
        <n v="1.12312056737589"/>
        <n v="1.12547368421053"/>
        <n v="1.13619047619048"/>
        <n v="1.14583333333333"/>
        <n v="1.15415217391304"/>
        <n v="1.16217391304348"/>
        <n v="1.20847222222222"/>
        <n v="1.23260869565217"/>
        <n v="1.23691304347826"/>
        <n v="1.26782608695652"/>
        <n v="1.34246376811594"/>
        <n v="1.43341503267974"/>
        <n v="1.48929738562092"/>
        <n v="1.499"/>
        <n v="1.6"/>
        <n v="1.7704347826087"/>
        <n v="2.52388888888889"/>
      </sharedItems>
    </cacheField>
    <cacheField name="OEE" numFmtId="0">
      <sharedItems containsSemiMixedTypes="0" containsString="0" containsNumber="1" minValue="0.120657857142857" maxValue="2.52000598290598" count="318">
        <n v="0.120657857142857"/>
        <n v="0.126"/>
        <n v="0.160335689045936"/>
        <n v="0.267168462515056"/>
        <n v="0.28287213740458"/>
        <n v="0.289250814332248"/>
        <n v="0.328034618755478"/>
        <n v="0.329105571847507"/>
        <n v="0.343194830928543"/>
        <n v="0.346767567567568"/>
        <n v="0.364583333333333"/>
        <n v="0.401632692307692"/>
        <n v="0.401749346305868"/>
        <n v="0.428155339805825"/>
        <n v="0.431027137468567"/>
        <n v="0.459"/>
        <n v="0.46205837517934"/>
        <n v="0.466503300150214"/>
        <n v="0.468023542447465"/>
        <n v="0.474115030674847"/>
        <n v="0.480073170731707"/>
        <n v="0.486111111111111"/>
        <n v="0.495399746192893"/>
        <n v="0.528311688311688"/>
        <n v="0.532833333333333"/>
        <n v="0.535474985110185"/>
        <n v="0.535868055555556"/>
        <n v="0.544652777777778"/>
        <n v="0.572356526739505"/>
        <n v="0.592844202898551"/>
        <n v="0.597801955049261"/>
        <n v="0.602685185185185"/>
        <n v="0.607638888888889"/>
        <n v="0.617200975435675"/>
        <n v="0.621042074228012"/>
        <n v="0.632459871589085"/>
        <n v="0.634057971014493"/>
        <n v="0.638888888888889"/>
        <n v="0.639732255222754"/>
        <n v="0.648148148148148"/>
        <n v="0.648397435897436"/>
        <n v="0.648981969205835"/>
        <n v="0.649258474576271"/>
        <n v="0.651388888888889"/>
        <n v="0.654861111111111"/>
        <n v="0.658353530295443"/>
        <n v="0.660011593396401"/>
        <n v="0.660184372256365"/>
        <n v="0.661459169187087"/>
        <n v="0.663660226795464"/>
        <n v="0.664444444444444"/>
        <n v="0.665625"/>
        <n v="0.667322889036251"/>
        <n v="0.678521739130435"/>
        <n v="0.681518698468787"/>
        <n v="0.691708256720077"/>
        <n v="0.691930843706777"/>
        <n v="0.692793625638316"/>
        <n v="0.694444444444444"/>
        <n v="0.697666666666667"/>
        <n v="0.703359686492982"/>
        <n v="0.709478259678173"/>
        <n v="0.714022222222222"/>
        <n v="0.716668176328502"/>
        <n v="0.720402644230769"/>
        <n v="0.722667001506781"/>
        <n v="0.726736111111111"/>
        <n v="0.726881067961165"/>
        <n v="0.727222222222222"/>
        <n v="0.729166666666667"/>
        <n v="0.732230619795053"/>
        <n v="0.74010466473133"/>
        <n v="0.741839762611276"/>
        <n v="0.742708333333333"/>
        <n v="0.74537037037037"/>
        <n v="0.749169435215947"/>
        <n v="0.751223538306452"/>
        <n v="0.751262626262626"/>
        <n v="0.753472222222222"/>
        <n v="0.7578392481065"/>
        <n v="0.758680555555555"/>
        <n v="0.764305750350631"/>
        <n v="0.765625"/>
        <n v="0.766666666666667"/>
        <n v="0.768055555555555"/>
        <n v="0.773221587904201"/>
        <n v="0.774022472443938"/>
        <n v="0.775184490306442"/>
        <n v="0.775568181818182"/>
        <n v="0.777314814814815"/>
        <n v="0.777777777777778"/>
        <n v="0.7808335554371"/>
        <n v="0.784071180555556"/>
        <n v="0.786284722222222"/>
        <n v="0.786886490250696"/>
        <n v="0.7875"/>
        <n v="0.788335964912281"/>
        <n v="0.788958632478632"/>
        <n v="0.789930555555556"/>
        <n v="0.790626368812966"/>
        <n v="0.795967484988575"/>
        <n v="0.797858004216902"/>
        <n v="0.798611111111111"/>
        <n v="0.800625"/>
        <n v="0.802083333333333"/>
        <n v="0.804631080076465"/>
        <n v="0.805"/>
        <n v="0.806193835558915"/>
        <n v="0.808746271691974"/>
        <n v="0.809750536480687"/>
        <n v="0.81083509344598"/>
        <n v="0.81118996674662"/>
        <n v="0.811583876221498"/>
        <n v="0.811637530072173"/>
        <n v="0.813123082822086"/>
        <n v="0.814236111111111"/>
        <n v="0.814583333333333"/>
        <n v="0.815089239950429"/>
        <n v="0.821695072412575"/>
        <n v="0.822569444444444"/>
        <n v="0.823451910408432"/>
        <n v="0.823901829052034"/>
        <n v="0.824266402901418"/>
        <n v="0.824445588235294"/>
        <n v="0.826322115384615"/>
        <n v="0.827664399092971"/>
        <n v="0.828167617158443"/>
        <n v="0.828315548780488"/>
        <n v="0.828915500538213"/>
        <n v="0.830255976745566"/>
        <n v="0.830555555555555"/>
        <n v="0.831371579734929"/>
        <n v="0.831880448318804"/>
        <n v="0.83208769307424"/>
        <n v="0.832502492522433"/>
        <n v="0.832916874895885"/>
        <n v="0.832917912927883"/>
        <n v="0.833333333333333"/>
        <n v="0.836111111111111"/>
        <n v="0.838541666666667"/>
        <n v="0.839665041067761"/>
        <n v="0.840595155464268"/>
        <n v="0.842632700770077"/>
        <n v="0.843333333333333"/>
        <n v="0.843540517848165"/>
        <n v="0.848641831280502"/>
        <n v="0.849236736111111"/>
        <n v="0.850208402777778"/>
        <n v="0.850694444444444"/>
        <n v="0.851799643493761"/>
        <n v="0.851851851851852"/>
        <n v="0.857522935779816"/>
        <n v="0.858670788253478"/>
        <n v="0.86225614927905"/>
        <n v="0.862847222222222"/>
        <n v="0.864197530864197"/>
        <n v="0.866666666666667"/>
        <n v="0.867837727700477"/>
        <n v="0.868152274837512"/>
        <n v="0.868888888888889"/>
        <n v="0.871354166666667"/>
        <n v="0.871892019891073"/>
        <n v="0.872222222222222"/>
        <n v="0.874198988195615"/>
        <n v="0.874758220502901"/>
        <n v="0.875"/>
        <n v="0.878472222222222"/>
        <n v="0.878591982701264"/>
        <n v="0.883369995600528"/>
        <n v="0.886484098939929"/>
        <n v="0.88666673325723"/>
        <n v="0.887152777777778"/>
        <n v="0.888888888888889"/>
        <n v="0.889052154903185"/>
        <n v="0.889583333333333"/>
        <n v="0.889639328063241"/>
        <n v="0.891077864892985"/>
        <n v="0.891120577920098"/>
        <n v="0.891656467085677"/>
        <n v="0.892053159973667"/>
        <n v="0.894912848605578"/>
        <n v="0.895003858024691"/>
        <n v="0.896881551362683"/>
        <n v="0.897435897435897"/>
        <n v="0.897517163429337"/>
        <n v="0.898540026246719"/>
        <n v="0.899148561362302"/>
        <n v="0.9"/>
        <n v="0.900018181669608"/>
        <n v="0.901084592490843"/>
        <n v="0.901309256365176"/>
        <n v="0.902139451435312"/>
        <n v="0.902219379467186"/>
        <n v="0.902430555555556"/>
        <n v="0.902504911591356"/>
        <n v="0.902894950807348"/>
        <n v="0.902923413317727"/>
        <n v="0.903540432708128"/>
        <n v="0.904362511353315"/>
        <n v="0.905255018674136"/>
        <n v="0.906673114119923"/>
        <n v="0.907407407407407"/>
        <n v="0.91113259874555"/>
        <n v="0.911458333333333"/>
        <n v="0.912048567870486"/>
        <n v="0.916666666666667"/>
        <n v="0.916741071428571"/>
        <n v="0.918402777777778"/>
        <n v="0.922467640964843"/>
        <n v="0.922644719314938"/>
        <n v="0.924450408997955"/>
        <n v="0.926322195704057"/>
        <n v="0.926791907514451"/>
        <n v="0.927415784408085"/>
        <n v="0.928269235868652"/>
        <n v="0.929411325846779"/>
        <n v="0.930523922347906"/>
        <n v="0.931759785698666"/>
        <n v="0.933965153550004"/>
        <n v="0.934595746674161"/>
        <n v="0.935024752475247"/>
        <n v="0.936251664447403"/>
        <n v="0.93645948945616"/>
        <n v="0.936716294783155"/>
        <n v="0.938297872340425"/>
        <n v="0.93830579546877"/>
        <n v="0.939381682611142"/>
        <n v="0.940038684719536"/>
        <n v="0.940598441926345"/>
        <n v="0.942784612380395"/>
        <n v="0.943196950911512"/>
        <n v="0.944339582773749"/>
        <n v="0.945555555555555"/>
        <n v="0.948586605957124"/>
        <n v="0.949157070827765"/>
        <n v="0.951086956521739"/>
        <n v="0.952015729737965"/>
        <n v="0.953304315888253"/>
        <n v="0.95416955750848"/>
        <n v="0.954440431811121"/>
        <n v="0.9544578602891"/>
        <n v="0.955346885866865"/>
        <n v="0.955432702673566"/>
        <n v="0.955524414359598"/>
        <n v="0.957199541284404"/>
        <n v="0.957215680198327"/>
        <n v="0.957732371794872"/>
        <n v="0.957900182592818"/>
        <n v="0.958333333333333"/>
        <n v="0.958738938053097"/>
        <n v="0.959798563397876"/>
        <n v="0.960590555555556"/>
        <n v="0.961204436809083"/>
        <n v="0.961941437690813"/>
        <n v="0.962196725092251"/>
        <n v="0.9625"/>
        <n v="0.963156044985942"/>
        <n v="0.96397641509434"/>
        <n v="0.966439946513432"/>
        <n v="0.970833333333333"/>
        <n v="0.970835314629894"/>
        <n v="0.972222222222222"/>
        <n v="0.974107959743824"/>
        <n v="0.975217188070047"/>
        <n v="0.97833545557442"/>
        <n v="0.982411504424779"/>
        <n v="0.988250295683028"/>
        <n v="0.988723597799077"/>
        <n v="0.990455719885959"/>
        <n v="0.99232012176834"/>
        <n v="0.993605027980691"/>
        <n v="0.996704021094265"/>
        <n v="0.99867197875166"/>
        <n v="1"/>
        <n v="1.00116490166415"/>
        <n v="1.00146791767554"/>
        <n v="1.00359417652411"/>
        <n v="1.00723073974703"/>
        <n v="1.01145465253239"/>
        <n v="1.01328491784038"/>
        <n v="1.01423611111111"/>
        <n v="1.01637006861063"/>
        <n v="1.01875424304141"/>
        <n v="1.02016420717593"/>
        <n v="1.02222222222222"/>
        <n v="1.02829501295337"/>
        <n v="1.02971095890411"/>
        <n v="1.03118520551287"/>
        <n v="1.03255496512157"/>
        <n v="1.03590738866397"/>
        <n v="1.0375166002656"/>
        <n v="1.03917662682603"/>
        <n v="1.04083532854483"/>
        <n v="1.04484758527401"/>
        <n v="1.04686614530205"/>
        <n v="1.05053594137952"/>
        <n v="1.05416666666667"/>
        <n v="1.09500772773152"/>
        <n v="1.10042222222222"/>
        <n v="1.10167606516291"/>
        <n v="1.10353200678412"/>
        <n v="1.11006944444444"/>
        <n v="1.11020316478551"/>
        <n v="1.11805555555556"/>
        <n v="1.13494724892561"/>
        <n v="1.14168176328502"/>
        <n v="1.1421009771987"/>
        <n v="1.14334239130435"/>
        <n v="1.14500181422351"/>
        <n v="1.14541742286751"/>
        <n v="1.17138831870402"/>
        <n v="1.20344426211114"/>
        <n v="1.2079169219478"/>
        <n v="1.43325165261105"/>
        <n v="1.48929738562092"/>
        <n v="1.58595734098517"/>
        <n v="1.59468438538206"/>
        <n v="2.52000598290598"/>
      </sharedItems>
    </cacheField>
    <cacheField name="ERP ENTRY NO" numFmtId="0">
      <sharedItems containsMixedTypes="1" containsNumber="1" containsInteger="1" minValue="2180" maxValue="22882290" count="319">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haredItems>
    </cacheField>
    <cacheField name="Production Remark" numFmtId="0">
      <sharedItems containsBlank="1" count="100">
        <s v="                                                                                                                                                                                     "/>
        <s v=" Pin &amp; die cleaing"/>
        <s v="1.701 Kg booked as Runner wastage"/>
        <s v="2 Time machine stop due to cleane lip cavity air vent to avoid fume and polish cavity B due to scratch mark coming in B cavity."/>
        <s v="4 time back plate open to cleane round block due to whit spot issue"/>
        <s v="600 PCS Handover in B-shift."/>
        <s v="700 PCS Handover in B-shift."/>
        <s v="After SKU change sample give to QC for heat test,heat test pass than start mass prodcution.major issue prifrom sticking."/>
        <s v="Callibration of punching machine"/>
        <s v="cavity No.-2 and 4 consisitency issue faced, three times middle plate cleaned hence setup rejection high."/>
        <s v="Cavity no.-2 sticking problem in core side, 7-8 times sticking done and polishing done at the same time. "/>
        <s v="Changeover FO006 TO FO087"/>
        <s v="Changeover FO087 TO FO102"/>
        <s v="Changeover FO093 TO FO101"/>
        <s v="Changeover FO094 TO FO119"/>
        <s v="Changeover FO100 TO FO096"/>
        <s v="Changeover FO101 TO FO100"/>
        <s v="Changeover FO116 TO FO094"/>
        <s v="Changeover FO119 TO FO093"/>
        <s v="Condensation,Fume,Bubble at thread area replaced with old lip cavity"/>
        <s v="Drum Change over"/>
        <s v="ERP Entry pending due to Indivisual QR batch not genrated in ERP OF FO149."/>
        <s v="ERP Entry pending due to material not issue in erp"/>
        <s v="Flow mark and color variation issue face "/>
        <s v="FO008 to FO089 total time"/>
        <s v="FR101 Material short in ERP"/>
        <s v="heat mark and fume issue is major"/>
        <s v="Heat mark and thickness issue faced, adjust the heating core after that issue resolved."/>
        <s v="Hood (FO130) production loss cavity no.02 sticking problem."/>
        <s v="Hood (FO130) production loss cavity no.02 sticking problem.mold unload due to under maintenance."/>
        <s v="Job Changeover in FO116 and Lunch Break"/>
        <s v="Kpp-4 thickness Major issue "/>
        <s v="KPP-8 Blow mold changeover and load RPP-8 Blow mold, during set up face scratch mark issue"/>
        <s v="Laser machine chuck open and closing issue machine under maintenance."/>
        <s v="Laser machine start in 3:00 pm 60 min loss due to machine setup . Laser marking start Lot.No(HEH12BG22)"/>
        <s v="Lip cavity cleaning done"/>
        <s v="Lot qty pending , 300 pcs punched handover to next shift"/>
        <s v="Lot qty pending , 500 pcs punched handover to next shift"/>
        <s v="Machine start after heat test pass , scratch mark isuue so polishing done , at 5 am water lekage happen from pu tube of inj MTC."/>
        <s v="Machine start after heat test pass , thickness issue coming so adjut parameters but no major improvement coming after that change inj core cooling pipe fan type to round and againe sample given for heat test , heat test result is fail 3 time."/>
        <s v="machine startup and middle plate cleaning "/>
        <s v="machine stop 4 time to cleane lip cavity due to fume issue."/>
        <s v="Machine stop due to center hole reading issue total loss time 60 min."/>
        <s v="Machine stop due to mold unload (mould maintenance) ."/>
        <s v="Man power going to pick up silicon drum inside ware house."/>
        <s v="Material change Export to Domestic and mold cleaning"/>
        <s v="Material change over Pale blue to white due to Pale Blue cap plan completed"/>
        <s v="Material drum change over and middle plate and back plate cleane 2 time due to bubble and deformation issue"/>
        <s v="Material drum change over and middle plate cleane"/>
        <s v="Material short "/>
        <s v="Material short from postcure stage"/>
        <s v="Material short in ERP."/>
        <s v="Material short in laser stage."/>
        <s v="Material short in punching stage"/>
        <s v="Mold start up after PM , Set up rejection high due to hood sticking at core side "/>
        <s v="Monthly plan completed"/>
        <s v="New manpower on machine"/>
        <s v="Nipple sticking at cavity due to polishing done during this preventive maintenance"/>
        <s v="Plan complete as per material availability"/>
        <s v="Plan completed"/>
        <s v="Plan completed as per material availibility"/>
        <s v="Plan completed sku change FO144 to FO145"/>
        <s v="Plan completed so material change in BLUE ."/>
        <s v="Process start-up"/>
        <s v="Production loss due to 3-no cavity dent mark issue loss time 60 min."/>
        <s v="Production loss due to LL size cautting issue."/>
        <s v="Production loss due to middle plate and back plate cleaning."/>
        <s v="Production loss due to wrapping film poly open and poly fold (Nipple Fold)  issue total loss time 80 min."/>
        <s v="Production plan completed setup rejection high due to flow mark issue."/>
        <s v="Punching machine stop due to MP absent."/>
        <s v="Rejection inctease after filter clening due to Dust ."/>
        <s v="Rejection qty haigh due to wrapping film poly open and poly fold (Nipple Fold)  issue."/>
        <s v="RUNNER WASTAGE BOOKED 13.688960 KG"/>
        <s v="RUNNER WASTAGE BOOKEd(24.6886kg)"/>
        <s v="Runner wastage booked(28.636440kg)"/>
        <s v="Scale 240 ml shaddow issue screen changeover total loss time 120 min."/>
        <s v="Scratch issue and flow mark major issue"/>
        <s v="set up after middle plate cleaning"/>
        <s v="Set up and line rejection high in kpp4 due to reslove the thickness issue "/>
        <s v="Set up rejection high due to thread going insde the barrel during feed the material."/>
        <s v="Setup rejection high due 240 ml bottle yestraday 03 time heat test fail and thickness issue problem coming in bottle ."/>
        <s v="Silicon duram change loss time 40 min. "/>
        <s v="SKU change   FO052(pink) to FO054 (blue) after heat test pass start machine, Flow mark,contamination and colour varition issue ."/>
        <s v="SKU change FO011 (S SIZE)  TO FO148 (LL SIZE)"/>
        <s v="SKU change FO058 TO FO056"/>
        <s v="SKU Change FO150 (LL SIZE) TO FO021 (L SIZE)"/>
        <s v="SKU Change from &quot;M&quot; size to &quot;S&quot; size."/>
        <s v="SKU change from FO142 to FO143"/>
        <s v="Sku change LL Size to L size in shift A. and mold loaded after PM and mold Start up"/>
        <s v="SKU change over FO007 to Fo008"/>
        <s v="SKU change over FO048 to FO113 total loss time 220 min ."/>
        <s v="SKU change over FO113 to FO048 total loss time 80 min ."/>
        <s v="SKU changeover FO008 TO FO088 and fo088 to fo117."/>
        <s v="SKU changeover FO089 to FO008 total time 80 min and pigeon logo whaiteness .issue and print cat problem."/>
        <s v="Start-up and machine start after heat test result"/>
        <s v="String is major issue "/>
        <s v="Thickness issue coming "/>
        <s v="Thickness issue coming and heat test fail."/>
        <s v="Time loss due to heating stability"/>
        <m/>
      </sharedItems>
    </cacheField>
    <cacheField name="Lunch Tea break" numFmtId="0">
      <sharedItems containsString="0" containsBlank="1" containsNumber="1" containsInteger="1" minValue="0" maxValue="50" count="7">
        <n v="0"/>
        <n v="10"/>
        <n v="20"/>
        <n v="30"/>
        <n v="40"/>
        <n v="50"/>
        <m/>
      </sharedItems>
    </cacheField>
    <cacheField name="SKU change" numFmtId="0">
      <sharedItems containsString="0" containsBlank="1" containsNumber="1" containsInteger="1" minValue="0" maxValue="140" count="16">
        <n v="0"/>
        <n v="15"/>
        <n v="20"/>
        <n v="25"/>
        <n v="30"/>
        <n v="40"/>
        <n v="45"/>
        <n v="50"/>
        <n v="60"/>
        <n v="70"/>
        <n v="80"/>
        <n v="90"/>
        <n v="100"/>
        <n v="120"/>
        <n v="140"/>
        <m/>
      </sharedItems>
    </cacheField>
    <cacheField name="Heat Test" numFmtId="0">
      <sharedItems containsString="0" containsBlank="1" containsNumber="1" containsInteger="1" minValue="0" maxValue="190" count="8">
        <n v="0"/>
        <n v="60"/>
        <n v="80"/>
        <n v="90"/>
        <n v="120"/>
        <n v="150"/>
        <n v="190"/>
        <m/>
      </sharedItems>
    </cacheField>
    <cacheField name="MATERIAL SHORT/MATERIAL RECHECKING" numFmtId="0">
      <sharedItems containsString="0" containsBlank="1" containsNumber="1" containsInteger="1" minValue="0" maxValue="200" count="8">
        <n v="0"/>
        <n v="30"/>
        <n v="40"/>
        <n v="60"/>
        <n v="90"/>
        <n v="120"/>
        <n v="200"/>
        <m/>
      </sharedItems>
    </cacheField>
    <cacheField name="MP SHORT/NEW MP" numFmtId="0">
      <sharedItems containsString="0" containsBlank="1" containsNumber="1" containsInteger="1" minValue="0" maxValue="120" count="5">
        <n v="0"/>
        <n v="10"/>
        <n v="20"/>
        <n v="120"/>
        <m/>
      </sharedItems>
    </cacheField>
    <cacheField name="MIDDLE PLATE AND BACK PLATE CLEANING" numFmtId="0">
      <sharedItems containsString="0" containsBlank="1" containsNumber="1" containsInteger="1" minValue="0" maxValue="120" count="9">
        <n v="0"/>
        <n v="25"/>
        <n v="30"/>
        <n v="35"/>
        <n v="45"/>
        <n v="50"/>
        <n v="60"/>
        <n v="120"/>
        <m/>
      </sharedItems>
    </cacheField>
    <cacheField name="PROCESS SET UP" numFmtId="0">
      <sharedItems containsString="0" containsBlank="1" containsNumber="1" containsInteger="1" minValue="0" maxValue="150" count="12">
        <n v="0"/>
        <n v="15"/>
        <n v="20"/>
        <n v="30"/>
        <n v="40"/>
        <n v="45"/>
        <n v="50"/>
        <n v="60"/>
        <n v="70"/>
        <n v="120"/>
        <n v="150"/>
        <m/>
      </sharedItems>
    </cacheField>
    <cacheField name="Process optimization" numFmtId="0">
      <sharedItems containsString="0" containsBlank="1" containsNumber="1" containsInteger="1" minValue="0" maxValue="70" count="10">
        <n v="0"/>
        <n v="9"/>
        <n v="15"/>
        <n v="20"/>
        <n v="30"/>
        <n v="32"/>
        <n v="45"/>
        <n v="60"/>
        <n v="70"/>
        <m/>
      </sharedItems>
    </cacheField>
    <cacheField name="Drum change" numFmtId="0">
      <sharedItems containsString="0" containsBlank="1" containsNumber="1" containsInteger="1" minValue="0" maxValue="50" count="5">
        <n v="0"/>
        <n v="20"/>
        <n v="45"/>
        <n v="50"/>
        <m/>
      </sharedItems>
    </cacheField>
    <cacheField name="Dust Problem" numFmtId="0">
      <sharedItems containsString="0" containsBlank="1" containsNumber="1" containsInteger="1" minValue="0" maxValue="0" count="2">
        <n v="0"/>
        <m/>
      </sharedItems>
    </cacheField>
    <cacheField name="Mold &amp; Filter cleaning " numFmtId="0">
      <sharedItems containsString="0" containsBlank="1" containsNumber="1" containsInteger="1" minValue="0" maxValue="45" count="5">
        <n v="0"/>
        <n v="20"/>
        <n v="30"/>
        <n v="45"/>
        <m/>
      </sharedItems>
    </cacheField>
    <cacheField name="Trial" numFmtId="0">
      <sharedItems containsString="0" containsBlank="1" containsNumber="1" containsInteger="1" minValue="0" maxValue="30" count="3">
        <n v="0"/>
        <n v="30"/>
        <m/>
      </sharedItems>
    </cacheField>
    <cacheField name="Heating ON/OFF" numFmtId="0">
      <sharedItems containsString="0" containsBlank="1" containsNumber="1" containsInteger="1" minValue="0" maxValue="150" count="11">
        <n v="0"/>
        <n v="20"/>
        <n v="30"/>
        <n v="40"/>
        <n v="45"/>
        <n v="60"/>
        <n v="80"/>
        <n v="90"/>
        <n v="120"/>
        <n v="150"/>
        <m/>
      </sharedItems>
    </cacheField>
    <cacheField name="Oil Temp High Issue" numFmtId="0">
      <sharedItems containsString="0" containsBlank="1" containsNumber="1" containsInteger="1" minValue="0" maxValue="0" count="2">
        <n v="0"/>
        <m/>
      </sharedItems>
    </cacheField>
    <cacheField name="printed Bottle cleaning" numFmtId="0">
      <sharedItems containsString="0" containsBlank="1" containsNumber="1" containsInteger="1" minValue="0" maxValue="0" count="2">
        <n v="0"/>
        <m/>
      </sharedItems>
    </cacheField>
    <cacheField name="No Plan" numFmtId="0">
      <sharedItems containsString="0" containsBlank="1" containsNumber="1" containsInteger="1" minValue="0" maxValue="0" count="2">
        <n v="0"/>
        <m/>
      </sharedItems>
    </cacheField>
    <cacheField name="Silicon cutting issue" numFmtId="0">
      <sharedItems containsString="0" containsBlank="1" containsNumber="1" containsInteger="1" minValue="0" maxValue="60" count="4">
        <n v="0"/>
        <n v="30"/>
        <n v="60"/>
        <m/>
      </sharedItems>
    </cacheField>
    <cacheField name="Trainings/Medical Checkup " numFmtId="0">
      <sharedItems containsString="0" containsBlank="1" containsNumber="1" containsInteger="1" minValue="0" maxValue="0" count="2">
        <n v="0"/>
        <m/>
      </sharedItems>
    </cacheField>
    <cacheField name="Cavity stopped" numFmtId="0">
      <sharedItems containsString="0" containsBlank="1" containsNumber="1" containsInteger="1" minValue="0" maxValue="0" count="2">
        <n v="0"/>
        <m/>
      </sharedItems>
    </cacheField>
    <cacheField name="Auxiliary issue" numFmtId="0">
      <sharedItems containsString="0" containsBlank="1" containsNumber="1" containsInteger="1" minValue="0" maxValue="0" count="2">
        <n v="0"/>
        <m/>
      </sharedItems>
    </cacheField>
    <cacheField name="Manual hole checking " numFmtId="0">
      <sharedItems containsString="0" containsBlank="1" containsNumber="1" containsInteger="1" minValue="0" maxValue="0" count="2">
        <n v="0"/>
        <m/>
      </sharedItems>
    </cacheField>
    <cacheField name="Machine/Mould  issue" numFmtId="0">
      <sharedItems containsString="0" containsBlank="1" containsNumber="1" containsInteger="1" minValue="0" maxValue="240" count="6">
        <n v="0"/>
        <n v="30"/>
        <n v="50"/>
        <n v="160"/>
        <n v="240"/>
        <m/>
      </sharedItems>
    </cacheField>
    <cacheField name="Pin die damage/Change" numFmtId="0">
      <sharedItems containsString="0" containsBlank="1" containsNumber="1" containsInteger="1" minValue="0" maxValue="0" count="2">
        <n v="0"/>
        <m/>
      </sharedItems>
    </cacheField>
    <cacheField name="Material changeover" numFmtId="0">
      <sharedItems containsString="0" containsBlank="1" containsNumber="1" containsInteger="1" minValue="0" maxValue="45" count="4">
        <n v="0"/>
        <n v="20"/>
        <n v="45"/>
        <m/>
      </sharedItems>
    </cacheField>
    <cacheField name="Heater tip cleaning" numFmtId="0">
      <sharedItems containsString="0" containsBlank="1" containsNumber="1" containsInteger="1" minValue="0" maxValue="0" count="2">
        <n v="0"/>
        <m/>
      </sharedItems>
    </cacheField>
    <cacheField name="ISI PRINTING" numFmtId="0">
      <sharedItems containsString="0" containsBlank="1" containsNumber="1" containsInteger="1" minValue="0" maxValue="0" count="2">
        <n v="0"/>
        <m/>
      </sharedItems>
    </cacheField>
    <cacheField name="Roll change" numFmtId="0">
      <sharedItems containsString="0" containsBlank="1" containsNumber="1" containsInteger="1" minValue="0" maxValue="0" count="2">
        <n v="0"/>
        <m/>
      </sharedItems>
    </cacheField>
    <cacheField name="Pin/die cleaning" numFmtId="0">
      <sharedItems containsString="0" containsBlank="1" containsNumber="1" containsInteger="1" minValue="0" maxValue="30" count="4">
        <n v="0"/>
        <n v="20"/>
        <n v="30"/>
        <m/>
      </sharedItems>
    </cacheField>
    <cacheField name="Total Braekdown Hrs" numFmtId="0">
      <sharedItems containsString="0" containsBlank="1" containsNumber="1" minValue="0" maxValue="5.16666666666667" count="35">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m/>
      </sharedItems>
    </cacheField>
    <cacheField name="Total Braekdown Hrs2" numFmtId="0">
      <sharedItems containsString="0" containsBlank="1" containsNumber="1" minValue="0" maxValue="5.25277777777778" count="35">
        <n v="0"/>
        <n v="0.1525"/>
        <n v="0.169444444444444"/>
        <n v="0.338888888888889"/>
        <n v="0.423611111111111"/>
        <n v="0.508333333333333"/>
        <n v="0.593055555555556"/>
        <n v="0.677777777777778"/>
        <n v="0.7625"/>
        <n v="0.847222222222222"/>
        <n v="0.931944444444444"/>
        <n v="1.01666666666667"/>
        <n v="1.18611111111111"/>
        <n v="1.27083333333333"/>
        <n v="1.30472222222222"/>
        <n v="1.35555555555556"/>
        <n v="1.525"/>
        <n v="1.69444444444444"/>
        <n v="1.77916666666667"/>
        <n v="1.86388888888889"/>
        <n v="2.03333333333333"/>
        <n v="2.20277777777778"/>
        <n v="2.54166666666667"/>
        <n v="2.71111111111111"/>
        <n v="2.88055555555555"/>
        <n v="3.05"/>
        <n v="3.38888888888889"/>
        <n v="3.89722222222222"/>
        <n v="4.06666666666667"/>
        <n v="4.15138888888889"/>
        <n v="4.575"/>
        <n v="4.74444444444444"/>
        <n v="5.08333333333333"/>
        <n v="5.25277777777778"/>
        <m/>
      </sharedItems>
    </cacheField>
  </cacheFields>
</pivotCacheDefinition>
</file>

<file path=xl/pivotCache/pivotCacheRecords1.xml><?xml version="1.0" encoding="utf-8"?>
<pivotCacheRecords xmlns="http://schemas.openxmlformats.org/spreadsheetml/2006/main" xmlns:r="http://schemas.openxmlformats.org/officeDocument/2006/relationships" count="1509">
  <r>
    <x v="0"/>
    <x v="0"/>
    <x v="3"/>
    <x v="5"/>
    <x v="11"/>
    <x v="7"/>
    <x v="7"/>
    <x v="39"/>
    <x v="648"/>
    <x v="5"/>
    <x v="42"/>
    <x v="163"/>
    <x v="124"/>
    <x v="870"/>
    <x v="286"/>
    <x v="42"/>
    <x v="115"/>
    <x v="0"/>
    <x v="0"/>
    <x v="108"/>
    <x v="5"/>
    <x v="0"/>
    <x v="369"/>
    <x v="300"/>
    <x v="44"/>
    <x v="1"/>
    <x v="507"/>
    <x v="7"/>
    <x v="735"/>
    <x v="478"/>
    <x v="158"/>
    <x v="14"/>
    <x v="91"/>
    <x v="102"/>
    <x v="231"/>
    <x v="4"/>
    <x v="438"/>
    <x v="300"/>
    <x v="383"/>
  </r>
  <r>
    <x v="0"/>
    <x v="0"/>
    <x v="3"/>
    <x v="0"/>
    <x v="3"/>
    <x v="1"/>
    <x v="0"/>
    <x v="57"/>
    <x v="22"/>
    <x v="5"/>
    <x v="42"/>
    <x v="107"/>
    <x v="29"/>
    <x v="214"/>
    <x v="148"/>
    <x v="12"/>
    <x v="95"/>
    <x v="0"/>
    <x v="0"/>
    <x v="40"/>
    <x v="3"/>
    <x v="0"/>
    <x v="227"/>
    <x v="242"/>
    <x v="38"/>
    <x v="5"/>
    <x v="535"/>
    <x v="52"/>
    <x v="613"/>
    <x v="462"/>
    <x v="222"/>
    <x v="31"/>
    <x v="70"/>
    <x v="55"/>
    <x v="63"/>
    <x v="6"/>
    <x v="582"/>
    <x v="465"/>
    <x v="234"/>
  </r>
  <r>
    <x v="0"/>
    <x v="0"/>
    <x v="3"/>
    <x v="6"/>
    <x v="15"/>
    <x v="11"/>
    <x v="11"/>
    <x v="40"/>
    <x v="649"/>
    <x v="5"/>
    <x v="20"/>
    <x v="121"/>
    <x v="170"/>
    <x v="272"/>
    <x v="192"/>
    <x v="0"/>
    <x v="0"/>
    <x v="0"/>
    <x v="0"/>
    <x v="0"/>
    <x v="0"/>
    <x v="0"/>
    <x v="275"/>
    <x v="363"/>
    <x v="6"/>
    <x v="0"/>
    <x v="0"/>
    <x v="646"/>
    <x v="0"/>
    <x v="0"/>
    <x v="958"/>
    <x v="14"/>
    <x v="29"/>
    <x v="54"/>
    <x v="450"/>
    <x v="0"/>
    <x v="63"/>
    <x v="308"/>
    <x v="179"/>
  </r>
  <r>
    <x v="0"/>
    <x v="0"/>
    <x v="5"/>
    <x v="5"/>
    <x v="11"/>
    <x v="7"/>
    <x v="7"/>
    <x v="39"/>
    <x v="651"/>
    <x v="1"/>
    <x v="42"/>
    <x v="163"/>
    <x v="124"/>
    <x v="631"/>
    <x v="302"/>
    <x v="76"/>
    <x v="49"/>
    <x v="0"/>
    <x v="0"/>
    <x v="80"/>
    <x v="3"/>
    <x v="0"/>
    <x v="383"/>
    <x v="419"/>
    <x v="44"/>
    <x v="1"/>
    <x v="452"/>
    <x v="20"/>
    <x v="596"/>
    <x v="239"/>
    <x v="228"/>
    <x v="11"/>
    <x v="95"/>
    <x v="112"/>
    <x v="270"/>
    <x v="4"/>
    <x v="414"/>
    <x v="391"/>
    <x v="518"/>
  </r>
  <r>
    <x v="0"/>
    <x v="0"/>
    <x v="5"/>
    <x v="0"/>
    <x v="3"/>
    <x v="1"/>
    <x v="0"/>
    <x v="57"/>
    <x v="23"/>
    <x v="1"/>
    <x v="42"/>
    <x v="102"/>
    <x v="21"/>
    <x v="387"/>
    <x v="213"/>
    <x v="0"/>
    <x v="12"/>
    <x v="0"/>
    <x v="0"/>
    <x v="36"/>
    <x v="3"/>
    <x v="0"/>
    <x v="299"/>
    <x v="732"/>
    <x v="38"/>
    <x v="5"/>
    <x v="594"/>
    <x v="385"/>
    <x v="416"/>
    <x v="87"/>
    <x v="458"/>
    <x v="5"/>
    <x v="100"/>
    <x v="127"/>
    <x v="126"/>
    <x v="6"/>
    <x v="559"/>
    <x v="565"/>
    <x v="973"/>
  </r>
  <r>
    <x v="0"/>
    <x v="1"/>
    <x v="2"/>
    <x v="7"/>
    <x v="19"/>
    <x v="11"/>
    <x v="11"/>
    <x v="41"/>
    <x v="650"/>
    <x v="2"/>
    <x v="42"/>
    <x v="185"/>
    <x v="158"/>
    <x v="272"/>
    <x v="191"/>
    <x v="0"/>
    <x v="0"/>
    <x v="0"/>
    <x v="0"/>
    <x v="3"/>
    <x v="0"/>
    <x v="0"/>
    <x v="274"/>
    <x v="26"/>
    <x v="10"/>
    <x v="0"/>
    <x v="0"/>
    <x v="646"/>
    <x v="64"/>
    <x v="0"/>
    <x v="879"/>
    <x v="47"/>
    <x v="48"/>
    <x v="22"/>
    <x v="103"/>
    <x v="2"/>
    <x v="338"/>
    <x v="116"/>
    <x v="38"/>
  </r>
  <r>
    <x v="0"/>
    <x v="1"/>
    <x v="2"/>
    <x v="0"/>
    <x v="3"/>
    <x v="1"/>
    <x v="0"/>
    <x v="57"/>
    <x v="25"/>
    <x v="2"/>
    <x v="42"/>
    <x v="107"/>
    <x v="29"/>
    <x v="348"/>
    <x v="205"/>
    <x v="20"/>
    <x v="47"/>
    <x v="0"/>
    <x v="0"/>
    <x v="52"/>
    <x v="3"/>
    <x v="0"/>
    <x v="290"/>
    <x v="698"/>
    <x v="38"/>
    <x v="5"/>
    <x v="584"/>
    <x v="191"/>
    <x v="595"/>
    <x v="320"/>
    <x v="230"/>
    <x v="0"/>
    <x v="102"/>
    <x v="130"/>
    <x v="115"/>
    <x v="6"/>
    <x v="589"/>
    <x v="414"/>
    <x v="789"/>
  </r>
  <r>
    <x v="0"/>
    <x v="1"/>
    <x v="2"/>
    <x v="5"/>
    <x v="11"/>
    <x v="7"/>
    <x v="7"/>
    <x v="39"/>
    <x v="648"/>
    <x v="2"/>
    <x v="42"/>
    <x v="163"/>
    <x v="124"/>
    <x v="596"/>
    <x v="292"/>
    <x v="0"/>
    <x v="73"/>
    <x v="0"/>
    <x v="0"/>
    <x v="60"/>
    <x v="3"/>
    <x v="0"/>
    <x v="373"/>
    <x v="347"/>
    <x v="44"/>
    <x v="1"/>
    <x v="258"/>
    <x v="237"/>
    <x v="502"/>
    <x v="334"/>
    <x v="353"/>
    <x v="14"/>
    <x v="91"/>
    <x v="102"/>
    <x v="247"/>
    <x v="4"/>
    <x v="419"/>
    <x v="374"/>
    <x v="437"/>
  </r>
  <r>
    <x v="0"/>
    <x v="1"/>
    <x v="3"/>
    <x v="6"/>
    <x v="15"/>
    <x v="11"/>
    <x v="11"/>
    <x v="40"/>
    <x v="653"/>
    <x v="5"/>
    <x v="42"/>
    <x v="218"/>
    <x v="197"/>
    <x v="968"/>
    <x v="512"/>
    <x v="0"/>
    <x v="0"/>
    <x v="0"/>
    <x v="0"/>
    <x v="0"/>
    <x v="0"/>
    <x v="0"/>
    <x v="592"/>
    <x v="466"/>
    <x v="6"/>
    <x v="0"/>
    <x v="0"/>
    <x v="646"/>
    <x v="0"/>
    <x v="0"/>
    <x v="958"/>
    <x v="9"/>
    <x v="97"/>
    <x v="117"/>
    <x v="535"/>
    <x v="0"/>
    <x v="33"/>
    <x v="609"/>
    <x v="994"/>
  </r>
  <r>
    <x v="0"/>
    <x v="1"/>
    <x v="3"/>
    <x v="5"/>
    <x v="11"/>
    <x v="7"/>
    <x v="7"/>
    <x v="39"/>
    <x v="655"/>
    <x v="5"/>
    <x v="42"/>
    <x v="163"/>
    <x v="124"/>
    <x v="691"/>
    <x v="327"/>
    <x v="12"/>
    <x v="50"/>
    <x v="0"/>
    <x v="0"/>
    <x v="57"/>
    <x v="0"/>
    <x v="0"/>
    <x v="403"/>
    <x v="551"/>
    <x v="44"/>
    <x v="1"/>
    <x v="328"/>
    <x v="283"/>
    <x v="425"/>
    <x v="233"/>
    <x v="444"/>
    <x v="0"/>
    <x v="102"/>
    <x v="130"/>
    <x v="300"/>
    <x v="4"/>
    <x v="432"/>
    <x v="329"/>
    <x v="684"/>
  </r>
  <r>
    <x v="0"/>
    <x v="1"/>
    <x v="3"/>
    <x v="0"/>
    <x v="3"/>
    <x v="4"/>
    <x v="0"/>
    <x v="57"/>
    <x v="28"/>
    <x v="5"/>
    <x v="42"/>
    <x v="107"/>
    <x v="29"/>
    <x v="263"/>
    <x v="183"/>
    <x v="17"/>
    <x v="28"/>
    <x v="0"/>
    <x v="0"/>
    <x v="51"/>
    <x v="0"/>
    <x v="0"/>
    <x v="266"/>
    <x v="565"/>
    <x v="38"/>
    <x v="5"/>
    <x v="553"/>
    <x v="228"/>
    <x v="618"/>
    <x v="254"/>
    <x v="199"/>
    <x v="0"/>
    <x v="102"/>
    <x v="130"/>
    <x v="93"/>
    <x v="6"/>
    <x v="615"/>
    <x v="194"/>
    <x v="474"/>
  </r>
  <r>
    <x v="0"/>
    <x v="1"/>
    <x v="3"/>
    <x v="7"/>
    <x v="19"/>
    <x v="11"/>
    <x v="10"/>
    <x v="41"/>
    <x v="652"/>
    <x v="5"/>
    <x v="24"/>
    <x v="134"/>
    <x v="158"/>
    <x v="352"/>
    <x v="209"/>
    <x v="0"/>
    <x v="0"/>
    <x v="0"/>
    <x v="0"/>
    <x v="0"/>
    <x v="0"/>
    <x v="0"/>
    <x v="295"/>
    <x v="316"/>
    <x v="10"/>
    <x v="0"/>
    <x v="0"/>
    <x v="646"/>
    <x v="0"/>
    <x v="0"/>
    <x v="958"/>
    <x v="9"/>
    <x v="47"/>
    <x v="89"/>
    <x v="373"/>
    <x v="2"/>
    <x v="223"/>
    <x v="369"/>
    <x v="392"/>
  </r>
  <r>
    <x v="0"/>
    <x v="1"/>
    <x v="5"/>
    <x v="0"/>
    <x v="3"/>
    <x v="4"/>
    <x v="0"/>
    <x v="57"/>
    <x v="30"/>
    <x v="1"/>
    <x v="42"/>
    <x v="107"/>
    <x v="29"/>
    <x v="384"/>
    <x v="213"/>
    <x v="0"/>
    <x v="12"/>
    <x v="0"/>
    <x v="0"/>
    <x v="29"/>
    <x v="3"/>
    <x v="0"/>
    <x v="299"/>
    <x v="723"/>
    <x v="38"/>
    <x v="5"/>
    <x v="592"/>
    <x v="410"/>
    <x v="336"/>
    <x v="89"/>
    <x v="557"/>
    <x v="0"/>
    <x v="102"/>
    <x v="130"/>
    <x v="126"/>
    <x v="6"/>
    <x v="570"/>
    <x v="511"/>
    <x v="975"/>
  </r>
  <r>
    <x v="0"/>
    <x v="1"/>
    <x v="5"/>
    <x v="5"/>
    <x v="11"/>
    <x v="7"/>
    <x v="7"/>
    <x v="39"/>
    <x v="658"/>
    <x v="1"/>
    <x v="42"/>
    <x v="163"/>
    <x v="124"/>
    <x v="775"/>
    <x v="349"/>
    <x v="0"/>
    <x v="15"/>
    <x v="0"/>
    <x v="0"/>
    <x v="51"/>
    <x v="3"/>
    <x v="0"/>
    <x v="417"/>
    <x v="643"/>
    <x v="44"/>
    <x v="1"/>
    <x v="392"/>
    <x v="445"/>
    <x v="354"/>
    <x v="38"/>
    <x v="533"/>
    <x v="0"/>
    <x v="102"/>
    <x v="130"/>
    <x v="325"/>
    <x v="4"/>
    <x v="396"/>
    <x v="471"/>
    <x v="902"/>
  </r>
  <r>
    <x v="0"/>
    <x v="2"/>
    <x v="2"/>
    <x v="7"/>
    <x v="19"/>
    <x v="11"/>
    <x v="11"/>
    <x v="41"/>
    <x v="654"/>
    <x v="2"/>
    <x v="42"/>
    <x v="185"/>
    <x v="158"/>
    <x v="865"/>
    <x v="396"/>
    <x v="0"/>
    <x v="0"/>
    <x v="0"/>
    <x v="0"/>
    <x v="4"/>
    <x v="0"/>
    <x v="0"/>
    <x v="465"/>
    <x v="330"/>
    <x v="10"/>
    <x v="0"/>
    <x v="0"/>
    <x v="646"/>
    <x v="33"/>
    <x v="0"/>
    <x v="919"/>
    <x v="16"/>
    <x v="89"/>
    <x v="95"/>
    <x v="378"/>
    <x v="2"/>
    <x v="229"/>
    <x v="354"/>
    <x v="405"/>
  </r>
  <r>
    <x v="0"/>
    <x v="2"/>
    <x v="2"/>
    <x v="0"/>
    <x v="3"/>
    <x v="1"/>
    <x v="0"/>
    <x v="57"/>
    <x v="31"/>
    <x v="2"/>
    <x v="42"/>
    <x v="107"/>
    <x v="29"/>
    <x v="267"/>
    <x v="183"/>
    <x v="0"/>
    <x v="32"/>
    <x v="0"/>
    <x v="0"/>
    <x v="58"/>
    <x v="3"/>
    <x v="0"/>
    <x v="266"/>
    <x v="565"/>
    <x v="38"/>
    <x v="5"/>
    <x v="554"/>
    <x v="208"/>
    <x v="656"/>
    <x v="286"/>
    <x v="144"/>
    <x v="7"/>
    <x v="99"/>
    <x v="122"/>
    <x v="93"/>
    <x v="6"/>
    <x v="601"/>
    <x v="295"/>
    <x v="469"/>
  </r>
  <r>
    <x v="0"/>
    <x v="2"/>
    <x v="2"/>
    <x v="5"/>
    <x v="11"/>
    <x v="7"/>
    <x v="7"/>
    <x v="39"/>
    <x v="660"/>
    <x v="2"/>
    <x v="42"/>
    <x v="163"/>
    <x v="124"/>
    <x v="816"/>
    <x v="356"/>
    <x v="0"/>
    <x v="22"/>
    <x v="0"/>
    <x v="0"/>
    <x v="42"/>
    <x v="3"/>
    <x v="0"/>
    <x v="423"/>
    <x v="678"/>
    <x v="44"/>
    <x v="1"/>
    <x v="424"/>
    <x v="453"/>
    <x v="299"/>
    <x v="54"/>
    <x v="605"/>
    <x v="0"/>
    <x v="102"/>
    <x v="130"/>
    <x v="335"/>
    <x v="4"/>
    <x v="381"/>
    <x v="521"/>
    <x v="990"/>
  </r>
  <r>
    <x v="0"/>
    <x v="2"/>
    <x v="6"/>
    <x v="8"/>
    <x v="61"/>
    <x v="11"/>
    <x v="19"/>
    <x v="42"/>
    <x v="650"/>
    <x v="6"/>
    <x v="43"/>
    <x v="202"/>
    <x v="174"/>
    <x v="925"/>
    <x v="464"/>
    <x v="0"/>
    <x v="0"/>
    <x v="0"/>
    <x v="0"/>
    <x v="33"/>
    <x v="0"/>
    <x v="0"/>
    <x v="561"/>
    <x v="465"/>
    <x v="26"/>
    <x v="0"/>
    <x v="0"/>
    <x v="646"/>
    <x v="176"/>
    <x v="0"/>
    <x v="739"/>
    <x v="25"/>
    <x v="84"/>
    <x v="75"/>
    <x v="471"/>
    <x v="3"/>
    <x v="75"/>
    <x v="715"/>
    <x v="1131"/>
  </r>
  <r>
    <x v="0"/>
    <x v="2"/>
    <x v="3"/>
    <x v="0"/>
    <x v="3"/>
    <x v="4"/>
    <x v="0"/>
    <x v="57"/>
    <x v="33"/>
    <x v="5"/>
    <x v="20"/>
    <x v="66"/>
    <x v="109"/>
    <x v="89"/>
    <x v="66"/>
    <x v="21"/>
    <x v="60"/>
    <x v="0"/>
    <x v="0"/>
    <x v="34"/>
    <x v="0"/>
    <x v="0"/>
    <x v="155"/>
    <x v="129"/>
    <x v="38"/>
    <x v="5"/>
    <x v="149"/>
    <x v="49"/>
    <x v="737"/>
    <x v="456"/>
    <x v="46"/>
    <x v="0"/>
    <x v="42"/>
    <x v="130"/>
    <x v="105"/>
    <x v="6"/>
    <x v="601"/>
    <x v="295"/>
    <x v="592"/>
  </r>
  <r>
    <x v="0"/>
    <x v="2"/>
    <x v="3"/>
    <x v="7"/>
    <x v="19"/>
    <x v="11"/>
    <x v="10"/>
    <x v="41"/>
    <x v="657"/>
    <x v="5"/>
    <x v="42"/>
    <x v="185"/>
    <x v="158"/>
    <x v="905"/>
    <x v="441"/>
    <x v="0"/>
    <x v="0"/>
    <x v="0"/>
    <x v="0"/>
    <x v="20"/>
    <x v="0"/>
    <x v="0"/>
    <x v="526"/>
    <x v="568"/>
    <x v="10"/>
    <x v="0"/>
    <x v="0"/>
    <x v="646"/>
    <x v="141"/>
    <x v="0"/>
    <x v="778"/>
    <x v="9"/>
    <x v="97"/>
    <x v="117"/>
    <x v="447"/>
    <x v="2"/>
    <x v="167"/>
    <x v="463"/>
    <x v="657"/>
  </r>
  <r>
    <x v="0"/>
    <x v="2"/>
    <x v="3"/>
    <x v="6"/>
    <x v="15"/>
    <x v="11"/>
    <x v="11"/>
    <x v="40"/>
    <x v="656"/>
    <x v="5"/>
    <x v="42"/>
    <x v="221"/>
    <x v="207"/>
    <x v="986"/>
    <x v="534"/>
    <x v="0"/>
    <x v="0"/>
    <x v="0"/>
    <x v="0"/>
    <x v="0"/>
    <x v="0"/>
    <x v="0"/>
    <x v="600"/>
    <x v="466"/>
    <x v="6"/>
    <x v="0"/>
    <x v="0"/>
    <x v="646"/>
    <x v="0"/>
    <x v="0"/>
    <x v="958"/>
    <x v="0"/>
    <x v="102"/>
    <x v="130"/>
    <x v="565"/>
    <x v="0"/>
    <x v="29"/>
    <x v="620"/>
    <x v="1103"/>
  </r>
  <r>
    <x v="0"/>
    <x v="2"/>
    <x v="3"/>
    <x v="5"/>
    <x v="11"/>
    <x v="7"/>
    <x v="7"/>
    <x v="39"/>
    <x v="663"/>
    <x v="5"/>
    <x v="42"/>
    <x v="163"/>
    <x v="124"/>
    <x v="829"/>
    <x v="359"/>
    <x v="0"/>
    <x v="22"/>
    <x v="0"/>
    <x v="0"/>
    <x v="60"/>
    <x v="0"/>
    <x v="0"/>
    <x v="426"/>
    <x v="693"/>
    <x v="44"/>
    <x v="1"/>
    <x v="443"/>
    <x v="437"/>
    <x v="396"/>
    <x v="53"/>
    <x v="480"/>
    <x v="0"/>
    <x v="102"/>
    <x v="130"/>
    <x v="338"/>
    <x v="4"/>
    <x v="376"/>
    <x v="546"/>
    <x v="1003"/>
  </r>
  <r>
    <x v="0"/>
    <x v="2"/>
    <x v="5"/>
    <x v="0"/>
    <x v="3"/>
    <x v="4"/>
    <x v="0"/>
    <x v="57"/>
    <x v="34"/>
    <x v="1"/>
    <x v="34"/>
    <x v="83"/>
    <x v="35"/>
    <x v="203"/>
    <x v="148"/>
    <x v="26"/>
    <x v="51"/>
    <x v="0"/>
    <x v="0"/>
    <x v="42"/>
    <x v="3"/>
    <x v="0"/>
    <x v="227"/>
    <x v="605"/>
    <x v="38"/>
    <x v="5"/>
    <x v="529"/>
    <x v="116"/>
    <x v="626"/>
    <x v="395"/>
    <x v="194"/>
    <x v="7"/>
    <x v="70"/>
    <x v="117"/>
    <x v="105"/>
    <x v="6"/>
    <x v="582"/>
    <x v="465"/>
    <x v="611"/>
  </r>
  <r>
    <x v="0"/>
    <x v="2"/>
    <x v="5"/>
    <x v="5"/>
    <x v="11"/>
    <x v="7"/>
    <x v="7"/>
    <x v="39"/>
    <x v="667"/>
    <x v="1"/>
    <x v="42"/>
    <x v="163"/>
    <x v="124"/>
    <x v="831"/>
    <x v="363"/>
    <x v="0"/>
    <x v="9"/>
    <x v="0"/>
    <x v="0"/>
    <x v="58"/>
    <x v="3"/>
    <x v="0"/>
    <x v="432"/>
    <x v="702"/>
    <x v="44"/>
    <x v="1"/>
    <x v="450"/>
    <x v="456"/>
    <x v="379"/>
    <x v="21"/>
    <x v="503"/>
    <x v="0"/>
    <x v="102"/>
    <x v="130"/>
    <x v="345"/>
    <x v="4"/>
    <x v="367"/>
    <x v="566"/>
    <x v="1046"/>
  </r>
  <r>
    <x v="0"/>
    <x v="3"/>
    <x v="2"/>
    <x v="5"/>
    <x v="11"/>
    <x v="7"/>
    <x v="7"/>
    <x v="39"/>
    <x v="669"/>
    <x v="2"/>
    <x v="42"/>
    <x v="163"/>
    <x v="124"/>
    <x v="813"/>
    <x v="356"/>
    <x v="0"/>
    <x v="0"/>
    <x v="0"/>
    <x v="0"/>
    <x v="52"/>
    <x v="3"/>
    <x v="0"/>
    <x v="423"/>
    <x v="678"/>
    <x v="44"/>
    <x v="1"/>
    <x v="420"/>
    <x v="490"/>
    <x v="345"/>
    <x v="0"/>
    <x v="541"/>
    <x v="0"/>
    <x v="102"/>
    <x v="130"/>
    <x v="335"/>
    <x v="4"/>
    <x v="381"/>
    <x v="521"/>
    <x v="988"/>
  </r>
  <r>
    <x v="0"/>
    <x v="3"/>
    <x v="2"/>
    <x v="6"/>
    <x v="15"/>
    <x v="11"/>
    <x v="11"/>
    <x v="40"/>
    <x v="664"/>
    <x v="2"/>
    <x v="16"/>
    <x v="148"/>
    <x v="198"/>
    <x v="448"/>
    <x v="247"/>
    <x v="0"/>
    <x v="0"/>
    <x v="0"/>
    <x v="0"/>
    <x v="0"/>
    <x v="0"/>
    <x v="0"/>
    <x v="330"/>
    <x v="333"/>
    <x v="6"/>
    <x v="0"/>
    <x v="0"/>
    <x v="646"/>
    <x v="0"/>
    <x v="0"/>
    <x v="958"/>
    <x v="0"/>
    <x v="35"/>
    <x v="130"/>
    <x v="518"/>
    <x v="0"/>
    <x v="55"/>
    <x v="392"/>
    <x v="803"/>
  </r>
  <r>
    <x v="0"/>
    <x v="3"/>
    <x v="2"/>
    <x v="7"/>
    <x v="19"/>
    <x v="11"/>
    <x v="10"/>
    <x v="41"/>
    <x v="661"/>
    <x v="2"/>
    <x v="42"/>
    <x v="185"/>
    <x v="158"/>
    <x v="885"/>
    <x v="420"/>
    <x v="0"/>
    <x v="0"/>
    <x v="0"/>
    <x v="0"/>
    <x v="2"/>
    <x v="0"/>
    <x v="0"/>
    <x v="498"/>
    <x v="455"/>
    <x v="10"/>
    <x v="0"/>
    <x v="0"/>
    <x v="646"/>
    <x v="12"/>
    <x v="0"/>
    <x v="946"/>
    <x v="9"/>
    <x v="97"/>
    <x v="117"/>
    <x v="414"/>
    <x v="2"/>
    <x v="225"/>
    <x v="363"/>
    <x v="531"/>
  </r>
  <r>
    <x v="0"/>
    <x v="3"/>
    <x v="2"/>
    <x v="2"/>
    <x v="74"/>
    <x v="11"/>
    <x v="4"/>
    <x v="7"/>
    <x v="39"/>
    <x v="2"/>
    <x v="14"/>
    <x v="37"/>
    <x v="116"/>
    <x v="85"/>
    <x v="73"/>
    <x v="0"/>
    <x v="0"/>
    <x v="0"/>
    <x v="0"/>
    <x v="0"/>
    <x v="0"/>
    <x v="0"/>
    <x v="162"/>
    <x v="521"/>
    <x v="37"/>
    <x v="2"/>
    <x v="21"/>
    <x v="645"/>
    <x v="0"/>
    <x v="0"/>
    <x v="958"/>
    <x v="0"/>
    <x v="29"/>
    <x v="130"/>
    <x v="263"/>
    <x v="5"/>
    <x v="477"/>
    <x v="441"/>
    <x v="889"/>
  </r>
  <r>
    <x v="0"/>
    <x v="3"/>
    <x v="2"/>
    <x v="2"/>
    <x v="74"/>
    <x v="11"/>
    <x v="4"/>
    <x v="7"/>
    <x v="40"/>
    <x v="2"/>
    <x v="34"/>
    <x v="148"/>
    <x v="140"/>
    <x v="232"/>
    <x v="171"/>
    <x v="40"/>
    <x v="5"/>
    <x v="0"/>
    <x v="0"/>
    <x v="6"/>
    <x v="3"/>
    <x v="0"/>
    <x v="250"/>
    <x v="100"/>
    <x v="37"/>
    <x v="2"/>
    <x v="82"/>
    <x v="170"/>
    <x v="132"/>
    <x v="35"/>
    <x v="794"/>
    <x v="14"/>
    <x v="63"/>
    <x v="89"/>
    <x v="134"/>
    <x v="5"/>
    <x v="536"/>
    <x v="177"/>
    <x v="264"/>
  </r>
  <r>
    <x v="0"/>
    <x v="3"/>
    <x v="6"/>
    <x v="1"/>
    <x v="65"/>
    <x v="11"/>
    <x v="12"/>
    <x v="1"/>
    <x v="2"/>
    <x v="3"/>
    <x v="43"/>
    <x v="74"/>
    <x v="6"/>
    <x v="165"/>
    <x v="118"/>
    <x v="0"/>
    <x v="0"/>
    <x v="57"/>
    <x v="0"/>
    <x v="116"/>
    <x v="0"/>
    <x v="5"/>
    <x v="58"/>
    <x v="325"/>
    <x v="30"/>
    <x v="4"/>
    <x v="240"/>
    <x v="70"/>
    <x v="774"/>
    <x v="0"/>
    <x v="1"/>
    <x v="50"/>
    <x v="48"/>
    <x v="19"/>
    <x v="32"/>
    <x v="7"/>
    <x v="779"/>
    <x v="68"/>
    <x v="19"/>
  </r>
  <r>
    <x v="0"/>
    <x v="3"/>
    <x v="6"/>
    <x v="8"/>
    <x v="61"/>
    <x v="11"/>
    <x v="19"/>
    <x v="42"/>
    <x v="654"/>
    <x v="6"/>
    <x v="43"/>
    <x v="225"/>
    <x v="204"/>
    <x v="1004"/>
    <x v="553"/>
    <x v="0"/>
    <x v="0"/>
    <x v="0"/>
    <x v="0"/>
    <x v="38"/>
    <x v="0"/>
    <x v="1"/>
    <x v="538"/>
    <x v="635"/>
    <x v="26"/>
    <x v="0"/>
    <x v="0"/>
    <x v="646"/>
    <x v="131"/>
    <x v="0"/>
    <x v="792"/>
    <x v="9"/>
    <x v="101"/>
    <x v="118"/>
    <x v="582"/>
    <x v="3"/>
    <x v="163"/>
    <x v="624"/>
    <x v="1014"/>
  </r>
  <r>
    <x v="0"/>
    <x v="3"/>
    <x v="3"/>
    <x v="5"/>
    <x v="11"/>
    <x v="7"/>
    <x v="7"/>
    <x v="39"/>
    <x v="673"/>
    <x v="5"/>
    <x v="42"/>
    <x v="163"/>
    <x v="124"/>
    <x v="589"/>
    <x v="292"/>
    <x v="0"/>
    <x v="35"/>
    <x v="0"/>
    <x v="0"/>
    <x v="65"/>
    <x v="0"/>
    <x v="0"/>
    <x v="373"/>
    <x v="347"/>
    <x v="44"/>
    <x v="1"/>
    <x v="249"/>
    <x v="329"/>
    <x v="539"/>
    <x v="198"/>
    <x v="295"/>
    <x v="12"/>
    <x v="94"/>
    <x v="108"/>
    <x v="247"/>
    <x v="4"/>
    <x v="429"/>
    <x v="334"/>
    <x v="435"/>
  </r>
  <r>
    <x v="0"/>
    <x v="3"/>
    <x v="3"/>
    <x v="2"/>
    <x v="74"/>
    <x v="11"/>
    <x v="4"/>
    <x v="7"/>
    <x v="40"/>
    <x v="5"/>
    <x v="42"/>
    <x v="153"/>
    <x v="86"/>
    <x v="457"/>
    <x v="253"/>
    <x v="21"/>
    <x v="0"/>
    <x v="0"/>
    <x v="0"/>
    <x v="5"/>
    <x v="0"/>
    <x v="0"/>
    <x v="334"/>
    <x v="324"/>
    <x v="37"/>
    <x v="2"/>
    <x v="188"/>
    <x v="474"/>
    <x v="83"/>
    <x v="0"/>
    <x v="858"/>
    <x v="0"/>
    <x v="102"/>
    <x v="130"/>
    <x v="174"/>
    <x v="5"/>
    <x v="544"/>
    <x v="122"/>
    <x v="408"/>
  </r>
  <r>
    <x v="0"/>
    <x v="3"/>
    <x v="3"/>
    <x v="7"/>
    <x v="19"/>
    <x v="11"/>
    <x v="10"/>
    <x v="41"/>
    <x v="665"/>
    <x v="5"/>
    <x v="42"/>
    <x v="185"/>
    <x v="158"/>
    <x v="898"/>
    <x v="435"/>
    <x v="0"/>
    <x v="0"/>
    <x v="0"/>
    <x v="0"/>
    <x v="2"/>
    <x v="0"/>
    <x v="0"/>
    <x v="520"/>
    <x v="546"/>
    <x v="10"/>
    <x v="0"/>
    <x v="0"/>
    <x v="646"/>
    <x v="11"/>
    <x v="0"/>
    <x v="947"/>
    <x v="9"/>
    <x v="97"/>
    <x v="117"/>
    <x v="438"/>
    <x v="2"/>
    <x v="182"/>
    <x v="435"/>
    <x v="621"/>
  </r>
  <r>
    <x v="0"/>
    <x v="3"/>
    <x v="3"/>
    <x v="6"/>
    <x v="15"/>
    <x v="11"/>
    <x v="11"/>
    <x v="40"/>
    <x v="666"/>
    <x v="5"/>
    <x v="42"/>
    <x v="206"/>
    <x v="183"/>
    <x v="943"/>
    <x v="483"/>
    <x v="0"/>
    <x v="0"/>
    <x v="0"/>
    <x v="0"/>
    <x v="0"/>
    <x v="0"/>
    <x v="0"/>
    <x v="576"/>
    <x v="466"/>
    <x v="6"/>
    <x v="0"/>
    <x v="0"/>
    <x v="646"/>
    <x v="0"/>
    <x v="0"/>
    <x v="958"/>
    <x v="9"/>
    <x v="97"/>
    <x v="117"/>
    <x v="495"/>
    <x v="0"/>
    <x v="62"/>
    <x v="312"/>
    <x v="481"/>
  </r>
  <r>
    <x v="0"/>
    <x v="3"/>
    <x v="3"/>
    <x v="0"/>
    <x v="29"/>
    <x v="2"/>
    <x v="1"/>
    <x v="23"/>
    <x v="35"/>
    <x v="5"/>
    <x v="24"/>
    <x v="102"/>
    <x v="129"/>
    <x v="139"/>
    <x v="104"/>
    <x v="41"/>
    <x v="22"/>
    <x v="0"/>
    <x v="0"/>
    <x v="56"/>
    <x v="3"/>
    <x v="0"/>
    <x v="192"/>
    <x v="89"/>
    <x v="45"/>
    <x v="8"/>
    <x v="510"/>
    <x v="86"/>
    <x v="748"/>
    <x v="326"/>
    <x v="29"/>
    <x v="0"/>
    <x v="55"/>
    <x v="130"/>
    <x v="113"/>
    <x v="6"/>
    <x v="591"/>
    <x v="390"/>
    <x v="709"/>
  </r>
  <r>
    <x v="0"/>
    <x v="3"/>
    <x v="5"/>
    <x v="5"/>
    <x v="11"/>
    <x v="7"/>
    <x v="7"/>
    <x v="39"/>
    <x v="675"/>
    <x v="1"/>
    <x v="42"/>
    <x v="163"/>
    <x v="124"/>
    <x v="696"/>
    <x v="327"/>
    <x v="0"/>
    <x v="58"/>
    <x v="0"/>
    <x v="0"/>
    <x v="48"/>
    <x v="3"/>
    <x v="0"/>
    <x v="403"/>
    <x v="551"/>
    <x v="44"/>
    <x v="1"/>
    <x v="321"/>
    <x v="319"/>
    <x v="363"/>
    <x v="265"/>
    <x v="529"/>
    <x v="11"/>
    <x v="95"/>
    <x v="112"/>
    <x v="300"/>
    <x v="4"/>
    <x v="387"/>
    <x v="502"/>
    <x v="692"/>
  </r>
  <r>
    <x v="0"/>
    <x v="3"/>
    <x v="5"/>
    <x v="0"/>
    <x v="29"/>
    <x v="3"/>
    <x v="1"/>
    <x v="23"/>
    <x v="36"/>
    <x v="1"/>
    <x v="42"/>
    <x v="102"/>
    <x v="21"/>
    <x v="295"/>
    <x v="196"/>
    <x v="0"/>
    <x v="17"/>
    <x v="0"/>
    <x v="0"/>
    <x v="45"/>
    <x v="0"/>
    <x v="0"/>
    <x v="280"/>
    <x v="681"/>
    <x v="45"/>
    <x v="8"/>
    <x v="622"/>
    <x v="334"/>
    <x v="565"/>
    <x v="160"/>
    <x v="269"/>
    <x v="0"/>
    <x v="102"/>
    <x v="130"/>
    <x v="108"/>
    <x v="6"/>
    <x v="598"/>
    <x v="328"/>
    <x v="660"/>
  </r>
  <r>
    <x v="0"/>
    <x v="3"/>
    <x v="5"/>
    <x v="2"/>
    <x v="74"/>
    <x v="11"/>
    <x v="4"/>
    <x v="7"/>
    <x v="41"/>
    <x v="1"/>
    <x v="42"/>
    <x v="153"/>
    <x v="86"/>
    <x v="483"/>
    <x v="266"/>
    <x v="0"/>
    <x v="0"/>
    <x v="0"/>
    <x v="0"/>
    <x v="4"/>
    <x v="3"/>
    <x v="0"/>
    <x v="347"/>
    <x v="403"/>
    <x v="37"/>
    <x v="2"/>
    <x v="211"/>
    <x v="587"/>
    <x v="60"/>
    <x v="0"/>
    <x v="885"/>
    <x v="0"/>
    <x v="102"/>
    <x v="130"/>
    <x v="194"/>
    <x v="5"/>
    <x v="536"/>
    <x v="177"/>
    <x v="495"/>
  </r>
  <r>
    <x v="0"/>
    <x v="4"/>
    <x v="2"/>
    <x v="5"/>
    <x v="11"/>
    <x v="7"/>
    <x v="7"/>
    <x v="39"/>
    <x v="677"/>
    <x v="2"/>
    <x v="42"/>
    <x v="163"/>
    <x v="124"/>
    <x v="263"/>
    <x v="177"/>
    <x v="59"/>
    <x v="81"/>
    <x v="0"/>
    <x v="0"/>
    <x v="70"/>
    <x v="3"/>
    <x v="0"/>
    <x v="260"/>
    <x v="57"/>
    <x v="44"/>
    <x v="1"/>
    <x v="98"/>
    <x v="32"/>
    <x v="710"/>
    <x v="429"/>
    <x v="79"/>
    <x v="42"/>
    <x v="55"/>
    <x v="31"/>
    <x v="89"/>
    <x v="4"/>
    <x v="413"/>
    <x v="397"/>
    <x v="83"/>
  </r>
  <r>
    <x v="0"/>
    <x v="4"/>
    <x v="2"/>
    <x v="7"/>
    <x v="19"/>
    <x v="11"/>
    <x v="10"/>
    <x v="41"/>
    <x v="666"/>
    <x v="2"/>
    <x v="42"/>
    <x v="185"/>
    <x v="158"/>
    <x v="877"/>
    <x v="408"/>
    <x v="0"/>
    <x v="0"/>
    <x v="0"/>
    <x v="0"/>
    <x v="8"/>
    <x v="0"/>
    <x v="0"/>
    <x v="479"/>
    <x v="402"/>
    <x v="10"/>
    <x v="0"/>
    <x v="0"/>
    <x v="646"/>
    <x v="71"/>
    <x v="0"/>
    <x v="869"/>
    <x v="9"/>
    <x v="97"/>
    <x v="117"/>
    <x v="391"/>
    <x v="2"/>
    <x v="254"/>
    <x v="296"/>
    <x v="466"/>
  </r>
  <r>
    <x v="0"/>
    <x v="4"/>
    <x v="2"/>
    <x v="2"/>
    <x v="74"/>
    <x v="11"/>
    <x v="4"/>
    <x v="7"/>
    <x v="47"/>
    <x v="2"/>
    <x v="42"/>
    <x v="153"/>
    <x v="86"/>
    <x v="641"/>
    <x v="320"/>
    <x v="0"/>
    <x v="0"/>
    <x v="0"/>
    <x v="0"/>
    <x v="10"/>
    <x v="0"/>
    <x v="0"/>
    <x v="396"/>
    <x v="694"/>
    <x v="37"/>
    <x v="2"/>
    <x v="338"/>
    <x v="616"/>
    <x v="114"/>
    <x v="0"/>
    <x v="811"/>
    <x v="0"/>
    <x v="102"/>
    <x v="130"/>
    <x v="289"/>
    <x v="5"/>
    <x v="448"/>
    <x v="521"/>
    <x v="999"/>
  </r>
  <r>
    <x v="0"/>
    <x v="4"/>
    <x v="2"/>
    <x v="0"/>
    <x v="29"/>
    <x v="3"/>
    <x v="1"/>
    <x v="23"/>
    <x v="42"/>
    <x v="2"/>
    <x v="42"/>
    <x v="107"/>
    <x v="29"/>
    <x v="222"/>
    <x v="161"/>
    <x v="4"/>
    <x v="27"/>
    <x v="0"/>
    <x v="0"/>
    <x v="52"/>
    <x v="3"/>
    <x v="0"/>
    <x v="240"/>
    <x v="329"/>
    <x v="45"/>
    <x v="8"/>
    <x v="598"/>
    <x v="195"/>
    <x v="661"/>
    <x v="279"/>
    <x v="139"/>
    <x v="14"/>
    <x v="91"/>
    <x v="102"/>
    <x v="75"/>
    <x v="6"/>
    <x v="613"/>
    <x v="197"/>
    <x v="327"/>
  </r>
  <r>
    <x v="0"/>
    <x v="4"/>
    <x v="3"/>
    <x v="0"/>
    <x v="29"/>
    <x v="2"/>
    <x v="1"/>
    <x v="23"/>
    <x v="43"/>
    <x v="5"/>
    <x v="10"/>
    <x v="12"/>
    <x v="35"/>
    <x v="23"/>
    <x v="21"/>
    <x v="21"/>
    <x v="12"/>
    <x v="0"/>
    <x v="0"/>
    <x v="25"/>
    <x v="0"/>
    <x v="0"/>
    <x v="85"/>
    <x v="418"/>
    <x v="45"/>
    <x v="8"/>
    <x v="64"/>
    <x v="45"/>
    <x v="763"/>
    <x v="426"/>
    <x v="13"/>
    <x v="0"/>
    <x v="22"/>
    <x v="130"/>
    <x v="90"/>
    <x v="6"/>
    <x v="621"/>
    <x v="151"/>
    <x v="387"/>
  </r>
  <r>
    <x v="0"/>
    <x v="4"/>
    <x v="6"/>
    <x v="1"/>
    <x v="31"/>
    <x v="11"/>
    <x v="12"/>
    <x v="24"/>
    <x v="37"/>
    <x v="3"/>
    <x v="43"/>
    <x v="168"/>
    <x v="122"/>
    <x v="636"/>
    <x v="306"/>
    <x v="0"/>
    <x v="0"/>
    <x v="40"/>
    <x v="0"/>
    <x v="109"/>
    <x v="0"/>
    <x v="5"/>
    <x v="112"/>
    <x v="346"/>
    <x v="18"/>
    <x v="0"/>
    <x v="0"/>
    <x v="646"/>
    <x v="723"/>
    <x v="0"/>
    <x v="54"/>
    <x v="28"/>
    <x v="80"/>
    <x v="67"/>
    <x v="243"/>
    <x v="7"/>
    <x v="689"/>
    <x v="627"/>
    <x v="451"/>
  </r>
  <r>
    <x v="0"/>
    <x v="4"/>
    <x v="6"/>
    <x v="8"/>
    <x v="61"/>
    <x v="11"/>
    <x v="19"/>
    <x v="42"/>
    <x v="662"/>
    <x v="6"/>
    <x v="43"/>
    <x v="225"/>
    <x v="204"/>
    <x v="1005"/>
    <x v="554"/>
    <x v="0"/>
    <x v="0"/>
    <x v="0"/>
    <x v="0"/>
    <x v="52"/>
    <x v="0"/>
    <x v="1"/>
    <x v="539"/>
    <x v="654"/>
    <x v="26"/>
    <x v="0"/>
    <x v="0"/>
    <x v="646"/>
    <x v="161"/>
    <x v="0"/>
    <x v="757"/>
    <x v="12"/>
    <x v="100"/>
    <x v="110"/>
    <x v="585"/>
    <x v="3"/>
    <x v="146"/>
    <x v="644"/>
    <x v="1043"/>
  </r>
  <r>
    <x v="0"/>
    <x v="4"/>
    <x v="3"/>
    <x v="0"/>
    <x v="1"/>
    <x v="2"/>
    <x v="1"/>
    <x v="16"/>
    <x v="43"/>
    <x v="5"/>
    <x v="34"/>
    <x v="91"/>
    <x v="36"/>
    <x v="112"/>
    <x v="86"/>
    <x v="36"/>
    <x v="42"/>
    <x v="0"/>
    <x v="0"/>
    <x v="30"/>
    <x v="3"/>
    <x v="0"/>
    <x v="175"/>
    <x v="99"/>
    <x v="38"/>
    <x v="7"/>
    <x v="446"/>
    <x v="76"/>
    <x v="678"/>
    <x v="425"/>
    <x v="125"/>
    <x v="28"/>
    <x v="53"/>
    <x v="51"/>
    <x v="42"/>
    <x v="6"/>
    <x v="614"/>
    <x v="195"/>
    <x v="122"/>
  </r>
  <r>
    <x v="0"/>
    <x v="4"/>
    <x v="3"/>
    <x v="5"/>
    <x v="11"/>
    <x v="7"/>
    <x v="7"/>
    <x v="39"/>
    <x v="679"/>
    <x v="5"/>
    <x v="42"/>
    <x v="163"/>
    <x v="124"/>
    <x v="682"/>
    <x v="328"/>
    <x v="0"/>
    <x v="19"/>
    <x v="0"/>
    <x v="0"/>
    <x v="60"/>
    <x v="0"/>
    <x v="0"/>
    <x v="404"/>
    <x v="559"/>
    <x v="44"/>
    <x v="1"/>
    <x v="306"/>
    <x v="413"/>
    <x v="449"/>
    <x v="57"/>
    <x v="412"/>
    <x v="7"/>
    <x v="99"/>
    <x v="122"/>
    <x v="301"/>
    <x v="4"/>
    <x v="402"/>
    <x v="448"/>
    <x v="691"/>
  </r>
  <r>
    <x v="0"/>
    <x v="4"/>
    <x v="3"/>
    <x v="2"/>
    <x v="74"/>
    <x v="11"/>
    <x v="4"/>
    <x v="7"/>
    <x v="48"/>
    <x v="5"/>
    <x v="42"/>
    <x v="153"/>
    <x v="86"/>
    <x v="570"/>
    <x v="292"/>
    <x v="0"/>
    <x v="0"/>
    <x v="0"/>
    <x v="0"/>
    <x v="5"/>
    <x v="0"/>
    <x v="0"/>
    <x v="373"/>
    <x v="615"/>
    <x v="37"/>
    <x v="2"/>
    <x v="271"/>
    <x v="633"/>
    <x v="68"/>
    <x v="0"/>
    <x v="873"/>
    <x v="0"/>
    <x v="102"/>
    <x v="130"/>
    <x v="247"/>
    <x v="5"/>
    <x v="497"/>
    <x v="374"/>
    <x v="770"/>
  </r>
  <r>
    <x v="0"/>
    <x v="4"/>
    <x v="3"/>
    <x v="6"/>
    <x v="15"/>
    <x v="11"/>
    <x v="11"/>
    <x v="40"/>
    <x v="671"/>
    <x v="5"/>
    <x v="42"/>
    <x v="210"/>
    <x v="191"/>
    <x v="951"/>
    <x v="492"/>
    <x v="0"/>
    <x v="0"/>
    <x v="0"/>
    <x v="0"/>
    <x v="0"/>
    <x v="0"/>
    <x v="0"/>
    <x v="583"/>
    <x v="466"/>
    <x v="6"/>
    <x v="0"/>
    <x v="0"/>
    <x v="646"/>
    <x v="0"/>
    <x v="0"/>
    <x v="958"/>
    <x v="9"/>
    <x v="97"/>
    <x v="117"/>
    <x v="511"/>
    <x v="0"/>
    <x v="42"/>
    <x v="498"/>
    <x v="720"/>
  </r>
  <r>
    <x v="0"/>
    <x v="4"/>
    <x v="3"/>
    <x v="7"/>
    <x v="19"/>
    <x v="11"/>
    <x v="10"/>
    <x v="41"/>
    <x v="672"/>
    <x v="5"/>
    <x v="42"/>
    <x v="185"/>
    <x v="158"/>
    <x v="845"/>
    <x v="376"/>
    <x v="0"/>
    <x v="0"/>
    <x v="0"/>
    <x v="0"/>
    <x v="5"/>
    <x v="0"/>
    <x v="0"/>
    <x v="444"/>
    <x v="263"/>
    <x v="10"/>
    <x v="0"/>
    <x v="0"/>
    <x v="646"/>
    <x v="45"/>
    <x v="0"/>
    <x v="904"/>
    <x v="23"/>
    <x v="80"/>
    <x v="77"/>
    <x v="357"/>
    <x v="2"/>
    <x v="220"/>
    <x v="371"/>
    <x v="340"/>
  </r>
  <r>
    <x v="0"/>
    <x v="4"/>
    <x v="5"/>
    <x v="5"/>
    <x v="10"/>
    <x v="7"/>
    <x v="7"/>
    <x v="45"/>
    <x v="682"/>
    <x v="1"/>
    <x v="42"/>
    <x v="163"/>
    <x v="124"/>
    <x v="468"/>
    <x v="253"/>
    <x v="0"/>
    <x v="71"/>
    <x v="0"/>
    <x v="0"/>
    <x v="64"/>
    <x v="3"/>
    <x v="0"/>
    <x v="334"/>
    <x v="199"/>
    <x v="44"/>
    <x v="1"/>
    <x v="164"/>
    <x v="190"/>
    <x v="594"/>
    <x v="366"/>
    <x v="235"/>
    <x v="26"/>
    <x v="76"/>
    <x v="68"/>
    <x v="174"/>
    <x v="4"/>
    <x v="423"/>
    <x v="349"/>
    <x v="254"/>
  </r>
  <r>
    <x v="0"/>
    <x v="4"/>
    <x v="5"/>
    <x v="0"/>
    <x v="1"/>
    <x v="2"/>
    <x v="1"/>
    <x v="16"/>
    <x v="46"/>
    <x v="1"/>
    <x v="42"/>
    <x v="107"/>
    <x v="29"/>
    <x v="354"/>
    <x v="207"/>
    <x v="0"/>
    <x v="0"/>
    <x v="0"/>
    <x v="0"/>
    <x v="62"/>
    <x v="3"/>
    <x v="0"/>
    <x v="292"/>
    <x v="706"/>
    <x v="38"/>
    <x v="7"/>
    <x v="637"/>
    <x v="355"/>
    <x v="631"/>
    <x v="0"/>
    <x v="174"/>
    <x v="0"/>
    <x v="102"/>
    <x v="130"/>
    <x v="119"/>
    <x v="6"/>
    <x v="583"/>
    <x v="457"/>
    <x v="858"/>
  </r>
  <r>
    <x v="0"/>
    <x v="4"/>
    <x v="5"/>
    <x v="2"/>
    <x v="74"/>
    <x v="11"/>
    <x v="4"/>
    <x v="7"/>
    <x v="49"/>
    <x v="1"/>
    <x v="42"/>
    <x v="153"/>
    <x v="86"/>
    <x v="462"/>
    <x v="256"/>
    <x v="0"/>
    <x v="0"/>
    <x v="0"/>
    <x v="0"/>
    <x v="3"/>
    <x v="3"/>
    <x v="0"/>
    <x v="337"/>
    <x v="359"/>
    <x v="37"/>
    <x v="2"/>
    <x v="194"/>
    <x v="593"/>
    <x v="40"/>
    <x v="0"/>
    <x v="913"/>
    <x v="16"/>
    <x v="89"/>
    <x v="95"/>
    <x v="183"/>
    <x v="5"/>
    <x v="491"/>
    <x v="399"/>
    <x v="441"/>
  </r>
  <r>
    <x v="0"/>
    <x v="5"/>
    <x v="2"/>
    <x v="5"/>
    <x v="10"/>
    <x v="7"/>
    <x v="7"/>
    <x v="45"/>
    <x v="686"/>
    <x v="2"/>
    <x v="42"/>
    <x v="163"/>
    <x v="124"/>
    <x v="772"/>
    <x v="349"/>
    <x v="0"/>
    <x v="0"/>
    <x v="0"/>
    <x v="0"/>
    <x v="57"/>
    <x v="3"/>
    <x v="0"/>
    <x v="417"/>
    <x v="643"/>
    <x v="44"/>
    <x v="1"/>
    <x v="390"/>
    <x v="475"/>
    <x v="398"/>
    <x v="0"/>
    <x v="476"/>
    <x v="0"/>
    <x v="102"/>
    <x v="130"/>
    <x v="325"/>
    <x v="4"/>
    <x v="396"/>
    <x v="471"/>
    <x v="896"/>
  </r>
  <r>
    <x v="0"/>
    <x v="5"/>
    <x v="2"/>
    <x v="7"/>
    <x v="19"/>
    <x v="11"/>
    <x v="10"/>
    <x v="41"/>
    <x v="674"/>
    <x v="2"/>
    <x v="42"/>
    <x v="185"/>
    <x v="158"/>
    <x v="885"/>
    <x v="419"/>
    <x v="0"/>
    <x v="0"/>
    <x v="0"/>
    <x v="0"/>
    <x v="6"/>
    <x v="0"/>
    <x v="0"/>
    <x v="497"/>
    <x v="452"/>
    <x v="10"/>
    <x v="0"/>
    <x v="0"/>
    <x v="646"/>
    <x v="49"/>
    <x v="0"/>
    <x v="900"/>
    <x v="7"/>
    <x v="99"/>
    <x v="122"/>
    <x v="412"/>
    <x v="2"/>
    <x v="251"/>
    <x v="315"/>
    <x v="530"/>
  </r>
  <r>
    <x v="0"/>
    <x v="5"/>
    <x v="2"/>
    <x v="6"/>
    <x v="15"/>
    <x v="11"/>
    <x v="11"/>
    <x v="40"/>
    <x v="680"/>
    <x v="2"/>
    <x v="28"/>
    <x v="167"/>
    <x v="171"/>
    <x v="921"/>
    <x v="459"/>
    <x v="0"/>
    <x v="0"/>
    <x v="0"/>
    <x v="0"/>
    <x v="0"/>
    <x v="0"/>
    <x v="0"/>
    <x v="554"/>
    <x v="769"/>
    <x v="6"/>
    <x v="0"/>
    <x v="0"/>
    <x v="646"/>
    <x v="0"/>
    <x v="0"/>
    <x v="958"/>
    <x v="0"/>
    <x v="63"/>
    <x v="130"/>
    <x v="557"/>
    <x v="0"/>
    <x v="34"/>
    <x v="602"/>
    <x v="1085"/>
  </r>
  <r>
    <x v="0"/>
    <x v="5"/>
    <x v="2"/>
    <x v="6"/>
    <x v="14"/>
    <x v="11"/>
    <x v="11"/>
    <x v="46"/>
    <x v="683"/>
    <x v="2"/>
    <x v="28"/>
    <x v="83"/>
    <x v="43"/>
    <x v="877"/>
    <x v="409"/>
    <x v="0"/>
    <x v="0"/>
    <x v="0"/>
    <x v="0"/>
    <x v="0"/>
    <x v="0"/>
    <x v="0"/>
    <x v="480"/>
    <x v="776"/>
    <x v="5"/>
    <x v="0"/>
    <x v="0"/>
    <x v="646"/>
    <x v="0"/>
    <x v="0"/>
    <x v="958"/>
    <x v="0"/>
    <x v="63"/>
    <x v="130"/>
    <x v="505"/>
    <x v="0"/>
    <x v="73"/>
    <x v="234"/>
    <x v="575"/>
  </r>
  <r>
    <x v="0"/>
    <x v="5"/>
    <x v="2"/>
    <x v="0"/>
    <x v="1"/>
    <x v="2"/>
    <x v="1"/>
    <x v="16"/>
    <x v="51"/>
    <x v="2"/>
    <x v="42"/>
    <x v="107"/>
    <x v="29"/>
    <x v="308"/>
    <x v="196"/>
    <x v="12"/>
    <x v="40"/>
    <x v="0"/>
    <x v="0"/>
    <x v="64"/>
    <x v="3"/>
    <x v="0"/>
    <x v="280"/>
    <x v="656"/>
    <x v="38"/>
    <x v="7"/>
    <x v="623"/>
    <x v="182"/>
    <x v="663"/>
    <x v="303"/>
    <x v="136"/>
    <x v="0"/>
    <x v="102"/>
    <x v="130"/>
    <x v="108"/>
    <x v="6"/>
    <x v="598"/>
    <x v="328"/>
    <x v="640"/>
  </r>
  <r>
    <x v="0"/>
    <x v="5"/>
    <x v="2"/>
    <x v="2"/>
    <x v="75"/>
    <x v="11"/>
    <x v="4"/>
    <x v="6"/>
    <x v="55"/>
    <x v="2"/>
    <x v="42"/>
    <x v="153"/>
    <x v="86"/>
    <x v="604"/>
    <x v="302"/>
    <x v="26"/>
    <x v="0"/>
    <x v="0"/>
    <x v="0"/>
    <x v="4"/>
    <x v="3"/>
    <x v="0"/>
    <x v="383"/>
    <x v="659"/>
    <x v="43"/>
    <x v="2"/>
    <x v="315"/>
    <x v="462"/>
    <x v="48"/>
    <x v="0"/>
    <x v="901"/>
    <x v="0"/>
    <x v="102"/>
    <x v="130"/>
    <x v="270"/>
    <x v="5"/>
    <x v="468"/>
    <x v="459"/>
    <x v="910"/>
  </r>
  <r>
    <x v="0"/>
    <x v="5"/>
    <x v="6"/>
    <x v="8"/>
    <x v="61"/>
    <x v="11"/>
    <x v="19"/>
    <x v="42"/>
    <x v="670"/>
    <x v="6"/>
    <x v="43"/>
    <x v="225"/>
    <x v="204"/>
    <x v="996"/>
    <x v="545"/>
    <x v="0"/>
    <x v="0"/>
    <x v="0"/>
    <x v="0"/>
    <x v="115"/>
    <x v="0"/>
    <x v="1"/>
    <x v="527"/>
    <x v="573"/>
    <x v="26"/>
    <x v="0"/>
    <x v="0"/>
    <x v="646"/>
    <x v="383"/>
    <x v="0"/>
    <x v="495"/>
    <x v="12"/>
    <x v="100"/>
    <x v="110"/>
    <x v="566"/>
    <x v="3"/>
    <x v="204"/>
    <x v="592"/>
    <x v="876"/>
  </r>
  <r>
    <x v="0"/>
    <x v="5"/>
    <x v="6"/>
    <x v="1"/>
    <x v="31"/>
    <x v="11"/>
    <x v="12"/>
    <x v="24"/>
    <x v="44"/>
    <x v="3"/>
    <x v="22"/>
    <x v="93"/>
    <x v="127"/>
    <x v="183"/>
    <x v="142"/>
    <x v="0"/>
    <x v="0"/>
    <x v="9"/>
    <x v="0"/>
    <x v="28"/>
    <x v="0"/>
    <x v="5"/>
    <x v="67"/>
    <x v="351"/>
    <x v="18"/>
    <x v="0"/>
    <x v="0"/>
    <x v="646"/>
    <x v="524"/>
    <x v="0"/>
    <x v="306"/>
    <x v="5"/>
    <x v="45"/>
    <x v="111"/>
    <x v="250"/>
    <x v="7"/>
    <x v="739"/>
    <x v="381"/>
    <x v="514"/>
  </r>
  <r>
    <x v="0"/>
    <x v="5"/>
    <x v="6"/>
    <x v="1"/>
    <x v="42"/>
    <x v="11"/>
    <x v="12"/>
    <x v="15"/>
    <x v="38"/>
    <x v="3"/>
    <x v="5"/>
    <x v="18"/>
    <x v="146"/>
    <x v="19"/>
    <x v="20"/>
    <x v="0"/>
    <x v="0"/>
    <x v="0"/>
    <x v="0"/>
    <x v="20"/>
    <x v="0"/>
    <x v="5"/>
    <x v="12"/>
    <x v="161"/>
    <x v="18"/>
    <x v="0"/>
    <x v="0"/>
    <x v="646"/>
    <x v="755"/>
    <x v="0"/>
    <x v="19"/>
    <x v="0"/>
    <x v="12"/>
    <x v="130"/>
    <x v="266"/>
    <x v="7"/>
    <x v="756"/>
    <x v="249"/>
    <x v="511"/>
  </r>
  <r>
    <x v="0"/>
    <x v="5"/>
    <x v="6"/>
    <x v="1"/>
    <x v="8"/>
    <x v="11"/>
    <x v="12"/>
    <x v="58"/>
    <x v="12"/>
    <x v="3"/>
    <x v="24"/>
    <x v="104"/>
    <x v="131"/>
    <x v="234"/>
    <x v="173"/>
    <x v="0"/>
    <x v="0"/>
    <x v="8"/>
    <x v="0"/>
    <x v="18"/>
    <x v="0"/>
    <x v="5"/>
    <x v="78"/>
    <x v="442"/>
    <x v="3"/>
    <x v="0"/>
    <x v="0"/>
    <x v="646"/>
    <x v="288"/>
    <x v="0"/>
    <x v="614"/>
    <x v="7"/>
    <x v="48"/>
    <x v="102"/>
    <x v="304"/>
    <x v="7"/>
    <x v="698"/>
    <x v="589"/>
    <x v="781"/>
  </r>
  <r>
    <x v="0"/>
    <x v="5"/>
    <x v="3"/>
    <x v="7"/>
    <x v="19"/>
    <x v="11"/>
    <x v="10"/>
    <x v="41"/>
    <x v="676"/>
    <x v="5"/>
    <x v="42"/>
    <x v="185"/>
    <x v="158"/>
    <x v="869"/>
    <x v="400"/>
    <x v="0"/>
    <x v="0"/>
    <x v="0"/>
    <x v="0"/>
    <x v="0"/>
    <x v="0"/>
    <x v="0"/>
    <x v="470"/>
    <x v="356"/>
    <x v="10"/>
    <x v="0"/>
    <x v="0"/>
    <x v="646"/>
    <x v="0"/>
    <x v="0"/>
    <x v="958"/>
    <x v="9"/>
    <x v="97"/>
    <x v="117"/>
    <x v="382"/>
    <x v="2"/>
    <x v="277"/>
    <x v="248"/>
    <x v="422"/>
  </r>
  <r>
    <x v="0"/>
    <x v="5"/>
    <x v="3"/>
    <x v="2"/>
    <x v="75"/>
    <x v="11"/>
    <x v="4"/>
    <x v="6"/>
    <x v="55"/>
    <x v="5"/>
    <x v="20"/>
    <x v="58"/>
    <x v="66"/>
    <x v="121"/>
    <x v="103"/>
    <x v="0"/>
    <x v="0"/>
    <x v="0"/>
    <x v="0"/>
    <x v="0"/>
    <x v="0"/>
    <x v="0"/>
    <x v="190"/>
    <x v="466"/>
    <x v="43"/>
    <x v="2"/>
    <x v="36"/>
    <x v="645"/>
    <x v="0"/>
    <x v="0"/>
    <x v="958"/>
    <x v="0"/>
    <x v="42"/>
    <x v="130"/>
    <x v="194"/>
    <x v="5"/>
    <x v="536"/>
    <x v="177"/>
    <x v="502"/>
  </r>
  <r>
    <x v="0"/>
    <x v="5"/>
    <x v="3"/>
    <x v="2"/>
    <x v="75"/>
    <x v="11"/>
    <x v="4"/>
    <x v="6"/>
    <x v="57"/>
    <x v="5"/>
    <x v="28"/>
    <x v="112"/>
    <x v="108"/>
    <x v="298"/>
    <x v="200"/>
    <x v="0"/>
    <x v="0"/>
    <x v="0"/>
    <x v="0"/>
    <x v="0"/>
    <x v="0"/>
    <x v="0"/>
    <x v="285"/>
    <x v="661"/>
    <x v="43"/>
    <x v="2"/>
    <x v="110"/>
    <x v="645"/>
    <x v="0"/>
    <x v="0"/>
    <x v="958"/>
    <x v="0"/>
    <x v="63"/>
    <x v="130"/>
    <x v="280"/>
    <x v="5"/>
    <x v="458"/>
    <x v="496"/>
    <x v="966"/>
  </r>
  <r>
    <x v="0"/>
    <x v="5"/>
    <x v="3"/>
    <x v="5"/>
    <x v="10"/>
    <x v="7"/>
    <x v="7"/>
    <x v="45"/>
    <x v="689"/>
    <x v="5"/>
    <x v="42"/>
    <x v="163"/>
    <x v="124"/>
    <x v="671"/>
    <x v="327"/>
    <x v="0"/>
    <x v="13"/>
    <x v="0"/>
    <x v="0"/>
    <x v="44"/>
    <x v="0"/>
    <x v="0"/>
    <x v="403"/>
    <x v="551"/>
    <x v="44"/>
    <x v="1"/>
    <x v="294"/>
    <x v="468"/>
    <x v="330"/>
    <x v="36"/>
    <x v="561"/>
    <x v="7"/>
    <x v="99"/>
    <x v="122"/>
    <x v="300"/>
    <x v="4"/>
    <x v="403"/>
    <x v="444"/>
    <x v="695"/>
  </r>
  <r>
    <x v="0"/>
    <x v="5"/>
    <x v="3"/>
    <x v="0"/>
    <x v="1"/>
    <x v="2"/>
    <x v="1"/>
    <x v="16"/>
    <x v="52"/>
    <x v="5"/>
    <x v="42"/>
    <x v="107"/>
    <x v="29"/>
    <x v="325"/>
    <x v="202"/>
    <x v="0"/>
    <x v="22"/>
    <x v="0"/>
    <x v="0"/>
    <x v="60"/>
    <x v="0"/>
    <x v="0"/>
    <x v="286"/>
    <x v="688"/>
    <x v="38"/>
    <x v="7"/>
    <x v="628"/>
    <x v="282"/>
    <x v="632"/>
    <x v="196"/>
    <x v="178"/>
    <x v="0"/>
    <x v="102"/>
    <x v="130"/>
    <x v="113"/>
    <x v="6"/>
    <x v="591"/>
    <x v="390"/>
    <x v="740"/>
  </r>
  <r>
    <x v="0"/>
    <x v="5"/>
    <x v="5"/>
    <x v="5"/>
    <x v="10"/>
    <x v="7"/>
    <x v="7"/>
    <x v="45"/>
    <x v="692"/>
    <x v="1"/>
    <x v="42"/>
    <x v="163"/>
    <x v="124"/>
    <x v="599"/>
    <x v="296"/>
    <x v="35"/>
    <x v="22"/>
    <x v="0"/>
    <x v="0"/>
    <x v="40"/>
    <x v="3"/>
    <x v="0"/>
    <x v="378"/>
    <x v="383"/>
    <x v="44"/>
    <x v="1"/>
    <x v="265"/>
    <x v="238"/>
    <x v="328"/>
    <x v="97"/>
    <x v="564"/>
    <x v="21"/>
    <x v="82"/>
    <x v="82"/>
    <x v="256"/>
    <x v="4"/>
    <x v="380"/>
    <x v="534"/>
    <x v="487"/>
  </r>
  <r>
    <x v="0"/>
    <x v="5"/>
    <x v="5"/>
    <x v="0"/>
    <x v="1"/>
    <x v="2"/>
    <x v="1"/>
    <x v="16"/>
    <x v="53"/>
    <x v="1"/>
    <x v="42"/>
    <x v="107"/>
    <x v="29"/>
    <x v="303"/>
    <x v="196"/>
    <x v="0"/>
    <x v="25"/>
    <x v="0"/>
    <x v="0"/>
    <x v="54"/>
    <x v="3"/>
    <x v="0"/>
    <x v="280"/>
    <x v="656"/>
    <x v="38"/>
    <x v="7"/>
    <x v="620"/>
    <x v="255"/>
    <x v="613"/>
    <x v="224"/>
    <x v="207"/>
    <x v="7"/>
    <x v="99"/>
    <x v="122"/>
    <x v="108"/>
    <x v="6"/>
    <x v="585"/>
    <x v="443"/>
    <x v="651"/>
  </r>
  <r>
    <x v="0"/>
    <x v="5"/>
    <x v="5"/>
    <x v="2"/>
    <x v="75"/>
    <x v="11"/>
    <x v="4"/>
    <x v="6"/>
    <x v="58"/>
    <x v="1"/>
    <x v="20"/>
    <x v="62"/>
    <x v="97"/>
    <x v="133"/>
    <x v="108"/>
    <x v="0"/>
    <x v="0"/>
    <x v="0"/>
    <x v="0"/>
    <x v="8"/>
    <x v="1"/>
    <x v="0"/>
    <x v="195"/>
    <x v="468"/>
    <x v="43"/>
    <x v="2"/>
    <x v="41"/>
    <x v="523"/>
    <x v="227"/>
    <x v="0"/>
    <x v="683"/>
    <x v="5"/>
    <x v="36"/>
    <x v="106"/>
    <x v="209"/>
    <x v="5"/>
    <x v="473"/>
    <x v="450"/>
    <x v="556"/>
  </r>
  <r>
    <x v="0"/>
    <x v="5"/>
    <x v="5"/>
    <x v="2"/>
    <x v="75"/>
    <x v="11"/>
    <x v="4"/>
    <x v="6"/>
    <x v="56"/>
    <x v="1"/>
    <x v="28"/>
    <x v="108"/>
    <x v="78"/>
    <x v="237"/>
    <x v="175"/>
    <x v="1"/>
    <x v="0"/>
    <x v="0"/>
    <x v="0"/>
    <x v="4"/>
    <x v="1"/>
    <x v="0"/>
    <x v="254"/>
    <x v="466"/>
    <x v="43"/>
    <x v="2"/>
    <x v="79"/>
    <x v="522"/>
    <x v="93"/>
    <x v="0"/>
    <x v="842"/>
    <x v="5"/>
    <x v="61"/>
    <x v="121"/>
    <x v="204"/>
    <x v="5"/>
    <x v="505"/>
    <x v="344"/>
    <x v="548"/>
  </r>
  <r>
    <x v="0"/>
    <x v="6"/>
    <x v="2"/>
    <x v="5"/>
    <x v="10"/>
    <x v="7"/>
    <x v="7"/>
    <x v="45"/>
    <x v="695"/>
    <x v="1"/>
    <x v="42"/>
    <x v="137"/>
    <x v="56"/>
    <x v="588"/>
    <x v="292"/>
    <x v="22"/>
    <x v="38"/>
    <x v="0"/>
    <x v="0"/>
    <x v="49"/>
    <x v="3"/>
    <x v="0"/>
    <x v="373"/>
    <x v="720"/>
    <x v="44"/>
    <x v="1"/>
    <x v="256"/>
    <x v="250"/>
    <x v="409"/>
    <x v="213"/>
    <x v="469"/>
    <x v="21"/>
    <x v="82"/>
    <x v="82"/>
    <x v="247"/>
    <x v="4"/>
    <x v="385"/>
    <x v="508"/>
    <x v="444"/>
  </r>
  <r>
    <x v="0"/>
    <x v="6"/>
    <x v="2"/>
    <x v="0"/>
    <x v="1"/>
    <x v="2"/>
    <x v="1"/>
    <x v="16"/>
    <x v="59"/>
    <x v="1"/>
    <x v="42"/>
    <x v="107"/>
    <x v="29"/>
    <x v="204"/>
    <x v="148"/>
    <x v="10"/>
    <x v="49"/>
    <x v="0"/>
    <x v="0"/>
    <x v="50"/>
    <x v="3"/>
    <x v="0"/>
    <x v="227"/>
    <x v="242"/>
    <x v="38"/>
    <x v="7"/>
    <x v="566"/>
    <x v="123"/>
    <x v="678"/>
    <x v="389"/>
    <x v="120"/>
    <x v="31"/>
    <x v="70"/>
    <x v="55"/>
    <x v="63"/>
    <x v="6"/>
    <x v="582"/>
    <x v="465"/>
    <x v="227"/>
  </r>
  <r>
    <x v="0"/>
    <x v="6"/>
    <x v="2"/>
    <x v="2"/>
    <x v="75"/>
    <x v="11"/>
    <x v="4"/>
    <x v="6"/>
    <x v="64"/>
    <x v="1"/>
    <x v="42"/>
    <x v="153"/>
    <x v="86"/>
    <x v="436"/>
    <x v="240"/>
    <x v="0"/>
    <x v="0"/>
    <x v="0"/>
    <x v="0"/>
    <x v="4"/>
    <x v="3"/>
    <x v="0"/>
    <x v="324"/>
    <x v="267"/>
    <x v="43"/>
    <x v="2"/>
    <x v="159"/>
    <x v="576"/>
    <x v="68"/>
    <x v="0"/>
    <x v="875"/>
    <x v="21"/>
    <x v="82"/>
    <x v="82"/>
    <x v="159"/>
    <x v="5"/>
    <x v="504"/>
    <x v="348"/>
    <x v="348"/>
  </r>
  <r>
    <x v="0"/>
    <x v="6"/>
    <x v="2"/>
    <x v="6"/>
    <x v="14"/>
    <x v="11"/>
    <x v="11"/>
    <x v="46"/>
    <x v="687"/>
    <x v="1"/>
    <x v="16"/>
    <x v="132"/>
    <x v="185"/>
    <x v="410"/>
    <x v="226"/>
    <x v="0"/>
    <x v="0"/>
    <x v="0"/>
    <x v="0"/>
    <x v="0"/>
    <x v="0"/>
    <x v="0"/>
    <x v="313"/>
    <x v="466"/>
    <x v="5"/>
    <x v="0"/>
    <x v="0"/>
    <x v="646"/>
    <x v="0"/>
    <x v="0"/>
    <x v="958"/>
    <x v="0"/>
    <x v="35"/>
    <x v="130"/>
    <x v="505"/>
    <x v="0"/>
    <x v="73"/>
    <x v="234"/>
    <x v="575"/>
  </r>
  <r>
    <x v="0"/>
    <x v="6"/>
    <x v="2"/>
    <x v="7"/>
    <x v="19"/>
    <x v="11"/>
    <x v="10"/>
    <x v="41"/>
    <x v="681"/>
    <x v="1"/>
    <x v="24"/>
    <x v="121"/>
    <x v="145"/>
    <x v="297"/>
    <x v="199"/>
    <x v="0"/>
    <x v="0"/>
    <x v="0"/>
    <x v="0"/>
    <x v="0"/>
    <x v="0"/>
    <x v="0"/>
    <x v="284"/>
    <x v="463"/>
    <x v="10"/>
    <x v="0"/>
    <x v="0"/>
    <x v="646"/>
    <x v="0"/>
    <x v="0"/>
    <x v="958"/>
    <x v="14"/>
    <x v="42"/>
    <x v="68"/>
    <x v="353"/>
    <x v="2"/>
    <x v="179"/>
    <x v="438"/>
    <x v="329"/>
  </r>
  <r>
    <x v="0"/>
    <x v="6"/>
    <x v="2"/>
    <x v="7"/>
    <x v="18"/>
    <x v="11"/>
    <x v="10"/>
    <x v="47"/>
    <x v="684"/>
    <x v="1"/>
    <x v="24"/>
    <x v="84"/>
    <x v="68"/>
    <x v="298"/>
    <x v="199"/>
    <x v="0"/>
    <x v="0"/>
    <x v="0"/>
    <x v="0"/>
    <x v="0"/>
    <x v="3"/>
    <x v="0"/>
    <x v="284"/>
    <x v="759"/>
    <x v="9"/>
    <x v="0"/>
    <x v="0"/>
    <x v="646"/>
    <x v="0"/>
    <x v="0"/>
    <x v="958"/>
    <x v="14"/>
    <x v="42"/>
    <x v="68"/>
    <x v="353"/>
    <x v="2"/>
    <x v="179"/>
    <x v="438"/>
    <x v="329"/>
  </r>
  <r>
    <x v="0"/>
    <x v="6"/>
    <x v="6"/>
    <x v="1"/>
    <x v="8"/>
    <x v="11"/>
    <x v="12"/>
    <x v="58"/>
    <x v="24"/>
    <x v="3"/>
    <x v="43"/>
    <x v="168"/>
    <x v="122"/>
    <x v="858"/>
    <x v="387"/>
    <x v="0"/>
    <x v="0"/>
    <x v="51"/>
    <x v="0"/>
    <x v="31"/>
    <x v="0"/>
    <x v="5"/>
    <x v="153"/>
    <x v="715"/>
    <x v="3"/>
    <x v="0"/>
    <x v="0"/>
    <x v="646"/>
    <x v="217"/>
    <x v="0"/>
    <x v="694"/>
    <x v="12"/>
    <x v="100"/>
    <x v="110"/>
    <x v="352"/>
    <x v="7"/>
    <x v="671"/>
    <x v="663"/>
    <x v="1098"/>
  </r>
  <r>
    <x v="0"/>
    <x v="6"/>
    <x v="6"/>
    <x v="8"/>
    <x v="61"/>
    <x v="11"/>
    <x v="19"/>
    <x v="42"/>
    <x v="678"/>
    <x v="6"/>
    <x v="27"/>
    <x v="198"/>
    <x v="217"/>
    <x v="908"/>
    <x v="443"/>
    <x v="0"/>
    <x v="0"/>
    <x v="0"/>
    <x v="0"/>
    <x v="42"/>
    <x v="0"/>
    <x v="1"/>
    <x v="332"/>
    <x v="349"/>
    <x v="26"/>
    <x v="0"/>
    <x v="0"/>
    <x v="646"/>
    <x v="244"/>
    <x v="0"/>
    <x v="666"/>
    <x v="9"/>
    <x v="53"/>
    <x v="94"/>
    <x v="550"/>
    <x v="3"/>
    <x v="193"/>
    <x v="599"/>
    <x v="745"/>
  </r>
  <r>
    <x v="0"/>
    <x v="6"/>
    <x v="6"/>
    <x v="8"/>
    <x v="60"/>
    <x v="11"/>
    <x v="19"/>
    <x v="48"/>
    <x v="684"/>
    <x v="6"/>
    <x v="24"/>
    <x v="179"/>
    <x v="194"/>
    <x v="619"/>
    <x v="310"/>
    <x v="0"/>
    <x v="0"/>
    <x v="0"/>
    <x v="0"/>
    <x v="20"/>
    <x v="0"/>
    <x v="1"/>
    <x v="241"/>
    <x v="193"/>
    <x v="25"/>
    <x v="0"/>
    <x v="0"/>
    <x v="646"/>
    <x v="195"/>
    <x v="0"/>
    <x v="717"/>
    <x v="23"/>
    <x v="33"/>
    <x v="40"/>
    <x v="482"/>
    <x v="3"/>
    <x v="153"/>
    <x v="632"/>
    <x v="226"/>
  </r>
  <r>
    <x v="0"/>
    <x v="6"/>
    <x v="3"/>
    <x v="7"/>
    <x v="18"/>
    <x v="11"/>
    <x v="10"/>
    <x v="47"/>
    <x v="685"/>
    <x v="5"/>
    <x v="42"/>
    <x v="185"/>
    <x v="158"/>
    <x v="849"/>
    <x v="380"/>
    <x v="0"/>
    <x v="0"/>
    <x v="0"/>
    <x v="0"/>
    <x v="0"/>
    <x v="0"/>
    <x v="0"/>
    <x v="447"/>
    <x v="279"/>
    <x v="9"/>
    <x v="0"/>
    <x v="0"/>
    <x v="646"/>
    <x v="0"/>
    <x v="0"/>
    <x v="958"/>
    <x v="9"/>
    <x v="97"/>
    <x v="117"/>
    <x v="364"/>
    <x v="2"/>
    <x v="318"/>
    <x v="160"/>
    <x v="354"/>
  </r>
  <r>
    <x v="0"/>
    <x v="6"/>
    <x v="3"/>
    <x v="0"/>
    <x v="1"/>
    <x v="2"/>
    <x v="1"/>
    <x v="16"/>
    <x v="60"/>
    <x v="5"/>
    <x v="42"/>
    <x v="107"/>
    <x v="29"/>
    <x v="327"/>
    <x v="202"/>
    <x v="7"/>
    <x v="26"/>
    <x v="0"/>
    <x v="0"/>
    <x v="58"/>
    <x v="0"/>
    <x v="0"/>
    <x v="286"/>
    <x v="688"/>
    <x v="38"/>
    <x v="7"/>
    <x v="629"/>
    <x v="258"/>
    <x v="624"/>
    <x v="223"/>
    <x v="190"/>
    <x v="0"/>
    <x v="102"/>
    <x v="130"/>
    <x v="113"/>
    <x v="6"/>
    <x v="591"/>
    <x v="390"/>
    <x v="742"/>
  </r>
  <r>
    <x v="0"/>
    <x v="6"/>
    <x v="3"/>
    <x v="5"/>
    <x v="10"/>
    <x v="7"/>
    <x v="7"/>
    <x v="45"/>
    <x v="698"/>
    <x v="5"/>
    <x v="42"/>
    <x v="163"/>
    <x v="124"/>
    <x v="454"/>
    <x v="247"/>
    <x v="0"/>
    <x v="22"/>
    <x v="0"/>
    <x v="0"/>
    <x v="40"/>
    <x v="0"/>
    <x v="0"/>
    <x v="330"/>
    <x v="187"/>
    <x v="44"/>
    <x v="1"/>
    <x v="151"/>
    <x v="397"/>
    <x v="405"/>
    <x v="151"/>
    <x v="470"/>
    <x v="21"/>
    <x v="82"/>
    <x v="82"/>
    <x v="168"/>
    <x v="4"/>
    <x v="492"/>
    <x v="171"/>
    <x v="241"/>
  </r>
  <r>
    <x v="0"/>
    <x v="6"/>
    <x v="3"/>
    <x v="2"/>
    <x v="75"/>
    <x v="11"/>
    <x v="4"/>
    <x v="6"/>
    <x v="65"/>
    <x v="5"/>
    <x v="42"/>
    <x v="153"/>
    <x v="86"/>
    <x v="453"/>
    <x v="248"/>
    <x v="0"/>
    <x v="0"/>
    <x v="0"/>
    <x v="0"/>
    <x v="2"/>
    <x v="0"/>
    <x v="0"/>
    <x v="331"/>
    <x v="310"/>
    <x v="43"/>
    <x v="2"/>
    <x v="171"/>
    <x v="642"/>
    <x v="27"/>
    <x v="0"/>
    <x v="925"/>
    <x v="0"/>
    <x v="102"/>
    <x v="130"/>
    <x v="169"/>
    <x v="5"/>
    <x v="545"/>
    <x v="111"/>
    <x v="394"/>
  </r>
  <r>
    <x v="0"/>
    <x v="6"/>
    <x v="3"/>
    <x v="6"/>
    <x v="14"/>
    <x v="11"/>
    <x v="11"/>
    <x v="46"/>
    <x v="691"/>
    <x v="5"/>
    <x v="42"/>
    <x v="202"/>
    <x v="177"/>
    <x v="936"/>
    <x v="476"/>
    <x v="0"/>
    <x v="0"/>
    <x v="0"/>
    <x v="0"/>
    <x v="0"/>
    <x v="0"/>
    <x v="0"/>
    <x v="571"/>
    <x v="593"/>
    <x v="5"/>
    <x v="0"/>
    <x v="0"/>
    <x v="646"/>
    <x v="0"/>
    <x v="0"/>
    <x v="958"/>
    <x v="9"/>
    <x v="97"/>
    <x v="117"/>
    <x v="484"/>
    <x v="0"/>
    <x v="81"/>
    <x v="182"/>
    <x v="374"/>
  </r>
  <r>
    <x v="0"/>
    <x v="6"/>
    <x v="5"/>
    <x v="0"/>
    <x v="1"/>
    <x v="2"/>
    <x v="1"/>
    <x v="16"/>
    <x v="62"/>
    <x v="2"/>
    <x v="42"/>
    <x v="107"/>
    <x v="29"/>
    <x v="423"/>
    <x v="221"/>
    <x v="0"/>
    <x v="18"/>
    <x v="0"/>
    <x v="0"/>
    <x v="100"/>
    <x v="3"/>
    <x v="0"/>
    <x v="308"/>
    <x v="734"/>
    <x v="38"/>
    <x v="7"/>
    <x v="656"/>
    <x v="194"/>
    <x v="739"/>
    <x v="129"/>
    <x v="38"/>
    <x v="7"/>
    <x v="99"/>
    <x v="122"/>
    <x v="138"/>
    <x v="6"/>
    <x v="552"/>
    <x v="621"/>
    <x v="997"/>
  </r>
  <r>
    <x v="0"/>
    <x v="6"/>
    <x v="5"/>
    <x v="5"/>
    <x v="10"/>
    <x v="7"/>
    <x v="7"/>
    <x v="45"/>
    <x v="700"/>
    <x v="2"/>
    <x v="42"/>
    <x v="163"/>
    <x v="124"/>
    <x v="676"/>
    <x v="327"/>
    <x v="0"/>
    <x v="25"/>
    <x v="0"/>
    <x v="0"/>
    <x v="52"/>
    <x v="0"/>
    <x v="0"/>
    <x v="403"/>
    <x v="551"/>
    <x v="44"/>
    <x v="1"/>
    <x v="300"/>
    <x v="418"/>
    <x v="392"/>
    <x v="105"/>
    <x v="485"/>
    <x v="7"/>
    <x v="99"/>
    <x v="122"/>
    <x v="300"/>
    <x v="4"/>
    <x v="403"/>
    <x v="444"/>
    <x v="686"/>
  </r>
  <r>
    <x v="0"/>
    <x v="6"/>
    <x v="5"/>
    <x v="2"/>
    <x v="75"/>
    <x v="11"/>
    <x v="4"/>
    <x v="6"/>
    <x v="66"/>
    <x v="2"/>
    <x v="42"/>
    <x v="153"/>
    <x v="86"/>
    <x v="546"/>
    <x v="282"/>
    <x v="0"/>
    <x v="0"/>
    <x v="0"/>
    <x v="0"/>
    <x v="4"/>
    <x v="5"/>
    <x v="0"/>
    <x v="365"/>
    <x v="554"/>
    <x v="43"/>
    <x v="2"/>
    <x v="255"/>
    <x v="552"/>
    <x v="56"/>
    <x v="0"/>
    <x v="892"/>
    <x v="0"/>
    <x v="102"/>
    <x v="130"/>
    <x v="227"/>
    <x v="5"/>
    <x v="515"/>
    <x v="290"/>
    <x v="652"/>
  </r>
  <r>
    <x v="0"/>
    <x v="6"/>
    <x v="5"/>
    <x v="6"/>
    <x v="14"/>
    <x v="11"/>
    <x v="11"/>
    <x v="46"/>
    <x v="697"/>
    <x v="2"/>
    <x v="42"/>
    <x v="184"/>
    <x v="156"/>
    <x v="940"/>
    <x v="480"/>
    <x v="0"/>
    <x v="0"/>
    <x v="0"/>
    <x v="0"/>
    <x v="0"/>
    <x v="0"/>
    <x v="0"/>
    <x v="573"/>
    <x v="757"/>
    <x v="5"/>
    <x v="0"/>
    <x v="0"/>
    <x v="646"/>
    <x v="0"/>
    <x v="0"/>
    <x v="958"/>
    <x v="9"/>
    <x v="97"/>
    <x v="117"/>
    <x v="491"/>
    <x v="0"/>
    <x v="68"/>
    <x v="275"/>
    <x v="450"/>
  </r>
  <r>
    <x v="0"/>
    <x v="7"/>
    <x v="2"/>
    <x v="2"/>
    <x v="75"/>
    <x v="11"/>
    <x v="4"/>
    <x v="6"/>
    <x v="70"/>
    <x v="1"/>
    <x v="6"/>
    <x v="14"/>
    <x v="112"/>
    <x v="26"/>
    <x v="26"/>
    <x v="0"/>
    <x v="0"/>
    <x v="0"/>
    <x v="0"/>
    <x v="0"/>
    <x v="0"/>
    <x v="0"/>
    <x v="90"/>
    <x v="466"/>
    <x v="43"/>
    <x v="2"/>
    <x v="3"/>
    <x v="645"/>
    <x v="0"/>
    <x v="0"/>
    <x v="958"/>
    <x v="0"/>
    <x v="15"/>
    <x v="130"/>
    <x v="235"/>
    <x v="5"/>
    <x v="508"/>
    <x v="335"/>
    <x v="713"/>
  </r>
  <r>
    <x v="0"/>
    <x v="7"/>
    <x v="2"/>
    <x v="2"/>
    <x v="75"/>
    <x v="11"/>
    <x v="4"/>
    <x v="6"/>
    <x v="68"/>
    <x v="1"/>
    <x v="38"/>
    <x v="136"/>
    <x v="70"/>
    <x v="411"/>
    <x v="225"/>
    <x v="0"/>
    <x v="0"/>
    <x v="0"/>
    <x v="0"/>
    <x v="4"/>
    <x v="3"/>
    <x v="0"/>
    <x v="312"/>
    <x v="367"/>
    <x v="43"/>
    <x v="2"/>
    <x v="141"/>
    <x v="570"/>
    <x v="72"/>
    <x v="0"/>
    <x v="870"/>
    <x v="11"/>
    <x v="79"/>
    <x v="107"/>
    <x v="180"/>
    <x v="5"/>
    <x v="512"/>
    <x v="307"/>
    <x v="427"/>
  </r>
  <r>
    <x v="0"/>
    <x v="7"/>
    <x v="2"/>
    <x v="5"/>
    <x v="10"/>
    <x v="7"/>
    <x v="7"/>
    <x v="45"/>
    <x v="702"/>
    <x v="1"/>
    <x v="42"/>
    <x v="163"/>
    <x v="124"/>
    <x v="756"/>
    <x v="346"/>
    <x v="0"/>
    <x v="22"/>
    <x v="0"/>
    <x v="2"/>
    <x v="67"/>
    <x v="3"/>
    <x v="0"/>
    <x v="414"/>
    <x v="623"/>
    <x v="44"/>
    <x v="1"/>
    <x v="378"/>
    <x v="382"/>
    <x v="475"/>
    <x v="67"/>
    <x v="375"/>
    <x v="0"/>
    <x v="102"/>
    <x v="130"/>
    <x v="320"/>
    <x v="4"/>
    <x v="407"/>
    <x v="429"/>
    <x v="822"/>
  </r>
  <r>
    <x v="0"/>
    <x v="7"/>
    <x v="2"/>
    <x v="7"/>
    <x v="18"/>
    <x v="11"/>
    <x v="10"/>
    <x v="47"/>
    <x v="690"/>
    <x v="1"/>
    <x v="42"/>
    <x v="185"/>
    <x v="158"/>
    <x v="885"/>
    <x v="421"/>
    <x v="0"/>
    <x v="0"/>
    <x v="0"/>
    <x v="0"/>
    <x v="0"/>
    <x v="0"/>
    <x v="0"/>
    <x v="499"/>
    <x v="456"/>
    <x v="9"/>
    <x v="0"/>
    <x v="0"/>
    <x v="646"/>
    <x v="0"/>
    <x v="0"/>
    <x v="958"/>
    <x v="9"/>
    <x v="97"/>
    <x v="117"/>
    <x v="415"/>
    <x v="2"/>
    <x v="224"/>
    <x v="365"/>
    <x v="533"/>
  </r>
  <r>
    <x v="0"/>
    <x v="7"/>
    <x v="6"/>
    <x v="1"/>
    <x v="6"/>
    <x v="11"/>
    <x v="12"/>
    <x v="17"/>
    <x v="45"/>
    <x v="3"/>
    <x v="43"/>
    <x v="168"/>
    <x v="122"/>
    <x v="734"/>
    <x v="345"/>
    <x v="0"/>
    <x v="0"/>
    <x v="49"/>
    <x v="0"/>
    <x v="32"/>
    <x v="0"/>
    <x v="5"/>
    <x v="125"/>
    <x v="548"/>
    <x v="1"/>
    <x v="0"/>
    <x v="0"/>
    <x v="646"/>
    <x v="257"/>
    <x v="0"/>
    <x v="651"/>
    <x v="12"/>
    <x v="100"/>
    <x v="110"/>
    <x v="298"/>
    <x v="7"/>
    <x v="710"/>
    <x v="541"/>
    <x v="743"/>
  </r>
  <r>
    <x v="0"/>
    <x v="7"/>
    <x v="6"/>
    <x v="8"/>
    <x v="60"/>
    <x v="11"/>
    <x v="19"/>
    <x v="48"/>
    <x v="688"/>
    <x v="6"/>
    <x v="43"/>
    <x v="225"/>
    <x v="204"/>
    <x v="986"/>
    <x v="533"/>
    <x v="0"/>
    <x v="0"/>
    <x v="0"/>
    <x v="0"/>
    <x v="75"/>
    <x v="0"/>
    <x v="1"/>
    <x v="494"/>
    <x v="427"/>
    <x v="25"/>
    <x v="0"/>
    <x v="0"/>
    <x v="646"/>
    <x v="242"/>
    <x v="0"/>
    <x v="668"/>
    <x v="12"/>
    <x v="100"/>
    <x v="110"/>
    <x v="542"/>
    <x v="3"/>
    <x v="273"/>
    <x v="507"/>
    <x v="702"/>
  </r>
  <r>
    <x v="0"/>
    <x v="7"/>
    <x v="3"/>
    <x v="7"/>
    <x v="18"/>
    <x v="11"/>
    <x v="10"/>
    <x v="47"/>
    <x v="693"/>
    <x v="5"/>
    <x v="42"/>
    <x v="185"/>
    <x v="158"/>
    <x v="889"/>
    <x v="425"/>
    <x v="0"/>
    <x v="0"/>
    <x v="0"/>
    <x v="0"/>
    <x v="0"/>
    <x v="0"/>
    <x v="0"/>
    <x v="503"/>
    <x v="487"/>
    <x v="9"/>
    <x v="0"/>
    <x v="0"/>
    <x v="646"/>
    <x v="0"/>
    <x v="0"/>
    <x v="958"/>
    <x v="9"/>
    <x v="97"/>
    <x v="117"/>
    <x v="421"/>
    <x v="2"/>
    <x v="213"/>
    <x v="379"/>
    <x v="557"/>
  </r>
  <r>
    <x v="0"/>
    <x v="7"/>
    <x v="3"/>
    <x v="5"/>
    <x v="10"/>
    <x v="7"/>
    <x v="7"/>
    <x v="45"/>
    <x v="704"/>
    <x v="5"/>
    <x v="42"/>
    <x v="163"/>
    <x v="124"/>
    <x v="687"/>
    <x v="327"/>
    <x v="0"/>
    <x v="30"/>
    <x v="0"/>
    <x v="0"/>
    <x v="69"/>
    <x v="0"/>
    <x v="0"/>
    <x v="403"/>
    <x v="551"/>
    <x v="44"/>
    <x v="1"/>
    <x v="311"/>
    <x v="361"/>
    <x v="517"/>
    <x v="144"/>
    <x v="319"/>
    <x v="0"/>
    <x v="102"/>
    <x v="130"/>
    <x v="300"/>
    <x v="4"/>
    <x v="432"/>
    <x v="329"/>
    <x v="668"/>
  </r>
  <r>
    <x v="0"/>
    <x v="7"/>
    <x v="3"/>
    <x v="6"/>
    <x v="14"/>
    <x v="11"/>
    <x v="11"/>
    <x v="46"/>
    <x v="701"/>
    <x v="5"/>
    <x v="42"/>
    <x v="208"/>
    <x v="186"/>
    <x v="949"/>
    <x v="489"/>
    <x v="0"/>
    <x v="0"/>
    <x v="0"/>
    <x v="0"/>
    <x v="0"/>
    <x v="0"/>
    <x v="0"/>
    <x v="582"/>
    <x v="528"/>
    <x v="5"/>
    <x v="0"/>
    <x v="0"/>
    <x v="646"/>
    <x v="0"/>
    <x v="0"/>
    <x v="958"/>
    <x v="0"/>
    <x v="102"/>
    <x v="130"/>
    <x v="509"/>
    <x v="0"/>
    <x v="65"/>
    <x v="303"/>
    <x v="689"/>
  </r>
  <r>
    <x v="0"/>
    <x v="7"/>
    <x v="3"/>
    <x v="2"/>
    <x v="75"/>
    <x v="11"/>
    <x v="4"/>
    <x v="6"/>
    <x v="71"/>
    <x v="5"/>
    <x v="42"/>
    <x v="153"/>
    <x v="86"/>
    <x v="546"/>
    <x v="285"/>
    <x v="0"/>
    <x v="0"/>
    <x v="0"/>
    <x v="0"/>
    <x v="0"/>
    <x v="0"/>
    <x v="0"/>
    <x v="367"/>
    <x v="562"/>
    <x v="43"/>
    <x v="2"/>
    <x v="255"/>
    <x v="645"/>
    <x v="0"/>
    <x v="0"/>
    <x v="958"/>
    <x v="0"/>
    <x v="102"/>
    <x v="130"/>
    <x v="230"/>
    <x v="5"/>
    <x v="514"/>
    <x v="295"/>
    <x v="672"/>
  </r>
  <r>
    <x v="0"/>
    <x v="7"/>
    <x v="5"/>
    <x v="0"/>
    <x v="2"/>
    <x v="3"/>
    <x v="1"/>
    <x v="20"/>
    <x v="67"/>
    <x v="2"/>
    <x v="42"/>
    <x v="107"/>
    <x v="29"/>
    <x v="159"/>
    <x v="115"/>
    <x v="15"/>
    <x v="80"/>
    <x v="0"/>
    <x v="0"/>
    <x v="38"/>
    <x v="3"/>
    <x v="0"/>
    <x v="200"/>
    <x v="104"/>
    <x v="38"/>
    <x v="10"/>
    <x v="546"/>
    <x v="59"/>
    <x v="680"/>
    <x v="455"/>
    <x v="130"/>
    <x v="37"/>
    <x v="61"/>
    <x v="40"/>
    <x v="38"/>
    <x v="6"/>
    <x v="606"/>
    <x v="230"/>
    <x v="105"/>
  </r>
  <r>
    <x v="0"/>
    <x v="7"/>
    <x v="5"/>
    <x v="5"/>
    <x v="10"/>
    <x v="7"/>
    <x v="7"/>
    <x v="45"/>
    <x v="706"/>
    <x v="2"/>
    <x v="42"/>
    <x v="163"/>
    <x v="124"/>
    <x v="677"/>
    <x v="327"/>
    <x v="0"/>
    <x v="23"/>
    <x v="0"/>
    <x v="0"/>
    <x v="50"/>
    <x v="3"/>
    <x v="0"/>
    <x v="403"/>
    <x v="551"/>
    <x v="44"/>
    <x v="1"/>
    <x v="301"/>
    <x v="409"/>
    <x v="379"/>
    <x v="93"/>
    <x v="505"/>
    <x v="0"/>
    <x v="102"/>
    <x v="130"/>
    <x v="300"/>
    <x v="4"/>
    <x v="432"/>
    <x v="329"/>
    <x v="690"/>
  </r>
  <r>
    <x v="0"/>
    <x v="7"/>
    <x v="5"/>
    <x v="2"/>
    <x v="75"/>
    <x v="11"/>
    <x v="4"/>
    <x v="6"/>
    <x v="69"/>
    <x v="2"/>
    <x v="42"/>
    <x v="153"/>
    <x v="86"/>
    <x v="455"/>
    <x v="252"/>
    <x v="0"/>
    <x v="0"/>
    <x v="0"/>
    <x v="0"/>
    <x v="4"/>
    <x v="3"/>
    <x v="0"/>
    <x v="333"/>
    <x v="322"/>
    <x v="43"/>
    <x v="2"/>
    <x v="179"/>
    <x v="580"/>
    <x v="63"/>
    <x v="0"/>
    <x v="880"/>
    <x v="14"/>
    <x v="91"/>
    <x v="102"/>
    <x v="173"/>
    <x v="5"/>
    <x v="513"/>
    <x v="299"/>
    <x v="404"/>
  </r>
  <r>
    <x v="0"/>
    <x v="7"/>
    <x v="5"/>
    <x v="6"/>
    <x v="14"/>
    <x v="11"/>
    <x v="11"/>
    <x v="46"/>
    <x v="705"/>
    <x v="2"/>
    <x v="24"/>
    <x v="184"/>
    <x v="207"/>
    <x v="652"/>
    <x v="327"/>
    <x v="0"/>
    <x v="0"/>
    <x v="0"/>
    <x v="0"/>
    <x v="0"/>
    <x v="0"/>
    <x v="0"/>
    <x v="403"/>
    <x v="154"/>
    <x v="5"/>
    <x v="0"/>
    <x v="0"/>
    <x v="646"/>
    <x v="0"/>
    <x v="0"/>
    <x v="958"/>
    <x v="0"/>
    <x v="55"/>
    <x v="130"/>
    <x v="488"/>
    <x v="0"/>
    <x v="101"/>
    <x v="127"/>
    <x v="416"/>
  </r>
  <r>
    <x v="0"/>
    <x v="8"/>
    <x v="2"/>
    <x v="5"/>
    <x v="10"/>
    <x v="7"/>
    <x v="7"/>
    <x v="45"/>
    <x v="711"/>
    <x v="1"/>
    <x v="42"/>
    <x v="163"/>
    <x v="124"/>
    <x v="647"/>
    <x v="314"/>
    <x v="81"/>
    <x v="58"/>
    <x v="0"/>
    <x v="0"/>
    <x v="61"/>
    <x v="3"/>
    <x v="0"/>
    <x v="391"/>
    <x v="467"/>
    <x v="44"/>
    <x v="1"/>
    <x v="657"/>
    <x v="1"/>
    <x v="477"/>
    <x v="275"/>
    <x v="380"/>
    <x v="11"/>
    <x v="95"/>
    <x v="112"/>
    <x v="281"/>
    <x v="4"/>
    <x v="404"/>
    <x v="437"/>
    <x v="570"/>
  </r>
  <r>
    <x v="0"/>
    <x v="8"/>
    <x v="2"/>
    <x v="7"/>
    <x v="18"/>
    <x v="11"/>
    <x v="10"/>
    <x v="47"/>
    <x v="699"/>
    <x v="1"/>
    <x v="42"/>
    <x v="185"/>
    <x v="158"/>
    <x v="873"/>
    <x v="404"/>
    <x v="0"/>
    <x v="0"/>
    <x v="0"/>
    <x v="0"/>
    <x v="0"/>
    <x v="0"/>
    <x v="0"/>
    <x v="474"/>
    <x v="377"/>
    <x v="9"/>
    <x v="0"/>
    <x v="0"/>
    <x v="646"/>
    <x v="0"/>
    <x v="0"/>
    <x v="958"/>
    <x v="9"/>
    <x v="97"/>
    <x v="117"/>
    <x v="387"/>
    <x v="2"/>
    <x v="263"/>
    <x v="274"/>
    <x v="449"/>
  </r>
  <r>
    <x v="0"/>
    <x v="8"/>
    <x v="2"/>
    <x v="2"/>
    <x v="76"/>
    <x v="11"/>
    <x v="4"/>
    <x v="4"/>
    <x v="73"/>
    <x v="1"/>
    <x v="42"/>
    <x v="153"/>
    <x v="86"/>
    <x v="557"/>
    <x v="282"/>
    <x v="0"/>
    <x v="31"/>
    <x v="0"/>
    <x v="0"/>
    <x v="23"/>
    <x v="3"/>
    <x v="0"/>
    <x v="365"/>
    <x v="554"/>
    <x v="41"/>
    <x v="2"/>
    <x v="260"/>
    <x v="425"/>
    <x v="239"/>
    <x v="188"/>
    <x v="672"/>
    <x v="7"/>
    <x v="99"/>
    <x v="122"/>
    <x v="227"/>
    <x v="5"/>
    <x v="487"/>
    <x v="412"/>
    <x v="637"/>
  </r>
  <r>
    <x v="0"/>
    <x v="8"/>
    <x v="2"/>
    <x v="6"/>
    <x v="14"/>
    <x v="11"/>
    <x v="11"/>
    <x v="46"/>
    <x v="709"/>
    <x v="1"/>
    <x v="14"/>
    <x v="121"/>
    <x v="192"/>
    <x v="298"/>
    <x v="200"/>
    <x v="0"/>
    <x v="0"/>
    <x v="0"/>
    <x v="0"/>
    <x v="0"/>
    <x v="0"/>
    <x v="0"/>
    <x v="285"/>
    <x v="466"/>
    <x v="5"/>
    <x v="0"/>
    <x v="0"/>
    <x v="646"/>
    <x v="0"/>
    <x v="0"/>
    <x v="958"/>
    <x v="0"/>
    <x v="29"/>
    <x v="130"/>
    <x v="520"/>
    <x v="0"/>
    <x v="52"/>
    <x v="417"/>
    <x v="855"/>
  </r>
  <r>
    <x v="0"/>
    <x v="8"/>
    <x v="6"/>
    <x v="1"/>
    <x v="6"/>
    <x v="11"/>
    <x v="12"/>
    <x v="17"/>
    <x v="50"/>
    <x v="3"/>
    <x v="43"/>
    <x v="168"/>
    <x v="122"/>
    <x v="835"/>
    <x v="366"/>
    <x v="0"/>
    <x v="0"/>
    <x v="52"/>
    <x v="0"/>
    <x v="29"/>
    <x v="0"/>
    <x v="5"/>
    <x v="138"/>
    <x v="672"/>
    <x v="1"/>
    <x v="0"/>
    <x v="0"/>
    <x v="646"/>
    <x v="218"/>
    <x v="0"/>
    <x v="693"/>
    <x v="12"/>
    <x v="100"/>
    <x v="110"/>
    <x v="331"/>
    <x v="7"/>
    <x v="684"/>
    <x v="639"/>
    <x v="1022"/>
  </r>
  <r>
    <x v="0"/>
    <x v="8"/>
    <x v="6"/>
    <x v="8"/>
    <x v="60"/>
    <x v="11"/>
    <x v="19"/>
    <x v="48"/>
    <x v="696"/>
    <x v="6"/>
    <x v="43"/>
    <x v="225"/>
    <x v="204"/>
    <x v="973"/>
    <x v="517"/>
    <x v="0"/>
    <x v="0"/>
    <x v="0"/>
    <x v="0"/>
    <x v="84"/>
    <x v="0"/>
    <x v="1"/>
    <x v="467"/>
    <x v="332"/>
    <x v="25"/>
    <x v="0"/>
    <x v="0"/>
    <x v="646"/>
    <x v="265"/>
    <x v="0"/>
    <x v="642"/>
    <x v="21"/>
    <x v="91"/>
    <x v="87"/>
    <x v="527"/>
    <x v="3"/>
    <x v="245"/>
    <x v="549"/>
    <x v="534"/>
  </r>
  <r>
    <x v="0"/>
    <x v="8"/>
    <x v="3"/>
    <x v="7"/>
    <x v="18"/>
    <x v="11"/>
    <x v="10"/>
    <x v="47"/>
    <x v="701"/>
    <x v="5"/>
    <x v="42"/>
    <x v="185"/>
    <x v="158"/>
    <x v="898"/>
    <x v="436"/>
    <x v="0"/>
    <x v="0"/>
    <x v="0"/>
    <x v="0"/>
    <x v="0"/>
    <x v="0"/>
    <x v="0"/>
    <x v="521"/>
    <x v="547"/>
    <x v="9"/>
    <x v="0"/>
    <x v="0"/>
    <x v="646"/>
    <x v="0"/>
    <x v="0"/>
    <x v="958"/>
    <x v="9"/>
    <x v="97"/>
    <x v="117"/>
    <x v="439"/>
    <x v="2"/>
    <x v="181"/>
    <x v="436"/>
    <x v="626"/>
  </r>
  <r>
    <x v="0"/>
    <x v="8"/>
    <x v="3"/>
    <x v="6"/>
    <x v="14"/>
    <x v="11"/>
    <x v="11"/>
    <x v="46"/>
    <x v="712"/>
    <x v="5"/>
    <x v="42"/>
    <x v="188"/>
    <x v="161"/>
    <x v="878"/>
    <x v="410"/>
    <x v="0"/>
    <x v="0"/>
    <x v="0"/>
    <x v="0"/>
    <x v="0"/>
    <x v="0"/>
    <x v="0"/>
    <x v="482"/>
    <x v="394"/>
    <x v="5"/>
    <x v="0"/>
    <x v="0"/>
    <x v="646"/>
    <x v="0"/>
    <x v="0"/>
    <x v="958"/>
    <x v="32"/>
    <x v="68"/>
    <x v="54"/>
    <x v="394"/>
    <x v="0"/>
    <x v="92"/>
    <x v="152"/>
    <x v="137"/>
  </r>
  <r>
    <x v="0"/>
    <x v="8"/>
    <x v="3"/>
    <x v="5"/>
    <x v="10"/>
    <x v="7"/>
    <x v="7"/>
    <x v="45"/>
    <x v="715"/>
    <x v="5"/>
    <x v="42"/>
    <x v="163"/>
    <x v="124"/>
    <x v="586"/>
    <x v="292"/>
    <x v="0"/>
    <x v="26"/>
    <x v="0"/>
    <x v="0"/>
    <x v="51"/>
    <x v="0"/>
    <x v="0"/>
    <x v="373"/>
    <x v="347"/>
    <x v="44"/>
    <x v="1"/>
    <x v="248"/>
    <x v="393"/>
    <x v="421"/>
    <x v="138"/>
    <x v="445"/>
    <x v="0"/>
    <x v="102"/>
    <x v="130"/>
    <x v="247"/>
    <x v="4"/>
    <x v="497"/>
    <x v="158"/>
    <x v="443"/>
  </r>
  <r>
    <x v="0"/>
    <x v="8"/>
    <x v="3"/>
    <x v="2"/>
    <x v="76"/>
    <x v="11"/>
    <x v="4"/>
    <x v="4"/>
    <x v="74"/>
    <x v="5"/>
    <x v="14"/>
    <x v="33"/>
    <x v="101"/>
    <x v="71"/>
    <x v="64"/>
    <x v="0"/>
    <x v="0"/>
    <x v="0"/>
    <x v="0"/>
    <x v="0"/>
    <x v="0"/>
    <x v="0"/>
    <x v="150"/>
    <x v="466"/>
    <x v="41"/>
    <x v="2"/>
    <x v="16"/>
    <x v="645"/>
    <x v="0"/>
    <x v="0"/>
    <x v="958"/>
    <x v="0"/>
    <x v="29"/>
    <x v="130"/>
    <x v="209"/>
    <x v="5"/>
    <x v="527"/>
    <x v="229"/>
    <x v="567"/>
  </r>
  <r>
    <x v="0"/>
    <x v="8"/>
    <x v="3"/>
    <x v="2"/>
    <x v="76"/>
    <x v="11"/>
    <x v="4"/>
    <x v="4"/>
    <x v="75"/>
    <x v="5"/>
    <x v="34"/>
    <x v="122"/>
    <x v="80"/>
    <x v="425"/>
    <x v="233"/>
    <x v="0"/>
    <x v="0"/>
    <x v="0"/>
    <x v="0"/>
    <x v="5"/>
    <x v="0"/>
    <x v="0"/>
    <x v="319"/>
    <x v="653"/>
    <x v="41"/>
    <x v="2"/>
    <x v="150"/>
    <x v="627"/>
    <x v="86"/>
    <x v="0"/>
    <x v="852"/>
    <x v="0"/>
    <x v="76"/>
    <x v="130"/>
    <x v="264"/>
    <x v="5"/>
    <x v="475"/>
    <x v="444"/>
    <x v="890"/>
  </r>
  <r>
    <x v="0"/>
    <x v="8"/>
    <x v="5"/>
    <x v="0"/>
    <x v="0"/>
    <x v="4"/>
    <x v="0"/>
    <x v="13"/>
    <x v="72"/>
    <x v="2"/>
    <x v="7"/>
    <x v="12"/>
    <x v="45"/>
    <x v="20"/>
    <x v="18"/>
    <x v="17"/>
    <x v="10"/>
    <x v="0"/>
    <x v="0"/>
    <x v="10"/>
    <x v="3"/>
    <x v="0"/>
    <x v="82"/>
    <x v="308"/>
    <x v="38"/>
    <x v="5"/>
    <x v="34"/>
    <x v="53"/>
    <x v="664"/>
    <x v="422"/>
    <x v="155"/>
    <x v="0"/>
    <x v="18"/>
    <x v="130"/>
    <x v="112"/>
    <x v="6"/>
    <x v="592"/>
    <x v="385"/>
    <x v="733"/>
  </r>
  <r>
    <x v="0"/>
    <x v="8"/>
    <x v="5"/>
    <x v="5"/>
    <x v="10"/>
    <x v="7"/>
    <x v="7"/>
    <x v="45"/>
    <x v="716"/>
    <x v="2"/>
    <x v="42"/>
    <x v="163"/>
    <x v="124"/>
    <x v="746"/>
    <x v="346"/>
    <x v="0"/>
    <x v="0"/>
    <x v="0"/>
    <x v="0"/>
    <x v="65"/>
    <x v="3"/>
    <x v="0"/>
    <x v="414"/>
    <x v="623"/>
    <x v="44"/>
    <x v="1"/>
    <x v="362"/>
    <x v="460"/>
    <x v="463"/>
    <x v="0"/>
    <x v="393"/>
    <x v="0"/>
    <x v="102"/>
    <x v="130"/>
    <x v="320"/>
    <x v="4"/>
    <x v="407"/>
    <x v="429"/>
    <x v="825"/>
  </r>
  <r>
    <x v="0"/>
    <x v="8"/>
    <x v="5"/>
    <x v="6"/>
    <x v="14"/>
    <x v="11"/>
    <x v="11"/>
    <x v="46"/>
    <x v="717"/>
    <x v="2"/>
    <x v="24"/>
    <x v="184"/>
    <x v="207"/>
    <x v="780"/>
    <x v="351"/>
    <x v="0"/>
    <x v="0"/>
    <x v="0"/>
    <x v="0"/>
    <x v="0"/>
    <x v="0"/>
    <x v="0"/>
    <x v="419"/>
    <x v="197"/>
    <x v="5"/>
    <x v="0"/>
    <x v="0"/>
    <x v="646"/>
    <x v="0"/>
    <x v="0"/>
    <x v="958"/>
    <x v="0"/>
    <x v="55"/>
    <x v="130"/>
    <x v="507"/>
    <x v="0"/>
    <x v="70"/>
    <x v="255"/>
    <x v="603"/>
  </r>
  <r>
    <x v="0"/>
    <x v="8"/>
    <x v="5"/>
    <x v="2"/>
    <x v="76"/>
    <x v="11"/>
    <x v="4"/>
    <x v="4"/>
    <x v="76"/>
    <x v="2"/>
    <x v="42"/>
    <x v="188"/>
    <x v="161"/>
    <x v="530"/>
    <x v="275"/>
    <x v="7"/>
    <x v="0"/>
    <x v="0"/>
    <x v="0"/>
    <x v="15"/>
    <x v="3"/>
    <x v="0"/>
    <x v="359"/>
    <x v="81"/>
    <x v="41"/>
    <x v="2"/>
    <x v="245"/>
    <x v="495"/>
    <x v="173"/>
    <x v="0"/>
    <x v="743"/>
    <x v="0"/>
    <x v="102"/>
    <x v="130"/>
    <x v="215"/>
    <x v="5"/>
    <x v="524"/>
    <x v="248"/>
    <x v="584"/>
  </r>
  <r>
    <x v="0"/>
    <x v="9"/>
    <x v="2"/>
    <x v="5"/>
    <x v="10"/>
    <x v="7"/>
    <x v="7"/>
    <x v="45"/>
    <x v="722"/>
    <x v="1"/>
    <x v="42"/>
    <x v="163"/>
    <x v="124"/>
    <x v="680"/>
    <x v="327"/>
    <x v="0"/>
    <x v="22"/>
    <x v="0"/>
    <x v="0"/>
    <x v="58"/>
    <x v="3"/>
    <x v="0"/>
    <x v="403"/>
    <x v="551"/>
    <x v="44"/>
    <x v="1"/>
    <x v="304"/>
    <x v="392"/>
    <x v="437"/>
    <x v="76"/>
    <x v="428"/>
    <x v="11"/>
    <x v="95"/>
    <x v="112"/>
    <x v="300"/>
    <x v="4"/>
    <x v="387"/>
    <x v="502"/>
    <x v="682"/>
  </r>
  <r>
    <x v="0"/>
    <x v="9"/>
    <x v="2"/>
    <x v="7"/>
    <x v="18"/>
    <x v="11"/>
    <x v="10"/>
    <x v="47"/>
    <x v="707"/>
    <x v="1"/>
    <x v="42"/>
    <x v="188"/>
    <x v="161"/>
    <x v="885"/>
    <x v="421"/>
    <x v="0"/>
    <x v="0"/>
    <x v="0"/>
    <x v="0"/>
    <x v="0"/>
    <x v="0"/>
    <x v="0"/>
    <x v="499"/>
    <x v="439"/>
    <x v="9"/>
    <x v="0"/>
    <x v="0"/>
    <x v="646"/>
    <x v="0"/>
    <x v="0"/>
    <x v="958"/>
    <x v="9"/>
    <x v="97"/>
    <x v="117"/>
    <x v="415"/>
    <x v="2"/>
    <x v="224"/>
    <x v="365"/>
    <x v="533"/>
  </r>
  <r>
    <x v="0"/>
    <x v="9"/>
    <x v="2"/>
    <x v="0"/>
    <x v="2"/>
    <x v="3"/>
    <x v="1"/>
    <x v="20"/>
    <x v="77"/>
    <x v="1"/>
    <x v="42"/>
    <x v="107"/>
    <x v="29"/>
    <x v="262"/>
    <x v="183"/>
    <x v="4"/>
    <x v="22"/>
    <x v="0"/>
    <x v="0"/>
    <x v="49"/>
    <x v="3"/>
    <x v="0"/>
    <x v="266"/>
    <x v="565"/>
    <x v="38"/>
    <x v="10"/>
    <x v="633"/>
    <x v="252"/>
    <x v="610"/>
    <x v="217"/>
    <x v="212"/>
    <x v="17"/>
    <x v="87"/>
    <x v="91"/>
    <x v="93"/>
    <x v="6"/>
    <x v="575"/>
    <x v="496"/>
    <x v="475"/>
  </r>
  <r>
    <x v="0"/>
    <x v="9"/>
    <x v="2"/>
    <x v="2"/>
    <x v="76"/>
    <x v="11"/>
    <x v="4"/>
    <x v="4"/>
    <x v="82"/>
    <x v="1"/>
    <x v="28"/>
    <x v="118"/>
    <x v="119"/>
    <x v="306"/>
    <x v="200"/>
    <x v="0"/>
    <x v="12"/>
    <x v="0"/>
    <x v="0"/>
    <x v="10"/>
    <x v="1"/>
    <x v="0"/>
    <x v="285"/>
    <x v="553"/>
    <x v="41"/>
    <x v="2"/>
    <x v="114"/>
    <x v="484"/>
    <x v="165"/>
    <x v="102"/>
    <x v="753"/>
    <x v="0"/>
    <x v="63"/>
    <x v="130"/>
    <x v="280"/>
    <x v="5"/>
    <x v="458"/>
    <x v="496"/>
    <x v="948"/>
  </r>
  <r>
    <x v="0"/>
    <x v="9"/>
    <x v="2"/>
    <x v="2"/>
    <x v="76"/>
    <x v="11"/>
    <x v="4"/>
    <x v="4"/>
    <x v="84"/>
    <x v="1"/>
    <x v="20"/>
    <x v="40"/>
    <x v="45"/>
    <x v="98"/>
    <x v="83"/>
    <x v="0"/>
    <x v="5"/>
    <x v="0"/>
    <x v="0"/>
    <x v="5"/>
    <x v="1"/>
    <x v="0"/>
    <x v="171"/>
    <x v="466"/>
    <x v="41"/>
    <x v="2"/>
    <x v="25"/>
    <x v="444"/>
    <x v="184"/>
    <x v="149"/>
    <x v="733"/>
    <x v="11"/>
    <x v="31"/>
    <x v="68"/>
    <x v="134"/>
    <x v="5"/>
    <x v="502"/>
    <x v="360"/>
    <x v="261"/>
  </r>
  <r>
    <x v="0"/>
    <x v="9"/>
    <x v="6"/>
    <x v="1"/>
    <x v="7"/>
    <x v="11"/>
    <x v="12"/>
    <x v="21"/>
    <x v="67"/>
    <x v="3"/>
    <x v="40"/>
    <x v="155"/>
    <x v="115"/>
    <x v="539"/>
    <x v="280"/>
    <x v="0"/>
    <x v="0"/>
    <x v="25"/>
    <x v="0"/>
    <x v="30"/>
    <x v="0"/>
    <x v="5"/>
    <x v="103"/>
    <x v="474"/>
    <x v="2"/>
    <x v="0"/>
    <x v="0"/>
    <x v="646"/>
    <x v="282"/>
    <x v="0"/>
    <x v="621"/>
    <x v="19"/>
    <x v="77"/>
    <x v="85"/>
    <x v="252"/>
    <x v="7"/>
    <x v="708"/>
    <x v="547"/>
    <x v="529"/>
  </r>
  <r>
    <x v="0"/>
    <x v="9"/>
    <x v="6"/>
    <x v="8"/>
    <x v="60"/>
    <x v="11"/>
    <x v="19"/>
    <x v="48"/>
    <x v="703"/>
    <x v="6"/>
    <x v="43"/>
    <x v="225"/>
    <x v="204"/>
    <x v="1000"/>
    <x v="550"/>
    <x v="0"/>
    <x v="0"/>
    <x v="0"/>
    <x v="0"/>
    <x v="49"/>
    <x v="0"/>
    <x v="1"/>
    <x v="533"/>
    <x v="601"/>
    <x v="25"/>
    <x v="0"/>
    <x v="0"/>
    <x v="646"/>
    <x v="159"/>
    <x v="0"/>
    <x v="758"/>
    <x v="12"/>
    <x v="100"/>
    <x v="110"/>
    <x v="574"/>
    <x v="3"/>
    <x v="184"/>
    <x v="607"/>
    <x v="935"/>
  </r>
  <r>
    <x v="0"/>
    <x v="9"/>
    <x v="3"/>
    <x v="0"/>
    <x v="2"/>
    <x v="3"/>
    <x v="1"/>
    <x v="20"/>
    <x v="78"/>
    <x v="5"/>
    <x v="42"/>
    <x v="107"/>
    <x v="29"/>
    <x v="398"/>
    <x v="207"/>
    <x v="12"/>
    <x v="91"/>
    <x v="0"/>
    <x v="0"/>
    <x v="60"/>
    <x v="0"/>
    <x v="0"/>
    <x v="292"/>
    <x v="706"/>
    <x v="38"/>
    <x v="10"/>
    <x v="700"/>
    <x v="96"/>
    <x v="623"/>
    <x v="441"/>
    <x v="208"/>
    <x v="0"/>
    <x v="102"/>
    <x v="130"/>
    <x v="119"/>
    <x v="6"/>
    <x v="583"/>
    <x v="457"/>
    <x v="864"/>
  </r>
  <r>
    <x v="0"/>
    <x v="9"/>
    <x v="3"/>
    <x v="7"/>
    <x v="18"/>
    <x v="11"/>
    <x v="10"/>
    <x v="47"/>
    <x v="708"/>
    <x v="5"/>
    <x v="42"/>
    <x v="185"/>
    <x v="158"/>
    <x v="885"/>
    <x v="421"/>
    <x v="0"/>
    <x v="0"/>
    <x v="0"/>
    <x v="0"/>
    <x v="0"/>
    <x v="0"/>
    <x v="0"/>
    <x v="499"/>
    <x v="456"/>
    <x v="9"/>
    <x v="0"/>
    <x v="0"/>
    <x v="646"/>
    <x v="0"/>
    <x v="0"/>
    <x v="958"/>
    <x v="9"/>
    <x v="97"/>
    <x v="117"/>
    <x v="415"/>
    <x v="2"/>
    <x v="224"/>
    <x v="365"/>
    <x v="533"/>
  </r>
  <r>
    <x v="0"/>
    <x v="9"/>
    <x v="3"/>
    <x v="5"/>
    <x v="10"/>
    <x v="7"/>
    <x v="7"/>
    <x v="45"/>
    <x v="725"/>
    <x v="5"/>
    <x v="42"/>
    <x v="163"/>
    <x v="124"/>
    <x v="682"/>
    <x v="327"/>
    <x v="0"/>
    <x v="26"/>
    <x v="0"/>
    <x v="0"/>
    <x v="64"/>
    <x v="0"/>
    <x v="0"/>
    <x v="403"/>
    <x v="551"/>
    <x v="44"/>
    <x v="1"/>
    <x v="306"/>
    <x v="383"/>
    <x v="483"/>
    <x v="112"/>
    <x v="363"/>
    <x v="0"/>
    <x v="102"/>
    <x v="130"/>
    <x v="300"/>
    <x v="4"/>
    <x v="432"/>
    <x v="329"/>
    <x v="673"/>
  </r>
  <r>
    <x v="0"/>
    <x v="9"/>
    <x v="3"/>
    <x v="2"/>
    <x v="76"/>
    <x v="11"/>
    <x v="4"/>
    <x v="4"/>
    <x v="83"/>
    <x v="5"/>
    <x v="42"/>
    <x v="153"/>
    <x v="86"/>
    <x v="477"/>
    <x v="266"/>
    <x v="0"/>
    <x v="0"/>
    <x v="0"/>
    <x v="0"/>
    <x v="2"/>
    <x v="0"/>
    <x v="0"/>
    <x v="347"/>
    <x v="403"/>
    <x v="41"/>
    <x v="2"/>
    <x v="204"/>
    <x v="643"/>
    <x v="26"/>
    <x v="0"/>
    <x v="926"/>
    <x v="0"/>
    <x v="102"/>
    <x v="130"/>
    <x v="194"/>
    <x v="5"/>
    <x v="536"/>
    <x v="177"/>
    <x v="499"/>
  </r>
  <r>
    <x v="0"/>
    <x v="9"/>
    <x v="5"/>
    <x v="0"/>
    <x v="2"/>
    <x v="3"/>
    <x v="1"/>
    <x v="20"/>
    <x v="80"/>
    <x v="2"/>
    <x v="42"/>
    <x v="107"/>
    <x v="29"/>
    <x v="379"/>
    <x v="207"/>
    <x v="15"/>
    <x v="58"/>
    <x v="0"/>
    <x v="0"/>
    <x v="67"/>
    <x v="3"/>
    <x v="0"/>
    <x v="292"/>
    <x v="706"/>
    <x v="38"/>
    <x v="10"/>
    <x v="689"/>
    <x v="158"/>
    <x v="655"/>
    <x v="350"/>
    <x v="156"/>
    <x v="0"/>
    <x v="102"/>
    <x v="130"/>
    <x v="119"/>
    <x v="6"/>
    <x v="583"/>
    <x v="457"/>
    <x v="857"/>
  </r>
  <r>
    <x v="0"/>
    <x v="9"/>
    <x v="5"/>
    <x v="5"/>
    <x v="10"/>
    <x v="7"/>
    <x v="7"/>
    <x v="45"/>
    <x v="727"/>
    <x v="2"/>
    <x v="42"/>
    <x v="163"/>
    <x v="124"/>
    <x v="744"/>
    <x v="346"/>
    <x v="0"/>
    <x v="0"/>
    <x v="0"/>
    <x v="0"/>
    <x v="60"/>
    <x v="3"/>
    <x v="0"/>
    <x v="414"/>
    <x v="623"/>
    <x v="44"/>
    <x v="1"/>
    <x v="360"/>
    <x v="469"/>
    <x v="420"/>
    <x v="0"/>
    <x v="443"/>
    <x v="8"/>
    <x v="98"/>
    <x v="119"/>
    <x v="320"/>
    <x v="4"/>
    <x v="374"/>
    <x v="551"/>
    <x v="828"/>
  </r>
  <r>
    <x v="0"/>
    <x v="9"/>
    <x v="5"/>
    <x v="6"/>
    <x v="14"/>
    <x v="11"/>
    <x v="11"/>
    <x v="46"/>
    <x v="719"/>
    <x v="2"/>
    <x v="42"/>
    <x v="184"/>
    <x v="156"/>
    <x v="941"/>
    <x v="481"/>
    <x v="0"/>
    <x v="0"/>
    <x v="0"/>
    <x v="0"/>
    <x v="0"/>
    <x v="0"/>
    <x v="0"/>
    <x v="574"/>
    <x v="761"/>
    <x v="5"/>
    <x v="0"/>
    <x v="0"/>
    <x v="646"/>
    <x v="0"/>
    <x v="0"/>
    <x v="958"/>
    <x v="9"/>
    <x v="97"/>
    <x v="117"/>
    <x v="494"/>
    <x v="0"/>
    <x v="67"/>
    <x v="292"/>
    <x v="459"/>
  </r>
  <r>
    <x v="0"/>
    <x v="9"/>
    <x v="5"/>
    <x v="2"/>
    <x v="76"/>
    <x v="11"/>
    <x v="4"/>
    <x v="4"/>
    <x v="85"/>
    <x v="2"/>
    <x v="42"/>
    <x v="153"/>
    <x v="86"/>
    <x v="492"/>
    <x v="266"/>
    <x v="0"/>
    <x v="0"/>
    <x v="0"/>
    <x v="0"/>
    <x v="25"/>
    <x v="3"/>
    <x v="0"/>
    <x v="347"/>
    <x v="403"/>
    <x v="41"/>
    <x v="2"/>
    <x v="218"/>
    <x v="519"/>
    <x v="261"/>
    <x v="0"/>
    <x v="646"/>
    <x v="0"/>
    <x v="102"/>
    <x v="130"/>
    <x v="194"/>
    <x v="5"/>
    <x v="536"/>
    <x v="177"/>
    <x v="473"/>
  </r>
  <r>
    <x v="0"/>
    <x v="10"/>
    <x v="6"/>
    <x v="1"/>
    <x v="43"/>
    <x v="11"/>
    <x v="19"/>
    <x v="18"/>
    <x v="13"/>
    <x v="3"/>
    <x v="6"/>
    <x v="15"/>
    <x v="122"/>
    <x v="12"/>
    <x v="12"/>
    <x v="0"/>
    <x v="0"/>
    <x v="1"/>
    <x v="0"/>
    <x v="4"/>
    <x v="0"/>
    <x v="5"/>
    <x v="10"/>
    <x v="58"/>
    <x v="19"/>
    <x v="0"/>
    <x v="0"/>
    <x v="646"/>
    <x v="464"/>
    <x v="0"/>
    <x v="385"/>
    <x v="7"/>
    <x v="7"/>
    <x v="31"/>
    <x v="87"/>
    <x v="7"/>
    <x v="735"/>
    <x v="443"/>
    <x v="95"/>
  </r>
  <r>
    <x v="0"/>
    <x v="10"/>
    <x v="2"/>
    <x v="6"/>
    <x v="14"/>
    <x v="11"/>
    <x v="11"/>
    <x v="46"/>
    <x v="728"/>
    <x v="1"/>
    <x v="42"/>
    <x v="184"/>
    <x v="156"/>
    <x v="932"/>
    <x v="473"/>
    <x v="0"/>
    <x v="0"/>
    <x v="0"/>
    <x v="0"/>
    <x v="0"/>
    <x v="0"/>
    <x v="0"/>
    <x v="569"/>
    <x v="742"/>
    <x v="5"/>
    <x v="0"/>
    <x v="0"/>
    <x v="646"/>
    <x v="0"/>
    <x v="0"/>
    <x v="958"/>
    <x v="9"/>
    <x v="97"/>
    <x v="117"/>
    <x v="478"/>
    <x v="0"/>
    <x v="97"/>
    <x v="142"/>
    <x v="343"/>
  </r>
  <r>
    <x v="0"/>
    <x v="10"/>
    <x v="2"/>
    <x v="2"/>
    <x v="76"/>
    <x v="11"/>
    <x v="4"/>
    <x v="4"/>
    <x v="92"/>
    <x v="1"/>
    <x v="34"/>
    <x v="121"/>
    <x v="66"/>
    <x v="416"/>
    <x v="226"/>
    <x v="12"/>
    <x v="0"/>
    <x v="0"/>
    <x v="0"/>
    <x v="6"/>
    <x v="3"/>
    <x v="0"/>
    <x v="313"/>
    <x v="658"/>
    <x v="41"/>
    <x v="2"/>
    <x v="144"/>
    <x v="473"/>
    <x v="102"/>
    <x v="0"/>
    <x v="825"/>
    <x v="0"/>
    <x v="76"/>
    <x v="130"/>
    <x v="248"/>
    <x v="5"/>
    <x v="495"/>
    <x v="387"/>
    <x v="792"/>
  </r>
  <r>
    <x v="0"/>
    <x v="10"/>
    <x v="2"/>
    <x v="2"/>
    <x v="76"/>
    <x v="11"/>
    <x v="4"/>
    <x v="4"/>
    <x v="91"/>
    <x v="1"/>
    <x v="14"/>
    <x v="32"/>
    <x v="95"/>
    <x v="67"/>
    <x v="60"/>
    <x v="0"/>
    <x v="0"/>
    <x v="0"/>
    <x v="0"/>
    <x v="12"/>
    <x v="0"/>
    <x v="0"/>
    <x v="144"/>
    <x v="401"/>
    <x v="41"/>
    <x v="2"/>
    <x v="14"/>
    <x v="476"/>
    <x v="452"/>
    <x v="0"/>
    <x v="403"/>
    <x v="0"/>
    <x v="29"/>
    <x v="130"/>
    <x v="194"/>
    <x v="5"/>
    <x v="536"/>
    <x v="177"/>
    <x v="461"/>
  </r>
  <r>
    <x v="0"/>
    <x v="10"/>
    <x v="2"/>
    <x v="0"/>
    <x v="2"/>
    <x v="3"/>
    <x v="1"/>
    <x v="20"/>
    <x v="86"/>
    <x v="1"/>
    <x v="42"/>
    <x v="107"/>
    <x v="29"/>
    <x v="354"/>
    <x v="196"/>
    <x v="4"/>
    <x v="97"/>
    <x v="0"/>
    <x v="0"/>
    <x v="78"/>
    <x v="3"/>
    <x v="0"/>
    <x v="280"/>
    <x v="656"/>
    <x v="38"/>
    <x v="10"/>
    <x v="672"/>
    <x v="58"/>
    <x v="708"/>
    <x v="457"/>
    <x v="85"/>
    <x v="0"/>
    <x v="102"/>
    <x v="130"/>
    <x v="108"/>
    <x v="6"/>
    <x v="598"/>
    <x v="328"/>
    <x v="632"/>
  </r>
  <r>
    <x v="0"/>
    <x v="10"/>
    <x v="2"/>
    <x v="5"/>
    <x v="10"/>
    <x v="7"/>
    <x v="7"/>
    <x v="45"/>
    <x v="734"/>
    <x v="1"/>
    <x v="42"/>
    <x v="163"/>
    <x v="124"/>
    <x v="673"/>
    <x v="327"/>
    <x v="0"/>
    <x v="0"/>
    <x v="0"/>
    <x v="0"/>
    <x v="72"/>
    <x v="3"/>
    <x v="0"/>
    <x v="403"/>
    <x v="551"/>
    <x v="44"/>
    <x v="1"/>
    <x v="297"/>
    <x v="434"/>
    <x v="537"/>
    <x v="0"/>
    <x v="293"/>
    <x v="14"/>
    <x v="91"/>
    <x v="102"/>
    <x v="300"/>
    <x v="4"/>
    <x v="375"/>
    <x v="550"/>
    <x v="664"/>
  </r>
  <r>
    <x v="0"/>
    <x v="10"/>
    <x v="2"/>
    <x v="7"/>
    <x v="18"/>
    <x v="11"/>
    <x v="11"/>
    <x v="47"/>
    <x v="714"/>
    <x v="1"/>
    <x v="42"/>
    <x v="185"/>
    <x v="158"/>
    <x v="900"/>
    <x v="437"/>
    <x v="0"/>
    <x v="0"/>
    <x v="0"/>
    <x v="0"/>
    <x v="0"/>
    <x v="0"/>
    <x v="0"/>
    <x v="522"/>
    <x v="557"/>
    <x v="9"/>
    <x v="0"/>
    <x v="0"/>
    <x v="646"/>
    <x v="0"/>
    <x v="0"/>
    <x v="958"/>
    <x v="0"/>
    <x v="102"/>
    <x v="130"/>
    <x v="441"/>
    <x v="2"/>
    <x v="262"/>
    <x v="278"/>
    <x v="633"/>
  </r>
  <r>
    <x v="0"/>
    <x v="10"/>
    <x v="6"/>
    <x v="8"/>
    <x v="60"/>
    <x v="11"/>
    <x v="19"/>
    <x v="48"/>
    <x v="713"/>
    <x v="6"/>
    <x v="43"/>
    <x v="188"/>
    <x v="151"/>
    <x v="933"/>
    <x v="472"/>
    <x v="0"/>
    <x v="0"/>
    <x v="0"/>
    <x v="0"/>
    <x v="57"/>
    <x v="0"/>
    <x v="0"/>
    <x v="568"/>
    <x v="737"/>
    <x v="25"/>
    <x v="0"/>
    <x v="0"/>
    <x v="646"/>
    <x v="258"/>
    <x v="0"/>
    <x v="650"/>
    <x v="12"/>
    <x v="100"/>
    <x v="110"/>
    <x v="473"/>
    <x v="3"/>
    <x v="106"/>
    <x v="689"/>
    <x v="1140"/>
  </r>
  <r>
    <x v="0"/>
    <x v="10"/>
    <x v="6"/>
    <x v="1"/>
    <x v="43"/>
    <x v="11"/>
    <x v="12"/>
    <x v="18"/>
    <x v="14"/>
    <x v="3"/>
    <x v="24"/>
    <x v="92"/>
    <x v="107"/>
    <x v="168"/>
    <x v="128"/>
    <x v="0"/>
    <x v="0"/>
    <x v="24"/>
    <x v="0"/>
    <x v="27"/>
    <x v="0"/>
    <x v="5"/>
    <x v="62"/>
    <x v="272"/>
    <x v="19"/>
    <x v="0"/>
    <x v="0"/>
    <x v="646"/>
    <x v="545"/>
    <x v="0"/>
    <x v="286"/>
    <x v="19"/>
    <x v="36"/>
    <x v="54"/>
    <x v="164"/>
    <x v="7"/>
    <x v="713"/>
    <x v="536"/>
    <x v="251"/>
  </r>
  <r>
    <x v="0"/>
    <x v="10"/>
    <x v="6"/>
    <x v="1"/>
    <x v="7"/>
    <x v="11"/>
    <x v="12"/>
    <x v="21"/>
    <x v="79"/>
    <x v="3"/>
    <x v="27"/>
    <x v="121"/>
    <x v="140"/>
    <x v="158"/>
    <x v="123"/>
    <x v="0"/>
    <x v="0"/>
    <x v="13"/>
    <x v="0"/>
    <x v="11"/>
    <x v="0"/>
    <x v="5"/>
    <x v="59"/>
    <x v="73"/>
    <x v="2"/>
    <x v="0"/>
    <x v="0"/>
    <x v="646"/>
    <x v="263"/>
    <x v="0"/>
    <x v="644"/>
    <x v="25"/>
    <x v="36"/>
    <x v="42"/>
    <x v="117"/>
    <x v="7"/>
    <x v="735"/>
    <x v="443"/>
    <x v="149"/>
  </r>
  <r>
    <x v="0"/>
    <x v="10"/>
    <x v="3"/>
    <x v="2"/>
    <x v="76"/>
    <x v="11"/>
    <x v="4"/>
    <x v="4"/>
    <x v="90"/>
    <x v="5"/>
    <x v="42"/>
    <x v="153"/>
    <x v="86"/>
    <x v="420"/>
    <x v="230"/>
    <x v="0"/>
    <x v="0"/>
    <x v="0"/>
    <x v="0"/>
    <x v="5"/>
    <x v="0"/>
    <x v="0"/>
    <x v="317"/>
    <x v="233"/>
    <x v="41"/>
    <x v="2"/>
    <x v="147"/>
    <x v="626"/>
    <x v="88"/>
    <x v="0"/>
    <x v="850"/>
    <x v="16"/>
    <x v="89"/>
    <x v="95"/>
    <x v="147"/>
    <x v="5"/>
    <x v="535"/>
    <x v="188"/>
    <x v="298"/>
  </r>
  <r>
    <x v="0"/>
    <x v="10"/>
    <x v="3"/>
    <x v="0"/>
    <x v="2"/>
    <x v="3"/>
    <x v="1"/>
    <x v="20"/>
    <x v="88"/>
    <x v="5"/>
    <x v="42"/>
    <x v="107"/>
    <x v="29"/>
    <x v="304"/>
    <x v="196"/>
    <x v="0"/>
    <x v="32"/>
    <x v="0"/>
    <x v="0"/>
    <x v="65"/>
    <x v="0"/>
    <x v="0"/>
    <x v="280"/>
    <x v="656"/>
    <x v="38"/>
    <x v="10"/>
    <x v="650"/>
    <x v="231"/>
    <x v="667"/>
    <x v="268"/>
    <x v="128"/>
    <x v="0"/>
    <x v="102"/>
    <x v="130"/>
    <x v="108"/>
    <x v="6"/>
    <x v="598"/>
    <x v="328"/>
    <x v="639"/>
  </r>
  <r>
    <x v="0"/>
    <x v="10"/>
    <x v="3"/>
    <x v="5"/>
    <x v="10"/>
    <x v="7"/>
    <x v="7"/>
    <x v="45"/>
    <x v="737"/>
    <x v="5"/>
    <x v="42"/>
    <x v="163"/>
    <x v="124"/>
    <x v="807"/>
    <x v="351"/>
    <x v="0"/>
    <x v="34"/>
    <x v="0"/>
    <x v="0"/>
    <x v="68"/>
    <x v="0"/>
    <x v="0"/>
    <x v="419"/>
    <x v="665"/>
    <x v="44"/>
    <x v="1"/>
    <x v="415"/>
    <x v="376"/>
    <x v="465"/>
    <x v="146"/>
    <x v="389"/>
    <x v="0"/>
    <x v="102"/>
    <x v="130"/>
    <x v="329"/>
    <x v="4"/>
    <x v="388"/>
    <x v="499"/>
    <x v="925"/>
  </r>
  <r>
    <x v="0"/>
    <x v="10"/>
    <x v="3"/>
    <x v="7"/>
    <x v="18"/>
    <x v="11"/>
    <x v="10"/>
    <x v="47"/>
    <x v="723"/>
    <x v="5"/>
    <x v="42"/>
    <x v="185"/>
    <x v="158"/>
    <x v="898"/>
    <x v="436"/>
    <x v="0"/>
    <x v="0"/>
    <x v="0"/>
    <x v="0"/>
    <x v="0"/>
    <x v="0"/>
    <x v="0"/>
    <x v="521"/>
    <x v="547"/>
    <x v="9"/>
    <x v="0"/>
    <x v="0"/>
    <x v="646"/>
    <x v="0"/>
    <x v="0"/>
    <x v="958"/>
    <x v="0"/>
    <x v="102"/>
    <x v="130"/>
    <x v="439"/>
    <x v="2"/>
    <x v="265"/>
    <x v="272"/>
    <x v="626"/>
  </r>
  <r>
    <x v="0"/>
    <x v="10"/>
    <x v="5"/>
    <x v="5"/>
    <x v="10"/>
    <x v="3"/>
    <x v="1"/>
    <x v="45"/>
    <x v="740"/>
    <x v="2"/>
    <x v="42"/>
    <x v="163"/>
    <x v="124"/>
    <x v="582"/>
    <x v="292"/>
    <x v="27"/>
    <x v="9"/>
    <x v="0"/>
    <x v="0"/>
    <x v="40"/>
    <x v="3"/>
    <x v="0"/>
    <x v="373"/>
    <x v="347"/>
    <x v="44"/>
    <x v="1"/>
    <x v="252"/>
    <x v="298"/>
    <x v="333"/>
    <x v="28"/>
    <x v="558"/>
    <x v="19"/>
    <x v="84"/>
    <x v="89"/>
    <x v="247"/>
    <x v="4"/>
    <x v="396"/>
    <x v="471"/>
    <x v="446"/>
  </r>
  <r>
    <x v="0"/>
    <x v="10"/>
    <x v="5"/>
    <x v="6"/>
    <x v="14"/>
    <x v="11"/>
    <x v="11"/>
    <x v="46"/>
    <x v="735"/>
    <x v="2"/>
    <x v="42"/>
    <x v="208"/>
    <x v="186"/>
    <x v="947"/>
    <x v="487"/>
    <x v="0"/>
    <x v="0"/>
    <x v="0"/>
    <x v="0"/>
    <x v="0"/>
    <x v="0"/>
    <x v="0"/>
    <x v="579"/>
    <x v="466"/>
    <x v="5"/>
    <x v="0"/>
    <x v="0"/>
    <x v="646"/>
    <x v="0"/>
    <x v="0"/>
    <x v="958"/>
    <x v="9"/>
    <x v="97"/>
    <x v="117"/>
    <x v="507"/>
    <x v="0"/>
    <x v="52"/>
    <x v="417"/>
    <x v="603"/>
  </r>
  <r>
    <x v="0"/>
    <x v="10"/>
    <x v="5"/>
    <x v="0"/>
    <x v="2"/>
    <x v="3"/>
    <x v="1"/>
    <x v="20"/>
    <x v="89"/>
    <x v="2"/>
    <x v="42"/>
    <x v="107"/>
    <x v="29"/>
    <x v="307"/>
    <x v="196"/>
    <x v="0"/>
    <x v="30"/>
    <x v="0"/>
    <x v="0"/>
    <x v="72"/>
    <x v="3"/>
    <x v="0"/>
    <x v="280"/>
    <x v="656"/>
    <x v="38"/>
    <x v="10"/>
    <x v="651"/>
    <x v="202"/>
    <x v="693"/>
    <x v="251"/>
    <x v="92"/>
    <x v="9"/>
    <x v="97"/>
    <x v="117"/>
    <x v="108"/>
    <x v="6"/>
    <x v="577"/>
    <x v="491"/>
    <x v="634"/>
  </r>
  <r>
    <x v="0"/>
    <x v="10"/>
    <x v="5"/>
    <x v="2"/>
    <x v="77"/>
    <x v="11"/>
    <x v="4"/>
    <x v="5"/>
    <x v="91"/>
    <x v="2"/>
    <x v="42"/>
    <x v="153"/>
    <x v="86"/>
    <x v="485"/>
    <x v="266"/>
    <x v="35"/>
    <x v="0"/>
    <x v="0"/>
    <x v="0"/>
    <x v="6"/>
    <x v="3"/>
    <x v="0"/>
    <x v="347"/>
    <x v="403"/>
    <x v="42"/>
    <x v="2"/>
    <x v="229"/>
    <x v="343"/>
    <x v="89"/>
    <x v="0"/>
    <x v="849"/>
    <x v="17"/>
    <x v="87"/>
    <x v="91"/>
    <x v="194"/>
    <x v="5"/>
    <x v="465"/>
    <x v="476"/>
    <x v="492"/>
  </r>
  <r>
    <x v="0"/>
    <x v="11"/>
    <x v="2"/>
    <x v="5"/>
    <x v="10"/>
    <x v="7"/>
    <x v="7"/>
    <x v="45"/>
    <x v="743"/>
    <x v="1"/>
    <x v="34"/>
    <x v="137"/>
    <x v="122"/>
    <x v="519"/>
    <x v="266"/>
    <x v="52"/>
    <x v="71"/>
    <x v="0"/>
    <x v="0"/>
    <x v="62"/>
    <x v="3"/>
    <x v="0"/>
    <x v="347"/>
    <x v="631"/>
    <x v="44"/>
    <x v="1"/>
    <x v="216"/>
    <x v="81"/>
    <x v="566"/>
    <x v="352"/>
    <x v="273"/>
    <x v="0"/>
    <x v="76"/>
    <x v="130"/>
    <x v="322"/>
    <x v="4"/>
    <x v="403"/>
    <x v="444"/>
    <x v="849"/>
  </r>
  <r>
    <x v="0"/>
    <x v="11"/>
    <x v="2"/>
    <x v="6"/>
    <x v="14"/>
    <x v="11"/>
    <x v="11"/>
    <x v="46"/>
    <x v="744"/>
    <x v="1"/>
    <x v="20"/>
    <x v="148"/>
    <x v="184"/>
    <x v="475"/>
    <x v="266"/>
    <x v="0"/>
    <x v="0"/>
    <x v="0"/>
    <x v="0"/>
    <x v="0"/>
    <x v="0"/>
    <x v="0"/>
    <x v="347"/>
    <x v="466"/>
    <x v="5"/>
    <x v="0"/>
    <x v="0"/>
    <x v="646"/>
    <x v="0"/>
    <x v="0"/>
    <x v="958"/>
    <x v="0"/>
    <x v="42"/>
    <x v="130"/>
    <x v="499"/>
    <x v="0"/>
    <x v="78"/>
    <x v="202"/>
    <x v="535"/>
  </r>
  <r>
    <x v="0"/>
    <x v="11"/>
    <x v="2"/>
    <x v="7"/>
    <x v="18"/>
    <x v="11"/>
    <x v="10"/>
    <x v="47"/>
    <x v="724"/>
    <x v="1"/>
    <x v="42"/>
    <x v="184"/>
    <x v="156"/>
    <x v="475"/>
    <x v="266"/>
    <x v="0"/>
    <x v="0"/>
    <x v="0"/>
    <x v="0"/>
    <x v="0"/>
    <x v="0"/>
    <x v="0"/>
    <x v="347"/>
    <x v="70"/>
    <x v="9"/>
    <x v="0"/>
    <x v="0"/>
    <x v="646"/>
    <x v="0"/>
    <x v="0"/>
    <x v="958"/>
    <x v="43"/>
    <x v="54"/>
    <x v="30"/>
    <x v="194"/>
    <x v="2"/>
    <x v="154"/>
    <x v="486"/>
    <x v="100"/>
  </r>
  <r>
    <x v="0"/>
    <x v="11"/>
    <x v="2"/>
    <x v="0"/>
    <x v="2"/>
    <x v="3"/>
    <x v="1"/>
    <x v="20"/>
    <x v="94"/>
    <x v="1"/>
    <x v="42"/>
    <x v="107"/>
    <x v="29"/>
    <x v="82"/>
    <x v="66"/>
    <x v="5"/>
    <x v="13"/>
    <x v="0"/>
    <x v="0"/>
    <x v="32"/>
    <x v="3"/>
    <x v="0"/>
    <x v="155"/>
    <x v="33"/>
    <x v="38"/>
    <x v="10"/>
    <x v="377"/>
    <x v="117"/>
    <x v="728"/>
    <x v="324"/>
    <x v="53"/>
    <x v="51"/>
    <x v="40"/>
    <x v="15"/>
    <x v="16"/>
    <x v="6"/>
    <x v="590"/>
    <x v="405"/>
    <x v="34"/>
  </r>
  <r>
    <x v="0"/>
    <x v="11"/>
    <x v="2"/>
    <x v="2"/>
    <x v="77"/>
    <x v="11"/>
    <x v="4"/>
    <x v="5"/>
    <x v="98"/>
    <x v="1"/>
    <x v="42"/>
    <x v="153"/>
    <x v="86"/>
    <x v="483"/>
    <x v="266"/>
    <x v="0"/>
    <x v="1"/>
    <x v="0"/>
    <x v="0"/>
    <x v="2"/>
    <x v="3"/>
    <x v="0"/>
    <x v="347"/>
    <x v="403"/>
    <x v="42"/>
    <x v="2"/>
    <x v="211"/>
    <x v="587"/>
    <x v="26"/>
    <x v="3"/>
    <x v="928"/>
    <x v="14"/>
    <x v="91"/>
    <x v="102"/>
    <x v="194"/>
    <x v="5"/>
    <x v="490"/>
    <x v="404"/>
    <x v="501"/>
  </r>
  <r>
    <x v="0"/>
    <x v="11"/>
    <x v="6"/>
    <x v="1"/>
    <x v="7"/>
    <x v="11"/>
    <x v="12"/>
    <x v="21"/>
    <x v="81"/>
    <x v="3"/>
    <x v="43"/>
    <x v="168"/>
    <x v="122"/>
    <x v="711"/>
    <x v="339"/>
    <x v="0"/>
    <x v="0"/>
    <x v="54"/>
    <x v="0"/>
    <x v="21"/>
    <x v="0"/>
    <x v="5"/>
    <x v="123"/>
    <x v="506"/>
    <x v="2"/>
    <x v="0"/>
    <x v="0"/>
    <x v="646"/>
    <x v="187"/>
    <x v="0"/>
    <x v="725"/>
    <x v="12"/>
    <x v="100"/>
    <x v="110"/>
    <x v="286"/>
    <x v="7"/>
    <x v="723"/>
    <x v="512"/>
    <x v="707"/>
  </r>
  <r>
    <x v="0"/>
    <x v="11"/>
    <x v="6"/>
    <x v="9"/>
    <x v="23"/>
    <x v="11"/>
    <x v="17"/>
    <x v="44"/>
    <x v="643"/>
    <x v="6"/>
    <x v="43"/>
    <x v="228"/>
    <x v="226"/>
    <x v="952"/>
    <x v="493"/>
    <x v="0"/>
    <x v="0"/>
    <x v="0"/>
    <x v="0"/>
    <x v="50"/>
    <x v="0"/>
    <x v="1"/>
    <x v="429"/>
    <x v="151"/>
    <x v="14"/>
    <x v="0"/>
    <x v="0"/>
    <x v="646"/>
    <x v="202"/>
    <x v="0"/>
    <x v="710"/>
    <x v="28"/>
    <x v="80"/>
    <x v="67"/>
    <x v="503"/>
    <x v="1"/>
    <x v="271"/>
    <x v="35"/>
    <x v="88"/>
  </r>
  <r>
    <x v="0"/>
    <x v="11"/>
    <x v="6"/>
    <x v="8"/>
    <x v="60"/>
    <x v="11"/>
    <x v="19"/>
    <x v="48"/>
    <x v="718"/>
    <x v="6"/>
    <x v="43"/>
    <x v="225"/>
    <x v="204"/>
    <x v="963"/>
    <x v="502"/>
    <x v="0"/>
    <x v="0"/>
    <x v="0"/>
    <x v="0"/>
    <x v="84"/>
    <x v="0"/>
    <x v="0"/>
    <x v="587"/>
    <x v="258"/>
    <x v="25"/>
    <x v="0"/>
    <x v="0"/>
    <x v="646"/>
    <x v="277"/>
    <x v="0"/>
    <x v="626"/>
    <x v="12"/>
    <x v="100"/>
    <x v="110"/>
    <x v="510"/>
    <x v="3"/>
    <x v="40"/>
    <x v="739"/>
    <x v="1189"/>
  </r>
  <r>
    <x v="0"/>
    <x v="11"/>
    <x v="3"/>
    <x v="6"/>
    <x v="14"/>
    <x v="11"/>
    <x v="11"/>
    <x v="46"/>
    <x v="746"/>
    <x v="5"/>
    <x v="10"/>
    <x v="83"/>
    <x v="184"/>
    <x v="178"/>
    <x v="143"/>
    <x v="0"/>
    <x v="0"/>
    <x v="0"/>
    <x v="0"/>
    <x v="0"/>
    <x v="0"/>
    <x v="0"/>
    <x v="222"/>
    <x v="466"/>
    <x v="5"/>
    <x v="0"/>
    <x v="0"/>
    <x v="646"/>
    <x v="0"/>
    <x v="0"/>
    <x v="958"/>
    <x v="0"/>
    <x v="22"/>
    <x v="130"/>
    <x v="499"/>
    <x v="0"/>
    <x v="78"/>
    <x v="202"/>
    <x v="535"/>
  </r>
  <r>
    <x v="0"/>
    <x v="11"/>
    <x v="3"/>
    <x v="5"/>
    <x v="10"/>
    <x v="7"/>
    <x v="7"/>
    <x v="45"/>
    <x v="745"/>
    <x v="5"/>
    <x v="42"/>
    <x v="163"/>
    <x v="124"/>
    <x v="760"/>
    <x v="346"/>
    <x v="0"/>
    <x v="35"/>
    <x v="0"/>
    <x v="0"/>
    <x v="72"/>
    <x v="0"/>
    <x v="0"/>
    <x v="414"/>
    <x v="623"/>
    <x v="44"/>
    <x v="1"/>
    <x v="382"/>
    <x v="357"/>
    <x v="510"/>
    <x v="159"/>
    <x v="327"/>
    <x v="0"/>
    <x v="102"/>
    <x v="130"/>
    <x v="320"/>
    <x v="4"/>
    <x v="407"/>
    <x v="429"/>
    <x v="816"/>
  </r>
  <r>
    <x v="0"/>
    <x v="11"/>
    <x v="3"/>
    <x v="0"/>
    <x v="2"/>
    <x v="3"/>
    <x v="1"/>
    <x v="20"/>
    <x v="95"/>
    <x v="5"/>
    <x v="42"/>
    <x v="107"/>
    <x v="29"/>
    <x v="349"/>
    <x v="207"/>
    <x v="2"/>
    <x v="0"/>
    <x v="0"/>
    <x v="0"/>
    <x v="48"/>
    <x v="0"/>
    <x v="0"/>
    <x v="292"/>
    <x v="706"/>
    <x v="38"/>
    <x v="10"/>
    <x v="670"/>
    <x v="429"/>
    <x v="561"/>
    <x v="0"/>
    <x v="265"/>
    <x v="0"/>
    <x v="102"/>
    <x v="130"/>
    <x v="119"/>
    <x v="6"/>
    <x v="583"/>
    <x v="457"/>
    <x v="874"/>
  </r>
  <r>
    <x v="0"/>
    <x v="11"/>
    <x v="3"/>
    <x v="7"/>
    <x v="18"/>
    <x v="11"/>
    <x v="10"/>
    <x v="47"/>
    <x v="729"/>
    <x v="5"/>
    <x v="42"/>
    <x v="185"/>
    <x v="158"/>
    <x v="898"/>
    <x v="436"/>
    <x v="0"/>
    <x v="0"/>
    <x v="0"/>
    <x v="0"/>
    <x v="0"/>
    <x v="0"/>
    <x v="0"/>
    <x v="521"/>
    <x v="547"/>
    <x v="9"/>
    <x v="0"/>
    <x v="0"/>
    <x v="646"/>
    <x v="0"/>
    <x v="0"/>
    <x v="958"/>
    <x v="9"/>
    <x v="97"/>
    <x v="117"/>
    <x v="439"/>
    <x v="2"/>
    <x v="181"/>
    <x v="436"/>
    <x v="626"/>
  </r>
  <r>
    <x v="0"/>
    <x v="11"/>
    <x v="3"/>
    <x v="4"/>
    <x v="56"/>
    <x v="11"/>
    <x v="9"/>
    <x v="49"/>
    <x v="720"/>
    <x v="5"/>
    <x v="42"/>
    <x v="185"/>
    <x v="158"/>
    <x v="838"/>
    <x v="371"/>
    <x v="0"/>
    <x v="0"/>
    <x v="0"/>
    <x v="0"/>
    <x v="0"/>
    <x v="0"/>
    <x v="0"/>
    <x v="439"/>
    <x v="254"/>
    <x v="13"/>
    <x v="0"/>
    <x v="0"/>
    <x v="646"/>
    <x v="0"/>
    <x v="0"/>
    <x v="958"/>
    <x v="23"/>
    <x v="80"/>
    <x v="77"/>
    <x v="354"/>
    <x v="2"/>
    <x v="235"/>
    <x v="342"/>
    <x v="331"/>
  </r>
  <r>
    <x v="0"/>
    <x v="11"/>
    <x v="3"/>
    <x v="2"/>
    <x v="77"/>
    <x v="11"/>
    <x v="4"/>
    <x v="5"/>
    <x v="99"/>
    <x v="5"/>
    <x v="16"/>
    <x v="47"/>
    <x v="78"/>
    <x v="106"/>
    <x v="90"/>
    <x v="0"/>
    <x v="0"/>
    <x v="0"/>
    <x v="0"/>
    <x v="0"/>
    <x v="0"/>
    <x v="0"/>
    <x v="179"/>
    <x v="563"/>
    <x v="42"/>
    <x v="2"/>
    <x v="29"/>
    <x v="645"/>
    <x v="0"/>
    <x v="0"/>
    <x v="958"/>
    <x v="0"/>
    <x v="35"/>
    <x v="130"/>
    <x v="230"/>
    <x v="5"/>
    <x v="514"/>
    <x v="295"/>
    <x v="672"/>
  </r>
  <r>
    <x v="0"/>
    <x v="11"/>
    <x v="3"/>
    <x v="2"/>
    <x v="77"/>
    <x v="11"/>
    <x v="4"/>
    <x v="5"/>
    <x v="101"/>
    <x v="5"/>
    <x v="31"/>
    <x v="117"/>
    <x v="91"/>
    <x v="300"/>
    <x v="200"/>
    <x v="0"/>
    <x v="0"/>
    <x v="0"/>
    <x v="0"/>
    <x v="8"/>
    <x v="0"/>
    <x v="0"/>
    <x v="285"/>
    <x v="574"/>
    <x v="42"/>
    <x v="2"/>
    <x v="112"/>
    <x v="598"/>
    <x v="139"/>
    <x v="0"/>
    <x v="780"/>
    <x v="0"/>
    <x v="70"/>
    <x v="130"/>
    <x v="232"/>
    <x v="5"/>
    <x v="510"/>
    <x v="322"/>
    <x v="703"/>
  </r>
  <r>
    <x v="0"/>
    <x v="11"/>
    <x v="5"/>
    <x v="2"/>
    <x v="77"/>
    <x v="11"/>
    <x v="4"/>
    <x v="5"/>
    <x v="102"/>
    <x v="2"/>
    <x v="20"/>
    <x v="59"/>
    <x v="69"/>
    <x v="134"/>
    <x v="111"/>
    <x v="11"/>
    <x v="0"/>
    <x v="0"/>
    <x v="0"/>
    <x v="0"/>
    <x v="3"/>
    <x v="0"/>
    <x v="197"/>
    <x v="514"/>
    <x v="42"/>
    <x v="2"/>
    <x v="43"/>
    <x v="362"/>
    <x v="0"/>
    <x v="0"/>
    <x v="958"/>
    <x v="7"/>
    <x v="35"/>
    <x v="89"/>
    <x v="214"/>
    <x v="5"/>
    <x v="428"/>
    <x v="556"/>
    <x v="585"/>
  </r>
  <r>
    <x v="0"/>
    <x v="11"/>
    <x v="5"/>
    <x v="2"/>
    <x v="78"/>
    <x v="11"/>
    <x v="4"/>
    <x v="8"/>
    <x v="100"/>
    <x v="2"/>
    <x v="28"/>
    <x v="111"/>
    <x v="101"/>
    <x v="303"/>
    <x v="200"/>
    <x v="0"/>
    <x v="0"/>
    <x v="0"/>
    <x v="0"/>
    <x v="4"/>
    <x v="3"/>
    <x v="0"/>
    <x v="285"/>
    <x v="669"/>
    <x v="39"/>
    <x v="2"/>
    <x v="113"/>
    <x v="562"/>
    <x v="84"/>
    <x v="0"/>
    <x v="857"/>
    <x v="0"/>
    <x v="63"/>
    <x v="130"/>
    <x v="280"/>
    <x v="5"/>
    <x v="458"/>
    <x v="496"/>
    <x v="960"/>
  </r>
  <r>
    <x v="0"/>
    <x v="11"/>
    <x v="5"/>
    <x v="5"/>
    <x v="10"/>
    <x v="7"/>
    <x v="7"/>
    <x v="45"/>
    <x v="750"/>
    <x v="2"/>
    <x v="42"/>
    <x v="163"/>
    <x v="124"/>
    <x v="735"/>
    <x v="341"/>
    <x v="83"/>
    <x v="52"/>
    <x v="0"/>
    <x v="0"/>
    <x v="54"/>
    <x v="3"/>
    <x v="0"/>
    <x v="412"/>
    <x v="604"/>
    <x v="44"/>
    <x v="1"/>
    <x v="0"/>
    <x v="646"/>
    <x v="391"/>
    <x v="231"/>
    <x v="491"/>
    <x v="11"/>
    <x v="95"/>
    <x v="112"/>
    <x v="314"/>
    <x v="4"/>
    <x v="371"/>
    <x v="554"/>
    <x v="782"/>
  </r>
  <r>
    <x v="0"/>
    <x v="11"/>
    <x v="5"/>
    <x v="0"/>
    <x v="2"/>
    <x v="3"/>
    <x v="1"/>
    <x v="20"/>
    <x v="97"/>
    <x v="2"/>
    <x v="42"/>
    <x v="107"/>
    <x v="29"/>
    <x v="388"/>
    <x v="213"/>
    <x v="0"/>
    <x v="12"/>
    <x v="0"/>
    <x v="0"/>
    <x v="37"/>
    <x v="3"/>
    <x v="0"/>
    <x v="299"/>
    <x v="723"/>
    <x v="38"/>
    <x v="10"/>
    <x v="692"/>
    <x v="379"/>
    <x v="427"/>
    <x v="85"/>
    <x v="441"/>
    <x v="5"/>
    <x v="100"/>
    <x v="127"/>
    <x v="126"/>
    <x v="6"/>
    <x v="559"/>
    <x v="565"/>
    <x v="970"/>
  </r>
  <r>
    <x v="0"/>
    <x v="12"/>
    <x v="2"/>
    <x v="5"/>
    <x v="10"/>
    <x v="11"/>
    <x v="19"/>
    <x v="45"/>
    <x v="756"/>
    <x v="1"/>
    <x v="42"/>
    <x v="163"/>
    <x v="124"/>
    <x v="700"/>
    <x v="327"/>
    <x v="0"/>
    <x v="71"/>
    <x v="0"/>
    <x v="0"/>
    <x v="40"/>
    <x v="3"/>
    <x v="0"/>
    <x v="403"/>
    <x v="551"/>
    <x v="44"/>
    <x v="1"/>
    <x v="325"/>
    <x v="292"/>
    <x v="313"/>
    <x v="314"/>
    <x v="591"/>
    <x v="0"/>
    <x v="102"/>
    <x v="130"/>
    <x v="300"/>
    <x v="4"/>
    <x v="432"/>
    <x v="329"/>
    <x v="701"/>
  </r>
  <r>
    <x v="0"/>
    <x v="12"/>
    <x v="2"/>
    <x v="0"/>
    <x v="2"/>
    <x v="3"/>
    <x v="1"/>
    <x v="20"/>
    <x v="103"/>
    <x v="1"/>
    <x v="42"/>
    <x v="107"/>
    <x v="29"/>
    <x v="376"/>
    <x v="207"/>
    <x v="9"/>
    <x v="48"/>
    <x v="0"/>
    <x v="0"/>
    <x v="72"/>
    <x v="3"/>
    <x v="0"/>
    <x v="292"/>
    <x v="706"/>
    <x v="38"/>
    <x v="10"/>
    <x v="688"/>
    <x v="174"/>
    <x v="676"/>
    <x v="317"/>
    <x v="117"/>
    <x v="0"/>
    <x v="102"/>
    <x v="130"/>
    <x v="119"/>
    <x v="6"/>
    <x v="583"/>
    <x v="457"/>
    <x v="842"/>
  </r>
  <r>
    <x v="0"/>
    <x v="12"/>
    <x v="2"/>
    <x v="7"/>
    <x v="18"/>
    <x v="11"/>
    <x v="19"/>
    <x v="47"/>
    <x v="738"/>
    <x v="1"/>
    <x v="42"/>
    <x v="184"/>
    <x v="156"/>
    <x v="885"/>
    <x v="421"/>
    <x v="0"/>
    <x v="0"/>
    <x v="0"/>
    <x v="0"/>
    <x v="0"/>
    <x v="0"/>
    <x v="0"/>
    <x v="499"/>
    <x v="466"/>
    <x v="9"/>
    <x v="0"/>
    <x v="0"/>
    <x v="646"/>
    <x v="0"/>
    <x v="0"/>
    <x v="958"/>
    <x v="9"/>
    <x v="97"/>
    <x v="117"/>
    <x v="415"/>
    <x v="2"/>
    <x v="224"/>
    <x v="365"/>
    <x v="533"/>
  </r>
  <r>
    <x v="0"/>
    <x v="12"/>
    <x v="2"/>
    <x v="6"/>
    <x v="14"/>
    <x v="11"/>
    <x v="19"/>
    <x v="46"/>
    <x v="749"/>
    <x v="1"/>
    <x v="14"/>
    <x v="121"/>
    <x v="192"/>
    <x v="385"/>
    <x v="216"/>
    <x v="0"/>
    <x v="0"/>
    <x v="0"/>
    <x v="0"/>
    <x v="0"/>
    <x v="0"/>
    <x v="0"/>
    <x v="302"/>
    <x v="622"/>
    <x v="5"/>
    <x v="0"/>
    <x v="0"/>
    <x v="646"/>
    <x v="0"/>
    <x v="0"/>
    <x v="958"/>
    <x v="0"/>
    <x v="29"/>
    <x v="130"/>
    <x v="544"/>
    <x v="0"/>
    <x v="38"/>
    <x v="563"/>
    <x v="1051"/>
  </r>
  <r>
    <x v="0"/>
    <x v="12"/>
    <x v="2"/>
    <x v="4"/>
    <x v="56"/>
    <x v="11"/>
    <x v="19"/>
    <x v="49"/>
    <x v="721"/>
    <x v="1"/>
    <x v="28"/>
    <x v="157"/>
    <x v="156"/>
    <x v="537"/>
    <x v="282"/>
    <x v="0"/>
    <x v="0"/>
    <x v="0"/>
    <x v="0"/>
    <x v="0"/>
    <x v="0"/>
    <x v="0"/>
    <x v="365"/>
    <x v="430"/>
    <x v="13"/>
    <x v="0"/>
    <x v="0"/>
    <x v="646"/>
    <x v="0"/>
    <x v="0"/>
    <x v="958"/>
    <x v="9"/>
    <x v="57"/>
    <x v="100"/>
    <x v="400"/>
    <x v="2"/>
    <x v="187"/>
    <x v="427"/>
    <x v="506"/>
  </r>
  <r>
    <x v="0"/>
    <x v="12"/>
    <x v="2"/>
    <x v="2"/>
    <x v="78"/>
    <x v="11"/>
    <x v="4"/>
    <x v="8"/>
    <x v="109"/>
    <x v="1"/>
    <x v="42"/>
    <x v="153"/>
    <x v="86"/>
    <x v="483"/>
    <x v="266"/>
    <x v="0"/>
    <x v="0"/>
    <x v="0"/>
    <x v="0"/>
    <x v="4"/>
    <x v="3"/>
    <x v="0"/>
    <x v="347"/>
    <x v="403"/>
    <x v="39"/>
    <x v="2"/>
    <x v="211"/>
    <x v="587"/>
    <x v="60"/>
    <x v="0"/>
    <x v="885"/>
    <x v="11"/>
    <x v="95"/>
    <x v="112"/>
    <x v="194"/>
    <x v="5"/>
    <x v="506"/>
    <x v="339"/>
    <x v="495"/>
  </r>
  <r>
    <x v="0"/>
    <x v="12"/>
    <x v="6"/>
    <x v="8"/>
    <x v="60"/>
    <x v="11"/>
    <x v="19"/>
    <x v="48"/>
    <x v="726"/>
    <x v="6"/>
    <x v="43"/>
    <x v="225"/>
    <x v="204"/>
    <x v="963"/>
    <x v="503"/>
    <x v="0"/>
    <x v="0"/>
    <x v="0"/>
    <x v="0"/>
    <x v="61"/>
    <x v="0"/>
    <x v="1"/>
    <x v="445"/>
    <x v="261"/>
    <x v="25"/>
    <x v="0"/>
    <x v="0"/>
    <x v="646"/>
    <x v="221"/>
    <x v="0"/>
    <x v="689"/>
    <x v="25"/>
    <x v="84"/>
    <x v="75"/>
    <x v="512"/>
    <x v="3"/>
    <x v="259"/>
    <x v="519"/>
    <x v="414"/>
  </r>
  <r>
    <x v="0"/>
    <x v="12"/>
    <x v="6"/>
    <x v="9"/>
    <x v="24"/>
    <x v="11"/>
    <x v="19"/>
    <x v="32"/>
    <x v="644"/>
    <x v="6"/>
    <x v="43"/>
    <x v="228"/>
    <x v="226"/>
    <x v="999"/>
    <x v="549"/>
    <x v="0"/>
    <x v="0"/>
    <x v="0"/>
    <x v="0"/>
    <x v="41"/>
    <x v="0"/>
    <x v="1"/>
    <x v="532"/>
    <x v="366"/>
    <x v="15"/>
    <x v="0"/>
    <x v="0"/>
    <x v="646"/>
    <x v="140"/>
    <x v="0"/>
    <x v="779"/>
    <x v="12"/>
    <x v="100"/>
    <x v="110"/>
    <x v="573"/>
    <x v="1"/>
    <x v="185"/>
    <x v="56"/>
    <x v="185"/>
  </r>
  <r>
    <x v="0"/>
    <x v="12"/>
    <x v="6"/>
    <x v="1"/>
    <x v="7"/>
    <x v="11"/>
    <x v="19"/>
    <x v="21"/>
    <x v="87"/>
    <x v="3"/>
    <x v="43"/>
    <x v="168"/>
    <x v="122"/>
    <x v="459"/>
    <x v="251"/>
    <x v="0"/>
    <x v="0"/>
    <x v="33"/>
    <x v="0"/>
    <x v="32"/>
    <x v="0"/>
    <x v="5"/>
    <x v="97"/>
    <x v="166"/>
    <x v="2"/>
    <x v="0"/>
    <x v="0"/>
    <x v="646"/>
    <x v="324"/>
    <x v="0"/>
    <x v="569"/>
    <x v="33"/>
    <x v="72"/>
    <x v="54"/>
    <x v="155"/>
    <x v="7"/>
    <x v="725"/>
    <x v="497"/>
    <x v="229"/>
  </r>
  <r>
    <x v="0"/>
    <x v="12"/>
    <x v="3"/>
    <x v="7"/>
    <x v="18"/>
    <x v="11"/>
    <x v="19"/>
    <x v="47"/>
    <x v="739"/>
    <x v="5"/>
    <x v="42"/>
    <x v="184"/>
    <x v="156"/>
    <x v="885"/>
    <x v="421"/>
    <x v="0"/>
    <x v="0"/>
    <x v="0"/>
    <x v="0"/>
    <x v="0"/>
    <x v="0"/>
    <x v="0"/>
    <x v="499"/>
    <x v="466"/>
    <x v="9"/>
    <x v="0"/>
    <x v="0"/>
    <x v="646"/>
    <x v="0"/>
    <x v="0"/>
    <x v="958"/>
    <x v="9"/>
    <x v="97"/>
    <x v="117"/>
    <x v="415"/>
    <x v="2"/>
    <x v="224"/>
    <x v="365"/>
    <x v="533"/>
  </r>
  <r>
    <x v="0"/>
    <x v="12"/>
    <x v="3"/>
    <x v="4"/>
    <x v="56"/>
    <x v="11"/>
    <x v="19"/>
    <x v="49"/>
    <x v="732"/>
    <x v="5"/>
    <x v="42"/>
    <x v="184"/>
    <x v="156"/>
    <x v="885"/>
    <x v="421"/>
    <x v="0"/>
    <x v="0"/>
    <x v="0"/>
    <x v="0"/>
    <x v="0"/>
    <x v="0"/>
    <x v="0"/>
    <x v="499"/>
    <x v="466"/>
    <x v="13"/>
    <x v="0"/>
    <x v="0"/>
    <x v="646"/>
    <x v="0"/>
    <x v="0"/>
    <x v="958"/>
    <x v="9"/>
    <x v="97"/>
    <x v="117"/>
    <x v="415"/>
    <x v="2"/>
    <x v="224"/>
    <x v="365"/>
    <x v="533"/>
  </r>
  <r>
    <x v="0"/>
    <x v="12"/>
    <x v="3"/>
    <x v="6"/>
    <x v="14"/>
    <x v="11"/>
    <x v="19"/>
    <x v="46"/>
    <x v="751"/>
    <x v="5"/>
    <x v="42"/>
    <x v="184"/>
    <x v="156"/>
    <x v="917"/>
    <x v="455"/>
    <x v="0"/>
    <x v="0"/>
    <x v="0"/>
    <x v="0"/>
    <x v="0"/>
    <x v="0"/>
    <x v="0"/>
    <x v="547"/>
    <x v="687"/>
    <x v="5"/>
    <x v="0"/>
    <x v="0"/>
    <x v="646"/>
    <x v="0"/>
    <x v="0"/>
    <x v="958"/>
    <x v="9"/>
    <x v="97"/>
    <x v="117"/>
    <x v="467"/>
    <x v="0"/>
    <x v="128"/>
    <x v="72"/>
    <x v="221"/>
  </r>
  <r>
    <x v="0"/>
    <x v="12"/>
    <x v="3"/>
    <x v="5"/>
    <x v="10"/>
    <x v="11"/>
    <x v="19"/>
    <x v="45"/>
    <x v="759"/>
    <x v="5"/>
    <x v="42"/>
    <x v="163"/>
    <x v="124"/>
    <x v="667"/>
    <x v="324"/>
    <x v="0"/>
    <x v="24"/>
    <x v="0"/>
    <x v="0"/>
    <x v="63"/>
    <x v="0"/>
    <x v="0"/>
    <x v="399"/>
    <x v="529"/>
    <x v="44"/>
    <x v="1"/>
    <x v="293"/>
    <x v="390"/>
    <x v="479"/>
    <x v="101"/>
    <x v="369"/>
    <x v="0"/>
    <x v="102"/>
    <x v="130"/>
    <x v="295"/>
    <x v="4"/>
    <x v="437"/>
    <x v="302"/>
    <x v="636"/>
  </r>
  <r>
    <x v="0"/>
    <x v="12"/>
    <x v="3"/>
    <x v="0"/>
    <x v="2"/>
    <x v="3"/>
    <x v="1"/>
    <x v="20"/>
    <x v="105"/>
    <x v="5"/>
    <x v="42"/>
    <x v="107"/>
    <x v="29"/>
    <x v="353"/>
    <x v="207"/>
    <x v="7"/>
    <x v="10"/>
    <x v="0"/>
    <x v="0"/>
    <x v="51"/>
    <x v="0"/>
    <x v="0"/>
    <x v="292"/>
    <x v="706"/>
    <x v="38"/>
    <x v="10"/>
    <x v="671"/>
    <x v="340"/>
    <x v="585"/>
    <x v="69"/>
    <x v="241"/>
    <x v="0"/>
    <x v="102"/>
    <x v="130"/>
    <x v="119"/>
    <x v="6"/>
    <x v="583"/>
    <x v="457"/>
    <x v="871"/>
  </r>
  <r>
    <x v="0"/>
    <x v="12"/>
    <x v="3"/>
    <x v="2"/>
    <x v="78"/>
    <x v="11"/>
    <x v="4"/>
    <x v="8"/>
    <x v="110"/>
    <x v="5"/>
    <x v="30"/>
    <x v="115"/>
    <x v="96"/>
    <x v="279"/>
    <x v="193"/>
    <x v="0"/>
    <x v="0"/>
    <x v="0"/>
    <x v="0"/>
    <x v="0"/>
    <x v="0"/>
    <x v="0"/>
    <x v="277"/>
    <x v="531"/>
    <x v="39"/>
    <x v="2"/>
    <x v="101"/>
    <x v="645"/>
    <x v="0"/>
    <x v="0"/>
    <x v="958"/>
    <x v="5"/>
    <x v="64"/>
    <x v="123"/>
    <x v="223"/>
    <x v="5"/>
    <x v="493"/>
    <x v="396"/>
    <x v="631"/>
  </r>
  <r>
    <x v="0"/>
    <x v="12"/>
    <x v="3"/>
    <x v="2"/>
    <x v="78"/>
    <x v="11"/>
    <x v="4"/>
    <x v="8"/>
    <x v="111"/>
    <x v="5"/>
    <x v="22"/>
    <x v="51"/>
    <x v="40"/>
    <x v="181"/>
    <x v="143"/>
    <x v="0"/>
    <x v="0"/>
    <x v="0"/>
    <x v="0"/>
    <x v="8"/>
    <x v="0"/>
    <x v="0"/>
    <x v="222"/>
    <x v="764"/>
    <x v="39"/>
    <x v="2"/>
    <x v="60"/>
    <x v="562"/>
    <x v="184"/>
    <x v="0"/>
    <x v="728"/>
    <x v="0"/>
    <x v="48"/>
    <x v="130"/>
    <x v="254"/>
    <x v="5"/>
    <x v="490"/>
    <x v="404"/>
    <x v="808"/>
  </r>
  <r>
    <x v="0"/>
    <x v="12"/>
    <x v="5"/>
    <x v="2"/>
    <x v="78"/>
    <x v="11"/>
    <x v="4"/>
    <x v="8"/>
    <x v="112"/>
    <x v="2"/>
    <x v="42"/>
    <x v="153"/>
    <x v="86"/>
    <x v="486"/>
    <x v="266"/>
    <x v="0"/>
    <x v="0"/>
    <x v="0"/>
    <x v="0"/>
    <x v="7"/>
    <x v="3"/>
    <x v="0"/>
    <x v="347"/>
    <x v="403"/>
    <x v="39"/>
    <x v="2"/>
    <x v="215"/>
    <x v="566"/>
    <x v="101"/>
    <x v="0"/>
    <x v="826"/>
    <x v="7"/>
    <x v="99"/>
    <x v="122"/>
    <x v="194"/>
    <x v="5"/>
    <x v="519"/>
    <x v="276"/>
    <x v="490"/>
  </r>
  <r>
    <x v="0"/>
    <x v="12"/>
    <x v="5"/>
    <x v="5"/>
    <x v="80"/>
    <x v="7"/>
    <x v="7"/>
    <x v="33"/>
    <x v="762"/>
    <x v="2"/>
    <x v="42"/>
    <x v="163"/>
    <x v="124"/>
    <x v="449"/>
    <x v="240"/>
    <x v="0"/>
    <x v="43"/>
    <x v="0"/>
    <x v="0"/>
    <x v="41"/>
    <x v="3"/>
    <x v="0"/>
    <x v="324"/>
    <x v="171"/>
    <x v="32"/>
    <x v="1"/>
    <x v="146"/>
    <x v="289"/>
    <x v="424"/>
    <x v="276"/>
    <x v="451"/>
    <x v="26"/>
    <x v="76"/>
    <x v="68"/>
    <x v="159"/>
    <x v="4"/>
    <x v="458"/>
    <x v="248"/>
    <x v="215"/>
  </r>
  <r>
    <x v="0"/>
    <x v="12"/>
    <x v="5"/>
    <x v="0"/>
    <x v="2"/>
    <x v="3"/>
    <x v="1"/>
    <x v="20"/>
    <x v="106"/>
    <x v="2"/>
    <x v="42"/>
    <x v="107"/>
    <x v="29"/>
    <x v="383"/>
    <x v="207"/>
    <x v="0"/>
    <x v="57"/>
    <x v="0"/>
    <x v="0"/>
    <x v="78"/>
    <x v="3"/>
    <x v="0"/>
    <x v="292"/>
    <x v="706"/>
    <x v="38"/>
    <x v="10"/>
    <x v="691"/>
    <x v="155"/>
    <x v="695"/>
    <x v="345"/>
    <x v="91"/>
    <x v="5"/>
    <x v="100"/>
    <x v="127"/>
    <x v="119"/>
    <x v="6"/>
    <x v="568"/>
    <x v="522"/>
    <x v="831"/>
  </r>
  <r>
    <x v="0"/>
    <x v="12"/>
    <x v="5"/>
    <x v="6"/>
    <x v="14"/>
    <x v="11"/>
    <x v="11"/>
    <x v="46"/>
    <x v="760"/>
    <x v="2"/>
    <x v="24"/>
    <x v="185"/>
    <x v="208"/>
    <x v="884"/>
    <x v="416"/>
    <x v="0"/>
    <x v="0"/>
    <x v="0"/>
    <x v="0"/>
    <x v="0"/>
    <x v="0"/>
    <x v="0"/>
    <x v="492"/>
    <x v="440"/>
    <x v="5"/>
    <x v="0"/>
    <x v="0"/>
    <x v="646"/>
    <x v="0"/>
    <x v="0"/>
    <x v="958"/>
    <x v="0"/>
    <x v="55"/>
    <x v="130"/>
    <x v="561"/>
    <x v="0"/>
    <x v="31"/>
    <x v="613"/>
    <x v="1097"/>
  </r>
  <r>
    <x v="0"/>
    <x v="13"/>
    <x v="2"/>
    <x v="0"/>
    <x v="2"/>
    <x v="0"/>
    <x v="19"/>
    <x v="20"/>
    <x v="113"/>
    <x v="1"/>
    <x v="42"/>
    <x v="107"/>
    <x v="29"/>
    <x v="382"/>
    <x v="207"/>
    <x v="0"/>
    <x v="64"/>
    <x v="0"/>
    <x v="0"/>
    <x v="70"/>
    <x v="3"/>
    <x v="0"/>
    <x v="292"/>
    <x v="706"/>
    <x v="38"/>
    <x v="10"/>
    <x v="690"/>
    <x v="156"/>
    <x v="669"/>
    <x v="371"/>
    <x v="134"/>
    <x v="0"/>
    <x v="102"/>
    <x v="130"/>
    <x v="119"/>
    <x v="6"/>
    <x v="583"/>
    <x v="457"/>
    <x v="851"/>
  </r>
  <r>
    <x v="0"/>
    <x v="13"/>
    <x v="2"/>
    <x v="5"/>
    <x v="80"/>
    <x v="11"/>
    <x v="19"/>
    <x v="33"/>
    <x v="769"/>
    <x v="1"/>
    <x v="42"/>
    <x v="163"/>
    <x v="124"/>
    <x v="810"/>
    <x v="351"/>
    <x v="0"/>
    <x v="38"/>
    <x v="0"/>
    <x v="0"/>
    <x v="78"/>
    <x v="3"/>
    <x v="0"/>
    <x v="419"/>
    <x v="665"/>
    <x v="32"/>
    <x v="1"/>
    <x v="416"/>
    <x v="331"/>
    <x v="529"/>
    <x v="166"/>
    <x v="307"/>
    <x v="0"/>
    <x v="102"/>
    <x v="130"/>
    <x v="329"/>
    <x v="4"/>
    <x v="388"/>
    <x v="499"/>
    <x v="923"/>
  </r>
  <r>
    <x v="0"/>
    <x v="13"/>
    <x v="2"/>
    <x v="7"/>
    <x v="18"/>
    <x v="11"/>
    <x v="19"/>
    <x v="47"/>
    <x v="747"/>
    <x v="1"/>
    <x v="42"/>
    <x v="184"/>
    <x v="156"/>
    <x v="885"/>
    <x v="421"/>
    <x v="0"/>
    <x v="0"/>
    <x v="0"/>
    <x v="0"/>
    <x v="0"/>
    <x v="0"/>
    <x v="0"/>
    <x v="499"/>
    <x v="466"/>
    <x v="9"/>
    <x v="0"/>
    <x v="0"/>
    <x v="646"/>
    <x v="0"/>
    <x v="0"/>
    <x v="958"/>
    <x v="9"/>
    <x v="97"/>
    <x v="117"/>
    <x v="415"/>
    <x v="2"/>
    <x v="224"/>
    <x v="365"/>
    <x v="533"/>
  </r>
  <r>
    <x v="0"/>
    <x v="13"/>
    <x v="2"/>
    <x v="4"/>
    <x v="56"/>
    <x v="11"/>
    <x v="19"/>
    <x v="49"/>
    <x v="733"/>
    <x v="1"/>
    <x v="42"/>
    <x v="166"/>
    <x v="128"/>
    <x v="652"/>
    <x v="327"/>
    <x v="0"/>
    <x v="0"/>
    <x v="0"/>
    <x v="0"/>
    <x v="0"/>
    <x v="0"/>
    <x v="0"/>
    <x v="403"/>
    <x v="466"/>
    <x v="13"/>
    <x v="0"/>
    <x v="0"/>
    <x v="646"/>
    <x v="0"/>
    <x v="0"/>
    <x v="958"/>
    <x v="9"/>
    <x v="97"/>
    <x v="117"/>
    <x v="300"/>
    <x v="2"/>
    <x v="392"/>
    <x v="44"/>
    <x v="180"/>
  </r>
  <r>
    <x v="0"/>
    <x v="13"/>
    <x v="6"/>
    <x v="9"/>
    <x v="73"/>
    <x v="11"/>
    <x v="17"/>
    <x v="38"/>
    <x v="639"/>
    <x v="6"/>
    <x v="43"/>
    <x v="228"/>
    <x v="226"/>
    <x v="1018"/>
    <x v="567"/>
    <x v="0"/>
    <x v="0"/>
    <x v="0"/>
    <x v="0"/>
    <x v="22"/>
    <x v="0"/>
    <x v="1"/>
    <x v="555"/>
    <x v="602"/>
    <x v="31"/>
    <x v="0"/>
    <x v="0"/>
    <x v="646"/>
    <x v="81"/>
    <x v="0"/>
    <x v="860"/>
    <x v="12"/>
    <x v="100"/>
    <x v="110"/>
    <x v="613"/>
    <x v="1"/>
    <x v="122"/>
    <x v="119"/>
    <x v="290"/>
  </r>
  <r>
    <x v="0"/>
    <x v="13"/>
    <x v="6"/>
    <x v="8"/>
    <x v="60"/>
    <x v="11"/>
    <x v="19"/>
    <x v="48"/>
    <x v="736"/>
    <x v="6"/>
    <x v="43"/>
    <x v="225"/>
    <x v="204"/>
    <x v="972"/>
    <x v="516"/>
    <x v="0"/>
    <x v="0"/>
    <x v="0"/>
    <x v="0"/>
    <x v="47"/>
    <x v="0"/>
    <x v="1"/>
    <x v="464"/>
    <x v="319"/>
    <x v="25"/>
    <x v="0"/>
    <x v="0"/>
    <x v="646"/>
    <x v="174"/>
    <x v="0"/>
    <x v="741"/>
    <x v="25"/>
    <x v="84"/>
    <x v="75"/>
    <x v="524"/>
    <x v="3"/>
    <x v="209"/>
    <x v="588"/>
    <x v="523"/>
  </r>
  <r>
    <x v="0"/>
    <x v="13"/>
    <x v="6"/>
    <x v="1"/>
    <x v="7"/>
    <x v="11"/>
    <x v="12"/>
    <x v="21"/>
    <x v="731"/>
    <x v="3"/>
    <x v="43"/>
    <x v="168"/>
    <x v="122"/>
    <x v="726"/>
    <x v="343"/>
    <x v="0"/>
    <x v="0"/>
    <x v="42"/>
    <x v="0"/>
    <x v="41"/>
    <x v="0"/>
    <x v="5"/>
    <x v="124"/>
    <x v="539"/>
    <x v="2"/>
    <x v="0"/>
    <x v="0"/>
    <x v="646"/>
    <x v="307"/>
    <x v="0"/>
    <x v="594"/>
    <x v="12"/>
    <x v="100"/>
    <x v="110"/>
    <x v="296"/>
    <x v="7"/>
    <x v="716"/>
    <x v="531"/>
    <x v="725"/>
  </r>
  <r>
    <x v="0"/>
    <x v="13"/>
    <x v="3"/>
    <x v="0"/>
    <x v="2"/>
    <x v="3"/>
    <x v="1"/>
    <x v="20"/>
    <x v="115"/>
    <x v="5"/>
    <x v="14"/>
    <x v="15"/>
    <x v="19"/>
    <x v="33"/>
    <x v="31"/>
    <x v="0"/>
    <x v="0"/>
    <x v="0"/>
    <x v="0"/>
    <x v="0"/>
    <x v="0"/>
    <x v="0"/>
    <x v="97"/>
    <x v="566"/>
    <x v="38"/>
    <x v="10"/>
    <x v="90"/>
    <x v="645"/>
    <x v="0"/>
    <x v="0"/>
    <x v="958"/>
    <x v="0"/>
    <x v="29"/>
    <x v="130"/>
    <x v="84"/>
    <x v="6"/>
    <x v="624"/>
    <x v="118"/>
    <x v="403"/>
  </r>
  <r>
    <x v="0"/>
    <x v="13"/>
    <x v="3"/>
    <x v="0"/>
    <x v="2"/>
    <x v="3"/>
    <x v="1"/>
    <x v="20"/>
    <x v="115"/>
    <x v="5"/>
    <x v="34"/>
    <x v="82"/>
    <x v="34"/>
    <x v="241"/>
    <x v="169"/>
    <x v="9"/>
    <x v="45"/>
    <x v="0"/>
    <x v="0"/>
    <x v="70"/>
    <x v="0"/>
    <x v="0"/>
    <x v="248"/>
    <x v="722"/>
    <x v="38"/>
    <x v="10"/>
    <x v="617"/>
    <x v="138"/>
    <x v="720"/>
    <x v="346"/>
    <x v="62"/>
    <x v="0"/>
    <x v="76"/>
    <x v="130"/>
    <x v="132"/>
    <x v="6"/>
    <x v="566"/>
    <x v="540"/>
    <x v="979"/>
  </r>
  <r>
    <x v="0"/>
    <x v="13"/>
    <x v="3"/>
    <x v="7"/>
    <x v="18"/>
    <x v="11"/>
    <x v="10"/>
    <x v="47"/>
    <x v="748"/>
    <x v="5"/>
    <x v="42"/>
    <x v="184"/>
    <x v="156"/>
    <x v="898"/>
    <x v="436"/>
    <x v="0"/>
    <x v="0"/>
    <x v="0"/>
    <x v="0"/>
    <x v="0"/>
    <x v="0"/>
    <x v="0"/>
    <x v="521"/>
    <x v="561"/>
    <x v="9"/>
    <x v="0"/>
    <x v="0"/>
    <x v="646"/>
    <x v="0"/>
    <x v="0"/>
    <x v="958"/>
    <x v="9"/>
    <x v="97"/>
    <x v="117"/>
    <x v="439"/>
    <x v="2"/>
    <x v="181"/>
    <x v="436"/>
    <x v="626"/>
  </r>
  <r>
    <x v="0"/>
    <x v="13"/>
    <x v="3"/>
    <x v="4"/>
    <x v="56"/>
    <x v="11"/>
    <x v="8"/>
    <x v="49"/>
    <x v="733"/>
    <x v="5"/>
    <x v="42"/>
    <x v="184"/>
    <x v="156"/>
    <x v="898"/>
    <x v="436"/>
    <x v="0"/>
    <x v="0"/>
    <x v="0"/>
    <x v="0"/>
    <x v="0"/>
    <x v="0"/>
    <x v="0"/>
    <x v="521"/>
    <x v="561"/>
    <x v="13"/>
    <x v="0"/>
    <x v="0"/>
    <x v="646"/>
    <x v="0"/>
    <x v="0"/>
    <x v="958"/>
    <x v="9"/>
    <x v="97"/>
    <x v="117"/>
    <x v="439"/>
    <x v="2"/>
    <x v="181"/>
    <x v="436"/>
    <x v="626"/>
  </r>
  <r>
    <x v="0"/>
    <x v="13"/>
    <x v="3"/>
    <x v="6"/>
    <x v="81"/>
    <x v="11"/>
    <x v="19"/>
    <x v="36"/>
    <x v="763"/>
    <x v="5"/>
    <x v="42"/>
    <x v="185"/>
    <x v="158"/>
    <x v="928"/>
    <x v="467"/>
    <x v="0"/>
    <x v="0"/>
    <x v="0"/>
    <x v="0"/>
    <x v="0"/>
    <x v="0"/>
    <x v="0"/>
    <x v="565"/>
    <x v="731"/>
    <x v="33"/>
    <x v="0"/>
    <x v="0"/>
    <x v="646"/>
    <x v="0"/>
    <x v="0"/>
    <x v="958"/>
    <x v="9"/>
    <x v="97"/>
    <x v="117"/>
    <x v="476"/>
    <x v="0"/>
    <x v="102"/>
    <x v="123"/>
    <x v="326"/>
  </r>
  <r>
    <x v="0"/>
    <x v="13"/>
    <x v="3"/>
    <x v="5"/>
    <x v="80"/>
    <x v="7"/>
    <x v="7"/>
    <x v="33"/>
    <x v="771"/>
    <x v="5"/>
    <x v="42"/>
    <x v="163"/>
    <x v="124"/>
    <x v="741"/>
    <x v="346"/>
    <x v="0"/>
    <x v="0"/>
    <x v="0"/>
    <x v="0"/>
    <x v="65"/>
    <x v="0"/>
    <x v="0"/>
    <x v="414"/>
    <x v="623"/>
    <x v="32"/>
    <x v="1"/>
    <x v="358"/>
    <x v="472"/>
    <x v="463"/>
    <x v="0"/>
    <x v="390"/>
    <x v="0"/>
    <x v="102"/>
    <x v="130"/>
    <x v="320"/>
    <x v="4"/>
    <x v="407"/>
    <x v="429"/>
    <x v="824"/>
  </r>
  <r>
    <x v="0"/>
    <x v="13"/>
    <x v="5"/>
    <x v="5"/>
    <x v="80"/>
    <x v="7"/>
    <x v="7"/>
    <x v="33"/>
    <x v="773"/>
    <x v="2"/>
    <x v="42"/>
    <x v="163"/>
    <x v="124"/>
    <x v="699"/>
    <x v="327"/>
    <x v="0"/>
    <x v="58"/>
    <x v="0"/>
    <x v="0"/>
    <x v="52"/>
    <x v="3"/>
    <x v="0"/>
    <x v="403"/>
    <x v="551"/>
    <x v="32"/>
    <x v="1"/>
    <x v="324"/>
    <x v="306"/>
    <x v="392"/>
    <x v="264"/>
    <x v="492"/>
    <x v="7"/>
    <x v="99"/>
    <x v="122"/>
    <x v="300"/>
    <x v="4"/>
    <x v="403"/>
    <x v="444"/>
    <x v="688"/>
  </r>
  <r>
    <x v="0"/>
    <x v="13"/>
    <x v="5"/>
    <x v="0"/>
    <x v="2"/>
    <x v="3"/>
    <x v="1"/>
    <x v="20"/>
    <x v="118"/>
    <x v="2"/>
    <x v="42"/>
    <x v="107"/>
    <x v="29"/>
    <x v="372"/>
    <x v="207"/>
    <x v="0"/>
    <x v="47"/>
    <x v="0"/>
    <x v="0"/>
    <x v="55"/>
    <x v="3"/>
    <x v="0"/>
    <x v="292"/>
    <x v="706"/>
    <x v="38"/>
    <x v="10"/>
    <x v="684"/>
    <x v="216"/>
    <x v="604"/>
    <x v="315"/>
    <x v="221"/>
    <x v="0"/>
    <x v="102"/>
    <x v="130"/>
    <x v="119"/>
    <x v="6"/>
    <x v="583"/>
    <x v="457"/>
    <x v="868"/>
  </r>
  <r>
    <x v="0"/>
    <x v="13"/>
    <x v="5"/>
    <x v="3"/>
    <x v="72"/>
    <x v="11"/>
    <x v="4"/>
    <x v="10"/>
    <x v="119"/>
    <x v="2"/>
    <x v="42"/>
    <x v="153"/>
    <x v="86"/>
    <x v="773"/>
    <x v="327"/>
    <x v="59"/>
    <x v="110"/>
    <x v="0"/>
    <x v="0"/>
    <x v="55"/>
    <x v="3"/>
    <x v="0"/>
    <x v="403"/>
    <x v="703"/>
    <x v="38"/>
    <x v="3"/>
    <x v="530"/>
    <x v="38"/>
    <x v="414"/>
    <x v="464"/>
    <x v="497"/>
    <x v="0"/>
    <x v="102"/>
    <x v="130"/>
    <x v="300"/>
    <x v="5"/>
    <x v="432"/>
    <x v="550"/>
    <x v="1008"/>
  </r>
  <r>
    <x v="0"/>
    <x v="13"/>
    <x v="5"/>
    <x v="6"/>
    <x v="81"/>
    <x v="11"/>
    <x v="11"/>
    <x v="36"/>
    <x v="772"/>
    <x v="2"/>
    <x v="34"/>
    <x v="185"/>
    <x v="178"/>
    <x v="898"/>
    <x v="436"/>
    <x v="0"/>
    <x v="0"/>
    <x v="0"/>
    <x v="0"/>
    <x v="0"/>
    <x v="0"/>
    <x v="0"/>
    <x v="521"/>
    <x v="547"/>
    <x v="33"/>
    <x v="0"/>
    <x v="0"/>
    <x v="646"/>
    <x v="0"/>
    <x v="0"/>
    <x v="958"/>
    <x v="9"/>
    <x v="68"/>
    <x v="106"/>
    <x v="486"/>
    <x v="0"/>
    <x v="71"/>
    <x v="246"/>
    <x v="391"/>
  </r>
  <r>
    <x v="0"/>
    <x v="14"/>
    <x v="2"/>
    <x v="0"/>
    <x v="2"/>
    <x v="3"/>
    <x v="1"/>
    <x v="20"/>
    <x v="120"/>
    <x v="6"/>
    <x v="42"/>
    <x v="107"/>
    <x v="29"/>
    <x v="286"/>
    <x v="189"/>
    <x v="0"/>
    <x v="49"/>
    <x v="0"/>
    <x v="0"/>
    <x v="67"/>
    <x v="3"/>
    <x v="0"/>
    <x v="272"/>
    <x v="618"/>
    <x v="38"/>
    <x v="10"/>
    <x v="645"/>
    <x v="160"/>
    <x v="685"/>
    <x v="340"/>
    <x v="104"/>
    <x v="0"/>
    <x v="102"/>
    <x v="130"/>
    <x v="100"/>
    <x v="6"/>
    <x v="602"/>
    <x v="253"/>
    <x v="544"/>
  </r>
  <r>
    <x v="0"/>
    <x v="14"/>
    <x v="2"/>
    <x v="5"/>
    <x v="80"/>
    <x v="7"/>
    <x v="7"/>
    <x v="33"/>
    <x v="779"/>
    <x v="6"/>
    <x v="42"/>
    <x v="163"/>
    <x v="124"/>
    <x v="470"/>
    <x v="240"/>
    <x v="0"/>
    <x v="102"/>
    <x v="0"/>
    <x v="0"/>
    <x v="95"/>
    <x v="3"/>
    <x v="0"/>
    <x v="324"/>
    <x v="171"/>
    <x v="32"/>
    <x v="1"/>
    <x v="166"/>
    <x v="55"/>
    <x v="719"/>
    <x v="459"/>
    <x v="77"/>
    <x v="28"/>
    <x v="74"/>
    <x v="63"/>
    <x v="159"/>
    <x v="4"/>
    <x v="440"/>
    <x v="295"/>
    <x v="203"/>
  </r>
  <r>
    <x v="0"/>
    <x v="14"/>
    <x v="2"/>
    <x v="7"/>
    <x v="18"/>
    <x v="11"/>
    <x v="19"/>
    <x v="47"/>
    <x v="757"/>
    <x v="6"/>
    <x v="42"/>
    <x v="184"/>
    <x v="156"/>
    <x v="893"/>
    <x v="429"/>
    <x v="0"/>
    <x v="0"/>
    <x v="0"/>
    <x v="0"/>
    <x v="0"/>
    <x v="0"/>
    <x v="0"/>
    <x v="512"/>
    <x v="531"/>
    <x v="9"/>
    <x v="0"/>
    <x v="0"/>
    <x v="646"/>
    <x v="0"/>
    <x v="0"/>
    <x v="958"/>
    <x v="9"/>
    <x v="97"/>
    <x v="117"/>
    <x v="431"/>
    <x v="2"/>
    <x v="199"/>
    <x v="408"/>
    <x v="596"/>
  </r>
  <r>
    <x v="0"/>
    <x v="14"/>
    <x v="2"/>
    <x v="4"/>
    <x v="56"/>
    <x v="11"/>
    <x v="8"/>
    <x v="49"/>
    <x v="742"/>
    <x v="6"/>
    <x v="42"/>
    <x v="184"/>
    <x v="156"/>
    <x v="838"/>
    <x v="371"/>
    <x v="0"/>
    <x v="0"/>
    <x v="0"/>
    <x v="0"/>
    <x v="0"/>
    <x v="0"/>
    <x v="0"/>
    <x v="439"/>
    <x v="255"/>
    <x v="13"/>
    <x v="0"/>
    <x v="0"/>
    <x v="646"/>
    <x v="0"/>
    <x v="0"/>
    <x v="958"/>
    <x v="9"/>
    <x v="97"/>
    <x v="117"/>
    <x v="354"/>
    <x v="2"/>
    <x v="330"/>
    <x v="125"/>
    <x v="331"/>
  </r>
  <r>
    <x v="0"/>
    <x v="14"/>
    <x v="2"/>
    <x v="3"/>
    <x v="72"/>
    <x v="11"/>
    <x v="19"/>
    <x v="10"/>
    <x v="126"/>
    <x v="6"/>
    <x v="42"/>
    <x v="153"/>
    <x v="86"/>
    <x v="495"/>
    <x v="266"/>
    <x v="0"/>
    <x v="0"/>
    <x v="0"/>
    <x v="0"/>
    <x v="44"/>
    <x v="0"/>
    <x v="0"/>
    <x v="347"/>
    <x v="403"/>
    <x v="38"/>
    <x v="3"/>
    <x v="316"/>
    <x v="487"/>
    <x v="414"/>
    <x v="0"/>
    <x v="459"/>
    <x v="7"/>
    <x v="99"/>
    <x v="122"/>
    <x v="194"/>
    <x v="5"/>
    <x v="519"/>
    <x v="276"/>
    <x v="465"/>
  </r>
  <r>
    <x v="0"/>
    <x v="14"/>
    <x v="6"/>
    <x v="1"/>
    <x v="42"/>
    <x v="11"/>
    <x v="12"/>
    <x v="15"/>
    <x v="10"/>
    <x v="3"/>
    <x v="14"/>
    <x v="38"/>
    <x v="122"/>
    <x v="86"/>
    <x v="72"/>
    <x v="0"/>
    <x v="0"/>
    <x v="10"/>
    <x v="0"/>
    <x v="12"/>
    <x v="0"/>
    <x v="4"/>
    <x v="49"/>
    <x v="397"/>
    <x v="18"/>
    <x v="0"/>
    <x v="0"/>
    <x v="646"/>
    <x v="390"/>
    <x v="0"/>
    <x v="482"/>
    <x v="0"/>
    <x v="29"/>
    <x v="130"/>
    <x v="258"/>
    <x v="7"/>
    <x v="707"/>
    <x v="548"/>
    <x v="1004"/>
  </r>
  <r>
    <x v="0"/>
    <x v="14"/>
    <x v="6"/>
    <x v="1"/>
    <x v="69"/>
    <x v="11"/>
    <x v="12"/>
    <x v="74"/>
    <x v="130"/>
    <x v="3"/>
    <x v="31"/>
    <x v="74"/>
    <x v="33"/>
    <x v="120"/>
    <x v="102"/>
    <x v="0"/>
    <x v="0"/>
    <x v="33"/>
    <x v="0"/>
    <x v="11"/>
    <x v="0"/>
    <x v="5"/>
    <x v="53"/>
    <x v="228"/>
    <x v="4"/>
    <x v="9"/>
    <x v="521"/>
    <x v="527"/>
    <x v="294"/>
    <x v="0"/>
    <x v="606"/>
    <x v="35"/>
    <x v="35"/>
    <x v="24"/>
    <x v="62"/>
    <x v="7"/>
    <x v="750"/>
    <x v="280"/>
    <x v="57"/>
  </r>
  <r>
    <x v="0"/>
    <x v="14"/>
    <x v="6"/>
    <x v="9"/>
    <x v="22"/>
    <x v="11"/>
    <x v="17"/>
    <x v="50"/>
    <x v="642"/>
    <x v="6"/>
    <x v="15"/>
    <x v="146"/>
    <x v="201"/>
    <x v="523"/>
    <x v="275"/>
    <x v="0"/>
    <x v="0"/>
    <x v="0"/>
    <x v="0"/>
    <x v="0"/>
    <x v="0"/>
    <x v="1"/>
    <x v="226"/>
    <x v="625"/>
    <x v="29"/>
    <x v="0"/>
    <x v="0"/>
    <x v="646"/>
    <x v="0"/>
    <x v="0"/>
    <x v="958"/>
    <x v="0"/>
    <x v="32"/>
    <x v="130"/>
    <x v="580"/>
    <x v="1"/>
    <x v="264"/>
    <x v="37"/>
    <x v="200"/>
  </r>
  <r>
    <x v="0"/>
    <x v="14"/>
    <x v="6"/>
    <x v="9"/>
    <x v="23"/>
    <x v="11"/>
    <x v="17"/>
    <x v="44"/>
    <x v="646"/>
    <x v="6"/>
    <x v="14"/>
    <x v="145"/>
    <x v="222"/>
    <x v="475"/>
    <x v="266"/>
    <x v="0"/>
    <x v="0"/>
    <x v="0"/>
    <x v="0"/>
    <x v="0"/>
    <x v="0"/>
    <x v="1"/>
    <x v="222"/>
    <x v="607"/>
    <x v="14"/>
    <x v="0"/>
    <x v="0"/>
    <x v="646"/>
    <x v="0"/>
    <x v="0"/>
    <x v="958"/>
    <x v="0"/>
    <x v="29"/>
    <x v="130"/>
    <x v="601"/>
    <x v="1"/>
    <x v="178"/>
    <x v="58"/>
    <x v="266"/>
  </r>
  <r>
    <x v="0"/>
    <x v="14"/>
    <x v="6"/>
    <x v="9"/>
    <x v="24"/>
    <x v="11"/>
    <x v="17"/>
    <x v="32"/>
    <x v="645"/>
    <x v="6"/>
    <x v="14"/>
    <x v="133"/>
    <x v="207"/>
    <x v="453"/>
    <x v="249"/>
    <x v="0"/>
    <x v="0"/>
    <x v="0"/>
    <x v="0"/>
    <x v="0"/>
    <x v="0"/>
    <x v="1"/>
    <x v="215"/>
    <x v="596"/>
    <x v="15"/>
    <x v="0"/>
    <x v="0"/>
    <x v="646"/>
    <x v="0"/>
    <x v="0"/>
    <x v="958"/>
    <x v="0"/>
    <x v="29"/>
    <x v="130"/>
    <x v="584"/>
    <x v="1"/>
    <x v="243"/>
    <x v="39"/>
    <x v="218"/>
  </r>
  <r>
    <x v="0"/>
    <x v="14"/>
    <x v="6"/>
    <x v="9"/>
    <x v="73"/>
    <x v="11"/>
    <x v="17"/>
    <x v="38"/>
    <x v="640"/>
    <x v="6"/>
    <x v="20"/>
    <x v="172"/>
    <x v="206"/>
    <x v="846"/>
    <x v="375"/>
    <x v="0"/>
    <x v="0"/>
    <x v="0"/>
    <x v="0"/>
    <x v="13"/>
    <x v="0"/>
    <x v="1"/>
    <x v="288"/>
    <x v="696"/>
    <x v="31"/>
    <x v="0"/>
    <x v="0"/>
    <x v="646"/>
    <x v="119"/>
    <x v="0"/>
    <x v="806"/>
    <x v="0"/>
    <x v="42"/>
    <x v="130"/>
    <x v="607"/>
    <x v="1"/>
    <x v="159"/>
    <x v="66"/>
    <x v="279"/>
  </r>
  <r>
    <x v="0"/>
    <x v="14"/>
    <x v="6"/>
    <x v="8"/>
    <x v="60"/>
    <x v="11"/>
    <x v="19"/>
    <x v="48"/>
    <x v="748"/>
    <x v="6"/>
    <x v="43"/>
    <x v="185"/>
    <x v="149"/>
    <x v="898"/>
    <x v="432"/>
    <x v="0"/>
    <x v="0"/>
    <x v="0"/>
    <x v="0"/>
    <x v="38"/>
    <x v="0"/>
    <x v="0"/>
    <x v="516"/>
    <x v="537"/>
    <x v="25"/>
    <x v="0"/>
    <x v="0"/>
    <x v="646"/>
    <x v="232"/>
    <x v="0"/>
    <x v="678"/>
    <x v="12"/>
    <x v="100"/>
    <x v="110"/>
    <x v="395"/>
    <x v="3"/>
    <x v="236"/>
    <x v="560"/>
    <x v="798"/>
  </r>
  <r>
    <x v="0"/>
    <x v="14"/>
    <x v="3"/>
    <x v="0"/>
    <x v="2"/>
    <x v="3"/>
    <x v="1"/>
    <x v="20"/>
    <x v="124"/>
    <x v="5"/>
    <x v="42"/>
    <x v="107"/>
    <x v="29"/>
    <x v="364"/>
    <x v="207"/>
    <x v="23"/>
    <x v="16"/>
    <x v="0"/>
    <x v="0"/>
    <x v="71"/>
    <x v="0"/>
    <x v="0"/>
    <x v="292"/>
    <x v="706"/>
    <x v="38"/>
    <x v="10"/>
    <x v="680"/>
    <x v="249"/>
    <x v="672"/>
    <x v="130"/>
    <x v="118"/>
    <x v="0"/>
    <x v="102"/>
    <x v="130"/>
    <x v="119"/>
    <x v="6"/>
    <x v="583"/>
    <x v="457"/>
    <x v="843"/>
  </r>
  <r>
    <x v="0"/>
    <x v="14"/>
    <x v="3"/>
    <x v="7"/>
    <x v="18"/>
    <x v="11"/>
    <x v="10"/>
    <x v="47"/>
    <x v="761"/>
    <x v="5"/>
    <x v="28"/>
    <x v="159"/>
    <x v="164"/>
    <x v="467"/>
    <x v="261"/>
    <x v="0"/>
    <x v="0"/>
    <x v="0"/>
    <x v="0"/>
    <x v="0"/>
    <x v="0"/>
    <x v="0"/>
    <x v="342"/>
    <x v="276"/>
    <x v="9"/>
    <x v="0"/>
    <x v="0"/>
    <x v="646"/>
    <x v="0"/>
    <x v="0"/>
    <x v="958"/>
    <x v="0"/>
    <x v="63"/>
    <x v="130"/>
    <x v="369"/>
    <x v="2"/>
    <x v="346"/>
    <x v="102"/>
    <x v="375"/>
  </r>
  <r>
    <x v="0"/>
    <x v="14"/>
    <x v="3"/>
    <x v="7"/>
    <x v="82"/>
    <x v="11"/>
    <x v="10"/>
    <x v="37"/>
    <x v="763"/>
    <x v="5"/>
    <x v="20"/>
    <x v="101"/>
    <x v="150"/>
    <x v="178"/>
    <x v="143"/>
    <x v="0"/>
    <x v="0"/>
    <x v="0"/>
    <x v="0"/>
    <x v="0"/>
    <x v="0"/>
    <x v="0"/>
    <x v="222"/>
    <x v="208"/>
    <x v="34"/>
    <x v="0"/>
    <x v="0"/>
    <x v="646"/>
    <x v="0"/>
    <x v="0"/>
    <x v="958"/>
    <x v="16"/>
    <x v="27"/>
    <x v="45"/>
    <x v="322"/>
    <x v="2"/>
    <x v="132"/>
    <x v="572"/>
    <x v="213"/>
  </r>
  <r>
    <x v="0"/>
    <x v="14"/>
    <x v="3"/>
    <x v="4"/>
    <x v="56"/>
    <x v="11"/>
    <x v="8"/>
    <x v="49"/>
    <x v="753"/>
    <x v="5"/>
    <x v="42"/>
    <x v="184"/>
    <x v="156"/>
    <x v="893"/>
    <x v="429"/>
    <x v="0"/>
    <x v="0"/>
    <x v="0"/>
    <x v="0"/>
    <x v="0"/>
    <x v="0"/>
    <x v="0"/>
    <x v="512"/>
    <x v="531"/>
    <x v="13"/>
    <x v="0"/>
    <x v="0"/>
    <x v="646"/>
    <x v="0"/>
    <x v="0"/>
    <x v="958"/>
    <x v="9"/>
    <x v="97"/>
    <x v="117"/>
    <x v="431"/>
    <x v="2"/>
    <x v="199"/>
    <x v="408"/>
    <x v="596"/>
  </r>
  <r>
    <x v="0"/>
    <x v="14"/>
    <x v="3"/>
    <x v="3"/>
    <x v="72"/>
    <x v="11"/>
    <x v="4"/>
    <x v="10"/>
    <x v="127"/>
    <x v="5"/>
    <x v="24"/>
    <x v="153"/>
    <x v="172"/>
    <x v="217"/>
    <x v="158"/>
    <x v="0"/>
    <x v="40"/>
    <x v="0"/>
    <x v="0"/>
    <x v="22"/>
    <x v="0"/>
    <x v="0"/>
    <x v="237"/>
    <x v="66"/>
    <x v="38"/>
    <x v="3"/>
    <x v="96"/>
    <x v="272"/>
    <x v="353"/>
    <x v="343"/>
    <x v="543"/>
    <x v="0"/>
    <x v="55"/>
    <x v="130"/>
    <x v="263"/>
    <x v="5"/>
    <x v="477"/>
    <x v="441"/>
    <x v="867"/>
  </r>
  <r>
    <x v="0"/>
    <x v="14"/>
    <x v="3"/>
    <x v="6"/>
    <x v="81"/>
    <x v="11"/>
    <x v="11"/>
    <x v="36"/>
    <x v="775"/>
    <x v="5"/>
    <x v="28"/>
    <x v="189"/>
    <x v="190"/>
    <x v="869"/>
    <x v="400"/>
    <x v="0"/>
    <x v="0"/>
    <x v="0"/>
    <x v="0"/>
    <x v="0"/>
    <x v="0"/>
    <x v="0"/>
    <x v="470"/>
    <x v="342"/>
    <x v="33"/>
    <x v="0"/>
    <x v="0"/>
    <x v="646"/>
    <x v="0"/>
    <x v="0"/>
    <x v="958"/>
    <x v="9"/>
    <x v="57"/>
    <x v="100"/>
    <x v="498"/>
    <x v="0"/>
    <x v="48"/>
    <x v="446"/>
    <x v="520"/>
  </r>
  <r>
    <x v="0"/>
    <x v="14"/>
    <x v="3"/>
    <x v="5"/>
    <x v="80"/>
    <x v="7"/>
    <x v="7"/>
    <x v="33"/>
    <x v="781"/>
    <x v="5"/>
    <x v="42"/>
    <x v="163"/>
    <x v="124"/>
    <x v="420"/>
    <x v="216"/>
    <x v="0"/>
    <x v="76"/>
    <x v="0"/>
    <x v="0"/>
    <x v="50"/>
    <x v="0"/>
    <x v="0"/>
    <x v="302"/>
    <x v="136"/>
    <x v="32"/>
    <x v="1"/>
    <x v="121"/>
    <x v="176"/>
    <x v="554"/>
    <x v="400"/>
    <x v="286"/>
    <x v="25"/>
    <x v="77"/>
    <x v="71"/>
    <x v="131"/>
    <x v="4"/>
    <x v="517"/>
    <x v="109"/>
    <x v="171"/>
  </r>
  <r>
    <x v="0"/>
    <x v="14"/>
    <x v="5"/>
    <x v="0"/>
    <x v="2"/>
    <x v="3"/>
    <x v="1"/>
    <x v="20"/>
    <x v="125"/>
    <x v="2"/>
    <x v="3"/>
    <x v="7"/>
    <x v="111"/>
    <x v="8"/>
    <x v="8"/>
    <x v="16"/>
    <x v="0"/>
    <x v="0"/>
    <x v="0"/>
    <x v="2"/>
    <x v="0"/>
    <x v="0"/>
    <x v="46"/>
    <x v="135"/>
    <x v="38"/>
    <x v="10"/>
    <x v="15"/>
    <x v="189"/>
    <x v="338"/>
    <x v="0"/>
    <x v="552"/>
    <x v="0"/>
    <x v="8"/>
    <x v="130"/>
    <x v="109"/>
    <x v="6"/>
    <x v="596"/>
    <x v="356"/>
    <x v="715"/>
  </r>
  <r>
    <x v="0"/>
    <x v="14"/>
    <x v="5"/>
    <x v="0"/>
    <x v="4"/>
    <x v="4"/>
    <x v="1"/>
    <x v="71"/>
    <x v="125"/>
    <x v="2"/>
    <x v="38"/>
    <x v="95"/>
    <x v="26"/>
    <x v="51"/>
    <x v="46"/>
    <x v="0"/>
    <x v="30"/>
    <x v="0"/>
    <x v="0"/>
    <x v="33"/>
    <x v="3"/>
    <x v="0"/>
    <x v="120"/>
    <x v="20"/>
    <x v="38"/>
    <x v="10"/>
    <x v="222"/>
    <x v="64"/>
    <x v="751"/>
    <x v="435"/>
    <x v="27"/>
    <x v="48"/>
    <x v="33"/>
    <x v="13"/>
    <x v="13"/>
    <x v="6"/>
    <x v="601"/>
    <x v="295"/>
    <x v="26"/>
  </r>
  <r>
    <x v="0"/>
    <x v="14"/>
    <x v="5"/>
    <x v="5"/>
    <x v="80"/>
    <x v="7"/>
    <x v="7"/>
    <x v="33"/>
    <x v="783"/>
    <x v="2"/>
    <x v="42"/>
    <x v="163"/>
    <x v="124"/>
    <x v="603"/>
    <x v="292"/>
    <x v="0"/>
    <x v="81"/>
    <x v="0"/>
    <x v="0"/>
    <x v="88"/>
    <x v="3"/>
    <x v="0"/>
    <x v="373"/>
    <x v="347"/>
    <x v="32"/>
    <x v="1"/>
    <x v="262"/>
    <x v="173"/>
    <x v="635"/>
    <x v="372"/>
    <x v="185"/>
    <x v="0"/>
    <x v="102"/>
    <x v="130"/>
    <x v="247"/>
    <x v="4"/>
    <x v="497"/>
    <x v="158"/>
    <x v="424"/>
  </r>
  <r>
    <x v="0"/>
    <x v="14"/>
    <x v="5"/>
    <x v="6"/>
    <x v="81"/>
    <x v="11"/>
    <x v="11"/>
    <x v="36"/>
    <x v="782"/>
    <x v="2"/>
    <x v="28"/>
    <x v="185"/>
    <x v="188"/>
    <x v="854"/>
    <x v="386"/>
    <x v="0"/>
    <x v="0"/>
    <x v="0"/>
    <x v="0"/>
    <x v="0"/>
    <x v="0"/>
    <x v="0"/>
    <x v="455"/>
    <x v="294"/>
    <x v="33"/>
    <x v="0"/>
    <x v="0"/>
    <x v="646"/>
    <x v="0"/>
    <x v="0"/>
    <x v="958"/>
    <x v="9"/>
    <x v="57"/>
    <x v="100"/>
    <x v="489"/>
    <x v="0"/>
    <x v="57"/>
    <x v="367"/>
    <x v="425"/>
  </r>
  <r>
    <x v="0"/>
    <x v="15"/>
    <x v="2"/>
    <x v="5"/>
    <x v="80"/>
    <x v="7"/>
    <x v="7"/>
    <x v="33"/>
    <x v="786"/>
    <x v="2"/>
    <x v="20"/>
    <x v="137"/>
    <x v="180"/>
    <x v="169"/>
    <x v="124"/>
    <x v="0"/>
    <x v="58"/>
    <x v="0"/>
    <x v="0"/>
    <x v="45"/>
    <x v="3"/>
    <x v="0"/>
    <x v="208"/>
    <x v="48"/>
    <x v="32"/>
    <x v="1"/>
    <x v="48"/>
    <x v="97"/>
    <x v="701"/>
    <x v="424"/>
    <x v="86"/>
    <x v="0"/>
    <x v="42"/>
    <x v="130"/>
    <x v="264"/>
    <x v="4"/>
    <x v="475"/>
    <x v="201"/>
    <x v="480"/>
  </r>
  <r>
    <x v="0"/>
    <x v="15"/>
    <x v="2"/>
    <x v="6"/>
    <x v="81"/>
    <x v="11"/>
    <x v="11"/>
    <x v="36"/>
    <x v="785"/>
    <x v="2"/>
    <x v="16"/>
    <x v="133"/>
    <x v="187"/>
    <x v="371"/>
    <x v="215"/>
    <x v="0"/>
    <x v="0"/>
    <x v="0"/>
    <x v="0"/>
    <x v="0"/>
    <x v="0"/>
    <x v="0"/>
    <x v="301"/>
    <x v="339"/>
    <x v="33"/>
    <x v="0"/>
    <x v="0"/>
    <x v="646"/>
    <x v="0"/>
    <x v="0"/>
    <x v="958"/>
    <x v="0"/>
    <x v="35"/>
    <x v="130"/>
    <x v="495"/>
    <x v="0"/>
    <x v="85"/>
    <x v="172"/>
    <x v="481"/>
  </r>
  <r>
    <x v="0"/>
    <x v="15"/>
    <x v="2"/>
    <x v="7"/>
    <x v="82"/>
    <x v="11"/>
    <x v="10"/>
    <x v="37"/>
    <x v="765"/>
    <x v="2"/>
    <x v="34"/>
    <x v="166"/>
    <x v="150"/>
    <x v="806"/>
    <x v="356"/>
    <x v="0"/>
    <x v="0"/>
    <x v="0"/>
    <x v="0"/>
    <x v="0"/>
    <x v="0"/>
    <x v="0"/>
    <x v="423"/>
    <x v="642"/>
    <x v="34"/>
    <x v="0"/>
    <x v="0"/>
    <x v="646"/>
    <x v="0"/>
    <x v="0"/>
    <x v="958"/>
    <x v="9"/>
    <x v="68"/>
    <x v="106"/>
    <x v="448"/>
    <x v="2"/>
    <x v="144"/>
    <x v="521"/>
    <x v="704"/>
  </r>
  <r>
    <x v="0"/>
    <x v="15"/>
    <x v="2"/>
    <x v="4"/>
    <x v="56"/>
    <x v="11"/>
    <x v="19"/>
    <x v="49"/>
    <x v="754"/>
    <x v="2"/>
    <x v="28"/>
    <x v="166"/>
    <x v="170"/>
    <x v="644"/>
    <x v="324"/>
    <x v="0"/>
    <x v="0"/>
    <x v="0"/>
    <x v="0"/>
    <x v="0"/>
    <x v="0"/>
    <x v="0"/>
    <x v="399"/>
    <x v="444"/>
    <x v="13"/>
    <x v="0"/>
    <x v="0"/>
    <x v="646"/>
    <x v="0"/>
    <x v="0"/>
    <x v="958"/>
    <x v="0"/>
    <x v="63"/>
    <x v="130"/>
    <x v="456"/>
    <x v="2"/>
    <x v="190"/>
    <x v="423"/>
    <x v="869"/>
  </r>
  <r>
    <x v="0"/>
    <x v="15"/>
    <x v="6"/>
    <x v="8"/>
    <x v="60"/>
    <x v="11"/>
    <x v="19"/>
    <x v="48"/>
    <x v="752"/>
    <x v="6"/>
    <x v="28"/>
    <x v="166"/>
    <x v="170"/>
    <x v="894"/>
    <x v="429"/>
    <x v="0"/>
    <x v="0"/>
    <x v="0"/>
    <x v="0"/>
    <x v="24"/>
    <x v="0"/>
    <x v="0"/>
    <x v="512"/>
    <x v="753"/>
    <x v="25"/>
    <x v="0"/>
    <x v="0"/>
    <x v="646"/>
    <x v="165"/>
    <x v="0"/>
    <x v="752"/>
    <x v="0"/>
    <x v="63"/>
    <x v="130"/>
    <x v="513"/>
    <x v="3"/>
    <x v="61"/>
    <x v="724"/>
    <x v="1190"/>
  </r>
  <r>
    <x v="0"/>
    <x v="15"/>
    <x v="6"/>
    <x v="9"/>
    <x v="23"/>
    <x v="11"/>
    <x v="17"/>
    <x v="44"/>
    <x v="647"/>
    <x v="6"/>
    <x v="28"/>
    <x v="177"/>
    <x v="180"/>
    <x v="923"/>
    <x v="461"/>
    <x v="0"/>
    <x v="0"/>
    <x v="0"/>
    <x v="0"/>
    <x v="4"/>
    <x v="0"/>
    <x v="0"/>
    <x v="556"/>
    <x v="754"/>
    <x v="14"/>
    <x v="0"/>
    <x v="0"/>
    <x v="646"/>
    <x v="20"/>
    <x v="0"/>
    <x v="934"/>
    <x v="0"/>
    <x v="63"/>
    <x v="130"/>
    <x v="563"/>
    <x v="1"/>
    <x v="30"/>
    <x v="656"/>
    <x v="1144"/>
  </r>
  <r>
    <x v="0"/>
    <x v="15"/>
    <x v="2"/>
    <x v="0"/>
    <x v="4"/>
    <x v="5"/>
    <x v="1"/>
    <x v="71"/>
    <x v="128"/>
    <x v="2"/>
    <x v="42"/>
    <x v="107"/>
    <x v="29"/>
    <x v="243"/>
    <x v="173"/>
    <x v="12"/>
    <x v="68"/>
    <x v="0"/>
    <x v="0"/>
    <x v="40"/>
    <x v="0"/>
    <x v="0"/>
    <x v="252"/>
    <x v="422"/>
    <x v="38"/>
    <x v="10"/>
    <x v="621"/>
    <x v="152"/>
    <x v="576"/>
    <x v="403"/>
    <x v="263"/>
    <x v="0"/>
    <x v="102"/>
    <x v="130"/>
    <x v="84"/>
    <x v="6"/>
    <x v="624"/>
    <x v="118"/>
    <x v="388"/>
  </r>
  <r>
    <x v="0"/>
    <x v="15"/>
    <x v="6"/>
    <x v="1"/>
    <x v="9"/>
    <x v="11"/>
    <x v="19"/>
    <x v="72"/>
    <x v="18"/>
    <x v="3"/>
    <x v="14"/>
    <x v="38"/>
    <x v="122"/>
    <x v="97"/>
    <x v="82"/>
    <x v="0"/>
    <x v="0"/>
    <x v="5"/>
    <x v="0"/>
    <x v="11"/>
    <x v="0"/>
    <x v="5"/>
    <x v="43"/>
    <x v="550"/>
    <x v="4"/>
    <x v="0"/>
    <x v="0"/>
    <x v="646"/>
    <x v="331"/>
    <x v="0"/>
    <x v="559"/>
    <x v="2"/>
    <x v="27"/>
    <x v="117"/>
    <x v="299"/>
    <x v="7"/>
    <x v="719"/>
    <x v="518"/>
    <x v="739"/>
  </r>
  <r>
    <x v="0"/>
    <x v="15"/>
    <x v="6"/>
    <x v="1"/>
    <x v="68"/>
    <x v="11"/>
    <x v="19"/>
    <x v="60"/>
    <x v="21"/>
    <x v="3"/>
    <x v="16"/>
    <x v="35"/>
    <x v="47"/>
    <x v="11"/>
    <x v="11"/>
    <x v="0"/>
    <x v="0"/>
    <x v="9"/>
    <x v="0"/>
    <x v="8"/>
    <x v="0"/>
    <x v="5"/>
    <x v="8"/>
    <x v="7"/>
    <x v="3"/>
    <x v="0"/>
    <x v="0"/>
    <x v="646"/>
    <x v="724"/>
    <x v="0"/>
    <x v="50"/>
    <x v="26"/>
    <x v="7"/>
    <x v="4"/>
    <x v="11"/>
    <x v="7"/>
    <x v="765"/>
    <x v="167"/>
    <x v="8"/>
  </r>
  <r>
    <x v="0"/>
    <x v="16"/>
    <x v="2"/>
    <x v="7"/>
    <x v="82"/>
    <x v="11"/>
    <x v="19"/>
    <x v="37"/>
    <x v="770"/>
    <x v="5"/>
    <x v="42"/>
    <x v="184"/>
    <x v="156"/>
    <x v="865"/>
    <x v="397"/>
    <x v="0"/>
    <x v="0"/>
    <x v="0"/>
    <x v="0"/>
    <x v="0"/>
    <x v="0"/>
    <x v="0"/>
    <x v="466"/>
    <x v="339"/>
    <x v="34"/>
    <x v="0"/>
    <x v="0"/>
    <x v="646"/>
    <x v="0"/>
    <x v="0"/>
    <x v="958"/>
    <x v="9"/>
    <x v="97"/>
    <x v="117"/>
    <x v="379"/>
    <x v="2"/>
    <x v="290"/>
    <x v="219"/>
    <x v="407"/>
  </r>
  <r>
    <x v="0"/>
    <x v="16"/>
    <x v="2"/>
    <x v="4"/>
    <x v="83"/>
    <x v="11"/>
    <x v="19"/>
    <x v="35"/>
    <x v="755"/>
    <x v="5"/>
    <x v="42"/>
    <x v="184"/>
    <x v="156"/>
    <x v="889"/>
    <x v="425"/>
    <x v="0"/>
    <x v="0"/>
    <x v="0"/>
    <x v="0"/>
    <x v="0"/>
    <x v="0"/>
    <x v="0"/>
    <x v="503"/>
    <x v="499"/>
    <x v="35"/>
    <x v="0"/>
    <x v="0"/>
    <x v="646"/>
    <x v="0"/>
    <x v="0"/>
    <x v="958"/>
    <x v="9"/>
    <x v="97"/>
    <x v="117"/>
    <x v="421"/>
    <x v="2"/>
    <x v="213"/>
    <x v="379"/>
    <x v="557"/>
  </r>
  <r>
    <x v="0"/>
    <x v="16"/>
    <x v="2"/>
    <x v="3"/>
    <x v="72"/>
    <x v="11"/>
    <x v="19"/>
    <x v="10"/>
    <x v="138"/>
    <x v="5"/>
    <x v="14"/>
    <x v="153"/>
    <x v="242"/>
    <x v="161"/>
    <x v="67"/>
    <x v="0"/>
    <x v="112"/>
    <x v="0"/>
    <x v="0"/>
    <x v="93"/>
    <x v="0"/>
    <x v="0"/>
    <x v="157"/>
    <x v="9"/>
    <x v="38"/>
    <x v="3"/>
    <x v="63"/>
    <x v="5"/>
    <x v="772"/>
    <x v="479"/>
    <x v="10"/>
    <x v="0"/>
    <x v="29"/>
    <x v="130"/>
    <x v="235"/>
    <x v="5"/>
    <x v="508"/>
    <x v="335"/>
    <x v="572"/>
  </r>
  <r>
    <x v="0"/>
    <x v="16"/>
    <x v="6"/>
    <x v="1"/>
    <x v="68"/>
    <x v="11"/>
    <x v="12"/>
    <x v="60"/>
    <x v="26"/>
    <x v="3"/>
    <x v="14"/>
    <x v="15"/>
    <x v="19"/>
    <x v="6"/>
    <x v="6"/>
    <x v="0"/>
    <x v="0"/>
    <x v="2"/>
    <x v="0"/>
    <x v="3"/>
    <x v="0"/>
    <x v="4"/>
    <x v="6"/>
    <x v="5"/>
    <x v="3"/>
    <x v="0"/>
    <x v="0"/>
    <x v="646"/>
    <x v="662"/>
    <x v="0"/>
    <x v="131"/>
    <x v="23"/>
    <x v="6"/>
    <x v="3"/>
    <x v="4"/>
    <x v="7"/>
    <x v="777"/>
    <x v="87"/>
    <x v="4"/>
  </r>
  <r>
    <x v="0"/>
    <x v="16"/>
    <x v="6"/>
    <x v="1"/>
    <x v="46"/>
    <x v="11"/>
    <x v="12"/>
    <x v="64"/>
    <x v="8"/>
    <x v="3"/>
    <x v="14"/>
    <x v="15"/>
    <x v="19"/>
    <x v="14"/>
    <x v="14"/>
    <x v="0"/>
    <x v="0"/>
    <x v="6"/>
    <x v="0"/>
    <x v="11"/>
    <x v="0"/>
    <x v="4"/>
    <x v="13"/>
    <x v="117"/>
    <x v="22"/>
    <x v="0"/>
    <x v="0"/>
    <x v="646"/>
    <x v="719"/>
    <x v="0"/>
    <x v="59"/>
    <x v="16"/>
    <x v="13"/>
    <x v="20"/>
    <x v="36"/>
    <x v="7"/>
    <x v="761"/>
    <x v="211"/>
    <x v="41"/>
  </r>
  <r>
    <x v="0"/>
    <x v="16"/>
    <x v="6"/>
    <x v="1"/>
    <x v="71"/>
    <x v="11"/>
    <x v="12"/>
    <x v="73"/>
    <x v="19"/>
    <x v="3"/>
    <x v="14"/>
    <x v="15"/>
    <x v="19"/>
    <x v="74"/>
    <x v="63"/>
    <x v="0"/>
    <x v="0"/>
    <x v="3"/>
    <x v="0"/>
    <x v="13"/>
    <x v="0"/>
    <x v="4"/>
    <x v="42"/>
    <x v="770"/>
    <x v="4"/>
    <x v="0"/>
    <x v="0"/>
    <x v="646"/>
    <x v="470"/>
    <x v="0"/>
    <x v="378"/>
    <x v="0"/>
    <x v="29"/>
    <x v="130"/>
    <x v="208"/>
    <x v="7"/>
    <x v="742"/>
    <x v="370"/>
    <x v="727"/>
  </r>
  <r>
    <x v="0"/>
    <x v="16"/>
    <x v="6"/>
    <x v="1"/>
    <x v="45"/>
    <x v="11"/>
    <x v="12"/>
    <x v="83"/>
    <x v="5"/>
    <x v="3"/>
    <x v="14"/>
    <x v="15"/>
    <x v="19"/>
    <x v="18"/>
    <x v="19"/>
    <x v="0"/>
    <x v="0"/>
    <x v="6"/>
    <x v="0"/>
    <x v="11"/>
    <x v="0"/>
    <x v="4"/>
    <x v="18"/>
    <x v="182"/>
    <x v="24"/>
    <x v="0"/>
    <x v="0"/>
    <x v="646"/>
    <x v="688"/>
    <x v="0"/>
    <x v="93"/>
    <x v="14"/>
    <x v="15"/>
    <x v="31"/>
    <x v="44"/>
    <x v="7"/>
    <x v="766"/>
    <x v="162"/>
    <x v="56"/>
  </r>
  <r>
    <x v="0"/>
    <x v="16"/>
    <x v="6"/>
    <x v="8"/>
    <x v="60"/>
    <x v="11"/>
    <x v="19"/>
    <x v="48"/>
    <x v="758"/>
    <x v="6"/>
    <x v="24"/>
    <x v="184"/>
    <x v="207"/>
    <x v="912"/>
    <x v="449"/>
    <x v="0"/>
    <x v="0"/>
    <x v="0"/>
    <x v="0"/>
    <x v="21"/>
    <x v="0"/>
    <x v="1"/>
    <x v="343"/>
    <x v="651"/>
    <x v="25"/>
    <x v="0"/>
    <x v="0"/>
    <x v="646"/>
    <x v="138"/>
    <x v="0"/>
    <x v="781"/>
    <x v="0"/>
    <x v="55"/>
    <x v="130"/>
    <x v="596"/>
    <x v="3"/>
    <x v="192"/>
    <x v="600"/>
    <x v="1077"/>
  </r>
  <r>
    <x v="0"/>
    <x v="16"/>
    <x v="6"/>
    <x v="8"/>
    <x v="84"/>
    <x v="11"/>
    <x v="19"/>
    <x v="34"/>
    <x v="764"/>
    <x v="6"/>
    <x v="24"/>
    <x v="187"/>
    <x v="212"/>
    <x v="928"/>
    <x v="466"/>
    <x v="0"/>
    <x v="0"/>
    <x v="0"/>
    <x v="0"/>
    <x v="14"/>
    <x v="0"/>
    <x v="0"/>
    <x v="564"/>
    <x v="729"/>
    <x v="36"/>
    <x v="0"/>
    <x v="0"/>
    <x v="646"/>
    <x v="92"/>
    <x v="0"/>
    <x v="843"/>
    <x v="0"/>
    <x v="55"/>
    <x v="130"/>
    <x v="630"/>
    <x v="3"/>
    <x v="6"/>
    <x v="764"/>
    <x v="1216"/>
  </r>
  <r>
    <x v="0"/>
    <x v="16"/>
    <x v="6"/>
    <x v="9"/>
    <x v="23"/>
    <x v="11"/>
    <x v="17"/>
    <x v="44"/>
    <x v="659"/>
    <x v="6"/>
    <x v="42"/>
    <x v="228"/>
    <x v="232"/>
    <x v="1023"/>
    <x v="572"/>
    <x v="0"/>
    <x v="0"/>
    <x v="0"/>
    <x v="0"/>
    <x v="0"/>
    <x v="0"/>
    <x v="1"/>
    <x v="563"/>
    <x v="641"/>
    <x v="14"/>
    <x v="0"/>
    <x v="0"/>
    <x v="646"/>
    <x v="0"/>
    <x v="0"/>
    <x v="958"/>
    <x v="0"/>
    <x v="102"/>
    <x v="130"/>
    <x v="629"/>
    <x v="1"/>
    <x v="123"/>
    <x v="115"/>
    <x v="397"/>
  </r>
  <r>
    <x v="0"/>
    <x v="16"/>
    <x v="3"/>
    <x v="0"/>
    <x v="34"/>
    <x v="5"/>
    <x v="1"/>
    <x v="84"/>
    <x v="133"/>
    <x v="2"/>
    <x v="42"/>
    <x v="66"/>
    <x v="5"/>
    <x v="147"/>
    <x v="98"/>
    <x v="60"/>
    <x v="86"/>
    <x v="0"/>
    <x v="0"/>
    <x v="80"/>
    <x v="3"/>
    <x v="0"/>
    <x v="187"/>
    <x v="303"/>
    <x v="45"/>
    <x v="12"/>
    <x v="543"/>
    <x v="29"/>
    <x v="765"/>
    <x v="463"/>
    <x v="12"/>
    <x v="41"/>
    <x v="56"/>
    <x v="34"/>
    <x v="26"/>
    <x v="6"/>
    <x v="608"/>
    <x v="224"/>
    <x v="66"/>
  </r>
  <r>
    <x v="0"/>
    <x v="16"/>
    <x v="3"/>
    <x v="0"/>
    <x v="0"/>
    <x v="4"/>
    <x v="0"/>
    <x v="13"/>
    <x v="132"/>
    <x v="2"/>
    <x v="42"/>
    <x v="107"/>
    <x v="29"/>
    <x v="276"/>
    <x v="173"/>
    <x v="43"/>
    <x v="98"/>
    <x v="0"/>
    <x v="0"/>
    <x v="84"/>
    <x v="8"/>
    <x v="0"/>
    <x v="252"/>
    <x v="422"/>
    <x v="38"/>
    <x v="5"/>
    <x v="560"/>
    <x v="36"/>
    <x v="742"/>
    <x v="466"/>
    <x v="43"/>
    <x v="0"/>
    <x v="102"/>
    <x v="130"/>
    <x v="84"/>
    <x v="6"/>
    <x v="624"/>
    <x v="118"/>
    <x v="369"/>
  </r>
  <r>
    <x v="0"/>
    <x v="16"/>
    <x v="3"/>
    <x v="7"/>
    <x v="82"/>
    <x v="11"/>
    <x v="10"/>
    <x v="37"/>
    <x v="774"/>
    <x v="2"/>
    <x v="42"/>
    <x v="185"/>
    <x v="158"/>
    <x v="882"/>
    <x v="414"/>
    <x v="0"/>
    <x v="0"/>
    <x v="0"/>
    <x v="0"/>
    <x v="0"/>
    <x v="0"/>
    <x v="0"/>
    <x v="487"/>
    <x v="424"/>
    <x v="34"/>
    <x v="0"/>
    <x v="0"/>
    <x v="646"/>
    <x v="0"/>
    <x v="0"/>
    <x v="958"/>
    <x v="9"/>
    <x v="97"/>
    <x v="117"/>
    <x v="401"/>
    <x v="2"/>
    <x v="240"/>
    <x v="332"/>
    <x v="509"/>
  </r>
  <r>
    <x v="0"/>
    <x v="16"/>
    <x v="3"/>
    <x v="4"/>
    <x v="83"/>
    <x v="11"/>
    <x v="8"/>
    <x v="35"/>
    <x v="768"/>
    <x v="2"/>
    <x v="42"/>
    <x v="185"/>
    <x v="158"/>
    <x v="838"/>
    <x v="371"/>
    <x v="0"/>
    <x v="0"/>
    <x v="0"/>
    <x v="0"/>
    <x v="0"/>
    <x v="0"/>
    <x v="0"/>
    <x v="439"/>
    <x v="254"/>
    <x v="35"/>
    <x v="0"/>
    <x v="0"/>
    <x v="646"/>
    <x v="0"/>
    <x v="0"/>
    <x v="958"/>
    <x v="9"/>
    <x v="97"/>
    <x v="117"/>
    <x v="354"/>
    <x v="2"/>
    <x v="330"/>
    <x v="125"/>
    <x v="331"/>
  </r>
  <r>
    <x v="0"/>
    <x v="16"/>
    <x v="5"/>
    <x v="0"/>
    <x v="0"/>
    <x v="4"/>
    <x v="0"/>
    <x v="13"/>
    <x v="137"/>
    <x v="7"/>
    <x v="42"/>
    <x v="107"/>
    <x v="29"/>
    <x v="350"/>
    <x v="205"/>
    <x v="0"/>
    <x v="47"/>
    <x v="0"/>
    <x v="0"/>
    <x v="65"/>
    <x v="0"/>
    <x v="0"/>
    <x v="290"/>
    <x v="698"/>
    <x v="38"/>
    <x v="5"/>
    <x v="582"/>
    <x v="209"/>
    <x v="652"/>
    <x v="319"/>
    <x v="157"/>
    <x v="5"/>
    <x v="100"/>
    <x v="127"/>
    <x v="115"/>
    <x v="6"/>
    <x v="576"/>
    <x v="495"/>
    <x v="775"/>
  </r>
  <r>
    <x v="0"/>
    <x v="16"/>
    <x v="5"/>
    <x v="3"/>
    <x v="72"/>
    <x v="11"/>
    <x v="4"/>
    <x v="10"/>
    <x v="139"/>
    <x v="1"/>
    <x v="42"/>
    <x v="153"/>
    <x v="86"/>
    <x v="509"/>
    <x v="266"/>
    <x v="4"/>
    <x v="68"/>
    <x v="0"/>
    <x v="0"/>
    <x v="28"/>
    <x v="3"/>
    <x v="0"/>
    <x v="347"/>
    <x v="403"/>
    <x v="38"/>
    <x v="3"/>
    <x v="335"/>
    <x v="259"/>
    <x v="279"/>
    <x v="331"/>
    <x v="628"/>
    <x v="18"/>
    <x v="85"/>
    <x v="90"/>
    <x v="194"/>
    <x v="5"/>
    <x v="462"/>
    <x v="484"/>
    <x v="472"/>
  </r>
  <r>
    <x v="0"/>
    <x v="17"/>
    <x v="2"/>
    <x v="7"/>
    <x v="82"/>
    <x v="11"/>
    <x v="19"/>
    <x v="37"/>
    <x v="780"/>
    <x v="5"/>
    <x v="42"/>
    <x v="184"/>
    <x v="156"/>
    <x v="898"/>
    <x v="436"/>
    <x v="0"/>
    <x v="0"/>
    <x v="0"/>
    <x v="0"/>
    <x v="0"/>
    <x v="0"/>
    <x v="0"/>
    <x v="521"/>
    <x v="561"/>
    <x v="34"/>
    <x v="0"/>
    <x v="0"/>
    <x v="646"/>
    <x v="0"/>
    <x v="0"/>
    <x v="958"/>
    <x v="9"/>
    <x v="97"/>
    <x v="117"/>
    <x v="439"/>
    <x v="2"/>
    <x v="181"/>
    <x v="436"/>
    <x v="626"/>
  </r>
  <r>
    <x v="0"/>
    <x v="17"/>
    <x v="2"/>
    <x v="4"/>
    <x v="83"/>
    <x v="11"/>
    <x v="19"/>
    <x v="35"/>
    <x v="766"/>
    <x v="5"/>
    <x v="42"/>
    <x v="184"/>
    <x v="156"/>
    <x v="882"/>
    <x v="414"/>
    <x v="0"/>
    <x v="0"/>
    <x v="0"/>
    <x v="0"/>
    <x v="0"/>
    <x v="0"/>
    <x v="0"/>
    <x v="487"/>
    <x v="435"/>
    <x v="35"/>
    <x v="0"/>
    <x v="0"/>
    <x v="646"/>
    <x v="0"/>
    <x v="0"/>
    <x v="958"/>
    <x v="9"/>
    <x v="97"/>
    <x v="117"/>
    <x v="401"/>
    <x v="2"/>
    <x v="240"/>
    <x v="332"/>
    <x v="509"/>
  </r>
  <r>
    <x v="0"/>
    <x v="17"/>
    <x v="2"/>
    <x v="3"/>
    <x v="72"/>
    <x v="11"/>
    <x v="4"/>
    <x v="10"/>
    <x v="143"/>
    <x v="5"/>
    <x v="38"/>
    <x v="153"/>
    <x v="121"/>
    <x v="515"/>
    <x v="266"/>
    <x v="0"/>
    <x v="76"/>
    <x v="0"/>
    <x v="0"/>
    <x v="40"/>
    <x v="3"/>
    <x v="0"/>
    <x v="347"/>
    <x v="403"/>
    <x v="38"/>
    <x v="3"/>
    <x v="336"/>
    <x v="226"/>
    <x v="379"/>
    <x v="377"/>
    <x v="514"/>
    <x v="0"/>
    <x v="91"/>
    <x v="130"/>
    <x v="254"/>
    <x v="5"/>
    <x v="490"/>
    <x v="404"/>
    <x v="794"/>
  </r>
  <r>
    <x v="0"/>
    <x v="17"/>
    <x v="6"/>
    <x v="8"/>
    <x v="84"/>
    <x v="11"/>
    <x v="19"/>
    <x v="34"/>
    <x v="767"/>
    <x v="6"/>
    <x v="43"/>
    <x v="222"/>
    <x v="202"/>
    <x v="971"/>
    <x v="513"/>
    <x v="0"/>
    <x v="0"/>
    <x v="0"/>
    <x v="0"/>
    <x v="113"/>
    <x v="0"/>
    <x v="1"/>
    <x v="459"/>
    <x v="309"/>
    <x v="36"/>
    <x v="0"/>
    <x v="0"/>
    <x v="646"/>
    <x v="438"/>
    <x v="0"/>
    <x v="424"/>
    <x v="12"/>
    <x v="100"/>
    <x v="110"/>
    <x v="521"/>
    <x v="3"/>
    <x v="323"/>
    <x v="351"/>
    <x v="462"/>
  </r>
  <r>
    <x v="0"/>
    <x v="17"/>
    <x v="6"/>
    <x v="9"/>
    <x v="22"/>
    <x v="11"/>
    <x v="19"/>
    <x v="50"/>
    <x v="694"/>
    <x v="6"/>
    <x v="43"/>
    <x v="228"/>
    <x v="226"/>
    <x v="1019"/>
    <x v="568"/>
    <x v="0"/>
    <x v="0"/>
    <x v="0"/>
    <x v="0"/>
    <x v="2"/>
    <x v="0"/>
    <x v="0"/>
    <x v="605"/>
    <x v="614"/>
    <x v="29"/>
    <x v="0"/>
    <x v="0"/>
    <x v="646"/>
    <x v="3"/>
    <x v="0"/>
    <x v="955"/>
    <x v="0"/>
    <x v="103"/>
    <x v="130"/>
    <x v="614"/>
    <x v="1"/>
    <x v="8"/>
    <x v="702"/>
    <x v="1177"/>
  </r>
  <r>
    <x v="0"/>
    <x v="17"/>
    <x v="6"/>
    <x v="1"/>
    <x v="53"/>
    <x v="11"/>
    <x v="12"/>
    <x v="81"/>
    <x v="134"/>
    <x v="3"/>
    <x v="14"/>
    <x v="9"/>
    <x v="5"/>
    <x v="13"/>
    <x v="13"/>
    <x v="0"/>
    <x v="0"/>
    <x v="2"/>
    <x v="0"/>
    <x v="8"/>
    <x v="0"/>
    <x v="5"/>
    <x v="11"/>
    <x v="396"/>
    <x v="21"/>
    <x v="0"/>
    <x v="0"/>
    <x v="646"/>
    <x v="645"/>
    <x v="0"/>
    <x v="160"/>
    <x v="19"/>
    <x v="10"/>
    <x v="13"/>
    <x v="29"/>
    <x v="7"/>
    <x v="759"/>
    <x v="228"/>
    <x v="22"/>
  </r>
  <r>
    <x v="0"/>
    <x v="17"/>
    <x v="6"/>
    <x v="1"/>
    <x v="52"/>
    <x v="11"/>
    <x v="12"/>
    <x v="67"/>
    <x v="129"/>
    <x v="3"/>
    <x v="24"/>
    <x v="66"/>
    <x v="43"/>
    <x v="143"/>
    <x v="114"/>
    <x v="0"/>
    <x v="0"/>
    <x v="10"/>
    <x v="0"/>
    <x v="15"/>
    <x v="0"/>
    <x v="5"/>
    <x v="57"/>
    <x v="475"/>
    <x v="20"/>
    <x v="0"/>
    <x v="0"/>
    <x v="646"/>
    <x v="347"/>
    <x v="0"/>
    <x v="538"/>
    <x v="12"/>
    <x v="45"/>
    <x v="77"/>
    <x v="125"/>
    <x v="7"/>
    <x v="774"/>
    <x v="96"/>
    <x v="175"/>
  </r>
  <r>
    <x v="0"/>
    <x v="17"/>
    <x v="6"/>
    <x v="1"/>
    <x v="48"/>
    <x v="11"/>
    <x v="12"/>
    <x v="62"/>
    <x v="129"/>
    <x v="3"/>
    <x v="14"/>
    <x v="22"/>
    <x v="43"/>
    <x v="34"/>
    <x v="32"/>
    <x v="0"/>
    <x v="0"/>
    <x v="5"/>
    <x v="0"/>
    <x v="10"/>
    <x v="0"/>
    <x v="5"/>
    <x v="23"/>
    <x v="210"/>
    <x v="20"/>
    <x v="0"/>
    <x v="0"/>
    <x v="646"/>
    <x v="569"/>
    <x v="0"/>
    <x v="257"/>
    <x v="12"/>
    <x v="17"/>
    <x v="40"/>
    <x v="86"/>
    <x v="7"/>
    <x v="764"/>
    <x v="168"/>
    <x v="91"/>
  </r>
  <r>
    <x v="0"/>
    <x v="17"/>
    <x v="3"/>
    <x v="4"/>
    <x v="83"/>
    <x v="11"/>
    <x v="8"/>
    <x v="35"/>
    <x v="777"/>
    <x v="2"/>
    <x v="42"/>
    <x v="185"/>
    <x v="158"/>
    <x v="854"/>
    <x v="386"/>
    <x v="0"/>
    <x v="0"/>
    <x v="0"/>
    <x v="0"/>
    <x v="0"/>
    <x v="0"/>
    <x v="0"/>
    <x v="455"/>
    <x v="294"/>
    <x v="35"/>
    <x v="0"/>
    <x v="0"/>
    <x v="646"/>
    <x v="0"/>
    <x v="0"/>
    <x v="958"/>
    <x v="9"/>
    <x v="97"/>
    <x v="117"/>
    <x v="368"/>
    <x v="2"/>
    <x v="310"/>
    <x v="179"/>
    <x v="373"/>
  </r>
  <r>
    <x v="0"/>
    <x v="17"/>
    <x v="3"/>
    <x v="7"/>
    <x v="82"/>
    <x v="11"/>
    <x v="10"/>
    <x v="37"/>
    <x v="784"/>
    <x v="2"/>
    <x v="31"/>
    <x v="166"/>
    <x v="166"/>
    <x v="532"/>
    <x v="279"/>
    <x v="0"/>
    <x v="0"/>
    <x v="0"/>
    <x v="0"/>
    <x v="0"/>
    <x v="0"/>
    <x v="0"/>
    <x v="363"/>
    <x v="253"/>
    <x v="34"/>
    <x v="0"/>
    <x v="0"/>
    <x v="646"/>
    <x v="0"/>
    <x v="0"/>
    <x v="958"/>
    <x v="13"/>
    <x v="60"/>
    <x v="89"/>
    <x v="362"/>
    <x v="2"/>
    <x v="253"/>
    <x v="297"/>
    <x v="352"/>
  </r>
  <r>
    <x v="0"/>
    <x v="17"/>
    <x v="3"/>
    <x v="5"/>
    <x v="12"/>
    <x v="7"/>
    <x v="7"/>
    <x v="27"/>
    <x v="788"/>
    <x v="2"/>
    <x v="42"/>
    <x v="163"/>
    <x v="124"/>
    <x v="842"/>
    <x v="359"/>
    <x v="53"/>
    <x v="99"/>
    <x v="0"/>
    <x v="0"/>
    <x v="102"/>
    <x v="3"/>
    <x v="0"/>
    <x v="426"/>
    <x v="693"/>
    <x v="44"/>
    <x v="1"/>
    <x v="468"/>
    <x v="71"/>
    <x v="625"/>
    <x v="427"/>
    <x v="200"/>
    <x v="0"/>
    <x v="102"/>
    <x v="130"/>
    <x v="338"/>
    <x v="4"/>
    <x v="376"/>
    <x v="546"/>
    <x v="1000"/>
  </r>
  <r>
    <x v="0"/>
    <x v="17"/>
    <x v="3"/>
    <x v="6"/>
    <x v="16"/>
    <x v="11"/>
    <x v="11"/>
    <x v="28"/>
    <x v="789"/>
    <x v="2"/>
    <x v="28"/>
    <x v="185"/>
    <x v="188"/>
    <x v="652"/>
    <x v="327"/>
    <x v="0"/>
    <x v="0"/>
    <x v="0"/>
    <x v="0"/>
    <x v="0"/>
    <x v="0"/>
    <x v="0"/>
    <x v="403"/>
    <x v="149"/>
    <x v="7"/>
    <x v="0"/>
    <x v="0"/>
    <x v="646"/>
    <x v="0"/>
    <x v="0"/>
    <x v="958"/>
    <x v="9"/>
    <x v="57"/>
    <x v="100"/>
    <x v="461"/>
    <x v="0"/>
    <x v="115"/>
    <x v="85"/>
    <x v="202"/>
  </r>
  <r>
    <x v="0"/>
    <x v="17"/>
    <x v="3"/>
    <x v="7"/>
    <x v="20"/>
    <x v="11"/>
    <x v="10"/>
    <x v="29"/>
    <x v="790"/>
    <x v="2"/>
    <x v="16"/>
    <x v="84"/>
    <x v="148"/>
    <x v="178"/>
    <x v="143"/>
    <x v="0"/>
    <x v="0"/>
    <x v="0"/>
    <x v="0"/>
    <x v="0"/>
    <x v="0"/>
    <x v="0"/>
    <x v="222"/>
    <x v="428"/>
    <x v="11"/>
    <x v="0"/>
    <x v="0"/>
    <x v="646"/>
    <x v="0"/>
    <x v="0"/>
    <x v="958"/>
    <x v="5"/>
    <x v="30"/>
    <x v="100"/>
    <x v="373"/>
    <x v="2"/>
    <x v="256"/>
    <x v="293"/>
    <x v="392"/>
  </r>
  <r>
    <x v="0"/>
    <x v="17"/>
    <x v="3"/>
    <x v="0"/>
    <x v="0"/>
    <x v="4"/>
    <x v="0"/>
    <x v="13"/>
    <x v="140"/>
    <x v="2"/>
    <x v="44"/>
    <x v="107"/>
    <x v="11"/>
    <x v="607"/>
    <x v="292"/>
    <x v="56"/>
    <x v="85"/>
    <x v="0"/>
    <x v="0"/>
    <x v="90"/>
    <x v="3"/>
    <x v="0"/>
    <x v="373"/>
    <x v="771"/>
    <x v="38"/>
    <x v="5"/>
    <x v="668"/>
    <x v="105"/>
    <x v="641"/>
    <x v="384"/>
    <x v="171"/>
    <x v="0"/>
    <x v="104"/>
    <x v="130"/>
    <x v="146"/>
    <x v="6"/>
    <x v="556"/>
    <x v="583"/>
    <x v="1049"/>
  </r>
  <r>
    <x v="0"/>
    <x v="17"/>
    <x v="3"/>
    <x v="3"/>
    <x v="72"/>
    <x v="11"/>
    <x v="4"/>
    <x v="10"/>
    <x v="144"/>
    <x v="2"/>
    <x v="42"/>
    <x v="153"/>
    <x v="86"/>
    <x v="437"/>
    <x v="228"/>
    <x v="0"/>
    <x v="84"/>
    <x v="0"/>
    <x v="0"/>
    <x v="90"/>
    <x v="0"/>
    <x v="0"/>
    <x v="315"/>
    <x v="226"/>
    <x v="38"/>
    <x v="3"/>
    <x v="246"/>
    <x v="115"/>
    <x v="711"/>
    <x v="407"/>
    <x v="74"/>
    <x v="26"/>
    <x v="76"/>
    <x v="68"/>
    <x v="143"/>
    <x v="5"/>
    <x v="494"/>
    <x v="394"/>
    <x v="262"/>
  </r>
  <r>
    <x v="0"/>
    <x v="17"/>
    <x v="5"/>
    <x v="0"/>
    <x v="0"/>
    <x v="4"/>
    <x v="0"/>
    <x v="13"/>
    <x v="141"/>
    <x v="1"/>
    <x v="42"/>
    <x v="107"/>
    <x v="29"/>
    <x v="406"/>
    <x v="213"/>
    <x v="0"/>
    <x v="43"/>
    <x v="0"/>
    <x v="0"/>
    <x v="81"/>
    <x v="3"/>
    <x v="0"/>
    <x v="299"/>
    <x v="723"/>
    <x v="38"/>
    <x v="5"/>
    <x v="601"/>
    <x v="185"/>
    <x v="696"/>
    <x v="291"/>
    <x v="88"/>
    <x v="0"/>
    <x v="102"/>
    <x v="130"/>
    <x v="126"/>
    <x v="6"/>
    <x v="570"/>
    <x v="511"/>
    <x v="921"/>
  </r>
  <r>
    <x v="0"/>
    <x v="17"/>
    <x v="5"/>
    <x v="5"/>
    <x v="12"/>
    <x v="7"/>
    <x v="7"/>
    <x v="27"/>
    <x v="793"/>
    <x v="1"/>
    <x v="42"/>
    <x v="163"/>
    <x v="124"/>
    <x v="657"/>
    <x v="318"/>
    <x v="0"/>
    <x v="42"/>
    <x v="0"/>
    <x v="0"/>
    <x v="70"/>
    <x v="0"/>
    <x v="0"/>
    <x v="394"/>
    <x v="500"/>
    <x v="44"/>
    <x v="1"/>
    <x v="291"/>
    <x v="323"/>
    <x v="534"/>
    <x v="211"/>
    <x v="302"/>
    <x v="0"/>
    <x v="102"/>
    <x v="130"/>
    <x v="287"/>
    <x v="4"/>
    <x v="450"/>
    <x v="281"/>
    <x v="604"/>
  </r>
  <r>
    <x v="0"/>
    <x v="17"/>
    <x v="5"/>
    <x v="3"/>
    <x v="72"/>
    <x v="11"/>
    <x v="4"/>
    <x v="10"/>
    <x v="145"/>
    <x v="1"/>
    <x v="42"/>
    <x v="153"/>
    <x v="86"/>
    <x v="781"/>
    <x v="351"/>
    <x v="0"/>
    <x v="0"/>
    <x v="0"/>
    <x v="0"/>
    <x v="2"/>
    <x v="3"/>
    <x v="0"/>
    <x v="419"/>
    <x v="743"/>
    <x v="38"/>
    <x v="3"/>
    <x v="512"/>
    <x v="619"/>
    <x v="15"/>
    <x v="0"/>
    <x v="942"/>
    <x v="0"/>
    <x v="102"/>
    <x v="130"/>
    <x v="329"/>
    <x v="5"/>
    <x v="388"/>
    <x v="637"/>
    <x v="1121"/>
  </r>
  <r>
    <x v="0"/>
    <x v="18"/>
    <x v="2"/>
    <x v="5"/>
    <x v="12"/>
    <x v="7"/>
    <x v="7"/>
    <x v="27"/>
    <x v="798"/>
    <x v="5"/>
    <x v="42"/>
    <x v="163"/>
    <x v="124"/>
    <x v="400"/>
    <x v="200"/>
    <x v="78"/>
    <x v="103"/>
    <x v="0"/>
    <x v="0"/>
    <x v="70"/>
    <x v="3"/>
    <x v="0"/>
    <x v="285"/>
    <x v="97"/>
    <x v="44"/>
    <x v="1"/>
    <x v="268"/>
    <x v="6"/>
    <x v="679"/>
    <x v="467"/>
    <x v="141"/>
    <x v="28"/>
    <x v="74"/>
    <x v="63"/>
    <x v="110"/>
    <x v="4"/>
    <x v="530"/>
    <x v="91"/>
    <x v="130"/>
  </r>
  <r>
    <x v="0"/>
    <x v="18"/>
    <x v="2"/>
    <x v="3"/>
    <x v="72"/>
    <x v="11"/>
    <x v="4"/>
    <x v="10"/>
    <x v="149"/>
    <x v="5"/>
    <x v="42"/>
    <x v="153"/>
    <x v="86"/>
    <x v="661"/>
    <x v="327"/>
    <x v="12"/>
    <x v="0"/>
    <x v="0"/>
    <x v="0"/>
    <x v="12"/>
    <x v="3"/>
    <x v="0"/>
    <x v="403"/>
    <x v="703"/>
    <x v="38"/>
    <x v="3"/>
    <x v="484"/>
    <x v="512"/>
    <x v="132"/>
    <x v="0"/>
    <x v="793"/>
    <x v="0"/>
    <x v="102"/>
    <x v="130"/>
    <x v="300"/>
    <x v="5"/>
    <x v="432"/>
    <x v="550"/>
    <x v="1028"/>
  </r>
  <r>
    <x v="0"/>
    <x v="18"/>
    <x v="2"/>
    <x v="4"/>
    <x v="83"/>
    <x v="11"/>
    <x v="8"/>
    <x v="35"/>
    <x v="778"/>
    <x v="5"/>
    <x v="27"/>
    <x v="148"/>
    <x v="162"/>
    <x v="475"/>
    <x v="266"/>
    <x v="0"/>
    <x v="0"/>
    <x v="0"/>
    <x v="0"/>
    <x v="0"/>
    <x v="0"/>
    <x v="0"/>
    <x v="347"/>
    <x v="466"/>
    <x v="35"/>
    <x v="0"/>
    <x v="0"/>
    <x v="646"/>
    <x v="0"/>
    <x v="0"/>
    <x v="958"/>
    <x v="7"/>
    <x v="55"/>
    <x v="106"/>
    <x v="423"/>
    <x v="2"/>
    <x v="178"/>
    <x v="444"/>
    <x v="561"/>
  </r>
  <r>
    <x v="0"/>
    <x v="18"/>
    <x v="2"/>
    <x v="4"/>
    <x v="58"/>
    <x v="11"/>
    <x v="8"/>
    <x v="31"/>
    <x v="787"/>
    <x v="5"/>
    <x v="20"/>
    <x v="121"/>
    <x v="170"/>
    <x v="298"/>
    <x v="198"/>
    <x v="0"/>
    <x v="0"/>
    <x v="0"/>
    <x v="0"/>
    <x v="18"/>
    <x v="0"/>
    <x v="0"/>
    <x v="283"/>
    <x v="451"/>
    <x v="15"/>
    <x v="0"/>
    <x v="0"/>
    <x v="646"/>
    <x v="256"/>
    <x v="0"/>
    <x v="652"/>
    <x v="0"/>
    <x v="42"/>
    <x v="130"/>
    <x v="458"/>
    <x v="2"/>
    <x v="186"/>
    <x v="430"/>
    <x v="861"/>
  </r>
  <r>
    <x v="0"/>
    <x v="18"/>
    <x v="2"/>
    <x v="6"/>
    <x v="16"/>
    <x v="11"/>
    <x v="11"/>
    <x v="28"/>
    <x v="791"/>
    <x v="5"/>
    <x v="28"/>
    <x v="185"/>
    <x v="188"/>
    <x v="804"/>
    <x v="355"/>
    <x v="0"/>
    <x v="0"/>
    <x v="0"/>
    <x v="0"/>
    <x v="0"/>
    <x v="0"/>
    <x v="0"/>
    <x v="422"/>
    <x v="202"/>
    <x v="7"/>
    <x v="0"/>
    <x v="0"/>
    <x v="646"/>
    <x v="0"/>
    <x v="0"/>
    <x v="958"/>
    <x v="9"/>
    <x v="57"/>
    <x v="100"/>
    <x v="474"/>
    <x v="0"/>
    <x v="88"/>
    <x v="164"/>
    <x v="293"/>
  </r>
  <r>
    <x v="0"/>
    <x v="18"/>
    <x v="2"/>
    <x v="7"/>
    <x v="20"/>
    <x v="11"/>
    <x v="10"/>
    <x v="29"/>
    <x v="792"/>
    <x v="5"/>
    <x v="42"/>
    <x v="184"/>
    <x v="156"/>
    <x v="838"/>
    <x v="371"/>
    <x v="0"/>
    <x v="0"/>
    <x v="0"/>
    <x v="0"/>
    <x v="0"/>
    <x v="0"/>
    <x v="0"/>
    <x v="439"/>
    <x v="255"/>
    <x v="11"/>
    <x v="0"/>
    <x v="0"/>
    <x v="646"/>
    <x v="0"/>
    <x v="0"/>
    <x v="958"/>
    <x v="9"/>
    <x v="97"/>
    <x v="117"/>
    <x v="354"/>
    <x v="2"/>
    <x v="330"/>
    <x v="125"/>
    <x v="331"/>
  </r>
  <r>
    <x v="0"/>
    <x v="18"/>
    <x v="6"/>
    <x v="8"/>
    <x v="84"/>
    <x v="11"/>
    <x v="19"/>
    <x v="34"/>
    <x v="777"/>
    <x v="6"/>
    <x v="31"/>
    <x v="204"/>
    <x v="219"/>
    <x v="914"/>
    <x v="450"/>
    <x v="0"/>
    <x v="0"/>
    <x v="0"/>
    <x v="0"/>
    <x v="80"/>
    <x v="0"/>
    <x v="1"/>
    <x v="345"/>
    <x v="200"/>
    <x v="36"/>
    <x v="0"/>
    <x v="0"/>
    <x v="646"/>
    <x v="380"/>
    <x v="0"/>
    <x v="501"/>
    <x v="7"/>
    <x v="63"/>
    <x v="113"/>
    <x v="514"/>
    <x v="3"/>
    <x v="343"/>
    <x v="271"/>
    <x v="415"/>
  </r>
  <r>
    <x v="0"/>
    <x v="18"/>
    <x v="6"/>
    <x v="8"/>
    <x v="62"/>
    <x v="11"/>
    <x v="19"/>
    <x v="30"/>
    <x v="787"/>
    <x v="6"/>
    <x v="20"/>
    <x v="148"/>
    <x v="184"/>
    <x v="472"/>
    <x v="260"/>
    <x v="0"/>
    <x v="0"/>
    <x v="0"/>
    <x v="0"/>
    <x v="40"/>
    <x v="0"/>
    <x v="1"/>
    <x v="219"/>
    <x v="434"/>
    <x v="27"/>
    <x v="0"/>
    <x v="0"/>
    <x v="646"/>
    <x v="382"/>
    <x v="0"/>
    <x v="498"/>
    <x v="5"/>
    <x v="36"/>
    <x v="106"/>
    <x v="496"/>
    <x v="3"/>
    <x v="363"/>
    <x v="159"/>
    <x v="320"/>
  </r>
  <r>
    <x v="0"/>
    <x v="18"/>
    <x v="6"/>
    <x v="9"/>
    <x v="23"/>
    <x v="11"/>
    <x v="17"/>
    <x v="44"/>
    <x v="668"/>
    <x v="6"/>
    <x v="43"/>
    <x v="228"/>
    <x v="226"/>
    <x v="1021"/>
    <x v="570"/>
    <x v="0"/>
    <x v="0"/>
    <x v="0"/>
    <x v="0"/>
    <x v="10"/>
    <x v="0"/>
    <x v="1"/>
    <x v="559"/>
    <x v="632"/>
    <x v="14"/>
    <x v="0"/>
    <x v="0"/>
    <x v="646"/>
    <x v="29"/>
    <x v="0"/>
    <x v="923"/>
    <x v="12"/>
    <x v="100"/>
    <x v="110"/>
    <x v="621"/>
    <x v="1"/>
    <x v="110"/>
    <x v="147"/>
    <x v="336"/>
  </r>
  <r>
    <x v="0"/>
    <x v="18"/>
    <x v="6"/>
    <x v="1"/>
    <x v="5"/>
    <x v="11"/>
    <x v="12"/>
    <x v="14"/>
    <x v="135"/>
    <x v="3"/>
    <x v="43"/>
    <x v="168"/>
    <x v="122"/>
    <x v="866"/>
    <x v="395"/>
    <x v="0"/>
    <x v="0"/>
    <x v="0"/>
    <x v="0"/>
    <x v="49"/>
    <x v="0"/>
    <x v="5"/>
    <x v="155"/>
    <x v="725"/>
    <x v="0"/>
    <x v="0"/>
    <x v="0"/>
    <x v="646"/>
    <x v="301"/>
    <x v="0"/>
    <x v="601"/>
    <x v="12"/>
    <x v="100"/>
    <x v="110"/>
    <x v="358"/>
    <x v="7"/>
    <x v="665"/>
    <x v="674"/>
    <x v="1109"/>
  </r>
  <r>
    <x v="0"/>
    <x v="18"/>
    <x v="3"/>
    <x v="7"/>
    <x v="20"/>
    <x v="11"/>
    <x v="10"/>
    <x v="29"/>
    <x v="794"/>
    <x v="2"/>
    <x v="6"/>
    <x v="28"/>
    <x v="170"/>
    <x v="63"/>
    <x v="60"/>
    <x v="0"/>
    <x v="0"/>
    <x v="0"/>
    <x v="0"/>
    <x v="0"/>
    <x v="0"/>
    <x v="0"/>
    <x v="144"/>
    <x v="466"/>
    <x v="11"/>
    <x v="0"/>
    <x v="0"/>
    <x v="646"/>
    <x v="0"/>
    <x v="0"/>
    <x v="958"/>
    <x v="0"/>
    <x v="15"/>
    <x v="130"/>
    <x v="461"/>
    <x v="2"/>
    <x v="178"/>
    <x v="444"/>
    <x v="893"/>
  </r>
  <r>
    <x v="0"/>
    <x v="18"/>
    <x v="3"/>
    <x v="4"/>
    <x v="58"/>
    <x v="11"/>
    <x v="8"/>
    <x v="31"/>
    <x v="787"/>
    <x v="2"/>
    <x v="36"/>
    <x v="185"/>
    <x v="175"/>
    <x v="838"/>
    <x v="371"/>
    <x v="0"/>
    <x v="0"/>
    <x v="0"/>
    <x v="0"/>
    <x v="0"/>
    <x v="0"/>
    <x v="0"/>
    <x v="439"/>
    <x v="254"/>
    <x v="15"/>
    <x v="0"/>
    <x v="0"/>
    <x v="646"/>
    <x v="0"/>
    <x v="0"/>
    <x v="958"/>
    <x v="12"/>
    <x v="72"/>
    <x v="101"/>
    <x v="445"/>
    <x v="2"/>
    <x v="141"/>
    <x v="529"/>
    <x v="659"/>
  </r>
  <r>
    <x v="0"/>
    <x v="18"/>
    <x v="3"/>
    <x v="5"/>
    <x v="12"/>
    <x v="7"/>
    <x v="7"/>
    <x v="27"/>
    <x v="800"/>
    <x v="2"/>
    <x v="42"/>
    <x v="163"/>
    <x v="124"/>
    <x v="677"/>
    <x v="327"/>
    <x v="0"/>
    <x v="30"/>
    <x v="0"/>
    <x v="0"/>
    <x v="50"/>
    <x v="0"/>
    <x v="0"/>
    <x v="403"/>
    <x v="551"/>
    <x v="44"/>
    <x v="1"/>
    <x v="301"/>
    <x v="409"/>
    <x v="379"/>
    <x v="148"/>
    <x v="505"/>
    <x v="0"/>
    <x v="102"/>
    <x v="130"/>
    <x v="300"/>
    <x v="4"/>
    <x v="432"/>
    <x v="329"/>
    <x v="690"/>
  </r>
  <r>
    <x v="0"/>
    <x v="18"/>
    <x v="3"/>
    <x v="6"/>
    <x v="16"/>
    <x v="11"/>
    <x v="11"/>
    <x v="28"/>
    <x v="799"/>
    <x v="2"/>
    <x v="34"/>
    <x v="185"/>
    <x v="178"/>
    <x v="885"/>
    <x v="421"/>
    <x v="0"/>
    <x v="0"/>
    <x v="0"/>
    <x v="0"/>
    <x v="0"/>
    <x v="0"/>
    <x v="0"/>
    <x v="499"/>
    <x v="456"/>
    <x v="7"/>
    <x v="0"/>
    <x v="0"/>
    <x v="646"/>
    <x v="0"/>
    <x v="0"/>
    <x v="958"/>
    <x v="7"/>
    <x v="70"/>
    <x v="117"/>
    <x v="479"/>
    <x v="0"/>
    <x v="95"/>
    <x v="150"/>
    <x v="345"/>
  </r>
  <r>
    <x v="0"/>
    <x v="18"/>
    <x v="3"/>
    <x v="0"/>
    <x v="0"/>
    <x v="4"/>
    <x v="0"/>
    <x v="13"/>
    <x v="147"/>
    <x v="2"/>
    <x v="42"/>
    <x v="107"/>
    <x v="29"/>
    <x v="377"/>
    <x v="205"/>
    <x v="0"/>
    <x v="71"/>
    <x v="0"/>
    <x v="0"/>
    <x v="87"/>
    <x v="11"/>
    <x v="0"/>
    <x v="290"/>
    <x v="698"/>
    <x v="38"/>
    <x v="5"/>
    <x v="589"/>
    <x v="99"/>
    <x v="722"/>
    <x v="394"/>
    <x v="60"/>
    <x v="0"/>
    <x v="102"/>
    <x v="130"/>
    <x v="115"/>
    <x v="6"/>
    <x v="589"/>
    <x v="414"/>
    <x v="746"/>
  </r>
  <r>
    <x v="0"/>
    <x v="18"/>
    <x v="3"/>
    <x v="3"/>
    <x v="72"/>
    <x v="11"/>
    <x v="4"/>
    <x v="10"/>
    <x v="150"/>
    <x v="2"/>
    <x v="42"/>
    <x v="153"/>
    <x v="86"/>
    <x v="789"/>
    <x v="351"/>
    <x v="0"/>
    <x v="0"/>
    <x v="0"/>
    <x v="0"/>
    <x v="20"/>
    <x v="0"/>
    <x v="0"/>
    <x v="419"/>
    <x v="743"/>
    <x v="38"/>
    <x v="3"/>
    <x v="517"/>
    <x v="568"/>
    <x v="175"/>
    <x v="0"/>
    <x v="740"/>
    <x v="0"/>
    <x v="102"/>
    <x v="130"/>
    <x v="329"/>
    <x v="5"/>
    <x v="388"/>
    <x v="637"/>
    <x v="1112"/>
  </r>
  <r>
    <x v="0"/>
    <x v="18"/>
    <x v="5"/>
    <x v="0"/>
    <x v="0"/>
    <x v="4"/>
    <x v="0"/>
    <x v="13"/>
    <x v="148"/>
    <x v="1"/>
    <x v="42"/>
    <x v="107"/>
    <x v="29"/>
    <x v="408"/>
    <x v="210"/>
    <x v="0"/>
    <x v="68"/>
    <x v="0"/>
    <x v="0"/>
    <x v="70"/>
    <x v="9"/>
    <x v="0"/>
    <x v="296"/>
    <x v="719"/>
    <x v="38"/>
    <x v="5"/>
    <x v="602"/>
    <x v="124"/>
    <x v="659"/>
    <x v="375"/>
    <x v="145"/>
    <x v="0"/>
    <x v="102"/>
    <x v="130"/>
    <x v="124"/>
    <x v="6"/>
    <x v="573"/>
    <x v="501"/>
    <x v="917"/>
  </r>
  <r>
    <x v="0"/>
    <x v="18"/>
    <x v="5"/>
    <x v="5"/>
    <x v="12"/>
    <x v="7"/>
    <x v="7"/>
    <x v="27"/>
    <x v="802"/>
    <x v="1"/>
    <x v="42"/>
    <x v="163"/>
    <x v="124"/>
    <x v="758"/>
    <x v="346"/>
    <x v="0"/>
    <x v="33"/>
    <x v="0"/>
    <x v="0"/>
    <x v="60"/>
    <x v="3"/>
    <x v="0"/>
    <x v="414"/>
    <x v="623"/>
    <x v="44"/>
    <x v="1"/>
    <x v="380"/>
    <x v="371"/>
    <x v="420"/>
    <x v="150"/>
    <x v="449"/>
    <x v="0"/>
    <x v="102"/>
    <x v="130"/>
    <x v="320"/>
    <x v="4"/>
    <x v="407"/>
    <x v="429"/>
    <x v="830"/>
  </r>
  <r>
    <x v="0"/>
    <x v="18"/>
    <x v="5"/>
    <x v="3"/>
    <x v="72"/>
    <x v="11"/>
    <x v="4"/>
    <x v="10"/>
    <x v="151"/>
    <x v="1"/>
    <x v="42"/>
    <x v="153"/>
    <x v="86"/>
    <x v="658"/>
    <x v="327"/>
    <x v="0"/>
    <x v="0"/>
    <x v="0"/>
    <x v="0"/>
    <x v="4"/>
    <x v="3"/>
    <x v="0"/>
    <x v="403"/>
    <x v="703"/>
    <x v="38"/>
    <x v="3"/>
    <x v="473"/>
    <x v="605"/>
    <x v="41"/>
    <x v="0"/>
    <x v="910"/>
    <x v="0"/>
    <x v="102"/>
    <x v="130"/>
    <x v="300"/>
    <x v="5"/>
    <x v="432"/>
    <x v="550"/>
    <x v="1037"/>
  </r>
  <r>
    <x v="0"/>
    <x v="19"/>
    <x v="2"/>
    <x v="6"/>
    <x v="16"/>
    <x v="11"/>
    <x v="11"/>
    <x v="28"/>
    <x v="803"/>
    <x v="5"/>
    <x v="42"/>
    <x v="185"/>
    <x v="158"/>
    <x v="941"/>
    <x v="481"/>
    <x v="0"/>
    <x v="0"/>
    <x v="0"/>
    <x v="0"/>
    <x v="0"/>
    <x v="0"/>
    <x v="0"/>
    <x v="574"/>
    <x v="758"/>
    <x v="7"/>
    <x v="0"/>
    <x v="0"/>
    <x v="646"/>
    <x v="0"/>
    <x v="0"/>
    <x v="958"/>
    <x v="9"/>
    <x v="97"/>
    <x v="117"/>
    <x v="494"/>
    <x v="0"/>
    <x v="67"/>
    <x v="292"/>
    <x v="459"/>
  </r>
  <r>
    <x v="0"/>
    <x v="19"/>
    <x v="2"/>
    <x v="5"/>
    <x v="12"/>
    <x v="11"/>
    <x v="7"/>
    <x v="27"/>
    <x v="808"/>
    <x v="5"/>
    <x v="42"/>
    <x v="163"/>
    <x v="124"/>
    <x v="549"/>
    <x v="274"/>
    <x v="0"/>
    <x v="82"/>
    <x v="0"/>
    <x v="0"/>
    <x v="51"/>
    <x v="3"/>
    <x v="0"/>
    <x v="358"/>
    <x v="262"/>
    <x v="44"/>
    <x v="1"/>
    <x v="220"/>
    <x v="203"/>
    <x v="461"/>
    <x v="385"/>
    <x v="414"/>
    <x v="14"/>
    <x v="91"/>
    <x v="102"/>
    <x v="210"/>
    <x v="4"/>
    <x v="460"/>
    <x v="233"/>
    <x v="351"/>
  </r>
  <r>
    <x v="0"/>
    <x v="19"/>
    <x v="2"/>
    <x v="3"/>
    <x v="72"/>
    <x v="11"/>
    <x v="4"/>
    <x v="10"/>
    <x v="156"/>
    <x v="5"/>
    <x v="42"/>
    <x v="153"/>
    <x v="86"/>
    <x v="793"/>
    <x v="351"/>
    <x v="0"/>
    <x v="0"/>
    <x v="0"/>
    <x v="0"/>
    <x v="18"/>
    <x v="3"/>
    <x v="0"/>
    <x v="419"/>
    <x v="743"/>
    <x v="38"/>
    <x v="3"/>
    <x v="519"/>
    <x v="551"/>
    <x v="164"/>
    <x v="0"/>
    <x v="754"/>
    <x v="0"/>
    <x v="102"/>
    <x v="130"/>
    <x v="329"/>
    <x v="5"/>
    <x v="388"/>
    <x v="637"/>
    <x v="1113"/>
  </r>
  <r>
    <x v="0"/>
    <x v="19"/>
    <x v="2"/>
    <x v="7"/>
    <x v="20"/>
    <x v="11"/>
    <x v="7"/>
    <x v="29"/>
    <x v="801"/>
    <x v="5"/>
    <x v="42"/>
    <x v="185"/>
    <x v="158"/>
    <x v="867"/>
    <x v="398"/>
    <x v="0"/>
    <x v="0"/>
    <x v="0"/>
    <x v="0"/>
    <x v="0"/>
    <x v="0"/>
    <x v="0"/>
    <x v="468"/>
    <x v="352"/>
    <x v="11"/>
    <x v="0"/>
    <x v="0"/>
    <x v="646"/>
    <x v="0"/>
    <x v="0"/>
    <x v="958"/>
    <x v="9"/>
    <x v="97"/>
    <x v="117"/>
    <x v="380"/>
    <x v="2"/>
    <x v="279"/>
    <x v="244"/>
    <x v="419"/>
  </r>
  <r>
    <x v="0"/>
    <x v="19"/>
    <x v="2"/>
    <x v="4"/>
    <x v="83"/>
    <x v="11"/>
    <x v="8"/>
    <x v="35"/>
    <x v="778"/>
    <x v="5"/>
    <x v="15"/>
    <x v="95"/>
    <x v="169"/>
    <x v="201"/>
    <x v="153"/>
    <x v="0"/>
    <x v="0"/>
    <x v="0"/>
    <x v="0"/>
    <x v="0"/>
    <x v="0"/>
    <x v="0"/>
    <x v="232"/>
    <x v="466"/>
    <x v="35"/>
    <x v="0"/>
    <x v="0"/>
    <x v="646"/>
    <x v="0"/>
    <x v="0"/>
    <x v="958"/>
    <x v="0"/>
    <x v="32"/>
    <x v="130"/>
    <x v="454"/>
    <x v="2"/>
    <x v="201"/>
    <x v="402"/>
    <x v="812"/>
  </r>
  <r>
    <x v="0"/>
    <x v="19"/>
    <x v="2"/>
    <x v="4"/>
    <x v="58"/>
    <x v="11"/>
    <x v="8"/>
    <x v="31"/>
    <x v="787"/>
    <x v="5"/>
    <x v="28"/>
    <x v="161"/>
    <x v="168"/>
    <x v="432"/>
    <x v="238"/>
    <x v="0"/>
    <x v="0"/>
    <x v="0"/>
    <x v="0"/>
    <x v="0"/>
    <x v="0"/>
    <x v="0"/>
    <x v="322"/>
    <x v="176"/>
    <x v="15"/>
    <x v="0"/>
    <x v="0"/>
    <x v="646"/>
    <x v="0"/>
    <x v="0"/>
    <x v="958"/>
    <x v="7"/>
    <x v="58"/>
    <x v="109"/>
    <x v="342"/>
    <x v="2"/>
    <x v="344"/>
    <x v="106"/>
    <x v="268"/>
  </r>
  <r>
    <x v="0"/>
    <x v="19"/>
    <x v="6"/>
    <x v="1"/>
    <x v="5"/>
    <x v="11"/>
    <x v="12"/>
    <x v="14"/>
    <x v="4"/>
    <x v="3"/>
    <x v="43"/>
    <x v="168"/>
    <x v="122"/>
    <x v="856"/>
    <x v="386"/>
    <x v="0"/>
    <x v="0"/>
    <x v="0"/>
    <x v="0"/>
    <x v="47"/>
    <x v="0"/>
    <x v="5"/>
    <x v="152"/>
    <x v="714"/>
    <x v="0"/>
    <x v="0"/>
    <x v="0"/>
    <x v="646"/>
    <x v="298"/>
    <x v="0"/>
    <x v="603"/>
    <x v="12"/>
    <x v="100"/>
    <x v="110"/>
    <x v="350"/>
    <x v="7"/>
    <x v="672"/>
    <x v="662"/>
    <x v="1091"/>
  </r>
  <r>
    <x v="0"/>
    <x v="19"/>
    <x v="6"/>
    <x v="8"/>
    <x v="62"/>
    <x v="11"/>
    <x v="19"/>
    <x v="30"/>
    <x v="787"/>
    <x v="6"/>
    <x v="36"/>
    <x v="211"/>
    <x v="221"/>
    <x v="953"/>
    <x v="490"/>
    <x v="0"/>
    <x v="0"/>
    <x v="0"/>
    <x v="0"/>
    <x v="126"/>
    <x v="0"/>
    <x v="1"/>
    <x v="425"/>
    <x v="368"/>
    <x v="27"/>
    <x v="0"/>
    <x v="0"/>
    <x v="646"/>
    <x v="658"/>
    <x v="0"/>
    <x v="137"/>
    <x v="12"/>
    <x v="72"/>
    <x v="101"/>
    <x v="564"/>
    <x v="3"/>
    <x v="176"/>
    <x v="615"/>
    <x v="810"/>
  </r>
  <r>
    <x v="0"/>
    <x v="19"/>
    <x v="6"/>
    <x v="8"/>
    <x v="84"/>
    <x v="11"/>
    <x v="19"/>
    <x v="34"/>
    <x v="778"/>
    <x v="6"/>
    <x v="14"/>
    <x v="90"/>
    <x v="173"/>
    <x v="224"/>
    <x v="162"/>
    <x v="0"/>
    <x v="0"/>
    <x v="0"/>
    <x v="0"/>
    <x v="102"/>
    <x v="0"/>
    <x v="1"/>
    <x v="165"/>
    <x v="667"/>
    <x v="36"/>
    <x v="0"/>
    <x v="0"/>
    <x v="646"/>
    <x v="759"/>
    <x v="0"/>
    <x v="16"/>
    <x v="7"/>
    <x v="22"/>
    <x v="68"/>
    <x v="481"/>
    <x v="3"/>
    <x v="345"/>
    <x v="260"/>
    <x v="199"/>
  </r>
  <r>
    <x v="0"/>
    <x v="19"/>
    <x v="6"/>
    <x v="9"/>
    <x v="24"/>
    <x v="11"/>
    <x v="17"/>
    <x v="32"/>
    <x v="795"/>
    <x v="6"/>
    <x v="24"/>
    <x v="194"/>
    <x v="231"/>
    <x v="909"/>
    <x v="445"/>
    <x v="0"/>
    <x v="0"/>
    <x v="0"/>
    <x v="0"/>
    <x v="0"/>
    <x v="0"/>
    <x v="1"/>
    <x v="335"/>
    <x v="386"/>
    <x v="15"/>
    <x v="0"/>
    <x v="0"/>
    <x v="646"/>
    <x v="0"/>
    <x v="0"/>
    <x v="958"/>
    <x v="2"/>
    <x v="53"/>
    <x v="127"/>
    <x v="590"/>
    <x v="1"/>
    <x v="177"/>
    <x v="59"/>
    <x v="240"/>
  </r>
  <r>
    <x v="0"/>
    <x v="19"/>
    <x v="3"/>
    <x v="4"/>
    <x v="58"/>
    <x v="11"/>
    <x v="8"/>
    <x v="31"/>
    <x v="796"/>
    <x v="2"/>
    <x v="42"/>
    <x v="185"/>
    <x v="158"/>
    <x v="885"/>
    <x v="421"/>
    <x v="0"/>
    <x v="0"/>
    <x v="0"/>
    <x v="0"/>
    <x v="0"/>
    <x v="0"/>
    <x v="0"/>
    <x v="499"/>
    <x v="456"/>
    <x v="15"/>
    <x v="0"/>
    <x v="0"/>
    <x v="646"/>
    <x v="0"/>
    <x v="0"/>
    <x v="958"/>
    <x v="9"/>
    <x v="97"/>
    <x v="117"/>
    <x v="415"/>
    <x v="2"/>
    <x v="224"/>
    <x v="365"/>
    <x v="533"/>
  </r>
  <r>
    <x v="0"/>
    <x v="19"/>
    <x v="3"/>
    <x v="7"/>
    <x v="20"/>
    <x v="11"/>
    <x v="10"/>
    <x v="29"/>
    <x v="804"/>
    <x v="2"/>
    <x v="42"/>
    <x v="185"/>
    <x v="158"/>
    <x v="898"/>
    <x v="436"/>
    <x v="0"/>
    <x v="0"/>
    <x v="0"/>
    <x v="0"/>
    <x v="0"/>
    <x v="0"/>
    <x v="0"/>
    <x v="521"/>
    <x v="547"/>
    <x v="11"/>
    <x v="0"/>
    <x v="0"/>
    <x v="646"/>
    <x v="0"/>
    <x v="0"/>
    <x v="958"/>
    <x v="9"/>
    <x v="97"/>
    <x v="117"/>
    <x v="439"/>
    <x v="2"/>
    <x v="181"/>
    <x v="436"/>
    <x v="626"/>
  </r>
  <r>
    <x v="0"/>
    <x v="19"/>
    <x v="3"/>
    <x v="5"/>
    <x v="12"/>
    <x v="11"/>
    <x v="19"/>
    <x v="27"/>
    <x v="810"/>
    <x v="2"/>
    <x v="42"/>
    <x v="163"/>
    <x v="124"/>
    <x v="774"/>
    <x v="346"/>
    <x v="0"/>
    <x v="71"/>
    <x v="0"/>
    <x v="0"/>
    <x v="80"/>
    <x v="0"/>
    <x v="0"/>
    <x v="414"/>
    <x v="623"/>
    <x v="44"/>
    <x v="1"/>
    <x v="391"/>
    <x v="261"/>
    <x v="552"/>
    <x v="302"/>
    <x v="282"/>
    <x v="0"/>
    <x v="102"/>
    <x v="130"/>
    <x v="320"/>
    <x v="4"/>
    <x v="407"/>
    <x v="429"/>
    <x v="815"/>
  </r>
  <r>
    <x v="0"/>
    <x v="19"/>
    <x v="3"/>
    <x v="6"/>
    <x v="16"/>
    <x v="11"/>
    <x v="19"/>
    <x v="28"/>
    <x v="809"/>
    <x v="2"/>
    <x v="28"/>
    <x v="185"/>
    <x v="188"/>
    <x v="521"/>
    <x v="274"/>
    <x v="0"/>
    <x v="0"/>
    <x v="0"/>
    <x v="0"/>
    <x v="0"/>
    <x v="0"/>
    <x v="0"/>
    <x v="358"/>
    <x v="82"/>
    <x v="7"/>
    <x v="0"/>
    <x v="0"/>
    <x v="646"/>
    <x v="0"/>
    <x v="0"/>
    <x v="958"/>
    <x v="9"/>
    <x v="57"/>
    <x v="100"/>
    <x v="386"/>
    <x v="0"/>
    <x v="221"/>
    <x v="31"/>
    <x v="126"/>
  </r>
  <r>
    <x v="0"/>
    <x v="19"/>
    <x v="3"/>
    <x v="0"/>
    <x v="33"/>
    <x v="5"/>
    <x v="0"/>
    <x v="70"/>
    <x v="153"/>
    <x v="2"/>
    <x v="24"/>
    <x v="41"/>
    <x v="21"/>
    <x v="88"/>
    <x v="66"/>
    <x v="61"/>
    <x v="37"/>
    <x v="0"/>
    <x v="0"/>
    <x v="45"/>
    <x v="3"/>
    <x v="0"/>
    <x v="155"/>
    <x v="260"/>
    <x v="45"/>
    <x v="6"/>
    <x v="200"/>
    <x v="30"/>
    <x v="754"/>
    <x v="431"/>
    <x v="23"/>
    <x v="11"/>
    <x v="46"/>
    <x v="82"/>
    <x v="63"/>
    <x v="6"/>
    <x v="618"/>
    <x v="173"/>
    <x v="216"/>
  </r>
  <r>
    <x v="0"/>
    <x v="19"/>
    <x v="3"/>
    <x v="3"/>
    <x v="72"/>
    <x v="11"/>
    <x v="3"/>
    <x v="10"/>
    <x v="157"/>
    <x v="2"/>
    <x v="42"/>
    <x v="153"/>
    <x v="86"/>
    <x v="583"/>
    <x v="292"/>
    <x v="0"/>
    <x v="35"/>
    <x v="0"/>
    <x v="0"/>
    <x v="28"/>
    <x v="0"/>
    <x v="0"/>
    <x v="373"/>
    <x v="615"/>
    <x v="38"/>
    <x v="3"/>
    <x v="442"/>
    <x v="432"/>
    <x v="260"/>
    <x v="202"/>
    <x v="649"/>
    <x v="0"/>
    <x v="102"/>
    <x v="130"/>
    <x v="247"/>
    <x v="5"/>
    <x v="497"/>
    <x v="374"/>
    <x v="748"/>
  </r>
  <r>
    <x v="0"/>
    <x v="19"/>
    <x v="5"/>
    <x v="5"/>
    <x v="12"/>
    <x v="7"/>
    <x v="7"/>
    <x v="27"/>
    <x v="814"/>
    <x v="1"/>
    <x v="42"/>
    <x v="163"/>
    <x v="124"/>
    <x v="736"/>
    <x v="341"/>
    <x v="0"/>
    <x v="63"/>
    <x v="0"/>
    <x v="0"/>
    <x v="48"/>
    <x v="3"/>
    <x v="0"/>
    <x v="412"/>
    <x v="604"/>
    <x v="44"/>
    <x v="1"/>
    <x v="349"/>
    <x v="320"/>
    <x v="343"/>
    <x v="273"/>
    <x v="549"/>
    <x v="0"/>
    <x v="102"/>
    <x v="130"/>
    <x v="314"/>
    <x v="4"/>
    <x v="413"/>
    <x v="397"/>
    <x v="787"/>
  </r>
  <r>
    <x v="0"/>
    <x v="19"/>
    <x v="5"/>
    <x v="0"/>
    <x v="33"/>
    <x v="5"/>
    <x v="0"/>
    <x v="70"/>
    <x v="154"/>
    <x v="1"/>
    <x v="42"/>
    <x v="107"/>
    <x v="29"/>
    <x v="322"/>
    <x v="193"/>
    <x v="4"/>
    <x v="87"/>
    <x v="0"/>
    <x v="0"/>
    <x v="86"/>
    <x v="3"/>
    <x v="0"/>
    <x v="277"/>
    <x v="639"/>
    <x v="45"/>
    <x v="6"/>
    <x v="595"/>
    <x v="85"/>
    <x v="731"/>
    <x v="432"/>
    <x v="52"/>
    <x v="11"/>
    <x v="95"/>
    <x v="112"/>
    <x v="105"/>
    <x v="6"/>
    <x v="578"/>
    <x v="487"/>
    <x v="595"/>
  </r>
  <r>
    <x v="0"/>
    <x v="19"/>
    <x v="5"/>
    <x v="3"/>
    <x v="72"/>
    <x v="11"/>
    <x v="5"/>
    <x v="10"/>
    <x v="158"/>
    <x v="1"/>
    <x v="42"/>
    <x v="153"/>
    <x v="86"/>
    <x v="789"/>
    <x v="351"/>
    <x v="0"/>
    <x v="0"/>
    <x v="0"/>
    <x v="0"/>
    <x v="12"/>
    <x v="3"/>
    <x v="0"/>
    <x v="419"/>
    <x v="743"/>
    <x v="38"/>
    <x v="3"/>
    <x v="517"/>
    <x v="568"/>
    <x v="121"/>
    <x v="0"/>
    <x v="803"/>
    <x v="0"/>
    <x v="102"/>
    <x v="130"/>
    <x v="329"/>
    <x v="5"/>
    <x v="388"/>
    <x v="637"/>
    <x v="1116"/>
  </r>
  <r>
    <x v="0"/>
    <x v="20"/>
    <x v="2"/>
    <x v="0"/>
    <x v="33"/>
    <x v="4"/>
    <x v="0"/>
    <x v="70"/>
    <x v="159"/>
    <x v="5"/>
    <x v="20"/>
    <x v="38"/>
    <x v="43"/>
    <x v="79"/>
    <x v="66"/>
    <x v="45"/>
    <x v="19"/>
    <x v="0"/>
    <x v="0"/>
    <x v="17"/>
    <x v="3"/>
    <x v="0"/>
    <x v="155"/>
    <x v="303"/>
    <x v="45"/>
    <x v="6"/>
    <x v="162"/>
    <x v="77"/>
    <x v="573"/>
    <x v="376"/>
    <x v="271"/>
    <x v="0"/>
    <x v="42"/>
    <x v="130"/>
    <x v="105"/>
    <x v="6"/>
    <x v="601"/>
    <x v="295"/>
    <x v="620"/>
  </r>
  <r>
    <x v="0"/>
    <x v="20"/>
    <x v="2"/>
    <x v="6"/>
    <x v="16"/>
    <x v="11"/>
    <x v="11"/>
    <x v="28"/>
    <x v="812"/>
    <x v="5"/>
    <x v="42"/>
    <x v="185"/>
    <x v="158"/>
    <x v="934"/>
    <x v="474"/>
    <x v="0"/>
    <x v="0"/>
    <x v="0"/>
    <x v="0"/>
    <x v="0"/>
    <x v="0"/>
    <x v="0"/>
    <x v="570"/>
    <x v="746"/>
    <x v="7"/>
    <x v="0"/>
    <x v="0"/>
    <x v="646"/>
    <x v="0"/>
    <x v="0"/>
    <x v="958"/>
    <x v="9"/>
    <x v="97"/>
    <x v="117"/>
    <x v="480"/>
    <x v="0"/>
    <x v="86"/>
    <x v="170"/>
    <x v="366"/>
  </r>
  <r>
    <x v="0"/>
    <x v="20"/>
    <x v="2"/>
    <x v="0"/>
    <x v="35"/>
    <x v="4"/>
    <x v="0"/>
    <x v="63"/>
    <x v="159"/>
    <x v="5"/>
    <x v="26"/>
    <x v="52"/>
    <x v="25"/>
    <x v="87"/>
    <x v="66"/>
    <x v="50"/>
    <x v="47"/>
    <x v="0"/>
    <x v="0"/>
    <x v="20"/>
    <x v="5"/>
    <x v="0"/>
    <x v="155"/>
    <x v="198"/>
    <x v="45"/>
    <x v="6"/>
    <x v="178"/>
    <x v="39"/>
    <x v="613"/>
    <x v="444"/>
    <x v="219"/>
    <x v="19"/>
    <x v="41"/>
    <x v="56"/>
    <x v="54"/>
    <x v="6"/>
    <x v="599"/>
    <x v="323"/>
    <x v="183"/>
  </r>
  <r>
    <x v="0"/>
    <x v="20"/>
    <x v="2"/>
    <x v="5"/>
    <x v="12"/>
    <x v="7"/>
    <x v="7"/>
    <x v="27"/>
    <x v="817"/>
    <x v="5"/>
    <x v="42"/>
    <x v="163"/>
    <x v="124"/>
    <x v="737"/>
    <x v="341"/>
    <x v="0"/>
    <x v="44"/>
    <x v="0"/>
    <x v="0"/>
    <x v="75"/>
    <x v="3"/>
    <x v="0"/>
    <x v="412"/>
    <x v="604"/>
    <x v="44"/>
    <x v="1"/>
    <x v="350"/>
    <x v="303"/>
    <x v="538"/>
    <x v="205"/>
    <x v="298"/>
    <x v="0"/>
    <x v="102"/>
    <x v="130"/>
    <x v="314"/>
    <x v="4"/>
    <x v="413"/>
    <x v="397"/>
    <x v="757"/>
  </r>
  <r>
    <x v="0"/>
    <x v="20"/>
    <x v="2"/>
    <x v="7"/>
    <x v="20"/>
    <x v="11"/>
    <x v="10"/>
    <x v="29"/>
    <x v="803"/>
    <x v="5"/>
    <x v="42"/>
    <x v="184"/>
    <x v="156"/>
    <x v="892"/>
    <x v="428"/>
    <x v="0"/>
    <x v="0"/>
    <x v="0"/>
    <x v="0"/>
    <x v="0"/>
    <x v="0"/>
    <x v="0"/>
    <x v="508"/>
    <x v="520"/>
    <x v="11"/>
    <x v="0"/>
    <x v="0"/>
    <x v="646"/>
    <x v="0"/>
    <x v="0"/>
    <x v="958"/>
    <x v="9"/>
    <x v="97"/>
    <x v="117"/>
    <x v="428"/>
    <x v="2"/>
    <x v="202"/>
    <x v="401"/>
    <x v="582"/>
  </r>
  <r>
    <x v="0"/>
    <x v="20"/>
    <x v="2"/>
    <x v="3"/>
    <x v="72"/>
    <x v="11"/>
    <x v="4"/>
    <x v="10"/>
    <x v="169"/>
    <x v="5"/>
    <x v="42"/>
    <x v="153"/>
    <x v="86"/>
    <x v="731"/>
    <x v="346"/>
    <x v="0"/>
    <x v="0"/>
    <x v="0"/>
    <x v="0"/>
    <x v="12"/>
    <x v="3"/>
    <x v="0"/>
    <x v="414"/>
    <x v="728"/>
    <x v="38"/>
    <x v="3"/>
    <x v="504"/>
    <x v="565"/>
    <x v="125"/>
    <x v="0"/>
    <x v="800"/>
    <x v="0"/>
    <x v="102"/>
    <x v="130"/>
    <x v="320"/>
    <x v="5"/>
    <x v="407"/>
    <x v="605"/>
    <x v="1087"/>
  </r>
  <r>
    <x v="0"/>
    <x v="20"/>
    <x v="2"/>
    <x v="4"/>
    <x v="58"/>
    <x v="11"/>
    <x v="8"/>
    <x v="31"/>
    <x v="797"/>
    <x v="5"/>
    <x v="42"/>
    <x v="184"/>
    <x v="156"/>
    <x v="864"/>
    <x v="394"/>
    <x v="0"/>
    <x v="0"/>
    <x v="0"/>
    <x v="0"/>
    <x v="0"/>
    <x v="0"/>
    <x v="0"/>
    <x v="463"/>
    <x v="331"/>
    <x v="15"/>
    <x v="0"/>
    <x v="0"/>
    <x v="646"/>
    <x v="0"/>
    <x v="0"/>
    <x v="958"/>
    <x v="9"/>
    <x v="97"/>
    <x v="117"/>
    <x v="376"/>
    <x v="2"/>
    <x v="294"/>
    <x v="214"/>
    <x v="400"/>
  </r>
  <r>
    <x v="0"/>
    <x v="20"/>
    <x v="6"/>
    <x v="8"/>
    <x v="62"/>
    <x v="11"/>
    <x v="19"/>
    <x v="30"/>
    <x v="796"/>
    <x v="6"/>
    <x v="43"/>
    <x v="222"/>
    <x v="202"/>
    <x v="966"/>
    <x v="507"/>
    <x v="0"/>
    <x v="0"/>
    <x v="0"/>
    <x v="0"/>
    <x v="26"/>
    <x v="0"/>
    <x v="1"/>
    <x v="449"/>
    <x v="280"/>
    <x v="27"/>
    <x v="0"/>
    <x v="0"/>
    <x v="646"/>
    <x v="118"/>
    <x v="0"/>
    <x v="807"/>
    <x v="12"/>
    <x v="100"/>
    <x v="110"/>
    <x v="517"/>
    <x v="3"/>
    <x v="336"/>
    <x v="298"/>
    <x v="445"/>
  </r>
  <r>
    <x v="0"/>
    <x v="20"/>
    <x v="6"/>
    <x v="9"/>
    <x v="24"/>
    <x v="11"/>
    <x v="17"/>
    <x v="32"/>
    <x v="796"/>
    <x v="6"/>
    <x v="43"/>
    <x v="227"/>
    <x v="225"/>
    <x v="950"/>
    <x v="491"/>
    <x v="0"/>
    <x v="0"/>
    <x v="0"/>
    <x v="0"/>
    <x v="3"/>
    <x v="0"/>
    <x v="1"/>
    <x v="427"/>
    <x v="150"/>
    <x v="15"/>
    <x v="0"/>
    <x v="0"/>
    <x v="646"/>
    <x v="10"/>
    <x v="0"/>
    <x v="948"/>
    <x v="12"/>
    <x v="100"/>
    <x v="110"/>
    <x v="500"/>
    <x v="1"/>
    <x v="360"/>
    <x v="16"/>
    <x v="86"/>
  </r>
  <r>
    <x v="0"/>
    <x v="20"/>
    <x v="6"/>
    <x v="1"/>
    <x v="5"/>
    <x v="11"/>
    <x v="12"/>
    <x v="14"/>
    <x v="142"/>
    <x v="3"/>
    <x v="27"/>
    <x v="83"/>
    <x v="53"/>
    <x v="177"/>
    <x v="141"/>
    <x v="0"/>
    <x v="0"/>
    <x v="23"/>
    <x v="0"/>
    <x v="11"/>
    <x v="0"/>
    <x v="5"/>
    <x v="66"/>
    <x v="449"/>
    <x v="0"/>
    <x v="0"/>
    <x v="0"/>
    <x v="646"/>
    <x v="243"/>
    <x v="0"/>
    <x v="667"/>
    <x v="12"/>
    <x v="50"/>
    <x v="83"/>
    <x v="154"/>
    <x v="7"/>
    <x v="768"/>
    <x v="148"/>
    <x v="222"/>
  </r>
  <r>
    <x v="0"/>
    <x v="20"/>
    <x v="6"/>
    <x v="1"/>
    <x v="41"/>
    <x v="11"/>
    <x v="12"/>
    <x v="11"/>
    <x v="93"/>
    <x v="3"/>
    <x v="14"/>
    <x v="28"/>
    <x v="66"/>
    <x v="75"/>
    <x v="65"/>
    <x v="0"/>
    <x v="0"/>
    <x v="4"/>
    <x v="0"/>
    <x v="14"/>
    <x v="0"/>
    <x v="5"/>
    <x v="34"/>
    <x v="585"/>
    <x v="17"/>
    <x v="0"/>
    <x v="0"/>
    <x v="646"/>
    <x v="494"/>
    <x v="0"/>
    <x v="344"/>
    <x v="7"/>
    <x v="22"/>
    <x v="68"/>
    <x v="222"/>
    <x v="7"/>
    <x v="701"/>
    <x v="575"/>
    <x v="401"/>
  </r>
  <r>
    <x v="0"/>
    <x v="20"/>
    <x v="6"/>
    <x v="1"/>
    <x v="54"/>
    <x v="11"/>
    <x v="12"/>
    <x v="66"/>
    <x v="9"/>
    <x v="3"/>
    <x v="14"/>
    <x v="28"/>
    <x v="66"/>
    <x v="66"/>
    <x v="60"/>
    <x v="0"/>
    <x v="0"/>
    <x v="13"/>
    <x v="0"/>
    <x v="11"/>
    <x v="0"/>
    <x v="5"/>
    <x v="32"/>
    <x v="466"/>
    <x v="22"/>
    <x v="0"/>
    <x v="0"/>
    <x v="646"/>
    <x v="414"/>
    <x v="0"/>
    <x v="459"/>
    <x v="0"/>
    <x v="29"/>
    <x v="130"/>
    <x v="194"/>
    <x v="7"/>
    <x v="776"/>
    <x v="91"/>
    <x v="342"/>
  </r>
  <r>
    <x v="0"/>
    <x v="20"/>
    <x v="3"/>
    <x v="4"/>
    <x v="58"/>
    <x v="11"/>
    <x v="8"/>
    <x v="31"/>
    <x v="805"/>
    <x v="2"/>
    <x v="42"/>
    <x v="185"/>
    <x v="158"/>
    <x v="854"/>
    <x v="386"/>
    <x v="0"/>
    <x v="0"/>
    <x v="0"/>
    <x v="0"/>
    <x v="0"/>
    <x v="0"/>
    <x v="0"/>
    <x v="455"/>
    <x v="294"/>
    <x v="15"/>
    <x v="0"/>
    <x v="0"/>
    <x v="646"/>
    <x v="0"/>
    <x v="0"/>
    <x v="958"/>
    <x v="9"/>
    <x v="97"/>
    <x v="117"/>
    <x v="368"/>
    <x v="2"/>
    <x v="310"/>
    <x v="179"/>
    <x v="373"/>
  </r>
  <r>
    <x v="0"/>
    <x v="20"/>
    <x v="3"/>
    <x v="7"/>
    <x v="20"/>
    <x v="11"/>
    <x v="10"/>
    <x v="29"/>
    <x v="811"/>
    <x v="2"/>
    <x v="42"/>
    <x v="185"/>
    <x v="158"/>
    <x v="898"/>
    <x v="436"/>
    <x v="0"/>
    <x v="0"/>
    <x v="0"/>
    <x v="0"/>
    <x v="0"/>
    <x v="0"/>
    <x v="0"/>
    <x v="521"/>
    <x v="547"/>
    <x v="11"/>
    <x v="0"/>
    <x v="0"/>
    <x v="646"/>
    <x v="0"/>
    <x v="0"/>
    <x v="958"/>
    <x v="9"/>
    <x v="97"/>
    <x v="117"/>
    <x v="439"/>
    <x v="2"/>
    <x v="181"/>
    <x v="436"/>
    <x v="626"/>
  </r>
  <r>
    <x v="0"/>
    <x v="20"/>
    <x v="3"/>
    <x v="6"/>
    <x v="16"/>
    <x v="11"/>
    <x v="10"/>
    <x v="28"/>
    <x v="818"/>
    <x v="2"/>
    <x v="28"/>
    <x v="185"/>
    <x v="188"/>
    <x v="707"/>
    <x v="341"/>
    <x v="0"/>
    <x v="0"/>
    <x v="0"/>
    <x v="0"/>
    <x v="0"/>
    <x v="0"/>
    <x v="0"/>
    <x v="412"/>
    <x v="163"/>
    <x v="7"/>
    <x v="0"/>
    <x v="0"/>
    <x v="646"/>
    <x v="0"/>
    <x v="0"/>
    <x v="958"/>
    <x v="26"/>
    <x v="42"/>
    <x v="43"/>
    <x v="470"/>
    <x v="0"/>
    <x v="32"/>
    <x v="610"/>
    <x v="235"/>
  </r>
  <r>
    <x v="0"/>
    <x v="20"/>
    <x v="3"/>
    <x v="5"/>
    <x v="12"/>
    <x v="7"/>
    <x v="7"/>
    <x v="27"/>
    <x v="819"/>
    <x v="2"/>
    <x v="42"/>
    <x v="163"/>
    <x v="124"/>
    <x v="800"/>
    <x v="351"/>
    <x v="0"/>
    <x v="0"/>
    <x v="0"/>
    <x v="0"/>
    <x v="57"/>
    <x v="0"/>
    <x v="0"/>
    <x v="419"/>
    <x v="665"/>
    <x v="44"/>
    <x v="1"/>
    <x v="409"/>
    <x v="496"/>
    <x v="387"/>
    <x v="0"/>
    <x v="483"/>
    <x v="0"/>
    <x v="102"/>
    <x v="130"/>
    <x v="329"/>
    <x v="4"/>
    <x v="388"/>
    <x v="499"/>
    <x v="930"/>
  </r>
  <r>
    <x v="0"/>
    <x v="20"/>
    <x v="3"/>
    <x v="0"/>
    <x v="35"/>
    <x v="4"/>
    <x v="0"/>
    <x v="63"/>
    <x v="162"/>
    <x v="2"/>
    <x v="42"/>
    <x v="102"/>
    <x v="21"/>
    <x v="273"/>
    <x v="183"/>
    <x v="21"/>
    <x v="47"/>
    <x v="0"/>
    <x v="0"/>
    <x v="74"/>
    <x v="0"/>
    <x v="0"/>
    <x v="266"/>
    <x v="603"/>
    <x v="45"/>
    <x v="6"/>
    <x v="568"/>
    <x v="130"/>
    <x v="717"/>
    <x v="337"/>
    <x v="67"/>
    <x v="0"/>
    <x v="102"/>
    <x v="130"/>
    <x v="93"/>
    <x v="6"/>
    <x v="615"/>
    <x v="194"/>
    <x v="458"/>
  </r>
  <r>
    <x v="0"/>
    <x v="20"/>
    <x v="3"/>
    <x v="3"/>
    <x v="72"/>
    <x v="11"/>
    <x v="5"/>
    <x v="10"/>
    <x v="170"/>
    <x v="2"/>
    <x v="42"/>
    <x v="153"/>
    <x v="86"/>
    <x v="661"/>
    <x v="327"/>
    <x v="0"/>
    <x v="0"/>
    <x v="0"/>
    <x v="0"/>
    <x v="20"/>
    <x v="0"/>
    <x v="0"/>
    <x v="403"/>
    <x v="703"/>
    <x v="38"/>
    <x v="3"/>
    <x v="478"/>
    <x v="562"/>
    <x v="184"/>
    <x v="0"/>
    <x v="728"/>
    <x v="0"/>
    <x v="102"/>
    <x v="130"/>
    <x v="300"/>
    <x v="5"/>
    <x v="432"/>
    <x v="550"/>
    <x v="1024"/>
  </r>
  <r>
    <x v="0"/>
    <x v="20"/>
    <x v="5"/>
    <x v="0"/>
    <x v="35"/>
    <x v="4"/>
    <x v="0"/>
    <x v="63"/>
    <x v="167"/>
    <x v="1"/>
    <x v="21"/>
    <x v="38"/>
    <x v="39"/>
    <x v="104"/>
    <x v="84"/>
    <x v="19"/>
    <x v="20"/>
    <x v="0"/>
    <x v="0"/>
    <x v="20"/>
    <x v="3"/>
    <x v="0"/>
    <x v="172"/>
    <x v="566"/>
    <x v="45"/>
    <x v="6"/>
    <x v="232"/>
    <x v="129"/>
    <x v="576"/>
    <x v="349"/>
    <x v="261"/>
    <x v="1"/>
    <x v="44"/>
    <x v="126"/>
    <x v="114"/>
    <x v="6"/>
    <x v="575"/>
    <x v="496"/>
    <x v="788"/>
  </r>
  <r>
    <x v="0"/>
    <x v="20"/>
    <x v="5"/>
    <x v="5"/>
    <x v="12"/>
    <x v="7"/>
    <x v="7"/>
    <x v="27"/>
    <x v="822"/>
    <x v="1"/>
    <x v="42"/>
    <x v="163"/>
    <x v="124"/>
    <x v="544"/>
    <x v="277"/>
    <x v="30"/>
    <x v="31"/>
    <x v="0"/>
    <x v="0"/>
    <x v="54"/>
    <x v="3"/>
    <x v="0"/>
    <x v="361"/>
    <x v="273"/>
    <x v="44"/>
    <x v="1"/>
    <x v="228"/>
    <x v="205"/>
    <x v="484"/>
    <x v="193"/>
    <x v="365"/>
    <x v="24"/>
    <x v="79"/>
    <x v="73"/>
    <x v="217"/>
    <x v="4"/>
    <x v="397"/>
    <x v="467"/>
    <x v="363"/>
  </r>
  <r>
    <x v="0"/>
    <x v="20"/>
    <x v="5"/>
    <x v="3"/>
    <x v="72"/>
    <x v="11"/>
    <x v="5"/>
    <x v="10"/>
    <x v="171"/>
    <x v="1"/>
    <x v="42"/>
    <x v="153"/>
    <x v="86"/>
    <x v="782"/>
    <x v="351"/>
    <x v="0"/>
    <x v="0"/>
    <x v="0"/>
    <x v="0"/>
    <x v="4"/>
    <x v="3"/>
    <x v="0"/>
    <x v="419"/>
    <x v="743"/>
    <x v="38"/>
    <x v="3"/>
    <x v="513"/>
    <x v="611"/>
    <x v="35"/>
    <x v="0"/>
    <x v="917"/>
    <x v="0"/>
    <x v="102"/>
    <x v="130"/>
    <x v="329"/>
    <x v="5"/>
    <x v="388"/>
    <x v="637"/>
    <x v="1120"/>
  </r>
  <r>
    <x v="0"/>
    <x v="21"/>
    <x v="2"/>
    <x v="6"/>
    <x v="16"/>
    <x v="11"/>
    <x v="19"/>
    <x v="28"/>
    <x v="823"/>
    <x v="2"/>
    <x v="42"/>
    <x v="185"/>
    <x v="158"/>
    <x v="874"/>
    <x v="405"/>
    <x v="0"/>
    <x v="0"/>
    <x v="0"/>
    <x v="0"/>
    <x v="0"/>
    <x v="0"/>
    <x v="0"/>
    <x v="475"/>
    <x v="381"/>
    <x v="7"/>
    <x v="0"/>
    <x v="0"/>
    <x v="646"/>
    <x v="0"/>
    <x v="0"/>
    <x v="958"/>
    <x v="9"/>
    <x v="97"/>
    <x v="117"/>
    <x v="388"/>
    <x v="0"/>
    <x v="262"/>
    <x v="25"/>
    <x v="131"/>
  </r>
  <r>
    <x v="0"/>
    <x v="21"/>
    <x v="2"/>
    <x v="5"/>
    <x v="12"/>
    <x v="7"/>
    <x v="7"/>
    <x v="27"/>
    <x v="826"/>
    <x v="2"/>
    <x v="42"/>
    <x v="163"/>
    <x v="124"/>
    <x v="519"/>
    <x v="266"/>
    <x v="53"/>
    <x v="78"/>
    <x v="0"/>
    <x v="0"/>
    <x v="50"/>
    <x v="3"/>
    <x v="0"/>
    <x v="347"/>
    <x v="230"/>
    <x v="44"/>
    <x v="1"/>
    <x v="219"/>
    <x v="78"/>
    <x v="469"/>
    <x v="381"/>
    <x v="397"/>
    <x v="26"/>
    <x v="76"/>
    <x v="68"/>
    <x v="194"/>
    <x v="4"/>
    <x v="403"/>
    <x v="444"/>
    <x v="311"/>
  </r>
  <r>
    <x v="0"/>
    <x v="21"/>
    <x v="2"/>
    <x v="7"/>
    <x v="20"/>
    <x v="11"/>
    <x v="10"/>
    <x v="29"/>
    <x v="1308"/>
    <x v="2"/>
    <x v="42"/>
    <x v="185"/>
    <x v="158"/>
    <x v="861"/>
    <x v="392"/>
    <x v="0"/>
    <x v="0"/>
    <x v="0"/>
    <x v="0"/>
    <x v="0"/>
    <x v="0"/>
    <x v="0"/>
    <x v="461"/>
    <x v="316"/>
    <x v="11"/>
    <x v="0"/>
    <x v="0"/>
    <x v="646"/>
    <x v="0"/>
    <x v="0"/>
    <x v="958"/>
    <x v="9"/>
    <x v="97"/>
    <x v="117"/>
    <x v="373"/>
    <x v="2"/>
    <x v="302"/>
    <x v="196"/>
    <x v="392"/>
  </r>
  <r>
    <x v="0"/>
    <x v="21"/>
    <x v="2"/>
    <x v="4"/>
    <x v="58"/>
    <x v="11"/>
    <x v="8"/>
    <x v="31"/>
    <x v="806"/>
    <x v="2"/>
    <x v="42"/>
    <x v="185"/>
    <x v="158"/>
    <x v="298"/>
    <x v="200"/>
    <x v="0"/>
    <x v="0"/>
    <x v="0"/>
    <x v="0"/>
    <x v="0"/>
    <x v="0"/>
    <x v="0"/>
    <x v="285"/>
    <x v="36"/>
    <x v="15"/>
    <x v="0"/>
    <x v="0"/>
    <x v="646"/>
    <x v="0"/>
    <x v="0"/>
    <x v="958"/>
    <x v="48"/>
    <x v="47"/>
    <x v="20"/>
    <x v="110"/>
    <x v="2"/>
    <x v="277"/>
    <x v="248"/>
    <x v="46"/>
  </r>
  <r>
    <x v="0"/>
    <x v="21"/>
    <x v="2"/>
    <x v="3"/>
    <x v="72"/>
    <x v="11"/>
    <x v="5"/>
    <x v="10"/>
    <x v="172"/>
    <x v="2"/>
    <x v="42"/>
    <x v="153"/>
    <x v="86"/>
    <x v="581"/>
    <x v="292"/>
    <x v="23"/>
    <x v="17"/>
    <x v="0"/>
    <x v="0"/>
    <x v="12"/>
    <x v="3"/>
    <x v="0"/>
    <x v="373"/>
    <x v="615"/>
    <x v="38"/>
    <x v="3"/>
    <x v="444"/>
    <x v="395"/>
    <x v="139"/>
    <x v="66"/>
    <x v="782"/>
    <x v="0"/>
    <x v="102"/>
    <x v="130"/>
    <x v="247"/>
    <x v="5"/>
    <x v="497"/>
    <x v="374"/>
    <x v="759"/>
  </r>
  <r>
    <x v="0"/>
    <x v="21"/>
    <x v="6"/>
    <x v="9"/>
    <x v="22"/>
    <x v="11"/>
    <x v="17"/>
    <x v="50"/>
    <x v="710"/>
    <x v="6"/>
    <x v="43"/>
    <x v="228"/>
    <x v="226"/>
    <x v="1024"/>
    <x v="573"/>
    <x v="0"/>
    <x v="0"/>
    <x v="0"/>
    <x v="0"/>
    <x v="0"/>
    <x v="0"/>
    <x v="0"/>
    <x v="606"/>
    <x v="652"/>
    <x v="29"/>
    <x v="0"/>
    <x v="0"/>
    <x v="646"/>
    <x v="0"/>
    <x v="0"/>
    <x v="958"/>
    <x v="0"/>
    <x v="103"/>
    <x v="130"/>
    <x v="624"/>
    <x v="1"/>
    <x v="7"/>
    <x v="711"/>
    <x v="1183"/>
  </r>
  <r>
    <x v="0"/>
    <x v="21"/>
    <x v="6"/>
    <x v="8"/>
    <x v="62"/>
    <x v="11"/>
    <x v="19"/>
    <x v="30"/>
    <x v="813"/>
    <x v="6"/>
    <x v="43"/>
    <x v="185"/>
    <x v="149"/>
    <x v="898"/>
    <x v="430"/>
    <x v="0"/>
    <x v="0"/>
    <x v="0"/>
    <x v="0"/>
    <x v="78"/>
    <x v="0"/>
    <x v="0"/>
    <x v="513"/>
    <x v="526"/>
    <x v="27"/>
    <x v="0"/>
    <x v="0"/>
    <x v="646"/>
    <x v="404"/>
    <x v="0"/>
    <x v="467"/>
    <x v="12"/>
    <x v="100"/>
    <x v="110"/>
    <x v="392"/>
    <x v="3"/>
    <x v="239"/>
    <x v="556"/>
    <x v="751"/>
  </r>
  <r>
    <x v="0"/>
    <x v="21"/>
    <x v="3"/>
    <x v="5"/>
    <x v="12"/>
    <x v="7"/>
    <x v="7"/>
    <x v="27"/>
    <x v="829"/>
    <x v="5"/>
    <x v="42"/>
    <x v="163"/>
    <x v="124"/>
    <x v="559"/>
    <x v="282"/>
    <x v="28"/>
    <x v="22"/>
    <x v="0"/>
    <x v="0"/>
    <x v="55"/>
    <x v="0"/>
    <x v="0"/>
    <x v="365"/>
    <x v="290"/>
    <x v="44"/>
    <x v="1"/>
    <x v="233"/>
    <x v="254"/>
    <x v="482"/>
    <x v="111"/>
    <x v="364"/>
    <x v="0"/>
    <x v="102"/>
    <x v="130"/>
    <x v="227"/>
    <x v="4"/>
    <x v="515"/>
    <x v="113"/>
    <x v="385"/>
  </r>
  <r>
    <x v="0"/>
    <x v="21"/>
    <x v="3"/>
    <x v="7"/>
    <x v="20"/>
    <x v="11"/>
    <x v="10"/>
    <x v="29"/>
    <x v="820"/>
    <x v="5"/>
    <x v="42"/>
    <x v="184"/>
    <x v="156"/>
    <x v="906"/>
    <x v="442"/>
    <x v="0"/>
    <x v="0"/>
    <x v="0"/>
    <x v="0"/>
    <x v="0"/>
    <x v="0"/>
    <x v="0"/>
    <x v="528"/>
    <x v="595"/>
    <x v="11"/>
    <x v="0"/>
    <x v="0"/>
    <x v="646"/>
    <x v="0"/>
    <x v="0"/>
    <x v="958"/>
    <x v="9"/>
    <x v="97"/>
    <x v="117"/>
    <x v="449"/>
    <x v="2"/>
    <x v="152"/>
    <x v="492"/>
    <x v="708"/>
  </r>
  <r>
    <x v="0"/>
    <x v="21"/>
    <x v="3"/>
    <x v="3"/>
    <x v="72"/>
    <x v="11"/>
    <x v="4"/>
    <x v="10"/>
    <x v="173"/>
    <x v="5"/>
    <x v="42"/>
    <x v="153"/>
    <x v="86"/>
    <x v="571"/>
    <x v="292"/>
    <x v="0"/>
    <x v="0"/>
    <x v="0"/>
    <x v="0"/>
    <x v="6"/>
    <x v="0"/>
    <x v="0"/>
    <x v="373"/>
    <x v="615"/>
    <x v="38"/>
    <x v="3"/>
    <x v="429"/>
    <x v="629"/>
    <x v="84"/>
    <x v="0"/>
    <x v="855"/>
    <x v="0"/>
    <x v="102"/>
    <x v="130"/>
    <x v="247"/>
    <x v="5"/>
    <x v="497"/>
    <x v="374"/>
    <x v="768"/>
  </r>
  <r>
    <x v="0"/>
    <x v="21"/>
    <x v="3"/>
    <x v="6"/>
    <x v="16"/>
    <x v="11"/>
    <x v="11"/>
    <x v="28"/>
    <x v="827"/>
    <x v="5"/>
    <x v="16"/>
    <x v="148"/>
    <x v="198"/>
    <x v="475"/>
    <x v="266"/>
    <x v="0"/>
    <x v="0"/>
    <x v="0"/>
    <x v="0"/>
    <x v="0"/>
    <x v="0"/>
    <x v="0"/>
    <x v="347"/>
    <x v="466"/>
    <x v="7"/>
    <x v="0"/>
    <x v="0"/>
    <x v="646"/>
    <x v="0"/>
    <x v="0"/>
    <x v="958"/>
    <x v="0"/>
    <x v="35"/>
    <x v="130"/>
    <x v="536"/>
    <x v="0"/>
    <x v="39"/>
    <x v="525"/>
    <x v="1001"/>
  </r>
  <r>
    <x v="0"/>
    <x v="21"/>
    <x v="6"/>
    <x v="1"/>
    <x v="39"/>
    <x v="11"/>
    <x v="19"/>
    <x v="65"/>
    <x v="160"/>
    <x v="3"/>
    <x v="20"/>
    <x v="20"/>
    <x v="8"/>
    <x v="36"/>
    <x v="34"/>
    <x v="0"/>
    <x v="0"/>
    <x v="4"/>
    <x v="0"/>
    <x v="12"/>
    <x v="0"/>
    <x v="5"/>
    <x v="25"/>
    <x v="533"/>
    <x v="22"/>
    <x v="0"/>
    <x v="0"/>
    <x v="646"/>
    <x v="608"/>
    <x v="0"/>
    <x v="211"/>
    <x v="25"/>
    <x v="17"/>
    <x v="17"/>
    <x v="43"/>
    <x v="7"/>
    <x v="760"/>
    <x v="218"/>
    <x v="35"/>
  </r>
  <r>
    <x v="0"/>
    <x v="21"/>
    <x v="6"/>
    <x v="1"/>
    <x v="37"/>
    <x v="11"/>
    <x v="19"/>
    <x v="68"/>
    <x v="152"/>
    <x v="3"/>
    <x v="24"/>
    <x v="36"/>
    <x v="16"/>
    <x v="90"/>
    <x v="74"/>
    <x v="0"/>
    <x v="0"/>
    <x v="15"/>
    <x v="0"/>
    <x v="22"/>
    <x v="0"/>
    <x v="5"/>
    <x v="39"/>
    <x v="588"/>
    <x v="20"/>
    <x v="0"/>
    <x v="0"/>
    <x v="646"/>
    <x v="615"/>
    <x v="0"/>
    <x v="195"/>
    <x v="25"/>
    <x v="30"/>
    <x v="35"/>
    <x v="73"/>
    <x v="7"/>
    <x v="770"/>
    <x v="143"/>
    <x v="67"/>
  </r>
  <r>
    <x v="0"/>
    <x v="21"/>
    <x v="6"/>
    <x v="1"/>
    <x v="44"/>
    <x v="11"/>
    <x v="19"/>
    <x v="69"/>
    <x v="152"/>
    <x v="3"/>
    <x v="2"/>
    <x v="5"/>
    <x v="46"/>
    <x v="1"/>
    <x v="1"/>
    <x v="0"/>
    <x v="0"/>
    <x v="0"/>
    <x v="0"/>
    <x v="0"/>
    <x v="0"/>
    <x v="0"/>
    <x v="3"/>
    <x v="0"/>
    <x v="20"/>
    <x v="0"/>
    <x v="0"/>
    <x v="646"/>
    <x v="0"/>
    <x v="0"/>
    <x v="958"/>
    <x v="6"/>
    <x v="1"/>
    <x v="3"/>
    <x v="0"/>
    <x v="7"/>
    <x v="775"/>
    <x v="93"/>
    <x v="5"/>
  </r>
  <r>
    <x v="0"/>
    <x v="21"/>
    <x v="6"/>
    <x v="1"/>
    <x v="46"/>
    <x v="11"/>
    <x v="19"/>
    <x v="64"/>
    <x v="163"/>
    <x v="3"/>
    <x v="6"/>
    <x v="6"/>
    <x v="7"/>
    <x v="3"/>
    <x v="3"/>
    <x v="0"/>
    <x v="0"/>
    <x v="0"/>
    <x v="0"/>
    <x v="0"/>
    <x v="0"/>
    <x v="0"/>
    <x v="9"/>
    <x v="6"/>
    <x v="22"/>
    <x v="0"/>
    <x v="0"/>
    <x v="646"/>
    <x v="0"/>
    <x v="0"/>
    <x v="958"/>
    <x v="7"/>
    <x v="7"/>
    <x v="31"/>
    <x v="3"/>
    <x v="7"/>
    <x v="746"/>
    <x v="338"/>
    <x v="79"/>
  </r>
  <r>
    <x v="0"/>
    <x v="21"/>
    <x v="6"/>
    <x v="1"/>
    <x v="7"/>
    <x v="11"/>
    <x v="19"/>
    <x v="21"/>
    <x v="116"/>
    <x v="3"/>
    <x v="8"/>
    <x v="17"/>
    <x v="63"/>
    <x v="33"/>
    <x v="28"/>
    <x v="0"/>
    <x v="0"/>
    <x v="0"/>
    <x v="0"/>
    <x v="35"/>
    <x v="0"/>
    <x v="5"/>
    <x v="20"/>
    <x v="365"/>
    <x v="2"/>
    <x v="0"/>
    <x v="0"/>
    <x v="646"/>
    <x v="767"/>
    <x v="0"/>
    <x v="8"/>
    <x v="7"/>
    <x v="12"/>
    <x v="46"/>
    <x v="163"/>
    <x v="7"/>
    <x v="691"/>
    <x v="618"/>
    <x v="214"/>
  </r>
  <r>
    <x v="1"/>
    <x v="22"/>
    <x v="2"/>
    <x v="4"/>
    <x v="58"/>
    <x v="11"/>
    <x v="8"/>
    <x v="31"/>
    <x v="815"/>
    <x v="1"/>
    <x v="42"/>
    <x v="185"/>
    <x v="158"/>
    <x v="849"/>
    <x v="380"/>
    <x v="0"/>
    <x v="0"/>
    <x v="0"/>
    <x v="0"/>
    <x v="0"/>
    <x v="0"/>
    <x v="0"/>
    <x v="447"/>
    <x v="279"/>
    <x v="15"/>
    <x v="0"/>
    <x v="0"/>
    <x v="646"/>
    <x v="0"/>
    <x v="0"/>
    <x v="958"/>
    <x v="23"/>
    <x v="80"/>
    <x v="77"/>
    <x v="364"/>
    <x v="2"/>
    <x v="200"/>
    <x v="403"/>
    <x v="354"/>
  </r>
  <r>
    <x v="1"/>
    <x v="22"/>
    <x v="2"/>
    <x v="5"/>
    <x v="13"/>
    <x v="7"/>
    <x v="7"/>
    <x v="51"/>
    <x v="185"/>
    <x v="1"/>
    <x v="42"/>
    <x v="163"/>
    <x v="124"/>
    <x v="513"/>
    <x v="266"/>
    <x v="21"/>
    <x v="67"/>
    <x v="0"/>
    <x v="0"/>
    <x v="49"/>
    <x v="3"/>
    <x v="0"/>
    <x v="347"/>
    <x v="230"/>
    <x v="44"/>
    <x v="1"/>
    <x v="193"/>
    <x v="178"/>
    <x v="462"/>
    <x v="328"/>
    <x v="406"/>
    <x v="26"/>
    <x v="76"/>
    <x v="68"/>
    <x v="194"/>
    <x v="4"/>
    <x v="403"/>
    <x v="444"/>
    <x v="312"/>
  </r>
  <r>
    <x v="1"/>
    <x v="22"/>
    <x v="2"/>
    <x v="7"/>
    <x v="20"/>
    <x v="11"/>
    <x v="10"/>
    <x v="29"/>
    <x v="828"/>
    <x v="1"/>
    <x v="42"/>
    <x v="185"/>
    <x v="158"/>
    <x v="850"/>
    <x v="379"/>
    <x v="0"/>
    <x v="0"/>
    <x v="0"/>
    <x v="0"/>
    <x v="25"/>
    <x v="0"/>
    <x v="0"/>
    <x v="446"/>
    <x v="277"/>
    <x v="11"/>
    <x v="0"/>
    <x v="0"/>
    <x v="646"/>
    <x v="186"/>
    <x v="0"/>
    <x v="726"/>
    <x v="9"/>
    <x v="97"/>
    <x v="117"/>
    <x v="363"/>
    <x v="2"/>
    <x v="319"/>
    <x v="157"/>
    <x v="347"/>
  </r>
  <r>
    <x v="1"/>
    <x v="22"/>
    <x v="2"/>
    <x v="0"/>
    <x v="34"/>
    <x v="5"/>
    <x v="1"/>
    <x v="84"/>
    <x v="175"/>
    <x v="1"/>
    <x v="42"/>
    <x v="107"/>
    <x v="29"/>
    <x v="77"/>
    <x v="54"/>
    <x v="25"/>
    <x v="58"/>
    <x v="0"/>
    <x v="0"/>
    <x v="54"/>
    <x v="3"/>
    <x v="0"/>
    <x v="135"/>
    <x v="19"/>
    <x v="45"/>
    <x v="12"/>
    <x v="363"/>
    <x v="35"/>
    <x v="766"/>
    <x v="458"/>
    <x v="11"/>
    <x v="53"/>
    <x v="35"/>
    <x v="12"/>
    <x v="13"/>
    <x v="6"/>
    <x v="588"/>
    <x v="419"/>
    <x v="24"/>
  </r>
  <r>
    <x v="1"/>
    <x v="22"/>
    <x v="2"/>
    <x v="3"/>
    <x v="72"/>
    <x v="11"/>
    <x v="5"/>
    <x v="10"/>
    <x v="182"/>
    <x v="1"/>
    <x v="42"/>
    <x v="153"/>
    <x v="86"/>
    <x v="655"/>
    <x v="327"/>
    <x v="2"/>
    <x v="3"/>
    <x v="0"/>
    <x v="0"/>
    <x v="0"/>
    <x v="0"/>
    <x v="0"/>
    <x v="403"/>
    <x v="703"/>
    <x v="38"/>
    <x v="3"/>
    <x v="476"/>
    <x v="577"/>
    <x v="0"/>
    <x v="9"/>
    <x v="958"/>
    <x v="0"/>
    <x v="102"/>
    <x v="130"/>
    <x v="300"/>
    <x v="5"/>
    <x v="432"/>
    <x v="550"/>
    <x v="1042"/>
  </r>
  <r>
    <x v="1"/>
    <x v="22"/>
    <x v="2"/>
    <x v="6"/>
    <x v="16"/>
    <x v="11"/>
    <x v="11"/>
    <x v="28"/>
    <x v="830"/>
    <x v="1"/>
    <x v="42"/>
    <x v="184"/>
    <x v="156"/>
    <x v="537"/>
    <x v="282"/>
    <x v="0"/>
    <x v="0"/>
    <x v="0"/>
    <x v="0"/>
    <x v="0"/>
    <x v="0"/>
    <x v="0"/>
    <x v="365"/>
    <x v="95"/>
    <x v="7"/>
    <x v="0"/>
    <x v="0"/>
    <x v="646"/>
    <x v="0"/>
    <x v="0"/>
    <x v="958"/>
    <x v="48"/>
    <x v="47"/>
    <x v="20"/>
    <x v="227"/>
    <x v="0"/>
    <x v="87"/>
    <x v="165"/>
    <x v="39"/>
  </r>
  <r>
    <x v="1"/>
    <x v="22"/>
    <x v="6"/>
    <x v="8"/>
    <x v="62"/>
    <x v="11"/>
    <x v="19"/>
    <x v="30"/>
    <x v="807"/>
    <x v="2"/>
    <x v="42"/>
    <x v="221"/>
    <x v="207"/>
    <x v="920"/>
    <x v="458"/>
    <x v="0"/>
    <x v="0"/>
    <x v="0"/>
    <x v="0"/>
    <x v="89"/>
    <x v="0"/>
    <x v="1"/>
    <x v="357"/>
    <x v="84"/>
    <x v="27"/>
    <x v="0"/>
    <x v="0"/>
    <x v="646"/>
    <x v="411"/>
    <x v="0"/>
    <x v="460"/>
    <x v="31"/>
    <x v="70"/>
    <x v="55"/>
    <x v="469"/>
    <x v="3"/>
    <x v="357"/>
    <x v="185"/>
    <x v="145"/>
  </r>
  <r>
    <x v="1"/>
    <x v="22"/>
    <x v="6"/>
    <x v="1"/>
    <x v="27"/>
    <x v="11"/>
    <x v="12"/>
    <x v="19"/>
    <x v="15"/>
    <x v="2"/>
    <x v="36"/>
    <x v="158"/>
    <x v="141"/>
    <x v="522"/>
    <x v="273"/>
    <x v="0"/>
    <x v="0"/>
    <x v="21"/>
    <x v="0"/>
    <x v="55"/>
    <x v="0"/>
    <x v="5"/>
    <x v="101"/>
    <x v="361"/>
    <x v="19"/>
    <x v="0"/>
    <x v="0"/>
    <x v="646"/>
    <x v="500"/>
    <x v="0"/>
    <x v="338"/>
    <x v="12"/>
    <x v="72"/>
    <x v="101"/>
    <x v="309"/>
    <x v="7"/>
    <x v="697"/>
    <x v="598"/>
    <x v="796"/>
  </r>
  <r>
    <x v="1"/>
    <x v="22"/>
    <x v="6"/>
    <x v="1"/>
    <x v="26"/>
    <x v="11"/>
    <x v="12"/>
    <x v="12"/>
    <x v="6"/>
    <x v="2"/>
    <x v="14"/>
    <x v="12"/>
    <x v="12"/>
    <x v="25"/>
    <x v="24"/>
    <x v="0"/>
    <x v="0"/>
    <x v="1"/>
    <x v="0"/>
    <x v="5"/>
    <x v="0"/>
    <x v="5"/>
    <x v="16"/>
    <x v="605"/>
    <x v="17"/>
    <x v="0"/>
    <x v="0"/>
    <x v="646"/>
    <x v="344"/>
    <x v="0"/>
    <x v="542"/>
    <x v="16"/>
    <x v="13"/>
    <x v="20"/>
    <x v="63"/>
    <x v="7"/>
    <x v="735"/>
    <x v="443"/>
    <x v="55"/>
  </r>
  <r>
    <x v="1"/>
    <x v="22"/>
    <x v="3"/>
    <x v="4"/>
    <x v="58"/>
    <x v="11"/>
    <x v="8"/>
    <x v="31"/>
    <x v="815"/>
    <x v="2"/>
    <x v="42"/>
    <x v="185"/>
    <x v="158"/>
    <x v="893"/>
    <x v="429"/>
    <x v="0"/>
    <x v="0"/>
    <x v="0"/>
    <x v="0"/>
    <x v="0"/>
    <x v="0"/>
    <x v="0"/>
    <x v="512"/>
    <x v="517"/>
    <x v="15"/>
    <x v="0"/>
    <x v="0"/>
    <x v="646"/>
    <x v="0"/>
    <x v="0"/>
    <x v="958"/>
    <x v="9"/>
    <x v="97"/>
    <x v="117"/>
    <x v="431"/>
    <x v="2"/>
    <x v="199"/>
    <x v="408"/>
    <x v="596"/>
  </r>
  <r>
    <x v="1"/>
    <x v="22"/>
    <x v="3"/>
    <x v="7"/>
    <x v="20"/>
    <x v="11"/>
    <x v="10"/>
    <x v="29"/>
    <x v="821"/>
    <x v="2"/>
    <x v="27"/>
    <x v="150"/>
    <x v="163"/>
    <x v="537"/>
    <x v="282"/>
    <x v="0"/>
    <x v="0"/>
    <x v="0"/>
    <x v="0"/>
    <x v="0"/>
    <x v="0"/>
    <x v="0"/>
    <x v="365"/>
    <x v="590"/>
    <x v="11"/>
    <x v="0"/>
    <x v="0"/>
    <x v="646"/>
    <x v="0"/>
    <x v="0"/>
    <x v="958"/>
    <x v="9"/>
    <x v="53"/>
    <x v="94"/>
    <x v="453"/>
    <x v="2"/>
    <x v="126"/>
    <x v="596"/>
    <x v="744"/>
  </r>
  <r>
    <x v="1"/>
    <x v="22"/>
    <x v="3"/>
    <x v="7"/>
    <x v="21"/>
    <x v="11"/>
    <x v="10"/>
    <x v="53"/>
    <x v="834"/>
    <x v="2"/>
    <x v="22"/>
    <x v="121"/>
    <x v="153"/>
    <x v="178"/>
    <x v="143"/>
    <x v="0"/>
    <x v="0"/>
    <x v="0"/>
    <x v="0"/>
    <x v="0"/>
    <x v="0"/>
    <x v="0"/>
    <x v="222"/>
    <x v="123"/>
    <x v="12"/>
    <x v="0"/>
    <x v="0"/>
    <x v="646"/>
    <x v="0"/>
    <x v="0"/>
    <x v="958"/>
    <x v="16"/>
    <x v="33"/>
    <x v="54"/>
    <x v="254"/>
    <x v="2"/>
    <x v="313"/>
    <x v="177"/>
    <x v="140"/>
  </r>
  <r>
    <x v="1"/>
    <x v="22"/>
    <x v="3"/>
    <x v="5"/>
    <x v="13"/>
    <x v="7"/>
    <x v="7"/>
    <x v="51"/>
    <x v="835"/>
    <x v="2"/>
    <x v="42"/>
    <x v="163"/>
    <x v="124"/>
    <x v="208"/>
    <x v="150"/>
    <x v="38"/>
    <x v="32"/>
    <x v="0"/>
    <x v="0"/>
    <x v="30"/>
    <x v="3"/>
    <x v="0"/>
    <x v="230"/>
    <x v="42"/>
    <x v="44"/>
    <x v="1"/>
    <x v="65"/>
    <x v="88"/>
    <x v="509"/>
    <x v="322"/>
    <x v="340"/>
    <x v="42"/>
    <x v="55"/>
    <x v="31"/>
    <x v="67"/>
    <x v="4"/>
    <x v="503"/>
    <x v="139"/>
    <x v="52"/>
  </r>
  <r>
    <x v="1"/>
    <x v="22"/>
    <x v="3"/>
    <x v="0"/>
    <x v="34"/>
    <x v="5"/>
    <x v="1"/>
    <x v="84"/>
    <x v="177"/>
    <x v="2"/>
    <x v="42"/>
    <x v="102"/>
    <x v="21"/>
    <x v="248"/>
    <x v="173"/>
    <x v="55"/>
    <x v="58"/>
    <x v="0"/>
    <x v="0"/>
    <x v="83"/>
    <x v="0"/>
    <x v="0"/>
    <x v="252"/>
    <x v="480"/>
    <x v="45"/>
    <x v="12"/>
    <x v="636"/>
    <x v="87"/>
    <x v="741"/>
    <x v="387"/>
    <x v="37"/>
    <x v="7"/>
    <x v="99"/>
    <x v="122"/>
    <x v="84"/>
    <x v="6"/>
    <x v="616"/>
    <x v="187"/>
    <x v="368"/>
  </r>
  <r>
    <x v="1"/>
    <x v="22"/>
    <x v="3"/>
    <x v="6"/>
    <x v="17"/>
    <x v="11"/>
    <x v="11"/>
    <x v="52"/>
    <x v="833"/>
    <x v="2"/>
    <x v="42"/>
    <x v="184"/>
    <x v="156"/>
    <x v="851"/>
    <x v="381"/>
    <x v="0"/>
    <x v="0"/>
    <x v="0"/>
    <x v="0"/>
    <x v="0"/>
    <x v="0"/>
    <x v="0"/>
    <x v="448"/>
    <x v="284"/>
    <x v="8"/>
    <x v="0"/>
    <x v="0"/>
    <x v="646"/>
    <x v="0"/>
    <x v="0"/>
    <x v="958"/>
    <x v="36"/>
    <x v="62"/>
    <x v="44"/>
    <x v="365"/>
    <x v="0"/>
    <x v="89"/>
    <x v="161"/>
    <x v="106"/>
  </r>
  <r>
    <x v="1"/>
    <x v="22"/>
    <x v="3"/>
    <x v="3"/>
    <x v="72"/>
    <x v="11"/>
    <x v="5"/>
    <x v="10"/>
    <x v="183"/>
    <x v="2"/>
    <x v="42"/>
    <x v="153"/>
    <x v="86"/>
    <x v="658"/>
    <x v="327"/>
    <x v="0"/>
    <x v="0"/>
    <x v="0"/>
    <x v="0"/>
    <x v="12"/>
    <x v="0"/>
    <x v="0"/>
    <x v="403"/>
    <x v="703"/>
    <x v="38"/>
    <x v="3"/>
    <x v="473"/>
    <x v="605"/>
    <x v="132"/>
    <x v="0"/>
    <x v="791"/>
    <x v="0"/>
    <x v="102"/>
    <x v="130"/>
    <x v="300"/>
    <x v="5"/>
    <x v="432"/>
    <x v="550"/>
    <x v="1027"/>
  </r>
  <r>
    <x v="1"/>
    <x v="22"/>
    <x v="5"/>
    <x v="0"/>
    <x v="34"/>
    <x v="5"/>
    <x v="1"/>
    <x v="84"/>
    <x v="180"/>
    <x v="4"/>
    <x v="42"/>
    <x v="102"/>
    <x v="21"/>
    <x v="161"/>
    <x v="120"/>
    <x v="58"/>
    <x v="54"/>
    <x v="0"/>
    <x v="0"/>
    <x v="41"/>
    <x v="3"/>
    <x v="0"/>
    <x v="203"/>
    <x v="126"/>
    <x v="45"/>
    <x v="12"/>
    <x v="558"/>
    <x v="62"/>
    <x v="690"/>
    <x v="421"/>
    <x v="101"/>
    <x v="41"/>
    <x v="56"/>
    <x v="34"/>
    <x v="41"/>
    <x v="6"/>
    <x v="572"/>
    <x v="505"/>
    <x v="115"/>
  </r>
  <r>
    <x v="1"/>
    <x v="22"/>
    <x v="5"/>
    <x v="3"/>
    <x v="72"/>
    <x v="11"/>
    <x v="5"/>
    <x v="10"/>
    <x v="184"/>
    <x v="4"/>
    <x v="42"/>
    <x v="153"/>
    <x v="86"/>
    <x v="808"/>
    <x v="356"/>
    <x v="0"/>
    <x v="0"/>
    <x v="0"/>
    <x v="0"/>
    <x v="11"/>
    <x v="3"/>
    <x v="0"/>
    <x v="423"/>
    <x v="749"/>
    <x v="38"/>
    <x v="3"/>
    <x v="525"/>
    <x v="575"/>
    <x v="112"/>
    <x v="0"/>
    <x v="813"/>
    <x v="0"/>
    <x v="102"/>
    <x v="130"/>
    <x v="335"/>
    <x v="5"/>
    <x v="381"/>
    <x v="646"/>
    <x v="1129"/>
  </r>
  <r>
    <x v="1"/>
    <x v="23"/>
    <x v="2"/>
    <x v="0"/>
    <x v="34"/>
    <x v="5"/>
    <x v="1"/>
    <x v="84"/>
    <x v="186"/>
    <x v="1"/>
    <x v="42"/>
    <x v="107"/>
    <x v="29"/>
    <x v="197"/>
    <x v="144"/>
    <x v="53"/>
    <x v="64"/>
    <x v="0"/>
    <x v="0"/>
    <x v="66"/>
    <x v="3"/>
    <x v="0"/>
    <x v="223"/>
    <x v="201"/>
    <x v="45"/>
    <x v="12"/>
    <x v="605"/>
    <x v="72"/>
    <x v="740"/>
    <x v="415"/>
    <x v="41"/>
    <x v="26"/>
    <x v="76"/>
    <x v="68"/>
    <x v="55"/>
    <x v="6"/>
    <x v="612"/>
    <x v="199"/>
    <x v="184"/>
  </r>
  <r>
    <x v="1"/>
    <x v="23"/>
    <x v="2"/>
    <x v="5"/>
    <x v="11"/>
    <x v="7"/>
    <x v="6"/>
    <x v="39"/>
    <x v="841"/>
    <x v="1"/>
    <x v="42"/>
    <x v="163"/>
    <x v="124"/>
    <x v="400"/>
    <x v="209"/>
    <x v="49"/>
    <x v="71"/>
    <x v="0"/>
    <x v="0"/>
    <x v="60"/>
    <x v="3"/>
    <x v="0"/>
    <x v="295"/>
    <x v="121"/>
    <x v="44"/>
    <x v="1"/>
    <x v="124"/>
    <x v="67"/>
    <x v="614"/>
    <x v="393"/>
    <x v="210"/>
    <x v="31"/>
    <x v="70"/>
    <x v="55"/>
    <x v="123"/>
    <x v="4"/>
    <x v="479"/>
    <x v="196"/>
    <x v="150"/>
  </r>
  <r>
    <x v="1"/>
    <x v="23"/>
    <x v="2"/>
    <x v="3"/>
    <x v="72"/>
    <x v="11"/>
    <x v="5"/>
    <x v="10"/>
    <x v="190"/>
    <x v="1"/>
    <x v="42"/>
    <x v="153"/>
    <x v="86"/>
    <x v="782"/>
    <x v="351"/>
    <x v="0"/>
    <x v="0"/>
    <x v="0"/>
    <x v="0"/>
    <x v="4"/>
    <x v="3"/>
    <x v="0"/>
    <x v="419"/>
    <x v="743"/>
    <x v="38"/>
    <x v="3"/>
    <x v="513"/>
    <x v="611"/>
    <x v="35"/>
    <x v="0"/>
    <x v="917"/>
    <x v="0"/>
    <x v="102"/>
    <x v="130"/>
    <x v="329"/>
    <x v="5"/>
    <x v="388"/>
    <x v="637"/>
    <x v="1120"/>
  </r>
  <r>
    <x v="1"/>
    <x v="23"/>
    <x v="2"/>
    <x v="4"/>
    <x v="58"/>
    <x v="11"/>
    <x v="8"/>
    <x v="31"/>
    <x v="824"/>
    <x v="1"/>
    <x v="42"/>
    <x v="184"/>
    <x v="156"/>
    <x v="874"/>
    <x v="405"/>
    <x v="0"/>
    <x v="0"/>
    <x v="0"/>
    <x v="0"/>
    <x v="0"/>
    <x v="0"/>
    <x v="0"/>
    <x v="475"/>
    <x v="390"/>
    <x v="15"/>
    <x v="0"/>
    <x v="0"/>
    <x v="646"/>
    <x v="0"/>
    <x v="0"/>
    <x v="958"/>
    <x v="23"/>
    <x v="80"/>
    <x v="77"/>
    <x v="388"/>
    <x v="2"/>
    <x v="139"/>
    <x v="530"/>
    <x v="452"/>
  </r>
  <r>
    <x v="1"/>
    <x v="23"/>
    <x v="2"/>
    <x v="7"/>
    <x v="21"/>
    <x v="11"/>
    <x v="10"/>
    <x v="53"/>
    <x v="836"/>
    <x v="1"/>
    <x v="42"/>
    <x v="184"/>
    <x v="156"/>
    <x v="526"/>
    <x v="277"/>
    <x v="0"/>
    <x v="0"/>
    <x v="0"/>
    <x v="0"/>
    <x v="0"/>
    <x v="0"/>
    <x v="0"/>
    <x v="361"/>
    <x v="88"/>
    <x v="12"/>
    <x v="0"/>
    <x v="0"/>
    <x v="646"/>
    <x v="0"/>
    <x v="0"/>
    <x v="958"/>
    <x v="40"/>
    <x v="57"/>
    <x v="35"/>
    <x v="217"/>
    <x v="2"/>
    <x v="208"/>
    <x v="388"/>
    <x v="114"/>
  </r>
  <r>
    <x v="1"/>
    <x v="23"/>
    <x v="6"/>
    <x v="8"/>
    <x v="62"/>
    <x v="11"/>
    <x v="19"/>
    <x v="30"/>
    <x v="816"/>
    <x v="2"/>
    <x v="43"/>
    <x v="221"/>
    <x v="200"/>
    <x v="956"/>
    <x v="495"/>
    <x v="0"/>
    <x v="0"/>
    <x v="0"/>
    <x v="0"/>
    <x v="60"/>
    <x v="0"/>
    <x v="0"/>
    <x v="584"/>
    <x v="232"/>
    <x v="27"/>
    <x v="0"/>
    <x v="0"/>
    <x v="646"/>
    <x v="228"/>
    <x v="0"/>
    <x v="682"/>
    <x v="12"/>
    <x v="100"/>
    <x v="110"/>
    <x v="506"/>
    <x v="3"/>
    <x v="49"/>
    <x v="733"/>
    <x v="1184"/>
  </r>
  <r>
    <x v="1"/>
    <x v="23"/>
    <x v="6"/>
    <x v="9"/>
    <x v="22"/>
    <x v="11"/>
    <x v="17"/>
    <x v="50"/>
    <x v="730"/>
    <x v="2"/>
    <x v="43"/>
    <x v="228"/>
    <x v="226"/>
    <x v="1006"/>
    <x v="555"/>
    <x v="0"/>
    <x v="0"/>
    <x v="0"/>
    <x v="0"/>
    <x v="0"/>
    <x v="0"/>
    <x v="1"/>
    <x v="540"/>
    <x v="469"/>
    <x v="29"/>
    <x v="0"/>
    <x v="0"/>
    <x v="646"/>
    <x v="0"/>
    <x v="0"/>
    <x v="958"/>
    <x v="12"/>
    <x v="100"/>
    <x v="110"/>
    <x v="588"/>
    <x v="1"/>
    <x v="142"/>
    <x v="82"/>
    <x v="228"/>
  </r>
  <r>
    <x v="1"/>
    <x v="23"/>
    <x v="6"/>
    <x v="1"/>
    <x v="26"/>
    <x v="11"/>
    <x v="12"/>
    <x v="12"/>
    <x v="7"/>
    <x v="2"/>
    <x v="20"/>
    <x v="74"/>
    <x v="122"/>
    <x v="160"/>
    <x v="125"/>
    <x v="0"/>
    <x v="0"/>
    <x v="9"/>
    <x v="0"/>
    <x v="24"/>
    <x v="0"/>
    <x v="5"/>
    <x v="60"/>
    <x v="416"/>
    <x v="17"/>
    <x v="0"/>
    <x v="0"/>
    <x v="646"/>
    <x v="513"/>
    <x v="0"/>
    <x v="320"/>
    <x v="0"/>
    <x v="42"/>
    <x v="130"/>
    <x v="268"/>
    <x v="7"/>
    <x v="754"/>
    <x v="253"/>
    <x v="566"/>
  </r>
  <r>
    <x v="1"/>
    <x v="23"/>
    <x v="6"/>
    <x v="1"/>
    <x v="41"/>
    <x v="11"/>
    <x v="12"/>
    <x v="11"/>
    <x v="7"/>
    <x v="2"/>
    <x v="4"/>
    <x v="4"/>
    <x v="17"/>
    <x v="7"/>
    <x v="7"/>
    <x v="0"/>
    <x v="0"/>
    <x v="0"/>
    <x v="0"/>
    <x v="0"/>
    <x v="0"/>
    <x v="5"/>
    <x v="7"/>
    <x v="423"/>
    <x v="17"/>
    <x v="0"/>
    <x v="0"/>
    <x v="646"/>
    <x v="0"/>
    <x v="0"/>
    <x v="958"/>
    <x v="6"/>
    <x v="4"/>
    <x v="18"/>
    <x v="68"/>
    <x v="7"/>
    <x v="709"/>
    <x v="545"/>
    <x v="62"/>
  </r>
  <r>
    <x v="1"/>
    <x v="23"/>
    <x v="6"/>
    <x v="1"/>
    <x v="43"/>
    <x v="11"/>
    <x v="12"/>
    <x v="18"/>
    <x v="16"/>
    <x v="2"/>
    <x v="1"/>
    <x v="0"/>
    <x v="0"/>
    <x v="0"/>
    <x v="0"/>
    <x v="0"/>
    <x v="0"/>
    <x v="0"/>
    <x v="0"/>
    <x v="0"/>
    <x v="0"/>
    <x v="5"/>
    <x v="0"/>
    <x v="466"/>
    <x v="19"/>
    <x v="0"/>
    <x v="0"/>
    <x v="646"/>
    <x v="0"/>
    <x v="0"/>
    <x v="958"/>
    <x v="0"/>
    <x v="5"/>
    <x v="130"/>
    <x v="1"/>
    <x v="7"/>
    <x v="785"/>
    <x v="1"/>
    <x v="0"/>
  </r>
  <r>
    <x v="1"/>
    <x v="23"/>
    <x v="6"/>
    <x v="1"/>
    <x v="38"/>
    <x v="11"/>
    <x v="12"/>
    <x v="82"/>
    <x v="176"/>
    <x v="2"/>
    <x v="16"/>
    <x v="38"/>
    <x v="61"/>
    <x v="80"/>
    <x v="69"/>
    <x v="0"/>
    <x v="0"/>
    <x v="0"/>
    <x v="0"/>
    <x v="17"/>
    <x v="0"/>
    <x v="5"/>
    <x v="36"/>
    <x v="341"/>
    <x v="21"/>
    <x v="0"/>
    <x v="0"/>
    <x v="646"/>
    <x v="557"/>
    <x v="0"/>
    <x v="272"/>
    <x v="7"/>
    <x v="29"/>
    <x v="79"/>
    <x v="157"/>
    <x v="7"/>
    <x v="763"/>
    <x v="183"/>
    <x v="225"/>
  </r>
  <r>
    <x v="1"/>
    <x v="23"/>
    <x v="6"/>
    <x v="1"/>
    <x v="45"/>
    <x v="11"/>
    <x v="12"/>
    <x v="83"/>
    <x v="176"/>
    <x v="2"/>
    <x v="1"/>
    <x v="2"/>
    <x v="4"/>
    <x v="4"/>
    <x v="4"/>
    <x v="0"/>
    <x v="0"/>
    <x v="0"/>
    <x v="0"/>
    <x v="0"/>
    <x v="0"/>
    <x v="5"/>
    <x v="4"/>
    <x v="466"/>
    <x v="24"/>
    <x v="0"/>
    <x v="0"/>
    <x v="646"/>
    <x v="0"/>
    <x v="0"/>
    <x v="958"/>
    <x v="3"/>
    <x v="1"/>
    <x v="10"/>
    <x v="28"/>
    <x v="7"/>
    <x v="717"/>
    <x v="527"/>
    <x v="23"/>
  </r>
  <r>
    <x v="1"/>
    <x v="23"/>
    <x v="6"/>
    <x v="1"/>
    <x v="40"/>
    <x v="11"/>
    <x v="12"/>
    <x v="79"/>
    <x v="3"/>
    <x v="2"/>
    <x v="12"/>
    <x v="15"/>
    <x v="37"/>
    <x v="28"/>
    <x v="30"/>
    <x v="0"/>
    <x v="0"/>
    <x v="6"/>
    <x v="0"/>
    <x v="5"/>
    <x v="0"/>
    <x v="5"/>
    <x v="21"/>
    <x v="466"/>
    <x v="23"/>
    <x v="0"/>
    <x v="0"/>
    <x v="646"/>
    <x v="321"/>
    <x v="0"/>
    <x v="573"/>
    <x v="11"/>
    <x v="14"/>
    <x v="37"/>
    <x v="101"/>
    <x v="7"/>
    <x v="737"/>
    <x v="396"/>
    <x v="121"/>
  </r>
  <r>
    <x v="1"/>
    <x v="23"/>
    <x v="3"/>
    <x v="6"/>
    <x v="15"/>
    <x v="11"/>
    <x v="11"/>
    <x v="40"/>
    <x v="842"/>
    <x v="2"/>
    <x v="42"/>
    <x v="185"/>
    <x v="158"/>
    <x v="849"/>
    <x v="380"/>
    <x v="0"/>
    <x v="0"/>
    <x v="0"/>
    <x v="0"/>
    <x v="0"/>
    <x v="0"/>
    <x v="0"/>
    <x v="447"/>
    <x v="279"/>
    <x v="6"/>
    <x v="0"/>
    <x v="0"/>
    <x v="646"/>
    <x v="0"/>
    <x v="0"/>
    <x v="958"/>
    <x v="31"/>
    <x v="70"/>
    <x v="55"/>
    <x v="364"/>
    <x v="0"/>
    <x v="125"/>
    <x v="76"/>
    <x v="103"/>
  </r>
  <r>
    <x v="1"/>
    <x v="23"/>
    <x v="3"/>
    <x v="7"/>
    <x v="19"/>
    <x v="11"/>
    <x v="10"/>
    <x v="41"/>
    <x v="843"/>
    <x v="2"/>
    <x v="42"/>
    <x v="185"/>
    <x v="158"/>
    <x v="352"/>
    <x v="209"/>
    <x v="0"/>
    <x v="0"/>
    <x v="0"/>
    <x v="0"/>
    <x v="0"/>
    <x v="0"/>
    <x v="0"/>
    <x v="295"/>
    <x v="40"/>
    <x v="10"/>
    <x v="0"/>
    <x v="0"/>
    <x v="646"/>
    <x v="0"/>
    <x v="0"/>
    <x v="958"/>
    <x v="48"/>
    <x v="47"/>
    <x v="20"/>
    <x v="123"/>
    <x v="2"/>
    <x v="223"/>
    <x v="369"/>
    <x v="50"/>
  </r>
  <r>
    <x v="1"/>
    <x v="23"/>
    <x v="3"/>
    <x v="5"/>
    <x v="11"/>
    <x v="7"/>
    <x v="6"/>
    <x v="39"/>
    <x v="844"/>
    <x v="2"/>
    <x v="42"/>
    <x v="163"/>
    <x v="124"/>
    <x v="577"/>
    <x v="288"/>
    <x v="0"/>
    <x v="48"/>
    <x v="0"/>
    <x v="0"/>
    <x v="62"/>
    <x v="0"/>
    <x v="0"/>
    <x v="371"/>
    <x v="320"/>
    <x v="44"/>
    <x v="1"/>
    <x v="239"/>
    <x v="295"/>
    <x v="525"/>
    <x v="248"/>
    <x v="311"/>
    <x v="0"/>
    <x v="102"/>
    <x v="130"/>
    <x v="235"/>
    <x v="4"/>
    <x v="508"/>
    <x v="135"/>
    <x v="409"/>
  </r>
  <r>
    <x v="1"/>
    <x v="23"/>
    <x v="3"/>
    <x v="0"/>
    <x v="36"/>
    <x v="5"/>
    <x v="1"/>
    <x v="77"/>
    <x v="193"/>
    <x v="2"/>
    <x v="42"/>
    <x v="102"/>
    <x v="21"/>
    <x v="244"/>
    <x v="173"/>
    <x v="48"/>
    <x v="62"/>
    <x v="0"/>
    <x v="0"/>
    <x v="56"/>
    <x v="0"/>
    <x v="0"/>
    <x v="252"/>
    <x v="480"/>
    <x v="45"/>
    <x v="12"/>
    <x v="631"/>
    <x v="111"/>
    <x v="666"/>
    <x v="396"/>
    <x v="135"/>
    <x v="16"/>
    <x v="89"/>
    <x v="95"/>
    <x v="84"/>
    <x v="6"/>
    <x v="597"/>
    <x v="346"/>
    <x v="380"/>
  </r>
  <r>
    <x v="1"/>
    <x v="23"/>
    <x v="3"/>
    <x v="3"/>
    <x v="72"/>
    <x v="11"/>
    <x v="5"/>
    <x v="10"/>
    <x v="191"/>
    <x v="2"/>
    <x v="42"/>
    <x v="153"/>
    <x v="86"/>
    <x v="733"/>
    <x v="346"/>
    <x v="0"/>
    <x v="0"/>
    <x v="0"/>
    <x v="0"/>
    <x v="22"/>
    <x v="0"/>
    <x v="0"/>
    <x v="414"/>
    <x v="728"/>
    <x v="38"/>
    <x v="3"/>
    <x v="506"/>
    <x v="560"/>
    <x v="193"/>
    <x v="0"/>
    <x v="719"/>
    <x v="0"/>
    <x v="102"/>
    <x v="130"/>
    <x v="320"/>
    <x v="5"/>
    <x v="407"/>
    <x v="605"/>
    <x v="1082"/>
  </r>
  <r>
    <x v="1"/>
    <x v="23"/>
    <x v="3"/>
    <x v="4"/>
    <x v="58"/>
    <x v="11"/>
    <x v="8"/>
    <x v="31"/>
    <x v="825"/>
    <x v="2"/>
    <x v="38"/>
    <x v="178"/>
    <x v="154"/>
    <x v="852"/>
    <x v="383"/>
    <x v="0"/>
    <x v="0"/>
    <x v="0"/>
    <x v="0"/>
    <x v="0"/>
    <x v="0"/>
    <x v="0"/>
    <x v="452"/>
    <x v="556"/>
    <x v="15"/>
    <x v="0"/>
    <x v="0"/>
    <x v="646"/>
    <x v="0"/>
    <x v="0"/>
    <x v="958"/>
    <x v="0"/>
    <x v="91"/>
    <x v="130"/>
    <x v="429"/>
    <x v="2"/>
    <x v="280"/>
    <x v="240"/>
    <x v="583"/>
  </r>
  <r>
    <x v="1"/>
    <x v="23"/>
    <x v="3"/>
    <x v="4"/>
    <x v="59"/>
    <x v="11"/>
    <x v="8"/>
    <x v="55"/>
    <x v="831"/>
    <x v="2"/>
    <x v="6"/>
    <x v="28"/>
    <x v="170"/>
    <x v="63"/>
    <x v="60"/>
    <x v="0"/>
    <x v="0"/>
    <x v="0"/>
    <x v="0"/>
    <x v="0"/>
    <x v="0"/>
    <x v="0"/>
    <x v="144"/>
    <x v="466"/>
    <x v="16"/>
    <x v="0"/>
    <x v="0"/>
    <x v="646"/>
    <x v="0"/>
    <x v="0"/>
    <x v="958"/>
    <x v="0"/>
    <x v="15"/>
    <x v="130"/>
    <x v="461"/>
    <x v="2"/>
    <x v="178"/>
    <x v="444"/>
    <x v="893"/>
  </r>
  <r>
    <x v="1"/>
    <x v="23"/>
    <x v="5"/>
    <x v="0"/>
    <x v="36"/>
    <x v="5"/>
    <x v="1"/>
    <x v="77"/>
    <x v="189"/>
    <x v="4"/>
    <x v="42"/>
    <x v="102"/>
    <x v="21"/>
    <x v="337"/>
    <x v="200"/>
    <x v="4"/>
    <x v="59"/>
    <x v="0"/>
    <x v="0"/>
    <x v="64"/>
    <x v="3"/>
    <x v="0"/>
    <x v="285"/>
    <x v="700"/>
    <x v="45"/>
    <x v="12"/>
    <x v="681"/>
    <x v="157"/>
    <x v="654"/>
    <x v="363"/>
    <x v="159"/>
    <x v="0"/>
    <x v="102"/>
    <x v="130"/>
    <x v="110"/>
    <x v="6"/>
    <x v="594"/>
    <x v="374"/>
    <x v="721"/>
  </r>
  <r>
    <x v="1"/>
    <x v="23"/>
    <x v="5"/>
    <x v="3"/>
    <x v="72"/>
    <x v="11"/>
    <x v="5"/>
    <x v="10"/>
    <x v="192"/>
    <x v="4"/>
    <x v="42"/>
    <x v="153"/>
    <x v="86"/>
    <x v="782"/>
    <x v="351"/>
    <x v="0"/>
    <x v="0"/>
    <x v="0"/>
    <x v="0"/>
    <x v="4"/>
    <x v="3"/>
    <x v="0"/>
    <x v="419"/>
    <x v="743"/>
    <x v="38"/>
    <x v="3"/>
    <x v="513"/>
    <x v="611"/>
    <x v="35"/>
    <x v="0"/>
    <x v="917"/>
    <x v="0"/>
    <x v="102"/>
    <x v="130"/>
    <x v="329"/>
    <x v="5"/>
    <x v="388"/>
    <x v="637"/>
    <x v="1120"/>
  </r>
  <r>
    <x v="1"/>
    <x v="23"/>
    <x v="5"/>
    <x v="5"/>
    <x v="11"/>
    <x v="7"/>
    <x v="6"/>
    <x v="39"/>
    <x v="846"/>
    <x v="4"/>
    <x v="42"/>
    <x v="163"/>
    <x v="124"/>
    <x v="693"/>
    <x v="327"/>
    <x v="0"/>
    <x v="38"/>
    <x v="0"/>
    <x v="0"/>
    <x v="66"/>
    <x v="3"/>
    <x v="0"/>
    <x v="403"/>
    <x v="551"/>
    <x v="44"/>
    <x v="1"/>
    <x v="318"/>
    <x v="330"/>
    <x v="496"/>
    <x v="187"/>
    <x v="350"/>
    <x v="0"/>
    <x v="102"/>
    <x v="130"/>
    <x v="300"/>
    <x v="4"/>
    <x v="432"/>
    <x v="329"/>
    <x v="670"/>
  </r>
  <r>
    <x v="1"/>
    <x v="24"/>
    <x v="2"/>
    <x v="0"/>
    <x v="36"/>
    <x v="5"/>
    <x v="1"/>
    <x v="77"/>
    <x v="194"/>
    <x v="1"/>
    <x v="14"/>
    <x v="16"/>
    <x v="22"/>
    <x v="32"/>
    <x v="30"/>
    <x v="2"/>
    <x v="7"/>
    <x v="0"/>
    <x v="0"/>
    <x v="6"/>
    <x v="3"/>
    <x v="0"/>
    <x v="95"/>
    <x v="389"/>
    <x v="45"/>
    <x v="12"/>
    <x v="100"/>
    <x v="142"/>
    <x v="379"/>
    <x v="360"/>
    <x v="517"/>
    <x v="9"/>
    <x v="20"/>
    <x v="54"/>
    <x v="77"/>
    <x v="6"/>
    <x v="550"/>
    <x v="626"/>
    <x v="344"/>
  </r>
  <r>
    <x v="1"/>
    <x v="24"/>
    <x v="2"/>
    <x v="6"/>
    <x v="15"/>
    <x v="11"/>
    <x v="11"/>
    <x v="40"/>
    <x v="847"/>
    <x v="1"/>
    <x v="42"/>
    <x v="185"/>
    <x v="158"/>
    <x v="861"/>
    <x v="392"/>
    <x v="0"/>
    <x v="0"/>
    <x v="0"/>
    <x v="0"/>
    <x v="0"/>
    <x v="0"/>
    <x v="0"/>
    <x v="461"/>
    <x v="316"/>
    <x v="6"/>
    <x v="0"/>
    <x v="0"/>
    <x v="646"/>
    <x v="0"/>
    <x v="0"/>
    <x v="958"/>
    <x v="42"/>
    <x v="55"/>
    <x v="31"/>
    <x v="373"/>
    <x v="0"/>
    <x v="39"/>
    <x v="525"/>
    <x v="113"/>
  </r>
  <r>
    <x v="1"/>
    <x v="24"/>
    <x v="2"/>
    <x v="7"/>
    <x v="19"/>
    <x v="11"/>
    <x v="19"/>
    <x v="41"/>
    <x v="845"/>
    <x v="1"/>
    <x v="42"/>
    <x v="185"/>
    <x v="158"/>
    <x v="475"/>
    <x v="266"/>
    <x v="0"/>
    <x v="0"/>
    <x v="0"/>
    <x v="0"/>
    <x v="0"/>
    <x v="0"/>
    <x v="0"/>
    <x v="347"/>
    <x v="69"/>
    <x v="10"/>
    <x v="0"/>
    <x v="0"/>
    <x v="646"/>
    <x v="0"/>
    <x v="0"/>
    <x v="958"/>
    <x v="42"/>
    <x v="55"/>
    <x v="31"/>
    <x v="194"/>
    <x v="2"/>
    <x v="178"/>
    <x v="444"/>
    <x v="100"/>
  </r>
  <r>
    <x v="1"/>
    <x v="24"/>
    <x v="2"/>
    <x v="4"/>
    <x v="59"/>
    <x v="11"/>
    <x v="19"/>
    <x v="55"/>
    <x v="831"/>
    <x v="1"/>
    <x v="42"/>
    <x v="185"/>
    <x v="158"/>
    <x v="524"/>
    <x v="276"/>
    <x v="0"/>
    <x v="0"/>
    <x v="0"/>
    <x v="0"/>
    <x v="0"/>
    <x v="0"/>
    <x v="0"/>
    <x v="360"/>
    <x v="85"/>
    <x v="16"/>
    <x v="0"/>
    <x v="0"/>
    <x v="646"/>
    <x v="0"/>
    <x v="0"/>
    <x v="958"/>
    <x v="42"/>
    <x v="55"/>
    <x v="31"/>
    <x v="216"/>
    <x v="2"/>
    <x v="143"/>
    <x v="523"/>
    <x v="112"/>
  </r>
  <r>
    <x v="1"/>
    <x v="24"/>
    <x v="2"/>
    <x v="5"/>
    <x v="11"/>
    <x v="7"/>
    <x v="6"/>
    <x v="39"/>
    <x v="853"/>
    <x v="1"/>
    <x v="42"/>
    <x v="163"/>
    <x v="124"/>
    <x v="745"/>
    <x v="346"/>
    <x v="0"/>
    <x v="12"/>
    <x v="0"/>
    <x v="0"/>
    <x v="42"/>
    <x v="3"/>
    <x v="0"/>
    <x v="414"/>
    <x v="623"/>
    <x v="44"/>
    <x v="1"/>
    <x v="361"/>
    <x v="466"/>
    <x v="312"/>
    <x v="34"/>
    <x v="589"/>
    <x v="0"/>
    <x v="102"/>
    <x v="130"/>
    <x v="320"/>
    <x v="4"/>
    <x v="407"/>
    <x v="429"/>
    <x v="856"/>
  </r>
  <r>
    <x v="1"/>
    <x v="24"/>
    <x v="2"/>
    <x v="3"/>
    <x v="72"/>
    <x v="11"/>
    <x v="19"/>
    <x v="10"/>
    <x v="200"/>
    <x v="1"/>
    <x v="42"/>
    <x v="153"/>
    <x v="86"/>
    <x v="730"/>
    <x v="346"/>
    <x v="0"/>
    <x v="4"/>
    <x v="0"/>
    <x v="0"/>
    <x v="0"/>
    <x v="3"/>
    <x v="0"/>
    <x v="414"/>
    <x v="728"/>
    <x v="38"/>
    <x v="3"/>
    <x v="503"/>
    <x v="586"/>
    <x v="0"/>
    <x v="11"/>
    <x v="958"/>
    <x v="0"/>
    <x v="102"/>
    <x v="130"/>
    <x v="320"/>
    <x v="5"/>
    <x v="407"/>
    <x v="605"/>
    <x v="1093"/>
  </r>
  <r>
    <x v="1"/>
    <x v="24"/>
    <x v="2"/>
    <x v="8"/>
    <x v="62"/>
    <x v="11"/>
    <x v="19"/>
    <x v="30"/>
    <x v="824"/>
    <x v="1"/>
    <x v="38"/>
    <x v="219"/>
    <x v="224"/>
    <x v="852"/>
    <x v="382"/>
    <x v="0"/>
    <x v="0"/>
    <x v="0"/>
    <x v="0"/>
    <x v="50"/>
    <x v="0"/>
    <x v="0"/>
    <x v="450"/>
    <x v="46"/>
    <x v="27"/>
    <x v="0"/>
    <x v="0"/>
    <x v="646"/>
    <x v="314"/>
    <x v="0"/>
    <x v="581"/>
    <x v="12"/>
    <x v="77"/>
    <x v="104"/>
    <x v="424"/>
    <x v="3"/>
    <x v="166"/>
    <x v="623"/>
    <x v="913"/>
  </r>
  <r>
    <x v="1"/>
    <x v="24"/>
    <x v="6"/>
    <x v="8"/>
    <x v="63"/>
    <x v="11"/>
    <x v="19"/>
    <x v="54"/>
    <x v="831"/>
    <x v="2"/>
    <x v="6"/>
    <x v="28"/>
    <x v="170"/>
    <x v="63"/>
    <x v="59"/>
    <x v="0"/>
    <x v="0"/>
    <x v="0"/>
    <x v="0"/>
    <x v="3"/>
    <x v="0"/>
    <x v="0"/>
    <x v="143"/>
    <x v="462"/>
    <x v="28"/>
    <x v="0"/>
    <x v="0"/>
    <x v="646"/>
    <x v="152"/>
    <x v="0"/>
    <x v="766"/>
    <x v="0"/>
    <x v="15"/>
    <x v="130"/>
    <x v="459"/>
    <x v="3"/>
    <x v="180"/>
    <x v="611"/>
    <x v="1094"/>
  </r>
  <r>
    <x v="1"/>
    <x v="24"/>
    <x v="6"/>
    <x v="1"/>
    <x v="40"/>
    <x v="11"/>
    <x v="12"/>
    <x v="79"/>
    <x v="187"/>
    <x v="2"/>
    <x v="20"/>
    <x v="38"/>
    <x v="43"/>
    <x v="52"/>
    <x v="52"/>
    <x v="0"/>
    <x v="0"/>
    <x v="5"/>
    <x v="0"/>
    <x v="14"/>
    <x v="0"/>
    <x v="5"/>
    <x v="31"/>
    <x v="180"/>
    <x v="23"/>
    <x v="0"/>
    <x v="0"/>
    <x v="646"/>
    <x v="563"/>
    <x v="0"/>
    <x v="264"/>
    <x v="21"/>
    <x v="22"/>
    <x v="31"/>
    <x v="78"/>
    <x v="7"/>
    <x v="747"/>
    <x v="326"/>
    <x v="75"/>
  </r>
  <r>
    <x v="1"/>
    <x v="24"/>
    <x v="6"/>
    <x v="1"/>
    <x v="7"/>
    <x v="11"/>
    <x v="12"/>
    <x v="21"/>
    <x v="96"/>
    <x v="2"/>
    <x v="31"/>
    <x v="99"/>
    <x v="51"/>
    <x v="196"/>
    <x v="148"/>
    <x v="0"/>
    <x v="0"/>
    <x v="5"/>
    <x v="0"/>
    <x v="14"/>
    <x v="0"/>
    <x v="5"/>
    <x v="70"/>
    <x v="303"/>
    <x v="2"/>
    <x v="0"/>
    <x v="0"/>
    <x v="646"/>
    <x v="267"/>
    <x v="0"/>
    <x v="637"/>
    <x v="26"/>
    <x v="48"/>
    <x v="50"/>
    <x v="121"/>
    <x v="7"/>
    <x v="744"/>
    <x v="358"/>
    <x v="163"/>
  </r>
  <r>
    <x v="1"/>
    <x v="24"/>
    <x v="3"/>
    <x v="5"/>
    <x v="11"/>
    <x v="7"/>
    <x v="6"/>
    <x v="39"/>
    <x v="855"/>
    <x v="2"/>
    <x v="42"/>
    <x v="163"/>
    <x v="124"/>
    <x v="712"/>
    <x v="334"/>
    <x v="0"/>
    <x v="35"/>
    <x v="0"/>
    <x v="0"/>
    <x v="61"/>
    <x v="0"/>
    <x v="0"/>
    <x v="409"/>
    <x v="582"/>
    <x v="44"/>
    <x v="1"/>
    <x v="333"/>
    <x v="374"/>
    <x v="447"/>
    <x v="169"/>
    <x v="419"/>
    <x v="0"/>
    <x v="102"/>
    <x v="130"/>
    <x v="308"/>
    <x v="4"/>
    <x v="421"/>
    <x v="368"/>
    <x v="722"/>
  </r>
  <r>
    <x v="1"/>
    <x v="24"/>
    <x v="3"/>
    <x v="6"/>
    <x v="15"/>
    <x v="11"/>
    <x v="11"/>
    <x v="40"/>
    <x v="854"/>
    <x v="2"/>
    <x v="42"/>
    <x v="184"/>
    <x v="156"/>
    <x v="911"/>
    <x v="448"/>
    <x v="0"/>
    <x v="0"/>
    <x v="0"/>
    <x v="0"/>
    <x v="0"/>
    <x v="0"/>
    <x v="0"/>
    <x v="537"/>
    <x v="649"/>
    <x v="6"/>
    <x v="0"/>
    <x v="0"/>
    <x v="646"/>
    <x v="0"/>
    <x v="0"/>
    <x v="958"/>
    <x v="32"/>
    <x v="68"/>
    <x v="54"/>
    <x v="455"/>
    <x v="0"/>
    <x v="54"/>
    <x v="393"/>
    <x v="196"/>
  </r>
  <r>
    <x v="1"/>
    <x v="24"/>
    <x v="3"/>
    <x v="7"/>
    <x v="19"/>
    <x v="11"/>
    <x v="10"/>
    <x v="41"/>
    <x v="848"/>
    <x v="2"/>
    <x v="42"/>
    <x v="185"/>
    <x v="158"/>
    <x v="560"/>
    <x v="287"/>
    <x v="0"/>
    <x v="0"/>
    <x v="0"/>
    <x v="0"/>
    <x v="8"/>
    <x v="0"/>
    <x v="0"/>
    <x v="370"/>
    <x v="98"/>
    <x v="10"/>
    <x v="0"/>
    <x v="0"/>
    <x v="646"/>
    <x v="105"/>
    <x v="0"/>
    <x v="821"/>
    <x v="32"/>
    <x v="68"/>
    <x v="54"/>
    <x v="234"/>
    <x v="2"/>
    <x v="329"/>
    <x v="132"/>
    <x v="125"/>
  </r>
  <r>
    <x v="1"/>
    <x v="24"/>
    <x v="3"/>
    <x v="3"/>
    <x v="72"/>
    <x v="11"/>
    <x v="5"/>
    <x v="10"/>
    <x v="201"/>
    <x v="2"/>
    <x v="42"/>
    <x v="153"/>
    <x v="86"/>
    <x v="732"/>
    <x v="346"/>
    <x v="0"/>
    <x v="0"/>
    <x v="0"/>
    <x v="0"/>
    <x v="21"/>
    <x v="0"/>
    <x v="0"/>
    <x v="414"/>
    <x v="728"/>
    <x v="38"/>
    <x v="3"/>
    <x v="505"/>
    <x v="563"/>
    <x v="183"/>
    <x v="0"/>
    <x v="731"/>
    <x v="0"/>
    <x v="102"/>
    <x v="130"/>
    <x v="320"/>
    <x v="5"/>
    <x v="407"/>
    <x v="605"/>
    <x v="1083"/>
  </r>
  <r>
    <x v="1"/>
    <x v="24"/>
    <x v="3"/>
    <x v="0"/>
    <x v="29"/>
    <x v="2"/>
    <x v="0"/>
    <x v="23"/>
    <x v="195"/>
    <x v="2"/>
    <x v="42"/>
    <x v="102"/>
    <x v="21"/>
    <x v="101"/>
    <x v="76"/>
    <x v="31"/>
    <x v="62"/>
    <x v="0"/>
    <x v="0"/>
    <x v="36"/>
    <x v="3"/>
    <x v="0"/>
    <x v="164"/>
    <x v="44"/>
    <x v="45"/>
    <x v="8"/>
    <x v="410"/>
    <x v="46"/>
    <x v="733"/>
    <x v="452"/>
    <x v="57"/>
    <x v="47"/>
    <x v="48"/>
    <x v="22"/>
    <x v="18"/>
    <x v="6"/>
    <x v="613"/>
    <x v="197"/>
    <x v="43"/>
  </r>
  <r>
    <x v="1"/>
    <x v="24"/>
    <x v="5"/>
    <x v="0"/>
    <x v="29"/>
    <x v="2"/>
    <x v="0"/>
    <x v="23"/>
    <x v="197"/>
    <x v="4"/>
    <x v="42"/>
    <x v="102"/>
    <x v="21"/>
    <x v="277"/>
    <x v="183"/>
    <x v="12"/>
    <x v="68"/>
    <x v="0"/>
    <x v="0"/>
    <x v="66"/>
    <x v="3"/>
    <x v="0"/>
    <x v="266"/>
    <x v="603"/>
    <x v="45"/>
    <x v="8"/>
    <x v="613"/>
    <x v="118"/>
    <x v="691"/>
    <x v="397"/>
    <x v="99"/>
    <x v="0"/>
    <x v="102"/>
    <x v="130"/>
    <x v="93"/>
    <x v="6"/>
    <x v="615"/>
    <x v="193"/>
    <x v="464"/>
  </r>
  <r>
    <x v="1"/>
    <x v="24"/>
    <x v="5"/>
    <x v="3"/>
    <x v="72"/>
    <x v="11"/>
    <x v="5"/>
    <x v="10"/>
    <x v="202"/>
    <x v="4"/>
    <x v="42"/>
    <x v="153"/>
    <x v="86"/>
    <x v="716"/>
    <x v="341"/>
    <x v="0"/>
    <x v="0"/>
    <x v="0"/>
    <x v="0"/>
    <x v="8"/>
    <x v="3"/>
    <x v="0"/>
    <x v="412"/>
    <x v="721"/>
    <x v="38"/>
    <x v="3"/>
    <x v="495"/>
    <x v="584"/>
    <x v="91"/>
    <x v="0"/>
    <x v="845"/>
    <x v="0"/>
    <x v="102"/>
    <x v="130"/>
    <x v="314"/>
    <x v="5"/>
    <x v="413"/>
    <x v="593"/>
    <x v="1066"/>
  </r>
  <r>
    <x v="1"/>
    <x v="24"/>
    <x v="5"/>
    <x v="5"/>
    <x v="11"/>
    <x v="7"/>
    <x v="6"/>
    <x v="39"/>
    <x v="1009"/>
    <x v="4"/>
    <x v="42"/>
    <x v="163"/>
    <x v="124"/>
    <x v="535"/>
    <x v="275"/>
    <x v="28"/>
    <x v="26"/>
    <x v="0"/>
    <x v="0"/>
    <x v="51"/>
    <x v="3"/>
    <x v="0"/>
    <x v="359"/>
    <x v="271"/>
    <x v="44"/>
    <x v="1"/>
    <x v="224"/>
    <x v="232"/>
    <x v="457"/>
    <x v="153"/>
    <x v="402"/>
    <x v="0"/>
    <x v="102"/>
    <x v="130"/>
    <x v="215"/>
    <x v="4"/>
    <x v="524"/>
    <x v="99"/>
    <x v="361"/>
  </r>
  <r>
    <x v="1"/>
    <x v="25"/>
    <x v="2"/>
    <x v="0"/>
    <x v="29"/>
    <x v="2"/>
    <x v="0"/>
    <x v="23"/>
    <x v="203"/>
    <x v="1"/>
    <x v="42"/>
    <x v="102"/>
    <x v="21"/>
    <x v="152"/>
    <x v="115"/>
    <x v="4"/>
    <x v="30"/>
    <x v="0"/>
    <x v="0"/>
    <x v="37"/>
    <x v="3"/>
    <x v="0"/>
    <x v="200"/>
    <x v="112"/>
    <x v="45"/>
    <x v="8"/>
    <x v="531"/>
    <x v="126"/>
    <x v="674"/>
    <x v="374"/>
    <x v="124"/>
    <x v="39"/>
    <x v="58"/>
    <x v="38"/>
    <x v="38"/>
    <x v="6"/>
    <x v="601"/>
    <x v="295"/>
    <x v="104"/>
  </r>
  <r>
    <x v="1"/>
    <x v="25"/>
    <x v="2"/>
    <x v="5"/>
    <x v="11"/>
    <x v="7"/>
    <x v="6"/>
    <x v="39"/>
    <x v="865"/>
    <x v="1"/>
    <x v="36"/>
    <x v="137"/>
    <x v="113"/>
    <x v="517"/>
    <x v="266"/>
    <x v="39"/>
    <x v="75"/>
    <x v="0"/>
    <x v="0"/>
    <x v="52"/>
    <x v="3"/>
    <x v="0"/>
    <x v="347"/>
    <x v="631"/>
    <x v="44"/>
    <x v="1"/>
    <x v="199"/>
    <x v="112"/>
    <x v="488"/>
    <x v="369"/>
    <x v="367"/>
    <x v="0"/>
    <x v="82"/>
    <x v="130"/>
    <x v="291"/>
    <x v="4"/>
    <x v="442"/>
    <x v="293"/>
    <x v="618"/>
  </r>
  <r>
    <x v="1"/>
    <x v="25"/>
    <x v="2"/>
    <x v="3"/>
    <x v="72"/>
    <x v="11"/>
    <x v="5"/>
    <x v="10"/>
    <x v="210"/>
    <x v="1"/>
    <x v="42"/>
    <x v="153"/>
    <x v="86"/>
    <x v="578"/>
    <x v="292"/>
    <x v="7"/>
    <x v="6"/>
    <x v="0"/>
    <x v="0"/>
    <x v="2"/>
    <x v="3"/>
    <x v="0"/>
    <x v="373"/>
    <x v="615"/>
    <x v="38"/>
    <x v="3"/>
    <x v="437"/>
    <x v="510"/>
    <x v="19"/>
    <x v="19"/>
    <x v="936"/>
    <x v="0"/>
    <x v="102"/>
    <x v="130"/>
    <x v="247"/>
    <x v="5"/>
    <x v="497"/>
    <x v="374"/>
    <x v="778"/>
  </r>
  <r>
    <x v="1"/>
    <x v="25"/>
    <x v="2"/>
    <x v="6"/>
    <x v="15"/>
    <x v="11"/>
    <x v="19"/>
    <x v="40"/>
    <x v="849"/>
    <x v="1"/>
    <x v="34"/>
    <x v="192"/>
    <x v="182"/>
    <x v="910"/>
    <x v="446"/>
    <x v="0"/>
    <x v="0"/>
    <x v="0"/>
    <x v="0"/>
    <x v="0"/>
    <x v="0"/>
    <x v="0"/>
    <x v="534"/>
    <x v="527"/>
    <x v="6"/>
    <x v="0"/>
    <x v="0"/>
    <x v="646"/>
    <x v="0"/>
    <x v="0"/>
    <x v="958"/>
    <x v="14"/>
    <x v="63"/>
    <x v="89"/>
    <x v="493"/>
    <x v="0"/>
    <x v="44"/>
    <x v="469"/>
    <x v="455"/>
  </r>
  <r>
    <x v="1"/>
    <x v="25"/>
    <x v="2"/>
    <x v="7"/>
    <x v="19"/>
    <x v="11"/>
    <x v="10"/>
    <x v="41"/>
    <x v="856"/>
    <x v="1"/>
    <x v="42"/>
    <x v="184"/>
    <x v="156"/>
    <x v="898"/>
    <x v="436"/>
    <x v="0"/>
    <x v="0"/>
    <x v="0"/>
    <x v="0"/>
    <x v="0"/>
    <x v="0"/>
    <x v="0"/>
    <x v="521"/>
    <x v="561"/>
    <x v="10"/>
    <x v="0"/>
    <x v="0"/>
    <x v="646"/>
    <x v="0"/>
    <x v="0"/>
    <x v="958"/>
    <x v="0"/>
    <x v="102"/>
    <x v="130"/>
    <x v="439"/>
    <x v="2"/>
    <x v="265"/>
    <x v="272"/>
    <x v="626"/>
  </r>
  <r>
    <x v="1"/>
    <x v="25"/>
    <x v="2"/>
    <x v="4"/>
    <x v="57"/>
    <x v="11"/>
    <x v="8"/>
    <x v="43"/>
    <x v="837"/>
    <x v="1"/>
    <x v="6"/>
    <x v="28"/>
    <x v="170"/>
    <x v="63"/>
    <x v="60"/>
    <x v="0"/>
    <x v="0"/>
    <x v="0"/>
    <x v="0"/>
    <x v="0"/>
    <x v="0"/>
    <x v="0"/>
    <x v="144"/>
    <x v="466"/>
    <x v="14"/>
    <x v="0"/>
    <x v="0"/>
    <x v="646"/>
    <x v="0"/>
    <x v="0"/>
    <x v="958"/>
    <x v="0"/>
    <x v="15"/>
    <x v="130"/>
    <x v="461"/>
    <x v="2"/>
    <x v="178"/>
    <x v="444"/>
    <x v="893"/>
  </r>
  <r>
    <x v="1"/>
    <x v="25"/>
    <x v="2"/>
    <x v="4"/>
    <x v="59"/>
    <x v="11"/>
    <x v="8"/>
    <x v="55"/>
    <x v="832"/>
    <x v="1"/>
    <x v="6"/>
    <x v="28"/>
    <x v="170"/>
    <x v="63"/>
    <x v="60"/>
    <x v="0"/>
    <x v="0"/>
    <x v="0"/>
    <x v="0"/>
    <x v="0"/>
    <x v="0"/>
    <x v="0"/>
    <x v="144"/>
    <x v="466"/>
    <x v="16"/>
    <x v="0"/>
    <x v="0"/>
    <x v="646"/>
    <x v="0"/>
    <x v="0"/>
    <x v="958"/>
    <x v="0"/>
    <x v="15"/>
    <x v="130"/>
    <x v="461"/>
    <x v="2"/>
    <x v="178"/>
    <x v="444"/>
    <x v="893"/>
  </r>
  <r>
    <x v="1"/>
    <x v="25"/>
    <x v="6"/>
    <x v="9"/>
    <x v="25"/>
    <x v="11"/>
    <x v="17"/>
    <x v="56"/>
    <x v="831"/>
    <x v="2"/>
    <x v="6"/>
    <x v="28"/>
    <x v="170"/>
    <x v="61"/>
    <x v="59"/>
    <x v="0"/>
    <x v="0"/>
    <x v="0"/>
    <x v="0"/>
    <x v="0"/>
    <x v="0"/>
    <x v="1"/>
    <x v="87"/>
    <x v="462"/>
    <x v="16"/>
    <x v="0"/>
    <x v="0"/>
    <x v="646"/>
    <x v="0"/>
    <x v="0"/>
    <x v="958"/>
    <x v="7"/>
    <x v="7"/>
    <x v="31"/>
    <x v="459"/>
    <x v="1"/>
    <x v="180"/>
    <x v="57"/>
    <x v="40"/>
  </r>
  <r>
    <x v="1"/>
    <x v="25"/>
    <x v="6"/>
    <x v="8"/>
    <x v="61"/>
    <x v="11"/>
    <x v="19"/>
    <x v="42"/>
    <x v="838"/>
    <x v="2"/>
    <x v="22"/>
    <x v="184"/>
    <x v="230"/>
    <x v="352"/>
    <x v="209"/>
    <x v="0"/>
    <x v="0"/>
    <x v="0"/>
    <x v="0"/>
    <x v="0"/>
    <x v="0"/>
    <x v="1"/>
    <x v="199"/>
    <x v="41"/>
    <x v="26"/>
    <x v="0"/>
    <x v="0"/>
    <x v="646"/>
    <x v="0"/>
    <x v="0"/>
    <x v="958"/>
    <x v="25"/>
    <x v="25"/>
    <x v="28"/>
    <x v="440"/>
    <x v="3"/>
    <x v="223"/>
    <x v="579"/>
    <x v="111"/>
  </r>
  <r>
    <x v="1"/>
    <x v="25"/>
    <x v="6"/>
    <x v="8"/>
    <x v="63"/>
    <x v="11"/>
    <x v="19"/>
    <x v="54"/>
    <x v="831"/>
    <x v="2"/>
    <x v="28"/>
    <x v="184"/>
    <x v="187"/>
    <x v="708"/>
    <x v="338"/>
    <x v="0"/>
    <x v="0"/>
    <x v="0"/>
    <x v="0"/>
    <x v="21"/>
    <x v="0"/>
    <x v="1"/>
    <x v="257"/>
    <x v="165"/>
    <x v="28"/>
    <x v="0"/>
    <x v="0"/>
    <x v="646"/>
    <x v="188"/>
    <x v="0"/>
    <x v="724"/>
    <x v="25"/>
    <x v="45"/>
    <x v="48"/>
    <x v="468"/>
    <x v="3"/>
    <x v="331"/>
    <x v="321"/>
    <x v="151"/>
  </r>
  <r>
    <x v="1"/>
    <x v="25"/>
    <x v="6"/>
    <x v="1"/>
    <x v="7"/>
    <x v="11"/>
    <x v="12"/>
    <x v="21"/>
    <x v="174"/>
    <x v="2"/>
    <x v="31"/>
    <x v="129"/>
    <x v="120"/>
    <x v="363"/>
    <x v="210"/>
    <x v="0"/>
    <x v="0"/>
    <x v="20"/>
    <x v="0"/>
    <x v="16"/>
    <x v="0"/>
    <x v="5"/>
    <x v="89"/>
    <x v="457"/>
    <x v="2"/>
    <x v="0"/>
    <x v="0"/>
    <x v="646"/>
    <x v="222"/>
    <x v="0"/>
    <x v="688"/>
    <x v="12"/>
    <x v="61"/>
    <x v="93"/>
    <x v="265"/>
    <x v="7"/>
    <x v="715"/>
    <x v="532"/>
    <x v="581"/>
  </r>
  <r>
    <x v="1"/>
    <x v="25"/>
    <x v="6"/>
    <x v="1"/>
    <x v="31"/>
    <x v="11"/>
    <x v="12"/>
    <x v="24"/>
    <x v="196"/>
    <x v="2"/>
    <x v="20"/>
    <x v="38"/>
    <x v="43"/>
    <x v="103"/>
    <x v="86"/>
    <x v="0"/>
    <x v="0"/>
    <x v="11"/>
    <x v="0"/>
    <x v="16"/>
    <x v="0"/>
    <x v="5"/>
    <x v="45"/>
    <x v="605"/>
    <x v="18"/>
    <x v="0"/>
    <x v="0"/>
    <x v="646"/>
    <x v="464"/>
    <x v="0"/>
    <x v="385"/>
    <x v="16"/>
    <x v="27"/>
    <x v="45"/>
    <x v="148"/>
    <x v="7"/>
    <x v="702"/>
    <x v="571"/>
    <x v="204"/>
  </r>
  <r>
    <x v="1"/>
    <x v="25"/>
    <x v="3"/>
    <x v="4"/>
    <x v="57"/>
    <x v="11"/>
    <x v="8"/>
    <x v="43"/>
    <x v="838"/>
    <x v="2"/>
    <x v="42"/>
    <x v="184"/>
    <x v="156"/>
    <x v="868"/>
    <x v="399"/>
    <x v="0"/>
    <x v="0"/>
    <x v="0"/>
    <x v="0"/>
    <x v="0"/>
    <x v="0"/>
    <x v="0"/>
    <x v="469"/>
    <x v="360"/>
    <x v="14"/>
    <x v="0"/>
    <x v="0"/>
    <x v="646"/>
    <x v="0"/>
    <x v="0"/>
    <x v="958"/>
    <x v="9"/>
    <x v="97"/>
    <x v="117"/>
    <x v="381"/>
    <x v="2"/>
    <x v="278"/>
    <x v="245"/>
    <x v="420"/>
  </r>
  <r>
    <x v="1"/>
    <x v="25"/>
    <x v="3"/>
    <x v="7"/>
    <x v="19"/>
    <x v="11"/>
    <x v="10"/>
    <x v="41"/>
    <x v="857"/>
    <x v="2"/>
    <x v="42"/>
    <x v="184"/>
    <x v="156"/>
    <x v="854"/>
    <x v="386"/>
    <x v="0"/>
    <x v="0"/>
    <x v="0"/>
    <x v="0"/>
    <x v="0"/>
    <x v="0"/>
    <x v="0"/>
    <x v="455"/>
    <x v="303"/>
    <x v="10"/>
    <x v="0"/>
    <x v="0"/>
    <x v="646"/>
    <x v="0"/>
    <x v="0"/>
    <x v="958"/>
    <x v="9"/>
    <x v="97"/>
    <x v="117"/>
    <x v="368"/>
    <x v="2"/>
    <x v="310"/>
    <x v="179"/>
    <x v="373"/>
  </r>
  <r>
    <x v="1"/>
    <x v="25"/>
    <x v="3"/>
    <x v="0"/>
    <x v="29"/>
    <x v="2"/>
    <x v="0"/>
    <x v="23"/>
    <x v="204"/>
    <x v="2"/>
    <x v="24"/>
    <x v="38"/>
    <x v="19"/>
    <x v="84"/>
    <x v="68"/>
    <x v="12"/>
    <x v="18"/>
    <x v="0"/>
    <x v="0"/>
    <x v="20"/>
    <x v="0"/>
    <x v="0"/>
    <x v="159"/>
    <x v="328"/>
    <x v="45"/>
    <x v="8"/>
    <x v="274"/>
    <x v="163"/>
    <x v="609"/>
    <x v="364"/>
    <x v="213"/>
    <x v="19"/>
    <x v="36"/>
    <x v="54"/>
    <x v="66"/>
    <x v="6"/>
    <x v="566"/>
    <x v="540"/>
    <x v="250"/>
  </r>
  <r>
    <x v="1"/>
    <x v="25"/>
    <x v="3"/>
    <x v="0"/>
    <x v="30"/>
    <x v="3"/>
    <x v="1"/>
    <x v="25"/>
    <x v="204"/>
    <x v="2"/>
    <x v="24"/>
    <x v="50"/>
    <x v="32"/>
    <x v="174"/>
    <x v="128"/>
    <x v="29"/>
    <x v="34"/>
    <x v="0"/>
    <x v="0"/>
    <x v="52"/>
    <x v="3"/>
    <x v="0"/>
    <x v="211"/>
    <x v="752"/>
    <x v="45"/>
    <x v="11"/>
    <x v="569"/>
    <x v="106"/>
    <x v="721"/>
    <x v="365"/>
    <x v="63"/>
    <x v="0"/>
    <x v="55"/>
    <x v="130"/>
    <x v="164"/>
    <x v="6"/>
    <x v="549"/>
    <x v="638"/>
    <x v="1101"/>
  </r>
  <r>
    <x v="1"/>
    <x v="25"/>
    <x v="3"/>
    <x v="5"/>
    <x v="11"/>
    <x v="7"/>
    <x v="6"/>
    <x v="39"/>
    <x v="868"/>
    <x v="2"/>
    <x v="42"/>
    <x v="162"/>
    <x v="123"/>
    <x v="683"/>
    <x v="327"/>
    <x v="0"/>
    <x v="30"/>
    <x v="0"/>
    <x v="0"/>
    <x v="60"/>
    <x v="0"/>
    <x v="0"/>
    <x v="403"/>
    <x v="552"/>
    <x v="44"/>
    <x v="1"/>
    <x v="307"/>
    <x v="381"/>
    <x v="452"/>
    <x v="147"/>
    <x v="413"/>
    <x v="7"/>
    <x v="99"/>
    <x v="122"/>
    <x v="300"/>
    <x v="4"/>
    <x v="403"/>
    <x v="444"/>
    <x v="678"/>
  </r>
  <r>
    <x v="1"/>
    <x v="25"/>
    <x v="3"/>
    <x v="6"/>
    <x v="15"/>
    <x v="11"/>
    <x v="11"/>
    <x v="40"/>
    <x v="866"/>
    <x v="2"/>
    <x v="42"/>
    <x v="184"/>
    <x v="156"/>
    <x v="885"/>
    <x v="421"/>
    <x v="0"/>
    <x v="0"/>
    <x v="0"/>
    <x v="0"/>
    <x v="0"/>
    <x v="0"/>
    <x v="0"/>
    <x v="499"/>
    <x v="466"/>
    <x v="6"/>
    <x v="0"/>
    <x v="0"/>
    <x v="646"/>
    <x v="0"/>
    <x v="0"/>
    <x v="958"/>
    <x v="36"/>
    <x v="62"/>
    <x v="44"/>
    <x v="415"/>
    <x v="0"/>
    <x v="58"/>
    <x v="357"/>
    <x v="141"/>
  </r>
  <r>
    <x v="1"/>
    <x v="25"/>
    <x v="3"/>
    <x v="3"/>
    <x v="72"/>
    <x v="11"/>
    <x v="5"/>
    <x v="10"/>
    <x v="211"/>
    <x v="2"/>
    <x v="42"/>
    <x v="153"/>
    <x v="86"/>
    <x v="668"/>
    <x v="327"/>
    <x v="2"/>
    <x v="19"/>
    <x v="0"/>
    <x v="0"/>
    <x v="20"/>
    <x v="0"/>
    <x v="0"/>
    <x v="403"/>
    <x v="703"/>
    <x v="38"/>
    <x v="3"/>
    <x v="486"/>
    <x v="479"/>
    <x v="184"/>
    <x v="58"/>
    <x v="730"/>
    <x v="0"/>
    <x v="102"/>
    <x v="130"/>
    <x v="300"/>
    <x v="5"/>
    <x v="432"/>
    <x v="550"/>
    <x v="1025"/>
  </r>
  <r>
    <x v="1"/>
    <x v="25"/>
    <x v="5"/>
    <x v="0"/>
    <x v="30"/>
    <x v="3"/>
    <x v="1"/>
    <x v="25"/>
    <x v="207"/>
    <x v="4"/>
    <x v="42"/>
    <x v="102"/>
    <x v="21"/>
    <x v="287"/>
    <x v="189"/>
    <x v="9"/>
    <x v="51"/>
    <x v="0"/>
    <x v="0"/>
    <x v="67"/>
    <x v="3"/>
    <x v="0"/>
    <x v="272"/>
    <x v="644"/>
    <x v="45"/>
    <x v="11"/>
    <x v="652"/>
    <x v="147"/>
    <x v="685"/>
    <x v="351"/>
    <x v="105"/>
    <x v="0"/>
    <x v="102"/>
    <x v="130"/>
    <x v="100"/>
    <x v="6"/>
    <x v="602"/>
    <x v="252"/>
    <x v="545"/>
  </r>
  <r>
    <x v="1"/>
    <x v="25"/>
    <x v="5"/>
    <x v="5"/>
    <x v="11"/>
    <x v="7"/>
    <x v="6"/>
    <x v="39"/>
    <x v="869"/>
    <x v="4"/>
    <x v="42"/>
    <x v="163"/>
    <x v="124"/>
    <x v="648"/>
    <x v="315"/>
    <x v="0"/>
    <x v="37"/>
    <x v="0"/>
    <x v="0"/>
    <x v="76"/>
    <x v="0"/>
    <x v="0"/>
    <x v="392"/>
    <x v="473"/>
    <x v="44"/>
    <x v="1"/>
    <x v="285"/>
    <x v="314"/>
    <x v="571"/>
    <x v="191"/>
    <x v="260"/>
    <x v="0"/>
    <x v="102"/>
    <x v="130"/>
    <x v="282"/>
    <x v="4"/>
    <x v="456"/>
    <x v="261"/>
    <x v="574"/>
  </r>
  <r>
    <x v="1"/>
    <x v="25"/>
    <x v="5"/>
    <x v="3"/>
    <x v="72"/>
    <x v="11"/>
    <x v="5"/>
    <x v="10"/>
    <x v="212"/>
    <x v="4"/>
    <x v="42"/>
    <x v="153"/>
    <x v="86"/>
    <x v="790"/>
    <x v="351"/>
    <x v="0"/>
    <x v="0"/>
    <x v="0"/>
    <x v="0"/>
    <x v="15"/>
    <x v="3"/>
    <x v="0"/>
    <x v="419"/>
    <x v="743"/>
    <x v="38"/>
    <x v="3"/>
    <x v="518"/>
    <x v="559"/>
    <x v="143"/>
    <x v="0"/>
    <x v="776"/>
    <x v="0"/>
    <x v="102"/>
    <x v="130"/>
    <x v="329"/>
    <x v="5"/>
    <x v="388"/>
    <x v="637"/>
    <x v="1114"/>
  </r>
  <r>
    <x v="1"/>
    <x v="25"/>
    <x v="5"/>
    <x v="6"/>
    <x v="15"/>
    <x v="11"/>
    <x v="11"/>
    <x v="40"/>
    <x v="870"/>
    <x v="4"/>
    <x v="42"/>
    <x v="185"/>
    <x v="158"/>
    <x v="475"/>
    <x v="266"/>
    <x v="0"/>
    <x v="0"/>
    <x v="0"/>
    <x v="0"/>
    <x v="0"/>
    <x v="0"/>
    <x v="0"/>
    <x v="347"/>
    <x v="69"/>
    <x v="6"/>
    <x v="0"/>
    <x v="0"/>
    <x v="646"/>
    <x v="0"/>
    <x v="0"/>
    <x v="958"/>
    <x v="53"/>
    <x v="35"/>
    <x v="12"/>
    <x v="194"/>
    <x v="0"/>
    <x v="39"/>
    <x v="525"/>
    <x v="31"/>
  </r>
  <r>
    <x v="1"/>
    <x v="26"/>
    <x v="2"/>
    <x v="0"/>
    <x v="30"/>
    <x v="3"/>
    <x v="1"/>
    <x v="25"/>
    <x v="213"/>
    <x v="1"/>
    <x v="20"/>
    <x v="55"/>
    <x v="60"/>
    <x v="122"/>
    <x v="97"/>
    <x v="18"/>
    <x v="30"/>
    <x v="0"/>
    <x v="0"/>
    <x v="20"/>
    <x v="3"/>
    <x v="0"/>
    <x v="186"/>
    <x v="466"/>
    <x v="45"/>
    <x v="11"/>
    <x v="533"/>
    <x v="137"/>
    <x v="520"/>
    <x v="390"/>
    <x v="328"/>
    <x v="0"/>
    <x v="42"/>
    <x v="130"/>
    <x v="176"/>
    <x v="6"/>
    <x v="543"/>
    <x v="652"/>
    <x v="1134"/>
  </r>
  <r>
    <x v="1"/>
    <x v="26"/>
    <x v="2"/>
    <x v="4"/>
    <x v="57"/>
    <x v="11"/>
    <x v="8"/>
    <x v="43"/>
    <x v="838"/>
    <x v="1"/>
    <x v="42"/>
    <x v="184"/>
    <x v="156"/>
    <x v="885"/>
    <x v="421"/>
    <x v="0"/>
    <x v="0"/>
    <x v="0"/>
    <x v="0"/>
    <x v="0"/>
    <x v="0"/>
    <x v="0"/>
    <x v="499"/>
    <x v="466"/>
    <x v="14"/>
    <x v="0"/>
    <x v="0"/>
    <x v="646"/>
    <x v="0"/>
    <x v="0"/>
    <x v="958"/>
    <x v="14"/>
    <x v="91"/>
    <x v="102"/>
    <x v="415"/>
    <x v="2"/>
    <x v="178"/>
    <x v="444"/>
    <x v="533"/>
  </r>
  <r>
    <x v="1"/>
    <x v="26"/>
    <x v="2"/>
    <x v="7"/>
    <x v="19"/>
    <x v="11"/>
    <x v="10"/>
    <x v="41"/>
    <x v="867"/>
    <x v="1"/>
    <x v="42"/>
    <x v="184"/>
    <x v="156"/>
    <x v="885"/>
    <x v="421"/>
    <x v="0"/>
    <x v="0"/>
    <x v="0"/>
    <x v="0"/>
    <x v="0"/>
    <x v="0"/>
    <x v="0"/>
    <x v="499"/>
    <x v="466"/>
    <x v="10"/>
    <x v="0"/>
    <x v="0"/>
    <x v="646"/>
    <x v="0"/>
    <x v="0"/>
    <x v="958"/>
    <x v="0"/>
    <x v="102"/>
    <x v="130"/>
    <x v="415"/>
    <x v="2"/>
    <x v="300"/>
    <x v="201"/>
    <x v="533"/>
  </r>
  <r>
    <x v="1"/>
    <x v="26"/>
    <x v="2"/>
    <x v="3"/>
    <x v="72"/>
    <x v="11"/>
    <x v="5"/>
    <x v="10"/>
    <x v="216"/>
    <x v="1"/>
    <x v="42"/>
    <x v="153"/>
    <x v="86"/>
    <x v="782"/>
    <x v="351"/>
    <x v="0"/>
    <x v="0"/>
    <x v="0"/>
    <x v="0"/>
    <x v="4"/>
    <x v="3"/>
    <x v="0"/>
    <x v="419"/>
    <x v="743"/>
    <x v="38"/>
    <x v="3"/>
    <x v="513"/>
    <x v="611"/>
    <x v="35"/>
    <x v="0"/>
    <x v="917"/>
    <x v="0"/>
    <x v="102"/>
    <x v="130"/>
    <x v="329"/>
    <x v="5"/>
    <x v="388"/>
    <x v="637"/>
    <x v="1120"/>
  </r>
  <r>
    <x v="1"/>
    <x v="26"/>
    <x v="2"/>
    <x v="1"/>
    <x v="31"/>
    <x v="11"/>
    <x v="12"/>
    <x v="24"/>
    <x v="198"/>
    <x v="2"/>
    <x v="42"/>
    <x v="168"/>
    <x v="131"/>
    <x v="129"/>
    <x v="105"/>
    <x v="0"/>
    <x v="0"/>
    <x v="17"/>
    <x v="0"/>
    <x v="11"/>
    <x v="0"/>
    <x v="5"/>
    <x v="55"/>
    <x v="14"/>
    <x v="18"/>
    <x v="0"/>
    <x v="0"/>
    <x v="646"/>
    <x v="287"/>
    <x v="0"/>
    <x v="615"/>
    <x v="54"/>
    <x v="33"/>
    <x v="11"/>
    <x v="30"/>
    <x v="7"/>
    <x v="728"/>
    <x v="488"/>
    <x v="25"/>
  </r>
  <r>
    <x v="1"/>
    <x v="26"/>
    <x v="6"/>
    <x v="8"/>
    <x v="61"/>
    <x v="11"/>
    <x v="19"/>
    <x v="42"/>
    <x v="840"/>
    <x v="2"/>
    <x v="43"/>
    <x v="221"/>
    <x v="200"/>
    <x v="976"/>
    <x v="521"/>
    <x v="0"/>
    <x v="0"/>
    <x v="0"/>
    <x v="0"/>
    <x v="0"/>
    <x v="0"/>
    <x v="1"/>
    <x v="473"/>
    <x v="385"/>
    <x v="26"/>
    <x v="0"/>
    <x v="0"/>
    <x v="646"/>
    <x v="0"/>
    <x v="0"/>
    <x v="958"/>
    <x v="12"/>
    <x v="100"/>
    <x v="110"/>
    <x v="531"/>
    <x v="3"/>
    <x v="301"/>
    <x v="440"/>
    <x v="597"/>
  </r>
  <r>
    <x v="1"/>
    <x v="26"/>
    <x v="3"/>
    <x v="0"/>
    <x v="2"/>
    <x v="3"/>
    <x v="1"/>
    <x v="20"/>
    <x v="215"/>
    <x v="2"/>
    <x v="42"/>
    <x v="107"/>
    <x v="29"/>
    <x v="267"/>
    <x v="189"/>
    <x v="0"/>
    <x v="0"/>
    <x v="0"/>
    <x v="0"/>
    <x v="0"/>
    <x v="0"/>
    <x v="0"/>
    <x v="272"/>
    <x v="618"/>
    <x v="38"/>
    <x v="10"/>
    <x v="639"/>
    <x v="645"/>
    <x v="0"/>
    <x v="0"/>
    <x v="958"/>
    <x v="14"/>
    <x v="91"/>
    <x v="102"/>
    <x v="100"/>
    <x v="6"/>
    <x v="574"/>
    <x v="500"/>
    <x v="600"/>
  </r>
  <r>
    <x v="1"/>
    <x v="26"/>
    <x v="3"/>
    <x v="7"/>
    <x v="19"/>
    <x v="11"/>
    <x v="10"/>
    <x v="41"/>
    <x v="858"/>
    <x v="2"/>
    <x v="42"/>
    <x v="184"/>
    <x v="156"/>
    <x v="885"/>
    <x v="421"/>
    <x v="0"/>
    <x v="0"/>
    <x v="0"/>
    <x v="0"/>
    <x v="0"/>
    <x v="0"/>
    <x v="0"/>
    <x v="499"/>
    <x v="466"/>
    <x v="10"/>
    <x v="0"/>
    <x v="0"/>
    <x v="646"/>
    <x v="0"/>
    <x v="0"/>
    <x v="958"/>
    <x v="0"/>
    <x v="102"/>
    <x v="130"/>
    <x v="415"/>
    <x v="2"/>
    <x v="300"/>
    <x v="201"/>
    <x v="533"/>
  </r>
  <r>
    <x v="1"/>
    <x v="26"/>
    <x v="3"/>
    <x v="4"/>
    <x v="57"/>
    <x v="11"/>
    <x v="8"/>
    <x v="43"/>
    <x v="850"/>
    <x v="2"/>
    <x v="42"/>
    <x v="184"/>
    <x v="156"/>
    <x v="882"/>
    <x v="414"/>
    <x v="0"/>
    <x v="0"/>
    <x v="0"/>
    <x v="0"/>
    <x v="0"/>
    <x v="0"/>
    <x v="0"/>
    <x v="487"/>
    <x v="435"/>
    <x v="14"/>
    <x v="0"/>
    <x v="0"/>
    <x v="646"/>
    <x v="0"/>
    <x v="0"/>
    <x v="958"/>
    <x v="9"/>
    <x v="97"/>
    <x v="117"/>
    <x v="401"/>
    <x v="2"/>
    <x v="240"/>
    <x v="332"/>
    <x v="509"/>
  </r>
  <r>
    <x v="1"/>
    <x v="26"/>
    <x v="3"/>
    <x v="5"/>
    <x v="11"/>
    <x v="7"/>
    <x v="6"/>
    <x v="39"/>
    <x v="874"/>
    <x v="2"/>
    <x v="42"/>
    <x v="163"/>
    <x v="124"/>
    <x v="634"/>
    <x v="292"/>
    <x v="64"/>
    <x v="105"/>
    <x v="0"/>
    <x v="0"/>
    <x v="78"/>
    <x v="3"/>
    <x v="0"/>
    <x v="373"/>
    <x v="347"/>
    <x v="44"/>
    <x v="1"/>
    <x v="353"/>
    <x v="27"/>
    <x v="600"/>
    <x v="453"/>
    <x v="239"/>
    <x v="14"/>
    <x v="91"/>
    <x v="102"/>
    <x v="247"/>
    <x v="4"/>
    <x v="419"/>
    <x v="374"/>
    <x v="432"/>
  </r>
  <r>
    <x v="1"/>
    <x v="26"/>
    <x v="3"/>
    <x v="6"/>
    <x v="15"/>
    <x v="11"/>
    <x v="11"/>
    <x v="40"/>
    <x v="859"/>
    <x v="2"/>
    <x v="14"/>
    <x v="83"/>
    <x v="170"/>
    <x v="166"/>
    <x v="130"/>
    <x v="0"/>
    <x v="0"/>
    <x v="0"/>
    <x v="0"/>
    <x v="0"/>
    <x v="0"/>
    <x v="0"/>
    <x v="212"/>
    <x v="328"/>
    <x v="6"/>
    <x v="0"/>
    <x v="0"/>
    <x v="646"/>
    <x v="0"/>
    <x v="0"/>
    <x v="958"/>
    <x v="12"/>
    <x v="17"/>
    <x v="40"/>
    <x v="443"/>
    <x v="0"/>
    <x v="41"/>
    <x v="504"/>
    <x v="166"/>
  </r>
  <r>
    <x v="1"/>
    <x v="26"/>
    <x v="3"/>
    <x v="3"/>
    <x v="72"/>
    <x v="11"/>
    <x v="5"/>
    <x v="10"/>
    <x v="217"/>
    <x v="2"/>
    <x v="42"/>
    <x v="153"/>
    <x v="86"/>
    <x v="729"/>
    <x v="346"/>
    <x v="0"/>
    <x v="0"/>
    <x v="0"/>
    <x v="0"/>
    <x v="15"/>
    <x v="0"/>
    <x v="0"/>
    <x v="414"/>
    <x v="728"/>
    <x v="38"/>
    <x v="3"/>
    <x v="502"/>
    <x v="592"/>
    <x v="147"/>
    <x v="0"/>
    <x v="771"/>
    <x v="0"/>
    <x v="102"/>
    <x v="130"/>
    <x v="320"/>
    <x v="5"/>
    <x v="407"/>
    <x v="605"/>
    <x v="1086"/>
  </r>
  <r>
    <x v="1"/>
    <x v="26"/>
    <x v="3"/>
    <x v="1"/>
    <x v="32"/>
    <x v="11"/>
    <x v="12"/>
    <x v="26"/>
    <x v="206"/>
    <x v="2"/>
    <x v="42"/>
    <x v="168"/>
    <x v="131"/>
    <x v="446"/>
    <x v="242"/>
    <x v="0"/>
    <x v="0"/>
    <x v="32"/>
    <x v="0"/>
    <x v="55"/>
    <x v="0"/>
    <x v="4"/>
    <x v="105"/>
    <x v="152"/>
    <x v="19"/>
    <x v="0"/>
    <x v="0"/>
    <x v="646"/>
    <x v="553"/>
    <x v="0"/>
    <x v="275"/>
    <x v="23"/>
    <x v="80"/>
    <x v="77"/>
    <x v="162"/>
    <x v="7"/>
    <x v="711"/>
    <x v="539"/>
    <x v="431"/>
  </r>
  <r>
    <x v="1"/>
    <x v="26"/>
    <x v="5"/>
    <x v="5"/>
    <x v="11"/>
    <x v="7"/>
    <x v="6"/>
    <x v="39"/>
    <x v="876"/>
    <x v="4"/>
    <x v="42"/>
    <x v="163"/>
    <x v="124"/>
    <x v="733"/>
    <x v="341"/>
    <x v="0"/>
    <x v="29"/>
    <x v="0"/>
    <x v="0"/>
    <x v="76"/>
    <x v="3"/>
    <x v="0"/>
    <x v="412"/>
    <x v="604"/>
    <x v="44"/>
    <x v="1"/>
    <x v="348"/>
    <x v="342"/>
    <x v="543"/>
    <x v="119"/>
    <x v="290"/>
    <x v="0"/>
    <x v="102"/>
    <x v="130"/>
    <x v="314"/>
    <x v="4"/>
    <x v="413"/>
    <x v="397"/>
    <x v="756"/>
  </r>
  <r>
    <x v="1"/>
    <x v="26"/>
    <x v="5"/>
    <x v="3"/>
    <x v="72"/>
    <x v="11"/>
    <x v="5"/>
    <x v="10"/>
    <x v="218"/>
    <x v="4"/>
    <x v="42"/>
    <x v="153"/>
    <x v="86"/>
    <x v="782"/>
    <x v="351"/>
    <x v="0"/>
    <x v="0"/>
    <x v="0"/>
    <x v="0"/>
    <x v="4"/>
    <x v="3"/>
    <x v="0"/>
    <x v="419"/>
    <x v="743"/>
    <x v="38"/>
    <x v="3"/>
    <x v="513"/>
    <x v="611"/>
    <x v="35"/>
    <x v="0"/>
    <x v="917"/>
    <x v="0"/>
    <x v="102"/>
    <x v="130"/>
    <x v="329"/>
    <x v="5"/>
    <x v="388"/>
    <x v="637"/>
    <x v="1120"/>
  </r>
  <r>
    <x v="1"/>
    <x v="27"/>
    <x v="2"/>
    <x v="3"/>
    <x v="72"/>
    <x v="11"/>
    <x v="5"/>
    <x v="10"/>
    <x v="219"/>
    <x v="1"/>
    <x v="42"/>
    <x v="107"/>
    <x v="29"/>
    <x v="784"/>
    <x v="351"/>
    <x v="0"/>
    <x v="2"/>
    <x v="0"/>
    <x v="0"/>
    <x v="2"/>
    <x v="3"/>
    <x v="0"/>
    <x v="419"/>
    <x v="775"/>
    <x v="38"/>
    <x v="3"/>
    <x v="515"/>
    <x v="601"/>
    <x v="15"/>
    <x v="4"/>
    <x v="943"/>
    <x v="9"/>
    <x v="97"/>
    <x v="117"/>
    <x v="329"/>
    <x v="5"/>
    <x v="359"/>
    <x v="671"/>
    <x v="1122"/>
  </r>
  <r>
    <x v="1"/>
    <x v="27"/>
    <x v="2"/>
    <x v="5"/>
    <x v="11"/>
    <x v="7"/>
    <x v="6"/>
    <x v="39"/>
    <x v="880"/>
    <x v="1"/>
    <x v="42"/>
    <x v="163"/>
    <x v="124"/>
    <x v="745"/>
    <x v="341"/>
    <x v="24"/>
    <x v="71"/>
    <x v="0"/>
    <x v="0"/>
    <x v="72"/>
    <x v="3"/>
    <x v="0"/>
    <x v="412"/>
    <x v="604"/>
    <x v="44"/>
    <x v="1"/>
    <x v="383"/>
    <x v="188"/>
    <x v="518"/>
    <x v="305"/>
    <x v="325"/>
    <x v="0"/>
    <x v="102"/>
    <x v="130"/>
    <x v="314"/>
    <x v="4"/>
    <x v="413"/>
    <x v="397"/>
    <x v="761"/>
  </r>
  <r>
    <x v="1"/>
    <x v="27"/>
    <x v="2"/>
    <x v="7"/>
    <x v="19"/>
    <x v="11"/>
    <x v="19"/>
    <x v="41"/>
    <x v="871"/>
    <x v="1"/>
    <x v="14"/>
    <x v="76"/>
    <x v="167"/>
    <x v="166"/>
    <x v="130"/>
    <x v="0"/>
    <x v="0"/>
    <x v="0"/>
    <x v="0"/>
    <x v="0"/>
    <x v="0"/>
    <x v="0"/>
    <x v="212"/>
    <x v="466"/>
    <x v="10"/>
    <x v="0"/>
    <x v="0"/>
    <x v="646"/>
    <x v="0"/>
    <x v="0"/>
    <x v="958"/>
    <x v="9"/>
    <x v="20"/>
    <x v="54"/>
    <x v="443"/>
    <x v="2"/>
    <x v="69"/>
    <x v="688"/>
    <x v="649"/>
  </r>
  <r>
    <x v="1"/>
    <x v="27"/>
    <x v="2"/>
    <x v="4"/>
    <x v="57"/>
    <x v="11"/>
    <x v="19"/>
    <x v="43"/>
    <x v="852"/>
    <x v="1"/>
    <x v="42"/>
    <x v="185"/>
    <x v="158"/>
    <x v="820"/>
    <x v="359"/>
    <x v="0"/>
    <x v="0"/>
    <x v="0"/>
    <x v="0"/>
    <x v="0"/>
    <x v="0"/>
    <x v="0"/>
    <x v="426"/>
    <x v="216"/>
    <x v="14"/>
    <x v="0"/>
    <x v="0"/>
    <x v="646"/>
    <x v="0"/>
    <x v="0"/>
    <x v="958"/>
    <x v="26"/>
    <x v="76"/>
    <x v="68"/>
    <x v="338"/>
    <x v="2"/>
    <x v="231"/>
    <x v="349"/>
    <x v="263"/>
  </r>
  <r>
    <x v="1"/>
    <x v="27"/>
    <x v="2"/>
    <x v="7"/>
    <x v="19"/>
    <x v="11"/>
    <x v="19"/>
    <x v="41"/>
    <x v="875"/>
    <x v="1"/>
    <x v="34"/>
    <x v="166"/>
    <x v="150"/>
    <x v="424"/>
    <x v="233"/>
    <x v="0"/>
    <x v="0"/>
    <x v="0"/>
    <x v="0"/>
    <x v="0"/>
    <x v="0"/>
    <x v="0"/>
    <x v="319"/>
    <x v="143"/>
    <x v="10"/>
    <x v="0"/>
    <x v="0"/>
    <x v="646"/>
    <x v="0"/>
    <x v="0"/>
    <x v="958"/>
    <x v="31"/>
    <x v="48"/>
    <x v="40"/>
    <x v="264"/>
    <x v="2"/>
    <x v="178"/>
    <x v="444"/>
    <x v="143"/>
  </r>
  <r>
    <x v="1"/>
    <x v="27"/>
    <x v="2"/>
    <x v="1"/>
    <x v="43"/>
    <x v="11"/>
    <x v="12"/>
    <x v="18"/>
    <x v="208"/>
    <x v="2"/>
    <x v="24"/>
    <x v="83"/>
    <x v="66"/>
    <x v="48"/>
    <x v="45"/>
    <x v="0"/>
    <x v="0"/>
    <x v="6"/>
    <x v="1"/>
    <x v="28"/>
    <x v="0"/>
    <x v="4"/>
    <x v="33"/>
    <x v="32"/>
    <x v="19"/>
    <x v="0"/>
    <x v="0"/>
    <x v="646"/>
    <x v="743"/>
    <x v="0"/>
    <x v="35"/>
    <x v="32"/>
    <x v="20"/>
    <x v="13"/>
    <x v="40"/>
    <x v="7"/>
    <x v="688"/>
    <x v="629"/>
    <x v="45"/>
  </r>
  <r>
    <x v="1"/>
    <x v="27"/>
    <x v="2"/>
    <x v="1"/>
    <x v="32"/>
    <x v="11"/>
    <x v="12"/>
    <x v="26"/>
    <x v="208"/>
    <x v="2"/>
    <x v="24"/>
    <x v="83"/>
    <x v="66"/>
    <x v="16"/>
    <x v="16"/>
    <x v="0"/>
    <x v="0"/>
    <x v="9"/>
    <x v="0"/>
    <x v="6"/>
    <x v="0"/>
    <x v="4"/>
    <x v="15"/>
    <x v="4"/>
    <x v="19"/>
    <x v="0"/>
    <x v="0"/>
    <x v="646"/>
    <x v="533"/>
    <x v="0"/>
    <x v="296"/>
    <x v="36"/>
    <x v="13"/>
    <x v="5"/>
    <x v="9"/>
    <x v="7"/>
    <x v="748"/>
    <x v="317"/>
    <x v="12"/>
  </r>
  <r>
    <x v="1"/>
    <x v="27"/>
    <x v="6"/>
    <x v="9"/>
    <x v="23"/>
    <x v="11"/>
    <x v="17"/>
    <x v="44"/>
    <x v="851"/>
    <x v="2"/>
    <x v="42"/>
    <x v="228"/>
    <x v="232"/>
    <x v="945"/>
    <x v="486"/>
    <x v="0"/>
    <x v="0"/>
    <x v="0"/>
    <x v="0"/>
    <x v="2"/>
    <x v="0"/>
    <x v="1"/>
    <x v="418"/>
    <x v="127"/>
    <x v="14"/>
    <x v="0"/>
    <x v="0"/>
    <x v="646"/>
    <x v="7"/>
    <x v="0"/>
    <x v="951"/>
    <x v="33"/>
    <x v="66"/>
    <x v="52"/>
    <x v="504"/>
    <x v="1"/>
    <x v="145"/>
    <x v="78"/>
    <x v="89"/>
  </r>
  <r>
    <x v="1"/>
    <x v="27"/>
    <x v="6"/>
    <x v="8"/>
    <x v="61"/>
    <x v="11"/>
    <x v="19"/>
    <x v="42"/>
    <x v="850"/>
    <x v="2"/>
    <x v="42"/>
    <x v="221"/>
    <x v="207"/>
    <x v="967"/>
    <x v="508"/>
    <x v="0"/>
    <x v="0"/>
    <x v="0"/>
    <x v="0"/>
    <x v="57"/>
    <x v="0"/>
    <x v="1"/>
    <x v="451"/>
    <x v="296"/>
    <x v="26"/>
    <x v="0"/>
    <x v="0"/>
    <x v="646"/>
    <x v="206"/>
    <x v="0"/>
    <x v="705"/>
    <x v="12"/>
    <x v="94"/>
    <x v="108"/>
    <x v="530"/>
    <x v="3"/>
    <x v="299"/>
    <x v="445"/>
    <x v="569"/>
  </r>
  <r>
    <x v="1"/>
    <x v="27"/>
    <x v="3"/>
    <x v="4"/>
    <x v="57"/>
    <x v="11"/>
    <x v="8"/>
    <x v="43"/>
    <x v="862"/>
    <x v="2"/>
    <x v="42"/>
    <x v="184"/>
    <x v="156"/>
    <x v="838"/>
    <x v="371"/>
    <x v="0"/>
    <x v="0"/>
    <x v="0"/>
    <x v="0"/>
    <x v="0"/>
    <x v="0"/>
    <x v="0"/>
    <x v="439"/>
    <x v="255"/>
    <x v="14"/>
    <x v="0"/>
    <x v="0"/>
    <x v="646"/>
    <x v="0"/>
    <x v="0"/>
    <x v="958"/>
    <x v="9"/>
    <x v="97"/>
    <x v="117"/>
    <x v="354"/>
    <x v="2"/>
    <x v="330"/>
    <x v="125"/>
    <x v="331"/>
  </r>
  <r>
    <x v="1"/>
    <x v="27"/>
    <x v="3"/>
    <x v="7"/>
    <x v="19"/>
    <x v="11"/>
    <x v="10"/>
    <x v="41"/>
    <x v="877"/>
    <x v="2"/>
    <x v="42"/>
    <x v="184"/>
    <x v="156"/>
    <x v="893"/>
    <x v="429"/>
    <x v="0"/>
    <x v="0"/>
    <x v="0"/>
    <x v="0"/>
    <x v="0"/>
    <x v="0"/>
    <x v="0"/>
    <x v="512"/>
    <x v="531"/>
    <x v="10"/>
    <x v="0"/>
    <x v="0"/>
    <x v="646"/>
    <x v="0"/>
    <x v="0"/>
    <x v="958"/>
    <x v="9"/>
    <x v="97"/>
    <x v="117"/>
    <x v="431"/>
    <x v="2"/>
    <x v="199"/>
    <x v="408"/>
    <x v="596"/>
  </r>
  <r>
    <x v="1"/>
    <x v="27"/>
    <x v="3"/>
    <x v="3"/>
    <x v="72"/>
    <x v="11"/>
    <x v="5"/>
    <x v="10"/>
    <x v="220"/>
    <x v="2"/>
    <x v="42"/>
    <x v="153"/>
    <x v="86"/>
    <x v="717"/>
    <x v="341"/>
    <x v="0"/>
    <x v="0"/>
    <x v="0"/>
    <x v="0"/>
    <x v="18"/>
    <x v="0"/>
    <x v="0"/>
    <x v="412"/>
    <x v="721"/>
    <x v="38"/>
    <x v="3"/>
    <x v="496"/>
    <x v="574"/>
    <x v="170"/>
    <x v="0"/>
    <x v="747"/>
    <x v="0"/>
    <x v="102"/>
    <x v="130"/>
    <x v="314"/>
    <x v="5"/>
    <x v="413"/>
    <x v="593"/>
    <x v="1063"/>
  </r>
  <r>
    <x v="1"/>
    <x v="27"/>
    <x v="3"/>
    <x v="1"/>
    <x v="7"/>
    <x v="11"/>
    <x v="12"/>
    <x v="21"/>
    <x v="17"/>
    <x v="2"/>
    <x v="42"/>
    <x v="168"/>
    <x v="131"/>
    <x v="196"/>
    <x v="148"/>
    <x v="0"/>
    <x v="0"/>
    <x v="28"/>
    <x v="0"/>
    <x v="14"/>
    <x v="0"/>
    <x v="5"/>
    <x v="70"/>
    <x v="34"/>
    <x v="2"/>
    <x v="0"/>
    <x v="0"/>
    <x v="646"/>
    <x v="267"/>
    <x v="0"/>
    <x v="637"/>
    <x v="48"/>
    <x v="47"/>
    <x v="20"/>
    <x v="63"/>
    <x v="7"/>
    <x v="735"/>
    <x v="443"/>
    <x v="58"/>
  </r>
  <r>
    <x v="1"/>
    <x v="27"/>
    <x v="3"/>
    <x v="5"/>
    <x v="11"/>
    <x v="7"/>
    <x v="6"/>
    <x v="39"/>
    <x v="882"/>
    <x v="2"/>
    <x v="42"/>
    <x v="163"/>
    <x v="124"/>
    <x v="740"/>
    <x v="346"/>
    <x v="0"/>
    <x v="0"/>
    <x v="0"/>
    <x v="0"/>
    <x v="60"/>
    <x v="0"/>
    <x v="0"/>
    <x v="414"/>
    <x v="623"/>
    <x v="44"/>
    <x v="1"/>
    <x v="357"/>
    <x v="485"/>
    <x v="420"/>
    <x v="0"/>
    <x v="442"/>
    <x v="0"/>
    <x v="102"/>
    <x v="130"/>
    <x v="320"/>
    <x v="4"/>
    <x v="407"/>
    <x v="429"/>
    <x v="827"/>
  </r>
  <r>
    <x v="1"/>
    <x v="27"/>
    <x v="5"/>
    <x v="5"/>
    <x v="11"/>
    <x v="7"/>
    <x v="6"/>
    <x v="39"/>
    <x v="885"/>
    <x v="4"/>
    <x v="42"/>
    <x v="163"/>
    <x v="124"/>
    <x v="817"/>
    <x v="356"/>
    <x v="0"/>
    <x v="16"/>
    <x v="0"/>
    <x v="0"/>
    <x v="54"/>
    <x v="3"/>
    <x v="0"/>
    <x v="423"/>
    <x v="678"/>
    <x v="44"/>
    <x v="1"/>
    <x v="425"/>
    <x v="442"/>
    <x v="366"/>
    <x v="39"/>
    <x v="520"/>
    <x v="0"/>
    <x v="102"/>
    <x v="130"/>
    <x v="335"/>
    <x v="4"/>
    <x v="381"/>
    <x v="521"/>
    <x v="986"/>
  </r>
  <r>
    <x v="1"/>
    <x v="27"/>
    <x v="5"/>
    <x v="3"/>
    <x v="72"/>
    <x v="11"/>
    <x v="5"/>
    <x v="10"/>
    <x v="221"/>
    <x v="4"/>
    <x v="42"/>
    <x v="153"/>
    <x v="86"/>
    <x v="782"/>
    <x v="351"/>
    <x v="0"/>
    <x v="0"/>
    <x v="0"/>
    <x v="0"/>
    <x v="4"/>
    <x v="3"/>
    <x v="0"/>
    <x v="419"/>
    <x v="743"/>
    <x v="38"/>
    <x v="3"/>
    <x v="513"/>
    <x v="611"/>
    <x v="35"/>
    <x v="0"/>
    <x v="917"/>
    <x v="0"/>
    <x v="102"/>
    <x v="130"/>
    <x v="329"/>
    <x v="5"/>
    <x v="388"/>
    <x v="637"/>
    <x v="1120"/>
  </r>
  <r>
    <x v="1"/>
    <x v="28"/>
    <x v="2"/>
    <x v="5"/>
    <x v="11"/>
    <x v="7"/>
    <x v="6"/>
    <x v="39"/>
    <x v="890"/>
    <x v="2"/>
    <x v="42"/>
    <x v="163"/>
    <x v="124"/>
    <x v="823"/>
    <x v="359"/>
    <x v="0"/>
    <x v="9"/>
    <x v="0"/>
    <x v="0"/>
    <x v="24"/>
    <x v="3"/>
    <x v="0"/>
    <x v="426"/>
    <x v="693"/>
    <x v="44"/>
    <x v="1"/>
    <x v="439"/>
    <x v="516"/>
    <x v="197"/>
    <x v="22"/>
    <x v="716"/>
    <x v="0"/>
    <x v="102"/>
    <x v="130"/>
    <x v="338"/>
    <x v="4"/>
    <x v="376"/>
    <x v="546"/>
    <x v="1018"/>
  </r>
  <r>
    <x v="1"/>
    <x v="28"/>
    <x v="2"/>
    <x v="7"/>
    <x v="19"/>
    <x v="11"/>
    <x v="10"/>
    <x v="41"/>
    <x v="881"/>
    <x v="2"/>
    <x v="42"/>
    <x v="184"/>
    <x v="156"/>
    <x v="865"/>
    <x v="397"/>
    <x v="0"/>
    <x v="0"/>
    <x v="0"/>
    <x v="0"/>
    <x v="0"/>
    <x v="0"/>
    <x v="0"/>
    <x v="466"/>
    <x v="339"/>
    <x v="10"/>
    <x v="0"/>
    <x v="0"/>
    <x v="646"/>
    <x v="0"/>
    <x v="0"/>
    <x v="958"/>
    <x v="16"/>
    <x v="89"/>
    <x v="95"/>
    <x v="379"/>
    <x v="2"/>
    <x v="228"/>
    <x v="355"/>
    <x v="407"/>
  </r>
  <r>
    <x v="1"/>
    <x v="28"/>
    <x v="2"/>
    <x v="4"/>
    <x v="57"/>
    <x v="11"/>
    <x v="8"/>
    <x v="43"/>
    <x v="863"/>
    <x v="2"/>
    <x v="42"/>
    <x v="184"/>
    <x v="156"/>
    <x v="885"/>
    <x v="421"/>
    <x v="0"/>
    <x v="0"/>
    <x v="0"/>
    <x v="0"/>
    <x v="0"/>
    <x v="0"/>
    <x v="0"/>
    <x v="499"/>
    <x v="466"/>
    <x v="14"/>
    <x v="0"/>
    <x v="0"/>
    <x v="646"/>
    <x v="0"/>
    <x v="0"/>
    <x v="958"/>
    <x v="9"/>
    <x v="97"/>
    <x v="117"/>
    <x v="415"/>
    <x v="2"/>
    <x v="224"/>
    <x v="365"/>
    <x v="533"/>
  </r>
  <r>
    <x v="1"/>
    <x v="28"/>
    <x v="2"/>
    <x v="1"/>
    <x v="7"/>
    <x v="11"/>
    <x v="12"/>
    <x v="21"/>
    <x v="104"/>
    <x v="2"/>
    <x v="42"/>
    <x v="168"/>
    <x v="131"/>
    <x v="456"/>
    <x v="251"/>
    <x v="0"/>
    <x v="0"/>
    <x v="27"/>
    <x v="0"/>
    <x v="22"/>
    <x v="0"/>
    <x v="4"/>
    <x v="107"/>
    <x v="166"/>
    <x v="2"/>
    <x v="0"/>
    <x v="0"/>
    <x v="646"/>
    <x v="249"/>
    <x v="0"/>
    <x v="661"/>
    <x v="0"/>
    <x v="102"/>
    <x v="130"/>
    <x v="172"/>
    <x v="7"/>
    <x v="762"/>
    <x v="200"/>
    <x v="527"/>
  </r>
  <r>
    <x v="1"/>
    <x v="28"/>
    <x v="2"/>
    <x v="3"/>
    <x v="72"/>
    <x v="11"/>
    <x v="5"/>
    <x v="10"/>
    <x v="222"/>
    <x v="2"/>
    <x v="42"/>
    <x v="153"/>
    <x v="86"/>
    <x v="724"/>
    <x v="346"/>
    <x v="0"/>
    <x v="0"/>
    <x v="0"/>
    <x v="0"/>
    <x v="3"/>
    <x v="0"/>
    <x v="0"/>
    <x v="414"/>
    <x v="728"/>
    <x v="38"/>
    <x v="3"/>
    <x v="498"/>
    <x v="641"/>
    <x v="30"/>
    <x v="0"/>
    <x v="922"/>
    <x v="0"/>
    <x v="102"/>
    <x v="130"/>
    <x v="320"/>
    <x v="5"/>
    <x v="407"/>
    <x v="605"/>
    <x v="1092"/>
  </r>
  <r>
    <x v="1"/>
    <x v="28"/>
    <x v="6"/>
    <x v="8"/>
    <x v="61"/>
    <x v="11"/>
    <x v="19"/>
    <x v="42"/>
    <x v="862"/>
    <x v="1"/>
    <x v="42"/>
    <x v="221"/>
    <x v="207"/>
    <x v="957"/>
    <x v="497"/>
    <x v="0"/>
    <x v="0"/>
    <x v="0"/>
    <x v="0"/>
    <x v="118"/>
    <x v="0"/>
    <x v="1"/>
    <x v="434"/>
    <x v="235"/>
    <x v="26"/>
    <x v="0"/>
    <x v="0"/>
    <x v="646"/>
    <x v="542"/>
    <x v="0"/>
    <x v="288"/>
    <x v="12"/>
    <x v="94"/>
    <x v="108"/>
    <x v="516"/>
    <x v="3"/>
    <x v="332"/>
    <x v="310"/>
    <x v="417"/>
  </r>
  <r>
    <x v="1"/>
    <x v="28"/>
    <x v="3"/>
    <x v="5"/>
    <x v="11"/>
    <x v="7"/>
    <x v="6"/>
    <x v="39"/>
    <x v="893"/>
    <x v="1"/>
    <x v="42"/>
    <x v="163"/>
    <x v="124"/>
    <x v="822"/>
    <x v="359"/>
    <x v="0"/>
    <x v="0"/>
    <x v="0"/>
    <x v="0"/>
    <x v="40"/>
    <x v="0"/>
    <x v="0"/>
    <x v="426"/>
    <x v="693"/>
    <x v="44"/>
    <x v="1"/>
    <x v="436"/>
    <x v="531"/>
    <x v="281"/>
    <x v="0"/>
    <x v="622"/>
    <x v="0"/>
    <x v="102"/>
    <x v="130"/>
    <x v="338"/>
    <x v="4"/>
    <x v="376"/>
    <x v="546"/>
    <x v="1010"/>
  </r>
  <r>
    <x v="1"/>
    <x v="28"/>
    <x v="3"/>
    <x v="3"/>
    <x v="72"/>
    <x v="11"/>
    <x v="5"/>
    <x v="10"/>
    <x v="223"/>
    <x v="1"/>
    <x v="42"/>
    <x v="153"/>
    <x v="86"/>
    <x v="759"/>
    <x v="349"/>
    <x v="0"/>
    <x v="0"/>
    <x v="0"/>
    <x v="0"/>
    <x v="13"/>
    <x v="0"/>
    <x v="0"/>
    <x v="417"/>
    <x v="735"/>
    <x v="38"/>
    <x v="3"/>
    <x v="509"/>
    <x v="604"/>
    <x v="133"/>
    <x v="0"/>
    <x v="790"/>
    <x v="0"/>
    <x v="102"/>
    <x v="130"/>
    <x v="325"/>
    <x v="5"/>
    <x v="396"/>
    <x v="626"/>
    <x v="1104"/>
  </r>
  <r>
    <x v="1"/>
    <x v="28"/>
    <x v="3"/>
    <x v="1"/>
    <x v="7"/>
    <x v="11"/>
    <x v="12"/>
    <x v="21"/>
    <x v="107"/>
    <x v="1"/>
    <x v="42"/>
    <x v="168"/>
    <x v="131"/>
    <x v="403"/>
    <x v="219"/>
    <x v="0"/>
    <x v="0"/>
    <x v="39"/>
    <x v="0"/>
    <x v="23"/>
    <x v="0"/>
    <x v="5"/>
    <x v="91"/>
    <x v="114"/>
    <x v="2"/>
    <x v="0"/>
    <x v="0"/>
    <x v="646"/>
    <x v="276"/>
    <x v="0"/>
    <x v="627"/>
    <x v="34"/>
    <x v="65"/>
    <x v="49"/>
    <x v="135"/>
    <x v="7"/>
    <x v="730"/>
    <x v="477"/>
    <x v="188"/>
  </r>
  <r>
    <x v="1"/>
    <x v="28"/>
    <x v="3"/>
    <x v="4"/>
    <x v="57"/>
    <x v="11"/>
    <x v="8"/>
    <x v="43"/>
    <x v="873"/>
    <x v="1"/>
    <x v="42"/>
    <x v="184"/>
    <x v="156"/>
    <x v="855"/>
    <x v="388"/>
    <x v="0"/>
    <x v="0"/>
    <x v="0"/>
    <x v="0"/>
    <x v="0"/>
    <x v="0"/>
    <x v="0"/>
    <x v="456"/>
    <x v="307"/>
    <x v="14"/>
    <x v="0"/>
    <x v="0"/>
    <x v="646"/>
    <x v="0"/>
    <x v="0"/>
    <x v="958"/>
    <x v="9"/>
    <x v="97"/>
    <x v="117"/>
    <x v="371"/>
    <x v="2"/>
    <x v="307"/>
    <x v="189"/>
    <x v="379"/>
  </r>
  <r>
    <x v="1"/>
    <x v="28"/>
    <x v="3"/>
    <x v="7"/>
    <x v="19"/>
    <x v="11"/>
    <x v="10"/>
    <x v="41"/>
    <x v="884"/>
    <x v="1"/>
    <x v="42"/>
    <x v="184"/>
    <x v="156"/>
    <x v="885"/>
    <x v="421"/>
    <x v="0"/>
    <x v="0"/>
    <x v="0"/>
    <x v="0"/>
    <x v="0"/>
    <x v="0"/>
    <x v="0"/>
    <x v="499"/>
    <x v="466"/>
    <x v="10"/>
    <x v="0"/>
    <x v="0"/>
    <x v="646"/>
    <x v="0"/>
    <x v="0"/>
    <x v="958"/>
    <x v="9"/>
    <x v="97"/>
    <x v="117"/>
    <x v="415"/>
    <x v="2"/>
    <x v="224"/>
    <x v="365"/>
    <x v="533"/>
  </r>
  <r>
    <x v="1"/>
    <x v="28"/>
    <x v="5"/>
    <x v="3"/>
    <x v="72"/>
    <x v="11"/>
    <x v="5"/>
    <x v="10"/>
    <x v="224"/>
    <x v="4"/>
    <x v="42"/>
    <x v="153"/>
    <x v="86"/>
    <x v="783"/>
    <x v="351"/>
    <x v="0"/>
    <x v="0"/>
    <x v="0"/>
    <x v="0"/>
    <x v="5"/>
    <x v="3"/>
    <x v="0"/>
    <x v="419"/>
    <x v="743"/>
    <x v="38"/>
    <x v="3"/>
    <x v="514"/>
    <x v="607"/>
    <x v="55"/>
    <x v="0"/>
    <x v="894"/>
    <x v="0"/>
    <x v="102"/>
    <x v="130"/>
    <x v="329"/>
    <x v="5"/>
    <x v="388"/>
    <x v="637"/>
    <x v="1119"/>
  </r>
  <r>
    <x v="1"/>
    <x v="28"/>
    <x v="5"/>
    <x v="5"/>
    <x v="11"/>
    <x v="7"/>
    <x v="6"/>
    <x v="39"/>
    <x v="894"/>
    <x v="4"/>
    <x v="42"/>
    <x v="163"/>
    <x v="124"/>
    <x v="825"/>
    <x v="359"/>
    <x v="0"/>
    <x v="0"/>
    <x v="0"/>
    <x v="0"/>
    <x v="45"/>
    <x v="3"/>
    <x v="0"/>
    <x v="426"/>
    <x v="693"/>
    <x v="44"/>
    <x v="1"/>
    <x v="440"/>
    <x v="503"/>
    <x v="310"/>
    <x v="0"/>
    <x v="588"/>
    <x v="0"/>
    <x v="102"/>
    <x v="130"/>
    <x v="338"/>
    <x v="4"/>
    <x v="376"/>
    <x v="546"/>
    <x v="1006"/>
  </r>
  <r>
    <x v="1"/>
    <x v="29"/>
    <x v="2"/>
    <x v="7"/>
    <x v="19"/>
    <x v="11"/>
    <x v="19"/>
    <x v="41"/>
    <x v="886"/>
    <x v="1"/>
    <x v="42"/>
    <x v="184"/>
    <x v="156"/>
    <x v="869"/>
    <x v="400"/>
    <x v="0"/>
    <x v="0"/>
    <x v="0"/>
    <x v="0"/>
    <x v="0"/>
    <x v="0"/>
    <x v="0"/>
    <x v="470"/>
    <x v="362"/>
    <x v="10"/>
    <x v="0"/>
    <x v="0"/>
    <x v="646"/>
    <x v="0"/>
    <x v="0"/>
    <x v="958"/>
    <x v="16"/>
    <x v="89"/>
    <x v="95"/>
    <x v="382"/>
    <x v="2"/>
    <x v="215"/>
    <x v="375"/>
    <x v="422"/>
  </r>
  <r>
    <x v="1"/>
    <x v="29"/>
    <x v="2"/>
    <x v="4"/>
    <x v="57"/>
    <x v="11"/>
    <x v="19"/>
    <x v="43"/>
    <x v="878"/>
    <x v="1"/>
    <x v="42"/>
    <x v="184"/>
    <x v="156"/>
    <x v="861"/>
    <x v="392"/>
    <x v="0"/>
    <x v="0"/>
    <x v="0"/>
    <x v="0"/>
    <x v="0"/>
    <x v="0"/>
    <x v="0"/>
    <x v="461"/>
    <x v="321"/>
    <x v="14"/>
    <x v="0"/>
    <x v="0"/>
    <x v="646"/>
    <x v="0"/>
    <x v="0"/>
    <x v="958"/>
    <x v="16"/>
    <x v="89"/>
    <x v="95"/>
    <x v="373"/>
    <x v="2"/>
    <x v="246"/>
    <x v="325"/>
    <x v="392"/>
  </r>
  <r>
    <x v="1"/>
    <x v="29"/>
    <x v="2"/>
    <x v="5"/>
    <x v="11"/>
    <x v="7"/>
    <x v="6"/>
    <x v="39"/>
    <x v="898"/>
    <x v="1"/>
    <x v="42"/>
    <x v="163"/>
    <x v="124"/>
    <x v="798"/>
    <x v="351"/>
    <x v="0"/>
    <x v="12"/>
    <x v="0"/>
    <x v="0"/>
    <x v="22"/>
    <x v="3"/>
    <x v="0"/>
    <x v="419"/>
    <x v="665"/>
    <x v="44"/>
    <x v="1"/>
    <x v="407"/>
    <x v="508"/>
    <x v="184"/>
    <x v="31"/>
    <x v="729"/>
    <x v="9"/>
    <x v="97"/>
    <x v="117"/>
    <x v="329"/>
    <x v="4"/>
    <x v="359"/>
    <x v="597"/>
    <x v="958"/>
  </r>
  <r>
    <x v="1"/>
    <x v="29"/>
    <x v="2"/>
    <x v="3"/>
    <x v="72"/>
    <x v="11"/>
    <x v="19"/>
    <x v="10"/>
    <x v="1305"/>
    <x v="1"/>
    <x v="42"/>
    <x v="153"/>
    <x v="86"/>
    <x v="661"/>
    <x v="327"/>
    <x v="0"/>
    <x v="5"/>
    <x v="0"/>
    <x v="0"/>
    <x v="2"/>
    <x v="3"/>
    <x v="0"/>
    <x v="403"/>
    <x v="703"/>
    <x v="38"/>
    <x v="3"/>
    <x v="478"/>
    <x v="562"/>
    <x v="17"/>
    <x v="17"/>
    <x v="940"/>
    <x v="0"/>
    <x v="102"/>
    <x v="130"/>
    <x v="300"/>
    <x v="5"/>
    <x v="432"/>
    <x v="550"/>
    <x v="1041"/>
  </r>
  <r>
    <x v="1"/>
    <x v="29"/>
    <x v="2"/>
    <x v="1"/>
    <x v="7"/>
    <x v="11"/>
    <x v="19"/>
    <x v="21"/>
    <x v="108"/>
    <x v="1"/>
    <x v="42"/>
    <x v="168"/>
    <x v="131"/>
    <x v="464"/>
    <x v="255"/>
    <x v="0"/>
    <x v="0"/>
    <x v="23"/>
    <x v="0"/>
    <x v="35"/>
    <x v="0"/>
    <x v="5"/>
    <x v="98"/>
    <x v="183"/>
    <x v="2"/>
    <x v="0"/>
    <x v="0"/>
    <x v="646"/>
    <x v="337"/>
    <x v="0"/>
    <x v="553"/>
    <x v="27"/>
    <x v="75"/>
    <x v="65"/>
    <x v="182"/>
    <x v="7"/>
    <x v="731"/>
    <x v="473"/>
    <x v="319"/>
  </r>
  <r>
    <x v="1"/>
    <x v="29"/>
    <x v="6"/>
    <x v="8"/>
    <x v="61"/>
    <x v="11"/>
    <x v="19"/>
    <x v="42"/>
    <x v="872"/>
    <x v="1"/>
    <x v="42"/>
    <x v="221"/>
    <x v="207"/>
    <x v="984"/>
    <x v="527"/>
    <x v="0"/>
    <x v="0"/>
    <x v="0"/>
    <x v="0"/>
    <x v="117"/>
    <x v="0"/>
    <x v="1"/>
    <x v="485"/>
    <x v="426"/>
    <x v="26"/>
    <x v="0"/>
    <x v="0"/>
    <x v="646"/>
    <x v="435"/>
    <x v="0"/>
    <x v="425"/>
    <x v="0"/>
    <x v="102"/>
    <x v="130"/>
    <x v="556"/>
    <x v="3"/>
    <x v="311"/>
    <x v="407"/>
    <x v="795"/>
  </r>
  <r>
    <x v="1"/>
    <x v="29"/>
    <x v="3"/>
    <x v="7"/>
    <x v="19"/>
    <x v="11"/>
    <x v="19"/>
    <x v="41"/>
    <x v="892"/>
    <x v="1"/>
    <x v="42"/>
    <x v="184"/>
    <x v="156"/>
    <x v="861"/>
    <x v="392"/>
    <x v="0"/>
    <x v="0"/>
    <x v="0"/>
    <x v="0"/>
    <x v="0"/>
    <x v="0"/>
    <x v="0"/>
    <x v="461"/>
    <x v="321"/>
    <x v="10"/>
    <x v="0"/>
    <x v="0"/>
    <x v="646"/>
    <x v="0"/>
    <x v="0"/>
    <x v="958"/>
    <x v="0"/>
    <x v="102"/>
    <x v="130"/>
    <x v="373"/>
    <x v="2"/>
    <x v="342"/>
    <x v="107"/>
    <x v="392"/>
  </r>
  <r>
    <x v="1"/>
    <x v="29"/>
    <x v="3"/>
    <x v="4"/>
    <x v="57"/>
    <x v="11"/>
    <x v="19"/>
    <x v="43"/>
    <x v="878"/>
    <x v="1"/>
    <x v="42"/>
    <x v="184"/>
    <x v="156"/>
    <x v="854"/>
    <x v="386"/>
    <x v="0"/>
    <x v="0"/>
    <x v="0"/>
    <x v="0"/>
    <x v="0"/>
    <x v="0"/>
    <x v="0"/>
    <x v="455"/>
    <x v="303"/>
    <x v="14"/>
    <x v="0"/>
    <x v="0"/>
    <x v="646"/>
    <x v="0"/>
    <x v="0"/>
    <x v="958"/>
    <x v="9"/>
    <x v="97"/>
    <x v="117"/>
    <x v="368"/>
    <x v="2"/>
    <x v="310"/>
    <x v="179"/>
    <x v="373"/>
  </r>
  <r>
    <x v="1"/>
    <x v="29"/>
    <x v="3"/>
    <x v="5"/>
    <x v="11"/>
    <x v="7"/>
    <x v="6"/>
    <x v="39"/>
    <x v="900"/>
    <x v="1"/>
    <x v="42"/>
    <x v="163"/>
    <x v="124"/>
    <x v="767"/>
    <x v="349"/>
    <x v="0"/>
    <x v="0"/>
    <x v="0"/>
    <x v="0"/>
    <x v="55"/>
    <x v="0"/>
    <x v="0"/>
    <x v="417"/>
    <x v="643"/>
    <x v="44"/>
    <x v="1"/>
    <x v="387"/>
    <x v="498"/>
    <x v="384"/>
    <x v="0"/>
    <x v="494"/>
    <x v="0"/>
    <x v="102"/>
    <x v="130"/>
    <x v="325"/>
    <x v="4"/>
    <x v="396"/>
    <x v="471"/>
    <x v="898"/>
  </r>
  <r>
    <x v="1"/>
    <x v="29"/>
    <x v="3"/>
    <x v="3"/>
    <x v="72"/>
    <x v="11"/>
    <x v="19"/>
    <x v="10"/>
    <x v="896"/>
    <x v="1"/>
    <x v="42"/>
    <x v="153"/>
    <x v="86"/>
    <x v="658"/>
    <x v="327"/>
    <x v="0"/>
    <x v="0"/>
    <x v="0"/>
    <x v="0"/>
    <x v="12"/>
    <x v="0"/>
    <x v="0"/>
    <x v="403"/>
    <x v="703"/>
    <x v="38"/>
    <x v="3"/>
    <x v="473"/>
    <x v="605"/>
    <x v="132"/>
    <x v="0"/>
    <x v="791"/>
    <x v="0"/>
    <x v="102"/>
    <x v="130"/>
    <x v="300"/>
    <x v="5"/>
    <x v="432"/>
    <x v="550"/>
    <x v="1027"/>
  </r>
  <r>
    <x v="1"/>
    <x v="29"/>
    <x v="3"/>
    <x v="1"/>
    <x v="7"/>
    <x v="11"/>
    <x v="12"/>
    <x v="21"/>
    <x v="117"/>
    <x v="1"/>
    <x v="42"/>
    <x v="168"/>
    <x v="131"/>
    <x v="216"/>
    <x v="161"/>
    <x v="0"/>
    <x v="0"/>
    <x v="15"/>
    <x v="0"/>
    <x v="16"/>
    <x v="0"/>
    <x v="5"/>
    <x v="75"/>
    <x v="43"/>
    <x v="2"/>
    <x v="0"/>
    <x v="0"/>
    <x v="646"/>
    <x v="271"/>
    <x v="0"/>
    <x v="634"/>
    <x v="47"/>
    <x v="48"/>
    <x v="22"/>
    <x v="75"/>
    <x v="7"/>
    <x v="720"/>
    <x v="516"/>
    <x v="72"/>
  </r>
  <r>
    <x v="1"/>
    <x v="29"/>
    <x v="5"/>
    <x v="5"/>
    <x v="11"/>
    <x v="7"/>
    <x v="6"/>
    <x v="39"/>
    <x v="903"/>
    <x v="4"/>
    <x v="42"/>
    <x v="137"/>
    <x v="56"/>
    <x v="212"/>
    <x v="154"/>
    <x v="80"/>
    <x v="13"/>
    <x v="0"/>
    <x v="0"/>
    <x v="17"/>
    <x v="3"/>
    <x v="0"/>
    <x v="233"/>
    <x v="107"/>
    <x v="44"/>
    <x v="1"/>
    <x v="254"/>
    <x v="4"/>
    <x v="296"/>
    <x v="176"/>
    <x v="609"/>
    <x v="42"/>
    <x v="55"/>
    <x v="31"/>
    <x v="70"/>
    <x v="4"/>
    <x v="491"/>
    <x v="174"/>
    <x v="60"/>
  </r>
  <r>
    <x v="1"/>
    <x v="29"/>
    <x v="5"/>
    <x v="3"/>
    <x v="72"/>
    <x v="11"/>
    <x v="5"/>
    <x v="10"/>
    <x v="225"/>
    <x v="4"/>
    <x v="42"/>
    <x v="153"/>
    <x v="86"/>
    <x v="787"/>
    <x v="351"/>
    <x v="0"/>
    <x v="0"/>
    <x v="0"/>
    <x v="0"/>
    <x v="9"/>
    <x v="3"/>
    <x v="0"/>
    <x v="419"/>
    <x v="743"/>
    <x v="38"/>
    <x v="3"/>
    <x v="516"/>
    <x v="583"/>
    <x v="96"/>
    <x v="0"/>
    <x v="837"/>
    <x v="0"/>
    <x v="102"/>
    <x v="130"/>
    <x v="329"/>
    <x v="5"/>
    <x v="388"/>
    <x v="637"/>
    <x v="1118"/>
  </r>
  <r>
    <x v="1"/>
    <x v="30"/>
    <x v="2"/>
    <x v="0"/>
    <x v="1"/>
    <x v="2"/>
    <x v="0"/>
    <x v="16"/>
    <x v="226"/>
    <x v="1"/>
    <x v="42"/>
    <x v="107"/>
    <x v="29"/>
    <x v="195"/>
    <x v="146"/>
    <x v="9"/>
    <x v="32"/>
    <x v="0"/>
    <x v="0"/>
    <x v="62"/>
    <x v="3"/>
    <x v="0"/>
    <x v="225"/>
    <x v="205"/>
    <x v="38"/>
    <x v="7"/>
    <x v="557"/>
    <x v="122"/>
    <x v="732"/>
    <x v="329"/>
    <x v="47"/>
    <x v="32"/>
    <x v="68"/>
    <x v="54"/>
    <x v="57"/>
    <x v="6"/>
    <x v="587"/>
    <x v="422"/>
    <x v="186"/>
  </r>
  <r>
    <x v="1"/>
    <x v="30"/>
    <x v="2"/>
    <x v="3"/>
    <x v="72"/>
    <x v="11"/>
    <x v="5"/>
    <x v="10"/>
    <x v="230"/>
    <x v="1"/>
    <x v="42"/>
    <x v="153"/>
    <x v="86"/>
    <x v="575"/>
    <x v="292"/>
    <x v="3"/>
    <x v="0"/>
    <x v="0"/>
    <x v="0"/>
    <x v="6"/>
    <x v="3"/>
    <x v="0"/>
    <x v="373"/>
    <x v="615"/>
    <x v="38"/>
    <x v="3"/>
    <x v="435"/>
    <x v="538"/>
    <x v="84"/>
    <x v="0"/>
    <x v="856"/>
    <x v="7"/>
    <x v="99"/>
    <x v="122"/>
    <x v="247"/>
    <x v="5"/>
    <x v="458"/>
    <x v="496"/>
    <x v="769"/>
  </r>
  <r>
    <x v="1"/>
    <x v="30"/>
    <x v="2"/>
    <x v="7"/>
    <x v="19"/>
    <x v="11"/>
    <x v="10"/>
    <x v="41"/>
    <x v="899"/>
    <x v="1"/>
    <x v="42"/>
    <x v="184"/>
    <x v="156"/>
    <x v="893"/>
    <x v="429"/>
    <x v="0"/>
    <x v="0"/>
    <x v="0"/>
    <x v="0"/>
    <x v="0"/>
    <x v="0"/>
    <x v="0"/>
    <x v="512"/>
    <x v="531"/>
    <x v="10"/>
    <x v="0"/>
    <x v="0"/>
    <x v="646"/>
    <x v="0"/>
    <x v="0"/>
    <x v="958"/>
    <x v="9"/>
    <x v="97"/>
    <x v="117"/>
    <x v="431"/>
    <x v="2"/>
    <x v="199"/>
    <x v="408"/>
    <x v="596"/>
  </r>
  <r>
    <x v="1"/>
    <x v="30"/>
    <x v="2"/>
    <x v="4"/>
    <x v="57"/>
    <x v="11"/>
    <x v="8"/>
    <x v="43"/>
    <x v="879"/>
    <x v="1"/>
    <x v="42"/>
    <x v="184"/>
    <x v="156"/>
    <x v="869"/>
    <x v="400"/>
    <x v="0"/>
    <x v="0"/>
    <x v="0"/>
    <x v="0"/>
    <x v="0"/>
    <x v="0"/>
    <x v="0"/>
    <x v="470"/>
    <x v="362"/>
    <x v="14"/>
    <x v="0"/>
    <x v="0"/>
    <x v="646"/>
    <x v="0"/>
    <x v="0"/>
    <x v="958"/>
    <x v="15"/>
    <x v="90"/>
    <x v="98"/>
    <x v="382"/>
    <x v="2"/>
    <x v="226"/>
    <x v="362"/>
    <x v="422"/>
  </r>
  <r>
    <x v="1"/>
    <x v="30"/>
    <x v="2"/>
    <x v="1"/>
    <x v="7"/>
    <x v="11"/>
    <x v="19"/>
    <x v="21"/>
    <x v="114"/>
    <x v="3"/>
    <x v="42"/>
    <x v="168"/>
    <x v="131"/>
    <x v="496"/>
    <x v="264"/>
    <x v="0"/>
    <x v="0"/>
    <x v="28"/>
    <x v="0"/>
    <x v="51"/>
    <x v="0"/>
    <x v="5"/>
    <x v="99"/>
    <x v="194"/>
    <x v="2"/>
    <x v="0"/>
    <x v="0"/>
    <x v="646"/>
    <x v="480"/>
    <x v="0"/>
    <x v="360"/>
    <x v="29"/>
    <x v="72"/>
    <x v="61"/>
    <x v="193"/>
    <x v="7"/>
    <x v="705"/>
    <x v="568"/>
    <x v="339"/>
  </r>
  <r>
    <x v="1"/>
    <x v="30"/>
    <x v="3"/>
    <x v="7"/>
    <x v="19"/>
    <x v="11"/>
    <x v="19"/>
    <x v="41"/>
    <x v="901"/>
    <x v="0"/>
    <x v="42"/>
    <x v="184"/>
    <x v="156"/>
    <x v="885"/>
    <x v="421"/>
    <x v="0"/>
    <x v="0"/>
    <x v="0"/>
    <x v="0"/>
    <x v="0"/>
    <x v="0"/>
    <x v="0"/>
    <x v="499"/>
    <x v="466"/>
    <x v="10"/>
    <x v="0"/>
    <x v="0"/>
    <x v="646"/>
    <x v="0"/>
    <x v="0"/>
    <x v="958"/>
    <x v="9"/>
    <x v="97"/>
    <x v="117"/>
    <x v="415"/>
    <x v="2"/>
    <x v="224"/>
    <x v="365"/>
    <x v="533"/>
  </r>
  <r>
    <x v="1"/>
    <x v="30"/>
    <x v="3"/>
    <x v="3"/>
    <x v="72"/>
    <x v="11"/>
    <x v="5"/>
    <x v="10"/>
    <x v="231"/>
    <x v="0"/>
    <x v="42"/>
    <x v="153"/>
    <x v="86"/>
    <x v="714"/>
    <x v="341"/>
    <x v="0"/>
    <x v="0"/>
    <x v="0"/>
    <x v="0"/>
    <x v="8"/>
    <x v="0"/>
    <x v="0"/>
    <x v="412"/>
    <x v="721"/>
    <x v="38"/>
    <x v="3"/>
    <x v="494"/>
    <x v="624"/>
    <x v="91"/>
    <x v="0"/>
    <x v="844"/>
    <x v="0"/>
    <x v="102"/>
    <x v="130"/>
    <x v="314"/>
    <x v="5"/>
    <x v="413"/>
    <x v="593"/>
    <x v="1065"/>
  </r>
  <r>
    <x v="1"/>
    <x v="30"/>
    <x v="3"/>
    <x v="5"/>
    <x v="12"/>
    <x v="7"/>
    <x v="7"/>
    <x v="27"/>
    <x v="907"/>
    <x v="0"/>
    <x v="42"/>
    <x v="163"/>
    <x v="124"/>
    <x v="529"/>
    <x v="266"/>
    <x v="57"/>
    <x v="89"/>
    <x v="0"/>
    <x v="0"/>
    <x v="70"/>
    <x v="3"/>
    <x v="0"/>
    <x v="347"/>
    <x v="230"/>
    <x v="44"/>
    <x v="1"/>
    <x v="234"/>
    <x v="47"/>
    <x v="602"/>
    <x v="414"/>
    <x v="225"/>
    <x v="16"/>
    <x v="89"/>
    <x v="95"/>
    <x v="194"/>
    <x v="4"/>
    <x v="472"/>
    <x v="206"/>
    <x v="301"/>
  </r>
  <r>
    <x v="1"/>
    <x v="30"/>
    <x v="3"/>
    <x v="4"/>
    <x v="57"/>
    <x v="11"/>
    <x v="0"/>
    <x v="43"/>
    <x v="887"/>
    <x v="0"/>
    <x v="42"/>
    <x v="184"/>
    <x v="156"/>
    <x v="873"/>
    <x v="404"/>
    <x v="0"/>
    <x v="0"/>
    <x v="0"/>
    <x v="0"/>
    <x v="0"/>
    <x v="0"/>
    <x v="0"/>
    <x v="474"/>
    <x v="387"/>
    <x v="14"/>
    <x v="0"/>
    <x v="0"/>
    <x v="646"/>
    <x v="0"/>
    <x v="0"/>
    <x v="958"/>
    <x v="9"/>
    <x v="97"/>
    <x v="117"/>
    <x v="387"/>
    <x v="2"/>
    <x v="263"/>
    <x v="274"/>
    <x v="449"/>
  </r>
  <r>
    <x v="1"/>
    <x v="30"/>
    <x v="3"/>
    <x v="0"/>
    <x v="1"/>
    <x v="11"/>
    <x v="0"/>
    <x v="16"/>
    <x v="227"/>
    <x v="0"/>
    <x v="42"/>
    <x v="107"/>
    <x v="29"/>
    <x v="281"/>
    <x v="189"/>
    <x v="0"/>
    <x v="32"/>
    <x v="0"/>
    <x v="0"/>
    <x v="56"/>
    <x v="0"/>
    <x v="0"/>
    <x v="272"/>
    <x v="618"/>
    <x v="38"/>
    <x v="7"/>
    <x v="611"/>
    <x v="242"/>
    <x v="634"/>
    <x v="278"/>
    <x v="177"/>
    <x v="0"/>
    <x v="102"/>
    <x v="130"/>
    <x v="100"/>
    <x v="6"/>
    <x v="602"/>
    <x v="252"/>
    <x v="553"/>
  </r>
  <r>
    <x v="1"/>
    <x v="30"/>
    <x v="3"/>
    <x v="1"/>
    <x v="7"/>
    <x v="11"/>
    <x v="19"/>
    <x v="21"/>
    <x v="121"/>
    <x v="0"/>
    <x v="42"/>
    <x v="168"/>
    <x v="131"/>
    <x v="663"/>
    <x v="326"/>
    <x v="0"/>
    <x v="0"/>
    <x v="38"/>
    <x v="0"/>
    <x v="65"/>
    <x v="0"/>
    <x v="5"/>
    <x v="117"/>
    <x v="414"/>
    <x v="2"/>
    <x v="0"/>
    <x v="0"/>
    <x v="646"/>
    <x v="491"/>
    <x v="0"/>
    <x v="347"/>
    <x v="9"/>
    <x v="97"/>
    <x v="117"/>
    <x v="297"/>
    <x v="7"/>
    <x v="721"/>
    <x v="514"/>
    <x v="723"/>
  </r>
  <r>
    <x v="1"/>
    <x v="30"/>
    <x v="6"/>
    <x v="8"/>
    <x v="61"/>
    <x v="11"/>
    <x v="19"/>
    <x v="42"/>
    <x v="883"/>
    <x v="0"/>
    <x v="43"/>
    <x v="205"/>
    <x v="179"/>
    <x v="958"/>
    <x v="498"/>
    <x v="0"/>
    <x v="0"/>
    <x v="0"/>
    <x v="0"/>
    <x v="33"/>
    <x v="0"/>
    <x v="0"/>
    <x v="585"/>
    <x v="689"/>
    <x v="26"/>
    <x v="0"/>
    <x v="0"/>
    <x v="646"/>
    <x v="146"/>
    <x v="0"/>
    <x v="772"/>
    <x v="12"/>
    <x v="100"/>
    <x v="110"/>
    <x v="508"/>
    <x v="3"/>
    <x v="43"/>
    <x v="736"/>
    <x v="1186"/>
  </r>
  <r>
    <x v="1"/>
    <x v="30"/>
    <x v="6"/>
    <x v="9"/>
    <x v="73"/>
    <x v="11"/>
    <x v="17"/>
    <x v="38"/>
    <x v="776"/>
    <x v="0"/>
    <x v="43"/>
    <x v="228"/>
    <x v="226"/>
    <x v="1010"/>
    <x v="559"/>
    <x v="0"/>
    <x v="0"/>
    <x v="0"/>
    <x v="0"/>
    <x v="18"/>
    <x v="0"/>
    <x v="1"/>
    <x v="544"/>
    <x v="488"/>
    <x v="31"/>
    <x v="0"/>
    <x v="0"/>
    <x v="646"/>
    <x v="67"/>
    <x v="0"/>
    <x v="876"/>
    <x v="12"/>
    <x v="100"/>
    <x v="110"/>
    <x v="589"/>
    <x v="1"/>
    <x v="138"/>
    <x v="86"/>
    <x v="237"/>
  </r>
  <r>
    <x v="1"/>
    <x v="30"/>
    <x v="5"/>
    <x v="5"/>
    <x v="12"/>
    <x v="7"/>
    <x v="7"/>
    <x v="27"/>
    <x v="909"/>
    <x v="4"/>
    <x v="42"/>
    <x v="163"/>
    <x v="124"/>
    <x v="750"/>
    <x v="346"/>
    <x v="0"/>
    <x v="19"/>
    <x v="0"/>
    <x v="0"/>
    <x v="48"/>
    <x v="3"/>
    <x v="0"/>
    <x v="414"/>
    <x v="623"/>
    <x v="44"/>
    <x v="1"/>
    <x v="369"/>
    <x v="438"/>
    <x v="340"/>
    <x v="52"/>
    <x v="554"/>
    <x v="0"/>
    <x v="102"/>
    <x v="130"/>
    <x v="320"/>
    <x v="4"/>
    <x v="407"/>
    <x v="429"/>
    <x v="847"/>
  </r>
  <r>
    <x v="1"/>
    <x v="30"/>
    <x v="5"/>
    <x v="0"/>
    <x v="1"/>
    <x v="2"/>
    <x v="0"/>
    <x v="16"/>
    <x v="228"/>
    <x v="4"/>
    <x v="42"/>
    <x v="107"/>
    <x v="29"/>
    <x v="346"/>
    <x v="207"/>
    <x v="0"/>
    <x v="0"/>
    <x v="0"/>
    <x v="0"/>
    <x v="34"/>
    <x v="3"/>
    <x v="0"/>
    <x v="292"/>
    <x v="706"/>
    <x v="38"/>
    <x v="7"/>
    <x v="632"/>
    <x v="465"/>
    <x v="407"/>
    <x v="0"/>
    <x v="465"/>
    <x v="0"/>
    <x v="102"/>
    <x v="130"/>
    <x v="119"/>
    <x v="6"/>
    <x v="583"/>
    <x v="457"/>
    <x v="883"/>
  </r>
  <r>
    <x v="1"/>
    <x v="30"/>
    <x v="5"/>
    <x v="3"/>
    <x v="72"/>
    <x v="11"/>
    <x v="5"/>
    <x v="10"/>
    <x v="232"/>
    <x v="4"/>
    <x v="42"/>
    <x v="153"/>
    <x v="86"/>
    <x v="628"/>
    <x v="312"/>
    <x v="0"/>
    <x v="0"/>
    <x v="0"/>
    <x v="0"/>
    <x v="13"/>
    <x v="3"/>
    <x v="0"/>
    <x v="390"/>
    <x v="676"/>
    <x v="38"/>
    <x v="3"/>
    <x v="464"/>
    <x v="557"/>
    <x v="142"/>
    <x v="0"/>
    <x v="777"/>
    <x v="0"/>
    <x v="102"/>
    <x v="130"/>
    <x v="280"/>
    <x v="5"/>
    <x v="458"/>
    <x v="496"/>
    <x v="949"/>
  </r>
  <r>
    <x v="1"/>
    <x v="31"/>
    <x v="2"/>
    <x v="0"/>
    <x v="1"/>
    <x v="2"/>
    <x v="0"/>
    <x v="16"/>
    <x v="1307"/>
    <x v="1"/>
    <x v="42"/>
    <x v="107"/>
    <x v="29"/>
    <x v="236"/>
    <x v="170"/>
    <x v="0"/>
    <x v="10"/>
    <x v="0"/>
    <x v="0"/>
    <x v="38"/>
    <x v="3"/>
    <x v="0"/>
    <x v="249"/>
    <x v="406"/>
    <x v="38"/>
    <x v="7"/>
    <x v="600"/>
    <x v="309"/>
    <x v="556"/>
    <x v="117"/>
    <x v="276"/>
    <x v="0"/>
    <x v="102"/>
    <x v="130"/>
    <x v="82"/>
    <x v="6"/>
    <x v="626"/>
    <x v="108"/>
    <x v="376"/>
  </r>
  <r>
    <x v="1"/>
    <x v="31"/>
    <x v="2"/>
    <x v="3"/>
    <x v="72"/>
    <x v="11"/>
    <x v="19"/>
    <x v="10"/>
    <x v="236"/>
    <x v="1"/>
    <x v="42"/>
    <x v="153"/>
    <x v="86"/>
    <x v="730"/>
    <x v="346"/>
    <x v="0"/>
    <x v="0"/>
    <x v="0"/>
    <x v="0"/>
    <x v="8"/>
    <x v="3"/>
    <x v="0"/>
    <x v="414"/>
    <x v="728"/>
    <x v="38"/>
    <x v="3"/>
    <x v="503"/>
    <x v="586"/>
    <x v="90"/>
    <x v="0"/>
    <x v="847"/>
    <x v="0"/>
    <x v="102"/>
    <x v="130"/>
    <x v="320"/>
    <x v="5"/>
    <x v="407"/>
    <x v="605"/>
    <x v="1089"/>
  </r>
  <r>
    <x v="1"/>
    <x v="31"/>
    <x v="2"/>
    <x v="5"/>
    <x v="12"/>
    <x v="7"/>
    <x v="7"/>
    <x v="27"/>
    <x v="914"/>
    <x v="1"/>
    <x v="42"/>
    <x v="163"/>
    <x v="124"/>
    <x v="745"/>
    <x v="346"/>
    <x v="0"/>
    <x v="12"/>
    <x v="0"/>
    <x v="0"/>
    <x v="42"/>
    <x v="3"/>
    <x v="0"/>
    <x v="414"/>
    <x v="623"/>
    <x v="44"/>
    <x v="1"/>
    <x v="361"/>
    <x v="466"/>
    <x v="312"/>
    <x v="34"/>
    <x v="589"/>
    <x v="0"/>
    <x v="102"/>
    <x v="130"/>
    <x v="320"/>
    <x v="4"/>
    <x v="407"/>
    <x v="429"/>
    <x v="856"/>
  </r>
  <r>
    <x v="1"/>
    <x v="31"/>
    <x v="2"/>
    <x v="7"/>
    <x v="19"/>
    <x v="11"/>
    <x v="19"/>
    <x v="41"/>
    <x v="902"/>
    <x v="1"/>
    <x v="42"/>
    <x v="184"/>
    <x v="156"/>
    <x v="593"/>
    <x v="298"/>
    <x v="0"/>
    <x v="0"/>
    <x v="0"/>
    <x v="0"/>
    <x v="4"/>
    <x v="0"/>
    <x v="0"/>
    <x v="380"/>
    <x v="118"/>
    <x v="10"/>
    <x v="0"/>
    <x v="0"/>
    <x v="646"/>
    <x v="53"/>
    <x v="0"/>
    <x v="896"/>
    <x v="37"/>
    <x v="61"/>
    <x v="40"/>
    <x v="259"/>
    <x v="2"/>
    <x v="189"/>
    <x v="425"/>
    <x v="142"/>
  </r>
  <r>
    <x v="1"/>
    <x v="31"/>
    <x v="2"/>
    <x v="4"/>
    <x v="57"/>
    <x v="11"/>
    <x v="19"/>
    <x v="43"/>
    <x v="888"/>
    <x v="1"/>
    <x v="42"/>
    <x v="184"/>
    <x v="156"/>
    <x v="873"/>
    <x v="404"/>
    <x v="0"/>
    <x v="0"/>
    <x v="0"/>
    <x v="0"/>
    <x v="0"/>
    <x v="0"/>
    <x v="0"/>
    <x v="474"/>
    <x v="387"/>
    <x v="14"/>
    <x v="0"/>
    <x v="0"/>
    <x v="646"/>
    <x v="0"/>
    <x v="0"/>
    <x v="958"/>
    <x v="20"/>
    <x v="83"/>
    <x v="86"/>
    <x v="387"/>
    <x v="2"/>
    <x v="156"/>
    <x v="480"/>
    <x v="449"/>
  </r>
  <r>
    <x v="1"/>
    <x v="31"/>
    <x v="2"/>
    <x v="1"/>
    <x v="7"/>
    <x v="11"/>
    <x v="10"/>
    <x v="21"/>
    <x v="122"/>
    <x v="3"/>
    <x v="42"/>
    <x v="168"/>
    <x v="131"/>
    <x v="405"/>
    <x v="219"/>
    <x v="0"/>
    <x v="0"/>
    <x v="27"/>
    <x v="0"/>
    <x v="32"/>
    <x v="0"/>
    <x v="4"/>
    <x v="100"/>
    <x v="114"/>
    <x v="2"/>
    <x v="0"/>
    <x v="0"/>
    <x v="646"/>
    <x v="360"/>
    <x v="0"/>
    <x v="524"/>
    <x v="29"/>
    <x v="72"/>
    <x v="61"/>
    <x v="135"/>
    <x v="7"/>
    <x v="700"/>
    <x v="576"/>
    <x v="346"/>
  </r>
  <r>
    <x v="1"/>
    <x v="31"/>
    <x v="6"/>
    <x v="8"/>
    <x v="61"/>
    <x v="11"/>
    <x v="19"/>
    <x v="42"/>
    <x v="891"/>
    <x v="0"/>
    <x v="42"/>
    <x v="225"/>
    <x v="214"/>
    <x v="997"/>
    <x v="546"/>
    <x v="0"/>
    <x v="0"/>
    <x v="0"/>
    <x v="0"/>
    <x v="110"/>
    <x v="0"/>
    <x v="0"/>
    <x v="604"/>
    <x v="577"/>
    <x v="26"/>
    <x v="0"/>
    <x v="0"/>
    <x v="646"/>
    <x v="349"/>
    <x v="0"/>
    <x v="536"/>
    <x v="0"/>
    <x v="102"/>
    <x v="130"/>
    <x v="583"/>
    <x v="3"/>
    <x v="20"/>
    <x v="752"/>
    <x v="1211"/>
  </r>
  <r>
    <x v="1"/>
    <x v="31"/>
    <x v="3"/>
    <x v="7"/>
    <x v="20"/>
    <x v="11"/>
    <x v="19"/>
    <x v="29"/>
    <x v="908"/>
    <x v="0"/>
    <x v="42"/>
    <x v="184"/>
    <x v="156"/>
    <x v="652"/>
    <x v="327"/>
    <x v="0"/>
    <x v="0"/>
    <x v="0"/>
    <x v="0"/>
    <x v="0"/>
    <x v="0"/>
    <x v="0"/>
    <x v="403"/>
    <x v="154"/>
    <x v="11"/>
    <x v="0"/>
    <x v="0"/>
    <x v="646"/>
    <x v="0"/>
    <x v="0"/>
    <x v="958"/>
    <x v="32"/>
    <x v="68"/>
    <x v="54"/>
    <x v="300"/>
    <x v="2"/>
    <x v="244"/>
    <x v="329"/>
    <x v="180"/>
  </r>
  <r>
    <x v="1"/>
    <x v="31"/>
    <x v="3"/>
    <x v="4"/>
    <x v="57"/>
    <x v="11"/>
    <x v="19"/>
    <x v="43"/>
    <x v="889"/>
    <x v="0"/>
    <x v="42"/>
    <x v="184"/>
    <x v="156"/>
    <x v="893"/>
    <x v="429"/>
    <x v="0"/>
    <x v="0"/>
    <x v="0"/>
    <x v="0"/>
    <x v="0"/>
    <x v="0"/>
    <x v="0"/>
    <x v="512"/>
    <x v="531"/>
    <x v="14"/>
    <x v="0"/>
    <x v="0"/>
    <x v="646"/>
    <x v="0"/>
    <x v="0"/>
    <x v="958"/>
    <x v="9"/>
    <x v="97"/>
    <x v="117"/>
    <x v="431"/>
    <x v="2"/>
    <x v="199"/>
    <x v="408"/>
    <x v="596"/>
  </r>
  <r>
    <x v="1"/>
    <x v="31"/>
    <x v="3"/>
    <x v="3"/>
    <x v="72"/>
    <x v="11"/>
    <x v="5"/>
    <x v="10"/>
    <x v="237"/>
    <x v="0"/>
    <x v="42"/>
    <x v="153"/>
    <x v="86"/>
    <x v="710"/>
    <x v="341"/>
    <x v="0"/>
    <x v="0"/>
    <x v="0"/>
    <x v="0"/>
    <x v="4"/>
    <x v="0"/>
    <x v="0"/>
    <x v="412"/>
    <x v="721"/>
    <x v="38"/>
    <x v="3"/>
    <x v="492"/>
    <x v="639"/>
    <x v="39"/>
    <x v="0"/>
    <x v="912"/>
    <x v="9"/>
    <x v="97"/>
    <x v="117"/>
    <x v="314"/>
    <x v="5"/>
    <x v="378"/>
    <x v="648"/>
    <x v="1068"/>
  </r>
  <r>
    <x v="1"/>
    <x v="31"/>
    <x v="3"/>
    <x v="5"/>
    <x v="12"/>
    <x v="7"/>
    <x v="7"/>
    <x v="27"/>
    <x v="917"/>
    <x v="0"/>
    <x v="42"/>
    <x v="163"/>
    <x v="124"/>
    <x v="765"/>
    <x v="348"/>
    <x v="0"/>
    <x v="30"/>
    <x v="0"/>
    <x v="0"/>
    <x v="50"/>
    <x v="0"/>
    <x v="0"/>
    <x v="416"/>
    <x v="631"/>
    <x v="44"/>
    <x v="1"/>
    <x v="385"/>
    <x v="424"/>
    <x v="348"/>
    <x v="124"/>
    <x v="540"/>
    <x v="0"/>
    <x v="102"/>
    <x v="130"/>
    <x v="323"/>
    <x v="4"/>
    <x v="401"/>
    <x v="451"/>
    <x v="875"/>
  </r>
  <r>
    <x v="1"/>
    <x v="31"/>
    <x v="3"/>
    <x v="0"/>
    <x v="1"/>
    <x v="2"/>
    <x v="0"/>
    <x v="16"/>
    <x v="233"/>
    <x v="0"/>
    <x v="42"/>
    <x v="107"/>
    <x v="29"/>
    <x v="249"/>
    <x v="176"/>
    <x v="0"/>
    <x v="30"/>
    <x v="0"/>
    <x v="0"/>
    <x v="54"/>
    <x v="0"/>
    <x v="0"/>
    <x v="258"/>
    <x v="481"/>
    <x v="38"/>
    <x v="7"/>
    <x v="606"/>
    <x v="233"/>
    <x v="646"/>
    <x v="283"/>
    <x v="163"/>
    <x v="0"/>
    <x v="102"/>
    <x v="130"/>
    <x v="87"/>
    <x v="6"/>
    <x v="622"/>
    <x v="140"/>
    <x v="412"/>
  </r>
  <r>
    <x v="1"/>
    <x v="31"/>
    <x v="3"/>
    <x v="1"/>
    <x v="6"/>
    <x v="11"/>
    <x v="19"/>
    <x v="17"/>
    <x v="54"/>
    <x v="0"/>
    <x v="42"/>
    <x v="168"/>
    <x v="131"/>
    <x v="488"/>
    <x v="264"/>
    <x v="0"/>
    <x v="0"/>
    <x v="29"/>
    <x v="0"/>
    <x v="28"/>
    <x v="0"/>
    <x v="4"/>
    <x v="113"/>
    <x v="194"/>
    <x v="1"/>
    <x v="0"/>
    <x v="0"/>
    <x v="646"/>
    <x v="280"/>
    <x v="0"/>
    <x v="624"/>
    <x v="9"/>
    <x v="97"/>
    <x v="117"/>
    <x v="193"/>
    <x v="7"/>
    <x v="732"/>
    <x v="462"/>
    <x v="642"/>
  </r>
  <r>
    <x v="1"/>
    <x v="31"/>
    <x v="5"/>
    <x v="0"/>
    <x v="1"/>
    <x v="2"/>
    <x v="0"/>
    <x v="16"/>
    <x v="234"/>
    <x v="4"/>
    <x v="42"/>
    <x v="107"/>
    <x v="29"/>
    <x v="259"/>
    <x v="183"/>
    <x v="9"/>
    <x v="10"/>
    <x v="0"/>
    <x v="0"/>
    <x v="36"/>
    <x v="3"/>
    <x v="0"/>
    <x v="266"/>
    <x v="565"/>
    <x v="38"/>
    <x v="7"/>
    <x v="607"/>
    <x v="316"/>
    <x v="502"/>
    <x v="99"/>
    <x v="341"/>
    <x v="0"/>
    <x v="102"/>
    <x v="130"/>
    <x v="93"/>
    <x v="6"/>
    <x v="615"/>
    <x v="193"/>
    <x v="498"/>
  </r>
  <r>
    <x v="1"/>
    <x v="31"/>
    <x v="5"/>
    <x v="3"/>
    <x v="72"/>
    <x v="11"/>
    <x v="5"/>
    <x v="10"/>
    <x v="238"/>
    <x v="4"/>
    <x v="42"/>
    <x v="153"/>
    <x v="86"/>
    <x v="728"/>
    <x v="346"/>
    <x v="0"/>
    <x v="0"/>
    <x v="0"/>
    <x v="0"/>
    <x v="4"/>
    <x v="3"/>
    <x v="0"/>
    <x v="414"/>
    <x v="728"/>
    <x v="38"/>
    <x v="3"/>
    <x v="501"/>
    <x v="609"/>
    <x v="38"/>
    <x v="0"/>
    <x v="914"/>
    <x v="0"/>
    <x v="102"/>
    <x v="130"/>
    <x v="320"/>
    <x v="5"/>
    <x v="407"/>
    <x v="605"/>
    <x v="1090"/>
  </r>
  <r>
    <x v="1"/>
    <x v="31"/>
    <x v="5"/>
    <x v="5"/>
    <x v="12"/>
    <x v="7"/>
    <x v="7"/>
    <x v="27"/>
    <x v="919"/>
    <x v="4"/>
    <x v="42"/>
    <x v="163"/>
    <x v="124"/>
    <x v="754"/>
    <x v="346"/>
    <x v="0"/>
    <x v="29"/>
    <x v="0"/>
    <x v="0"/>
    <x v="56"/>
    <x v="3"/>
    <x v="0"/>
    <x v="414"/>
    <x v="623"/>
    <x v="44"/>
    <x v="1"/>
    <x v="375"/>
    <x v="391"/>
    <x v="399"/>
    <x v="118"/>
    <x v="479"/>
    <x v="0"/>
    <x v="102"/>
    <x v="130"/>
    <x v="320"/>
    <x v="4"/>
    <x v="407"/>
    <x v="429"/>
    <x v="834"/>
  </r>
  <r>
    <x v="1"/>
    <x v="32"/>
    <x v="2"/>
    <x v="5"/>
    <x v="12"/>
    <x v="7"/>
    <x v="7"/>
    <x v="27"/>
    <x v="922"/>
    <x v="1"/>
    <x v="42"/>
    <x v="163"/>
    <x v="124"/>
    <x v="721"/>
    <x v="341"/>
    <x v="0"/>
    <x v="30"/>
    <x v="0"/>
    <x v="0"/>
    <x v="48"/>
    <x v="3"/>
    <x v="0"/>
    <x v="412"/>
    <x v="604"/>
    <x v="44"/>
    <x v="1"/>
    <x v="344"/>
    <x v="402"/>
    <x v="343"/>
    <x v="136"/>
    <x v="546"/>
    <x v="0"/>
    <x v="102"/>
    <x v="130"/>
    <x v="314"/>
    <x v="4"/>
    <x v="413"/>
    <x v="397"/>
    <x v="786"/>
  </r>
  <r>
    <x v="1"/>
    <x v="32"/>
    <x v="2"/>
    <x v="3"/>
    <x v="72"/>
    <x v="11"/>
    <x v="5"/>
    <x v="10"/>
    <x v="239"/>
    <x v="1"/>
    <x v="42"/>
    <x v="153"/>
    <x v="86"/>
    <x v="728"/>
    <x v="346"/>
    <x v="0"/>
    <x v="0"/>
    <x v="0"/>
    <x v="0"/>
    <x v="4"/>
    <x v="3"/>
    <x v="0"/>
    <x v="414"/>
    <x v="728"/>
    <x v="38"/>
    <x v="3"/>
    <x v="501"/>
    <x v="609"/>
    <x v="38"/>
    <x v="0"/>
    <x v="914"/>
    <x v="0"/>
    <x v="102"/>
    <x v="130"/>
    <x v="320"/>
    <x v="5"/>
    <x v="407"/>
    <x v="605"/>
    <x v="1090"/>
  </r>
  <r>
    <x v="1"/>
    <x v="32"/>
    <x v="2"/>
    <x v="1"/>
    <x v="6"/>
    <x v="11"/>
    <x v="12"/>
    <x v="17"/>
    <x v="61"/>
    <x v="1"/>
    <x v="42"/>
    <x v="168"/>
    <x v="131"/>
    <x v="597"/>
    <x v="300"/>
    <x v="0"/>
    <x v="0"/>
    <x v="46"/>
    <x v="0"/>
    <x v="20"/>
    <x v="0"/>
    <x v="5"/>
    <x v="109"/>
    <x v="317"/>
    <x v="1"/>
    <x v="0"/>
    <x v="0"/>
    <x v="646"/>
    <x v="200"/>
    <x v="0"/>
    <x v="712"/>
    <x v="0"/>
    <x v="102"/>
    <x v="130"/>
    <x v="261"/>
    <x v="7"/>
    <x v="758"/>
    <x v="237"/>
    <x v="568"/>
  </r>
  <r>
    <x v="1"/>
    <x v="32"/>
    <x v="2"/>
    <x v="7"/>
    <x v="20"/>
    <x v="11"/>
    <x v="10"/>
    <x v="29"/>
    <x v="910"/>
    <x v="1"/>
    <x v="42"/>
    <x v="184"/>
    <x v="156"/>
    <x v="869"/>
    <x v="400"/>
    <x v="0"/>
    <x v="0"/>
    <x v="0"/>
    <x v="0"/>
    <x v="0"/>
    <x v="0"/>
    <x v="0"/>
    <x v="470"/>
    <x v="362"/>
    <x v="11"/>
    <x v="0"/>
    <x v="0"/>
    <x v="646"/>
    <x v="0"/>
    <x v="0"/>
    <x v="958"/>
    <x v="20"/>
    <x v="83"/>
    <x v="86"/>
    <x v="382"/>
    <x v="2"/>
    <x v="173"/>
    <x v="449"/>
    <x v="422"/>
  </r>
  <r>
    <x v="1"/>
    <x v="32"/>
    <x v="2"/>
    <x v="4"/>
    <x v="57"/>
    <x v="11"/>
    <x v="8"/>
    <x v="43"/>
    <x v="897"/>
    <x v="1"/>
    <x v="42"/>
    <x v="184"/>
    <x v="156"/>
    <x v="885"/>
    <x v="421"/>
    <x v="0"/>
    <x v="0"/>
    <x v="0"/>
    <x v="0"/>
    <x v="0"/>
    <x v="0"/>
    <x v="0"/>
    <x v="499"/>
    <x v="466"/>
    <x v="14"/>
    <x v="0"/>
    <x v="0"/>
    <x v="646"/>
    <x v="0"/>
    <x v="0"/>
    <x v="958"/>
    <x v="13"/>
    <x v="92"/>
    <x v="105"/>
    <x v="415"/>
    <x v="2"/>
    <x v="191"/>
    <x v="421"/>
    <x v="533"/>
  </r>
  <r>
    <x v="1"/>
    <x v="32"/>
    <x v="3"/>
    <x v="7"/>
    <x v="20"/>
    <x v="11"/>
    <x v="19"/>
    <x v="29"/>
    <x v="916"/>
    <x v="0"/>
    <x v="42"/>
    <x v="184"/>
    <x v="156"/>
    <x v="901"/>
    <x v="438"/>
    <x v="0"/>
    <x v="0"/>
    <x v="0"/>
    <x v="0"/>
    <x v="0"/>
    <x v="0"/>
    <x v="0"/>
    <x v="523"/>
    <x v="566"/>
    <x v="11"/>
    <x v="0"/>
    <x v="0"/>
    <x v="646"/>
    <x v="0"/>
    <x v="0"/>
    <x v="958"/>
    <x v="9"/>
    <x v="97"/>
    <x v="117"/>
    <x v="442"/>
    <x v="2"/>
    <x v="174"/>
    <x v="447"/>
    <x v="644"/>
  </r>
  <r>
    <x v="1"/>
    <x v="32"/>
    <x v="3"/>
    <x v="3"/>
    <x v="72"/>
    <x v="11"/>
    <x v="19"/>
    <x v="10"/>
    <x v="240"/>
    <x v="0"/>
    <x v="42"/>
    <x v="153"/>
    <x v="86"/>
    <x v="709"/>
    <x v="341"/>
    <x v="0"/>
    <x v="0"/>
    <x v="0"/>
    <x v="0"/>
    <x v="3"/>
    <x v="0"/>
    <x v="0"/>
    <x v="412"/>
    <x v="721"/>
    <x v="38"/>
    <x v="3"/>
    <x v="491"/>
    <x v="640"/>
    <x v="31"/>
    <x v="0"/>
    <x v="921"/>
    <x v="0"/>
    <x v="102"/>
    <x v="130"/>
    <x v="314"/>
    <x v="5"/>
    <x v="413"/>
    <x v="593"/>
    <x v="1069"/>
  </r>
  <r>
    <x v="1"/>
    <x v="32"/>
    <x v="3"/>
    <x v="5"/>
    <x v="12"/>
    <x v="7"/>
    <x v="7"/>
    <x v="27"/>
    <x v="924"/>
    <x v="0"/>
    <x v="42"/>
    <x v="163"/>
    <x v="124"/>
    <x v="677"/>
    <x v="327"/>
    <x v="0"/>
    <x v="30"/>
    <x v="0"/>
    <x v="0"/>
    <x v="50"/>
    <x v="0"/>
    <x v="0"/>
    <x v="403"/>
    <x v="551"/>
    <x v="44"/>
    <x v="1"/>
    <x v="301"/>
    <x v="409"/>
    <x v="379"/>
    <x v="148"/>
    <x v="505"/>
    <x v="0"/>
    <x v="102"/>
    <x v="130"/>
    <x v="300"/>
    <x v="4"/>
    <x v="432"/>
    <x v="329"/>
    <x v="690"/>
  </r>
  <r>
    <x v="1"/>
    <x v="32"/>
    <x v="3"/>
    <x v="4"/>
    <x v="57"/>
    <x v="11"/>
    <x v="19"/>
    <x v="43"/>
    <x v="895"/>
    <x v="0"/>
    <x v="24"/>
    <x v="142"/>
    <x v="165"/>
    <x v="439"/>
    <x v="241"/>
    <x v="0"/>
    <x v="0"/>
    <x v="0"/>
    <x v="0"/>
    <x v="0"/>
    <x v="0"/>
    <x v="0"/>
    <x v="325"/>
    <x v="466"/>
    <x v="14"/>
    <x v="0"/>
    <x v="0"/>
    <x v="646"/>
    <x v="0"/>
    <x v="0"/>
    <x v="958"/>
    <x v="9"/>
    <x v="47"/>
    <x v="89"/>
    <x v="433"/>
    <x v="2"/>
    <x v="133"/>
    <x v="567"/>
    <x v="608"/>
  </r>
  <r>
    <x v="1"/>
    <x v="32"/>
    <x v="3"/>
    <x v="4"/>
    <x v="58"/>
    <x v="11"/>
    <x v="19"/>
    <x v="31"/>
    <x v="906"/>
    <x v="0"/>
    <x v="24"/>
    <x v="131"/>
    <x v="152"/>
    <x v="298"/>
    <x v="200"/>
    <x v="0"/>
    <x v="0"/>
    <x v="0"/>
    <x v="0"/>
    <x v="0"/>
    <x v="0"/>
    <x v="0"/>
    <x v="285"/>
    <x v="286"/>
    <x v="15"/>
    <x v="0"/>
    <x v="0"/>
    <x v="646"/>
    <x v="0"/>
    <x v="0"/>
    <x v="958"/>
    <x v="9"/>
    <x v="47"/>
    <x v="89"/>
    <x v="354"/>
    <x v="2"/>
    <x v="277"/>
    <x v="248"/>
    <x v="331"/>
  </r>
  <r>
    <x v="1"/>
    <x v="32"/>
    <x v="6"/>
    <x v="8"/>
    <x v="61"/>
    <x v="11"/>
    <x v="19"/>
    <x v="42"/>
    <x v="889"/>
    <x v="0"/>
    <x v="42"/>
    <x v="225"/>
    <x v="214"/>
    <x v="971"/>
    <x v="514"/>
    <x v="0"/>
    <x v="0"/>
    <x v="0"/>
    <x v="0"/>
    <x v="44"/>
    <x v="0"/>
    <x v="0"/>
    <x v="593"/>
    <x v="311"/>
    <x v="26"/>
    <x v="0"/>
    <x v="0"/>
    <x v="646"/>
    <x v="168"/>
    <x v="0"/>
    <x v="749"/>
    <x v="9"/>
    <x v="97"/>
    <x v="117"/>
    <x v="539"/>
    <x v="3"/>
    <x v="28"/>
    <x v="744"/>
    <x v="1200"/>
  </r>
  <r>
    <x v="1"/>
    <x v="32"/>
    <x v="3"/>
    <x v="1"/>
    <x v="6"/>
    <x v="11"/>
    <x v="19"/>
    <x v="17"/>
    <x v="63"/>
    <x v="0"/>
    <x v="42"/>
    <x v="168"/>
    <x v="131"/>
    <x v="615"/>
    <x v="306"/>
    <x v="0"/>
    <x v="0"/>
    <x v="17"/>
    <x v="0"/>
    <x v="13"/>
    <x v="0"/>
    <x v="4"/>
    <x v="133"/>
    <x v="346"/>
    <x v="1"/>
    <x v="0"/>
    <x v="0"/>
    <x v="646"/>
    <x v="144"/>
    <x v="0"/>
    <x v="774"/>
    <x v="9"/>
    <x v="97"/>
    <x v="117"/>
    <x v="274"/>
    <x v="7"/>
    <x v="680"/>
    <x v="645"/>
    <x v="1054"/>
  </r>
  <r>
    <x v="1"/>
    <x v="32"/>
    <x v="5"/>
    <x v="5"/>
    <x v="12"/>
    <x v="7"/>
    <x v="7"/>
    <x v="27"/>
    <x v="926"/>
    <x v="4"/>
    <x v="42"/>
    <x v="163"/>
    <x v="124"/>
    <x v="738"/>
    <x v="346"/>
    <x v="0"/>
    <x v="0"/>
    <x v="0"/>
    <x v="0"/>
    <x v="45"/>
    <x v="3"/>
    <x v="0"/>
    <x v="414"/>
    <x v="623"/>
    <x v="44"/>
    <x v="1"/>
    <x v="355"/>
    <x v="499"/>
    <x v="325"/>
    <x v="0"/>
    <x v="568"/>
    <x v="0"/>
    <x v="102"/>
    <x v="130"/>
    <x v="320"/>
    <x v="4"/>
    <x v="407"/>
    <x v="429"/>
    <x v="853"/>
  </r>
  <r>
    <x v="1"/>
    <x v="32"/>
    <x v="5"/>
    <x v="3"/>
    <x v="72"/>
    <x v="11"/>
    <x v="5"/>
    <x v="10"/>
    <x v="241"/>
    <x v="4"/>
    <x v="42"/>
    <x v="153"/>
    <x v="86"/>
    <x v="783"/>
    <x v="351"/>
    <x v="0"/>
    <x v="0"/>
    <x v="0"/>
    <x v="0"/>
    <x v="5"/>
    <x v="3"/>
    <x v="0"/>
    <x v="419"/>
    <x v="743"/>
    <x v="38"/>
    <x v="3"/>
    <x v="514"/>
    <x v="607"/>
    <x v="55"/>
    <x v="0"/>
    <x v="894"/>
    <x v="0"/>
    <x v="102"/>
    <x v="130"/>
    <x v="329"/>
    <x v="5"/>
    <x v="388"/>
    <x v="637"/>
    <x v="1119"/>
  </r>
  <r>
    <x v="1"/>
    <x v="33"/>
    <x v="2"/>
    <x v="4"/>
    <x v="58"/>
    <x v="11"/>
    <x v="8"/>
    <x v="31"/>
    <x v="906"/>
    <x v="1"/>
    <x v="42"/>
    <x v="184"/>
    <x v="156"/>
    <x v="898"/>
    <x v="436"/>
    <x v="0"/>
    <x v="0"/>
    <x v="0"/>
    <x v="0"/>
    <x v="0"/>
    <x v="0"/>
    <x v="0"/>
    <x v="521"/>
    <x v="561"/>
    <x v="15"/>
    <x v="0"/>
    <x v="0"/>
    <x v="646"/>
    <x v="0"/>
    <x v="0"/>
    <x v="958"/>
    <x v="9"/>
    <x v="97"/>
    <x v="117"/>
    <x v="439"/>
    <x v="2"/>
    <x v="181"/>
    <x v="436"/>
    <x v="626"/>
  </r>
  <r>
    <x v="1"/>
    <x v="33"/>
    <x v="2"/>
    <x v="7"/>
    <x v="20"/>
    <x v="11"/>
    <x v="10"/>
    <x v="29"/>
    <x v="918"/>
    <x v="1"/>
    <x v="42"/>
    <x v="184"/>
    <x v="156"/>
    <x v="898"/>
    <x v="436"/>
    <x v="0"/>
    <x v="0"/>
    <x v="0"/>
    <x v="0"/>
    <x v="0"/>
    <x v="0"/>
    <x v="0"/>
    <x v="521"/>
    <x v="561"/>
    <x v="11"/>
    <x v="0"/>
    <x v="0"/>
    <x v="646"/>
    <x v="0"/>
    <x v="0"/>
    <x v="958"/>
    <x v="9"/>
    <x v="97"/>
    <x v="117"/>
    <x v="439"/>
    <x v="2"/>
    <x v="181"/>
    <x v="436"/>
    <x v="626"/>
  </r>
  <r>
    <x v="1"/>
    <x v="33"/>
    <x v="2"/>
    <x v="5"/>
    <x v="12"/>
    <x v="7"/>
    <x v="7"/>
    <x v="27"/>
    <x v="934"/>
    <x v="1"/>
    <x v="42"/>
    <x v="163"/>
    <x v="124"/>
    <x v="755"/>
    <x v="346"/>
    <x v="0"/>
    <x v="41"/>
    <x v="0"/>
    <x v="0"/>
    <x v="45"/>
    <x v="3"/>
    <x v="0"/>
    <x v="414"/>
    <x v="623"/>
    <x v="44"/>
    <x v="1"/>
    <x v="376"/>
    <x v="386"/>
    <x v="325"/>
    <x v="190"/>
    <x v="571"/>
    <x v="0"/>
    <x v="102"/>
    <x v="130"/>
    <x v="320"/>
    <x v="4"/>
    <x v="407"/>
    <x v="429"/>
    <x v="854"/>
  </r>
  <r>
    <x v="1"/>
    <x v="33"/>
    <x v="2"/>
    <x v="3"/>
    <x v="72"/>
    <x v="11"/>
    <x v="5"/>
    <x v="10"/>
    <x v="933"/>
    <x v="1"/>
    <x v="42"/>
    <x v="153"/>
    <x v="86"/>
    <x v="223"/>
    <x v="168"/>
    <x v="0"/>
    <x v="0"/>
    <x v="0"/>
    <x v="0"/>
    <x v="2"/>
    <x v="3"/>
    <x v="0"/>
    <x v="247"/>
    <x v="86"/>
    <x v="38"/>
    <x v="3"/>
    <x v="105"/>
    <x v="561"/>
    <x v="42"/>
    <x v="0"/>
    <x v="907"/>
    <x v="41"/>
    <x v="56"/>
    <x v="34"/>
    <x v="81"/>
    <x v="5"/>
    <x v="463"/>
    <x v="481"/>
    <x v="116"/>
  </r>
  <r>
    <x v="1"/>
    <x v="33"/>
    <x v="2"/>
    <x v="1"/>
    <x v="31"/>
    <x v="11"/>
    <x v="19"/>
    <x v="24"/>
    <x v="208"/>
    <x v="3"/>
    <x v="0"/>
    <x v="0"/>
    <x v="1"/>
    <x v="0"/>
    <x v="0"/>
    <x v="0"/>
    <x v="0"/>
    <x v="0"/>
    <x v="0"/>
    <x v="0"/>
    <x v="0"/>
    <x v="4"/>
    <x v="1"/>
    <x v="466"/>
    <x v="18"/>
    <x v="0"/>
    <x v="0"/>
    <x v="646"/>
    <x v="0"/>
    <x v="0"/>
    <x v="958"/>
    <x v="0"/>
    <x v="2"/>
    <x v="130"/>
    <x v="2"/>
    <x v="7"/>
    <x v="784"/>
    <x v="2"/>
    <x v="1"/>
  </r>
  <r>
    <x v="1"/>
    <x v="33"/>
    <x v="2"/>
    <x v="1"/>
    <x v="32"/>
    <x v="11"/>
    <x v="19"/>
    <x v="26"/>
    <x v="198"/>
    <x v="3"/>
    <x v="0"/>
    <x v="1"/>
    <x v="2"/>
    <x v="2"/>
    <x v="2"/>
    <x v="0"/>
    <x v="0"/>
    <x v="0"/>
    <x v="0"/>
    <x v="0"/>
    <x v="0"/>
    <x v="4"/>
    <x v="2"/>
    <x v="466"/>
    <x v="19"/>
    <x v="0"/>
    <x v="0"/>
    <x v="646"/>
    <x v="0"/>
    <x v="0"/>
    <x v="958"/>
    <x v="0"/>
    <x v="2"/>
    <x v="130"/>
    <x v="8"/>
    <x v="7"/>
    <x v="783"/>
    <x v="3"/>
    <x v="10"/>
  </r>
  <r>
    <x v="1"/>
    <x v="33"/>
    <x v="2"/>
    <x v="1"/>
    <x v="6"/>
    <x v="11"/>
    <x v="19"/>
    <x v="17"/>
    <x v="1306"/>
    <x v="3"/>
    <x v="41"/>
    <x v="165"/>
    <x v="130"/>
    <x v="650"/>
    <x v="326"/>
    <x v="0"/>
    <x v="0"/>
    <x v="43"/>
    <x v="0"/>
    <x v="26"/>
    <x v="0"/>
    <x v="4"/>
    <x v="142"/>
    <x v="497"/>
    <x v="1"/>
    <x v="0"/>
    <x v="0"/>
    <x v="646"/>
    <x v="233"/>
    <x v="0"/>
    <x v="677"/>
    <x v="9"/>
    <x v="93"/>
    <x v="116"/>
    <x v="307"/>
    <x v="7"/>
    <x v="666"/>
    <x v="672"/>
    <x v="1110"/>
  </r>
  <r>
    <x v="1"/>
    <x v="33"/>
    <x v="2"/>
    <x v="0"/>
    <x v="2"/>
    <x v="3"/>
    <x v="0"/>
    <x v="20"/>
    <x v="242"/>
    <x v="1"/>
    <x v="42"/>
    <x v="107"/>
    <x v="29"/>
    <x v="45"/>
    <x v="38"/>
    <x v="9"/>
    <x v="27"/>
    <x v="0"/>
    <x v="0"/>
    <x v="21"/>
    <x v="3"/>
    <x v="0"/>
    <x v="107"/>
    <x v="13"/>
    <x v="38"/>
    <x v="10"/>
    <x v="161"/>
    <x v="68"/>
    <x v="719"/>
    <x v="438"/>
    <x v="70"/>
    <x v="56"/>
    <x v="28"/>
    <x v="8"/>
    <x v="7"/>
    <x v="6"/>
    <x v="581"/>
    <x v="474"/>
    <x v="16"/>
  </r>
  <r>
    <x v="1"/>
    <x v="33"/>
    <x v="6"/>
    <x v="8"/>
    <x v="61"/>
    <x v="11"/>
    <x v="19"/>
    <x v="42"/>
    <x v="904"/>
    <x v="0"/>
    <x v="16"/>
    <x v="101"/>
    <x v="170"/>
    <x v="199"/>
    <x v="149"/>
    <x v="0"/>
    <x v="0"/>
    <x v="0"/>
    <x v="0"/>
    <x v="11"/>
    <x v="0"/>
    <x v="0"/>
    <x v="229"/>
    <x v="283"/>
    <x v="26"/>
    <x v="0"/>
    <x v="0"/>
    <x v="646"/>
    <x v="220"/>
    <x v="0"/>
    <x v="690"/>
    <x v="9"/>
    <x v="27"/>
    <x v="64"/>
    <x v="420"/>
    <x v="3"/>
    <x v="105"/>
    <x v="690"/>
    <x v="914"/>
  </r>
  <r>
    <x v="1"/>
    <x v="33"/>
    <x v="6"/>
    <x v="8"/>
    <x v="62"/>
    <x v="11"/>
    <x v="19"/>
    <x v="30"/>
    <x v="908"/>
    <x v="0"/>
    <x v="34"/>
    <x v="210"/>
    <x v="227"/>
    <x v="932"/>
    <x v="470"/>
    <x v="0"/>
    <x v="0"/>
    <x v="0"/>
    <x v="0"/>
    <x v="103"/>
    <x v="0"/>
    <x v="0"/>
    <x v="567"/>
    <x v="207"/>
    <x v="27"/>
    <x v="0"/>
    <x v="0"/>
    <x v="646"/>
    <x v="458"/>
    <x v="0"/>
    <x v="396"/>
    <x v="0"/>
    <x v="76"/>
    <x v="130"/>
    <x v="526"/>
    <x v="3"/>
    <x v="45"/>
    <x v="735"/>
    <x v="1194"/>
  </r>
  <r>
    <x v="1"/>
    <x v="33"/>
    <x v="6"/>
    <x v="9"/>
    <x v="23"/>
    <x v="11"/>
    <x v="19"/>
    <x v="44"/>
    <x v="864"/>
    <x v="0"/>
    <x v="42"/>
    <x v="228"/>
    <x v="232"/>
    <x v="1015"/>
    <x v="564"/>
    <x v="0"/>
    <x v="0"/>
    <x v="0"/>
    <x v="0"/>
    <x v="35"/>
    <x v="0"/>
    <x v="1"/>
    <x v="551"/>
    <x v="564"/>
    <x v="14"/>
    <x v="0"/>
    <x v="0"/>
    <x v="646"/>
    <x v="115"/>
    <x v="0"/>
    <x v="810"/>
    <x v="9"/>
    <x v="97"/>
    <x v="117"/>
    <x v="622"/>
    <x v="1"/>
    <x v="117"/>
    <x v="129"/>
    <x v="334"/>
  </r>
  <r>
    <x v="1"/>
    <x v="33"/>
    <x v="3"/>
    <x v="4"/>
    <x v="58"/>
    <x v="11"/>
    <x v="8"/>
    <x v="31"/>
    <x v="911"/>
    <x v="0"/>
    <x v="42"/>
    <x v="184"/>
    <x v="156"/>
    <x v="100"/>
    <x v="87"/>
    <x v="0"/>
    <x v="0"/>
    <x v="0"/>
    <x v="0"/>
    <x v="0"/>
    <x v="0"/>
    <x v="0"/>
    <x v="176"/>
    <x v="2"/>
    <x v="15"/>
    <x v="0"/>
    <x v="0"/>
    <x v="646"/>
    <x v="0"/>
    <x v="0"/>
    <x v="958"/>
    <x v="58"/>
    <x v="25"/>
    <x v="5"/>
    <x v="21"/>
    <x v="2"/>
    <x v="353"/>
    <x v="94"/>
    <x v="6"/>
  </r>
  <r>
    <x v="1"/>
    <x v="33"/>
    <x v="3"/>
    <x v="7"/>
    <x v="20"/>
    <x v="11"/>
    <x v="10"/>
    <x v="29"/>
    <x v="925"/>
    <x v="2"/>
    <x v="42"/>
    <x v="184"/>
    <x v="156"/>
    <x v="893"/>
    <x v="429"/>
    <x v="0"/>
    <x v="0"/>
    <x v="0"/>
    <x v="0"/>
    <x v="0"/>
    <x v="0"/>
    <x v="0"/>
    <x v="512"/>
    <x v="531"/>
    <x v="11"/>
    <x v="0"/>
    <x v="0"/>
    <x v="646"/>
    <x v="0"/>
    <x v="0"/>
    <x v="958"/>
    <x v="9"/>
    <x v="97"/>
    <x v="117"/>
    <x v="431"/>
    <x v="2"/>
    <x v="199"/>
    <x v="408"/>
    <x v="596"/>
  </r>
  <r>
    <x v="1"/>
    <x v="33"/>
    <x v="3"/>
    <x v="0"/>
    <x v="2"/>
    <x v="3"/>
    <x v="0"/>
    <x v="20"/>
    <x v="244"/>
    <x v="2"/>
    <x v="42"/>
    <x v="107"/>
    <x v="29"/>
    <x v="369"/>
    <x v="207"/>
    <x v="9"/>
    <x v="30"/>
    <x v="0"/>
    <x v="0"/>
    <x v="70"/>
    <x v="0"/>
    <x v="0"/>
    <x v="292"/>
    <x v="706"/>
    <x v="38"/>
    <x v="10"/>
    <x v="682"/>
    <x v="229"/>
    <x v="669"/>
    <x v="238"/>
    <x v="127"/>
    <x v="0"/>
    <x v="102"/>
    <x v="130"/>
    <x v="119"/>
    <x v="6"/>
    <x v="583"/>
    <x v="457"/>
    <x v="848"/>
  </r>
  <r>
    <x v="1"/>
    <x v="33"/>
    <x v="3"/>
    <x v="5"/>
    <x v="12"/>
    <x v="7"/>
    <x v="7"/>
    <x v="27"/>
    <x v="936"/>
    <x v="2"/>
    <x v="42"/>
    <x v="163"/>
    <x v="124"/>
    <x v="689"/>
    <x v="327"/>
    <x v="0"/>
    <x v="38"/>
    <x v="0"/>
    <x v="0"/>
    <x v="64"/>
    <x v="0"/>
    <x v="0"/>
    <x v="403"/>
    <x v="551"/>
    <x v="44"/>
    <x v="1"/>
    <x v="314"/>
    <x v="353"/>
    <x v="483"/>
    <x v="189"/>
    <x v="366"/>
    <x v="0"/>
    <x v="102"/>
    <x v="130"/>
    <x v="300"/>
    <x v="4"/>
    <x v="432"/>
    <x v="329"/>
    <x v="674"/>
  </r>
  <r>
    <x v="1"/>
    <x v="33"/>
    <x v="3"/>
    <x v="1"/>
    <x v="6"/>
    <x v="11"/>
    <x v="12"/>
    <x v="17"/>
    <x v="229"/>
    <x v="2"/>
    <x v="42"/>
    <x v="168"/>
    <x v="131"/>
    <x v="844"/>
    <x v="372"/>
    <x v="0"/>
    <x v="0"/>
    <x v="36"/>
    <x v="0"/>
    <x v="29"/>
    <x v="0"/>
    <x v="5"/>
    <x v="146"/>
    <x v="697"/>
    <x v="1"/>
    <x v="0"/>
    <x v="0"/>
    <x v="646"/>
    <x v="211"/>
    <x v="0"/>
    <x v="700"/>
    <x v="9"/>
    <x v="97"/>
    <x v="117"/>
    <x v="355"/>
    <x v="7"/>
    <x v="668"/>
    <x v="667"/>
    <x v="1105"/>
  </r>
  <r>
    <x v="1"/>
    <x v="33"/>
    <x v="5"/>
    <x v="0"/>
    <x v="2"/>
    <x v="3"/>
    <x v="0"/>
    <x v="20"/>
    <x v="245"/>
    <x v="4"/>
    <x v="42"/>
    <x v="107"/>
    <x v="29"/>
    <x v="341"/>
    <x v="202"/>
    <x v="22"/>
    <x v="46"/>
    <x v="0"/>
    <x v="0"/>
    <x v="70"/>
    <x v="3"/>
    <x v="0"/>
    <x v="286"/>
    <x v="688"/>
    <x v="38"/>
    <x v="10"/>
    <x v="667"/>
    <x v="166"/>
    <x v="678"/>
    <x v="316"/>
    <x v="112"/>
    <x v="0"/>
    <x v="102"/>
    <x v="130"/>
    <x v="113"/>
    <x v="6"/>
    <x v="591"/>
    <x v="390"/>
    <x v="731"/>
  </r>
  <r>
    <x v="1"/>
    <x v="33"/>
    <x v="5"/>
    <x v="5"/>
    <x v="12"/>
    <x v="7"/>
    <x v="7"/>
    <x v="27"/>
    <x v="937"/>
    <x v="4"/>
    <x v="42"/>
    <x v="163"/>
    <x v="124"/>
    <x v="672"/>
    <x v="327"/>
    <x v="0"/>
    <x v="14"/>
    <x v="0"/>
    <x v="0"/>
    <x v="40"/>
    <x v="3"/>
    <x v="0"/>
    <x v="403"/>
    <x v="551"/>
    <x v="44"/>
    <x v="1"/>
    <x v="295"/>
    <x v="458"/>
    <x v="313"/>
    <x v="40"/>
    <x v="584"/>
    <x v="0"/>
    <x v="102"/>
    <x v="130"/>
    <x v="300"/>
    <x v="4"/>
    <x v="432"/>
    <x v="329"/>
    <x v="697"/>
  </r>
  <r>
    <x v="1"/>
    <x v="34"/>
    <x v="2"/>
    <x v="0"/>
    <x v="2"/>
    <x v="3"/>
    <x v="0"/>
    <x v="20"/>
    <x v="247"/>
    <x v="2"/>
    <x v="42"/>
    <x v="107"/>
    <x v="29"/>
    <x v="332"/>
    <x v="202"/>
    <x v="0"/>
    <x v="29"/>
    <x v="0"/>
    <x v="0"/>
    <x v="66"/>
    <x v="3"/>
    <x v="0"/>
    <x v="286"/>
    <x v="688"/>
    <x v="38"/>
    <x v="10"/>
    <x v="662"/>
    <x v="224"/>
    <x v="660"/>
    <x v="234"/>
    <x v="138"/>
    <x v="7"/>
    <x v="99"/>
    <x v="122"/>
    <x v="113"/>
    <x v="6"/>
    <x v="572"/>
    <x v="505"/>
    <x v="735"/>
  </r>
  <r>
    <x v="1"/>
    <x v="34"/>
    <x v="2"/>
    <x v="0"/>
    <x v="0"/>
    <x v="4"/>
    <x v="1"/>
    <x v="13"/>
    <x v="248"/>
    <x v="2"/>
    <x v="24"/>
    <x v="38"/>
    <x v="19"/>
    <x v="164"/>
    <x v="123"/>
    <x v="7"/>
    <x v="16"/>
    <x v="0"/>
    <x v="0"/>
    <x v="42"/>
    <x v="3"/>
    <x v="0"/>
    <x v="206"/>
    <x v="753"/>
    <x v="38"/>
    <x v="5"/>
    <x v="422"/>
    <x v="171"/>
    <x v="689"/>
    <x v="256"/>
    <x v="96"/>
    <x v="16"/>
    <x v="40"/>
    <x v="61"/>
    <x v="148"/>
    <x v="6"/>
    <x v="452"/>
    <x v="718"/>
    <x v="1052"/>
  </r>
  <r>
    <x v="1"/>
    <x v="34"/>
    <x v="2"/>
    <x v="5"/>
    <x v="12"/>
    <x v="7"/>
    <x v="7"/>
    <x v="27"/>
    <x v="941"/>
    <x v="2"/>
    <x v="42"/>
    <x v="163"/>
    <x v="124"/>
    <x v="540"/>
    <x v="275"/>
    <x v="66"/>
    <x v="36"/>
    <x v="0"/>
    <x v="0"/>
    <x v="51"/>
    <x v="3"/>
    <x v="0"/>
    <x v="359"/>
    <x v="271"/>
    <x v="44"/>
    <x v="1"/>
    <x v="279"/>
    <x v="31"/>
    <x v="457"/>
    <x v="216"/>
    <x v="407"/>
    <x v="16"/>
    <x v="89"/>
    <x v="95"/>
    <x v="215"/>
    <x v="4"/>
    <x v="443"/>
    <x v="291"/>
    <x v="362"/>
  </r>
  <r>
    <x v="1"/>
    <x v="34"/>
    <x v="2"/>
    <x v="7"/>
    <x v="20"/>
    <x v="11"/>
    <x v="10"/>
    <x v="29"/>
    <x v="923"/>
    <x v="2"/>
    <x v="42"/>
    <x v="184"/>
    <x v="156"/>
    <x v="723"/>
    <x v="346"/>
    <x v="0"/>
    <x v="0"/>
    <x v="0"/>
    <x v="0"/>
    <x v="0"/>
    <x v="0"/>
    <x v="0"/>
    <x v="414"/>
    <x v="177"/>
    <x v="11"/>
    <x v="0"/>
    <x v="0"/>
    <x v="646"/>
    <x v="0"/>
    <x v="0"/>
    <x v="958"/>
    <x v="28"/>
    <x v="74"/>
    <x v="63"/>
    <x v="320"/>
    <x v="2"/>
    <x v="270"/>
    <x v="263"/>
    <x v="209"/>
  </r>
  <r>
    <x v="1"/>
    <x v="34"/>
    <x v="2"/>
    <x v="1"/>
    <x v="6"/>
    <x v="11"/>
    <x v="19"/>
    <x v="17"/>
    <x v="235"/>
    <x v="3"/>
    <x v="27"/>
    <x v="119"/>
    <x v="138"/>
    <x v="163"/>
    <x v="126"/>
    <x v="0"/>
    <x v="0"/>
    <x v="9"/>
    <x v="0"/>
    <x v="15"/>
    <x v="0"/>
    <x v="4"/>
    <x v="69"/>
    <x v="96"/>
    <x v="1"/>
    <x v="0"/>
    <x v="0"/>
    <x v="646"/>
    <x v="323"/>
    <x v="0"/>
    <x v="570"/>
    <x v="19"/>
    <x v="45"/>
    <x v="60"/>
    <x v="122"/>
    <x v="7"/>
    <x v="722"/>
    <x v="513"/>
    <x v="289"/>
  </r>
  <r>
    <x v="1"/>
    <x v="34"/>
    <x v="2"/>
    <x v="1"/>
    <x v="8"/>
    <x v="11"/>
    <x v="19"/>
    <x v="58"/>
    <x v="27"/>
    <x v="3"/>
    <x v="22"/>
    <x v="111"/>
    <x v="144"/>
    <x v="317"/>
    <x v="205"/>
    <x v="0"/>
    <x v="0"/>
    <x v="9"/>
    <x v="0"/>
    <x v="15"/>
    <x v="0"/>
    <x v="4"/>
    <x v="96"/>
    <x v="690"/>
    <x v="3"/>
    <x v="0"/>
    <x v="0"/>
    <x v="646"/>
    <x v="216"/>
    <x v="0"/>
    <x v="695"/>
    <x v="0"/>
    <x v="48"/>
    <x v="130"/>
    <x v="413"/>
    <x v="7"/>
    <x v="642"/>
    <x v="722"/>
    <x v="1187"/>
  </r>
  <r>
    <x v="1"/>
    <x v="34"/>
    <x v="6"/>
    <x v="8"/>
    <x v="62"/>
    <x v="11"/>
    <x v="19"/>
    <x v="30"/>
    <x v="915"/>
    <x v="0"/>
    <x v="14"/>
    <x v="115"/>
    <x v="187"/>
    <x v="208"/>
    <x v="152"/>
    <x v="0"/>
    <x v="0"/>
    <x v="0"/>
    <x v="0"/>
    <x v="51"/>
    <x v="0"/>
    <x v="0"/>
    <x v="231"/>
    <x v="212"/>
    <x v="27"/>
    <x v="0"/>
    <x v="0"/>
    <x v="646"/>
    <x v="673"/>
    <x v="0"/>
    <x v="111"/>
    <x v="9"/>
    <x v="20"/>
    <x v="54"/>
    <x v="475"/>
    <x v="3"/>
    <x v="37"/>
    <x v="740"/>
    <x v="1147"/>
  </r>
  <r>
    <x v="1"/>
    <x v="34"/>
    <x v="6"/>
    <x v="9"/>
    <x v="22"/>
    <x v="11"/>
    <x v="17"/>
    <x v="50"/>
    <x v="741"/>
    <x v="0"/>
    <x v="42"/>
    <x v="228"/>
    <x v="232"/>
    <x v="1011"/>
    <x v="560"/>
    <x v="0"/>
    <x v="0"/>
    <x v="0"/>
    <x v="0"/>
    <x v="4"/>
    <x v="0"/>
    <x v="1"/>
    <x v="545"/>
    <x v="493"/>
    <x v="29"/>
    <x v="0"/>
    <x v="0"/>
    <x v="646"/>
    <x v="9"/>
    <x v="0"/>
    <x v="949"/>
    <x v="9"/>
    <x v="97"/>
    <x v="117"/>
    <x v="611"/>
    <x v="1"/>
    <x v="129"/>
    <x v="104"/>
    <x v="288"/>
  </r>
  <r>
    <x v="1"/>
    <x v="34"/>
    <x v="3"/>
    <x v="7"/>
    <x v="20"/>
    <x v="11"/>
    <x v="19"/>
    <x v="29"/>
    <x v="927"/>
    <x v="0"/>
    <x v="42"/>
    <x v="184"/>
    <x v="156"/>
    <x v="885"/>
    <x v="421"/>
    <x v="0"/>
    <x v="0"/>
    <x v="0"/>
    <x v="0"/>
    <x v="0"/>
    <x v="0"/>
    <x v="0"/>
    <x v="499"/>
    <x v="466"/>
    <x v="11"/>
    <x v="0"/>
    <x v="0"/>
    <x v="646"/>
    <x v="0"/>
    <x v="0"/>
    <x v="958"/>
    <x v="9"/>
    <x v="97"/>
    <x v="117"/>
    <x v="415"/>
    <x v="2"/>
    <x v="224"/>
    <x v="365"/>
    <x v="533"/>
  </r>
  <r>
    <x v="1"/>
    <x v="34"/>
    <x v="3"/>
    <x v="3"/>
    <x v="72"/>
    <x v="11"/>
    <x v="5"/>
    <x v="10"/>
    <x v="256"/>
    <x v="0"/>
    <x v="42"/>
    <x v="153"/>
    <x v="86"/>
    <x v="840"/>
    <x v="371"/>
    <x v="2"/>
    <x v="12"/>
    <x v="0"/>
    <x v="0"/>
    <x v="6"/>
    <x v="3"/>
    <x v="0"/>
    <x v="439"/>
    <x v="755"/>
    <x v="38"/>
    <x v="3"/>
    <x v="536"/>
    <x v="524"/>
    <x v="60"/>
    <x v="27"/>
    <x v="886"/>
    <x v="0"/>
    <x v="102"/>
    <x v="130"/>
    <x v="354"/>
    <x v="5"/>
    <x v="359"/>
    <x v="671"/>
    <x v="1153"/>
  </r>
  <r>
    <x v="1"/>
    <x v="34"/>
    <x v="3"/>
    <x v="5"/>
    <x v="12"/>
    <x v="7"/>
    <x v="7"/>
    <x v="27"/>
    <x v="942"/>
    <x v="0"/>
    <x v="42"/>
    <x v="163"/>
    <x v="124"/>
    <x v="762"/>
    <x v="346"/>
    <x v="0"/>
    <x v="49"/>
    <x v="0"/>
    <x v="0"/>
    <x v="70"/>
    <x v="0"/>
    <x v="0"/>
    <x v="414"/>
    <x v="623"/>
    <x v="44"/>
    <x v="1"/>
    <x v="384"/>
    <x v="328"/>
    <x v="497"/>
    <x v="220"/>
    <x v="349"/>
    <x v="0"/>
    <x v="102"/>
    <x v="130"/>
    <x v="320"/>
    <x v="4"/>
    <x v="407"/>
    <x v="429"/>
    <x v="819"/>
  </r>
  <r>
    <x v="1"/>
    <x v="34"/>
    <x v="3"/>
    <x v="0"/>
    <x v="2"/>
    <x v="11"/>
    <x v="0"/>
    <x v="20"/>
    <x v="250"/>
    <x v="0"/>
    <x v="42"/>
    <x v="107"/>
    <x v="29"/>
    <x v="421"/>
    <x v="227"/>
    <x v="0"/>
    <x v="0"/>
    <x v="0"/>
    <x v="0"/>
    <x v="53"/>
    <x v="0"/>
    <x v="0"/>
    <x v="314"/>
    <x v="741"/>
    <x v="38"/>
    <x v="10"/>
    <x v="707"/>
    <x v="441"/>
    <x v="567"/>
    <x v="0"/>
    <x v="259"/>
    <x v="0"/>
    <x v="102"/>
    <x v="130"/>
    <x v="142"/>
    <x v="6"/>
    <x v="557"/>
    <x v="577"/>
    <x v="1047"/>
  </r>
  <r>
    <x v="1"/>
    <x v="34"/>
    <x v="3"/>
    <x v="0"/>
    <x v="0"/>
    <x v="11"/>
    <x v="1"/>
    <x v="13"/>
    <x v="252"/>
    <x v="0"/>
    <x v="42"/>
    <x v="107"/>
    <x v="29"/>
    <x v="345"/>
    <x v="205"/>
    <x v="13"/>
    <x v="21"/>
    <x v="0"/>
    <x v="0"/>
    <x v="83"/>
    <x v="0"/>
    <x v="0"/>
    <x v="290"/>
    <x v="698"/>
    <x v="38"/>
    <x v="5"/>
    <x v="581"/>
    <x v="211"/>
    <x v="713"/>
    <x v="179"/>
    <x v="66"/>
    <x v="0"/>
    <x v="102"/>
    <x v="130"/>
    <x v="115"/>
    <x v="6"/>
    <x v="589"/>
    <x v="414"/>
    <x v="747"/>
  </r>
  <r>
    <x v="1"/>
    <x v="34"/>
    <x v="3"/>
    <x v="1"/>
    <x v="8"/>
    <x v="11"/>
    <x v="19"/>
    <x v="58"/>
    <x v="29"/>
    <x v="0"/>
    <x v="42"/>
    <x v="176"/>
    <x v="143"/>
    <x v="881"/>
    <x v="411"/>
    <x v="0"/>
    <x v="0"/>
    <x v="47"/>
    <x v="0"/>
    <x v="44"/>
    <x v="0"/>
    <x v="4"/>
    <x v="180"/>
    <x v="691"/>
    <x v="3"/>
    <x v="0"/>
    <x v="0"/>
    <x v="646"/>
    <x v="266"/>
    <x v="0"/>
    <x v="640"/>
    <x v="9"/>
    <x v="97"/>
    <x v="117"/>
    <x v="396"/>
    <x v="7"/>
    <x v="640"/>
    <x v="732"/>
    <x v="1185"/>
  </r>
  <r>
    <x v="1"/>
    <x v="34"/>
    <x v="5"/>
    <x v="0"/>
    <x v="0"/>
    <x v="1"/>
    <x v="1"/>
    <x v="13"/>
    <x v="254"/>
    <x v="4"/>
    <x v="42"/>
    <x v="107"/>
    <x v="29"/>
    <x v="347"/>
    <x v="205"/>
    <x v="22"/>
    <x v="32"/>
    <x v="0"/>
    <x v="0"/>
    <x v="65"/>
    <x v="3"/>
    <x v="0"/>
    <x v="290"/>
    <x v="698"/>
    <x v="38"/>
    <x v="5"/>
    <x v="583"/>
    <x v="192"/>
    <x v="652"/>
    <x v="252"/>
    <x v="153"/>
    <x v="0"/>
    <x v="102"/>
    <x v="130"/>
    <x v="115"/>
    <x v="6"/>
    <x v="589"/>
    <x v="414"/>
    <x v="774"/>
  </r>
  <r>
    <x v="1"/>
    <x v="34"/>
    <x v="5"/>
    <x v="5"/>
    <x v="12"/>
    <x v="7"/>
    <x v="7"/>
    <x v="27"/>
    <x v="944"/>
    <x v="4"/>
    <x v="42"/>
    <x v="163"/>
    <x v="124"/>
    <x v="585"/>
    <x v="292"/>
    <x v="0"/>
    <x v="26"/>
    <x v="0"/>
    <x v="0"/>
    <x v="40"/>
    <x v="3"/>
    <x v="0"/>
    <x v="373"/>
    <x v="347"/>
    <x v="44"/>
    <x v="1"/>
    <x v="247"/>
    <x v="403"/>
    <x v="333"/>
    <x v="139"/>
    <x v="560"/>
    <x v="14"/>
    <x v="91"/>
    <x v="102"/>
    <x v="247"/>
    <x v="4"/>
    <x v="419"/>
    <x v="374"/>
    <x v="447"/>
  </r>
  <r>
    <x v="1"/>
    <x v="34"/>
    <x v="5"/>
    <x v="3"/>
    <x v="72"/>
    <x v="11"/>
    <x v="5"/>
    <x v="10"/>
    <x v="257"/>
    <x v="4"/>
    <x v="42"/>
    <x v="153"/>
    <x v="86"/>
    <x v="661"/>
    <x v="327"/>
    <x v="12"/>
    <x v="0"/>
    <x v="0"/>
    <x v="0"/>
    <x v="12"/>
    <x v="3"/>
    <x v="0"/>
    <x v="403"/>
    <x v="703"/>
    <x v="38"/>
    <x v="3"/>
    <x v="484"/>
    <x v="512"/>
    <x v="132"/>
    <x v="0"/>
    <x v="793"/>
    <x v="0"/>
    <x v="102"/>
    <x v="130"/>
    <x v="300"/>
    <x v="5"/>
    <x v="432"/>
    <x v="550"/>
    <x v="1028"/>
  </r>
  <r>
    <x v="1"/>
    <x v="35"/>
    <x v="2"/>
    <x v="0"/>
    <x v="0"/>
    <x v="1"/>
    <x v="1"/>
    <x v="13"/>
    <x v="258"/>
    <x v="2"/>
    <x v="34"/>
    <x v="81"/>
    <x v="30"/>
    <x v="198"/>
    <x v="148"/>
    <x v="4"/>
    <x v="13"/>
    <x v="0"/>
    <x v="0"/>
    <x v="28"/>
    <x v="3"/>
    <x v="0"/>
    <x v="227"/>
    <x v="636"/>
    <x v="38"/>
    <x v="5"/>
    <x v="511"/>
    <x v="285"/>
    <x v="487"/>
    <x v="192"/>
    <x v="358"/>
    <x v="0"/>
    <x v="76"/>
    <x v="130"/>
    <x v="105"/>
    <x v="6"/>
    <x v="601"/>
    <x v="295"/>
    <x v="630"/>
  </r>
  <r>
    <x v="1"/>
    <x v="35"/>
    <x v="2"/>
    <x v="5"/>
    <x v="12"/>
    <x v="7"/>
    <x v="7"/>
    <x v="27"/>
    <x v="945"/>
    <x v="2"/>
    <x v="34"/>
    <x v="139"/>
    <x v="125"/>
    <x v="418"/>
    <x v="223"/>
    <x v="26"/>
    <x v="16"/>
    <x v="0"/>
    <x v="0"/>
    <x v="32"/>
    <x v="3"/>
    <x v="0"/>
    <x v="310"/>
    <x v="344"/>
    <x v="44"/>
    <x v="1"/>
    <x v="123"/>
    <x v="235"/>
    <x v="358"/>
    <x v="115"/>
    <x v="531"/>
    <x v="0"/>
    <x v="76"/>
    <x v="130"/>
    <x v="245"/>
    <x v="4"/>
    <x v="498"/>
    <x v="153"/>
    <x v="439"/>
  </r>
  <r>
    <x v="1"/>
    <x v="35"/>
    <x v="2"/>
    <x v="3"/>
    <x v="72"/>
    <x v="11"/>
    <x v="5"/>
    <x v="10"/>
    <x v="259"/>
    <x v="2"/>
    <x v="24"/>
    <x v="89"/>
    <x v="86"/>
    <x v="235"/>
    <x v="174"/>
    <x v="0"/>
    <x v="0"/>
    <x v="0"/>
    <x v="0"/>
    <x v="15"/>
    <x v="3"/>
    <x v="0"/>
    <x v="253"/>
    <x v="709"/>
    <x v="38"/>
    <x v="3"/>
    <x v="109"/>
    <x v="507"/>
    <x v="254"/>
    <x v="0"/>
    <x v="655"/>
    <x v="0"/>
    <x v="55"/>
    <x v="130"/>
    <x v="305"/>
    <x v="5"/>
    <x v="425"/>
    <x v="559"/>
    <x v="1044"/>
  </r>
  <r>
    <x v="1"/>
    <x v="35"/>
    <x v="2"/>
    <x v="7"/>
    <x v="20"/>
    <x v="11"/>
    <x v="10"/>
    <x v="29"/>
    <x v="935"/>
    <x v="2"/>
    <x v="34"/>
    <x v="174"/>
    <x v="156"/>
    <x v="723"/>
    <x v="344"/>
    <x v="0"/>
    <x v="0"/>
    <x v="0"/>
    <x v="0"/>
    <x v="12"/>
    <x v="0"/>
    <x v="0"/>
    <x v="413"/>
    <x v="483"/>
    <x v="11"/>
    <x v="0"/>
    <x v="0"/>
    <x v="646"/>
    <x v="126"/>
    <x v="0"/>
    <x v="799"/>
    <x v="0"/>
    <x v="76"/>
    <x v="130"/>
    <x v="418"/>
    <x v="2"/>
    <x v="295"/>
    <x v="213"/>
    <x v="541"/>
  </r>
  <r>
    <x v="1"/>
    <x v="35"/>
    <x v="2"/>
    <x v="1"/>
    <x v="8"/>
    <x v="11"/>
    <x v="19"/>
    <x v="58"/>
    <x v="32"/>
    <x v="3"/>
    <x v="28"/>
    <x v="130"/>
    <x v="139"/>
    <x v="221"/>
    <x v="163"/>
    <x v="0"/>
    <x v="0"/>
    <x v="15"/>
    <x v="0"/>
    <x v="82"/>
    <x v="0"/>
    <x v="4"/>
    <x v="84"/>
    <x v="157"/>
    <x v="3"/>
    <x v="0"/>
    <x v="0"/>
    <x v="646"/>
    <x v="744"/>
    <x v="0"/>
    <x v="32"/>
    <x v="16"/>
    <x v="53"/>
    <x v="70"/>
    <x v="175"/>
    <x v="7"/>
    <x v="690"/>
    <x v="622"/>
    <x v="479"/>
  </r>
  <r>
    <x v="1"/>
    <x v="35"/>
    <x v="2"/>
    <x v="1"/>
    <x v="5"/>
    <x v="11"/>
    <x v="19"/>
    <x v="14"/>
    <x v="123"/>
    <x v="2"/>
    <x v="14"/>
    <x v="38"/>
    <x v="122"/>
    <x v="96"/>
    <x v="81"/>
    <x v="0"/>
    <x v="0"/>
    <x v="7"/>
    <x v="0"/>
    <x v="13"/>
    <x v="0"/>
    <x v="4"/>
    <x v="54"/>
    <x v="534"/>
    <x v="0"/>
    <x v="0"/>
    <x v="0"/>
    <x v="646"/>
    <x v="395"/>
    <x v="0"/>
    <x v="478"/>
    <x v="0"/>
    <x v="29"/>
    <x v="130"/>
    <x v="294"/>
    <x v="7"/>
    <x v="692"/>
    <x v="616"/>
    <x v="1088"/>
  </r>
  <r>
    <x v="1"/>
    <x v="36"/>
    <x v="2"/>
    <x v="0"/>
    <x v="0"/>
    <x v="1"/>
    <x v="1"/>
    <x v="13"/>
    <x v="260"/>
    <x v="2"/>
    <x v="42"/>
    <x v="107"/>
    <x v="29"/>
    <x v="200"/>
    <x v="148"/>
    <x v="4"/>
    <x v="32"/>
    <x v="0"/>
    <x v="0"/>
    <x v="32"/>
    <x v="3"/>
    <x v="0"/>
    <x v="227"/>
    <x v="242"/>
    <x v="38"/>
    <x v="5"/>
    <x v="522"/>
    <x v="204"/>
    <x v="548"/>
    <x v="327"/>
    <x v="291"/>
    <x v="24"/>
    <x v="79"/>
    <x v="73"/>
    <x v="63"/>
    <x v="6"/>
    <x v="608"/>
    <x v="224"/>
    <x v="238"/>
  </r>
  <r>
    <x v="1"/>
    <x v="36"/>
    <x v="2"/>
    <x v="5"/>
    <x v="12"/>
    <x v="7"/>
    <x v="7"/>
    <x v="27"/>
    <x v="949"/>
    <x v="2"/>
    <x v="42"/>
    <x v="137"/>
    <x v="56"/>
    <x v="466"/>
    <x v="253"/>
    <x v="53"/>
    <x v="66"/>
    <x v="0"/>
    <x v="0"/>
    <x v="54"/>
    <x v="3"/>
    <x v="0"/>
    <x v="334"/>
    <x v="578"/>
    <x v="44"/>
    <x v="1"/>
    <x v="187"/>
    <x v="79"/>
    <x v="530"/>
    <x v="335"/>
    <x v="312"/>
    <x v="26"/>
    <x v="76"/>
    <x v="68"/>
    <x v="174"/>
    <x v="4"/>
    <x v="423"/>
    <x v="349"/>
    <x v="256"/>
  </r>
  <r>
    <x v="1"/>
    <x v="36"/>
    <x v="2"/>
    <x v="7"/>
    <x v="20"/>
    <x v="1"/>
    <x v="1"/>
    <x v="29"/>
    <x v="938"/>
    <x v="2"/>
    <x v="42"/>
    <x v="184"/>
    <x v="156"/>
    <x v="849"/>
    <x v="380"/>
    <x v="0"/>
    <x v="0"/>
    <x v="0"/>
    <x v="0"/>
    <x v="0"/>
    <x v="0"/>
    <x v="0"/>
    <x v="447"/>
    <x v="281"/>
    <x v="11"/>
    <x v="0"/>
    <x v="0"/>
    <x v="646"/>
    <x v="0"/>
    <x v="0"/>
    <x v="958"/>
    <x v="11"/>
    <x v="95"/>
    <x v="112"/>
    <x v="364"/>
    <x v="2"/>
    <x v="314"/>
    <x v="175"/>
    <x v="354"/>
  </r>
  <r>
    <x v="1"/>
    <x v="36"/>
    <x v="2"/>
    <x v="1"/>
    <x v="5"/>
    <x v="11"/>
    <x v="19"/>
    <x v="14"/>
    <x v="249"/>
    <x v="3"/>
    <x v="42"/>
    <x v="168"/>
    <x v="131"/>
    <x v="637"/>
    <x v="317"/>
    <x v="0"/>
    <x v="0"/>
    <x v="31"/>
    <x v="0"/>
    <x v="37"/>
    <x v="0"/>
    <x v="4"/>
    <x v="136"/>
    <x v="379"/>
    <x v="0"/>
    <x v="0"/>
    <x v="0"/>
    <x v="646"/>
    <x v="302"/>
    <x v="0"/>
    <x v="600"/>
    <x v="14"/>
    <x v="91"/>
    <x v="102"/>
    <x v="284"/>
    <x v="7"/>
    <x v="667"/>
    <x v="670"/>
    <x v="1072"/>
  </r>
  <r>
    <x v="1"/>
    <x v="36"/>
    <x v="6"/>
    <x v="9"/>
    <x v="23"/>
    <x v="11"/>
    <x v="19"/>
    <x v="44"/>
    <x v="1308"/>
    <x v="0"/>
    <x v="42"/>
    <x v="228"/>
    <x v="232"/>
    <x v="1007"/>
    <x v="557"/>
    <x v="0"/>
    <x v="0"/>
    <x v="0"/>
    <x v="0"/>
    <x v="2"/>
    <x v="0"/>
    <x v="1"/>
    <x v="542"/>
    <x v="472"/>
    <x v="14"/>
    <x v="0"/>
    <x v="0"/>
    <x v="646"/>
    <x v="4"/>
    <x v="0"/>
    <x v="954"/>
    <x v="9"/>
    <x v="97"/>
    <x v="117"/>
    <x v="605"/>
    <x v="1"/>
    <x v="130"/>
    <x v="100"/>
    <x v="278"/>
  </r>
  <r>
    <x v="1"/>
    <x v="36"/>
    <x v="3"/>
    <x v="7"/>
    <x v="20"/>
    <x v="11"/>
    <x v="19"/>
    <x v="29"/>
    <x v="943"/>
    <x v="0"/>
    <x v="42"/>
    <x v="184"/>
    <x v="156"/>
    <x v="854"/>
    <x v="386"/>
    <x v="0"/>
    <x v="0"/>
    <x v="0"/>
    <x v="0"/>
    <x v="0"/>
    <x v="0"/>
    <x v="0"/>
    <x v="455"/>
    <x v="303"/>
    <x v="11"/>
    <x v="0"/>
    <x v="0"/>
    <x v="646"/>
    <x v="0"/>
    <x v="0"/>
    <x v="958"/>
    <x v="9"/>
    <x v="97"/>
    <x v="117"/>
    <x v="368"/>
    <x v="2"/>
    <x v="310"/>
    <x v="179"/>
    <x v="373"/>
  </r>
  <r>
    <x v="1"/>
    <x v="36"/>
    <x v="3"/>
    <x v="4"/>
    <x v="58"/>
    <x v="11"/>
    <x v="19"/>
    <x v="31"/>
    <x v="911"/>
    <x v="0"/>
    <x v="42"/>
    <x v="184"/>
    <x v="156"/>
    <x v="885"/>
    <x v="421"/>
    <x v="0"/>
    <x v="0"/>
    <x v="0"/>
    <x v="0"/>
    <x v="0"/>
    <x v="0"/>
    <x v="0"/>
    <x v="499"/>
    <x v="466"/>
    <x v="15"/>
    <x v="0"/>
    <x v="0"/>
    <x v="646"/>
    <x v="0"/>
    <x v="0"/>
    <x v="958"/>
    <x v="9"/>
    <x v="97"/>
    <x v="117"/>
    <x v="415"/>
    <x v="2"/>
    <x v="224"/>
    <x v="365"/>
    <x v="533"/>
  </r>
  <r>
    <x v="1"/>
    <x v="36"/>
    <x v="3"/>
    <x v="0"/>
    <x v="0"/>
    <x v="11"/>
    <x v="1"/>
    <x v="13"/>
    <x v="262"/>
    <x v="0"/>
    <x v="42"/>
    <x v="107"/>
    <x v="29"/>
    <x v="335"/>
    <x v="205"/>
    <x v="0"/>
    <x v="22"/>
    <x v="0"/>
    <x v="0"/>
    <x v="51"/>
    <x v="0"/>
    <x v="0"/>
    <x v="290"/>
    <x v="698"/>
    <x v="38"/>
    <x v="5"/>
    <x v="578"/>
    <x v="302"/>
    <x v="592"/>
    <x v="195"/>
    <x v="232"/>
    <x v="0"/>
    <x v="102"/>
    <x v="130"/>
    <x v="115"/>
    <x v="6"/>
    <x v="589"/>
    <x v="414"/>
    <x v="790"/>
  </r>
  <r>
    <x v="1"/>
    <x v="36"/>
    <x v="3"/>
    <x v="5"/>
    <x v="12"/>
    <x v="7"/>
    <x v="7"/>
    <x v="27"/>
    <x v="951"/>
    <x v="0"/>
    <x v="42"/>
    <x v="163"/>
    <x v="124"/>
    <x v="802"/>
    <x v="351"/>
    <x v="0"/>
    <x v="24"/>
    <x v="0"/>
    <x v="0"/>
    <x v="47"/>
    <x v="0"/>
    <x v="0"/>
    <x v="419"/>
    <x v="665"/>
    <x v="44"/>
    <x v="1"/>
    <x v="412"/>
    <x v="450"/>
    <x v="326"/>
    <x v="79"/>
    <x v="567"/>
    <x v="0"/>
    <x v="102"/>
    <x v="130"/>
    <x v="329"/>
    <x v="4"/>
    <x v="388"/>
    <x v="499"/>
    <x v="940"/>
  </r>
  <r>
    <x v="1"/>
    <x v="36"/>
    <x v="3"/>
    <x v="2"/>
    <x v="75"/>
    <x v="11"/>
    <x v="14"/>
    <x v="6"/>
    <x v="265"/>
    <x v="0"/>
    <x v="42"/>
    <x v="153"/>
    <x v="86"/>
    <x v="654"/>
    <x v="327"/>
    <x v="33"/>
    <x v="0"/>
    <x v="0"/>
    <x v="0"/>
    <x v="4"/>
    <x v="0"/>
    <x v="0"/>
    <x v="403"/>
    <x v="703"/>
    <x v="43"/>
    <x v="2"/>
    <x v="386"/>
    <x v="452"/>
    <x v="41"/>
    <x v="0"/>
    <x v="908"/>
    <x v="0"/>
    <x v="102"/>
    <x v="130"/>
    <x v="300"/>
    <x v="5"/>
    <x v="432"/>
    <x v="550"/>
    <x v="1035"/>
  </r>
  <r>
    <x v="1"/>
    <x v="36"/>
    <x v="3"/>
    <x v="1"/>
    <x v="5"/>
    <x v="11"/>
    <x v="19"/>
    <x v="14"/>
    <x v="253"/>
    <x v="0"/>
    <x v="42"/>
    <x v="168"/>
    <x v="131"/>
    <x v="791"/>
    <x v="350"/>
    <x v="0"/>
    <x v="0"/>
    <x v="37"/>
    <x v="0"/>
    <x v="40"/>
    <x v="0"/>
    <x v="4"/>
    <x v="156"/>
    <x v="600"/>
    <x v="0"/>
    <x v="0"/>
    <x v="0"/>
    <x v="646"/>
    <x v="291"/>
    <x v="0"/>
    <x v="611"/>
    <x v="9"/>
    <x v="97"/>
    <x v="117"/>
    <x v="328"/>
    <x v="7"/>
    <x v="654"/>
    <x v="691"/>
    <x v="1149"/>
  </r>
  <r>
    <x v="1"/>
    <x v="36"/>
    <x v="5"/>
    <x v="2"/>
    <x v="75"/>
    <x v="11"/>
    <x v="14"/>
    <x v="6"/>
    <x v="266"/>
    <x v="4"/>
    <x v="22"/>
    <x v="74"/>
    <x v="73"/>
    <x v="167"/>
    <x v="132"/>
    <x v="0"/>
    <x v="0"/>
    <x v="0"/>
    <x v="0"/>
    <x v="0"/>
    <x v="0"/>
    <x v="0"/>
    <x v="214"/>
    <x v="540"/>
    <x v="43"/>
    <x v="2"/>
    <x v="54"/>
    <x v="645"/>
    <x v="0"/>
    <x v="0"/>
    <x v="958"/>
    <x v="0"/>
    <x v="48"/>
    <x v="130"/>
    <x v="221"/>
    <x v="5"/>
    <x v="520"/>
    <x v="269"/>
    <x v="616"/>
  </r>
  <r>
    <x v="1"/>
    <x v="36"/>
    <x v="5"/>
    <x v="2"/>
    <x v="75"/>
    <x v="11"/>
    <x v="13"/>
    <x v="6"/>
    <x v="267"/>
    <x v="4"/>
    <x v="27"/>
    <x v="98"/>
    <x v="99"/>
    <x v="211"/>
    <x v="156"/>
    <x v="0"/>
    <x v="0"/>
    <x v="0"/>
    <x v="0"/>
    <x v="4"/>
    <x v="3"/>
    <x v="0"/>
    <x v="235"/>
    <x v="432"/>
    <x v="43"/>
    <x v="2"/>
    <x v="67"/>
    <x v="544"/>
    <x v="100"/>
    <x v="0"/>
    <x v="830"/>
    <x v="0"/>
    <x v="58"/>
    <x v="130"/>
    <x v="199"/>
    <x v="5"/>
    <x v="533"/>
    <x v="202"/>
    <x v="532"/>
  </r>
  <r>
    <x v="1"/>
    <x v="36"/>
    <x v="5"/>
    <x v="5"/>
    <x v="12"/>
    <x v="7"/>
    <x v="7"/>
    <x v="27"/>
    <x v="952"/>
    <x v="4"/>
    <x v="42"/>
    <x v="163"/>
    <x v="124"/>
    <x v="510"/>
    <x v="269"/>
    <x v="0"/>
    <x v="25"/>
    <x v="0"/>
    <x v="0"/>
    <x v="38"/>
    <x v="3"/>
    <x v="0"/>
    <x v="351"/>
    <x v="244"/>
    <x v="44"/>
    <x v="1"/>
    <x v="189"/>
    <x v="385"/>
    <x v="350"/>
    <x v="157"/>
    <x v="539"/>
    <x v="14"/>
    <x v="91"/>
    <x v="102"/>
    <x v="196"/>
    <x v="4"/>
    <x v="483"/>
    <x v="194"/>
    <x v="333"/>
  </r>
  <r>
    <x v="1"/>
    <x v="36"/>
    <x v="5"/>
    <x v="0"/>
    <x v="0"/>
    <x v="1"/>
    <x v="1"/>
    <x v="13"/>
    <x v="264"/>
    <x v="4"/>
    <x v="42"/>
    <x v="107"/>
    <x v="29"/>
    <x v="328"/>
    <x v="205"/>
    <x v="0"/>
    <x v="19"/>
    <x v="0"/>
    <x v="0"/>
    <x v="25"/>
    <x v="3"/>
    <x v="0"/>
    <x v="290"/>
    <x v="698"/>
    <x v="38"/>
    <x v="5"/>
    <x v="574"/>
    <x v="387"/>
    <x v="317"/>
    <x v="170"/>
    <x v="579"/>
    <x v="0"/>
    <x v="102"/>
    <x v="130"/>
    <x v="115"/>
    <x v="6"/>
    <x v="589"/>
    <x v="414"/>
    <x v="809"/>
  </r>
  <r>
    <x v="1"/>
    <x v="37"/>
    <x v="2"/>
    <x v="0"/>
    <x v="0"/>
    <x v="1"/>
    <x v="1"/>
    <x v="13"/>
    <x v="269"/>
    <x v="2"/>
    <x v="42"/>
    <x v="107"/>
    <x v="29"/>
    <x v="334"/>
    <x v="205"/>
    <x v="0"/>
    <x v="23"/>
    <x v="0"/>
    <x v="0"/>
    <x v="40"/>
    <x v="3"/>
    <x v="0"/>
    <x v="290"/>
    <x v="698"/>
    <x v="38"/>
    <x v="5"/>
    <x v="577"/>
    <x v="305"/>
    <x v="490"/>
    <x v="208"/>
    <x v="354"/>
    <x v="0"/>
    <x v="102"/>
    <x v="130"/>
    <x v="115"/>
    <x v="6"/>
    <x v="589"/>
    <x v="414"/>
    <x v="797"/>
  </r>
  <r>
    <x v="1"/>
    <x v="37"/>
    <x v="2"/>
    <x v="5"/>
    <x v="13"/>
    <x v="7"/>
    <x v="7"/>
    <x v="51"/>
    <x v="958"/>
    <x v="2"/>
    <x v="42"/>
    <x v="163"/>
    <x v="124"/>
    <x v="692"/>
    <x v="327"/>
    <x v="0"/>
    <x v="42"/>
    <x v="0"/>
    <x v="0"/>
    <x v="60"/>
    <x v="3"/>
    <x v="0"/>
    <x v="403"/>
    <x v="551"/>
    <x v="44"/>
    <x v="1"/>
    <x v="317"/>
    <x v="335"/>
    <x v="452"/>
    <x v="207"/>
    <x v="418"/>
    <x v="7"/>
    <x v="99"/>
    <x v="122"/>
    <x v="300"/>
    <x v="4"/>
    <x v="403"/>
    <x v="444"/>
    <x v="681"/>
  </r>
  <r>
    <x v="1"/>
    <x v="37"/>
    <x v="2"/>
    <x v="7"/>
    <x v="20"/>
    <x v="11"/>
    <x v="10"/>
    <x v="29"/>
    <x v="946"/>
    <x v="2"/>
    <x v="42"/>
    <x v="184"/>
    <x v="156"/>
    <x v="880"/>
    <x v="413"/>
    <x v="0"/>
    <x v="0"/>
    <x v="0"/>
    <x v="0"/>
    <x v="0"/>
    <x v="0"/>
    <x v="0"/>
    <x v="484"/>
    <x v="425"/>
    <x v="11"/>
    <x v="0"/>
    <x v="0"/>
    <x v="646"/>
    <x v="0"/>
    <x v="0"/>
    <x v="958"/>
    <x v="9"/>
    <x v="97"/>
    <x v="117"/>
    <x v="399"/>
    <x v="2"/>
    <x v="247"/>
    <x v="324"/>
    <x v="503"/>
  </r>
  <r>
    <x v="1"/>
    <x v="37"/>
    <x v="2"/>
    <x v="4"/>
    <x v="58"/>
    <x v="11"/>
    <x v="8"/>
    <x v="31"/>
    <x v="913"/>
    <x v="2"/>
    <x v="42"/>
    <x v="184"/>
    <x v="156"/>
    <x v="879"/>
    <x v="412"/>
    <x v="0"/>
    <x v="0"/>
    <x v="0"/>
    <x v="0"/>
    <x v="0"/>
    <x v="0"/>
    <x v="0"/>
    <x v="483"/>
    <x v="421"/>
    <x v="15"/>
    <x v="0"/>
    <x v="0"/>
    <x v="646"/>
    <x v="0"/>
    <x v="0"/>
    <x v="958"/>
    <x v="9"/>
    <x v="97"/>
    <x v="117"/>
    <x v="397"/>
    <x v="2"/>
    <x v="249"/>
    <x v="319"/>
    <x v="493"/>
  </r>
  <r>
    <x v="1"/>
    <x v="37"/>
    <x v="2"/>
    <x v="2"/>
    <x v="75"/>
    <x v="11"/>
    <x v="13"/>
    <x v="6"/>
    <x v="277"/>
    <x v="2"/>
    <x v="42"/>
    <x v="153"/>
    <x v="86"/>
    <x v="485"/>
    <x v="266"/>
    <x v="0"/>
    <x v="0"/>
    <x v="0"/>
    <x v="0"/>
    <x v="6"/>
    <x v="3"/>
    <x v="0"/>
    <x v="347"/>
    <x v="403"/>
    <x v="43"/>
    <x v="2"/>
    <x v="214"/>
    <x v="572"/>
    <x v="89"/>
    <x v="0"/>
    <x v="849"/>
    <x v="0"/>
    <x v="102"/>
    <x v="130"/>
    <x v="194"/>
    <x v="5"/>
    <x v="536"/>
    <x v="177"/>
    <x v="492"/>
  </r>
  <r>
    <x v="1"/>
    <x v="37"/>
    <x v="2"/>
    <x v="0"/>
    <x v="4"/>
    <x v="5"/>
    <x v="0"/>
    <x v="71"/>
    <x v="268"/>
    <x v="2"/>
    <x v="24"/>
    <x v="46"/>
    <x v="29"/>
    <x v="119"/>
    <x v="98"/>
    <x v="4"/>
    <x v="16"/>
    <x v="0"/>
    <x v="0"/>
    <x v="22"/>
    <x v="3"/>
    <x v="0"/>
    <x v="187"/>
    <x v="639"/>
    <x v="38"/>
    <x v="10"/>
    <x v="524"/>
    <x v="206"/>
    <x v="559"/>
    <x v="298"/>
    <x v="277"/>
    <x v="0"/>
    <x v="55"/>
    <x v="130"/>
    <x v="105"/>
    <x v="6"/>
    <x v="601"/>
    <x v="295"/>
    <x v="624"/>
  </r>
  <r>
    <x v="1"/>
    <x v="37"/>
    <x v="2"/>
    <x v="1"/>
    <x v="5"/>
    <x v="11"/>
    <x v="19"/>
    <x v="14"/>
    <x v="255"/>
    <x v="3"/>
    <x v="42"/>
    <x v="173"/>
    <x v="136"/>
    <x v="618"/>
    <x v="309"/>
    <x v="0"/>
    <x v="0"/>
    <x v="26"/>
    <x v="0"/>
    <x v="17"/>
    <x v="0"/>
    <x v="4"/>
    <x v="134"/>
    <x v="340"/>
    <x v="0"/>
    <x v="0"/>
    <x v="0"/>
    <x v="646"/>
    <x v="172"/>
    <x v="0"/>
    <x v="744"/>
    <x v="14"/>
    <x v="91"/>
    <x v="102"/>
    <x v="277"/>
    <x v="7"/>
    <x v="674"/>
    <x v="660"/>
    <x v="1057"/>
  </r>
  <r>
    <x v="1"/>
    <x v="37"/>
    <x v="6"/>
    <x v="8"/>
    <x v="62"/>
    <x v="11"/>
    <x v="19"/>
    <x v="30"/>
    <x v="911"/>
    <x v="0"/>
    <x v="42"/>
    <x v="225"/>
    <x v="214"/>
    <x v="1003"/>
    <x v="552"/>
    <x v="0"/>
    <x v="0"/>
    <x v="0"/>
    <x v="0"/>
    <x v="97"/>
    <x v="0"/>
    <x v="1"/>
    <x v="536"/>
    <x v="630"/>
    <x v="27"/>
    <x v="0"/>
    <x v="0"/>
    <x v="646"/>
    <x v="269"/>
    <x v="0"/>
    <x v="635"/>
    <x v="9"/>
    <x v="97"/>
    <x v="117"/>
    <x v="594"/>
    <x v="3"/>
    <x v="135"/>
    <x v="650"/>
    <x v="1073"/>
  </r>
  <r>
    <x v="1"/>
    <x v="37"/>
    <x v="6"/>
    <x v="9"/>
    <x v="25"/>
    <x v="11"/>
    <x v="19"/>
    <x v="56"/>
    <x v="832"/>
    <x v="0"/>
    <x v="16"/>
    <x v="168"/>
    <x v="240"/>
    <x v="704"/>
    <x v="337"/>
    <x v="0"/>
    <x v="0"/>
    <x v="0"/>
    <x v="0"/>
    <x v="1"/>
    <x v="0"/>
    <x v="1"/>
    <x v="256"/>
    <x v="502"/>
    <x v="16"/>
    <x v="0"/>
    <x v="0"/>
    <x v="646"/>
    <x v="8"/>
    <x v="0"/>
    <x v="950"/>
    <x v="9"/>
    <x v="27"/>
    <x v="64"/>
    <x v="618"/>
    <x v="1"/>
    <x v="64"/>
    <x v="463"/>
    <x v="307"/>
  </r>
  <r>
    <x v="1"/>
    <x v="37"/>
    <x v="3"/>
    <x v="7"/>
    <x v="20"/>
    <x v="11"/>
    <x v="19"/>
    <x v="29"/>
    <x v="951"/>
    <x v="0"/>
    <x v="42"/>
    <x v="184"/>
    <x v="156"/>
    <x v="898"/>
    <x v="436"/>
    <x v="0"/>
    <x v="0"/>
    <x v="0"/>
    <x v="0"/>
    <x v="0"/>
    <x v="0"/>
    <x v="0"/>
    <x v="521"/>
    <x v="561"/>
    <x v="11"/>
    <x v="0"/>
    <x v="0"/>
    <x v="646"/>
    <x v="0"/>
    <x v="0"/>
    <x v="958"/>
    <x v="9"/>
    <x v="97"/>
    <x v="117"/>
    <x v="439"/>
    <x v="2"/>
    <x v="181"/>
    <x v="436"/>
    <x v="626"/>
  </r>
  <r>
    <x v="1"/>
    <x v="37"/>
    <x v="3"/>
    <x v="4"/>
    <x v="58"/>
    <x v="11"/>
    <x v="19"/>
    <x v="31"/>
    <x v="920"/>
    <x v="0"/>
    <x v="42"/>
    <x v="184"/>
    <x v="156"/>
    <x v="885"/>
    <x v="421"/>
    <x v="0"/>
    <x v="0"/>
    <x v="0"/>
    <x v="0"/>
    <x v="0"/>
    <x v="0"/>
    <x v="0"/>
    <x v="499"/>
    <x v="466"/>
    <x v="15"/>
    <x v="0"/>
    <x v="0"/>
    <x v="646"/>
    <x v="0"/>
    <x v="0"/>
    <x v="958"/>
    <x v="9"/>
    <x v="97"/>
    <x v="117"/>
    <x v="415"/>
    <x v="2"/>
    <x v="224"/>
    <x v="365"/>
    <x v="533"/>
  </r>
  <r>
    <x v="1"/>
    <x v="37"/>
    <x v="3"/>
    <x v="5"/>
    <x v="13"/>
    <x v="7"/>
    <x v="7"/>
    <x v="51"/>
    <x v="961"/>
    <x v="0"/>
    <x v="42"/>
    <x v="163"/>
    <x v="124"/>
    <x v="775"/>
    <x v="349"/>
    <x v="0"/>
    <x v="22"/>
    <x v="0"/>
    <x v="0"/>
    <x v="52"/>
    <x v="0"/>
    <x v="0"/>
    <x v="417"/>
    <x v="643"/>
    <x v="44"/>
    <x v="1"/>
    <x v="392"/>
    <x v="445"/>
    <x v="365"/>
    <x v="65"/>
    <x v="523"/>
    <x v="0"/>
    <x v="102"/>
    <x v="130"/>
    <x v="325"/>
    <x v="4"/>
    <x v="396"/>
    <x v="471"/>
    <x v="901"/>
  </r>
  <r>
    <x v="1"/>
    <x v="37"/>
    <x v="3"/>
    <x v="2"/>
    <x v="75"/>
    <x v="11"/>
    <x v="13"/>
    <x v="6"/>
    <x v="278"/>
    <x v="0"/>
    <x v="24"/>
    <x v="88"/>
    <x v="81"/>
    <x v="207"/>
    <x v="155"/>
    <x v="33"/>
    <x v="0"/>
    <x v="0"/>
    <x v="0"/>
    <x v="0"/>
    <x v="0"/>
    <x v="0"/>
    <x v="234"/>
    <x v="627"/>
    <x v="43"/>
    <x v="2"/>
    <x v="70"/>
    <x v="281"/>
    <x v="0"/>
    <x v="0"/>
    <x v="958"/>
    <x v="0"/>
    <x v="55"/>
    <x v="130"/>
    <x v="255"/>
    <x v="5"/>
    <x v="489"/>
    <x v="406"/>
    <x v="821"/>
  </r>
  <r>
    <x v="1"/>
    <x v="37"/>
    <x v="3"/>
    <x v="2"/>
    <x v="75"/>
    <x v="11"/>
    <x v="14"/>
    <x v="6"/>
    <x v="275"/>
    <x v="0"/>
    <x v="24"/>
    <x v="83"/>
    <x v="66"/>
    <x v="114"/>
    <x v="96"/>
    <x v="0"/>
    <x v="0"/>
    <x v="0"/>
    <x v="0"/>
    <x v="0"/>
    <x v="0"/>
    <x v="0"/>
    <x v="185"/>
    <x v="148"/>
    <x v="43"/>
    <x v="2"/>
    <x v="31"/>
    <x v="645"/>
    <x v="0"/>
    <x v="0"/>
    <x v="958"/>
    <x v="21"/>
    <x v="35"/>
    <x v="47"/>
    <x v="104"/>
    <x v="5"/>
    <x v="494"/>
    <x v="394"/>
    <x v="170"/>
  </r>
  <r>
    <x v="1"/>
    <x v="37"/>
    <x v="3"/>
    <x v="0"/>
    <x v="4"/>
    <x v="11"/>
    <x v="0"/>
    <x v="71"/>
    <x v="271"/>
    <x v="0"/>
    <x v="42"/>
    <x v="107"/>
    <x v="29"/>
    <x v="415"/>
    <x v="222"/>
    <x v="0"/>
    <x v="5"/>
    <x v="0"/>
    <x v="0"/>
    <x v="40"/>
    <x v="0"/>
    <x v="0"/>
    <x v="309"/>
    <x v="736"/>
    <x v="38"/>
    <x v="10"/>
    <x v="705"/>
    <x v="447"/>
    <x v="444"/>
    <x v="23"/>
    <x v="417"/>
    <x v="0"/>
    <x v="102"/>
    <x v="130"/>
    <x v="139"/>
    <x v="6"/>
    <x v="562"/>
    <x v="558"/>
    <x v="1026"/>
  </r>
  <r>
    <x v="1"/>
    <x v="37"/>
    <x v="3"/>
    <x v="0"/>
    <x v="0"/>
    <x v="11"/>
    <x v="1"/>
    <x v="13"/>
    <x v="272"/>
    <x v="0"/>
    <x v="42"/>
    <x v="107"/>
    <x v="29"/>
    <x v="396"/>
    <x v="213"/>
    <x v="21"/>
    <x v="30"/>
    <x v="0"/>
    <x v="0"/>
    <x v="60"/>
    <x v="0"/>
    <x v="0"/>
    <x v="299"/>
    <x v="723"/>
    <x v="38"/>
    <x v="5"/>
    <x v="599"/>
    <x v="239"/>
    <x v="613"/>
    <x v="230"/>
    <x v="205"/>
    <x v="0"/>
    <x v="102"/>
    <x v="130"/>
    <x v="126"/>
    <x v="6"/>
    <x v="570"/>
    <x v="511"/>
    <x v="942"/>
  </r>
  <r>
    <x v="1"/>
    <x v="37"/>
    <x v="3"/>
    <x v="1"/>
    <x v="9"/>
    <x v="11"/>
    <x v="19"/>
    <x v="72"/>
    <x v="20"/>
    <x v="0"/>
    <x v="42"/>
    <x v="176"/>
    <x v="143"/>
    <x v="833"/>
    <x v="365"/>
    <x v="0"/>
    <x v="0"/>
    <x v="45"/>
    <x v="0"/>
    <x v="31"/>
    <x v="0"/>
    <x v="4"/>
    <x v="163"/>
    <x v="496"/>
    <x v="4"/>
    <x v="0"/>
    <x v="0"/>
    <x v="646"/>
    <x v="236"/>
    <x v="0"/>
    <x v="674"/>
    <x v="9"/>
    <x v="97"/>
    <x v="117"/>
    <x v="347"/>
    <x v="7"/>
    <x v="649"/>
    <x v="703"/>
    <x v="1160"/>
  </r>
  <r>
    <x v="1"/>
    <x v="37"/>
    <x v="5"/>
    <x v="0"/>
    <x v="0"/>
    <x v="1"/>
    <x v="1"/>
    <x v="13"/>
    <x v="274"/>
    <x v="4"/>
    <x v="42"/>
    <x v="107"/>
    <x v="29"/>
    <x v="389"/>
    <x v="213"/>
    <x v="13"/>
    <x v="12"/>
    <x v="0"/>
    <x v="0"/>
    <x v="40"/>
    <x v="3"/>
    <x v="0"/>
    <x v="299"/>
    <x v="723"/>
    <x v="38"/>
    <x v="5"/>
    <x v="597"/>
    <x v="333"/>
    <x v="464"/>
    <x v="84"/>
    <x v="394"/>
    <x v="0"/>
    <x v="102"/>
    <x v="130"/>
    <x v="126"/>
    <x v="6"/>
    <x v="570"/>
    <x v="511"/>
    <x v="968"/>
  </r>
  <r>
    <x v="1"/>
    <x v="37"/>
    <x v="5"/>
    <x v="0"/>
    <x v="4"/>
    <x v="5"/>
    <x v="0"/>
    <x v="71"/>
    <x v="273"/>
    <x v="4"/>
    <x v="42"/>
    <x v="107"/>
    <x v="29"/>
    <x v="386"/>
    <x v="213"/>
    <x v="21"/>
    <x v="10"/>
    <x v="0"/>
    <x v="0"/>
    <x v="36"/>
    <x v="3"/>
    <x v="0"/>
    <x v="299"/>
    <x v="723"/>
    <x v="38"/>
    <x v="10"/>
    <x v="693"/>
    <x v="358"/>
    <x v="416"/>
    <x v="62"/>
    <x v="457"/>
    <x v="0"/>
    <x v="102"/>
    <x v="130"/>
    <x v="126"/>
    <x v="6"/>
    <x v="570"/>
    <x v="511"/>
    <x v="972"/>
  </r>
  <r>
    <x v="1"/>
    <x v="37"/>
    <x v="5"/>
    <x v="5"/>
    <x v="13"/>
    <x v="7"/>
    <x v="7"/>
    <x v="51"/>
    <x v="962"/>
    <x v="4"/>
    <x v="42"/>
    <x v="163"/>
    <x v="124"/>
    <x v="725"/>
    <x v="341"/>
    <x v="0"/>
    <x v="25"/>
    <x v="0"/>
    <x v="0"/>
    <x v="62"/>
    <x v="3"/>
    <x v="0"/>
    <x v="412"/>
    <x v="604"/>
    <x v="44"/>
    <x v="1"/>
    <x v="346"/>
    <x v="381"/>
    <x v="445"/>
    <x v="96"/>
    <x v="420"/>
    <x v="0"/>
    <x v="102"/>
    <x v="130"/>
    <x v="314"/>
    <x v="4"/>
    <x v="413"/>
    <x v="397"/>
    <x v="776"/>
  </r>
  <r>
    <x v="1"/>
    <x v="37"/>
    <x v="5"/>
    <x v="2"/>
    <x v="75"/>
    <x v="11"/>
    <x v="14"/>
    <x v="6"/>
    <x v="276"/>
    <x v="4"/>
    <x v="42"/>
    <x v="153"/>
    <x v="86"/>
    <x v="528"/>
    <x v="275"/>
    <x v="0"/>
    <x v="0"/>
    <x v="0"/>
    <x v="0"/>
    <x v="5"/>
    <x v="3"/>
    <x v="0"/>
    <x v="359"/>
    <x v="501"/>
    <x v="43"/>
    <x v="2"/>
    <x v="241"/>
    <x v="582"/>
    <x v="73"/>
    <x v="0"/>
    <x v="868"/>
    <x v="0"/>
    <x v="102"/>
    <x v="130"/>
    <x v="215"/>
    <x v="5"/>
    <x v="524"/>
    <x v="248"/>
    <x v="591"/>
  </r>
  <r>
    <x v="1"/>
    <x v="38"/>
    <x v="2"/>
    <x v="0"/>
    <x v="0"/>
    <x v="1"/>
    <x v="1"/>
    <x v="13"/>
    <x v="279"/>
    <x v="2"/>
    <x v="42"/>
    <x v="107"/>
    <x v="29"/>
    <x v="359"/>
    <x v="207"/>
    <x v="0"/>
    <x v="16"/>
    <x v="0"/>
    <x v="0"/>
    <x v="50"/>
    <x v="3"/>
    <x v="0"/>
    <x v="292"/>
    <x v="706"/>
    <x v="38"/>
    <x v="5"/>
    <x v="585"/>
    <x v="304"/>
    <x v="580"/>
    <x v="131"/>
    <x v="249"/>
    <x v="0"/>
    <x v="102"/>
    <x v="130"/>
    <x v="119"/>
    <x v="6"/>
    <x v="583"/>
    <x v="457"/>
    <x v="872"/>
  </r>
  <r>
    <x v="1"/>
    <x v="38"/>
    <x v="2"/>
    <x v="5"/>
    <x v="13"/>
    <x v="7"/>
    <x v="7"/>
    <x v="51"/>
    <x v="966"/>
    <x v="2"/>
    <x v="42"/>
    <x v="163"/>
    <x v="124"/>
    <x v="719"/>
    <x v="341"/>
    <x v="0"/>
    <x v="20"/>
    <x v="0"/>
    <x v="0"/>
    <x v="52"/>
    <x v="3"/>
    <x v="0"/>
    <x v="412"/>
    <x v="604"/>
    <x v="44"/>
    <x v="1"/>
    <x v="341"/>
    <x v="423"/>
    <x v="379"/>
    <x v="56"/>
    <x v="504"/>
    <x v="0"/>
    <x v="102"/>
    <x v="130"/>
    <x v="314"/>
    <x v="4"/>
    <x v="413"/>
    <x v="397"/>
    <x v="784"/>
  </r>
  <r>
    <x v="1"/>
    <x v="38"/>
    <x v="2"/>
    <x v="2"/>
    <x v="75"/>
    <x v="11"/>
    <x v="14"/>
    <x v="6"/>
    <x v="283"/>
    <x v="2"/>
    <x v="20"/>
    <x v="51"/>
    <x v="54"/>
    <x v="92"/>
    <x v="80"/>
    <x v="0"/>
    <x v="0"/>
    <x v="0"/>
    <x v="0"/>
    <x v="0"/>
    <x v="0"/>
    <x v="0"/>
    <x v="170"/>
    <x v="327"/>
    <x v="43"/>
    <x v="2"/>
    <x v="24"/>
    <x v="645"/>
    <x v="0"/>
    <x v="0"/>
    <x v="958"/>
    <x v="11"/>
    <x v="31"/>
    <x v="68"/>
    <x v="130"/>
    <x v="5"/>
    <x v="509"/>
    <x v="327"/>
    <x v="257"/>
  </r>
  <r>
    <x v="1"/>
    <x v="38"/>
    <x v="2"/>
    <x v="2"/>
    <x v="75"/>
    <x v="11"/>
    <x v="13"/>
    <x v="6"/>
    <x v="286"/>
    <x v="2"/>
    <x v="28"/>
    <x v="115"/>
    <x v="114"/>
    <x v="269"/>
    <x v="188"/>
    <x v="0"/>
    <x v="0"/>
    <x v="0"/>
    <x v="0"/>
    <x v="4"/>
    <x v="3"/>
    <x v="0"/>
    <x v="271"/>
    <x v="466"/>
    <x v="43"/>
    <x v="2"/>
    <x v="94"/>
    <x v="558"/>
    <x v="86"/>
    <x v="0"/>
    <x v="853"/>
    <x v="0"/>
    <x v="63"/>
    <x v="130"/>
    <x v="244"/>
    <x v="5"/>
    <x v="499"/>
    <x v="369"/>
    <x v="749"/>
  </r>
  <r>
    <x v="1"/>
    <x v="38"/>
    <x v="2"/>
    <x v="4"/>
    <x v="58"/>
    <x v="11"/>
    <x v="8"/>
    <x v="31"/>
    <x v="921"/>
    <x v="2"/>
    <x v="42"/>
    <x v="184"/>
    <x v="156"/>
    <x v="898"/>
    <x v="436"/>
    <x v="0"/>
    <x v="0"/>
    <x v="0"/>
    <x v="0"/>
    <x v="0"/>
    <x v="0"/>
    <x v="0"/>
    <x v="521"/>
    <x v="561"/>
    <x v="15"/>
    <x v="0"/>
    <x v="0"/>
    <x v="646"/>
    <x v="0"/>
    <x v="0"/>
    <x v="958"/>
    <x v="9"/>
    <x v="97"/>
    <x v="117"/>
    <x v="439"/>
    <x v="2"/>
    <x v="181"/>
    <x v="436"/>
    <x v="626"/>
  </r>
  <r>
    <x v="1"/>
    <x v="38"/>
    <x v="2"/>
    <x v="7"/>
    <x v="20"/>
    <x v="11"/>
    <x v="10"/>
    <x v="29"/>
    <x v="953"/>
    <x v="2"/>
    <x v="42"/>
    <x v="184"/>
    <x v="156"/>
    <x v="885"/>
    <x v="421"/>
    <x v="0"/>
    <x v="0"/>
    <x v="0"/>
    <x v="0"/>
    <x v="0"/>
    <x v="0"/>
    <x v="0"/>
    <x v="499"/>
    <x v="466"/>
    <x v="11"/>
    <x v="0"/>
    <x v="0"/>
    <x v="646"/>
    <x v="0"/>
    <x v="0"/>
    <x v="958"/>
    <x v="9"/>
    <x v="97"/>
    <x v="117"/>
    <x v="415"/>
    <x v="2"/>
    <x v="224"/>
    <x v="365"/>
    <x v="533"/>
  </r>
  <r>
    <x v="1"/>
    <x v="38"/>
    <x v="2"/>
    <x v="1"/>
    <x v="9"/>
    <x v="11"/>
    <x v="10"/>
    <x v="72"/>
    <x v="953"/>
    <x v="2"/>
    <x v="42"/>
    <x v="173"/>
    <x v="136"/>
    <x v="836"/>
    <x v="364"/>
    <x v="0"/>
    <x v="0"/>
    <x v="28"/>
    <x v="0"/>
    <x v="90"/>
    <x v="0"/>
    <x v="0"/>
    <x v="435"/>
    <x v="660"/>
    <x v="4"/>
    <x v="0"/>
    <x v="0"/>
    <x v="646"/>
    <x v="574"/>
    <x v="0"/>
    <x v="252"/>
    <x v="0"/>
    <x v="102"/>
    <x v="130"/>
    <x v="346"/>
    <x v="7"/>
    <x v="365"/>
    <x v="768"/>
    <x v="1219"/>
  </r>
  <r>
    <x v="1"/>
    <x v="38"/>
    <x v="6"/>
    <x v="8"/>
    <x v="62"/>
    <x v="11"/>
    <x v="19"/>
    <x v="30"/>
    <x v="641"/>
    <x v="0"/>
    <x v="42"/>
    <x v="225"/>
    <x v="214"/>
    <x v="990"/>
    <x v="537"/>
    <x v="0"/>
    <x v="0"/>
    <x v="0"/>
    <x v="0"/>
    <x v="72"/>
    <x v="0"/>
    <x v="1"/>
    <x v="504"/>
    <x v="471"/>
    <x v="27"/>
    <x v="0"/>
    <x v="0"/>
    <x v="646"/>
    <x v="225"/>
    <x v="0"/>
    <x v="685"/>
    <x v="9"/>
    <x v="97"/>
    <x v="117"/>
    <x v="570"/>
    <x v="3"/>
    <x v="211"/>
    <x v="587"/>
    <x v="918"/>
  </r>
  <r>
    <x v="1"/>
    <x v="38"/>
    <x v="3"/>
    <x v="5"/>
    <x v="13"/>
    <x v="7"/>
    <x v="7"/>
    <x v="51"/>
    <x v="968"/>
    <x v="0"/>
    <x v="34"/>
    <x v="139"/>
    <x v="125"/>
    <x v="505"/>
    <x v="268"/>
    <x v="0"/>
    <x v="0"/>
    <x v="0"/>
    <x v="0"/>
    <x v="55"/>
    <x v="0"/>
    <x v="0"/>
    <x v="350"/>
    <x v="638"/>
    <x v="44"/>
    <x v="1"/>
    <x v="182"/>
    <x v="463"/>
    <x v="512"/>
    <x v="0"/>
    <x v="322"/>
    <x v="0"/>
    <x v="76"/>
    <x v="130"/>
    <x v="324"/>
    <x v="4"/>
    <x v="398"/>
    <x v="466"/>
    <x v="884"/>
  </r>
  <r>
    <x v="1"/>
    <x v="38"/>
    <x v="3"/>
    <x v="2"/>
    <x v="75"/>
    <x v="11"/>
    <x v="13"/>
    <x v="6"/>
    <x v="287"/>
    <x v="0"/>
    <x v="20"/>
    <x v="60"/>
    <x v="85"/>
    <x v="132"/>
    <x v="109"/>
    <x v="0"/>
    <x v="0"/>
    <x v="0"/>
    <x v="0"/>
    <x v="0"/>
    <x v="0"/>
    <x v="0"/>
    <x v="196"/>
    <x v="486"/>
    <x v="43"/>
    <x v="2"/>
    <x v="40"/>
    <x v="645"/>
    <x v="0"/>
    <x v="0"/>
    <x v="958"/>
    <x v="0"/>
    <x v="42"/>
    <x v="130"/>
    <x v="212"/>
    <x v="5"/>
    <x v="526"/>
    <x v="235"/>
    <x v="579"/>
  </r>
  <r>
    <x v="1"/>
    <x v="38"/>
    <x v="3"/>
    <x v="7"/>
    <x v="21"/>
    <x v="11"/>
    <x v="19"/>
    <x v="53"/>
    <x v="959"/>
    <x v="0"/>
    <x v="24"/>
    <x v="133"/>
    <x v="156"/>
    <x v="441"/>
    <x v="243"/>
    <x v="0"/>
    <x v="0"/>
    <x v="0"/>
    <x v="0"/>
    <x v="0"/>
    <x v="0"/>
    <x v="0"/>
    <x v="326"/>
    <x v="558"/>
    <x v="12"/>
    <x v="0"/>
    <x v="0"/>
    <x v="646"/>
    <x v="0"/>
    <x v="0"/>
    <x v="958"/>
    <x v="9"/>
    <x v="47"/>
    <x v="89"/>
    <x v="435"/>
    <x v="2"/>
    <x v="131"/>
    <x v="574"/>
    <x v="614"/>
  </r>
  <r>
    <x v="1"/>
    <x v="38"/>
    <x v="3"/>
    <x v="7"/>
    <x v="20"/>
    <x v="11"/>
    <x v="19"/>
    <x v="29"/>
    <x v="954"/>
    <x v="0"/>
    <x v="24"/>
    <x v="133"/>
    <x v="156"/>
    <x v="186"/>
    <x v="145"/>
    <x v="0"/>
    <x v="0"/>
    <x v="0"/>
    <x v="0"/>
    <x v="0"/>
    <x v="0"/>
    <x v="0"/>
    <x v="224"/>
    <x v="76"/>
    <x v="11"/>
    <x v="0"/>
    <x v="0"/>
    <x v="646"/>
    <x v="0"/>
    <x v="0"/>
    <x v="958"/>
    <x v="26"/>
    <x v="29"/>
    <x v="31"/>
    <x v="201"/>
    <x v="2"/>
    <x v="151"/>
    <x v="494"/>
    <x v="108"/>
  </r>
  <r>
    <x v="1"/>
    <x v="38"/>
    <x v="3"/>
    <x v="4"/>
    <x v="58"/>
    <x v="11"/>
    <x v="19"/>
    <x v="31"/>
    <x v="921"/>
    <x v="0"/>
    <x v="42"/>
    <x v="184"/>
    <x v="156"/>
    <x v="897"/>
    <x v="434"/>
    <x v="0"/>
    <x v="0"/>
    <x v="0"/>
    <x v="0"/>
    <x v="0"/>
    <x v="0"/>
    <x v="0"/>
    <x v="519"/>
    <x v="560"/>
    <x v="15"/>
    <x v="0"/>
    <x v="0"/>
    <x v="646"/>
    <x v="0"/>
    <x v="0"/>
    <x v="958"/>
    <x v="0"/>
    <x v="102"/>
    <x v="130"/>
    <x v="436"/>
    <x v="2"/>
    <x v="267"/>
    <x v="268"/>
    <x v="615"/>
  </r>
  <r>
    <x v="1"/>
    <x v="38"/>
    <x v="3"/>
    <x v="0"/>
    <x v="0"/>
    <x v="11"/>
    <x v="1"/>
    <x v="13"/>
    <x v="280"/>
    <x v="0"/>
    <x v="42"/>
    <x v="107"/>
    <x v="29"/>
    <x v="343"/>
    <x v="205"/>
    <x v="2"/>
    <x v="26"/>
    <x v="0"/>
    <x v="0"/>
    <x v="65"/>
    <x v="0"/>
    <x v="0"/>
    <x v="290"/>
    <x v="698"/>
    <x v="38"/>
    <x v="5"/>
    <x v="580"/>
    <x v="246"/>
    <x v="652"/>
    <x v="221"/>
    <x v="146"/>
    <x v="0"/>
    <x v="102"/>
    <x v="130"/>
    <x v="115"/>
    <x v="6"/>
    <x v="589"/>
    <x v="414"/>
    <x v="772"/>
  </r>
  <r>
    <x v="1"/>
    <x v="38"/>
    <x v="3"/>
    <x v="2"/>
    <x v="75"/>
    <x v="11"/>
    <x v="14"/>
    <x v="6"/>
    <x v="284"/>
    <x v="0"/>
    <x v="28"/>
    <x v="110"/>
    <x v="89"/>
    <x v="299"/>
    <x v="200"/>
    <x v="0"/>
    <x v="0"/>
    <x v="0"/>
    <x v="0"/>
    <x v="4"/>
    <x v="0"/>
    <x v="0"/>
    <x v="285"/>
    <x v="674"/>
    <x v="43"/>
    <x v="2"/>
    <x v="111"/>
    <x v="629"/>
    <x v="84"/>
    <x v="0"/>
    <x v="855"/>
    <x v="0"/>
    <x v="63"/>
    <x v="130"/>
    <x v="280"/>
    <x v="5"/>
    <x v="458"/>
    <x v="496"/>
    <x v="959"/>
  </r>
  <r>
    <x v="1"/>
    <x v="38"/>
    <x v="3"/>
    <x v="1"/>
    <x v="44"/>
    <x v="11"/>
    <x v="19"/>
    <x v="69"/>
    <x v="1308"/>
    <x v="0"/>
    <x v="34"/>
    <x v="77"/>
    <x v="20"/>
    <x v="167"/>
    <x v="129"/>
    <x v="0"/>
    <x v="0"/>
    <x v="26"/>
    <x v="0"/>
    <x v="22"/>
    <x v="0"/>
    <x v="4"/>
    <x v="71"/>
    <x v="441"/>
    <x v="20"/>
    <x v="0"/>
    <x v="0"/>
    <x v="646"/>
    <x v="448"/>
    <x v="0"/>
    <x v="409"/>
    <x v="32"/>
    <x v="47"/>
    <x v="36"/>
    <x v="80"/>
    <x v="7"/>
    <x v="729"/>
    <x v="483"/>
    <x v="138"/>
  </r>
  <r>
    <x v="1"/>
    <x v="38"/>
    <x v="3"/>
    <x v="1"/>
    <x v="46"/>
    <x v="11"/>
    <x v="19"/>
    <x v="64"/>
    <x v="164"/>
    <x v="0"/>
    <x v="14"/>
    <x v="29"/>
    <x v="76"/>
    <x v="69"/>
    <x v="61"/>
    <x v="0"/>
    <x v="0"/>
    <x v="11"/>
    <x v="0"/>
    <x v="11"/>
    <x v="0"/>
    <x v="4"/>
    <x v="40"/>
    <x v="443"/>
    <x v="22"/>
    <x v="0"/>
    <x v="0"/>
    <x v="646"/>
    <x v="403"/>
    <x v="0"/>
    <x v="468"/>
    <x v="0"/>
    <x v="29"/>
    <x v="130"/>
    <x v="198"/>
    <x v="7"/>
    <x v="746"/>
    <x v="338"/>
    <x v="705"/>
  </r>
  <r>
    <x v="1"/>
    <x v="38"/>
    <x v="5"/>
    <x v="5"/>
    <x v="10"/>
    <x v="7"/>
    <x v="7"/>
    <x v="45"/>
    <x v="970"/>
    <x v="4"/>
    <x v="42"/>
    <x v="137"/>
    <x v="56"/>
    <x v="266"/>
    <x v="183"/>
    <x v="69"/>
    <x v="34"/>
    <x v="0"/>
    <x v="0"/>
    <x v="37"/>
    <x v="5"/>
    <x v="0"/>
    <x v="266"/>
    <x v="175"/>
    <x v="44"/>
    <x v="1"/>
    <x v="134"/>
    <x v="13"/>
    <x v="514"/>
    <x v="292"/>
    <x v="330"/>
    <x v="35"/>
    <x v="63"/>
    <x v="47"/>
    <x v="93"/>
    <x v="4"/>
    <x v="514"/>
    <x v="118"/>
    <x v="99"/>
  </r>
  <r>
    <x v="1"/>
    <x v="38"/>
    <x v="5"/>
    <x v="0"/>
    <x v="0"/>
    <x v="1"/>
    <x v="1"/>
    <x v="13"/>
    <x v="282"/>
    <x v="4"/>
    <x v="42"/>
    <x v="107"/>
    <x v="29"/>
    <x v="329"/>
    <x v="205"/>
    <x v="14"/>
    <x v="10"/>
    <x v="0"/>
    <x v="0"/>
    <x v="37"/>
    <x v="3"/>
    <x v="0"/>
    <x v="290"/>
    <x v="698"/>
    <x v="38"/>
    <x v="5"/>
    <x v="576"/>
    <x v="336"/>
    <x v="454"/>
    <x v="71"/>
    <x v="405"/>
    <x v="0"/>
    <x v="102"/>
    <x v="130"/>
    <x v="115"/>
    <x v="6"/>
    <x v="589"/>
    <x v="414"/>
    <x v="800"/>
  </r>
  <r>
    <x v="1"/>
    <x v="38"/>
    <x v="5"/>
    <x v="2"/>
    <x v="75"/>
    <x v="11"/>
    <x v="13"/>
    <x v="6"/>
    <x v="288"/>
    <x v="4"/>
    <x v="6"/>
    <x v="12"/>
    <x v="66"/>
    <x v="22"/>
    <x v="22"/>
    <x v="0"/>
    <x v="0"/>
    <x v="0"/>
    <x v="0"/>
    <x v="0"/>
    <x v="0"/>
    <x v="0"/>
    <x v="88"/>
    <x v="466"/>
    <x v="43"/>
    <x v="2"/>
    <x v="2"/>
    <x v="645"/>
    <x v="0"/>
    <x v="0"/>
    <x v="958"/>
    <x v="0"/>
    <x v="15"/>
    <x v="130"/>
    <x v="194"/>
    <x v="5"/>
    <x v="536"/>
    <x v="177"/>
    <x v="502"/>
  </r>
  <r>
    <x v="1"/>
    <x v="38"/>
    <x v="5"/>
    <x v="2"/>
    <x v="75"/>
    <x v="11"/>
    <x v="14"/>
    <x v="6"/>
    <x v="285"/>
    <x v="4"/>
    <x v="38"/>
    <x v="143"/>
    <x v="100"/>
    <x v="484"/>
    <x v="266"/>
    <x v="0"/>
    <x v="0"/>
    <x v="0"/>
    <x v="0"/>
    <x v="5"/>
    <x v="3"/>
    <x v="0"/>
    <x v="347"/>
    <x v="621"/>
    <x v="43"/>
    <x v="2"/>
    <x v="213"/>
    <x v="578"/>
    <x v="79"/>
    <x v="0"/>
    <x v="862"/>
    <x v="0"/>
    <x v="91"/>
    <x v="130"/>
    <x v="254"/>
    <x v="5"/>
    <x v="490"/>
    <x v="404"/>
    <x v="813"/>
  </r>
  <r>
    <x v="1"/>
    <x v="39"/>
    <x v="2"/>
    <x v="2"/>
    <x v="75"/>
    <x v="11"/>
    <x v="14"/>
    <x v="6"/>
    <x v="294"/>
    <x v="2"/>
    <x v="38"/>
    <x v="127"/>
    <x v="55"/>
    <x v="430"/>
    <x v="237"/>
    <x v="0"/>
    <x v="0"/>
    <x v="0"/>
    <x v="0"/>
    <x v="0"/>
    <x v="0"/>
    <x v="0"/>
    <x v="321"/>
    <x v="663"/>
    <x v="43"/>
    <x v="2"/>
    <x v="157"/>
    <x v="645"/>
    <x v="0"/>
    <x v="0"/>
    <x v="958"/>
    <x v="0"/>
    <x v="91"/>
    <x v="130"/>
    <x v="200"/>
    <x v="5"/>
    <x v="532"/>
    <x v="204"/>
    <x v="536"/>
  </r>
  <r>
    <x v="1"/>
    <x v="39"/>
    <x v="2"/>
    <x v="2"/>
    <x v="75"/>
    <x v="11"/>
    <x v="13"/>
    <x v="6"/>
    <x v="297"/>
    <x v="2"/>
    <x v="6"/>
    <x v="28"/>
    <x v="170"/>
    <x v="65"/>
    <x v="60"/>
    <x v="0"/>
    <x v="0"/>
    <x v="0"/>
    <x v="0"/>
    <x v="8"/>
    <x v="0"/>
    <x v="0"/>
    <x v="144"/>
    <x v="466"/>
    <x v="43"/>
    <x v="2"/>
    <x v="13"/>
    <x v="521"/>
    <x v="313"/>
    <x v="0"/>
    <x v="582"/>
    <x v="0"/>
    <x v="15"/>
    <x v="130"/>
    <x v="461"/>
    <x v="5"/>
    <x v="178"/>
    <x v="729"/>
    <x v="1193"/>
  </r>
  <r>
    <x v="1"/>
    <x v="39"/>
    <x v="2"/>
    <x v="5"/>
    <x v="10"/>
    <x v="7"/>
    <x v="7"/>
    <x v="45"/>
    <x v="974"/>
    <x v="2"/>
    <x v="42"/>
    <x v="163"/>
    <x v="124"/>
    <x v="564"/>
    <x v="282"/>
    <x v="0"/>
    <x v="38"/>
    <x v="0"/>
    <x v="0"/>
    <x v="54"/>
    <x v="3"/>
    <x v="0"/>
    <x v="365"/>
    <x v="290"/>
    <x v="44"/>
    <x v="1"/>
    <x v="231"/>
    <x v="311"/>
    <x v="472"/>
    <x v="219"/>
    <x v="382"/>
    <x v="7"/>
    <x v="99"/>
    <x v="122"/>
    <x v="227"/>
    <x v="4"/>
    <x v="487"/>
    <x v="181"/>
    <x v="386"/>
  </r>
  <r>
    <x v="1"/>
    <x v="39"/>
    <x v="2"/>
    <x v="7"/>
    <x v="21"/>
    <x v="11"/>
    <x v="10"/>
    <x v="53"/>
    <x v="960"/>
    <x v="2"/>
    <x v="38"/>
    <x v="182"/>
    <x v="164"/>
    <x v="861"/>
    <x v="392"/>
    <x v="0"/>
    <x v="0"/>
    <x v="0"/>
    <x v="0"/>
    <x v="0"/>
    <x v="0"/>
    <x v="0"/>
    <x v="461"/>
    <x v="503"/>
    <x v="12"/>
    <x v="0"/>
    <x v="0"/>
    <x v="646"/>
    <x v="0"/>
    <x v="0"/>
    <x v="958"/>
    <x v="9"/>
    <x v="80"/>
    <x v="111"/>
    <x v="440"/>
    <x v="2"/>
    <x v="164"/>
    <x v="468"/>
    <x v="631"/>
  </r>
  <r>
    <x v="1"/>
    <x v="39"/>
    <x v="2"/>
    <x v="7"/>
    <x v="18"/>
    <x v="11"/>
    <x v="10"/>
    <x v="47"/>
    <x v="971"/>
    <x v="2"/>
    <x v="6"/>
    <x v="21"/>
    <x v="142"/>
    <x v="37"/>
    <x v="35"/>
    <x v="0"/>
    <x v="0"/>
    <x v="0"/>
    <x v="0"/>
    <x v="0"/>
    <x v="0"/>
    <x v="0"/>
    <x v="102"/>
    <x v="466"/>
    <x v="9"/>
    <x v="0"/>
    <x v="0"/>
    <x v="646"/>
    <x v="0"/>
    <x v="0"/>
    <x v="958"/>
    <x v="4"/>
    <x v="11"/>
    <x v="68"/>
    <x v="335"/>
    <x v="2"/>
    <x v="250"/>
    <x v="318"/>
    <x v="253"/>
  </r>
  <r>
    <x v="1"/>
    <x v="39"/>
    <x v="2"/>
    <x v="4"/>
    <x v="58"/>
    <x v="11"/>
    <x v="8"/>
    <x v="31"/>
    <x v="931"/>
    <x v="2"/>
    <x v="42"/>
    <x v="184"/>
    <x v="156"/>
    <x v="838"/>
    <x v="371"/>
    <x v="0"/>
    <x v="0"/>
    <x v="0"/>
    <x v="0"/>
    <x v="0"/>
    <x v="0"/>
    <x v="0"/>
    <x v="439"/>
    <x v="255"/>
    <x v="15"/>
    <x v="0"/>
    <x v="0"/>
    <x v="646"/>
    <x v="0"/>
    <x v="0"/>
    <x v="958"/>
    <x v="16"/>
    <x v="89"/>
    <x v="95"/>
    <x v="354"/>
    <x v="2"/>
    <x v="297"/>
    <x v="206"/>
    <x v="331"/>
  </r>
  <r>
    <x v="1"/>
    <x v="39"/>
    <x v="2"/>
    <x v="0"/>
    <x v="0"/>
    <x v="1"/>
    <x v="1"/>
    <x v="13"/>
    <x v="289"/>
    <x v="2"/>
    <x v="42"/>
    <x v="107"/>
    <x v="29"/>
    <x v="291"/>
    <x v="193"/>
    <x v="0"/>
    <x v="26"/>
    <x v="0"/>
    <x v="0"/>
    <x v="47"/>
    <x v="3"/>
    <x v="0"/>
    <x v="277"/>
    <x v="639"/>
    <x v="38"/>
    <x v="5"/>
    <x v="564"/>
    <x v="268"/>
    <x v="587"/>
    <x v="228"/>
    <x v="243"/>
    <x v="0"/>
    <x v="102"/>
    <x v="130"/>
    <x v="105"/>
    <x v="6"/>
    <x v="601"/>
    <x v="295"/>
    <x v="617"/>
  </r>
  <r>
    <x v="1"/>
    <x v="39"/>
    <x v="2"/>
    <x v="5"/>
    <x v="10"/>
    <x v="6"/>
    <x v="6"/>
    <x v="45"/>
    <x v="974"/>
    <x v="1"/>
    <x v="24"/>
    <x v="38"/>
    <x v="19"/>
    <x v="109"/>
    <x v="27"/>
    <x v="65"/>
    <x v="88"/>
    <x v="0"/>
    <x v="0"/>
    <x v="128"/>
    <x v="0"/>
    <x v="0"/>
    <x v="93"/>
    <x v="51"/>
    <x v="44"/>
    <x v="1"/>
    <x v="51"/>
    <x v="0"/>
    <x v="777"/>
    <x v="470"/>
    <x v="0"/>
    <x v="0"/>
    <x v="55"/>
    <x v="130"/>
    <x v="17"/>
    <x v="4"/>
    <x v="655"/>
    <x v="5"/>
    <x v="3"/>
  </r>
  <r>
    <x v="1"/>
    <x v="39"/>
    <x v="6"/>
    <x v="1"/>
    <x v="46"/>
    <x v="11"/>
    <x v="19"/>
    <x v="64"/>
    <x v="165"/>
    <x v="3"/>
    <x v="6"/>
    <x v="9"/>
    <x v="43"/>
    <x v="21"/>
    <x v="21"/>
    <x v="0"/>
    <x v="0"/>
    <x v="2"/>
    <x v="0"/>
    <x v="8"/>
    <x v="0"/>
    <x v="4"/>
    <x v="19"/>
    <x v="710"/>
    <x v="22"/>
    <x v="0"/>
    <x v="0"/>
    <x v="646"/>
    <x v="588"/>
    <x v="0"/>
    <x v="237"/>
    <x v="0"/>
    <x v="15"/>
    <x v="130"/>
    <x v="186"/>
    <x v="7"/>
    <x v="753"/>
    <x v="254"/>
    <x v="562"/>
  </r>
  <r>
    <x v="1"/>
    <x v="39"/>
    <x v="6"/>
    <x v="1"/>
    <x v="47"/>
    <x v="11"/>
    <x v="19"/>
    <x v="78"/>
    <x v="188"/>
    <x v="3"/>
    <x v="24"/>
    <x v="68"/>
    <x v="48"/>
    <x v="117"/>
    <x v="98"/>
    <x v="0"/>
    <x v="0"/>
    <x v="19"/>
    <x v="0"/>
    <x v="13"/>
    <x v="0"/>
    <x v="4"/>
    <x v="59"/>
    <x v="251"/>
    <x v="23"/>
    <x v="0"/>
    <x v="0"/>
    <x v="646"/>
    <x v="339"/>
    <x v="0"/>
    <x v="550"/>
    <x v="12"/>
    <x v="45"/>
    <x v="77"/>
    <x v="105"/>
    <x v="7"/>
    <x v="767"/>
    <x v="155"/>
    <x v="206"/>
  </r>
  <r>
    <x v="1"/>
    <x v="39"/>
    <x v="6"/>
    <x v="1"/>
    <x v="45"/>
    <x v="11"/>
    <x v="19"/>
    <x v="83"/>
    <x v="136"/>
    <x v="3"/>
    <x v="20"/>
    <x v="49"/>
    <x v="50"/>
    <x v="136"/>
    <x v="108"/>
    <x v="0"/>
    <x v="0"/>
    <x v="15"/>
    <x v="0"/>
    <x v="22"/>
    <x v="0"/>
    <x v="4"/>
    <x v="63"/>
    <x v="701"/>
    <x v="24"/>
    <x v="0"/>
    <x v="0"/>
    <x v="646"/>
    <x v="526"/>
    <x v="0"/>
    <x v="305"/>
    <x v="0"/>
    <x v="42"/>
    <x v="130"/>
    <x v="209"/>
    <x v="7"/>
    <x v="741"/>
    <x v="372"/>
    <x v="728"/>
  </r>
  <r>
    <x v="1"/>
    <x v="39"/>
    <x v="6"/>
    <x v="9"/>
    <x v="24"/>
    <x v="11"/>
    <x v="19"/>
    <x v="32"/>
    <x v="1008"/>
    <x v="0"/>
    <x v="38"/>
    <x v="220"/>
    <x v="229"/>
    <x v="970"/>
    <x v="515"/>
    <x v="0"/>
    <x v="0"/>
    <x v="0"/>
    <x v="0"/>
    <x v="12"/>
    <x v="0"/>
    <x v="1"/>
    <x v="462"/>
    <x v="336"/>
    <x v="15"/>
    <x v="0"/>
    <x v="0"/>
    <x v="646"/>
    <x v="57"/>
    <x v="0"/>
    <x v="891"/>
    <x v="12"/>
    <x v="77"/>
    <x v="104"/>
    <x v="581"/>
    <x v="1"/>
    <x v="147"/>
    <x v="77"/>
    <x v="201"/>
  </r>
  <r>
    <x v="1"/>
    <x v="39"/>
    <x v="6"/>
    <x v="8"/>
    <x v="62"/>
    <x v="11"/>
    <x v="19"/>
    <x v="30"/>
    <x v="928"/>
    <x v="0"/>
    <x v="38"/>
    <x v="215"/>
    <x v="213"/>
    <x v="948"/>
    <x v="488"/>
    <x v="0"/>
    <x v="0"/>
    <x v="0"/>
    <x v="0"/>
    <x v="34"/>
    <x v="0"/>
    <x v="0"/>
    <x v="581"/>
    <x v="312"/>
    <x v="27"/>
    <x v="0"/>
    <x v="0"/>
    <x v="646"/>
    <x v="153"/>
    <x v="0"/>
    <x v="765"/>
    <x v="12"/>
    <x v="77"/>
    <x v="104"/>
    <x v="540"/>
    <x v="3"/>
    <x v="24"/>
    <x v="748"/>
    <x v="1201"/>
  </r>
  <r>
    <x v="1"/>
    <x v="39"/>
    <x v="6"/>
    <x v="8"/>
    <x v="63"/>
    <x v="11"/>
    <x v="19"/>
    <x v="54"/>
    <x v="955"/>
    <x v="0"/>
    <x v="6"/>
    <x v="72"/>
    <x v="215"/>
    <x v="178"/>
    <x v="140"/>
    <x v="0"/>
    <x v="0"/>
    <x v="0"/>
    <x v="0"/>
    <x v="17"/>
    <x v="0"/>
    <x v="0"/>
    <x v="221"/>
    <x v="637"/>
    <x v="28"/>
    <x v="0"/>
    <x v="0"/>
    <x v="646"/>
    <x v="327"/>
    <x v="0"/>
    <x v="565"/>
    <x v="0"/>
    <x v="15"/>
    <x v="130"/>
    <x v="599"/>
    <x v="3"/>
    <x v="15"/>
    <x v="757"/>
    <x v="1213"/>
  </r>
  <r>
    <x v="1"/>
    <x v="39"/>
    <x v="3"/>
    <x v="7"/>
    <x v="18"/>
    <x v="11"/>
    <x v="19"/>
    <x v="47"/>
    <x v="975"/>
    <x v="0"/>
    <x v="42"/>
    <x v="184"/>
    <x v="156"/>
    <x v="854"/>
    <x v="386"/>
    <x v="0"/>
    <x v="0"/>
    <x v="0"/>
    <x v="0"/>
    <x v="0"/>
    <x v="0"/>
    <x v="0"/>
    <x v="455"/>
    <x v="303"/>
    <x v="9"/>
    <x v="0"/>
    <x v="0"/>
    <x v="646"/>
    <x v="0"/>
    <x v="0"/>
    <x v="958"/>
    <x v="0"/>
    <x v="102"/>
    <x v="130"/>
    <x v="368"/>
    <x v="2"/>
    <x v="348"/>
    <x v="99"/>
    <x v="373"/>
  </r>
  <r>
    <x v="1"/>
    <x v="39"/>
    <x v="3"/>
    <x v="5"/>
    <x v="10"/>
    <x v="7"/>
    <x v="7"/>
    <x v="45"/>
    <x v="977"/>
    <x v="0"/>
    <x v="42"/>
    <x v="163"/>
    <x v="124"/>
    <x v="776"/>
    <x v="349"/>
    <x v="0"/>
    <x v="41"/>
    <x v="0"/>
    <x v="0"/>
    <x v="35"/>
    <x v="0"/>
    <x v="0"/>
    <x v="417"/>
    <x v="643"/>
    <x v="44"/>
    <x v="1"/>
    <x v="393"/>
    <x v="435"/>
    <x v="267"/>
    <x v="184"/>
    <x v="641"/>
    <x v="0"/>
    <x v="102"/>
    <x v="130"/>
    <x v="325"/>
    <x v="4"/>
    <x v="396"/>
    <x v="471"/>
    <x v="908"/>
  </r>
  <r>
    <x v="1"/>
    <x v="39"/>
    <x v="3"/>
    <x v="2"/>
    <x v="75"/>
    <x v="11"/>
    <x v="13"/>
    <x v="6"/>
    <x v="298"/>
    <x v="0"/>
    <x v="34"/>
    <x v="126"/>
    <x v="94"/>
    <x v="393"/>
    <x v="218"/>
    <x v="0"/>
    <x v="0"/>
    <x v="0"/>
    <x v="0"/>
    <x v="0"/>
    <x v="0"/>
    <x v="0"/>
    <x v="305"/>
    <x v="598"/>
    <x v="43"/>
    <x v="2"/>
    <x v="131"/>
    <x v="645"/>
    <x v="0"/>
    <x v="0"/>
    <x v="958"/>
    <x v="0"/>
    <x v="76"/>
    <x v="130"/>
    <x v="241"/>
    <x v="5"/>
    <x v="501"/>
    <x v="361"/>
    <x v="737"/>
  </r>
  <r>
    <x v="1"/>
    <x v="39"/>
    <x v="3"/>
    <x v="0"/>
    <x v="0"/>
    <x v="11"/>
    <x v="1"/>
    <x v="13"/>
    <x v="291"/>
    <x v="0"/>
    <x v="42"/>
    <x v="107"/>
    <x v="29"/>
    <x v="324"/>
    <x v="205"/>
    <x v="7"/>
    <x v="11"/>
    <x v="0"/>
    <x v="0"/>
    <x v="30"/>
    <x v="0"/>
    <x v="0"/>
    <x v="290"/>
    <x v="698"/>
    <x v="38"/>
    <x v="5"/>
    <x v="573"/>
    <x v="405"/>
    <x v="371"/>
    <x v="90"/>
    <x v="513"/>
    <x v="0"/>
    <x v="102"/>
    <x v="130"/>
    <x v="115"/>
    <x v="6"/>
    <x v="589"/>
    <x v="414"/>
    <x v="807"/>
  </r>
  <r>
    <x v="1"/>
    <x v="39"/>
    <x v="3"/>
    <x v="4"/>
    <x v="59"/>
    <x v="11"/>
    <x v="19"/>
    <x v="55"/>
    <x v="955"/>
    <x v="0"/>
    <x v="42"/>
    <x v="184"/>
    <x v="156"/>
    <x v="871"/>
    <x v="402"/>
    <x v="0"/>
    <x v="0"/>
    <x v="0"/>
    <x v="0"/>
    <x v="0"/>
    <x v="0"/>
    <x v="0"/>
    <x v="471"/>
    <x v="372"/>
    <x v="16"/>
    <x v="0"/>
    <x v="0"/>
    <x v="646"/>
    <x v="0"/>
    <x v="0"/>
    <x v="958"/>
    <x v="9"/>
    <x v="97"/>
    <x v="117"/>
    <x v="383"/>
    <x v="2"/>
    <x v="275"/>
    <x v="258"/>
    <x v="433"/>
  </r>
  <r>
    <x v="1"/>
    <x v="39"/>
    <x v="3"/>
    <x v="2"/>
    <x v="75"/>
    <x v="11"/>
    <x v="14"/>
    <x v="6"/>
    <x v="295"/>
    <x v="0"/>
    <x v="14"/>
    <x v="31"/>
    <x v="94"/>
    <x v="91"/>
    <x v="78"/>
    <x v="0"/>
    <x v="0"/>
    <x v="0"/>
    <x v="0"/>
    <x v="0"/>
    <x v="0"/>
    <x v="0"/>
    <x v="167"/>
    <x v="673"/>
    <x v="43"/>
    <x v="2"/>
    <x v="22"/>
    <x v="645"/>
    <x v="0"/>
    <x v="0"/>
    <x v="958"/>
    <x v="0"/>
    <x v="29"/>
    <x v="130"/>
    <x v="280"/>
    <x v="5"/>
    <x v="458"/>
    <x v="496"/>
    <x v="966"/>
  </r>
  <r>
    <x v="1"/>
    <x v="39"/>
    <x v="5"/>
    <x v="2"/>
    <x v="75"/>
    <x v="11"/>
    <x v="14"/>
    <x v="6"/>
    <x v="296"/>
    <x v="4"/>
    <x v="24"/>
    <x v="83"/>
    <x v="66"/>
    <x v="178"/>
    <x v="143"/>
    <x v="0"/>
    <x v="0"/>
    <x v="0"/>
    <x v="0"/>
    <x v="0"/>
    <x v="0"/>
    <x v="0"/>
    <x v="222"/>
    <x v="466"/>
    <x v="43"/>
    <x v="2"/>
    <x v="59"/>
    <x v="645"/>
    <x v="0"/>
    <x v="0"/>
    <x v="958"/>
    <x v="0"/>
    <x v="55"/>
    <x v="130"/>
    <x v="194"/>
    <x v="5"/>
    <x v="536"/>
    <x v="177"/>
    <x v="502"/>
  </r>
  <r>
    <x v="1"/>
    <x v="39"/>
    <x v="5"/>
    <x v="2"/>
    <x v="75"/>
    <x v="11"/>
    <x v="13"/>
    <x v="6"/>
    <x v="299"/>
    <x v="4"/>
    <x v="24"/>
    <x v="94"/>
    <x v="110"/>
    <x v="229"/>
    <x v="171"/>
    <x v="0"/>
    <x v="0"/>
    <x v="0"/>
    <x v="0"/>
    <x v="3"/>
    <x v="3"/>
    <x v="0"/>
    <x v="250"/>
    <x v="686"/>
    <x v="43"/>
    <x v="2"/>
    <x v="76"/>
    <x v="556"/>
    <x v="74"/>
    <x v="0"/>
    <x v="867"/>
    <x v="0"/>
    <x v="55"/>
    <x v="130"/>
    <x v="300"/>
    <x v="5"/>
    <x v="432"/>
    <x v="550"/>
    <x v="1032"/>
  </r>
  <r>
    <x v="1"/>
    <x v="39"/>
    <x v="5"/>
    <x v="5"/>
    <x v="10"/>
    <x v="7"/>
    <x v="7"/>
    <x v="45"/>
    <x v="979"/>
    <x v="4"/>
    <x v="42"/>
    <x v="163"/>
    <x v="124"/>
    <x v="758"/>
    <x v="346"/>
    <x v="0"/>
    <x v="23"/>
    <x v="0"/>
    <x v="0"/>
    <x v="71"/>
    <x v="3"/>
    <x v="0"/>
    <x v="414"/>
    <x v="623"/>
    <x v="44"/>
    <x v="1"/>
    <x v="380"/>
    <x v="371"/>
    <x v="507"/>
    <x v="78"/>
    <x v="337"/>
    <x v="0"/>
    <x v="102"/>
    <x v="130"/>
    <x v="320"/>
    <x v="4"/>
    <x v="407"/>
    <x v="429"/>
    <x v="817"/>
  </r>
  <r>
    <x v="1"/>
    <x v="39"/>
    <x v="5"/>
    <x v="0"/>
    <x v="0"/>
    <x v="1"/>
    <x v="1"/>
    <x v="13"/>
    <x v="293"/>
    <x v="4"/>
    <x v="42"/>
    <x v="107"/>
    <x v="29"/>
    <x v="288"/>
    <x v="193"/>
    <x v="12"/>
    <x v="17"/>
    <x v="0"/>
    <x v="0"/>
    <x v="38"/>
    <x v="3"/>
    <x v="0"/>
    <x v="277"/>
    <x v="639"/>
    <x v="38"/>
    <x v="5"/>
    <x v="563"/>
    <x v="290"/>
    <x v="495"/>
    <x v="164"/>
    <x v="352"/>
    <x v="0"/>
    <x v="102"/>
    <x v="130"/>
    <x v="105"/>
    <x v="6"/>
    <x v="601"/>
    <x v="295"/>
    <x v="629"/>
  </r>
  <r>
    <x v="1"/>
    <x v="40"/>
    <x v="2"/>
    <x v="7"/>
    <x v="18"/>
    <x v="11"/>
    <x v="10"/>
    <x v="47"/>
    <x v="978"/>
    <x v="2"/>
    <x v="42"/>
    <x v="184"/>
    <x v="156"/>
    <x v="904"/>
    <x v="441"/>
    <x v="0"/>
    <x v="0"/>
    <x v="0"/>
    <x v="0"/>
    <x v="0"/>
    <x v="0"/>
    <x v="0"/>
    <x v="526"/>
    <x v="580"/>
    <x v="9"/>
    <x v="0"/>
    <x v="0"/>
    <x v="646"/>
    <x v="0"/>
    <x v="0"/>
    <x v="958"/>
    <x v="0"/>
    <x v="102"/>
    <x v="130"/>
    <x v="447"/>
    <x v="2"/>
    <x v="255"/>
    <x v="294"/>
    <x v="669"/>
  </r>
  <r>
    <x v="1"/>
    <x v="40"/>
    <x v="2"/>
    <x v="4"/>
    <x v="59"/>
    <x v="11"/>
    <x v="8"/>
    <x v="55"/>
    <x v="956"/>
    <x v="2"/>
    <x v="24"/>
    <x v="133"/>
    <x v="156"/>
    <x v="410"/>
    <x v="226"/>
    <x v="0"/>
    <x v="0"/>
    <x v="0"/>
    <x v="0"/>
    <x v="0"/>
    <x v="0"/>
    <x v="0"/>
    <x v="313"/>
    <x v="409"/>
    <x v="16"/>
    <x v="0"/>
    <x v="0"/>
    <x v="646"/>
    <x v="0"/>
    <x v="0"/>
    <x v="958"/>
    <x v="9"/>
    <x v="47"/>
    <x v="89"/>
    <x v="393"/>
    <x v="2"/>
    <x v="155"/>
    <x v="482"/>
    <x v="470"/>
  </r>
  <r>
    <x v="1"/>
    <x v="40"/>
    <x v="2"/>
    <x v="4"/>
    <x v="56"/>
    <x v="11"/>
    <x v="8"/>
    <x v="49"/>
    <x v="965"/>
    <x v="2"/>
    <x v="24"/>
    <x v="133"/>
    <x v="156"/>
    <x v="448"/>
    <x v="247"/>
    <x v="0"/>
    <x v="0"/>
    <x v="0"/>
    <x v="0"/>
    <x v="0"/>
    <x v="0"/>
    <x v="0"/>
    <x v="330"/>
    <x v="580"/>
    <x v="13"/>
    <x v="0"/>
    <x v="0"/>
    <x v="646"/>
    <x v="0"/>
    <x v="0"/>
    <x v="958"/>
    <x v="0"/>
    <x v="55"/>
    <x v="130"/>
    <x v="447"/>
    <x v="2"/>
    <x v="255"/>
    <x v="294"/>
    <x v="669"/>
  </r>
  <r>
    <x v="1"/>
    <x v="40"/>
    <x v="2"/>
    <x v="5"/>
    <x v="10"/>
    <x v="7"/>
    <x v="7"/>
    <x v="45"/>
    <x v="984"/>
    <x v="2"/>
    <x v="42"/>
    <x v="163"/>
    <x v="124"/>
    <x v="649"/>
    <x v="316"/>
    <x v="0"/>
    <x v="29"/>
    <x v="0"/>
    <x v="0"/>
    <x v="74"/>
    <x v="3"/>
    <x v="0"/>
    <x v="393"/>
    <x v="484"/>
    <x v="44"/>
    <x v="1"/>
    <x v="286"/>
    <x v="326"/>
    <x v="558"/>
    <x v="140"/>
    <x v="274"/>
    <x v="7"/>
    <x v="99"/>
    <x v="122"/>
    <x v="283"/>
    <x v="4"/>
    <x v="415"/>
    <x v="383"/>
    <x v="580"/>
  </r>
  <r>
    <x v="1"/>
    <x v="40"/>
    <x v="2"/>
    <x v="2"/>
    <x v="75"/>
    <x v="11"/>
    <x v="13"/>
    <x v="6"/>
    <x v="305"/>
    <x v="2"/>
    <x v="42"/>
    <x v="153"/>
    <x v="86"/>
    <x v="657"/>
    <x v="327"/>
    <x v="0"/>
    <x v="0"/>
    <x v="0"/>
    <x v="0"/>
    <x v="2"/>
    <x v="3"/>
    <x v="0"/>
    <x v="403"/>
    <x v="703"/>
    <x v="43"/>
    <x v="2"/>
    <x v="368"/>
    <x v="617"/>
    <x v="17"/>
    <x v="0"/>
    <x v="939"/>
    <x v="0"/>
    <x v="102"/>
    <x v="130"/>
    <x v="300"/>
    <x v="5"/>
    <x v="432"/>
    <x v="550"/>
    <x v="1040"/>
  </r>
  <r>
    <x v="1"/>
    <x v="40"/>
    <x v="2"/>
    <x v="0"/>
    <x v="4"/>
    <x v="5"/>
    <x v="0"/>
    <x v="71"/>
    <x v="300"/>
    <x v="2"/>
    <x v="42"/>
    <x v="107"/>
    <x v="29"/>
    <x v="72"/>
    <x v="54"/>
    <x v="4"/>
    <x v="36"/>
    <x v="0"/>
    <x v="0"/>
    <x v="28"/>
    <x v="3"/>
    <x v="0"/>
    <x v="135"/>
    <x v="19"/>
    <x v="38"/>
    <x v="10"/>
    <x v="280"/>
    <x v="74"/>
    <x v="725"/>
    <x v="440"/>
    <x v="61"/>
    <x v="54"/>
    <x v="33"/>
    <x v="11"/>
    <x v="13"/>
    <x v="6"/>
    <x v="567"/>
    <x v="528"/>
    <x v="27"/>
  </r>
  <r>
    <x v="1"/>
    <x v="40"/>
    <x v="6"/>
    <x v="1"/>
    <x v="45"/>
    <x v="11"/>
    <x v="19"/>
    <x v="83"/>
    <x v="333"/>
    <x v="3"/>
    <x v="7"/>
    <x v="12"/>
    <x v="45"/>
    <x v="26"/>
    <x v="25"/>
    <x v="0"/>
    <x v="0"/>
    <x v="8"/>
    <x v="0"/>
    <x v="8"/>
    <x v="0"/>
    <x v="5"/>
    <x v="17"/>
    <x v="611"/>
    <x v="24"/>
    <x v="0"/>
    <x v="0"/>
    <x v="646"/>
    <x v="547"/>
    <x v="0"/>
    <x v="285"/>
    <x v="8"/>
    <x v="9"/>
    <x v="32"/>
    <x v="160"/>
    <x v="7"/>
    <x v="657"/>
    <x v="685"/>
    <x v="243"/>
  </r>
  <r>
    <x v="1"/>
    <x v="40"/>
    <x v="6"/>
    <x v="1"/>
    <x v="51"/>
    <x v="11"/>
    <x v="19"/>
    <x v="75"/>
    <x v="337"/>
    <x v="3"/>
    <x v="20"/>
    <x v="43"/>
    <x v="48"/>
    <x v="44"/>
    <x v="42"/>
    <x v="0"/>
    <x v="0"/>
    <x v="9"/>
    <x v="0"/>
    <x v="14"/>
    <x v="0"/>
    <x v="5"/>
    <x v="30"/>
    <x v="103"/>
    <x v="23"/>
    <x v="0"/>
    <x v="0"/>
    <x v="646"/>
    <x v="601"/>
    <x v="0"/>
    <x v="216"/>
    <x v="21"/>
    <x v="22"/>
    <x v="31"/>
    <x v="61"/>
    <x v="7"/>
    <x v="773"/>
    <x v="134"/>
    <x v="51"/>
  </r>
  <r>
    <x v="1"/>
    <x v="40"/>
    <x v="6"/>
    <x v="1"/>
    <x v="50"/>
    <x v="11"/>
    <x v="19"/>
    <x v="61"/>
    <x v="166"/>
    <x v="3"/>
    <x v="19"/>
    <x v="38"/>
    <x v="44"/>
    <x v="115"/>
    <x v="94"/>
    <x v="0"/>
    <x v="0"/>
    <x v="14"/>
    <x v="0"/>
    <x v="23"/>
    <x v="0"/>
    <x v="5"/>
    <x v="50"/>
    <x v="685"/>
    <x v="22"/>
    <x v="0"/>
    <x v="0"/>
    <x v="646"/>
    <x v="589"/>
    <x v="0"/>
    <x v="236"/>
    <x v="7"/>
    <x v="34"/>
    <x v="88"/>
    <x v="179"/>
    <x v="7"/>
    <x v="755"/>
    <x v="250"/>
    <x v="292"/>
  </r>
  <r>
    <x v="1"/>
    <x v="40"/>
    <x v="6"/>
    <x v="1"/>
    <x v="48"/>
    <x v="11"/>
    <x v="19"/>
    <x v="62"/>
    <x v="155"/>
    <x v="3"/>
    <x v="9"/>
    <x v="20"/>
    <x v="58"/>
    <x v="41"/>
    <x v="39"/>
    <x v="0"/>
    <x v="0"/>
    <x v="12"/>
    <x v="0"/>
    <x v="21"/>
    <x v="0"/>
    <x v="5"/>
    <x v="28"/>
    <x v="695"/>
    <x v="20"/>
    <x v="0"/>
    <x v="0"/>
    <x v="646"/>
    <x v="716"/>
    <x v="0"/>
    <x v="64"/>
    <x v="0"/>
    <x v="21"/>
    <x v="130"/>
    <x v="235"/>
    <x v="7"/>
    <x v="765"/>
    <x v="167"/>
    <x v="423"/>
  </r>
  <r>
    <x v="1"/>
    <x v="40"/>
    <x v="3"/>
    <x v="2"/>
    <x v="75"/>
    <x v="11"/>
    <x v="13"/>
    <x v="6"/>
    <x v="306"/>
    <x v="0"/>
    <x v="14"/>
    <x v="30"/>
    <x v="85"/>
    <x v="118"/>
    <x v="99"/>
    <x v="36"/>
    <x v="0"/>
    <x v="0"/>
    <x v="0"/>
    <x v="6"/>
    <x v="0"/>
    <x v="0"/>
    <x v="188"/>
    <x v="751"/>
    <x v="43"/>
    <x v="2"/>
    <x v="38"/>
    <x v="114"/>
    <x v="192"/>
    <x v="0"/>
    <x v="720"/>
    <x v="0"/>
    <x v="29"/>
    <x v="130"/>
    <x v="345"/>
    <x v="5"/>
    <x v="367"/>
    <x v="655"/>
    <x v="1139"/>
  </r>
  <r>
    <x v="1"/>
    <x v="40"/>
    <x v="6"/>
    <x v="8"/>
    <x v="63"/>
    <x v="11"/>
    <x v="19"/>
    <x v="54"/>
    <x v="905"/>
    <x v="0"/>
    <x v="28"/>
    <x v="195"/>
    <x v="199"/>
    <x v="913"/>
    <x v="451"/>
    <x v="0"/>
    <x v="0"/>
    <x v="0"/>
    <x v="0"/>
    <x v="39"/>
    <x v="0"/>
    <x v="1"/>
    <x v="348"/>
    <x v="450"/>
    <x v="28"/>
    <x v="0"/>
    <x v="0"/>
    <x v="646"/>
    <x v="215"/>
    <x v="0"/>
    <x v="696"/>
    <x v="0"/>
    <x v="63"/>
    <x v="130"/>
    <x v="537"/>
    <x v="3"/>
    <x v="341"/>
    <x v="277"/>
    <x v="612"/>
  </r>
  <r>
    <x v="1"/>
    <x v="40"/>
    <x v="6"/>
    <x v="8"/>
    <x v="60"/>
    <x v="11"/>
    <x v="19"/>
    <x v="48"/>
    <x v="973"/>
    <x v="0"/>
    <x v="20"/>
    <x v="180"/>
    <x v="241"/>
    <x v="820"/>
    <x v="358"/>
    <x v="0"/>
    <x v="0"/>
    <x v="0"/>
    <x v="0"/>
    <x v="17"/>
    <x v="0"/>
    <x v="1"/>
    <x v="276"/>
    <x v="337"/>
    <x v="25"/>
    <x v="0"/>
    <x v="0"/>
    <x v="646"/>
    <x v="151"/>
    <x v="0"/>
    <x v="767"/>
    <x v="12"/>
    <x v="30"/>
    <x v="62"/>
    <x v="586"/>
    <x v="3"/>
    <x v="80"/>
    <x v="705"/>
    <x v="1048"/>
  </r>
  <r>
    <x v="1"/>
    <x v="40"/>
    <x v="6"/>
    <x v="9"/>
    <x v="24"/>
    <x v="11"/>
    <x v="19"/>
    <x v="32"/>
    <x v="911"/>
    <x v="0"/>
    <x v="42"/>
    <x v="228"/>
    <x v="232"/>
    <x v="998"/>
    <x v="547"/>
    <x v="0"/>
    <x v="0"/>
    <x v="0"/>
    <x v="0"/>
    <x v="2"/>
    <x v="0"/>
    <x v="1"/>
    <x v="529"/>
    <x v="358"/>
    <x v="15"/>
    <x v="0"/>
    <x v="0"/>
    <x v="646"/>
    <x v="5"/>
    <x v="0"/>
    <x v="953"/>
    <x v="12"/>
    <x v="94"/>
    <x v="108"/>
    <x v="587"/>
    <x v="1"/>
    <x v="140"/>
    <x v="84"/>
    <x v="224"/>
  </r>
  <r>
    <x v="1"/>
    <x v="40"/>
    <x v="3"/>
    <x v="5"/>
    <x v="10"/>
    <x v="7"/>
    <x v="7"/>
    <x v="45"/>
    <x v="986"/>
    <x v="0"/>
    <x v="42"/>
    <x v="163"/>
    <x v="124"/>
    <x v="688"/>
    <x v="327"/>
    <x v="0"/>
    <x v="40"/>
    <x v="0"/>
    <x v="0"/>
    <x v="60"/>
    <x v="0"/>
    <x v="0"/>
    <x v="403"/>
    <x v="551"/>
    <x v="44"/>
    <x v="1"/>
    <x v="312"/>
    <x v="359"/>
    <x v="452"/>
    <x v="200"/>
    <x v="416"/>
    <x v="0"/>
    <x v="102"/>
    <x v="130"/>
    <x v="300"/>
    <x v="4"/>
    <x v="432"/>
    <x v="329"/>
    <x v="680"/>
  </r>
  <r>
    <x v="1"/>
    <x v="40"/>
    <x v="3"/>
    <x v="0"/>
    <x v="4"/>
    <x v="5"/>
    <x v="0"/>
    <x v="71"/>
    <x v="302"/>
    <x v="0"/>
    <x v="42"/>
    <x v="107"/>
    <x v="29"/>
    <x v="256"/>
    <x v="180"/>
    <x v="0"/>
    <x v="28"/>
    <x v="0"/>
    <x v="0"/>
    <x v="62"/>
    <x v="0"/>
    <x v="0"/>
    <x v="263"/>
    <x v="525"/>
    <x v="38"/>
    <x v="10"/>
    <x v="630"/>
    <x v="220"/>
    <x v="681"/>
    <x v="262"/>
    <x v="107"/>
    <x v="0"/>
    <x v="102"/>
    <x v="130"/>
    <x v="92"/>
    <x v="6"/>
    <x v="619"/>
    <x v="167"/>
    <x v="429"/>
  </r>
  <r>
    <x v="1"/>
    <x v="40"/>
    <x v="3"/>
    <x v="7"/>
    <x v="18"/>
    <x v="11"/>
    <x v="19"/>
    <x v="47"/>
    <x v="988"/>
    <x v="0"/>
    <x v="42"/>
    <x v="184"/>
    <x v="156"/>
    <x v="898"/>
    <x v="436"/>
    <x v="0"/>
    <x v="0"/>
    <x v="0"/>
    <x v="0"/>
    <x v="0"/>
    <x v="0"/>
    <x v="0"/>
    <x v="521"/>
    <x v="561"/>
    <x v="9"/>
    <x v="0"/>
    <x v="0"/>
    <x v="646"/>
    <x v="0"/>
    <x v="0"/>
    <x v="958"/>
    <x v="0"/>
    <x v="102"/>
    <x v="130"/>
    <x v="439"/>
    <x v="2"/>
    <x v="265"/>
    <x v="272"/>
    <x v="626"/>
  </r>
  <r>
    <x v="1"/>
    <x v="40"/>
    <x v="3"/>
    <x v="4"/>
    <x v="56"/>
    <x v="11"/>
    <x v="19"/>
    <x v="49"/>
    <x v="1308"/>
    <x v="0"/>
    <x v="42"/>
    <x v="184"/>
    <x v="156"/>
    <x v="898"/>
    <x v="436"/>
    <x v="0"/>
    <x v="0"/>
    <x v="0"/>
    <x v="0"/>
    <x v="0"/>
    <x v="0"/>
    <x v="0"/>
    <x v="521"/>
    <x v="561"/>
    <x v="13"/>
    <x v="0"/>
    <x v="0"/>
    <x v="646"/>
    <x v="0"/>
    <x v="0"/>
    <x v="958"/>
    <x v="0"/>
    <x v="102"/>
    <x v="130"/>
    <x v="439"/>
    <x v="2"/>
    <x v="265"/>
    <x v="272"/>
    <x v="626"/>
  </r>
  <r>
    <x v="1"/>
    <x v="40"/>
    <x v="3"/>
    <x v="2"/>
    <x v="76"/>
    <x v="11"/>
    <x v="14"/>
    <x v="4"/>
    <x v="303"/>
    <x v="0"/>
    <x v="34"/>
    <x v="128"/>
    <x v="109"/>
    <x v="298"/>
    <x v="200"/>
    <x v="0"/>
    <x v="0"/>
    <x v="0"/>
    <x v="0"/>
    <x v="0"/>
    <x v="0"/>
    <x v="0"/>
    <x v="285"/>
    <x v="354"/>
    <x v="41"/>
    <x v="2"/>
    <x v="110"/>
    <x v="645"/>
    <x v="0"/>
    <x v="0"/>
    <x v="958"/>
    <x v="0"/>
    <x v="76"/>
    <x v="130"/>
    <x v="194"/>
    <x v="5"/>
    <x v="536"/>
    <x v="177"/>
    <x v="502"/>
  </r>
  <r>
    <x v="1"/>
    <x v="40"/>
    <x v="5"/>
    <x v="2"/>
    <x v="76"/>
    <x v="11"/>
    <x v="14"/>
    <x v="4"/>
    <x v="304"/>
    <x v="4"/>
    <x v="34"/>
    <x v="127"/>
    <x v="106"/>
    <x v="452"/>
    <x v="248"/>
    <x v="0"/>
    <x v="0"/>
    <x v="0"/>
    <x v="0"/>
    <x v="0"/>
    <x v="0"/>
    <x v="0"/>
    <x v="331"/>
    <x v="699"/>
    <x v="41"/>
    <x v="2"/>
    <x v="170"/>
    <x v="645"/>
    <x v="0"/>
    <x v="0"/>
    <x v="958"/>
    <x v="0"/>
    <x v="76"/>
    <x v="130"/>
    <x v="300"/>
    <x v="5"/>
    <x v="432"/>
    <x v="550"/>
    <x v="1042"/>
  </r>
  <r>
    <x v="1"/>
    <x v="40"/>
    <x v="5"/>
    <x v="2"/>
    <x v="76"/>
    <x v="11"/>
    <x v="13"/>
    <x v="4"/>
    <x v="307"/>
    <x v="4"/>
    <x v="14"/>
    <x v="28"/>
    <x v="66"/>
    <x v="64"/>
    <x v="60"/>
    <x v="0"/>
    <x v="0"/>
    <x v="0"/>
    <x v="0"/>
    <x v="5"/>
    <x v="0"/>
    <x v="0"/>
    <x v="144"/>
    <x v="466"/>
    <x v="41"/>
    <x v="2"/>
    <x v="12"/>
    <x v="546"/>
    <x v="223"/>
    <x v="0"/>
    <x v="687"/>
    <x v="0"/>
    <x v="29"/>
    <x v="130"/>
    <x v="194"/>
    <x v="5"/>
    <x v="536"/>
    <x v="177"/>
    <x v="476"/>
  </r>
  <r>
    <x v="1"/>
    <x v="40"/>
    <x v="5"/>
    <x v="5"/>
    <x v="10"/>
    <x v="7"/>
    <x v="7"/>
    <x v="45"/>
    <x v="987"/>
    <x v="4"/>
    <x v="42"/>
    <x v="163"/>
    <x v="124"/>
    <x v="759"/>
    <x v="346"/>
    <x v="0"/>
    <x v="28"/>
    <x v="0"/>
    <x v="0"/>
    <x v="68"/>
    <x v="3"/>
    <x v="0"/>
    <x v="414"/>
    <x v="623"/>
    <x v="44"/>
    <x v="1"/>
    <x v="381"/>
    <x v="368"/>
    <x v="485"/>
    <x v="110"/>
    <x v="361"/>
    <x v="0"/>
    <x v="102"/>
    <x v="130"/>
    <x v="320"/>
    <x v="4"/>
    <x v="407"/>
    <x v="429"/>
    <x v="820"/>
  </r>
  <r>
    <x v="1"/>
    <x v="41"/>
    <x v="2"/>
    <x v="5"/>
    <x v="10"/>
    <x v="7"/>
    <x v="7"/>
    <x v="45"/>
    <x v="993"/>
    <x v="2"/>
    <x v="42"/>
    <x v="163"/>
    <x v="124"/>
    <x v="542"/>
    <x v="275"/>
    <x v="0"/>
    <x v="30"/>
    <x v="0"/>
    <x v="0"/>
    <x v="60"/>
    <x v="3"/>
    <x v="0"/>
    <x v="359"/>
    <x v="271"/>
    <x v="44"/>
    <x v="1"/>
    <x v="212"/>
    <x v="308"/>
    <x v="533"/>
    <x v="183"/>
    <x v="304"/>
    <x v="25"/>
    <x v="77"/>
    <x v="71"/>
    <x v="215"/>
    <x v="4"/>
    <x v="393"/>
    <x v="489"/>
    <x v="355"/>
  </r>
  <r>
    <x v="1"/>
    <x v="41"/>
    <x v="2"/>
    <x v="7"/>
    <x v="18"/>
    <x v="11"/>
    <x v="10"/>
    <x v="47"/>
    <x v="989"/>
    <x v="2"/>
    <x v="42"/>
    <x v="184"/>
    <x v="156"/>
    <x v="891"/>
    <x v="427"/>
    <x v="0"/>
    <x v="0"/>
    <x v="0"/>
    <x v="0"/>
    <x v="0"/>
    <x v="0"/>
    <x v="0"/>
    <x v="507"/>
    <x v="513"/>
    <x v="9"/>
    <x v="0"/>
    <x v="0"/>
    <x v="646"/>
    <x v="0"/>
    <x v="0"/>
    <x v="958"/>
    <x v="9"/>
    <x v="97"/>
    <x v="117"/>
    <x v="426"/>
    <x v="2"/>
    <x v="203"/>
    <x v="397"/>
    <x v="576"/>
  </r>
  <r>
    <x v="1"/>
    <x v="41"/>
    <x v="2"/>
    <x v="4"/>
    <x v="56"/>
    <x v="11"/>
    <x v="8"/>
    <x v="49"/>
    <x v="1308"/>
    <x v="2"/>
    <x v="42"/>
    <x v="184"/>
    <x v="156"/>
    <x v="873"/>
    <x v="404"/>
    <x v="0"/>
    <x v="0"/>
    <x v="0"/>
    <x v="0"/>
    <x v="0"/>
    <x v="0"/>
    <x v="0"/>
    <x v="474"/>
    <x v="387"/>
    <x v="13"/>
    <x v="0"/>
    <x v="0"/>
    <x v="646"/>
    <x v="0"/>
    <x v="0"/>
    <x v="958"/>
    <x v="9"/>
    <x v="97"/>
    <x v="117"/>
    <x v="387"/>
    <x v="2"/>
    <x v="263"/>
    <x v="274"/>
    <x v="449"/>
  </r>
  <r>
    <x v="1"/>
    <x v="41"/>
    <x v="2"/>
    <x v="0"/>
    <x v="28"/>
    <x v="1"/>
    <x v="1"/>
    <x v="22"/>
    <x v="308"/>
    <x v="2"/>
    <x v="28"/>
    <x v="65"/>
    <x v="23"/>
    <x v="126"/>
    <x v="98"/>
    <x v="55"/>
    <x v="34"/>
    <x v="0"/>
    <x v="0"/>
    <x v="32"/>
    <x v="3"/>
    <x v="0"/>
    <x v="187"/>
    <x v="321"/>
    <x v="45"/>
    <x v="6"/>
    <x v="343"/>
    <x v="56"/>
    <x v="666"/>
    <x v="399"/>
    <x v="140"/>
    <x v="14"/>
    <x v="55"/>
    <x v="79"/>
    <x v="71"/>
    <x v="6"/>
    <x v="601"/>
    <x v="295"/>
    <x v="281"/>
  </r>
  <r>
    <x v="1"/>
    <x v="41"/>
    <x v="2"/>
    <x v="2"/>
    <x v="76"/>
    <x v="11"/>
    <x v="13"/>
    <x v="4"/>
    <x v="312"/>
    <x v="2"/>
    <x v="42"/>
    <x v="153"/>
    <x v="86"/>
    <x v="537"/>
    <x v="282"/>
    <x v="0"/>
    <x v="0"/>
    <x v="0"/>
    <x v="0"/>
    <x v="0"/>
    <x v="0"/>
    <x v="0"/>
    <x v="365"/>
    <x v="554"/>
    <x v="41"/>
    <x v="2"/>
    <x v="250"/>
    <x v="645"/>
    <x v="0"/>
    <x v="0"/>
    <x v="958"/>
    <x v="0"/>
    <x v="102"/>
    <x v="130"/>
    <x v="227"/>
    <x v="5"/>
    <x v="515"/>
    <x v="290"/>
    <x v="656"/>
  </r>
  <r>
    <x v="1"/>
    <x v="41"/>
    <x v="6"/>
    <x v="1"/>
    <x v="52"/>
    <x v="11"/>
    <x v="19"/>
    <x v="67"/>
    <x v="161"/>
    <x v="3"/>
    <x v="20"/>
    <x v="49"/>
    <x v="50"/>
    <x v="90"/>
    <x v="75"/>
    <x v="0"/>
    <x v="0"/>
    <x v="18"/>
    <x v="0"/>
    <x v="18"/>
    <x v="0"/>
    <x v="4"/>
    <x v="51"/>
    <x v="306"/>
    <x v="20"/>
    <x v="0"/>
    <x v="0"/>
    <x v="646"/>
    <x v="560"/>
    <x v="0"/>
    <x v="268"/>
    <x v="9"/>
    <x v="33"/>
    <x v="72"/>
    <x v="120"/>
    <x v="7"/>
    <x v="749"/>
    <x v="314"/>
    <x v="265"/>
  </r>
  <r>
    <x v="1"/>
    <x v="41"/>
    <x v="6"/>
    <x v="1"/>
    <x v="53"/>
    <x v="11"/>
    <x v="19"/>
    <x v="81"/>
    <x v="178"/>
    <x v="3"/>
    <x v="16"/>
    <x v="34"/>
    <x v="46"/>
    <x v="50"/>
    <x v="51"/>
    <x v="0"/>
    <x v="0"/>
    <x v="1"/>
    <x v="0"/>
    <x v="11"/>
    <x v="0"/>
    <x v="4"/>
    <x v="35"/>
    <x v="257"/>
    <x v="21"/>
    <x v="0"/>
    <x v="0"/>
    <x v="646"/>
    <x v="459"/>
    <x v="0"/>
    <x v="395"/>
    <x v="7"/>
    <x v="29"/>
    <x v="79"/>
    <x v="106"/>
    <x v="7"/>
    <x v="769"/>
    <x v="146"/>
    <x v="205"/>
  </r>
  <r>
    <x v="1"/>
    <x v="41"/>
    <x v="6"/>
    <x v="1"/>
    <x v="55"/>
    <x v="11"/>
    <x v="19"/>
    <x v="80"/>
    <x v="1308"/>
    <x v="3"/>
    <x v="20"/>
    <x v="49"/>
    <x v="50"/>
    <x v="59"/>
    <x v="55"/>
    <x v="0"/>
    <x v="0"/>
    <x v="16"/>
    <x v="0"/>
    <x v="16"/>
    <x v="0"/>
    <x v="4"/>
    <x v="37"/>
    <x v="172"/>
    <x v="23"/>
    <x v="0"/>
    <x v="0"/>
    <x v="646"/>
    <x v="590"/>
    <x v="0"/>
    <x v="234"/>
    <x v="12"/>
    <x v="30"/>
    <x v="62"/>
    <x v="87"/>
    <x v="7"/>
    <x v="772"/>
    <x v="138"/>
    <x v="153"/>
  </r>
  <r>
    <x v="1"/>
    <x v="41"/>
    <x v="6"/>
    <x v="8"/>
    <x v="60"/>
    <x v="11"/>
    <x v="19"/>
    <x v="48"/>
    <x v="973"/>
    <x v="0"/>
    <x v="42"/>
    <x v="225"/>
    <x v="214"/>
    <x v="986"/>
    <x v="529"/>
    <x v="0"/>
    <x v="0"/>
    <x v="0"/>
    <x v="0"/>
    <x v="121"/>
    <x v="0"/>
    <x v="1"/>
    <x v="488"/>
    <x v="415"/>
    <x v="25"/>
    <x v="0"/>
    <x v="0"/>
    <x v="646"/>
    <x v="501"/>
    <x v="0"/>
    <x v="336"/>
    <x v="12"/>
    <x v="94"/>
    <x v="108"/>
    <x v="558"/>
    <x v="3"/>
    <x v="219"/>
    <x v="581"/>
    <x v="805"/>
  </r>
  <r>
    <x v="1"/>
    <x v="41"/>
    <x v="6"/>
    <x v="9"/>
    <x v="25"/>
    <x v="11"/>
    <x v="19"/>
    <x v="56"/>
    <x v="955"/>
    <x v="0"/>
    <x v="14"/>
    <x v="149"/>
    <x v="233"/>
    <x v="859"/>
    <x v="390"/>
    <x v="0"/>
    <x v="0"/>
    <x v="0"/>
    <x v="0"/>
    <x v="0"/>
    <x v="0"/>
    <x v="1"/>
    <x v="294"/>
    <x v="767"/>
    <x v="16"/>
    <x v="0"/>
    <x v="0"/>
    <x v="646"/>
    <x v="0"/>
    <x v="0"/>
    <x v="958"/>
    <x v="12"/>
    <x v="17"/>
    <x v="40"/>
    <x v="641"/>
    <x v="1"/>
    <x v="5"/>
    <x v="742"/>
    <x v="1095"/>
  </r>
  <r>
    <x v="1"/>
    <x v="41"/>
    <x v="6"/>
    <x v="9"/>
    <x v="24"/>
    <x v="11"/>
    <x v="19"/>
    <x v="32"/>
    <x v="912"/>
    <x v="0"/>
    <x v="34"/>
    <x v="212"/>
    <x v="235"/>
    <x v="954"/>
    <x v="494"/>
    <x v="0"/>
    <x v="0"/>
    <x v="0"/>
    <x v="0"/>
    <x v="10"/>
    <x v="0"/>
    <x v="1"/>
    <x v="431"/>
    <x v="384"/>
    <x v="15"/>
    <x v="0"/>
    <x v="0"/>
    <x v="646"/>
    <x v="50"/>
    <x v="0"/>
    <x v="898"/>
    <x v="0"/>
    <x v="76"/>
    <x v="130"/>
    <x v="593"/>
    <x v="1"/>
    <x v="216"/>
    <x v="49"/>
    <x v="247"/>
  </r>
  <r>
    <x v="1"/>
    <x v="41"/>
    <x v="3"/>
    <x v="0"/>
    <x v="28"/>
    <x v="11"/>
    <x v="1"/>
    <x v="22"/>
    <x v="309"/>
    <x v="0"/>
    <x v="24"/>
    <x v="42"/>
    <x v="23"/>
    <x v="54"/>
    <x v="43"/>
    <x v="0"/>
    <x v="68"/>
    <x v="0"/>
    <x v="0"/>
    <x v="50"/>
    <x v="0"/>
    <x v="0"/>
    <x v="115"/>
    <x v="109"/>
    <x v="45"/>
    <x v="6"/>
    <x v="103"/>
    <x v="33"/>
    <x v="768"/>
    <x v="468"/>
    <x v="9"/>
    <x v="26"/>
    <x v="29"/>
    <x v="31"/>
    <x v="37"/>
    <x v="6"/>
    <x v="571"/>
    <x v="509"/>
    <x v="92"/>
  </r>
  <r>
    <x v="1"/>
    <x v="41"/>
    <x v="3"/>
    <x v="2"/>
    <x v="76"/>
    <x v="11"/>
    <x v="13"/>
    <x v="4"/>
    <x v="313"/>
    <x v="0"/>
    <x v="38"/>
    <x v="140"/>
    <x v="85"/>
    <x v="367"/>
    <x v="212"/>
    <x v="63"/>
    <x v="0"/>
    <x v="0"/>
    <x v="0"/>
    <x v="0"/>
    <x v="0"/>
    <x v="0"/>
    <x v="298"/>
    <x v="292"/>
    <x v="41"/>
    <x v="2"/>
    <x v="156"/>
    <x v="61"/>
    <x v="0"/>
    <x v="0"/>
    <x v="958"/>
    <x v="0"/>
    <x v="91"/>
    <x v="130"/>
    <x v="166"/>
    <x v="5"/>
    <x v="547"/>
    <x v="103"/>
    <x v="378"/>
  </r>
  <r>
    <x v="1"/>
    <x v="41"/>
    <x v="3"/>
    <x v="5"/>
    <x v="10"/>
    <x v="7"/>
    <x v="7"/>
    <x v="45"/>
    <x v="995"/>
    <x v="0"/>
    <x v="42"/>
    <x v="163"/>
    <x v="124"/>
    <x v="722"/>
    <x v="341"/>
    <x v="0"/>
    <x v="35"/>
    <x v="0"/>
    <x v="0"/>
    <x v="53"/>
    <x v="0"/>
    <x v="0"/>
    <x v="412"/>
    <x v="604"/>
    <x v="44"/>
    <x v="1"/>
    <x v="345"/>
    <x v="399"/>
    <x v="385"/>
    <x v="165"/>
    <x v="500"/>
    <x v="0"/>
    <x v="102"/>
    <x v="130"/>
    <x v="314"/>
    <x v="4"/>
    <x v="413"/>
    <x v="397"/>
    <x v="783"/>
  </r>
  <r>
    <x v="1"/>
    <x v="41"/>
    <x v="3"/>
    <x v="7"/>
    <x v="18"/>
    <x v="11"/>
    <x v="19"/>
    <x v="47"/>
    <x v="990"/>
    <x v="0"/>
    <x v="42"/>
    <x v="184"/>
    <x v="156"/>
    <x v="885"/>
    <x v="421"/>
    <x v="0"/>
    <x v="0"/>
    <x v="0"/>
    <x v="0"/>
    <x v="0"/>
    <x v="0"/>
    <x v="0"/>
    <x v="499"/>
    <x v="466"/>
    <x v="9"/>
    <x v="0"/>
    <x v="0"/>
    <x v="646"/>
    <x v="0"/>
    <x v="0"/>
    <x v="958"/>
    <x v="9"/>
    <x v="97"/>
    <x v="117"/>
    <x v="415"/>
    <x v="2"/>
    <x v="224"/>
    <x v="365"/>
    <x v="533"/>
  </r>
  <r>
    <x v="1"/>
    <x v="41"/>
    <x v="3"/>
    <x v="4"/>
    <x v="56"/>
    <x v="11"/>
    <x v="19"/>
    <x v="49"/>
    <x v="980"/>
    <x v="0"/>
    <x v="42"/>
    <x v="184"/>
    <x v="156"/>
    <x v="877"/>
    <x v="409"/>
    <x v="0"/>
    <x v="0"/>
    <x v="0"/>
    <x v="0"/>
    <x v="0"/>
    <x v="0"/>
    <x v="0"/>
    <x v="480"/>
    <x v="409"/>
    <x v="13"/>
    <x v="0"/>
    <x v="0"/>
    <x v="646"/>
    <x v="0"/>
    <x v="0"/>
    <x v="958"/>
    <x v="9"/>
    <x v="97"/>
    <x v="117"/>
    <x v="393"/>
    <x v="2"/>
    <x v="253"/>
    <x v="297"/>
    <x v="470"/>
  </r>
  <r>
    <x v="1"/>
    <x v="41"/>
    <x v="5"/>
    <x v="5"/>
    <x v="10"/>
    <x v="7"/>
    <x v="7"/>
    <x v="45"/>
    <x v="997"/>
    <x v="4"/>
    <x v="42"/>
    <x v="163"/>
    <x v="124"/>
    <x v="507"/>
    <x v="266"/>
    <x v="41"/>
    <x v="29"/>
    <x v="0"/>
    <x v="0"/>
    <x v="62"/>
    <x v="3"/>
    <x v="0"/>
    <x v="347"/>
    <x v="230"/>
    <x v="44"/>
    <x v="1"/>
    <x v="197"/>
    <x v="136"/>
    <x v="566"/>
    <x v="182"/>
    <x v="266"/>
    <x v="14"/>
    <x v="91"/>
    <x v="102"/>
    <x v="194"/>
    <x v="4"/>
    <x v="490"/>
    <x v="177"/>
    <x v="303"/>
  </r>
  <r>
    <x v="1"/>
    <x v="41"/>
    <x v="5"/>
    <x v="2"/>
    <x v="76"/>
    <x v="11"/>
    <x v="14"/>
    <x v="4"/>
    <x v="311"/>
    <x v="4"/>
    <x v="34"/>
    <x v="124"/>
    <x v="85"/>
    <x v="349"/>
    <x v="208"/>
    <x v="0"/>
    <x v="0"/>
    <x v="0"/>
    <x v="0"/>
    <x v="0"/>
    <x v="0"/>
    <x v="0"/>
    <x v="293"/>
    <x v="524"/>
    <x v="41"/>
    <x v="2"/>
    <x v="118"/>
    <x v="645"/>
    <x v="0"/>
    <x v="0"/>
    <x v="958"/>
    <x v="0"/>
    <x v="76"/>
    <x v="130"/>
    <x v="219"/>
    <x v="5"/>
    <x v="521"/>
    <x v="263"/>
    <x v="610"/>
  </r>
  <r>
    <x v="1"/>
    <x v="41"/>
    <x v="5"/>
    <x v="2"/>
    <x v="76"/>
    <x v="11"/>
    <x v="13"/>
    <x v="4"/>
    <x v="314"/>
    <x v="4"/>
    <x v="14"/>
    <x v="30"/>
    <x v="85"/>
    <x v="105"/>
    <x v="89"/>
    <x v="0"/>
    <x v="0"/>
    <x v="0"/>
    <x v="0"/>
    <x v="6"/>
    <x v="0"/>
    <x v="0"/>
    <x v="178"/>
    <x v="727"/>
    <x v="41"/>
    <x v="2"/>
    <x v="28"/>
    <x v="554"/>
    <x v="207"/>
    <x v="0"/>
    <x v="704"/>
    <x v="0"/>
    <x v="29"/>
    <x v="130"/>
    <x v="318"/>
    <x v="5"/>
    <x v="408"/>
    <x v="601"/>
    <x v="1078"/>
  </r>
  <r>
    <x v="1"/>
    <x v="42"/>
    <x v="2"/>
    <x v="7"/>
    <x v="18"/>
    <x v="11"/>
    <x v="19"/>
    <x v="47"/>
    <x v="996"/>
    <x v="0"/>
    <x v="42"/>
    <x v="184"/>
    <x v="156"/>
    <x v="861"/>
    <x v="392"/>
    <x v="0"/>
    <x v="0"/>
    <x v="0"/>
    <x v="0"/>
    <x v="0"/>
    <x v="0"/>
    <x v="0"/>
    <x v="461"/>
    <x v="321"/>
    <x v="9"/>
    <x v="0"/>
    <x v="0"/>
    <x v="646"/>
    <x v="0"/>
    <x v="0"/>
    <x v="958"/>
    <x v="9"/>
    <x v="97"/>
    <x v="117"/>
    <x v="373"/>
    <x v="2"/>
    <x v="302"/>
    <x v="196"/>
    <x v="392"/>
  </r>
  <r>
    <x v="1"/>
    <x v="42"/>
    <x v="2"/>
    <x v="4"/>
    <x v="56"/>
    <x v="11"/>
    <x v="19"/>
    <x v="49"/>
    <x v="981"/>
    <x v="0"/>
    <x v="42"/>
    <x v="184"/>
    <x v="156"/>
    <x v="857"/>
    <x v="389"/>
    <x v="0"/>
    <x v="0"/>
    <x v="0"/>
    <x v="0"/>
    <x v="0"/>
    <x v="0"/>
    <x v="0"/>
    <x v="458"/>
    <x v="314"/>
    <x v="13"/>
    <x v="0"/>
    <x v="0"/>
    <x v="646"/>
    <x v="0"/>
    <x v="0"/>
    <x v="958"/>
    <x v="9"/>
    <x v="97"/>
    <x v="117"/>
    <x v="372"/>
    <x v="2"/>
    <x v="305"/>
    <x v="191"/>
    <x v="381"/>
  </r>
  <r>
    <x v="1"/>
    <x v="42"/>
    <x v="2"/>
    <x v="0"/>
    <x v="4"/>
    <x v="11"/>
    <x v="0"/>
    <x v="71"/>
    <x v="315"/>
    <x v="0"/>
    <x v="42"/>
    <x v="80"/>
    <x v="10"/>
    <x v="156"/>
    <x v="108"/>
    <x v="0"/>
    <x v="73"/>
    <x v="0"/>
    <x v="0"/>
    <x v="74"/>
    <x v="3"/>
    <x v="0"/>
    <x v="195"/>
    <x v="215"/>
    <x v="38"/>
    <x v="10"/>
    <x v="540"/>
    <x v="48"/>
    <x v="760"/>
    <x v="448"/>
    <x v="17"/>
    <x v="39"/>
    <x v="58"/>
    <x v="38"/>
    <x v="33"/>
    <x v="6"/>
    <x v="607"/>
    <x v="229"/>
    <x v="87"/>
  </r>
  <r>
    <x v="1"/>
    <x v="42"/>
    <x v="2"/>
    <x v="2"/>
    <x v="76"/>
    <x v="11"/>
    <x v="13"/>
    <x v="4"/>
    <x v="320"/>
    <x v="0"/>
    <x v="42"/>
    <x v="153"/>
    <x v="86"/>
    <x v="271"/>
    <x v="190"/>
    <x v="82"/>
    <x v="0"/>
    <x v="0"/>
    <x v="0"/>
    <x v="3"/>
    <x v="0"/>
    <x v="0"/>
    <x v="273"/>
    <x v="134"/>
    <x v="41"/>
    <x v="2"/>
    <x v="0"/>
    <x v="646"/>
    <x v="65"/>
    <x v="0"/>
    <x v="878"/>
    <x v="35"/>
    <x v="63"/>
    <x v="47"/>
    <x v="102"/>
    <x v="5"/>
    <x v="496"/>
    <x v="380"/>
    <x v="167"/>
  </r>
  <r>
    <x v="1"/>
    <x v="42"/>
    <x v="2"/>
    <x v="5"/>
    <x v="80"/>
    <x v="7"/>
    <x v="7"/>
    <x v="33"/>
    <x v="1001"/>
    <x v="0"/>
    <x v="42"/>
    <x v="138"/>
    <x v="57"/>
    <x v="547"/>
    <x v="266"/>
    <x v="0"/>
    <x v="94"/>
    <x v="0"/>
    <x v="0"/>
    <x v="114"/>
    <x v="3"/>
    <x v="0"/>
    <x v="347"/>
    <x v="626"/>
    <x v="32"/>
    <x v="1"/>
    <x v="217"/>
    <x v="80"/>
    <x v="749"/>
    <x v="430"/>
    <x v="30"/>
    <x v="21"/>
    <x v="82"/>
    <x v="82"/>
    <x v="194"/>
    <x v="4"/>
    <x v="442"/>
    <x v="293"/>
    <x v="280"/>
  </r>
  <r>
    <x v="1"/>
    <x v="42"/>
    <x v="2"/>
    <x v="5"/>
    <x v="10"/>
    <x v="6"/>
    <x v="6"/>
    <x v="45"/>
    <x v="1001"/>
    <x v="1"/>
    <x v="24"/>
    <x v="38"/>
    <x v="19"/>
    <x v="81"/>
    <x v="40"/>
    <x v="36"/>
    <x v="107"/>
    <x v="0"/>
    <x v="0"/>
    <x v="42"/>
    <x v="0"/>
    <x v="0"/>
    <x v="111"/>
    <x v="116"/>
    <x v="44"/>
    <x v="1"/>
    <x v="18"/>
    <x v="8"/>
    <x v="764"/>
    <x v="477"/>
    <x v="26"/>
    <x v="0"/>
    <x v="55"/>
    <x v="130"/>
    <x v="35"/>
    <x v="4"/>
    <x v="637"/>
    <x v="8"/>
    <x v="21"/>
  </r>
  <r>
    <x v="1"/>
    <x v="42"/>
    <x v="2"/>
    <x v="1"/>
    <x v="7"/>
    <x v="11"/>
    <x v="19"/>
    <x v="21"/>
    <x v="243"/>
    <x v="3"/>
    <x v="43"/>
    <x v="168"/>
    <x v="122"/>
    <x v="428"/>
    <x v="236"/>
    <x v="0"/>
    <x v="0"/>
    <x v="29"/>
    <x v="0"/>
    <x v="12"/>
    <x v="0"/>
    <x v="5"/>
    <x v="94"/>
    <x v="142"/>
    <x v="2"/>
    <x v="0"/>
    <x v="0"/>
    <x v="646"/>
    <x v="166"/>
    <x v="0"/>
    <x v="751"/>
    <x v="39"/>
    <x v="63"/>
    <x v="41"/>
    <x v="137"/>
    <x v="7"/>
    <x v="699"/>
    <x v="580"/>
    <x v="191"/>
  </r>
  <r>
    <x v="1"/>
    <x v="42"/>
    <x v="6"/>
    <x v="8"/>
    <x v="60"/>
    <x v="11"/>
    <x v="19"/>
    <x v="48"/>
    <x v="985"/>
    <x v="4"/>
    <x v="40"/>
    <x v="217"/>
    <x v="203"/>
    <x v="959"/>
    <x v="499"/>
    <x v="0"/>
    <x v="0"/>
    <x v="0"/>
    <x v="0"/>
    <x v="106"/>
    <x v="0"/>
    <x v="0"/>
    <x v="586"/>
    <x v="395"/>
    <x v="25"/>
    <x v="0"/>
    <x v="0"/>
    <x v="646"/>
    <x v="381"/>
    <x v="0"/>
    <x v="499"/>
    <x v="12"/>
    <x v="84"/>
    <x v="106"/>
    <x v="538"/>
    <x v="3"/>
    <x v="25"/>
    <x v="747"/>
    <x v="1199"/>
  </r>
  <r>
    <x v="1"/>
    <x v="42"/>
    <x v="6"/>
    <x v="9"/>
    <x v="24"/>
    <x v="11"/>
    <x v="17"/>
    <x v="32"/>
    <x v="932"/>
    <x v="4"/>
    <x v="43"/>
    <x v="228"/>
    <x v="226"/>
    <x v="1017"/>
    <x v="566"/>
    <x v="0"/>
    <x v="0"/>
    <x v="0"/>
    <x v="0"/>
    <x v="14"/>
    <x v="0"/>
    <x v="1"/>
    <x v="553"/>
    <x v="592"/>
    <x v="15"/>
    <x v="0"/>
    <x v="0"/>
    <x v="646"/>
    <x v="44"/>
    <x v="0"/>
    <x v="905"/>
    <x v="0"/>
    <x v="103"/>
    <x v="130"/>
    <x v="606"/>
    <x v="1"/>
    <x v="162"/>
    <x v="64"/>
    <x v="277"/>
  </r>
  <r>
    <x v="1"/>
    <x v="42"/>
    <x v="6"/>
    <x v="8"/>
    <x v="62"/>
    <x v="11"/>
    <x v="19"/>
    <x v="30"/>
    <x v="938"/>
    <x v="4"/>
    <x v="6"/>
    <x v="67"/>
    <x v="205"/>
    <x v="63"/>
    <x v="58"/>
    <x v="0"/>
    <x v="0"/>
    <x v="0"/>
    <x v="0"/>
    <x v="7"/>
    <x v="0"/>
    <x v="0"/>
    <x v="141"/>
    <x v="79"/>
    <x v="27"/>
    <x v="0"/>
    <x v="0"/>
    <x v="646"/>
    <x v="286"/>
    <x v="0"/>
    <x v="616"/>
    <x v="7"/>
    <x v="7"/>
    <x v="31"/>
    <x v="457"/>
    <x v="3"/>
    <x v="12"/>
    <x v="760"/>
    <x v="1079"/>
  </r>
  <r>
    <x v="1"/>
    <x v="42"/>
    <x v="3"/>
    <x v="4"/>
    <x v="56"/>
    <x v="11"/>
    <x v="8"/>
    <x v="49"/>
    <x v="982"/>
    <x v="4"/>
    <x v="7"/>
    <x v="28"/>
    <x v="150"/>
    <x v="63"/>
    <x v="60"/>
    <x v="0"/>
    <x v="0"/>
    <x v="0"/>
    <x v="0"/>
    <x v="0"/>
    <x v="0"/>
    <x v="0"/>
    <x v="144"/>
    <x v="466"/>
    <x v="13"/>
    <x v="0"/>
    <x v="0"/>
    <x v="646"/>
    <x v="0"/>
    <x v="0"/>
    <x v="958"/>
    <x v="2"/>
    <x v="16"/>
    <x v="97"/>
    <x v="385"/>
    <x v="2"/>
    <x v="214"/>
    <x v="378"/>
    <x v="438"/>
  </r>
  <r>
    <x v="1"/>
    <x v="42"/>
    <x v="3"/>
    <x v="4"/>
    <x v="58"/>
    <x v="11"/>
    <x v="8"/>
    <x v="31"/>
    <x v="930"/>
    <x v="4"/>
    <x v="37"/>
    <x v="177"/>
    <x v="159"/>
    <x v="849"/>
    <x v="380"/>
    <x v="0"/>
    <x v="0"/>
    <x v="0"/>
    <x v="0"/>
    <x v="0"/>
    <x v="0"/>
    <x v="0"/>
    <x v="447"/>
    <x v="540"/>
    <x v="15"/>
    <x v="0"/>
    <x v="0"/>
    <x v="646"/>
    <x v="0"/>
    <x v="0"/>
    <x v="958"/>
    <x v="0"/>
    <x v="88"/>
    <x v="130"/>
    <x v="437"/>
    <x v="2"/>
    <x v="266"/>
    <x v="270"/>
    <x v="619"/>
  </r>
  <r>
    <x v="1"/>
    <x v="42"/>
    <x v="3"/>
    <x v="0"/>
    <x v="4"/>
    <x v="5"/>
    <x v="0"/>
    <x v="71"/>
    <x v="317"/>
    <x v="4"/>
    <x v="42"/>
    <x v="107"/>
    <x v="29"/>
    <x v="144"/>
    <x v="108"/>
    <x v="21"/>
    <x v="18"/>
    <x v="0"/>
    <x v="0"/>
    <x v="31"/>
    <x v="3"/>
    <x v="0"/>
    <x v="195"/>
    <x v="91"/>
    <x v="38"/>
    <x v="10"/>
    <x v="538"/>
    <x v="165"/>
    <x v="633"/>
    <x v="296"/>
    <x v="186"/>
    <x v="35"/>
    <x v="63"/>
    <x v="47"/>
    <x v="33"/>
    <x v="6"/>
    <x v="626"/>
    <x v="108"/>
    <x v="93"/>
  </r>
  <r>
    <x v="1"/>
    <x v="42"/>
    <x v="3"/>
    <x v="5"/>
    <x v="80"/>
    <x v="7"/>
    <x v="7"/>
    <x v="33"/>
    <x v="1003"/>
    <x v="4"/>
    <x v="42"/>
    <x v="163"/>
    <x v="124"/>
    <x v="511"/>
    <x v="268"/>
    <x v="70"/>
    <x v="26"/>
    <x v="0"/>
    <x v="0"/>
    <x v="57"/>
    <x v="0"/>
    <x v="0"/>
    <x v="350"/>
    <x v="241"/>
    <x v="32"/>
    <x v="1"/>
    <x v="290"/>
    <x v="22"/>
    <x v="527"/>
    <x v="163"/>
    <x v="309"/>
    <x v="21"/>
    <x v="82"/>
    <x v="82"/>
    <x v="195"/>
    <x v="4"/>
    <x v="435"/>
    <x v="313"/>
    <x v="324"/>
  </r>
  <r>
    <x v="1"/>
    <x v="42"/>
    <x v="3"/>
    <x v="7"/>
    <x v="18"/>
    <x v="11"/>
    <x v="10"/>
    <x v="47"/>
    <x v="998"/>
    <x v="4"/>
    <x v="27"/>
    <x v="148"/>
    <x v="162"/>
    <x v="475"/>
    <x v="266"/>
    <x v="0"/>
    <x v="0"/>
    <x v="0"/>
    <x v="0"/>
    <x v="0"/>
    <x v="0"/>
    <x v="0"/>
    <x v="347"/>
    <x v="466"/>
    <x v="9"/>
    <x v="0"/>
    <x v="0"/>
    <x v="646"/>
    <x v="0"/>
    <x v="0"/>
    <x v="958"/>
    <x v="0"/>
    <x v="58"/>
    <x v="130"/>
    <x v="423"/>
    <x v="2"/>
    <x v="286"/>
    <x v="225"/>
    <x v="561"/>
  </r>
  <r>
    <x v="1"/>
    <x v="42"/>
    <x v="3"/>
    <x v="7"/>
    <x v="82"/>
    <x v="11"/>
    <x v="10"/>
    <x v="37"/>
    <x v="1002"/>
    <x v="4"/>
    <x v="22"/>
    <x v="121"/>
    <x v="153"/>
    <x v="298"/>
    <x v="200"/>
    <x v="0"/>
    <x v="0"/>
    <x v="0"/>
    <x v="0"/>
    <x v="0"/>
    <x v="0"/>
    <x v="0"/>
    <x v="285"/>
    <x v="466"/>
    <x v="34"/>
    <x v="0"/>
    <x v="0"/>
    <x v="646"/>
    <x v="0"/>
    <x v="0"/>
    <x v="958"/>
    <x v="0"/>
    <x v="48"/>
    <x v="130"/>
    <x v="398"/>
    <x v="2"/>
    <x v="313"/>
    <x v="177"/>
    <x v="502"/>
  </r>
  <r>
    <x v="1"/>
    <x v="42"/>
    <x v="3"/>
    <x v="2"/>
    <x v="76"/>
    <x v="11"/>
    <x v="14"/>
    <x v="4"/>
    <x v="318"/>
    <x v="4"/>
    <x v="42"/>
    <x v="153"/>
    <x v="86"/>
    <x v="569"/>
    <x v="292"/>
    <x v="0"/>
    <x v="0"/>
    <x v="0"/>
    <x v="0"/>
    <x v="4"/>
    <x v="0"/>
    <x v="0"/>
    <x v="373"/>
    <x v="615"/>
    <x v="41"/>
    <x v="2"/>
    <x v="269"/>
    <x v="637"/>
    <x v="54"/>
    <x v="0"/>
    <x v="895"/>
    <x v="0"/>
    <x v="102"/>
    <x v="130"/>
    <x v="247"/>
    <x v="5"/>
    <x v="497"/>
    <x v="374"/>
    <x v="773"/>
  </r>
  <r>
    <x v="1"/>
    <x v="42"/>
    <x v="5"/>
    <x v="5"/>
    <x v="80"/>
    <x v="7"/>
    <x v="7"/>
    <x v="33"/>
    <x v="1005"/>
    <x v="2"/>
    <x v="42"/>
    <x v="163"/>
    <x v="124"/>
    <x v="189"/>
    <x v="143"/>
    <x v="44"/>
    <x v="62"/>
    <x v="0"/>
    <x v="0"/>
    <x v="26"/>
    <x v="3"/>
    <x v="0"/>
    <x v="222"/>
    <x v="31"/>
    <x v="32"/>
    <x v="1"/>
    <x v="62"/>
    <x v="44"/>
    <x v="488"/>
    <x v="417"/>
    <x v="379"/>
    <x v="50"/>
    <x v="42"/>
    <x v="16"/>
    <x v="53"/>
    <x v="4"/>
    <x v="403"/>
    <x v="444"/>
    <x v="42"/>
  </r>
  <r>
    <x v="1"/>
    <x v="42"/>
    <x v="5"/>
    <x v="2"/>
    <x v="76"/>
    <x v="11"/>
    <x v="14"/>
    <x v="4"/>
    <x v="319"/>
    <x v="2"/>
    <x v="34"/>
    <x v="121"/>
    <x v="66"/>
    <x v="280"/>
    <x v="194"/>
    <x v="0"/>
    <x v="0"/>
    <x v="0"/>
    <x v="0"/>
    <x v="0"/>
    <x v="3"/>
    <x v="0"/>
    <x v="278"/>
    <x v="393"/>
    <x v="41"/>
    <x v="2"/>
    <x v="102"/>
    <x v="594"/>
    <x v="0"/>
    <x v="0"/>
    <x v="958"/>
    <x v="0"/>
    <x v="76"/>
    <x v="130"/>
    <x v="178"/>
    <x v="5"/>
    <x v="541"/>
    <x v="133"/>
    <x v="421"/>
  </r>
  <r>
    <x v="1"/>
    <x v="42"/>
    <x v="5"/>
    <x v="2"/>
    <x v="76"/>
    <x v="11"/>
    <x v="13"/>
    <x v="4"/>
    <x v="321"/>
    <x v="2"/>
    <x v="14"/>
    <x v="37"/>
    <x v="116"/>
    <x v="124"/>
    <x v="103"/>
    <x v="0"/>
    <x v="0"/>
    <x v="0"/>
    <x v="0"/>
    <x v="15"/>
    <x v="0"/>
    <x v="0"/>
    <x v="190"/>
    <x v="739"/>
    <x v="41"/>
    <x v="2"/>
    <x v="37"/>
    <x v="499"/>
    <x v="379"/>
    <x v="0"/>
    <x v="502"/>
    <x v="0"/>
    <x v="29"/>
    <x v="130"/>
    <x v="354"/>
    <x v="5"/>
    <x v="359"/>
    <x v="671"/>
    <x v="1151"/>
  </r>
  <r>
    <x v="1"/>
    <x v="42"/>
    <x v="5"/>
    <x v="4"/>
    <x v="58"/>
    <x v="11"/>
    <x v="8"/>
    <x v="31"/>
    <x v="939"/>
    <x v="2"/>
    <x v="42"/>
    <x v="184"/>
    <x v="156"/>
    <x v="898"/>
    <x v="436"/>
    <x v="0"/>
    <x v="0"/>
    <x v="0"/>
    <x v="0"/>
    <x v="0"/>
    <x v="0"/>
    <x v="0"/>
    <x v="521"/>
    <x v="561"/>
    <x v="15"/>
    <x v="0"/>
    <x v="0"/>
    <x v="646"/>
    <x v="0"/>
    <x v="0"/>
    <x v="958"/>
    <x v="5"/>
    <x v="100"/>
    <x v="127"/>
    <x v="439"/>
    <x v="2"/>
    <x v="227"/>
    <x v="359"/>
    <x v="626"/>
  </r>
  <r>
    <x v="1"/>
    <x v="42"/>
    <x v="5"/>
    <x v="0"/>
    <x v="4"/>
    <x v="5"/>
    <x v="0"/>
    <x v="71"/>
    <x v="317"/>
    <x v="2"/>
    <x v="34"/>
    <x v="54"/>
    <x v="9"/>
    <x v="179"/>
    <x v="135"/>
    <x v="4"/>
    <x v="34"/>
    <x v="0"/>
    <x v="0"/>
    <x v="32"/>
    <x v="3"/>
    <x v="0"/>
    <x v="217"/>
    <x v="748"/>
    <x v="38"/>
    <x v="10"/>
    <x v="567"/>
    <x v="175"/>
    <x v="592"/>
    <x v="355"/>
    <x v="240"/>
    <x v="0"/>
    <x v="76"/>
    <x v="130"/>
    <x v="85"/>
    <x v="6"/>
    <x v="623"/>
    <x v="130"/>
    <x v="402"/>
  </r>
  <r>
    <x v="1"/>
    <x v="43"/>
    <x v="0"/>
    <x v="0"/>
    <x v="4"/>
    <x v="11"/>
    <x v="0"/>
    <x v="71"/>
    <x v="322"/>
    <x v="0"/>
    <x v="42"/>
    <x v="107"/>
    <x v="29"/>
    <x v="206"/>
    <x v="148"/>
    <x v="21"/>
    <x v="41"/>
    <x v="0"/>
    <x v="0"/>
    <x v="69"/>
    <x v="3"/>
    <x v="0"/>
    <x v="227"/>
    <x v="242"/>
    <x v="38"/>
    <x v="10"/>
    <x v="604"/>
    <x v="108"/>
    <x v="738"/>
    <x v="359"/>
    <x v="40"/>
    <x v="21"/>
    <x v="82"/>
    <x v="82"/>
    <x v="63"/>
    <x v="6"/>
    <x v="618"/>
    <x v="173"/>
    <x v="220"/>
  </r>
  <r>
    <x v="1"/>
    <x v="43"/>
    <x v="0"/>
    <x v="7"/>
    <x v="82"/>
    <x v="11"/>
    <x v="19"/>
    <x v="37"/>
    <x v="1004"/>
    <x v="0"/>
    <x v="42"/>
    <x v="184"/>
    <x v="156"/>
    <x v="886"/>
    <x v="422"/>
    <x v="0"/>
    <x v="0"/>
    <x v="0"/>
    <x v="0"/>
    <x v="0"/>
    <x v="0"/>
    <x v="0"/>
    <x v="500"/>
    <x v="476"/>
    <x v="34"/>
    <x v="0"/>
    <x v="0"/>
    <x v="646"/>
    <x v="0"/>
    <x v="0"/>
    <x v="958"/>
    <x v="9"/>
    <x v="97"/>
    <x v="117"/>
    <x v="416"/>
    <x v="2"/>
    <x v="223"/>
    <x v="369"/>
    <x v="542"/>
  </r>
  <r>
    <x v="1"/>
    <x v="43"/>
    <x v="0"/>
    <x v="4"/>
    <x v="58"/>
    <x v="11"/>
    <x v="19"/>
    <x v="31"/>
    <x v="1308"/>
    <x v="0"/>
    <x v="42"/>
    <x v="184"/>
    <x v="156"/>
    <x v="879"/>
    <x v="412"/>
    <x v="0"/>
    <x v="0"/>
    <x v="0"/>
    <x v="0"/>
    <x v="0"/>
    <x v="0"/>
    <x v="0"/>
    <x v="483"/>
    <x v="421"/>
    <x v="15"/>
    <x v="0"/>
    <x v="0"/>
    <x v="646"/>
    <x v="0"/>
    <x v="0"/>
    <x v="958"/>
    <x v="9"/>
    <x v="97"/>
    <x v="117"/>
    <x v="397"/>
    <x v="2"/>
    <x v="249"/>
    <x v="319"/>
    <x v="493"/>
  </r>
  <r>
    <x v="1"/>
    <x v="43"/>
    <x v="0"/>
    <x v="2"/>
    <x v="76"/>
    <x v="11"/>
    <x v="13"/>
    <x v="4"/>
    <x v="328"/>
    <x v="0"/>
    <x v="24"/>
    <x v="91"/>
    <x v="95"/>
    <x v="243"/>
    <x v="180"/>
    <x v="0"/>
    <x v="0"/>
    <x v="0"/>
    <x v="0"/>
    <x v="0"/>
    <x v="0"/>
    <x v="0"/>
    <x v="263"/>
    <x v="726"/>
    <x v="41"/>
    <x v="2"/>
    <x v="84"/>
    <x v="645"/>
    <x v="0"/>
    <x v="0"/>
    <x v="958"/>
    <x v="0"/>
    <x v="55"/>
    <x v="130"/>
    <x v="318"/>
    <x v="5"/>
    <x v="408"/>
    <x v="601"/>
    <x v="1084"/>
  </r>
  <r>
    <x v="1"/>
    <x v="43"/>
    <x v="0"/>
    <x v="2"/>
    <x v="76"/>
    <x v="11"/>
    <x v="14"/>
    <x v="4"/>
    <x v="325"/>
    <x v="0"/>
    <x v="24"/>
    <x v="91"/>
    <x v="95"/>
    <x v="103"/>
    <x v="87"/>
    <x v="0"/>
    <x v="0"/>
    <x v="0"/>
    <x v="0"/>
    <x v="4"/>
    <x v="3"/>
    <x v="0"/>
    <x v="176"/>
    <x v="101"/>
    <x v="41"/>
    <x v="2"/>
    <x v="27"/>
    <x v="506"/>
    <x v="154"/>
    <x v="0"/>
    <x v="764"/>
    <x v="23"/>
    <x v="33"/>
    <x v="40"/>
    <x v="89"/>
    <x v="5"/>
    <x v="500"/>
    <x v="366"/>
    <x v="136"/>
  </r>
  <r>
    <x v="1"/>
    <x v="43"/>
    <x v="0"/>
    <x v="5"/>
    <x v="80"/>
    <x v="7"/>
    <x v="7"/>
    <x v="33"/>
    <x v="1006"/>
    <x v="0"/>
    <x v="6"/>
    <x v="39"/>
    <x v="181"/>
    <x v="102"/>
    <x v="22"/>
    <x v="0"/>
    <x v="114"/>
    <x v="0"/>
    <x v="0"/>
    <x v="102"/>
    <x v="0"/>
    <x v="0"/>
    <x v="88"/>
    <x v="30"/>
    <x v="32"/>
    <x v="1"/>
    <x v="23"/>
    <x v="2"/>
    <x v="776"/>
    <x v="481"/>
    <x v="2"/>
    <x v="4"/>
    <x v="11"/>
    <x v="68"/>
    <x v="194"/>
    <x v="4"/>
    <x v="403"/>
    <x v="444"/>
    <x v="244"/>
  </r>
  <r>
    <x v="1"/>
    <x v="43"/>
    <x v="6"/>
    <x v="8"/>
    <x v="62"/>
    <x v="11"/>
    <x v="19"/>
    <x v="30"/>
    <x v="938"/>
    <x v="4"/>
    <x v="43"/>
    <x v="225"/>
    <x v="204"/>
    <x v="1027"/>
    <x v="576"/>
    <x v="0"/>
    <x v="0"/>
    <x v="0"/>
    <x v="0"/>
    <x v="125"/>
    <x v="0"/>
    <x v="1"/>
    <x v="580"/>
    <x v="766"/>
    <x v="27"/>
    <x v="0"/>
    <x v="0"/>
    <x v="646"/>
    <x v="406"/>
    <x v="0"/>
    <x v="464"/>
    <x v="12"/>
    <x v="100"/>
    <x v="110"/>
    <x v="638"/>
    <x v="3"/>
    <x v="60"/>
    <x v="725"/>
    <x v="1175"/>
  </r>
  <r>
    <x v="1"/>
    <x v="43"/>
    <x v="6"/>
    <x v="9"/>
    <x v="22"/>
    <x v="11"/>
    <x v="17"/>
    <x v="50"/>
    <x v="983"/>
    <x v="4"/>
    <x v="24"/>
    <x v="197"/>
    <x v="236"/>
    <x v="918"/>
    <x v="457"/>
    <x v="0"/>
    <x v="0"/>
    <x v="0"/>
    <x v="0"/>
    <x v="0"/>
    <x v="0"/>
    <x v="1"/>
    <x v="356"/>
    <x v="519"/>
    <x v="29"/>
    <x v="0"/>
    <x v="0"/>
    <x v="646"/>
    <x v="0"/>
    <x v="0"/>
    <x v="958"/>
    <x v="0"/>
    <x v="55"/>
    <x v="130"/>
    <x v="617"/>
    <x v="1"/>
    <x v="149"/>
    <x v="74"/>
    <x v="304"/>
  </r>
  <r>
    <x v="1"/>
    <x v="43"/>
    <x v="6"/>
    <x v="9"/>
    <x v="24"/>
    <x v="11"/>
    <x v="18"/>
    <x v="32"/>
    <x v="929"/>
    <x v="4"/>
    <x v="2"/>
    <x v="28"/>
    <x v="230"/>
    <x v="62"/>
    <x v="57"/>
    <x v="0"/>
    <x v="0"/>
    <x v="0"/>
    <x v="0"/>
    <x v="8"/>
    <x v="0"/>
    <x v="1"/>
    <x v="86"/>
    <x v="444"/>
    <x v="15"/>
    <x v="0"/>
    <x v="0"/>
    <x v="646"/>
    <x v="316"/>
    <x v="0"/>
    <x v="578"/>
    <x v="0"/>
    <x v="7"/>
    <x v="130"/>
    <x v="598"/>
    <x v="1"/>
    <x v="190"/>
    <x v="54"/>
    <x v="255"/>
  </r>
  <r>
    <x v="1"/>
    <x v="43"/>
    <x v="6"/>
    <x v="1"/>
    <x v="7"/>
    <x v="11"/>
    <x v="12"/>
    <x v="21"/>
    <x v="246"/>
    <x v="4"/>
    <x v="43"/>
    <x v="168"/>
    <x v="122"/>
    <x v="794"/>
    <x v="352"/>
    <x v="0"/>
    <x v="0"/>
    <x v="50"/>
    <x v="0"/>
    <x v="26"/>
    <x v="0"/>
    <x v="4"/>
    <x v="158"/>
    <x v="605"/>
    <x v="2"/>
    <x v="0"/>
    <x v="0"/>
    <x v="646"/>
    <x v="209"/>
    <x v="0"/>
    <x v="702"/>
    <x v="12"/>
    <x v="100"/>
    <x v="110"/>
    <x v="313"/>
    <x v="7"/>
    <x v="660"/>
    <x v="680"/>
    <x v="1126"/>
  </r>
  <r>
    <x v="1"/>
    <x v="43"/>
    <x v="3"/>
    <x v="4"/>
    <x v="58"/>
    <x v="11"/>
    <x v="8"/>
    <x v="31"/>
    <x v="947"/>
    <x v="4"/>
    <x v="42"/>
    <x v="184"/>
    <x v="156"/>
    <x v="898"/>
    <x v="436"/>
    <x v="0"/>
    <x v="0"/>
    <x v="0"/>
    <x v="0"/>
    <x v="0"/>
    <x v="0"/>
    <x v="0"/>
    <x v="521"/>
    <x v="561"/>
    <x v="15"/>
    <x v="0"/>
    <x v="0"/>
    <x v="646"/>
    <x v="0"/>
    <x v="0"/>
    <x v="958"/>
    <x v="9"/>
    <x v="97"/>
    <x v="117"/>
    <x v="439"/>
    <x v="2"/>
    <x v="181"/>
    <x v="436"/>
    <x v="626"/>
  </r>
  <r>
    <x v="1"/>
    <x v="43"/>
    <x v="3"/>
    <x v="0"/>
    <x v="4"/>
    <x v="5"/>
    <x v="0"/>
    <x v="71"/>
    <x v="323"/>
    <x v="4"/>
    <x v="28"/>
    <x v="58"/>
    <x v="19"/>
    <x v="123"/>
    <x v="98"/>
    <x v="13"/>
    <x v="20"/>
    <x v="0"/>
    <x v="0"/>
    <x v="42"/>
    <x v="0"/>
    <x v="0"/>
    <x v="187"/>
    <x v="391"/>
    <x v="38"/>
    <x v="10"/>
    <x v="528"/>
    <x v="134"/>
    <x v="725"/>
    <x v="325"/>
    <x v="55"/>
    <x v="21"/>
    <x v="48"/>
    <x v="59"/>
    <x v="71"/>
    <x v="6"/>
    <x v="567"/>
    <x v="528"/>
    <x v="271"/>
  </r>
  <r>
    <x v="1"/>
    <x v="43"/>
    <x v="3"/>
    <x v="7"/>
    <x v="21"/>
    <x v="11"/>
    <x v="10"/>
    <x v="53"/>
    <x v="637"/>
    <x v="4"/>
    <x v="39"/>
    <x v="183"/>
    <x v="157"/>
    <x v="860"/>
    <x v="391"/>
    <x v="0"/>
    <x v="0"/>
    <x v="0"/>
    <x v="0"/>
    <x v="0"/>
    <x v="0"/>
    <x v="0"/>
    <x v="460"/>
    <x v="431"/>
    <x v="12"/>
    <x v="0"/>
    <x v="0"/>
    <x v="646"/>
    <x v="0"/>
    <x v="0"/>
    <x v="958"/>
    <x v="9"/>
    <x v="86"/>
    <x v="114"/>
    <x v="404"/>
    <x v="2"/>
    <x v="232"/>
    <x v="347"/>
    <x v="513"/>
  </r>
  <r>
    <x v="1"/>
    <x v="43"/>
    <x v="3"/>
    <x v="7"/>
    <x v="82"/>
    <x v="11"/>
    <x v="10"/>
    <x v="37"/>
    <x v="638"/>
    <x v="4"/>
    <x v="3"/>
    <x v="12"/>
    <x v="150"/>
    <x v="22"/>
    <x v="22"/>
    <x v="0"/>
    <x v="0"/>
    <x v="0"/>
    <x v="0"/>
    <x v="0"/>
    <x v="0"/>
    <x v="0"/>
    <x v="88"/>
    <x v="466"/>
    <x v="34"/>
    <x v="0"/>
    <x v="0"/>
    <x v="646"/>
    <x v="0"/>
    <x v="0"/>
    <x v="958"/>
    <x v="0"/>
    <x v="8"/>
    <x v="130"/>
    <x v="385"/>
    <x v="2"/>
    <x v="322"/>
    <x v="141"/>
    <x v="438"/>
  </r>
  <r>
    <x v="1"/>
    <x v="43"/>
    <x v="3"/>
    <x v="2"/>
    <x v="76"/>
    <x v="11"/>
    <x v="14"/>
    <x v="4"/>
    <x v="326"/>
    <x v="4"/>
    <x v="42"/>
    <x v="153"/>
    <x v="86"/>
    <x v="478"/>
    <x v="266"/>
    <x v="0"/>
    <x v="0"/>
    <x v="0"/>
    <x v="0"/>
    <x v="4"/>
    <x v="0"/>
    <x v="0"/>
    <x v="347"/>
    <x v="403"/>
    <x v="41"/>
    <x v="2"/>
    <x v="205"/>
    <x v="634"/>
    <x v="60"/>
    <x v="0"/>
    <x v="883"/>
    <x v="0"/>
    <x v="102"/>
    <x v="130"/>
    <x v="194"/>
    <x v="5"/>
    <x v="536"/>
    <x v="177"/>
    <x v="494"/>
  </r>
  <r>
    <x v="1"/>
    <x v="43"/>
    <x v="5"/>
    <x v="2"/>
    <x v="76"/>
    <x v="11"/>
    <x v="14"/>
    <x v="4"/>
    <x v="327"/>
    <x v="2"/>
    <x v="20"/>
    <x v="66"/>
    <x v="109"/>
    <x v="140"/>
    <x v="113"/>
    <x v="0"/>
    <x v="0"/>
    <x v="0"/>
    <x v="0"/>
    <x v="0"/>
    <x v="3"/>
    <x v="0"/>
    <x v="199"/>
    <x v="466"/>
    <x v="41"/>
    <x v="2"/>
    <x v="44"/>
    <x v="546"/>
    <x v="0"/>
    <x v="0"/>
    <x v="958"/>
    <x v="0"/>
    <x v="42"/>
    <x v="130"/>
    <x v="223"/>
    <x v="5"/>
    <x v="519"/>
    <x v="276"/>
    <x v="631"/>
  </r>
  <r>
    <x v="1"/>
    <x v="43"/>
    <x v="5"/>
    <x v="2"/>
    <x v="74"/>
    <x v="11"/>
    <x v="13"/>
    <x v="7"/>
    <x v="329"/>
    <x v="2"/>
    <x v="28"/>
    <x v="103"/>
    <x v="67"/>
    <x v="230"/>
    <x v="171"/>
    <x v="0"/>
    <x v="2"/>
    <x v="0"/>
    <x v="0"/>
    <x v="0"/>
    <x v="3"/>
    <x v="0"/>
    <x v="250"/>
    <x v="433"/>
    <x v="37"/>
    <x v="2"/>
    <x v="77"/>
    <x v="548"/>
    <x v="0"/>
    <x v="13"/>
    <x v="958"/>
    <x v="7"/>
    <x v="58"/>
    <x v="109"/>
    <x v="194"/>
    <x v="5"/>
    <x v="502"/>
    <x v="360"/>
    <x v="502"/>
  </r>
  <r>
    <x v="1"/>
    <x v="43"/>
    <x v="5"/>
    <x v="4"/>
    <x v="58"/>
    <x v="11"/>
    <x v="8"/>
    <x v="31"/>
    <x v="948"/>
    <x v="2"/>
    <x v="38"/>
    <x v="181"/>
    <x v="156"/>
    <x v="843"/>
    <x v="373"/>
    <x v="0"/>
    <x v="0"/>
    <x v="0"/>
    <x v="0"/>
    <x v="0"/>
    <x v="0"/>
    <x v="0"/>
    <x v="441"/>
    <x v="445"/>
    <x v="15"/>
    <x v="0"/>
    <x v="0"/>
    <x v="646"/>
    <x v="0"/>
    <x v="0"/>
    <x v="958"/>
    <x v="5"/>
    <x v="84"/>
    <x v="125"/>
    <x v="405"/>
    <x v="2"/>
    <x v="268"/>
    <x v="266"/>
    <x v="516"/>
  </r>
  <r>
    <x v="1"/>
    <x v="43"/>
    <x v="5"/>
    <x v="4"/>
    <x v="83"/>
    <x v="11"/>
    <x v="8"/>
    <x v="35"/>
    <x v="939"/>
    <x v="2"/>
    <x v="6"/>
    <x v="24"/>
    <x v="156"/>
    <x v="63"/>
    <x v="60"/>
    <x v="0"/>
    <x v="0"/>
    <x v="0"/>
    <x v="0"/>
    <x v="0"/>
    <x v="0"/>
    <x v="0"/>
    <x v="144"/>
    <x v="666"/>
    <x v="35"/>
    <x v="0"/>
    <x v="0"/>
    <x v="646"/>
    <x v="0"/>
    <x v="0"/>
    <x v="958"/>
    <x v="2"/>
    <x v="13"/>
    <x v="89"/>
    <x v="461"/>
    <x v="2"/>
    <x v="108"/>
    <x v="646"/>
    <x v="893"/>
  </r>
  <r>
    <x v="1"/>
    <x v="44"/>
    <x v="2"/>
    <x v="7"/>
    <x v="21"/>
    <x v="11"/>
    <x v="10"/>
    <x v="53"/>
    <x v="967"/>
    <x v="0"/>
    <x v="42"/>
    <x v="184"/>
    <x v="156"/>
    <x v="886"/>
    <x v="422"/>
    <x v="0"/>
    <x v="0"/>
    <x v="0"/>
    <x v="0"/>
    <x v="0"/>
    <x v="0"/>
    <x v="0"/>
    <x v="500"/>
    <x v="476"/>
    <x v="12"/>
    <x v="0"/>
    <x v="0"/>
    <x v="646"/>
    <x v="0"/>
    <x v="0"/>
    <x v="958"/>
    <x v="9"/>
    <x v="97"/>
    <x v="117"/>
    <x v="416"/>
    <x v="2"/>
    <x v="223"/>
    <x v="369"/>
    <x v="542"/>
  </r>
  <r>
    <x v="1"/>
    <x v="44"/>
    <x v="2"/>
    <x v="4"/>
    <x v="83"/>
    <x v="11"/>
    <x v="8"/>
    <x v="35"/>
    <x v="999"/>
    <x v="0"/>
    <x v="42"/>
    <x v="184"/>
    <x v="156"/>
    <x v="886"/>
    <x v="422"/>
    <x v="0"/>
    <x v="0"/>
    <x v="0"/>
    <x v="0"/>
    <x v="0"/>
    <x v="0"/>
    <x v="0"/>
    <x v="500"/>
    <x v="476"/>
    <x v="35"/>
    <x v="0"/>
    <x v="0"/>
    <x v="646"/>
    <x v="0"/>
    <x v="0"/>
    <x v="958"/>
    <x v="9"/>
    <x v="97"/>
    <x v="117"/>
    <x v="416"/>
    <x v="2"/>
    <x v="223"/>
    <x v="369"/>
    <x v="542"/>
  </r>
  <r>
    <x v="1"/>
    <x v="44"/>
    <x v="2"/>
    <x v="2"/>
    <x v="74"/>
    <x v="11"/>
    <x v="13"/>
    <x v="7"/>
    <x v="330"/>
    <x v="0"/>
    <x v="42"/>
    <x v="153"/>
    <x v="86"/>
    <x v="483"/>
    <x v="266"/>
    <x v="0"/>
    <x v="0"/>
    <x v="0"/>
    <x v="0"/>
    <x v="4"/>
    <x v="3"/>
    <x v="0"/>
    <x v="347"/>
    <x v="403"/>
    <x v="37"/>
    <x v="2"/>
    <x v="211"/>
    <x v="587"/>
    <x v="60"/>
    <x v="0"/>
    <x v="885"/>
    <x v="0"/>
    <x v="102"/>
    <x v="130"/>
    <x v="194"/>
    <x v="5"/>
    <x v="536"/>
    <x v="177"/>
    <x v="495"/>
  </r>
  <r>
    <x v="1"/>
    <x v="44"/>
    <x v="6"/>
    <x v="8"/>
    <x v="84"/>
    <x v="11"/>
    <x v="19"/>
    <x v="34"/>
    <x v="1002"/>
    <x v="4"/>
    <x v="27"/>
    <x v="191"/>
    <x v="196"/>
    <x v="938"/>
    <x v="478"/>
    <x v="0"/>
    <x v="0"/>
    <x v="0"/>
    <x v="0"/>
    <x v="63"/>
    <x v="0"/>
    <x v="1"/>
    <x v="402"/>
    <x v="750"/>
    <x v="36"/>
    <x v="0"/>
    <x v="0"/>
    <x v="646"/>
    <x v="262"/>
    <x v="0"/>
    <x v="645"/>
    <x v="9"/>
    <x v="53"/>
    <x v="94"/>
    <x v="627"/>
    <x v="3"/>
    <x v="83"/>
    <x v="704"/>
    <x v="1148"/>
  </r>
  <r>
    <x v="1"/>
    <x v="44"/>
    <x v="6"/>
    <x v="8"/>
    <x v="62"/>
    <x v="11"/>
    <x v="19"/>
    <x v="30"/>
    <x v="950"/>
    <x v="4"/>
    <x v="24"/>
    <x v="184"/>
    <x v="207"/>
    <x v="942"/>
    <x v="482"/>
    <x v="0"/>
    <x v="0"/>
    <x v="0"/>
    <x v="0"/>
    <x v="20"/>
    <x v="0"/>
    <x v="1"/>
    <x v="410"/>
    <x v="763"/>
    <x v="27"/>
    <x v="0"/>
    <x v="0"/>
    <x v="646"/>
    <x v="109"/>
    <x v="0"/>
    <x v="815"/>
    <x v="2"/>
    <x v="53"/>
    <x v="127"/>
    <x v="636"/>
    <x v="3"/>
    <x v="76"/>
    <x v="713"/>
    <x v="1176"/>
  </r>
  <r>
    <x v="1"/>
    <x v="44"/>
    <x v="6"/>
    <x v="1"/>
    <x v="7"/>
    <x v="11"/>
    <x v="19"/>
    <x v="21"/>
    <x v="251"/>
    <x v="4"/>
    <x v="43"/>
    <x v="168"/>
    <x v="122"/>
    <x v="527"/>
    <x v="274"/>
    <x v="0"/>
    <x v="0"/>
    <x v="43"/>
    <x v="0"/>
    <x v="41"/>
    <x v="0"/>
    <x v="4"/>
    <x v="119"/>
    <x v="219"/>
    <x v="2"/>
    <x v="0"/>
    <x v="0"/>
    <x v="646"/>
    <x v="374"/>
    <x v="0"/>
    <x v="509"/>
    <x v="12"/>
    <x v="100"/>
    <x v="110"/>
    <x v="189"/>
    <x v="7"/>
    <x v="733"/>
    <x v="458"/>
    <x v="593"/>
  </r>
  <r>
    <x v="1"/>
    <x v="44"/>
    <x v="3"/>
    <x v="4"/>
    <x v="83"/>
    <x v="11"/>
    <x v="8"/>
    <x v="35"/>
    <x v="1000"/>
    <x v="4"/>
    <x v="20"/>
    <x v="101"/>
    <x v="150"/>
    <x v="226"/>
    <x v="171"/>
    <x v="0"/>
    <x v="0"/>
    <x v="0"/>
    <x v="0"/>
    <x v="0"/>
    <x v="0"/>
    <x v="0"/>
    <x v="250"/>
    <x v="466"/>
    <x v="35"/>
    <x v="0"/>
    <x v="0"/>
    <x v="646"/>
    <x v="0"/>
    <x v="0"/>
    <x v="958"/>
    <x v="9"/>
    <x v="33"/>
    <x v="72"/>
    <x v="385"/>
    <x v="2"/>
    <x v="136"/>
    <x v="550"/>
    <x v="438"/>
  </r>
  <r>
    <x v="1"/>
    <x v="44"/>
    <x v="3"/>
    <x v="4"/>
    <x v="59"/>
    <x v="11"/>
    <x v="8"/>
    <x v="55"/>
    <x v="1308"/>
    <x v="4"/>
    <x v="28"/>
    <x v="159"/>
    <x v="164"/>
    <x v="475"/>
    <x v="266"/>
    <x v="0"/>
    <x v="0"/>
    <x v="0"/>
    <x v="0"/>
    <x v="0"/>
    <x v="0"/>
    <x v="0"/>
    <x v="347"/>
    <x v="285"/>
    <x v="16"/>
    <x v="0"/>
    <x v="0"/>
    <x v="646"/>
    <x v="0"/>
    <x v="0"/>
    <x v="958"/>
    <x v="9"/>
    <x v="57"/>
    <x v="100"/>
    <x v="373"/>
    <x v="2"/>
    <x v="256"/>
    <x v="293"/>
    <x v="392"/>
  </r>
  <r>
    <x v="1"/>
    <x v="44"/>
    <x v="3"/>
    <x v="7"/>
    <x v="21"/>
    <x v="11"/>
    <x v="10"/>
    <x v="53"/>
    <x v="969"/>
    <x v="4"/>
    <x v="7"/>
    <x v="28"/>
    <x v="150"/>
    <x v="63"/>
    <x v="60"/>
    <x v="0"/>
    <x v="0"/>
    <x v="0"/>
    <x v="0"/>
    <x v="0"/>
    <x v="0"/>
    <x v="0"/>
    <x v="144"/>
    <x v="466"/>
    <x v="12"/>
    <x v="0"/>
    <x v="0"/>
    <x v="646"/>
    <x v="0"/>
    <x v="0"/>
    <x v="958"/>
    <x v="0"/>
    <x v="18"/>
    <x v="130"/>
    <x v="385"/>
    <x v="2"/>
    <x v="322"/>
    <x v="141"/>
    <x v="438"/>
  </r>
  <r>
    <x v="1"/>
    <x v="44"/>
    <x v="3"/>
    <x v="7"/>
    <x v="18"/>
    <x v="11"/>
    <x v="10"/>
    <x v="47"/>
    <x v="976"/>
    <x v="4"/>
    <x v="11"/>
    <x v="53"/>
    <x v="156"/>
    <x v="110"/>
    <x v="92"/>
    <x v="0"/>
    <x v="0"/>
    <x v="0"/>
    <x v="0"/>
    <x v="0"/>
    <x v="0"/>
    <x v="0"/>
    <x v="182"/>
    <x v="438"/>
    <x v="9"/>
    <x v="0"/>
    <x v="0"/>
    <x v="646"/>
    <x v="0"/>
    <x v="0"/>
    <x v="958"/>
    <x v="0"/>
    <x v="24"/>
    <x v="130"/>
    <x v="403"/>
    <x v="2"/>
    <x v="308"/>
    <x v="186"/>
    <x v="512"/>
  </r>
  <r>
    <x v="1"/>
    <x v="44"/>
    <x v="3"/>
    <x v="2"/>
    <x v="74"/>
    <x v="11"/>
    <x v="13"/>
    <x v="7"/>
    <x v="331"/>
    <x v="4"/>
    <x v="42"/>
    <x v="153"/>
    <x v="86"/>
    <x v="479"/>
    <x v="266"/>
    <x v="0"/>
    <x v="0"/>
    <x v="0"/>
    <x v="0"/>
    <x v="6"/>
    <x v="0"/>
    <x v="0"/>
    <x v="347"/>
    <x v="403"/>
    <x v="37"/>
    <x v="2"/>
    <x v="207"/>
    <x v="625"/>
    <x v="89"/>
    <x v="0"/>
    <x v="848"/>
    <x v="0"/>
    <x v="102"/>
    <x v="130"/>
    <x v="194"/>
    <x v="5"/>
    <x v="536"/>
    <x v="177"/>
    <x v="491"/>
  </r>
  <r>
    <x v="1"/>
    <x v="44"/>
    <x v="5"/>
    <x v="2"/>
    <x v="74"/>
    <x v="11"/>
    <x v="13"/>
    <x v="7"/>
    <x v="332"/>
    <x v="2"/>
    <x v="42"/>
    <x v="153"/>
    <x v="86"/>
    <x v="525"/>
    <x v="275"/>
    <x v="0"/>
    <x v="0"/>
    <x v="0"/>
    <x v="0"/>
    <x v="0"/>
    <x v="3"/>
    <x v="0"/>
    <x v="359"/>
    <x v="501"/>
    <x v="37"/>
    <x v="2"/>
    <x v="237"/>
    <x v="618"/>
    <x v="0"/>
    <x v="0"/>
    <x v="958"/>
    <x v="0"/>
    <x v="102"/>
    <x v="130"/>
    <x v="215"/>
    <x v="5"/>
    <x v="524"/>
    <x v="248"/>
    <x v="596"/>
  </r>
  <r>
    <x v="1"/>
    <x v="44"/>
    <x v="5"/>
    <x v="4"/>
    <x v="59"/>
    <x v="11"/>
    <x v="8"/>
    <x v="55"/>
    <x v="964"/>
    <x v="2"/>
    <x v="42"/>
    <x v="184"/>
    <x v="156"/>
    <x v="903"/>
    <x v="440"/>
    <x v="0"/>
    <x v="0"/>
    <x v="0"/>
    <x v="0"/>
    <x v="0"/>
    <x v="0"/>
    <x v="0"/>
    <x v="525"/>
    <x v="579"/>
    <x v="16"/>
    <x v="0"/>
    <x v="0"/>
    <x v="646"/>
    <x v="0"/>
    <x v="0"/>
    <x v="958"/>
    <x v="9"/>
    <x v="97"/>
    <x v="117"/>
    <x v="446"/>
    <x v="2"/>
    <x v="169"/>
    <x v="460"/>
    <x v="663"/>
  </r>
  <r>
    <x v="1"/>
    <x v="45"/>
    <x v="2"/>
    <x v="2"/>
    <x v="74"/>
    <x v="11"/>
    <x v="13"/>
    <x v="7"/>
    <x v="336"/>
    <x v="2"/>
    <x v="28"/>
    <x v="109"/>
    <x v="85"/>
    <x v="219"/>
    <x v="166"/>
    <x v="0"/>
    <x v="0"/>
    <x v="0"/>
    <x v="0"/>
    <x v="0"/>
    <x v="0"/>
    <x v="0"/>
    <x v="245"/>
    <x v="364"/>
    <x v="37"/>
    <x v="2"/>
    <x v="73"/>
    <x v="645"/>
    <x v="0"/>
    <x v="0"/>
    <x v="958"/>
    <x v="0"/>
    <x v="63"/>
    <x v="130"/>
    <x v="186"/>
    <x v="5"/>
    <x v="539"/>
    <x v="151"/>
    <x v="448"/>
  </r>
  <r>
    <x v="1"/>
    <x v="45"/>
    <x v="2"/>
    <x v="2"/>
    <x v="74"/>
    <x v="11"/>
    <x v="14"/>
    <x v="7"/>
    <x v="334"/>
    <x v="2"/>
    <x v="20"/>
    <x v="60"/>
    <x v="85"/>
    <x v="141"/>
    <x v="113"/>
    <x v="0"/>
    <x v="0"/>
    <x v="0"/>
    <x v="0"/>
    <x v="4"/>
    <x v="3"/>
    <x v="0"/>
    <x v="199"/>
    <x v="536"/>
    <x v="37"/>
    <x v="2"/>
    <x v="45"/>
    <x v="526"/>
    <x v="135"/>
    <x v="0"/>
    <x v="788"/>
    <x v="5"/>
    <x v="36"/>
    <x v="106"/>
    <x v="223"/>
    <x v="5"/>
    <x v="458"/>
    <x v="496"/>
    <x v="622"/>
  </r>
  <r>
    <x v="1"/>
    <x v="45"/>
    <x v="2"/>
    <x v="4"/>
    <x v="59"/>
    <x v="11"/>
    <x v="8"/>
    <x v="55"/>
    <x v="991"/>
    <x v="2"/>
    <x v="22"/>
    <x v="121"/>
    <x v="153"/>
    <x v="309"/>
    <x v="203"/>
    <x v="0"/>
    <x v="0"/>
    <x v="0"/>
    <x v="0"/>
    <x v="0"/>
    <x v="0"/>
    <x v="0"/>
    <x v="287"/>
    <x v="495"/>
    <x v="16"/>
    <x v="0"/>
    <x v="0"/>
    <x v="646"/>
    <x v="0"/>
    <x v="0"/>
    <x v="958"/>
    <x v="7"/>
    <x v="42"/>
    <x v="96"/>
    <x v="408"/>
    <x v="2"/>
    <x v="161"/>
    <x v="472"/>
    <x v="525"/>
  </r>
  <r>
    <x v="1"/>
    <x v="45"/>
    <x v="2"/>
    <x v="4"/>
    <x v="56"/>
    <x v="11"/>
    <x v="8"/>
    <x v="49"/>
    <x v="1308"/>
    <x v="2"/>
    <x v="27"/>
    <x v="148"/>
    <x v="162"/>
    <x v="475"/>
    <x v="266"/>
    <x v="0"/>
    <x v="0"/>
    <x v="0"/>
    <x v="0"/>
    <x v="0"/>
    <x v="0"/>
    <x v="0"/>
    <x v="347"/>
    <x v="466"/>
    <x v="13"/>
    <x v="0"/>
    <x v="0"/>
    <x v="646"/>
    <x v="0"/>
    <x v="0"/>
    <x v="958"/>
    <x v="2"/>
    <x v="57"/>
    <x v="128"/>
    <x v="423"/>
    <x v="2"/>
    <x v="256"/>
    <x v="293"/>
    <x v="561"/>
  </r>
  <r>
    <x v="1"/>
    <x v="45"/>
    <x v="6"/>
    <x v="8"/>
    <x v="63"/>
    <x v="11"/>
    <x v="19"/>
    <x v="54"/>
    <x v="963"/>
    <x v="4"/>
    <x v="34"/>
    <x v="208"/>
    <x v="220"/>
    <x v="993"/>
    <x v="542"/>
    <x v="0"/>
    <x v="0"/>
    <x v="0"/>
    <x v="0"/>
    <x v="36"/>
    <x v="0"/>
    <x v="1"/>
    <x v="511"/>
    <x v="738"/>
    <x v="28"/>
    <x v="0"/>
    <x v="0"/>
    <x v="646"/>
    <x v="136"/>
    <x v="0"/>
    <x v="784"/>
    <x v="9"/>
    <x v="68"/>
    <x v="106"/>
    <x v="633"/>
    <x v="3"/>
    <x v="74"/>
    <x v="716"/>
    <x v="1165"/>
  </r>
  <r>
    <x v="1"/>
    <x v="45"/>
    <x v="6"/>
    <x v="8"/>
    <x v="60"/>
    <x v="11"/>
    <x v="19"/>
    <x v="48"/>
    <x v="994"/>
    <x v="4"/>
    <x v="12"/>
    <x v="115"/>
    <x v="200"/>
    <x v="707"/>
    <x v="336"/>
    <x v="0"/>
    <x v="0"/>
    <x v="0"/>
    <x v="0"/>
    <x v="21"/>
    <x v="0"/>
    <x v="1"/>
    <x v="255"/>
    <x v="773"/>
    <x v="25"/>
    <x v="0"/>
    <x v="0"/>
    <x v="646"/>
    <x v="189"/>
    <x v="0"/>
    <x v="723"/>
    <x v="2"/>
    <x v="23"/>
    <x v="110"/>
    <x v="640"/>
    <x v="3"/>
    <x v="36"/>
    <x v="741"/>
    <x v="1195"/>
  </r>
  <r>
    <x v="1"/>
    <x v="45"/>
    <x v="6"/>
    <x v="8"/>
    <x v="84"/>
    <x v="11"/>
    <x v="19"/>
    <x v="34"/>
    <x v="1007"/>
    <x v="4"/>
    <x v="1"/>
    <x v="8"/>
    <x v="176"/>
    <x v="22"/>
    <x v="21"/>
    <x v="0"/>
    <x v="0"/>
    <x v="0"/>
    <x v="0"/>
    <x v="12"/>
    <x v="0"/>
    <x v="1"/>
    <x v="52"/>
    <x v="760"/>
    <x v="36"/>
    <x v="0"/>
    <x v="0"/>
    <x v="646"/>
    <x v="692"/>
    <x v="0"/>
    <x v="87"/>
    <x v="0"/>
    <x v="5"/>
    <x v="130"/>
    <x v="541"/>
    <x v="3"/>
    <x v="333"/>
    <x v="306"/>
    <x v="609"/>
  </r>
  <r>
    <x v="1"/>
    <x v="45"/>
    <x v="3"/>
    <x v="4"/>
    <x v="56"/>
    <x v="11"/>
    <x v="8"/>
    <x v="49"/>
    <x v="991"/>
    <x v="4"/>
    <x v="42"/>
    <x v="184"/>
    <x v="156"/>
    <x v="849"/>
    <x v="380"/>
    <x v="0"/>
    <x v="0"/>
    <x v="0"/>
    <x v="0"/>
    <x v="0"/>
    <x v="0"/>
    <x v="0"/>
    <x v="447"/>
    <x v="281"/>
    <x v="13"/>
    <x v="0"/>
    <x v="0"/>
    <x v="646"/>
    <x v="0"/>
    <x v="0"/>
    <x v="958"/>
    <x v="23"/>
    <x v="80"/>
    <x v="77"/>
    <x v="364"/>
    <x v="2"/>
    <x v="200"/>
    <x v="403"/>
    <x v="354"/>
  </r>
  <r>
    <x v="1"/>
    <x v="45"/>
    <x v="3"/>
    <x v="2"/>
    <x v="74"/>
    <x v="11"/>
    <x v="14"/>
    <x v="7"/>
    <x v="335"/>
    <x v="4"/>
    <x v="42"/>
    <x v="153"/>
    <x v="86"/>
    <x v="529"/>
    <x v="278"/>
    <x v="0"/>
    <x v="0"/>
    <x v="0"/>
    <x v="0"/>
    <x v="0"/>
    <x v="0"/>
    <x v="0"/>
    <x v="362"/>
    <x v="511"/>
    <x v="37"/>
    <x v="2"/>
    <x v="243"/>
    <x v="645"/>
    <x v="0"/>
    <x v="0"/>
    <x v="958"/>
    <x v="0"/>
    <x v="102"/>
    <x v="130"/>
    <x v="218"/>
    <x v="5"/>
    <x v="523"/>
    <x v="257"/>
    <x v="606"/>
  </r>
  <r>
    <x v="1"/>
    <x v="45"/>
    <x v="6"/>
    <x v="1"/>
    <x v="26"/>
    <x v="11"/>
    <x v="19"/>
    <x v="12"/>
    <x v="1308"/>
    <x v="3"/>
    <x v="43"/>
    <x v="168"/>
    <x v="122"/>
    <x v="191"/>
    <x v="147"/>
    <x v="0"/>
    <x v="0"/>
    <x v="0"/>
    <x v="0"/>
    <x v="24"/>
    <x v="0"/>
    <x v="4"/>
    <x v="79"/>
    <x v="29"/>
    <x v="17"/>
    <x v="0"/>
    <x v="0"/>
    <x v="646"/>
    <x v="426"/>
    <x v="0"/>
    <x v="437"/>
    <x v="49"/>
    <x v="50"/>
    <x v="21"/>
    <x v="51"/>
    <x v="7"/>
    <x v="714"/>
    <x v="533"/>
    <x v="71"/>
  </r>
  <r>
    <x v="2"/>
    <x v="46"/>
    <x v="2"/>
    <x v="2"/>
    <x v="74"/>
    <x v="11"/>
    <x v="15"/>
    <x v="7"/>
    <x v="343"/>
    <x v="2"/>
    <x v="20"/>
    <x v="60"/>
    <x v="85"/>
    <x v="43"/>
    <x v="41"/>
    <x v="12"/>
    <x v="0"/>
    <x v="0"/>
    <x v="0"/>
    <x v="0"/>
    <x v="0"/>
    <x v="0"/>
    <x v="114"/>
    <x v="55"/>
    <x v="37"/>
    <x v="2"/>
    <x v="7"/>
    <x v="245"/>
    <x v="0"/>
    <x v="0"/>
    <x v="958"/>
    <x v="23"/>
    <x v="20"/>
    <x v="23"/>
    <x v="60"/>
    <x v="5"/>
    <x v="458"/>
    <x v="496"/>
    <x v="74"/>
  </r>
  <r>
    <x v="2"/>
    <x v="46"/>
    <x v="2"/>
    <x v="2"/>
    <x v="74"/>
    <x v="11"/>
    <x v="13"/>
    <x v="7"/>
    <x v="345"/>
    <x v="2"/>
    <x v="28"/>
    <x v="110"/>
    <x v="89"/>
    <x v="269"/>
    <x v="188"/>
    <x v="0"/>
    <x v="0"/>
    <x v="0"/>
    <x v="0"/>
    <x v="4"/>
    <x v="3"/>
    <x v="0"/>
    <x v="271"/>
    <x v="608"/>
    <x v="37"/>
    <x v="2"/>
    <x v="94"/>
    <x v="558"/>
    <x v="86"/>
    <x v="0"/>
    <x v="853"/>
    <x v="0"/>
    <x v="63"/>
    <x v="130"/>
    <x v="244"/>
    <x v="5"/>
    <x v="499"/>
    <x v="369"/>
    <x v="749"/>
  </r>
  <r>
    <x v="2"/>
    <x v="46"/>
    <x v="2"/>
    <x v="0"/>
    <x v="3"/>
    <x v="4"/>
    <x v="1"/>
    <x v="57"/>
    <x v="338"/>
    <x v="2"/>
    <x v="42"/>
    <x v="107"/>
    <x v="29"/>
    <x v="202"/>
    <x v="148"/>
    <x v="24"/>
    <x v="46"/>
    <x v="0"/>
    <x v="0"/>
    <x v="32"/>
    <x v="3"/>
    <x v="0"/>
    <x v="227"/>
    <x v="242"/>
    <x v="38"/>
    <x v="5"/>
    <x v="526"/>
    <x v="140"/>
    <x v="548"/>
    <x v="383"/>
    <x v="292"/>
    <x v="30"/>
    <x v="71"/>
    <x v="58"/>
    <x v="63"/>
    <x v="6"/>
    <x v="586"/>
    <x v="434"/>
    <x v="239"/>
  </r>
  <r>
    <x v="2"/>
    <x v="46"/>
    <x v="2"/>
    <x v="4"/>
    <x v="56"/>
    <x v="11"/>
    <x v="8"/>
    <x v="49"/>
    <x v="992"/>
    <x v="2"/>
    <x v="42"/>
    <x v="184"/>
    <x v="156"/>
    <x v="803"/>
    <x v="353"/>
    <x v="0"/>
    <x v="0"/>
    <x v="0"/>
    <x v="0"/>
    <x v="13"/>
    <x v="0"/>
    <x v="0"/>
    <x v="420"/>
    <x v="203"/>
    <x v="13"/>
    <x v="0"/>
    <x v="0"/>
    <x v="646"/>
    <x v="129"/>
    <x v="0"/>
    <x v="796"/>
    <x v="23"/>
    <x v="80"/>
    <x v="77"/>
    <x v="333"/>
    <x v="2"/>
    <x v="296"/>
    <x v="209"/>
    <x v="248"/>
  </r>
  <r>
    <x v="2"/>
    <x v="46"/>
    <x v="2"/>
    <x v="1"/>
    <x v="9"/>
    <x v="11"/>
    <x v="12"/>
    <x v="72"/>
    <x v="301"/>
    <x v="3"/>
    <x v="42"/>
    <x v="176"/>
    <x v="143"/>
    <x v="670"/>
    <x v="331"/>
    <x v="0"/>
    <x v="0"/>
    <x v="29"/>
    <x v="0"/>
    <x v="14"/>
    <x v="0"/>
    <x v="4"/>
    <x v="145"/>
    <x v="266"/>
    <x v="4"/>
    <x v="0"/>
    <x v="0"/>
    <x v="646"/>
    <x v="145"/>
    <x v="0"/>
    <x v="773"/>
    <x v="9"/>
    <x v="97"/>
    <x v="117"/>
    <x v="304"/>
    <x v="7"/>
    <x v="670"/>
    <x v="664"/>
    <x v="1106"/>
  </r>
  <r>
    <x v="2"/>
    <x v="46"/>
    <x v="2"/>
    <x v="5"/>
    <x v="80"/>
    <x v="7"/>
    <x v="7"/>
    <x v="33"/>
    <x v="1146"/>
    <x v="2"/>
    <x v="42"/>
    <x v="137"/>
    <x v="56"/>
    <x v="95"/>
    <x v="30"/>
    <x v="0"/>
    <x v="113"/>
    <x v="0"/>
    <x v="0"/>
    <x v="8"/>
    <x v="3"/>
    <x v="0"/>
    <x v="95"/>
    <x v="1"/>
    <x v="32"/>
    <x v="1"/>
    <x v="20"/>
    <x v="3"/>
    <x v="502"/>
    <x v="480"/>
    <x v="638"/>
    <x v="60"/>
    <x v="13"/>
    <x v="2"/>
    <x v="5"/>
    <x v="4"/>
    <x v="369"/>
    <x v="558"/>
    <x v="2"/>
  </r>
  <r>
    <x v="2"/>
    <x v="46"/>
    <x v="6"/>
    <x v="8"/>
    <x v="60"/>
    <x v="11"/>
    <x v="19"/>
    <x v="48"/>
    <x v="996"/>
    <x v="6"/>
    <x v="42"/>
    <x v="223"/>
    <x v="209"/>
    <x v="929"/>
    <x v="468"/>
    <x v="0"/>
    <x v="0"/>
    <x v="0"/>
    <x v="0"/>
    <x v="19"/>
    <x v="0"/>
    <x v="0"/>
    <x v="566"/>
    <x v="111"/>
    <x v="25"/>
    <x v="0"/>
    <x v="0"/>
    <x v="646"/>
    <x v="116"/>
    <x v="0"/>
    <x v="808"/>
    <x v="12"/>
    <x v="94"/>
    <x v="108"/>
    <x v="477"/>
    <x v="3"/>
    <x v="93"/>
    <x v="700"/>
    <x v="1155"/>
  </r>
  <r>
    <x v="2"/>
    <x v="46"/>
    <x v="3"/>
    <x v="5"/>
    <x v="80"/>
    <x v="7"/>
    <x v="7"/>
    <x v="33"/>
    <x v="1014"/>
    <x v="4"/>
    <x v="42"/>
    <x v="163"/>
    <x v="124"/>
    <x v="431"/>
    <x v="209"/>
    <x v="0"/>
    <x v="108"/>
    <x v="0"/>
    <x v="0"/>
    <x v="60"/>
    <x v="0"/>
    <x v="0"/>
    <x v="295"/>
    <x v="121"/>
    <x v="32"/>
    <x v="1"/>
    <x v="133"/>
    <x v="42"/>
    <x v="614"/>
    <x v="469"/>
    <x v="223"/>
    <x v="31"/>
    <x v="70"/>
    <x v="55"/>
    <x v="123"/>
    <x v="4"/>
    <x v="479"/>
    <x v="196"/>
    <x v="152"/>
  </r>
  <r>
    <x v="2"/>
    <x v="46"/>
    <x v="3"/>
    <x v="0"/>
    <x v="3"/>
    <x v="4"/>
    <x v="1"/>
    <x v="57"/>
    <x v="340"/>
    <x v="4"/>
    <x v="42"/>
    <x v="107"/>
    <x v="29"/>
    <x v="381"/>
    <x v="213"/>
    <x v="12"/>
    <x v="0"/>
    <x v="0"/>
    <x v="0"/>
    <x v="40"/>
    <x v="0"/>
    <x v="0"/>
    <x v="299"/>
    <x v="723"/>
    <x v="38"/>
    <x v="5"/>
    <x v="591"/>
    <x v="443"/>
    <x v="464"/>
    <x v="0"/>
    <x v="385"/>
    <x v="0"/>
    <x v="102"/>
    <x v="130"/>
    <x v="126"/>
    <x v="6"/>
    <x v="570"/>
    <x v="511"/>
    <x v="967"/>
  </r>
  <r>
    <x v="2"/>
    <x v="46"/>
    <x v="3"/>
    <x v="2"/>
    <x v="74"/>
    <x v="11"/>
    <x v="13"/>
    <x v="7"/>
    <x v="495"/>
    <x v="4"/>
    <x v="42"/>
    <x v="153"/>
    <x v="86"/>
    <x v="506"/>
    <x v="270"/>
    <x v="0"/>
    <x v="0"/>
    <x v="0"/>
    <x v="0"/>
    <x v="0"/>
    <x v="0"/>
    <x v="0"/>
    <x v="354"/>
    <x v="447"/>
    <x v="37"/>
    <x v="2"/>
    <x v="230"/>
    <x v="645"/>
    <x v="0"/>
    <x v="0"/>
    <x v="958"/>
    <x v="14"/>
    <x v="91"/>
    <x v="102"/>
    <x v="201"/>
    <x v="5"/>
    <x v="471"/>
    <x v="453"/>
    <x v="539"/>
  </r>
  <r>
    <x v="2"/>
    <x v="46"/>
    <x v="3"/>
    <x v="1"/>
    <x v="9"/>
    <x v="11"/>
    <x v="12"/>
    <x v="72"/>
    <x v="316"/>
    <x v="3"/>
    <x v="42"/>
    <x v="176"/>
    <x v="143"/>
    <x v="841"/>
    <x v="371"/>
    <x v="0"/>
    <x v="0"/>
    <x v="38"/>
    <x v="0"/>
    <x v="41"/>
    <x v="0"/>
    <x v="5"/>
    <x v="144"/>
    <x v="541"/>
    <x v="4"/>
    <x v="0"/>
    <x v="0"/>
    <x v="646"/>
    <x v="274"/>
    <x v="0"/>
    <x v="629"/>
    <x v="9"/>
    <x v="97"/>
    <x v="117"/>
    <x v="354"/>
    <x v="7"/>
    <x v="673"/>
    <x v="661"/>
    <x v="1102"/>
  </r>
  <r>
    <x v="2"/>
    <x v="46"/>
    <x v="5"/>
    <x v="2"/>
    <x v="74"/>
    <x v="11"/>
    <x v="13"/>
    <x v="7"/>
    <x v="346"/>
    <x v="0"/>
    <x v="20"/>
    <x v="60"/>
    <x v="85"/>
    <x v="162"/>
    <x v="127"/>
    <x v="0"/>
    <x v="0"/>
    <x v="0"/>
    <x v="0"/>
    <x v="0"/>
    <x v="0"/>
    <x v="0"/>
    <x v="210"/>
    <x v="677"/>
    <x v="37"/>
    <x v="2"/>
    <x v="50"/>
    <x v="645"/>
    <x v="0"/>
    <x v="0"/>
    <x v="958"/>
    <x v="0"/>
    <x v="42"/>
    <x v="130"/>
    <x v="280"/>
    <x v="5"/>
    <x v="458"/>
    <x v="496"/>
    <x v="966"/>
  </r>
  <r>
    <x v="2"/>
    <x v="46"/>
    <x v="5"/>
    <x v="2"/>
    <x v="74"/>
    <x v="11"/>
    <x v="15"/>
    <x v="7"/>
    <x v="344"/>
    <x v="0"/>
    <x v="28"/>
    <x v="109"/>
    <x v="85"/>
    <x v="209"/>
    <x v="156"/>
    <x v="36"/>
    <x v="0"/>
    <x v="0"/>
    <x v="0"/>
    <x v="4"/>
    <x v="0"/>
    <x v="0"/>
    <x v="235"/>
    <x v="288"/>
    <x v="37"/>
    <x v="2"/>
    <x v="71"/>
    <x v="221"/>
    <x v="100"/>
    <x v="0"/>
    <x v="827"/>
    <x v="14"/>
    <x v="55"/>
    <x v="79"/>
    <x v="165"/>
    <x v="5"/>
    <x v="485"/>
    <x v="417"/>
    <x v="371"/>
  </r>
  <r>
    <x v="2"/>
    <x v="46"/>
    <x v="5"/>
    <x v="0"/>
    <x v="3"/>
    <x v="4"/>
    <x v="1"/>
    <x v="57"/>
    <x v="342"/>
    <x v="0"/>
    <x v="42"/>
    <x v="107"/>
    <x v="29"/>
    <x v="380"/>
    <x v="213"/>
    <x v="3"/>
    <x v="0"/>
    <x v="0"/>
    <x v="0"/>
    <x v="39"/>
    <x v="0"/>
    <x v="0"/>
    <x v="299"/>
    <x v="723"/>
    <x v="38"/>
    <x v="5"/>
    <x v="590"/>
    <x v="461"/>
    <x v="453"/>
    <x v="0"/>
    <x v="401"/>
    <x v="0"/>
    <x v="102"/>
    <x v="130"/>
    <x v="126"/>
    <x v="6"/>
    <x v="570"/>
    <x v="511"/>
    <x v="969"/>
  </r>
  <r>
    <x v="2"/>
    <x v="46"/>
    <x v="5"/>
    <x v="5"/>
    <x v="80"/>
    <x v="7"/>
    <x v="7"/>
    <x v="33"/>
    <x v="1015"/>
    <x v="0"/>
    <x v="14"/>
    <x v="19"/>
    <x v="30"/>
    <x v="39"/>
    <x v="30"/>
    <x v="0"/>
    <x v="79"/>
    <x v="0"/>
    <x v="0"/>
    <x v="55"/>
    <x v="0"/>
    <x v="0"/>
    <x v="95"/>
    <x v="345"/>
    <x v="32"/>
    <x v="1"/>
    <x v="4"/>
    <x v="18"/>
    <x v="773"/>
    <x v="472"/>
    <x v="3"/>
    <x v="16"/>
    <x v="13"/>
    <x v="20"/>
    <x v="77"/>
    <x v="4"/>
    <x v="369"/>
    <x v="558"/>
    <x v="59"/>
  </r>
  <r>
    <x v="2"/>
    <x v="47"/>
    <x v="2"/>
    <x v="0"/>
    <x v="3"/>
    <x v="4"/>
    <x v="1"/>
    <x v="57"/>
    <x v="347"/>
    <x v="2"/>
    <x v="42"/>
    <x v="107"/>
    <x v="29"/>
    <x v="385"/>
    <x v="213"/>
    <x v="0"/>
    <x v="12"/>
    <x v="0"/>
    <x v="0"/>
    <x v="32"/>
    <x v="3"/>
    <x v="0"/>
    <x v="299"/>
    <x v="723"/>
    <x v="38"/>
    <x v="5"/>
    <x v="593"/>
    <x v="401"/>
    <x v="376"/>
    <x v="88"/>
    <x v="510"/>
    <x v="0"/>
    <x v="102"/>
    <x v="130"/>
    <x v="126"/>
    <x v="6"/>
    <x v="570"/>
    <x v="511"/>
    <x v="974"/>
  </r>
  <r>
    <x v="2"/>
    <x v="47"/>
    <x v="2"/>
    <x v="2"/>
    <x v="74"/>
    <x v="11"/>
    <x v="15"/>
    <x v="7"/>
    <x v="352"/>
    <x v="2"/>
    <x v="16"/>
    <x v="48"/>
    <x v="83"/>
    <x v="78"/>
    <x v="70"/>
    <x v="0"/>
    <x v="0"/>
    <x v="0"/>
    <x v="0"/>
    <x v="0"/>
    <x v="0"/>
    <x v="0"/>
    <x v="160"/>
    <x v="275"/>
    <x v="37"/>
    <x v="2"/>
    <x v="17"/>
    <x v="645"/>
    <x v="0"/>
    <x v="0"/>
    <x v="958"/>
    <x v="12"/>
    <x v="25"/>
    <x v="54"/>
    <x v="161"/>
    <x v="5"/>
    <x v="394"/>
    <x v="630"/>
    <x v="353"/>
  </r>
  <r>
    <x v="2"/>
    <x v="47"/>
    <x v="2"/>
    <x v="2"/>
    <x v="74"/>
    <x v="11"/>
    <x v="13"/>
    <x v="7"/>
    <x v="354"/>
    <x v="2"/>
    <x v="31"/>
    <x v="116"/>
    <x v="90"/>
    <x v="358"/>
    <x v="209"/>
    <x v="0"/>
    <x v="0"/>
    <x v="0"/>
    <x v="0"/>
    <x v="0"/>
    <x v="3"/>
    <x v="0"/>
    <x v="295"/>
    <x v="647"/>
    <x v="37"/>
    <x v="2"/>
    <x v="120"/>
    <x v="602"/>
    <x v="0"/>
    <x v="0"/>
    <x v="958"/>
    <x v="0"/>
    <x v="70"/>
    <x v="130"/>
    <x v="262"/>
    <x v="5"/>
    <x v="479"/>
    <x v="439"/>
    <x v="887"/>
  </r>
  <r>
    <x v="2"/>
    <x v="47"/>
    <x v="2"/>
    <x v="7"/>
    <x v="82"/>
    <x v="11"/>
    <x v="19"/>
    <x v="37"/>
    <x v="1013"/>
    <x v="2"/>
    <x v="42"/>
    <x v="184"/>
    <x v="156"/>
    <x v="560"/>
    <x v="288"/>
    <x v="0"/>
    <x v="0"/>
    <x v="0"/>
    <x v="0"/>
    <x v="0"/>
    <x v="0"/>
    <x v="0"/>
    <x v="371"/>
    <x v="102"/>
    <x v="34"/>
    <x v="0"/>
    <x v="0"/>
    <x v="646"/>
    <x v="0"/>
    <x v="0"/>
    <x v="958"/>
    <x v="32"/>
    <x v="68"/>
    <x v="54"/>
    <x v="235"/>
    <x v="2"/>
    <x v="328"/>
    <x v="135"/>
    <x v="129"/>
  </r>
  <r>
    <x v="2"/>
    <x v="47"/>
    <x v="2"/>
    <x v="4"/>
    <x v="83"/>
    <x v="11"/>
    <x v="8"/>
    <x v="35"/>
    <x v="1012"/>
    <x v="2"/>
    <x v="42"/>
    <x v="184"/>
    <x v="156"/>
    <x v="455"/>
    <x v="253"/>
    <x v="0"/>
    <x v="0"/>
    <x v="0"/>
    <x v="0"/>
    <x v="0"/>
    <x v="0"/>
    <x v="0"/>
    <x v="334"/>
    <x v="59"/>
    <x v="35"/>
    <x v="0"/>
    <x v="0"/>
    <x v="646"/>
    <x v="0"/>
    <x v="0"/>
    <x v="958"/>
    <x v="40"/>
    <x v="57"/>
    <x v="35"/>
    <x v="174"/>
    <x v="2"/>
    <x v="298"/>
    <x v="205"/>
    <x v="81"/>
  </r>
  <r>
    <x v="2"/>
    <x v="47"/>
    <x v="2"/>
    <x v="5"/>
    <x v="80"/>
    <x v="7"/>
    <x v="7"/>
    <x v="33"/>
    <x v="1017"/>
    <x v="2"/>
    <x v="42"/>
    <x v="163"/>
    <x v="124"/>
    <x v="414"/>
    <x v="183"/>
    <x v="53"/>
    <x v="113"/>
    <x v="0"/>
    <x v="0"/>
    <x v="70"/>
    <x v="3"/>
    <x v="0"/>
    <x v="266"/>
    <x v="63"/>
    <x v="32"/>
    <x v="1"/>
    <x v="132"/>
    <x v="15"/>
    <x v="702"/>
    <x v="475"/>
    <x v="149"/>
    <x v="40"/>
    <x v="57"/>
    <x v="35"/>
    <x v="93"/>
    <x v="4"/>
    <x v="433"/>
    <x v="320"/>
    <x v="98"/>
  </r>
  <r>
    <x v="2"/>
    <x v="47"/>
    <x v="2"/>
    <x v="1"/>
    <x v="9"/>
    <x v="11"/>
    <x v="19"/>
    <x v="72"/>
    <x v="324"/>
    <x v="3"/>
    <x v="14"/>
    <x v="57"/>
    <x v="143"/>
    <x v="83"/>
    <x v="71"/>
    <x v="0"/>
    <x v="0"/>
    <x v="8"/>
    <x v="0"/>
    <x v="8"/>
    <x v="0"/>
    <x v="4"/>
    <x v="47"/>
    <x v="195"/>
    <x v="4"/>
    <x v="0"/>
    <x v="0"/>
    <x v="646"/>
    <x v="283"/>
    <x v="0"/>
    <x v="620"/>
    <x v="12"/>
    <x v="17"/>
    <x v="40"/>
    <x v="251"/>
    <x v="7"/>
    <x v="639"/>
    <x v="737"/>
    <x v="995"/>
  </r>
  <r>
    <x v="2"/>
    <x v="47"/>
    <x v="2"/>
    <x v="1"/>
    <x v="8"/>
    <x v="11"/>
    <x v="19"/>
    <x v="58"/>
    <x v="339"/>
    <x v="3"/>
    <x v="34"/>
    <x v="156"/>
    <x v="143"/>
    <x v="518"/>
    <x v="272"/>
    <x v="0"/>
    <x v="0"/>
    <x v="19"/>
    <x v="0"/>
    <x v="16"/>
    <x v="0"/>
    <x v="4"/>
    <x v="117"/>
    <x v="376"/>
    <x v="3"/>
    <x v="0"/>
    <x v="0"/>
    <x v="646"/>
    <x v="181"/>
    <x v="0"/>
    <x v="734"/>
    <x v="7"/>
    <x v="70"/>
    <x v="117"/>
    <x v="330"/>
    <x v="7"/>
    <x v="652"/>
    <x v="694"/>
    <x v="1150"/>
  </r>
  <r>
    <x v="2"/>
    <x v="47"/>
    <x v="6"/>
    <x v="8"/>
    <x v="60"/>
    <x v="11"/>
    <x v="19"/>
    <x v="48"/>
    <x v="972"/>
    <x v="6"/>
    <x v="6"/>
    <x v="38"/>
    <x v="180"/>
    <x v="93"/>
    <x v="77"/>
    <x v="0"/>
    <x v="0"/>
    <x v="0"/>
    <x v="0"/>
    <x v="35"/>
    <x v="0"/>
    <x v="0"/>
    <x v="166"/>
    <x v="464"/>
    <x v="25"/>
    <x v="0"/>
    <x v="0"/>
    <x v="646"/>
    <x v="726"/>
    <x v="0"/>
    <x v="49"/>
    <x v="12"/>
    <x v="3"/>
    <x v="3"/>
    <x v="483"/>
    <x v="3"/>
    <x v="1"/>
    <x v="770"/>
    <x v="1158"/>
  </r>
  <r>
    <x v="2"/>
    <x v="47"/>
    <x v="6"/>
    <x v="8"/>
    <x v="84"/>
    <x v="11"/>
    <x v="19"/>
    <x v="34"/>
    <x v="1010"/>
    <x v="6"/>
    <x v="38"/>
    <x v="216"/>
    <x v="215"/>
    <x v="682"/>
    <x v="330"/>
    <x v="0"/>
    <x v="0"/>
    <x v="0"/>
    <x v="0"/>
    <x v="80"/>
    <x v="0"/>
    <x v="0"/>
    <x v="406"/>
    <x v="27"/>
    <x v="36"/>
    <x v="0"/>
    <x v="0"/>
    <x v="646"/>
    <x v="579"/>
    <x v="0"/>
    <x v="245"/>
    <x v="0"/>
    <x v="91"/>
    <x v="130"/>
    <x v="341"/>
    <x v="3"/>
    <x v="372"/>
    <x v="126"/>
    <x v="398"/>
  </r>
  <r>
    <x v="2"/>
    <x v="47"/>
    <x v="6"/>
    <x v="9"/>
    <x v="25"/>
    <x v="11"/>
    <x v="17"/>
    <x v="56"/>
    <x v="957"/>
    <x v="6"/>
    <x v="17"/>
    <x v="166"/>
    <x v="223"/>
    <x v="705"/>
    <x v="340"/>
    <x v="0"/>
    <x v="0"/>
    <x v="0"/>
    <x v="0"/>
    <x v="0"/>
    <x v="0"/>
    <x v="1"/>
    <x v="259"/>
    <x v="549"/>
    <x v="16"/>
    <x v="0"/>
    <x v="0"/>
    <x v="646"/>
    <x v="0"/>
    <x v="0"/>
    <x v="958"/>
    <x v="0"/>
    <x v="37"/>
    <x v="130"/>
    <x v="591"/>
    <x v="1"/>
    <x v="222"/>
    <x v="46"/>
    <x v="242"/>
  </r>
  <r>
    <x v="2"/>
    <x v="47"/>
    <x v="6"/>
    <x v="9"/>
    <x v="73"/>
    <x v="11"/>
    <x v="17"/>
    <x v="38"/>
    <x v="999"/>
    <x v="6"/>
    <x v="33"/>
    <x v="209"/>
    <x v="228"/>
    <x v="935"/>
    <x v="475"/>
    <x v="0"/>
    <x v="0"/>
    <x v="0"/>
    <x v="0"/>
    <x v="0"/>
    <x v="0"/>
    <x v="1"/>
    <x v="389"/>
    <x v="256"/>
    <x v="31"/>
    <x v="0"/>
    <x v="0"/>
    <x v="646"/>
    <x v="0"/>
    <x v="0"/>
    <x v="958"/>
    <x v="26"/>
    <x v="52"/>
    <x v="53"/>
    <x v="543"/>
    <x v="1"/>
    <x v="99"/>
    <x v="243"/>
    <x v="148"/>
  </r>
  <r>
    <x v="2"/>
    <x v="47"/>
    <x v="3"/>
    <x v="0"/>
    <x v="3"/>
    <x v="4"/>
    <x v="1"/>
    <x v="57"/>
    <x v="348"/>
    <x v="0"/>
    <x v="42"/>
    <x v="107"/>
    <x v="29"/>
    <x v="337"/>
    <x v="205"/>
    <x v="12"/>
    <x v="30"/>
    <x v="0"/>
    <x v="0"/>
    <x v="43"/>
    <x v="0"/>
    <x v="0"/>
    <x v="290"/>
    <x v="698"/>
    <x v="38"/>
    <x v="5"/>
    <x v="579"/>
    <x v="280"/>
    <x v="523"/>
    <x v="244"/>
    <x v="314"/>
    <x v="0"/>
    <x v="102"/>
    <x v="130"/>
    <x v="115"/>
    <x v="6"/>
    <x v="589"/>
    <x v="414"/>
    <x v="793"/>
  </r>
  <r>
    <x v="2"/>
    <x v="47"/>
    <x v="3"/>
    <x v="5"/>
    <x v="80"/>
    <x v="7"/>
    <x v="7"/>
    <x v="33"/>
    <x v="1308"/>
    <x v="0"/>
    <x v="42"/>
    <x v="163"/>
    <x v="124"/>
    <x v="455"/>
    <x v="226"/>
    <x v="0"/>
    <x v="102"/>
    <x v="0"/>
    <x v="0"/>
    <x v="108"/>
    <x v="0"/>
    <x v="0"/>
    <x v="313"/>
    <x v="146"/>
    <x v="32"/>
    <x v="1"/>
    <x v="154"/>
    <x v="43"/>
    <x v="752"/>
    <x v="460"/>
    <x v="28"/>
    <x v="26"/>
    <x v="76"/>
    <x v="68"/>
    <x v="141"/>
    <x v="4"/>
    <x v="495"/>
    <x v="169"/>
    <x v="174"/>
  </r>
  <r>
    <x v="2"/>
    <x v="47"/>
    <x v="3"/>
    <x v="2"/>
    <x v="74"/>
    <x v="11"/>
    <x v="13"/>
    <x v="7"/>
    <x v="355"/>
    <x v="0"/>
    <x v="14"/>
    <x v="30"/>
    <x v="85"/>
    <x v="63"/>
    <x v="60"/>
    <x v="0"/>
    <x v="0"/>
    <x v="0"/>
    <x v="0"/>
    <x v="0"/>
    <x v="0"/>
    <x v="0"/>
    <x v="144"/>
    <x v="404"/>
    <x v="37"/>
    <x v="2"/>
    <x v="11"/>
    <x v="645"/>
    <x v="0"/>
    <x v="0"/>
    <x v="958"/>
    <x v="7"/>
    <x v="22"/>
    <x v="68"/>
    <x v="194"/>
    <x v="5"/>
    <x v="403"/>
    <x v="614"/>
    <x v="502"/>
  </r>
  <r>
    <x v="2"/>
    <x v="47"/>
    <x v="3"/>
    <x v="2"/>
    <x v="74"/>
    <x v="11"/>
    <x v="15"/>
    <x v="7"/>
    <x v="353"/>
    <x v="0"/>
    <x v="34"/>
    <x v="124"/>
    <x v="85"/>
    <x v="389"/>
    <x v="217"/>
    <x v="0"/>
    <x v="0"/>
    <x v="0"/>
    <x v="0"/>
    <x v="4"/>
    <x v="0"/>
    <x v="0"/>
    <x v="303"/>
    <x v="589"/>
    <x v="37"/>
    <x v="2"/>
    <x v="128"/>
    <x v="631"/>
    <x v="75"/>
    <x v="0"/>
    <x v="866"/>
    <x v="0"/>
    <x v="76"/>
    <x v="130"/>
    <x v="237"/>
    <x v="5"/>
    <x v="507"/>
    <x v="337"/>
    <x v="714"/>
  </r>
  <r>
    <x v="2"/>
    <x v="47"/>
    <x v="3"/>
    <x v="7"/>
    <x v="82"/>
    <x v="11"/>
    <x v="19"/>
    <x v="37"/>
    <x v="861"/>
    <x v="0"/>
    <x v="42"/>
    <x v="184"/>
    <x v="156"/>
    <x v="447"/>
    <x v="246"/>
    <x v="0"/>
    <x v="0"/>
    <x v="0"/>
    <x v="0"/>
    <x v="0"/>
    <x v="0"/>
    <x v="0"/>
    <x v="329"/>
    <x v="56"/>
    <x v="34"/>
    <x v="0"/>
    <x v="0"/>
    <x v="646"/>
    <x v="0"/>
    <x v="0"/>
    <x v="958"/>
    <x v="32"/>
    <x v="68"/>
    <x v="54"/>
    <x v="167"/>
    <x v="2"/>
    <x v="384"/>
    <x v="51"/>
    <x v="76"/>
  </r>
  <r>
    <x v="2"/>
    <x v="47"/>
    <x v="3"/>
    <x v="4"/>
    <x v="83"/>
    <x v="11"/>
    <x v="8"/>
    <x v="35"/>
    <x v="1011"/>
    <x v="0"/>
    <x v="42"/>
    <x v="184"/>
    <x v="156"/>
    <x v="536"/>
    <x v="281"/>
    <x v="0"/>
    <x v="0"/>
    <x v="0"/>
    <x v="0"/>
    <x v="0"/>
    <x v="0"/>
    <x v="0"/>
    <x v="364"/>
    <x v="94"/>
    <x v="35"/>
    <x v="0"/>
    <x v="0"/>
    <x v="646"/>
    <x v="0"/>
    <x v="0"/>
    <x v="958"/>
    <x v="32"/>
    <x v="68"/>
    <x v="54"/>
    <x v="226"/>
    <x v="2"/>
    <x v="339"/>
    <x v="112"/>
    <x v="120"/>
  </r>
  <r>
    <x v="2"/>
    <x v="47"/>
    <x v="3"/>
    <x v="1"/>
    <x v="8"/>
    <x v="11"/>
    <x v="19"/>
    <x v="58"/>
    <x v="341"/>
    <x v="3"/>
    <x v="42"/>
    <x v="176"/>
    <x v="143"/>
    <x v="896"/>
    <x v="429"/>
    <x v="0"/>
    <x v="0"/>
    <x v="0"/>
    <x v="0"/>
    <x v="31"/>
    <x v="0"/>
    <x v="4"/>
    <x v="187"/>
    <x v="716"/>
    <x v="3"/>
    <x v="0"/>
    <x v="0"/>
    <x v="646"/>
    <x v="199"/>
    <x v="0"/>
    <x v="713"/>
    <x v="9"/>
    <x v="97"/>
    <x v="117"/>
    <x v="431"/>
    <x v="7"/>
    <x v="638"/>
    <x v="738"/>
    <x v="1191"/>
  </r>
  <r>
    <x v="2"/>
    <x v="47"/>
    <x v="5"/>
    <x v="5"/>
    <x v="80"/>
    <x v="7"/>
    <x v="7"/>
    <x v="33"/>
    <x v="1018"/>
    <x v="4"/>
    <x v="42"/>
    <x v="163"/>
    <x v="124"/>
    <x v="749"/>
    <x v="346"/>
    <x v="0"/>
    <x v="0"/>
    <x v="0"/>
    <x v="0"/>
    <x v="70"/>
    <x v="3"/>
    <x v="0"/>
    <x v="414"/>
    <x v="623"/>
    <x v="32"/>
    <x v="1"/>
    <x v="367"/>
    <x v="449"/>
    <x v="497"/>
    <x v="0"/>
    <x v="342"/>
    <x v="0"/>
    <x v="102"/>
    <x v="130"/>
    <x v="320"/>
    <x v="4"/>
    <x v="407"/>
    <x v="429"/>
    <x v="818"/>
  </r>
  <r>
    <x v="2"/>
    <x v="47"/>
    <x v="5"/>
    <x v="2"/>
    <x v="74"/>
    <x v="11"/>
    <x v="13"/>
    <x v="7"/>
    <x v="356"/>
    <x v="4"/>
    <x v="42"/>
    <x v="153"/>
    <x v="86"/>
    <x v="378"/>
    <x v="209"/>
    <x v="9"/>
    <x v="36"/>
    <x v="0"/>
    <x v="0"/>
    <x v="21"/>
    <x v="3"/>
    <x v="0"/>
    <x v="295"/>
    <x v="191"/>
    <x v="37"/>
    <x v="2"/>
    <x v="125"/>
    <x v="271"/>
    <x v="270"/>
    <x v="271"/>
    <x v="639"/>
    <x v="26"/>
    <x v="76"/>
    <x v="68"/>
    <x v="123"/>
    <x v="5"/>
    <x v="519"/>
    <x v="276"/>
    <x v="230"/>
  </r>
  <r>
    <x v="2"/>
    <x v="47"/>
    <x v="5"/>
    <x v="0"/>
    <x v="3"/>
    <x v="4"/>
    <x v="1"/>
    <x v="57"/>
    <x v="350"/>
    <x v="4"/>
    <x v="42"/>
    <x v="107"/>
    <x v="29"/>
    <x v="323"/>
    <x v="205"/>
    <x v="12"/>
    <x v="0"/>
    <x v="0"/>
    <x v="0"/>
    <x v="35"/>
    <x v="3"/>
    <x v="0"/>
    <x v="290"/>
    <x v="698"/>
    <x v="38"/>
    <x v="5"/>
    <x v="572"/>
    <x v="420"/>
    <x v="428"/>
    <x v="0"/>
    <x v="439"/>
    <x v="0"/>
    <x v="102"/>
    <x v="130"/>
    <x v="115"/>
    <x v="6"/>
    <x v="589"/>
    <x v="414"/>
    <x v="802"/>
  </r>
  <r>
    <x v="2"/>
    <x v="48"/>
    <x v="2"/>
    <x v="0"/>
    <x v="3"/>
    <x v="4"/>
    <x v="1"/>
    <x v="57"/>
    <x v="358"/>
    <x v="2"/>
    <x v="42"/>
    <x v="107"/>
    <x v="29"/>
    <x v="385"/>
    <x v="213"/>
    <x v="19"/>
    <x v="9"/>
    <x v="0"/>
    <x v="0"/>
    <x v="36"/>
    <x v="3"/>
    <x v="0"/>
    <x v="299"/>
    <x v="723"/>
    <x v="38"/>
    <x v="5"/>
    <x v="596"/>
    <x v="350"/>
    <x v="416"/>
    <x v="47"/>
    <x v="456"/>
    <x v="5"/>
    <x v="100"/>
    <x v="127"/>
    <x v="126"/>
    <x v="6"/>
    <x v="559"/>
    <x v="565"/>
    <x v="971"/>
  </r>
  <r>
    <x v="2"/>
    <x v="48"/>
    <x v="2"/>
    <x v="5"/>
    <x v="80"/>
    <x v="7"/>
    <x v="7"/>
    <x v="33"/>
    <x v="1023"/>
    <x v="2"/>
    <x v="42"/>
    <x v="163"/>
    <x v="124"/>
    <x v="686"/>
    <x v="327"/>
    <x v="0"/>
    <x v="30"/>
    <x v="0"/>
    <x v="0"/>
    <x v="60"/>
    <x v="3"/>
    <x v="0"/>
    <x v="403"/>
    <x v="551"/>
    <x v="32"/>
    <x v="1"/>
    <x v="310"/>
    <x v="364"/>
    <x v="452"/>
    <x v="145"/>
    <x v="415"/>
    <x v="0"/>
    <x v="102"/>
    <x v="130"/>
    <x v="300"/>
    <x v="4"/>
    <x v="432"/>
    <x v="329"/>
    <x v="679"/>
  </r>
  <r>
    <x v="2"/>
    <x v="48"/>
    <x v="2"/>
    <x v="7"/>
    <x v="82"/>
    <x v="11"/>
    <x v="19"/>
    <x v="37"/>
    <x v="1019"/>
    <x v="2"/>
    <x v="42"/>
    <x v="184"/>
    <x v="156"/>
    <x v="904"/>
    <x v="441"/>
    <x v="0"/>
    <x v="0"/>
    <x v="0"/>
    <x v="0"/>
    <x v="0"/>
    <x v="0"/>
    <x v="0"/>
    <x v="526"/>
    <x v="580"/>
    <x v="34"/>
    <x v="0"/>
    <x v="0"/>
    <x v="646"/>
    <x v="0"/>
    <x v="0"/>
    <x v="958"/>
    <x v="9"/>
    <x v="97"/>
    <x v="117"/>
    <x v="447"/>
    <x v="2"/>
    <x v="167"/>
    <x v="463"/>
    <x v="669"/>
  </r>
  <r>
    <x v="2"/>
    <x v="48"/>
    <x v="2"/>
    <x v="4"/>
    <x v="83"/>
    <x v="11"/>
    <x v="8"/>
    <x v="35"/>
    <x v="860"/>
    <x v="2"/>
    <x v="42"/>
    <x v="184"/>
    <x v="156"/>
    <x v="861"/>
    <x v="392"/>
    <x v="0"/>
    <x v="0"/>
    <x v="0"/>
    <x v="0"/>
    <x v="0"/>
    <x v="0"/>
    <x v="0"/>
    <x v="461"/>
    <x v="321"/>
    <x v="35"/>
    <x v="0"/>
    <x v="0"/>
    <x v="646"/>
    <x v="0"/>
    <x v="0"/>
    <x v="958"/>
    <x v="23"/>
    <x v="80"/>
    <x v="77"/>
    <x v="373"/>
    <x v="2"/>
    <x v="164"/>
    <x v="468"/>
    <x v="392"/>
  </r>
  <r>
    <x v="2"/>
    <x v="48"/>
    <x v="2"/>
    <x v="2"/>
    <x v="74"/>
    <x v="11"/>
    <x v="13"/>
    <x v="7"/>
    <x v="365"/>
    <x v="2"/>
    <x v="14"/>
    <x v="30"/>
    <x v="85"/>
    <x v="46"/>
    <x v="47"/>
    <x v="0"/>
    <x v="0"/>
    <x v="0"/>
    <x v="0"/>
    <x v="0"/>
    <x v="0"/>
    <x v="0"/>
    <x v="121"/>
    <x v="224"/>
    <x v="37"/>
    <x v="2"/>
    <x v="8"/>
    <x v="645"/>
    <x v="0"/>
    <x v="0"/>
    <x v="958"/>
    <x v="7"/>
    <x v="22"/>
    <x v="68"/>
    <x v="141"/>
    <x v="5"/>
    <x v="495"/>
    <x v="387"/>
    <x v="287"/>
  </r>
  <r>
    <x v="2"/>
    <x v="48"/>
    <x v="2"/>
    <x v="2"/>
    <x v="74"/>
    <x v="11"/>
    <x v="15"/>
    <x v="7"/>
    <x v="362"/>
    <x v="2"/>
    <x v="34"/>
    <x v="125"/>
    <x v="88"/>
    <x v="210"/>
    <x v="156"/>
    <x v="2"/>
    <x v="0"/>
    <x v="0"/>
    <x v="0"/>
    <x v="0"/>
    <x v="3"/>
    <x v="0"/>
    <x v="235"/>
    <x v="167"/>
    <x v="37"/>
    <x v="2"/>
    <x v="68"/>
    <x v="501"/>
    <x v="0"/>
    <x v="0"/>
    <x v="958"/>
    <x v="26"/>
    <x v="55"/>
    <x v="54"/>
    <x v="116"/>
    <x v="5"/>
    <x v="485"/>
    <x v="417"/>
    <x v="202"/>
  </r>
  <r>
    <x v="2"/>
    <x v="48"/>
    <x v="6"/>
    <x v="8"/>
    <x v="84"/>
    <x v="11"/>
    <x v="19"/>
    <x v="34"/>
    <x v="1145"/>
    <x v="6"/>
    <x v="42"/>
    <x v="223"/>
    <x v="209"/>
    <x v="955"/>
    <x v="496"/>
    <x v="0"/>
    <x v="0"/>
    <x v="0"/>
    <x v="0"/>
    <x v="49"/>
    <x v="0"/>
    <x v="1"/>
    <x v="433"/>
    <x v="227"/>
    <x v="36"/>
    <x v="0"/>
    <x v="0"/>
    <x v="646"/>
    <x v="196"/>
    <x v="0"/>
    <x v="715"/>
    <x v="12"/>
    <x v="94"/>
    <x v="108"/>
    <x v="515"/>
    <x v="3"/>
    <x v="334"/>
    <x v="304"/>
    <x v="426"/>
  </r>
  <r>
    <x v="2"/>
    <x v="48"/>
    <x v="6"/>
    <x v="9"/>
    <x v="73"/>
    <x v="11"/>
    <x v="17"/>
    <x v="38"/>
    <x v="1020"/>
    <x v="6"/>
    <x v="42"/>
    <x v="228"/>
    <x v="232"/>
    <x v="1001"/>
    <x v="551"/>
    <x v="0"/>
    <x v="0"/>
    <x v="0"/>
    <x v="0"/>
    <x v="11"/>
    <x v="0"/>
    <x v="1"/>
    <x v="535"/>
    <x v="382"/>
    <x v="31"/>
    <x v="0"/>
    <x v="0"/>
    <x v="646"/>
    <x v="34"/>
    <x v="0"/>
    <x v="918"/>
    <x v="12"/>
    <x v="94"/>
    <x v="108"/>
    <x v="592"/>
    <x v="1"/>
    <x v="134"/>
    <x v="90"/>
    <x v="246"/>
  </r>
  <r>
    <x v="2"/>
    <x v="48"/>
    <x v="3"/>
    <x v="7"/>
    <x v="82"/>
    <x v="11"/>
    <x v="19"/>
    <x v="37"/>
    <x v="1024"/>
    <x v="0"/>
    <x v="42"/>
    <x v="184"/>
    <x v="156"/>
    <x v="854"/>
    <x v="386"/>
    <x v="0"/>
    <x v="0"/>
    <x v="0"/>
    <x v="0"/>
    <x v="0"/>
    <x v="0"/>
    <x v="0"/>
    <x v="455"/>
    <x v="303"/>
    <x v="34"/>
    <x v="0"/>
    <x v="0"/>
    <x v="646"/>
    <x v="0"/>
    <x v="0"/>
    <x v="958"/>
    <x v="9"/>
    <x v="97"/>
    <x v="117"/>
    <x v="368"/>
    <x v="2"/>
    <x v="310"/>
    <x v="179"/>
    <x v="373"/>
  </r>
  <r>
    <x v="2"/>
    <x v="48"/>
    <x v="3"/>
    <x v="4"/>
    <x v="83"/>
    <x v="11"/>
    <x v="8"/>
    <x v="35"/>
    <x v="1016"/>
    <x v="0"/>
    <x v="42"/>
    <x v="184"/>
    <x v="156"/>
    <x v="854"/>
    <x v="386"/>
    <x v="0"/>
    <x v="0"/>
    <x v="0"/>
    <x v="0"/>
    <x v="0"/>
    <x v="0"/>
    <x v="0"/>
    <x v="455"/>
    <x v="303"/>
    <x v="35"/>
    <x v="0"/>
    <x v="0"/>
    <x v="646"/>
    <x v="0"/>
    <x v="0"/>
    <x v="958"/>
    <x v="9"/>
    <x v="97"/>
    <x v="117"/>
    <x v="368"/>
    <x v="2"/>
    <x v="310"/>
    <x v="179"/>
    <x v="373"/>
  </r>
  <r>
    <x v="2"/>
    <x v="48"/>
    <x v="3"/>
    <x v="5"/>
    <x v="80"/>
    <x v="7"/>
    <x v="7"/>
    <x v="33"/>
    <x v="1025"/>
    <x v="0"/>
    <x v="42"/>
    <x v="163"/>
    <x v="124"/>
    <x v="751"/>
    <x v="346"/>
    <x v="0"/>
    <x v="19"/>
    <x v="0"/>
    <x v="0"/>
    <x v="63"/>
    <x v="0"/>
    <x v="0"/>
    <x v="414"/>
    <x v="623"/>
    <x v="32"/>
    <x v="1"/>
    <x v="372"/>
    <x v="422"/>
    <x v="443"/>
    <x v="51"/>
    <x v="421"/>
    <x v="0"/>
    <x v="102"/>
    <x v="130"/>
    <x v="320"/>
    <x v="4"/>
    <x v="407"/>
    <x v="429"/>
    <x v="826"/>
  </r>
  <r>
    <x v="2"/>
    <x v="48"/>
    <x v="3"/>
    <x v="0"/>
    <x v="3"/>
    <x v="4"/>
    <x v="1"/>
    <x v="57"/>
    <x v="359"/>
    <x v="0"/>
    <x v="42"/>
    <x v="107"/>
    <x v="29"/>
    <x v="273"/>
    <x v="186"/>
    <x v="12"/>
    <x v="38"/>
    <x v="0"/>
    <x v="0"/>
    <x v="44"/>
    <x v="0"/>
    <x v="0"/>
    <x v="269"/>
    <x v="587"/>
    <x v="38"/>
    <x v="5"/>
    <x v="556"/>
    <x v="225"/>
    <x v="583"/>
    <x v="310"/>
    <x v="251"/>
    <x v="0"/>
    <x v="102"/>
    <x v="130"/>
    <x v="96"/>
    <x v="6"/>
    <x v="609"/>
    <x v="212"/>
    <x v="519"/>
  </r>
  <r>
    <x v="2"/>
    <x v="48"/>
    <x v="3"/>
    <x v="2"/>
    <x v="74"/>
    <x v="11"/>
    <x v="15"/>
    <x v="7"/>
    <x v="363"/>
    <x v="0"/>
    <x v="6"/>
    <x v="13"/>
    <x v="85"/>
    <x v="38"/>
    <x v="37"/>
    <x v="0"/>
    <x v="0"/>
    <x v="0"/>
    <x v="0"/>
    <x v="0"/>
    <x v="0"/>
    <x v="0"/>
    <x v="106"/>
    <x v="756"/>
    <x v="37"/>
    <x v="2"/>
    <x v="6"/>
    <x v="645"/>
    <x v="0"/>
    <x v="0"/>
    <x v="958"/>
    <x v="0"/>
    <x v="15"/>
    <x v="130"/>
    <x v="354"/>
    <x v="5"/>
    <x v="359"/>
    <x v="671"/>
    <x v="1154"/>
  </r>
  <r>
    <x v="2"/>
    <x v="48"/>
    <x v="3"/>
    <x v="2"/>
    <x v="74"/>
    <x v="11"/>
    <x v="13"/>
    <x v="7"/>
    <x v="366"/>
    <x v="0"/>
    <x v="38"/>
    <x v="141"/>
    <x v="87"/>
    <x v="387"/>
    <x v="216"/>
    <x v="0"/>
    <x v="0"/>
    <x v="0"/>
    <x v="0"/>
    <x v="4"/>
    <x v="0"/>
    <x v="0"/>
    <x v="302"/>
    <x v="318"/>
    <x v="37"/>
    <x v="2"/>
    <x v="126"/>
    <x v="630"/>
    <x v="76"/>
    <x v="0"/>
    <x v="865"/>
    <x v="17"/>
    <x v="73"/>
    <x v="84"/>
    <x v="171"/>
    <x v="5"/>
    <x v="486"/>
    <x v="416"/>
    <x v="399"/>
  </r>
  <r>
    <x v="2"/>
    <x v="48"/>
    <x v="2"/>
    <x v="1"/>
    <x v="8"/>
    <x v="11"/>
    <x v="19"/>
    <x v="58"/>
    <x v="349"/>
    <x v="3"/>
    <x v="42"/>
    <x v="176"/>
    <x v="143"/>
    <x v="634"/>
    <x v="317"/>
    <x v="0"/>
    <x v="0"/>
    <x v="24"/>
    <x v="0"/>
    <x v="18"/>
    <x v="0"/>
    <x v="2"/>
    <x v="168"/>
    <x v="237"/>
    <x v="3"/>
    <x v="0"/>
    <x v="0"/>
    <x v="646"/>
    <x v="177"/>
    <x v="0"/>
    <x v="737"/>
    <x v="12"/>
    <x v="94"/>
    <x v="108"/>
    <x v="284"/>
    <x v="7"/>
    <x v="644"/>
    <x v="719"/>
    <x v="1166"/>
  </r>
  <r>
    <x v="2"/>
    <x v="48"/>
    <x v="3"/>
    <x v="1"/>
    <x v="8"/>
    <x v="11"/>
    <x v="19"/>
    <x v="58"/>
    <x v="351"/>
    <x v="3"/>
    <x v="42"/>
    <x v="176"/>
    <x v="143"/>
    <x v="862"/>
    <x v="393"/>
    <x v="0"/>
    <x v="0"/>
    <x v="29"/>
    <x v="0"/>
    <x v="14"/>
    <x v="0"/>
    <x v="4"/>
    <x v="173"/>
    <x v="624"/>
    <x v="3"/>
    <x v="0"/>
    <x v="0"/>
    <x v="646"/>
    <x v="122"/>
    <x v="0"/>
    <x v="802"/>
    <x v="9"/>
    <x v="97"/>
    <x v="117"/>
    <x v="374"/>
    <x v="7"/>
    <x v="643"/>
    <x v="721"/>
    <x v="1178"/>
  </r>
  <r>
    <x v="2"/>
    <x v="48"/>
    <x v="5"/>
    <x v="5"/>
    <x v="80"/>
    <x v="7"/>
    <x v="7"/>
    <x v="33"/>
    <x v="1026"/>
    <x v="4"/>
    <x v="42"/>
    <x v="163"/>
    <x v="124"/>
    <x v="757"/>
    <x v="346"/>
    <x v="0"/>
    <x v="23"/>
    <x v="0"/>
    <x v="0"/>
    <x v="66"/>
    <x v="3"/>
    <x v="0"/>
    <x v="414"/>
    <x v="623"/>
    <x v="32"/>
    <x v="1"/>
    <x v="379"/>
    <x v="381"/>
    <x v="468"/>
    <x v="80"/>
    <x v="384"/>
    <x v="0"/>
    <x v="102"/>
    <x v="130"/>
    <x v="320"/>
    <x v="4"/>
    <x v="407"/>
    <x v="429"/>
    <x v="823"/>
  </r>
  <r>
    <x v="2"/>
    <x v="48"/>
    <x v="5"/>
    <x v="2"/>
    <x v="74"/>
    <x v="11"/>
    <x v="15"/>
    <x v="7"/>
    <x v="364"/>
    <x v="4"/>
    <x v="35"/>
    <x v="128"/>
    <x v="79"/>
    <x v="355"/>
    <x v="209"/>
    <x v="0"/>
    <x v="0"/>
    <x v="0"/>
    <x v="0"/>
    <x v="3"/>
    <x v="0"/>
    <x v="0"/>
    <x v="295"/>
    <x v="466"/>
    <x v="37"/>
    <x v="2"/>
    <x v="119"/>
    <x v="635"/>
    <x v="58"/>
    <x v="0"/>
    <x v="890"/>
    <x v="12"/>
    <x v="69"/>
    <x v="99"/>
    <x v="205"/>
    <x v="5"/>
    <x v="459"/>
    <x v="490"/>
    <x v="552"/>
  </r>
  <r>
    <x v="2"/>
    <x v="48"/>
    <x v="5"/>
    <x v="2"/>
    <x v="74"/>
    <x v="11"/>
    <x v="13"/>
    <x v="7"/>
    <x v="367"/>
    <x v="4"/>
    <x v="13"/>
    <x v="25"/>
    <x v="102"/>
    <x v="63"/>
    <x v="60"/>
    <x v="0"/>
    <x v="0"/>
    <x v="0"/>
    <x v="0"/>
    <x v="0"/>
    <x v="0"/>
    <x v="0"/>
    <x v="144"/>
    <x v="594"/>
    <x v="37"/>
    <x v="2"/>
    <x v="11"/>
    <x v="645"/>
    <x v="0"/>
    <x v="0"/>
    <x v="958"/>
    <x v="0"/>
    <x v="26"/>
    <x v="130"/>
    <x v="240"/>
    <x v="5"/>
    <x v="502"/>
    <x v="360"/>
    <x v="736"/>
  </r>
  <r>
    <x v="2"/>
    <x v="49"/>
    <x v="2"/>
    <x v="0"/>
    <x v="4"/>
    <x v="5"/>
    <x v="0"/>
    <x v="71"/>
    <x v="368"/>
    <x v="2"/>
    <x v="42"/>
    <x v="107"/>
    <x v="29"/>
    <x v="113"/>
    <x v="89"/>
    <x v="21"/>
    <x v="23"/>
    <x v="0"/>
    <x v="0"/>
    <x v="40"/>
    <x v="3"/>
    <x v="0"/>
    <x v="178"/>
    <x v="54"/>
    <x v="38"/>
    <x v="10"/>
    <x v="497"/>
    <x v="101"/>
    <x v="733"/>
    <x v="368"/>
    <x v="48"/>
    <x v="53"/>
    <x v="35"/>
    <x v="12"/>
    <x v="23"/>
    <x v="6"/>
    <x v="522"/>
    <x v="686"/>
    <x v="53"/>
  </r>
  <r>
    <x v="2"/>
    <x v="49"/>
    <x v="2"/>
    <x v="5"/>
    <x v="80"/>
    <x v="7"/>
    <x v="7"/>
    <x v="33"/>
    <x v="1029"/>
    <x v="2"/>
    <x v="42"/>
    <x v="163"/>
    <x v="124"/>
    <x v="787"/>
    <x v="349"/>
    <x v="0"/>
    <x v="46"/>
    <x v="0"/>
    <x v="0"/>
    <x v="53"/>
    <x v="3"/>
    <x v="0"/>
    <x v="417"/>
    <x v="643"/>
    <x v="32"/>
    <x v="1"/>
    <x v="402"/>
    <x v="363"/>
    <x v="373"/>
    <x v="206"/>
    <x v="515"/>
    <x v="7"/>
    <x v="99"/>
    <x v="122"/>
    <x v="325"/>
    <x v="4"/>
    <x v="369"/>
    <x v="558"/>
    <x v="900"/>
  </r>
  <r>
    <x v="2"/>
    <x v="49"/>
    <x v="2"/>
    <x v="7"/>
    <x v="82"/>
    <x v="11"/>
    <x v="10"/>
    <x v="37"/>
    <x v="1022"/>
    <x v="2"/>
    <x v="42"/>
    <x v="184"/>
    <x v="156"/>
    <x v="898"/>
    <x v="436"/>
    <x v="0"/>
    <x v="0"/>
    <x v="0"/>
    <x v="0"/>
    <x v="0"/>
    <x v="0"/>
    <x v="0"/>
    <x v="521"/>
    <x v="561"/>
    <x v="34"/>
    <x v="0"/>
    <x v="0"/>
    <x v="646"/>
    <x v="0"/>
    <x v="0"/>
    <x v="958"/>
    <x v="9"/>
    <x v="97"/>
    <x v="117"/>
    <x v="439"/>
    <x v="2"/>
    <x v="181"/>
    <x v="436"/>
    <x v="626"/>
  </r>
  <r>
    <x v="2"/>
    <x v="49"/>
    <x v="2"/>
    <x v="4"/>
    <x v="83"/>
    <x v="11"/>
    <x v="8"/>
    <x v="35"/>
    <x v="1021"/>
    <x v="2"/>
    <x v="42"/>
    <x v="184"/>
    <x v="156"/>
    <x v="898"/>
    <x v="436"/>
    <x v="0"/>
    <x v="0"/>
    <x v="0"/>
    <x v="0"/>
    <x v="0"/>
    <x v="0"/>
    <x v="0"/>
    <x v="521"/>
    <x v="561"/>
    <x v="35"/>
    <x v="0"/>
    <x v="0"/>
    <x v="646"/>
    <x v="0"/>
    <x v="0"/>
    <x v="958"/>
    <x v="9"/>
    <x v="97"/>
    <x v="117"/>
    <x v="439"/>
    <x v="2"/>
    <x v="181"/>
    <x v="436"/>
    <x v="626"/>
  </r>
  <r>
    <x v="2"/>
    <x v="49"/>
    <x v="2"/>
    <x v="2"/>
    <x v="74"/>
    <x v="11"/>
    <x v="15"/>
    <x v="7"/>
    <x v="372"/>
    <x v="2"/>
    <x v="42"/>
    <x v="153"/>
    <x v="86"/>
    <x v="485"/>
    <x v="266"/>
    <x v="0"/>
    <x v="0"/>
    <x v="0"/>
    <x v="0"/>
    <x v="6"/>
    <x v="3"/>
    <x v="0"/>
    <x v="347"/>
    <x v="403"/>
    <x v="37"/>
    <x v="2"/>
    <x v="214"/>
    <x v="572"/>
    <x v="89"/>
    <x v="0"/>
    <x v="849"/>
    <x v="14"/>
    <x v="91"/>
    <x v="102"/>
    <x v="194"/>
    <x v="5"/>
    <x v="490"/>
    <x v="404"/>
    <x v="492"/>
  </r>
  <r>
    <x v="2"/>
    <x v="49"/>
    <x v="6"/>
    <x v="8"/>
    <x v="84"/>
    <x v="11"/>
    <x v="19"/>
    <x v="34"/>
    <x v="1020"/>
    <x v="0"/>
    <x v="42"/>
    <x v="223"/>
    <x v="209"/>
    <x v="995"/>
    <x v="544"/>
    <x v="0"/>
    <x v="0"/>
    <x v="0"/>
    <x v="0"/>
    <x v="70"/>
    <x v="0"/>
    <x v="1"/>
    <x v="517"/>
    <x v="530"/>
    <x v="36"/>
    <x v="0"/>
    <x v="0"/>
    <x v="646"/>
    <x v="213"/>
    <x v="0"/>
    <x v="698"/>
    <x v="12"/>
    <x v="94"/>
    <x v="108"/>
    <x v="578"/>
    <x v="3"/>
    <x v="160"/>
    <x v="628"/>
    <x v="976"/>
  </r>
  <r>
    <x v="2"/>
    <x v="49"/>
    <x v="3"/>
    <x v="7"/>
    <x v="82"/>
    <x v="11"/>
    <x v="19"/>
    <x v="37"/>
    <x v="1030"/>
    <x v="0"/>
    <x v="42"/>
    <x v="184"/>
    <x v="156"/>
    <x v="898"/>
    <x v="436"/>
    <x v="0"/>
    <x v="0"/>
    <x v="0"/>
    <x v="0"/>
    <x v="0"/>
    <x v="0"/>
    <x v="0"/>
    <x v="521"/>
    <x v="561"/>
    <x v="34"/>
    <x v="0"/>
    <x v="0"/>
    <x v="646"/>
    <x v="0"/>
    <x v="0"/>
    <x v="958"/>
    <x v="9"/>
    <x v="97"/>
    <x v="117"/>
    <x v="439"/>
    <x v="2"/>
    <x v="181"/>
    <x v="436"/>
    <x v="626"/>
  </r>
  <r>
    <x v="2"/>
    <x v="49"/>
    <x v="3"/>
    <x v="4"/>
    <x v="83"/>
    <x v="11"/>
    <x v="8"/>
    <x v="35"/>
    <x v="1308"/>
    <x v="0"/>
    <x v="42"/>
    <x v="184"/>
    <x v="156"/>
    <x v="898"/>
    <x v="436"/>
    <x v="0"/>
    <x v="0"/>
    <x v="0"/>
    <x v="0"/>
    <x v="0"/>
    <x v="0"/>
    <x v="0"/>
    <x v="521"/>
    <x v="561"/>
    <x v="35"/>
    <x v="0"/>
    <x v="0"/>
    <x v="646"/>
    <x v="0"/>
    <x v="0"/>
    <x v="958"/>
    <x v="9"/>
    <x v="97"/>
    <x v="117"/>
    <x v="439"/>
    <x v="2"/>
    <x v="181"/>
    <x v="436"/>
    <x v="626"/>
  </r>
  <r>
    <x v="2"/>
    <x v="49"/>
    <x v="3"/>
    <x v="2"/>
    <x v="74"/>
    <x v="11"/>
    <x v="13"/>
    <x v="7"/>
    <x v="373"/>
    <x v="0"/>
    <x v="42"/>
    <x v="153"/>
    <x v="86"/>
    <x v="523"/>
    <x v="275"/>
    <x v="6"/>
    <x v="0"/>
    <x v="0"/>
    <x v="0"/>
    <x v="0"/>
    <x v="0"/>
    <x v="0"/>
    <x v="359"/>
    <x v="501"/>
    <x v="37"/>
    <x v="2"/>
    <x v="244"/>
    <x v="549"/>
    <x v="0"/>
    <x v="0"/>
    <x v="958"/>
    <x v="12"/>
    <x v="94"/>
    <x v="108"/>
    <x v="215"/>
    <x v="5"/>
    <x v="470"/>
    <x v="454"/>
    <x v="596"/>
  </r>
  <r>
    <x v="2"/>
    <x v="49"/>
    <x v="3"/>
    <x v="5"/>
    <x v="80"/>
    <x v="7"/>
    <x v="7"/>
    <x v="33"/>
    <x v="1031"/>
    <x v="0"/>
    <x v="42"/>
    <x v="162"/>
    <x v="123"/>
    <x v="685"/>
    <x v="327"/>
    <x v="0"/>
    <x v="32"/>
    <x v="0"/>
    <x v="0"/>
    <x v="62"/>
    <x v="0"/>
    <x v="0"/>
    <x v="403"/>
    <x v="552"/>
    <x v="32"/>
    <x v="1"/>
    <x v="309"/>
    <x v="373"/>
    <x v="467"/>
    <x v="156"/>
    <x v="386"/>
    <x v="0"/>
    <x v="102"/>
    <x v="130"/>
    <x v="300"/>
    <x v="4"/>
    <x v="432"/>
    <x v="329"/>
    <x v="676"/>
  </r>
  <r>
    <x v="2"/>
    <x v="49"/>
    <x v="5"/>
    <x v="0"/>
    <x v="1"/>
    <x v="8"/>
    <x v="1"/>
    <x v="16"/>
    <x v="371"/>
    <x v="4"/>
    <x v="42"/>
    <x v="107"/>
    <x v="29"/>
    <x v="142"/>
    <x v="104"/>
    <x v="21"/>
    <x v="41"/>
    <x v="0"/>
    <x v="0"/>
    <x v="21"/>
    <x v="9"/>
    <x v="0"/>
    <x v="192"/>
    <x v="78"/>
    <x v="38"/>
    <x v="7"/>
    <x v="500"/>
    <x v="91"/>
    <x v="519"/>
    <x v="405"/>
    <x v="343"/>
    <x v="45"/>
    <x v="51"/>
    <x v="27"/>
    <x v="27"/>
    <x v="6"/>
    <x v="572"/>
    <x v="505"/>
    <x v="85"/>
  </r>
  <r>
    <x v="2"/>
    <x v="49"/>
    <x v="5"/>
    <x v="5"/>
    <x v="80"/>
    <x v="7"/>
    <x v="7"/>
    <x v="33"/>
    <x v="1032"/>
    <x v="4"/>
    <x v="42"/>
    <x v="163"/>
    <x v="124"/>
    <x v="550"/>
    <x v="275"/>
    <x v="0"/>
    <x v="64"/>
    <x v="0"/>
    <x v="0"/>
    <x v="59"/>
    <x v="3"/>
    <x v="0"/>
    <x v="359"/>
    <x v="271"/>
    <x v="32"/>
    <x v="1"/>
    <x v="221"/>
    <x v="247"/>
    <x v="522"/>
    <x v="313"/>
    <x v="317"/>
    <x v="21"/>
    <x v="82"/>
    <x v="82"/>
    <x v="215"/>
    <x v="4"/>
    <x v="416"/>
    <x v="382"/>
    <x v="357"/>
  </r>
  <r>
    <x v="2"/>
    <x v="49"/>
    <x v="5"/>
    <x v="2"/>
    <x v="74"/>
    <x v="11"/>
    <x v="13"/>
    <x v="7"/>
    <x v="374"/>
    <x v="4"/>
    <x v="42"/>
    <x v="153"/>
    <x v="86"/>
    <x v="481"/>
    <x v="266"/>
    <x v="0"/>
    <x v="0"/>
    <x v="0"/>
    <x v="0"/>
    <x v="2"/>
    <x v="3"/>
    <x v="0"/>
    <x v="347"/>
    <x v="403"/>
    <x v="37"/>
    <x v="2"/>
    <x v="209"/>
    <x v="602"/>
    <x v="26"/>
    <x v="0"/>
    <x v="927"/>
    <x v="19"/>
    <x v="84"/>
    <x v="89"/>
    <x v="194"/>
    <x v="5"/>
    <x v="458"/>
    <x v="496"/>
    <x v="500"/>
  </r>
  <r>
    <x v="2"/>
    <x v="49"/>
    <x v="2"/>
    <x v="1"/>
    <x v="5"/>
    <x v="11"/>
    <x v="19"/>
    <x v="14"/>
    <x v="261"/>
    <x v="3"/>
    <x v="42"/>
    <x v="170"/>
    <x v="134"/>
    <x v="471"/>
    <x v="262"/>
    <x v="0"/>
    <x v="0"/>
    <x v="22"/>
    <x v="0"/>
    <x v="18"/>
    <x v="0"/>
    <x v="4"/>
    <x v="112"/>
    <x v="190"/>
    <x v="0"/>
    <x v="0"/>
    <x v="0"/>
    <x v="646"/>
    <x v="207"/>
    <x v="0"/>
    <x v="704"/>
    <x v="25"/>
    <x v="77"/>
    <x v="71"/>
    <x v="192"/>
    <x v="7"/>
    <x v="682"/>
    <x v="641"/>
    <x v="625"/>
  </r>
  <r>
    <x v="2"/>
    <x v="49"/>
    <x v="3"/>
    <x v="1"/>
    <x v="5"/>
    <x v="11"/>
    <x v="19"/>
    <x v="14"/>
    <x v="263"/>
    <x v="3"/>
    <x v="42"/>
    <x v="170"/>
    <x v="134"/>
    <x v="763"/>
    <x v="349"/>
    <x v="0"/>
    <x v="0"/>
    <x v="53"/>
    <x v="0"/>
    <x v="32"/>
    <x v="0"/>
    <x v="4"/>
    <x v="155"/>
    <x v="575"/>
    <x v="0"/>
    <x v="0"/>
    <x v="0"/>
    <x v="646"/>
    <x v="253"/>
    <x v="0"/>
    <x v="656"/>
    <x v="0"/>
    <x v="102"/>
    <x v="130"/>
    <x v="325"/>
    <x v="7"/>
    <x v="677"/>
    <x v="657"/>
    <x v="1143"/>
  </r>
  <r>
    <x v="2"/>
    <x v="50"/>
    <x v="2"/>
    <x v="0"/>
    <x v="1"/>
    <x v="2"/>
    <x v="1"/>
    <x v="16"/>
    <x v="375"/>
    <x v="1"/>
    <x v="42"/>
    <x v="107"/>
    <x v="29"/>
    <x v="351"/>
    <x v="207"/>
    <x v="0"/>
    <x v="16"/>
    <x v="0"/>
    <x v="0"/>
    <x v="30"/>
    <x v="3"/>
    <x v="0"/>
    <x v="292"/>
    <x v="706"/>
    <x v="38"/>
    <x v="7"/>
    <x v="634"/>
    <x v="384"/>
    <x v="361"/>
    <x v="133"/>
    <x v="527"/>
    <x v="0"/>
    <x v="102"/>
    <x v="130"/>
    <x v="119"/>
    <x v="6"/>
    <x v="583"/>
    <x v="457"/>
    <x v="885"/>
  </r>
  <r>
    <x v="2"/>
    <x v="50"/>
    <x v="2"/>
    <x v="5"/>
    <x v="80"/>
    <x v="7"/>
    <x v="7"/>
    <x v="33"/>
    <x v="1036"/>
    <x v="1"/>
    <x v="42"/>
    <x v="163"/>
    <x v="124"/>
    <x v="171"/>
    <x v="131"/>
    <x v="0"/>
    <x v="12"/>
    <x v="0"/>
    <x v="0"/>
    <x v="21"/>
    <x v="3"/>
    <x v="0"/>
    <x v="213"/>
    <x v="23"/>
    <x v="32"/>
    <x v="1"/>
    <x v="49"/>
    <x v="299"/>
    <x v="423"/>
    <x v="214"/>
    <x v="452"/>
    <x v="52"/>
    <x v="38"/>
    <x v="14"/>
    <x v="45"/>
    <x v="4"/>
    <x v="399"/>
    <x v="461"/>
    <x v="36"/>
  </r>
  <r>
    <x v="2"/>
    <x v="50"/>
    <x v="2"/>
    <x v="7"/>
    <x v="82"/>
    <x v="11"/>
    <x v="10"/>
    <x v="37"/>
    <x v="1308"/>
    <x v="1"/>
    <x v="42"/>
    <x v="184"/>
    <x v="156"/>
    <x v="904"/>
    <x v="441"/>
    <x v="0"/>
    <x v="0"/>
    <x v="0"/>
    <x v="0"/>
    <x v="0"/>
    <x v="0"/>
    <x v="0"/>
    <x v="526"/>
    <x v="580"/>
    <x v="34"/>
    <x v="0"/>
    <x v="0"/>
    <x v="646"/>
    <x v="0"/>
    <x v="0"/>
    <x v="958"/>
    <x v="0"/>
    <x v="102"/>
    <x v="130"/>
    <x v="447"/>
    <x v="2"/>
    <x v="255"/>
    <x v="294"/>
    <x v="669"/>
  </r>
  <r>
    <x v="2"/>
    <x v="50"/>
    <x v="2"/>
    <x v="2"/>
    <x v="74"/>
    <x v="11"/>
    <x v="13"/>
    <x v="7"/>
    <x v="385"/>
    <x v="1"/>
    <x v="6"/>
    <x v="11"/>
    <x v="64"/>
    <x v="17"/>
    <x v="17"/>
    <x v="0"/>
    <x v="0"/>
    <x v="0"/>
    <x v="0"/>
    <x v="0"/>
    <x v="3"/>
    <x v="0"/>
    <x v="80"/>
    <x v="298"/>
    <x v="37"/>
    <x v="2"/>
    <x v="1"/>
    <x v="406"/>
    <x v="0"/>
    <x v="0"/>
    <x v="958"/>
    <x v="4"/>
    <x v="11"/>
    <x v="68"/>
    <x v="151"/>
    <x v="5"/>
    <x v="476"/>
    <x v="442"/>
    <x v="330"/>
  </r>
  <r>
    <x v="2"/>
    <x v="50"/>
    <x v="2"/>
    <x v="2"/>
    <x v="74"/>
    <x v="11"/>
    <x v="16"/>
    <x v="7"/>
    <x v="382"/>
    <x v="1"/>
    <x v="38"/>
    <x v="144"/>
    <x v="104"/>
    <x v="442"/>
    <x v="244"/>
    <x v="0"/>
    <x v="0"/>
    <x v="0"/>
    <x v="0"/>
    <x v="0"/>
    <x v="0"/>
    <x v="0"/>
    <x v="327"/>
    <x v="466"/>
    <x v="37"/>
    <x v="2"/>
    <x v="163"/>
    <x v="645"/>
    <x v="0"/>
    <x v="0"/>
    <x v="958"/>
    <x v="12"/>
    <x v="77"/>
    <x v="104"/>
    <x v="211"/>
    <x v="5"/>
    <x v="467"/>
    <x v="475"/>
    <x v="577"/>
  </r>
  <r>
    <x v="2"/>
    <x v="50"/>
    <x v="2"/>
    <x v="4"/>
    <x v="83"/>
    <x v="11"/>
    <x v="8"/>
    <x v="35"/>
    <x v="1027"/>
    <x v="1"/>
    <x v="42"/>
    <x v="184"/>
    <x v="156"/>
    <x v="904"/>
    <x v="441"/>
    <x v="0"/>
    <x v="0"/>
    <x v="0"/>
    <x v="0"/>
    <x v="0"/>
    <x v="0"/>
    <x v="0"/>
    <x v="526"/>
    <x v="580"/>
    <x v="35"/>
    <x v="0"/>
    <x v="0"/>
    <x v="646"/>
    <x v="0"/>
    <x v="0"/>
    <x v="958"/>
    <x v="0"/>
    <x v="102"/>
    <x v="130"/>
    <x v="447"/>
    <x v="2"/>
    <x v="255"/>
    <x v="294"/>
    <x v="669"/>
  </r>
  <r>
    <x v="2"/>
    <x v="50"/>
    <x v="2"/>
    <x v="1"/>
    <x v="5"/>
    <x v="11"/>
    <x v="19"/>
    <x v="14"/>
    <x v="270"/>
    <x v="3"/>
    <x v="42"/>
    <x v="173"/>
    <x v="136"/>
    <x v="548"/>
    <x v="285"/>
    <x v="0"/>
    <x v="0"/>
    <x v="31"/>
    <x v="0"/>
    <x v="18"/>
    <x v="0"/>
    <x v="4"/>
    <x v="123"/>
    <x v="245"/>
    <x v="0"/>
    <x v="0"/>
    <x v="0"/>
    <x v="646"/>
    <x v="194"/>
    <x v="0"/>
    <x v="718"/>
    <x v="16"/>
    <x v="89"/>
    <x v="95"/>
    <x v="230"/>
    <x v="7"/>
    <x v="687"/>
    <x v="633"/>
    <x v="882"/>
  </r>
  <r>
    <x v="2"/>
    <x v="50"/>
    <x v="6"/>
    <x v="8"/>
    <x v="84"/>
    <x v="11"/>
    <x v="19"/>
    <x v="34"/>
    <x v="1027"/>
    <x v="6"/>
    <x v="42"/>
    <x v="223"/>
    <x v="209"/>
    <x v="991"/>
    <x v="540"/>
    <x v="0"/>
    <x v="0"/>
    <x v="0"/>
    <x v="0"/>
    <x v="36"/>
    <x v="0"/>
    <x v="1"/>
    <x v="509"/>
    <x v="504"/>
    <x v="36"/>
    <x v="0"/>
    <x v="0"/>
    <x v="646"/>
    <x v="137"/>
    <x v="0"/>
    <x v="783"/>
    <x v="12"/>
    <x v="94"/>
    <x v="108"/>
    <x v="575"/>
    <x v="3"/>
    <x v="175"/>
    <x v="617"/>
    <x v="945"/>
  </r>
  <r>
    <x v="2"/>
    <x v="50"/>
    <x v="3"/>
    <x v="7"/>
    <x v="82"/>
    <x v="11"/>
    <x v="10"/>
    <x v="37"/>
    <x v="1033"/>
    <x v="0"/>
    <x v="28"/>
    <x v="157"/>
    <x v="156"/>
    <x v="497"/>
    <x v="269"/>
    <x v="0"/>
    <x v="0"/>
    <x v="0"/>
    <x v="0"/>
    <x v="0"/>
    <x v="0"/>
    <x v="0"/>
    <x v="351"/>
    <x v="334"/>
    <x v="34"/>
    <x v="0"/>
    <x v="0"/>
    <x v="646"/>
    <x v="0"/>
    <x v="0"/>
    <x v="958"/>
    <x v="9"/>
    <x v="57"/>
    <x v="100"/>
    <x v="377"/>
    <x v="2"/>
    <x v="248"/>
    <x v="320"/>
    <x v="403"/>
  </r>
  <r>
    <x v="2"/>
    <x v="50"/>
    <x v="3"/>
    <x v="4"/>
    <x v="83"/>
    <x v="11"/>
    <x v="8"/>
    <x v="35"/>
    <x v="1028"/>
    <x v="0"/>
    <x v="28"/>
    <x v="157"/>
    <x v="156"/>
    <x v="669"/>
    <x v="332"/>
    <x v="0"/>
    <x v="0"/>
    <x v="0"/>
    <x v="0"/>
    <x v="0"/>
    <x v="0"/>
    <x v="0"/>
    <x v="407"/>
    <x v="670"/>
    <x v="35"/>
    <x v="0"/>
    <x v="0"/>
    <x v="646"/>
    <x v="0"/>
    <x v="0"/>
    <x v="958"/>
    <x v="9"/>
    <x v="57"/>
    <x v="100"/>
    <x v="463"/>
    <x v="2"/>
    <x v="113"/>
    <x v="631"/>
    <x v="916"/>
  </r>
  <r>
    <x v="2"/>
    <x v="50"/>
    <x v="3"/>
    <x v="7"/>
    <x v="20"/>
    <x v="11"/>
    <x v="10"/>
    <x v="29"/>
    <x v="1038"/>
    <x v="0"/>
    <x v="14"/>
    <x v="70"/>
    <x v="156"/>
    <x v="178"/>
    <x v="143"/>
    <x v="0"/>
    <x v="0"/>
    <x v="0"/>
    <x v="0"/>
    <x v="0"/>
    <x v="0"/>
    <x v="0"/>
    <x v="222"/>
    <x v="666"/>
    <x v="11"/>
    <x v="0"/>
    <x v="0"/>
    <x v="646"/>
    <x v="0"/>
    <x v="0"/>
    <x v="958"/>
    <x v="0"/>
    <x v="29"/>
    <x v="130"/>
    <x v="461"/>
    <x v="2"/>
    <x v="178"/>
    <x v="444"/>
    <x v="893"/>
  </r>
  <r>
    <x v="2"/>
    <x v="50"/>
    <x v="3"/>
    <x v="4"/>
    <x v="58"/>
    <x v="11"/>
    <x v="8"/>
    <x v="31"/>
    <x v="1034"/>
    <x v="0"/>
    <x v="6"/>
    <x v="24"/>
    <x v="156"/>
    <x v="63"/>
    <x v="60"/>
    <x v="0"/>
    <x v="0"/>
    <x v="0"/>
    <x v="0"/>
    <x v="0"/>
    <x v="0"/>
    <x v="0"/>
    <x v="144"/>
    <x v="666"/>
    <x v="15"/>
    <x v="0"/>
    <x v="0"/>
    <x v="646"/>
    <x v="0"/>
    <x v="0"/>
    <x v="958"/>
    <x v="0"/>
    <x v="15"/>
    <x v="130"/>
    <x v="461"/>
    <x v="2"/>
    <x v="178"/>
    <x v="444"/>
    <x v="893"/>
  </r>
  <r>
    <x v="2"/>
    <x v="50"/>
    <x v="3"/>
    <x v="2"/>
    <x v="74"/>
    <x v="11"/>
    <x v="15"/>
    <x v="7"/>
    <x v="383"/>
    <x v="0"/>
    <x v="42"/>
    <x v="153"/>
    <x v="86"/>
    <x v="370"/>
    <x v="214"/>
    <x v="36"/>
    <x v="0"/>
    <x v="0"/>
    <x v="0"/>
    <x v="0"/>
    <x v="0"/>
    <x v="0"/>
    <x v="300"/>
    <x v="196"/>
    <x v="37"/>
    <x v="2"/>
    <x v="129"/>
    <x v="317"/>
    <x v="0"/>
    <x v="0"/>
    <x v="958"/>
    <x v="29"/>
    <x v="72"/>
    <x v="61"/>
    <x v="127"/>
    <x v="5"/>
    <x v="488"/>
    <x v="409"/>
    <x v="249"/>
  </r>
  <r>
    <x v="2"/>
    <x v="50"/>
    <x v="3"/>
    <x v="5"/>
    <x v="12"/>
    <x v="7"/>
    <x v="7"/>
    <x v="27"/>
    <x v="1037"/>
    <x v="0"/>
    <x v="42"/>
    <x v="163"/>
    <x v="124"/>
    <x v="745"/>
    <x v="341"/>
    <x v="0"/>
    <x v="72"/>
    <x v="0"/>
    <x v="0"/>
    <x v="79"/>
    <x v="0"/>
    <x v="0"/>
    <x v="412"/>
    <x v="604"/>
    <x v="44"/>
    <x v="1"/>
    <x v="361"/>
    <x v="257"/>
    <x v="555"/>
    <x v="309"/>
    <x v="278"/>
    <x v="0"/>
    <x v="102"/>
    <x v="130"/>
    <x v="314"/>
    <x v="4"/>
    <x v="413"/>
    <x v="397"/>
    <x v="752"/>
  </r>
  <r>
    <x v="2"/>
    <x v="50"/>
    <x v="3"/>
    <x v="0"/>
    <x v="1"/>
    <x v="2"/>
    <x v="1"/>
    <x v="16"/>
    <x v="377"/>
    <x v="0"/>
    <x v="42"/>
    <x v="107"/>
    <x v="29"/>
    <x v="282"/>
    <x v="189"/>
    <x v="0"/>
    <x v="29"/>
    <x v="0"/>
    <x v="0"/>
    <x v="62"/>
    <x v="0"/>
    <x v="0"/>
    <x v="272"/>
    <x v="618"/>
    <x v="38"/>
    <x v="7"/>
    <x v="612"/>
    <x v="236"/>
    <x v="665"/>
    <x v="249"/>
    <x v="133"/>
    <x v="0"/>
    <x v="102"/>
    <x v="130"/>
    <x v="100"/>
    <x v="6"/>
    <x v="602"/>
    <x v="252"/>
    <x v="549"/>
  </r>
  <r>
    <x v="2"/>
    <x v="50"/>
    <x v="3"/>
    <x v="1"/>
    <x v="5"/>
    <x v="11"/>
    <x v="12"/>
    <x v="14"/>
    <x v="263"/>
    <x v="3"/>
    <x v="42"/>
    <x v="170"/>
    <x v="134"/>
    <x v="764"/>
    <x v="349"/>
    <x v="0"/>
    <x v="0"/>
    <x v="40"/>
    <x v="0"/>
    <x v="38"/>
    <x v="0"/>
    <x v="4"/>
    <x v="155"/>
    <x v="575"/>
    <x v="0"/>
    <x v="0"/>
    <x v="0"/>
    <x v="646"/>
    <x v="284"/>
    <x v="0"/>
    <x v="619"/>
    <x v="0"/>
    <x v="102"/>
    <x v="130"/>
    <x v="325"/>
    <x v="7"/>
    <x v="677"/>
    <x v="657"/>
    <x v="1142"/>
  </r>
  <r>
    <x v="2"/>
    <x v="50"/>
    <x v="5"/>
    <x v="2"/>
    <x v="76"/>
    <x v="11"/>
    <x v="15"/>
    <x v="4"/>
    <x v="384"/>
    <x v="2"/>
    <x v="42"/>
    <x v="153"/>
    <x v="86"/>
    <x v="589"/>
    <x v="296"/>
    <x v="0"/>
    <x v="0"/>
    <x v="0"/>
    <x v="0"/>
    <x v="2"/>
    <x v="3"/>
    <x v="0"/>
    <x v="378"/>
    <x v="633"/>
    <x v="41"/>
    <x v="2"/>
    <x v="282"/>
    <x v="613"/>
    <x v="18"/>
    <x v="0"/>
    <x v="937"/>
    <x v="0"/>
    <x v="102"/>
    <x v="130"/>
    <x v="256"/>
    <x v="5"/>
    <x v="485"/>
    <x v="417"/>
    <x v="852"/>
  </r>
  <r>
    <x v="2"/>
    <x v="50"/>
    <x v="5"/>
    <x v="5"/>
    <x v="12"/>
    <x v="7"/>
    <x v="7"/>
    <x v="27"/>
    <x v="1039"/>
    <x v="2"/>
    <x v="42"/>
    <x v="163"/>
    <x v="124"/>
    <x v="644"/>
    <x v="316"/>
    <x v="0"/>
    <x v="30"/>
    <x v="0"/>
    <x v="0"/>
    <x v="60"/>
    <x v="0"/>
    <x v="0"/>
    <x v="393"/>
    <x v="484"/>
    <x v="44"/>
    <x v="1"/>
    <x v="283"/>
    <x v="375"/>
    <x v="466"/>
    <x v="152"/>
    <x v="388"/>
    <x v="0"/>
    <x v="102"/>
    <x v="130"/>
    <x v="283"/>
    <x v="4"/>
    <x v="454"/>
    <x v="264"/>
    <x v="589"/>
  </r>
  <r>
    <x v="2"/>
    <x v="50"/>
    <x v="5"/>
    <x v="0"/>
    <x v="1"/>
    <x v="2"/>
    <x v="1"/>
    <x v="16"/>
    <x v="379"/>
    <x v="2"/>
    <x v="42"/>
    <x v="107"/>
    <x v="29"/>
    <x v="299"/>
    <x v="196"/>
    <x v="2"/>
    <x v="34"/>
    <x v="0"/>
    <x v="0"/>
    <x v="36"/>
    <x v="3"/>
    <x v="0"/>
    <x v="280"/>
    <x v="656"/>
    <x v="38"/>
    <x v="7"/>
    <x v="619"/>
    <x v="266"/>
    <x v="464"/>
    <x v="281"/>
    <x v="398"/>
    <x v="0"/>
    <x v="102"/>
    <x v="130"/>
    <x v="108"/>
    <x v="6"/>
    <x v="598"/>
    <x v="328"/>
    <x v="675"/>
  </r>
  <r>
    <x v="2"/>
    <x v="51"/>
    <x v="2"/>
    <x v="0"/>
    <x v="1"/>
    <x v="2"/>
    <x v="1"/>
    <x v="16"/>
    <x v="386"/>
    <x v="1"/>
    <x v="42"/>
    <x v="107"/>
    <x v="29"/>
    <x v="390"/>
    <x v="213"/>
    <x v="0"/>
    <x v="17"/>
    <x v="0"/>
    <x v="0"/>
    <x v="41"/>
    <x v="3"/>
    <x v="0"/>
    <x v="299"/>
    <x v="723"/>
    <x v="38"/>
    <x v="7"/>
    <x v="643"/>
    <x v="349"/>
    <x v="476"/>
    <x v="135"/>
    <x v="377"/>
    <x v="0"/>
    <x v="102"/>
    <x v="130"/>
    <x v="126"/>
    <x v="6"/>
    <x v="570"/>
    <x v="511"/>
    <x v="965"/>
  </r>
  <r>
    <x v="2"/>
    <x v="51"/>
    <x v="2"/>
    <x v="5"/>
    <x v="12"/>
    <x v="7"/>
    <x v="7"/>
    <x v="27"/>
    <x v="1043"/>
    <x v="1"/>
    <x v="42"/>
    <x v="163"/>
    <x v="124"/>
    <x v="675"/>
    <x v="327"/>
    <x v="0"/>
    <x v="22"/>
    <x v="0"/>
    <x v="0"/>
    <x v="47"/>
    <x v="3"/>
    <x v="0"/>
    <x v="403"/>
    <x v="551"/>
    <x v="44"/>
    <x v="1"/>
    <x v="299"/>
    <x v="421"/>
    <x v="351"/>
    <x v="77"/>
    <x v="537"/>
    <x v="0"/>
    <x v="102"/>
    <x v="130"/>
    <x v="300"/>
    <x v="4"/>
    <x v="432"/>
    <x v="329"/>
    <x v="694"/>
  </r>
  <r>
    <x v="2"/>
    <x v="51"/>
    <x v="2"/>
    <x v="2"/>
    <x v="76"/>
    <x v="11"/>
    <x v="16"/>
    <x v="4"/>
    <x v="390"/>
    <x v="1"/>
    <x v="42"/>
    <x v="153"/>
    <x v="86"/>
    <x v="526"/>
    <x v="275"/>
    <x v="0"/>
    <x v="0"/>
    <x v="0"/>
    <x v="0"/>
    <x v="2"/>
    <x v="3"/>
    <x v="0"/>
    <x v="359"/>
    <x v="501"/>
    <x v="41"/>
    <x v="2"/>
    <x v="238"/>
    <x v="606"/>
    <x v="22"/>
    <x v="0"/>
    <x v="932"/>
    <x v="11"/>
    <x v="95"/>
    <x v="112"/>
    <x v="215"/>
    <x v="5"/>
    <x v="481"/>
    <x v="428"/>
    <x v="594"/>
  </r>
  <r>
    <x v="2"/>
    <x v="51"/>
    <x v="2"/>
    <x v="7"/>
    <x v="20"/>
    <x v="11"/>
    <x v="10"/>
    <x v="29"/>
    <x v="1040"/>
    <x v="1"/>
    <x v="42"/>
    <x v="184"/>
    <x v="156"/>
    <x v="887"/>
    <x v="423"/>
    <x v="0"/>
    <x v="0"/>
    <x v="0"/>
    <x v="0"/>
    <x v="0"/>
    <x v="0"/>
    <x v="0"/>
    <x v="501"/>
    <x v="482"/>
    <x v="11"/>
    <x v="0"/>
    <x v="0"/>
    <x v="646"/>
    <x v="0"/>
    <x v="0"/>
    <x v="958"/>
    <x v="11"/>
    <x v="95"/>
    <x v="112"/>
    <x v="417"/>
    <x v="2"/>
    <x v="206"/>
    <x v="391"/>
    <x v="543"/>
  </r>
  <r>
    <x v="2"/>
    <x v="51"/>
    <x v="2"/>
    <x v="4"/>
    <x v="58"/>
    <x v="11"/>
    <x v="8"/>
    <x v="31"/>
    <x v="1308"/>
    <x v="1"/>
    <x v="42"/>
    <x v="184"/>
    <x v="156"/>
    <x v="887"/>
    <x v="423"/>
    <x v="0"/>
    <x v="0"/>
    <x v="0"/>
    <x v="0"/>
    <x v="0"/>
    <x v="0"/>
    <x v="0"/>
    <x v="501"/>
    <x v="482"/>
    <x v="15"/>
    <x v="0"/>
    <x v="0"/>
    <x v="646"/>
    <x v="0"/>
    <x v="0"/>
    <x v="958"/>
    <x v="11"/>
    <x v="95"/>
    <x v="112"/>
    <x v="417"/>
    <x v="2"/>
    <x v="206"/>
    <x v="391"/>
    <x v="543"/>
  </r>
  <r>
    <x v="2"/>
    <x v="51"/>
    <x v="2"/>
    <x v="1"/>
    <x v="5"/>
    <x v="11"/>
    <x v="12"/>
    <x v="14"/>
    <x v="281"/>
    <x v="0"/>
    <x v="42"/>
    <x v="168"/>
    <x v="131"/>
    <x v="730"/>
    <x v="345"/>
    <x v="0"/>
    <x v="0"/>
    <x v="34"/>
    <x v="0"/>
    <x v="24"/>
    <x v="0"/>
    <x v="4"/>
    <x v="154"/>
    <x v="548"/>
    <x v="0"/>
    <x v="0"/>
    <x v="0"/>
    <x v="646"/>
    <x v="205"/>
    <x v="0"/>
    <x v="706"/>
    <x v="9"/>
    <x v="97"/>
    <x v="117"/>
    <x v="319"/>
    <x v="7"/>
    <x v="658"/>
    <x v="683"/>
    <x v="1135"/>
  </r>
  <r>
    <x v="2"/>
    <x v="51"/>
    <x v="6"/>
    <x v="8"/>
    <x v="84"/>
    <x v="11"/>
    <x v="19"/>
    <x v="34"/>
    <x v="1028"/>
    <x v="6"/>
    <x v="6"/>
    <x v="71"/>
    <x v="210"/>
    <x v="186"/>
    <x v="144"/>
    <x v="0"/>
    <x v="0"/>
    <x v="0"/>
    <x v="0"/>
    <x v="10"/>
    <x v="0"/>
    <x v="0"/>
    <x v="223"/>
    <x v="671"/>
    <x v="36"/>
    <x v="0"/>
    <x v="0"/>
    <x v="646"/>
    <x v="216"/>
    <x v="0"/>
    <x v="695"/>
    <x v="0"/>
    <x v="15"/>
    <x v="130"/>
    <x v="610"/>
    <x v="3"/>
    <x v="10"/>
    <x v="762"/>
    <x v="1215"/>
  </r>
  <r>
    <x v="2"/>
    <x v="51"/>
    <x v="6"/>
    <x v="8"/>
    <x v="62"/>
    <x v="11"/>
    <x v="19"/>
    <x v="30"/>
    <x v="1035"/>
    <x v="6"/>
    <x v="38"/>
    <x v="207"/>
    <x v="193"/>
    <x v="926"/>
    <x v="463"/>
    <x v="0"/>
    <x v="0"/>
    <x v="0"/>
    <x v="0"/>
    <x v="80"/>
    <x v="0"/>
    <x v="0"/>
    <x v="560"/>
    <x v="249"/>
    <x v="27"/>
    <x v="0"/>
    <x v="0"/>
    <x v="646"/>
    <x v="335"/>
    <x v="0"/>
    <x v="555"/>
    <x v="12"/>
    <x v="77"/>
    <x v="104"/>
    <x v="492"/>
    <x v="3"/>
    <x v="56"/>
    <x v="727"/>
    <x v="1172"/>
  </r>
  <r>
    <x v="2"/>
    <x v="51"/>
    <x v="6"/>
    <x v="9"/>
    <x v="24"/>
    <x v="11"/>
    <x v="17"/>
    <x v="32"/>
    <x v="940"/>
    <x v="6"/>
    <x v="42"/>
    <x v="228"/>
    <x v="232"/>
    <x v="992"/>
    <x v="541"/>
    <x v="0"/>
    <x v="0"/>
    <x v="0"/>
    <x v="0"/>
    <x v="18"/>
    <x v="0"/>
    <x v="1"/>
    <x v="510"/>
    <x v="289"/>
    <x v="15"/>
    <x v="0"/>
    <x v="0"/>
    <x v="646"/>
    <x v="80"/>
    <x v="0"/>
    <x v="861"/>
    <x v="12"/>
    <x v="94"/>
    <x v="108"/>
    <x v="576"/>
    <x v="1"/>
    <x v="172"/>
    <x v="60"/>
    <x v="189"/>
  </r>
  <r>
    <x v="2"/>
    <x v="51"/>
    <x v="3"/>
    <x v="2"/>
    <x v="76"/>
    <x v="11"/>
    <x v="16"/>
    <x v="4"/>
    <x v="391"/>
    <x v="0"/>
    <x v="14"/>
    <x v="31"/>
    <x v="94"/>
    <x v="107"/>
    <x v="91"/>
    <x v="0"/>
    <x v="0"/>
    <x v="0"/>
    <x v="0"/>
    <x v="0"/>
    <x v="0"/>
    <x v="0"/>
    <x v="181"/>
    <x v="740"/>
    <x v="41"/>
    <x v="2"/>
    <x v="30"/>
    <x v="645"/>
    <x v="0"/>
    <x v="0"/>
    <x v="958"/>
    <x v="0"/>
    <x v="29"/>
    <x v="130"/>
    <x v="327"/>
    <x v="5"/>
    <x v="390"/>
    <x v="636"/>
    <x v="1111"/>
  </r>
  <r>
    <x v="2"/>
    <x v="51"/>
    <x v="3"/>
    <x v="7"/>
    <x v="20"/>
    <x v="11"/>
    <x v="10"/>
    <x v="29"/>
    <x v="1044"/>
    <x v="0"/>
    <x v="42"/>
    <x v="184"/>
    <x v="156"/>
    <x v="838"/>
    <x v="371"/>
    <x v="0"/>
    <x v="0"/>
    <x v="0"/>
    <x v="0"/>
    <x v="0"/>
    <x v="0"/>
    <x v="0"/>
    <x v="439"/>
    <x v="255"/>
    <x v="11"/>
    <x v="0"/>
    <x v="0"/>
    <x v="646"/>
    <x v="0"/>
    <x v="0"/>
    <x v="958"/>
    <x v="9"/>
    <x v="97"/>
    <x v="117"/>
    <x v="354"/>
    <x v="2"/>
    <x v="330"/>
    <x v="125"/>
    <x v="331"/>
  </r>
  <r>
    <x v="2"/>
    <x v="51"/>
    <x v="3"/>
    <x v="4"/>
    <x v="58"/>
    <x v="11"/>
    <x v="8"/>
    <x v="31"/>
    <x v="1035"/>
    <x v="0"/>
    <x v="42"/>
    <x v="184"/>
    <x v="156"/>
    <x v="885"/>
    <x v="421"/>
    <x v="0"/>
    <x v="0"/>
    <x v="0"/>
    <x v="0"/>
    <x v="0"/>
    <x v="0"/>
    <x v="0"/>
    <x v="499"/>
    <x v="466"/>
    <x v="15"/>
    <x v="0"/>
    <x v="0"/>
    <x v="646"/>
    <x v="0"/>
    <x v="0"/>
    <x v="958"/>
    <x v="9"/>
    <x v="97"/>
    <x v="117"/>
    <x v="415"/>
    <x v="2"/>
    <x v="224"/>
    <x v="365"/>
    <x v="533"/>
  </r>
  <r>
    <x v="2"/>
    <x v="51"/>
    <x v="3"/>
    <x v="5"/>
    <x v="12"/>
    <x v="7"/>
    <x v="7"/>
    <x v="27"/>
    <x v="1046"/>
    <x v="0"/>
    <x v="42"/>
    <x v="163"/>
    <x v="124"/>
    <x v="597"/>
    <x v="294"/>
    <x v="0"/>
    <x v="30"/>
    <x v="0"/>
    <x v="0"/>
    <x v="62"/>
    <x v="0"/>
    <x v="0"/>
    <x v="375"/>
    <x v="369"/>
    <x v="44"/>
    <x v="1"/>
    <x v="259"/>
    <x v="354"/>
    <x v="511"/>
    <x v="167"/>
    <x v="326"/>
    <x v="14"/>
    <x v="91"/>
    <x v="102"/>
    <x v="253"/>
    <x v="4"/>
    <x v="411"/>
    <x v="400"/>
    <x v="457"/>
  </r>
  <r>
    <x v="2"/>
    <x v="51"/>
    <x v="3"/>
    <x v="0"/>
    <x v="1"/>
    <x v="2"/>
    <x v="1"/>
    <x v="16"/>
    <x v="387"/>
    <x v="0"/>
    <x v="42"/>
    <x v="107"/>
    <x v="29"/>
    <x v="356"/>
    <x v="207"/>
    <x v="0"/>
    <x v="16"/>
    <x v="0"/>
    <x v="0"/>
    <x v="40"/>
    <x v="3"/>
    <x v="0"/>
    <x v="292"/>
    <x v="706"/>
    <x v="38"/>
    <x v="7"/>
    <x v="638"/>
    <x v="347"/>
    <x v="481"/>
    <x v="132"/>
    <x v="370"/>
    <x v="0"/>
    <x v="102"/>
    <x v="130"/>
    <x v="119"/>
    <x v="6"/>
    <x v="583"/>
    <x v="457"/>
    <x v="877"/>
  </r>
  <r>
    <x v="2"/>
    <x v="51"/>
    <x v="3"/>
    <x v="2"/>
    <x v="76"/>
    <x v="11"/>
    <x v="13"/>
    <x v="4"/>
    <x v="392"/>
    <x v="0"/>
    <x v="34"/>
    <x v="123"/>
    <x v="84"/>
    <x v="239"/>
    <x v="177"/>
    <x v="0"/>
    <x v="0"/>
    <x v="0"/>
    <x v="0"/>
    <x v="4"/>
    <x v="0"/>
    <x v="0"/>
    <x v="260"/>
    <x v="238"/>
    <x v="41"/>
    <x v="2"/>
    <x v="80"/>
    <x v="624"/>
    <x v="91"/>
    <x v="0"/>
    <x v="844"/>
    <x v="21"/>
    <x v="58"/>
    <x v="68"/>
    <x v="149"/>
    <x v="5"/>
    <x v="484"/>
    <x v="424"/>
    <x v="315"/>
  </r>
  <r>
    <x v="2"/>
    <x v="51"/>
    <x v="3"/>
    <x v="1"/>
    <x v="5"/>
    <x v="11"/>
    <x v="19"/>
    <x v="14"/>
    <x v="290"/>
    <x v="0"/>
    <x v="42"/>
    <x v="168"/>
    <x v="131"/>
    <x v="635"/>
    <x v="317"/>
    <x v="0"/>
    <x v="0"/>
    <x v="37"/>
    <x v="0"/>
    <x v="26"/>
    <x v="0"/>
    <x v="4"/>
    <x v="136"/>
    <x v="379"/>
    <x v="0"/>
    <x v="0"/>
    <x v="0"/>
    <x v="646"/>
    <x v="240"/>
    <x v="0"/>
    <x v="670"/>
    <x v="9"/>
    <x v="97"/>
    <x v="117"/>
    <x v="284"/>
    <x v="7"/>
    <x v="679"/>
    <x v="649"/>
    <x v="1074"/>
  </r>
  <r>
    <x v="2"/>
    <x v="51"/>
    <x v="5"/>
    <x v="0"/>
    <x v="1"/>
    <x v="2"/>
    <x v="1"/>
    <x v="16"/>
    <x v="388"/>
    <x v="2"/>
    <x v="42"/>
    <x v="107"/>
    <x v="29"/>
    <x v="320"/>
    <x v="202"/>
    <x v="0"/>
    <x v="26"/>
    <x v="0"/>
    <x v="0"/>
    <x v="30"/>
    <x v="3"/>
    <x v="0"/>
    <x v="286"/>
    <x v="688"/>
    <x v="38"/>
    <x v="7"/>
    <x v="624"/>
    <x v="332"/>
    <x v="377"/>
    <x v="225"/>
    <x v="511"/>
    <x v="0"/>
    <x v="102"/>
    <x v="130"/>
    <x v="113"/>
    <x v="6"/>
    <x v="591"/>
    <x v="390"/>
    <x v="766"/>
  </r>
  <r>
    <x v="2"/>
    <x v="51"/>
    <x v="5"/>
    <x v="5"/>
    <x v="12"/>
    <x v="7"/>
    <x v="7"/>
    <x v="27"/>
    <x v="1047"/>
    <x v="2"/>
    <x v="42"/>
    <x v="163"/>
    <x v="124"/>
    <x v="538"/>
    <x v="275"/>
    <x v="55"/>
    <x v="30"/>
    <x v="0"/>
    <x v="0"/>
    <x v="54"/>
    <x v="3"/>
    <x v="0"/>
    <x v="359"/>
    <x v="271"/>
    <x v="44"/>
    <x v="1"/>
    <x v="236"/>
    <x v="94"/>
    <x v="486"/>
    <x v="185"/>
    <x v="362"/>
    <x v="21"/>
    <x v="82"/>
    <x v="82"/>
    <x v="215"/>
    <x v="4"/>
    <x v="416"/>
    <x v="382"/>
    <x v="359"/>
  </r>
  <r>
    <x v="2"/>
    <x v="51"/>
    <x v="5"/>
    <x v="2"/>
    <x v="76"/>
    <x v="11"/>
    <x v="13"/>
    <x v="4"/>
    <x v="393"/>
    <x v="2"/>
    <x v="42"/>
    <x v="153"/>
    <x v="86"/>
    <x v="482"/>
    <x v="266"/>
    <x v="0"/>
    <x v="0"/>
    <x v="0"/>
    <x v="0"/>
    <x v="3"/>
    <x v="3"/>
    <x v="0"/>
    <x v="347"/>
    <x v="403"/>
    <x v="41"/>
    <x v="2"/>
    <x v="210"/>
    <x v="595"/>
    <x v="37"/>
    <x v="0"/>
    <x v="915"/>
    <x v="14"/>
    <x v="91"/>
    <x v="102"/>
    <x v="194"/>
    <x v="5"/>
    <x v="490"/>
    <x v="404"/>
    <x v="497"/>
  </r>
  <r>
    <x v="2"/>
    <x v="52"/>
    <x v="2"/>
    <x v="0"/>
    <x v="1"/>
    <x v="2"/>
    <x v="1"/>
    <x v="16"/>
    <x v="394"/>
    <x v="2"/>
    <x v="42"/>
    <x v="107"/>
    <x v="29"/>
    <x v="193"/>
    <x v="146"/>
    <x v="12"/>
    <x v="32"/>
    <x v="0"/>
    <x v="0"/>
    <x v="30"/>
    <x v="3"/>
    <x v="0"/>
    <x v="225"/>
    <x v="205"/>
    <x v="38"/>
    <x v="7"/>
    <x v="555"/>
    <x v="193"/>
    <x v="544"/>
    <x v="332"/>
    <x v="297"/>
    <x v="33"/>
    <x v="66"/>
    <x v="52"/>
    <x v="57"/>
    <x v="6"/>
    <x v="579"/>
    <x v="485"/>
    <x v="198"/>
  </r>
  <r>
    <x v="2"/>
    <x v="52"/>
    <x v="2"/>
    <x v="5"/>
    <x v="12"/>
    <x v="7"/>
    <x v="7"/>
    <x v="27"/>
    <x v="1049"/>
    <x v="2"/>
    <x v="42"/>
    <x v="163"/>
    <x v="124"/>
    <x v="551"/>
    <x v="275"/>
    <x v="49"/>
    <x v="68"/>
    <x v="0"/>
    <x v="0"/>
    <x v="60"/>
    <x v="3"/>
    <x v="0"/>
    <x v="359"/>
    <x v="271"/>
    <x v="44"/>
    <x v="1"/>
    <x v="235"/>
    <x v="98"/>
    <x v="533"/>
    <x v="323"/>
    <x v="308"/>
    <x v="25"/>
    <x v="77"/>
    <x v="71"/>
    <x v="215"/>
    <x v="4"/>
    <x v="393"/>
    <x v="489"/>
    <x v="356"/>
  </r>
  <r>
    <x v="2"/>
    <x v="52"/>
    <x v="2"/>
    <x v="2"/>
    <x v="76"/>
    <x v="11"/>
    <x v="13"/>
    <x v="4"/>
    <x v="398"/>
    <x v="2"/>
    <x v="42"/>
    <x v="153"/>
    <x v="86"/>
    <x v="458"/>
    <x v="253"/>
    <x v="0"/>
    <x v="0"/>
    <x v="0"/>
    <x v="0"/>
    <x v="0"/>
    <x v="3"/>
    <x v="0"/>
    <x v="334"/>
    <x v="324"/>
    <x v="41"/>
    <x v="2"/>
    <x v="180"/>
    <x v="614"/>
    <x v="0"/>
    <x v="0"/>
    <x v="958"/>
    <x v="14"/>
    <x v="91"/>
    <x v="102"/>
    <x v="174"/>
    <x v="5"/>
    <x v="511"/>
    <x v="311"/>
    <x v="410"/>
  </r>
  <r>
    <x v="2"/>
    <x v="52"/>
    <x v="2"/>
    <x v="7"/>
    <x v="20"/>
    <x v="11"/>
    <x v="10"/>
    <x v="29"/>
    <x v="1045"/>
    <x v="2"/>
    <x v="42"/>
    <x v="184"/>
    <x v="156"/>
    <x v="827"/>
    <x v="362"/>
    <x v="0"/>
    <x v="0"/>
    <x v="0"/>
    <x v="0"/>
    <x v="0"/>
    <x v="0"/>
    <x v="0"/>
    <x v="430"/>
    <x v="225"/>
    <x v="11"/>
    <x v="0"/>
    <x v="0"/>
    <x v="646"/>
    <x v="0"/>
    <x v="0"/>
    <x v="958"/>
    <x v="21"/>
    <x v="82"/>
    <x v="82"/>
    <x v="344"/>
    <x v="2"/>
    <x v="289"/>
    <x v="220"/>
    <x v="272"/>
  </r>
  <r>
    <x v="2"/>
    <x v="52"/>
    <x v="2"/>
    <x v="4"/>
    <x v="58"/>
    <x v="11"/>
    <x v="8"/>
    <x v="31"/>
    <x v="1041"/>
    <x v="2"/>
    <x v="42"/>
    <x v="184"/>
    <x v="156"/>
    <x v="614"/>
    <x v="308"/>
    <x v="0"/>
    <x v="0"/>
    <x v="0"/>
    <x v="0"/>
    <x v="0"/>
    <x v="0"/>
    <x v="0"/>
    <x v="387"/>
    <x v="131"/>
    <x v="15"/>
    <x v="0"/>
    <x v="0"/>
    <x v="646"/>
    <x v="0"/>
    <x v="0"/>
    <x v="958"/>
    <x v="31"/>
    <x v="70"/>
    <x v="55"/>
    <x v="276"/>
    <x v="2"/>
    <x v="306"/>
    <x v="190"/>
    <x v="158"/>
  </r>
  <r>
    <x v="2"/>
    <x v="52"/>
    <x v="6"/>
    <x v="1"/>
    <x v="5"/>
    <x v="11"/>
    <x v="19"/>
    <x v="14"/>
    <x v="292"/>
    <x v="0"/>
    <x v="42"/>
    <x v="168"/>
    <x v="131"/>
    <x v="718"/>
    <x v="342"/>
    <x v="0"/>
    <x v="0"/>
    <x v="38"/>
    <x v="0"/>
    <x v="17"/>
    <x v="0"/>
    <x v="4"/>
    <x v="151"/>
    <x v="523"/>
    <x v="0"/>
    <x v="0"/>
    <x v="0"/>
    <x v="646"/>
    <x v="162"/>
    <x v="0"/>
    <x v="755"/>
    <x v="9"/>
    <x v="97"/>
    <x v="117"/>
    <x v="315"/>
    <x v="7"/>
    <x v="662"/>
    <x v="678"/>
    <x v="1132"/>
  </r>
  <r>
    <x v="2"/>
    <x v="52"/>
    <x v="6"/>
    <x v="8"/>
    <x v="62"/>
    <x v="11"/>
    <x v="19"/>
    <x v="30"/>
    <x v="1308"/>
    <x v="0"/>
    <x v="42"/>
    <x v="223"/>
    <x v="209"/>
    <x v="969"/>
    <x v="511"/>
    <x v="0"/>
    <x v="0"/>
    <x v="0"/>
    <x v="0"/>
    <x v="68"/>
    <x v="0"/>
    <x v="1"/>
    <x v="457"/>
    <x v="299"/>
    <x v="27"/>
    <x v="0"/>
    <x v="0"/>
    <x v="646"/>
    <x v="241"/>
    <x v="0"/>
    <x v="669"/>
    <x v="12"/>
    <x v="94"/>
    <x v="108"/>
    <x v="534"/>
    <x v="3"/>
    <x v="291"/>
    <x v="470"/>
    <x v="598"/>
  </r>
  <r>
    <x v="2"/>
    <x v="52"/>
    <x v="6"/>
    <x v="9"/>
    <x v="24"/>
    <x v="11"/>
    <x v="17"/>
    <x v="32"/>
    <x v="1308"/>
    <x v="0"/>
    <x v="24"/>
    <x v="196"/>
    <x v="232"/>
    <x v="922"/>
    <x v="460"/>
    <x v="0"/>
    <x v="0"/>
    <x v="0"/>
    <x v="0"/>
    <x v="0"/>
    <x v="0"/>
    <x v="1"/>
    <x v="368"/>
    <x v="597"/>
    <x v="15"/>
    <x v="0"/>
    <x v="0"/>
    <x v="646"/>
    <x v="0"/>
    <x v="0"/>
    <x v="958"/>
    <x v="12"/>
    <x v="45"/>
    <x v="77"/>
    <x v="625"/>
    <x v="1"/>
    <x v="72"/>
    <x v="398"/>
    <x v="350"/>
  </r>
  <r>
    <x v="2"/>
    <x v="52"/>
    <x v="6"/>
    <x v="9"/>
    <x v="25"/>
    <x v="11"/>
    <x v="17"/>
    <x v="56"/>
    <x v="1308"/>
    <x v="0"/>
    <x v="24"/>
    <x v="196"/>
    <x v="232"/>
    <x v="931"/>
    <x v="471"/>
    <x v="0"/>
    <x v="0"/>
    <x v="0"/>
    <x v="0"/>
    <x v="0"/>
    <x v="0"/>
    <x v="1"/>
    <x v="379"/>
    <x v="664"/>
    <x v="16"/>
    <x v="0"/>
    <x v="0"/>
    <x v="646"/>
    <x v="0"/>
    <x v="0"/>
    <x v="958"/>
    <x v="0"/>
    <x v="55"/>
    <x v="130"/>
    <x v="632"/>
    <x v="1"/>
    <x v="118"/>
    <x v="128"/>
    <x v="418"/>
  </r>
  <r>
    <x v="2"/>
    <x v="52"/>
    <x v="1"/>
    <x v="2"/>
    <x v="76"/>
    <x v="11"/>
    <x v="13"/>
    <x v="4"/>
    <x v="399"/>
    <x v="0"/>
    <x v="24"/>
    <x v="87"/>
    <x v="74"/>
    <x v="228"/>
    <x v="172"/>
    <x v="36"/>
    <x v="0"/>
    <x v="0"/>
    <x v="0"/>
    <x v="0"/>
    <x v="0"/>
    <x v="0"/>
    <x v="251"/>
    <x v="708"/>
    <x v="41"/>
    <x v="2"/>
    <x v="78"/>
    <x v="256"/>
    <x v="0"/>
    <x v="0"/>
    <x v="958"/>
    <x v="0"/>
    <x v="55"/>
    <x v="130"/>
    <x v="303"/>
    <x v="5"/>
    <x v="430"/>
    <x v="553"/>
    <x v="1045"/>
  </r>
  <r>
    <x v="2"/>
    <x v="52"/>
    <x v="3"/>
    <x v="2"/>
    <x v="77"/>
    <x v="11"/>
    <x v="13"/>
    <x v="5"/>
    <x v="427"/>
    <x v="0"/>
    <x v="24"/>
    <x v="87"/>
    <x v="74"/>
    <x v="178"/>
    <x v="143"/>
    <x v="28"/>
    <x v="0"/>
    <x v="0"/>
    <x v="0"/>
    <x v="0"/>
    <x v="0"/>
    <x v="0"/>
    <x v="222"/>
    <x v="408"/>
    <x v="42"/>
    <x v="2"/>
    <x v="61"/>
    <x v="294"/>
    <x v="0"/>
    <x v="0"/>
    <x v="958"/>
    <x v="12"/>
    <x v="45"/>
    <x v="77"/>
    <x v="194"/>
    <x v="5"/>
    <x v="424"/>
    <x v="561"/>
    <x v="502"/>
  </r>
  <r>
    <x v="2"/>
    <x v="52"/>
    <x v="3"/>
    <x v="0"/>
    <x v="1"/>
    <x v="2"/>
    <x v="1"/>
    <x v="16"/>
    <x v="395"/>
    <x v="0"/>
    <x v="42"/>
    <x v="107"/>
    <x v="29"/>
    <x v="417"/>
    <x v="219"/>
    <x v="0"/>
    <x v="16"/>
    <x v="0"/>
    <x v="0"/>
    <x v="48"/>
    <x v="0"/>
    <x v="0"/>
    <x v="306"/>
    <x v="733"/>
    <x v="38"/>
    <x v="7"/>
    <x v="648"/>
    <x v="365"/>
    <x v="535"/>
    <x v="116"/>
    <x v="299"/>
    <x v="0"/>
    <x v="102"/>
    <x v="130"/>
    <x v="135"/>
    <x v="6"/>
    <x v="564"/>
    <x v="555"/>
    <x v="1009"/>
  </r>
  <r>
    <x v="2"/>
    <x v="52"/>
    <x v="3"/>
    <x v="5"/>
    <x v="12"/>
    <x v="7"/>
    <x v="7"/>
    <x v="27"/>
    <x v="1052"/>
    <x v="0"/>
    <x v="42"/>
    <x v="163"/>
    <x v="124"/>
    <x v="801"/>
    <x v="351"/>
    <x v="0"/>
    <x v="12"/>
    <x v="0"/>
    <x v="0"/>
    <x v="45"/>
    <x v="0"/>
    <x v="0"/>
    <x v="419"/>
    <x v="665"/>
    <x v="44"/>
    <x v="1"/>
    <x v="411"/>
    <x v="478"/>
    <x v="318"/>
    <x v="30"/>
    <x v="575"/>
    <x v="0"/>
    <x v="102"/>
    <x v="130"/>
    <x v="329"/>
    <x v="4"/>
    <x v="388"/>
    <x v="499"/>
    <x v="943"/>
  </r>
  <r>
    <x v="2"/>
    <x v="52"/>
    <x v="3"/>
    <x v="7"/>
    <x v="20"/>
    <x v="11"/>
    <x v="19"/>
    <x v="29"/>
    <x v="1050"/>
    <x v="0"/>
    <x v="42"/>
    <x v="184"/>
    <x v="156"/>
    <x v="885"/>
    <x v="421"/>
    <x v="0"/>
    <x v="0"/>
    <x v="0"/>
    <x v="0"/>
    <x v="0"/>
    <x v="0"/>
    <x v="0"/>
    <x v="499"/>
    <x v="466"/>
    <x v="11"/>
    <x v="0"/>
    <x v="0"/>
    <x v="646"/>
    <x v="0"/>
    <x v="0"/>
    <x v="958"/>
    <x v="0"/>
    <x v="102"/>
    <x v="130"/>
    <x v="415"/>
    <x v="2"/>
    <x v="300"/>
    <x v="201"/>
    <x v="533"/>
  </r>
  <r>
    <x v="2"/>
    <x v="52"/>
    <x v="3"/>
    <x v="4"/>
    <x v="58"/>
    <x v="11"/>
    <x v="8"/>
    <x v="31"/>
    <x v="1308"/>
    <x v="0"/>
    <x v="42"/>
    <x v="184"/>
    <x v="156"/>
    <x v="885"/>
    <x v="421"/>
    <x v="0"/>
    <x v="0"/>
    <x v="0"/>
    <x v="0"/>
    <x v="0"/>
    <x v="0"/>
    <x v="0"/>
    <x v="499"/>
    <x v="466"/>
    <x v="15"/>
    <x v="0"/>
    <x v="0"/>
    <x v="646"/>
    <x v="0"/>
    <x v="0"/>
    <x v="958"/>
    <x v="0"/>
    <x v="102"/>
    <x v="130"/>
    <x v="415"/>
    <x v="2"/>
    <x v="300"/>
    <x v="201"/>
    <x v="533"/>
  </r>
  <r>
    <x v="2"/>
    <x v="52"/>
    <x v="5"/>
    <x v="0"/>
    <x v="29"/>
    <x v="3"/>
    <x v="1"/>
    <x v="23"/>
    <x v="396"/>
    <x v="4"/>
    <x v="42"/>
    <x v="94"/>
    <x v="15"/>
    <x v="153"/>
    <x v="104"/>
    <x v="42"/>
    <x v="87"/>
    <x v="0"/>
    <x v="0"/>
    <x v="47"/>
    <x v="7"/>
    <x v="0"/>
    <x v="192"/>
    <x v="147"/>
    <x v="45"/>
    <x v="8"/>
    <x v="532"/>
    <x v="34"/>
    <x v="734"/>
    <x v="465"/>
    <x v="58"/>
    <x v="40"/>
    <x v="57"/>
    <x v="35"/>
    <x v="27"/>
    <x v="6"/>
    <x v="605"/>
    <x v="241"/>
    <x v="80"/>
  </r>
  <r>
    <x v="2"/>
    <x v="52"/>
    <x v="5"/>
    <x v="2"/>
    <x v="77"/>
    <x v="11"/>
    <x v="13"/>
    <x v="5"/>
    <x v="400"/>
    <x v="4"/>
    <x v="27"/>
    <x v="97"/>
    <x v="77"/>
    <x v="213"/>
    <x v="157"/>
    <x v="0"/>
    <x v="0"/>
    <x v="0"/>
    <x v="0"/>
    <x v="4"/>
    <x v="3"/>
    <x v="0"/>
    <x v="236"/>
    <x v="466"/>
    <x v="42"/>
    <x v="2"/>
    <x v="69"/>
    <x v="545"/>
    <x v="99"/>
    <x v="0"/>
    <x v="831"/>
    <x v="9"/>
    <x v="53"/>
    <x v="94"/>
    <x v="203"/>
    <x v="5"/>
    <x v="455"/>
    <x v="506"/>
    <x v="546"/>
  </r>
  <r>
    <x v="2"/>
    <x v="52"/>
    <x v="5"/>
    <x v="2"/>
    <x v="77"/>
    <x v="11"/>
    <x v="16"/>
    <x v="5"/>
    <x v="397"/>
    <x v="4"/>
    <x v="22"/>
    <x v="75"/>
    <x v="98"/>
    <x v="151"/>
    <x v="122"/>
    <x v="0"/>
    <x v="0"/>
    <x v="0"/>
    <x v="0"/>
    <x v="0"/>
    <x v="0"/>
    <x v="0"/>
    <x v="205"/>
    <x v="350"/>
    <x v="42"/>
    <x v="2"/>
    <x v="47"/>
    <x v="645"/>
    <x v="0"/>
    <x v="0"/>
    <x v="958"/>
    <x v="12"/>
    <x v="36"/>
    <x v="69"/>
    <x v="181"/>
    <x v="5"/>
    <x v="421"/>
    <x v="573"/>
    <x v="436"/>
  </r>
  <r>
    <x v="2"/>
    <x v="52"/>
    <x v="5"/>
    <x v="5"/>
    <x v="12"/>
    <x v="7"/>
    <x v="7"/>
    <x v="27"/>
    <x v="1053"/>
    <x v="4"/>
    <x v="42"/>
    <x v="163"/>
    <x v="124"/>
    <x v="777"/>
    <x v="349"/>
    <x v="0"/>
    <x v="15"/>
    <x v="0"/>
    <x v="0"/>
    <x v="56"/>
    <x v="3"/>
    <x v="0"/>
    <x v="417"/>
    <x v="643"/>
    <x v="44"/>
    <x v="1"/>
    <x v="394"/>
    <x v="433"/>
    <x v="388"/>
    <x v="37"/>
    <x v="488"/>
    <x v="0"/>
    <x v="102"/>
    <x v="130"/>
    <x v="325"/>
    <x v="4"/>
    <x v="396"/>
    <x v="471"/>
    <x v="897"/>
  </r>
  <r>
    <x v="2"/>
    <x v="53"/>
    <x v="2"/>
    <x v="0"/>
    <x v="29"/>
    <x v="2"/>
    <x v="1"/>
    <x v="23"/>
    <x v="401"/>
    <x v="2"/>
    <x v="42"/>
    <x v="102"/>
    <x v="21"/>
    <x v="254"/>
    <x v="176"/>
    <x v="21"/>
    <x v="45"/>
    <x v="0"/>
    <x v="0"/>
    <x v="60"/>
    <x v="3"/>
    <x v="0"/>
    <x v="258"/>
    <x v="544"/>
    <x v="45"/>
    <x v="8"/>
    <x v="608"/>
    <x v="144"/>
    <x v="678"/>
    <x v="339"/>
    <x v="115"/>
    <x v="12"/>
    <x v="94"/>
    <x v="108"/>
    <x v="87"/>
    <x v="6"/>
    <x v="600"/>
    <x v="309"/>
    <x v="411"/>
  </r>
  <r>
    <x v="2"/>
    <x v="53"/>
    <x v="2"/>
    <x v="5"/>
    <x v="12"/>
    <x v="7"/>
    <x v="7"/>
    <x v="27"/>
    <x v="1059"/>
    <x v="2"/>
    <x v="42"/>
    <x v="163"/>
    <x v="124"/>
    <x v="752"/>
    <x v="348"/>
    <x v="0"/>
    <x v="0"/>
    <x v="0"/>
    <x v="0"/>
    <x v="42"/>
    <x v="3"/>
    <x v="0"/>
    <x v="416"/>
    <x v="631"/>
    <x v="44"/>
    <x v="1"/>
    <x v="373"/>
    <x v="502"/>
    <x v="308"/>
    <x v="0"/>
    <x v="593"/>
    <x v="0"/>
    <x v="102"/>
    <x v="130"/>
    <x v="323"/>
    <x v="4"/>
    <x v="401"/>
    <x v="451"/>
    <x v="881"/>
  </r>
  <r>
    <x v="2"/>
    <x v="53"/>
    <x v="2"/>
    <x v="2"/>
    <x v="77"/>
    <x v="11"/>
    <x v="16"/>
    <x v="5"/>
    <x v="407"/>
    <x v="2"/>
    <x v="42"/>
    <x v="153"/>
    <x v="86"/>
    <x v="525"/>
    <x v="275"/>
    <x v="0"/>
    <x v="0"/>
    <x v="0"/>
    <x v="0"/>
    <x v="0"/>
    <x v="3"/>
    <x v="0"/>
    <x v="359"/>
    <x v="501"/>
    <x v="42"/>
    <x v="2"/>
    <x v="237"/>
    <x v="618"/>
    <x v="0"/>
    <x v="0"/>
    <x v="958"/>
    <x v="12"/>
    <x v="94"/>
    <x v="108"/>
    <x v="215"/>
    <x v="5"/>
    <x v="470"/>
    <x v="454"/>
    <x v="596"/>
  </r>
  <r>
    <x v="2"/>
    <x v="53"/>
    <x v="2"/>
    <x v="7"/>
    <x v="20"/>
    <x v="11"/>
    <x v="10"/>
    <x v="29"/>
    <x v="1051"/>
    <x v="2"/>
    <x v="42"/>
    <x v="184"/>
    <x v="156"/>
    <x v="873"/>
    <x v="404"/>
    <x v="0"/>
    <x v="0"/>
    <x v="0"/>
    <x v="0"/>
    <x v="0"/>
    <x v="0"/>
    <x v="0"/>
    <x v="474"/>
    <x v="387"/>
    <x v="11"/>
    <x v="0"/>
    <x v="0"/>
    <x v="646"/>
    <x v="0"/>
    <x v="0"/>
    <x v="958"/>
    <x v="7"/>
    <x v="99"/>
    <x v="122"/>
    <x v="387"/>
    <x v="2"/>
    <x v="283"/>
    <x v="231"/>
    <x v="449"/>
  </r>
  <r>
    <x v="2"/>
    <x v="53"/>
    <x v="2"/>
    <x v="4"/>
    <x v="58"/>
    <x v="11"/>
    <x v="8"/>
    <x v="31"/>
    <x v="1308"/>
    <x v="2"/>
    <x v="42"/>
    <x v="184"/>
    <x v="156"/>
    <x v="707"/>
    <x v="341"/>
    <x v="0"/>
    <x v="0"/>
    <x v="0"/>
    <x v="0"/>
    <x v="0"/>
    <x v="0"/>
    <x v="0"/>
    <x v="412"/>
    <x v="169"/>
    <x v="15"/>
    <x v="0"/>
    <x v="0"/>
    <x v="646"/>
    <x v="0"/>
    <x v="0"/>
    <x v="958"/>
    <x v="26"/>
    <x v="76"/>
    <x v="68"/>
    <x v="314"/>
    <x v="2"/>
    <x v="304"/>
    <x v="192"/>
    <x v="197"/>
  </r>
  <r>
    <x v="2"/>
    <x v="53"/>
    <x v="6"/>
    <x v="9"/>
    <x v="24"/>
    <x v="11"/>
    <x v="17"/>
    <x v="32"/>
    <x v="948"/>
    <x v="0"/>
    <x v="42"/>
    <x v="229"/>
    <x v="234"/>
    <x v="1016"/>
    <x v="565"/>
    <x v="0"/>
    <x v="0"/>
    <x v="0"/>
    <x v="0"/>
    <x v="10"/>
    <x v="0"/>
    <x v="1"/>
    <x v="552"/>
    <x v="570"/>
    <x v="15"/>
    <x v="0"/>
    <x v="0"/>
    <x v="646"/>
    <x v="32"/>
    <x v="0"/>
    <x v="920"/>
    <x v="12"/>
    <x v="94"/>
    <x v="108"/>
    <x v="623"/>
    <x v="1"/>
    <x v="109"/>
    <x v="163"/>
    <x v="338"/>
  </r>
  <r>
    <x v="2"/>
    <x v="53"/>
    <x v="6"/>
    <x v="8"/>
    <x v="62"/>
    <x v="11"/>
    <x v="19"/>
    <x v="30"/>
    <x v="1042"/>
    <x v="0"/>
    <x v="42"/>
    <x v="223"/>
    <x v="209"/>
    <x v="968"/>
    <x v="510"/>
    <x v="0"/>
    <x v="0"/>
    <x v="0"/>
    <x v="0"/>
    <x v="31"/>
    <x v="0"/>
    <x v="0"/>
    <x v="591"/>
    <x v="297"/>
    <x v="27"/>
    <x v="0"/>
    <x v="0"/>
    <x v="646"/>
    <x v="134"/>
    <x v="0"/>
    <x v="789"/>
    <x v="12"/>
    <x v="94"/>
    <x v="108"/>
    <x v="533"/>
    <x v="3"/>
    <x v="26"/>
    <x v="746"/>
    <x v="1198"/>
  </r>
  <r>
    <x v="2"/>
    <x v="53"/>
    <x v="6"/>
    <x v="1"/>
    <x v="51"/>
    <x v="11"/>
    <x v="19"/>
    <x v="75"/>
    <x v="839"/>
    <x v="0"/>
    <x v="14"/>
    <x v="15"/>
    <x v="19"/>
    <x v="30"/>
    <x v="30"/>
    <x v="0"/>
    <x v="0"/>
    <x v="0"/>
    <x v="0"/>
    <x v="8"/>
    <x v="0"/>
    <x v="4"/>
    <x v="27"/>
    <x v="466"/>
    <x v="23"/>
    <x v="0"/>
    <x v="0"/>
    <x v="646"/>
    <x v="502"/>
    <x v="0"/>
    <x v="335"/>
    <x v="25"/>
    <x v="3"/>
    <x v="1"/>
    <x v="77"/>
    <x v="7"/>
    <x v="369"/>
    <x v="767"/>
    <x v="127"/>
  </r>
  <r>
    <x v="2"/>
    <x v="53"/>
    <x v="6"/>
    <x v="1"/>
    <x v="49"/>
    <x v="11"/>
    <x v="19"/>
    <x v="76"/>
    <x v="179"/>
    <x v="0"/>
    <x v="20"/>
    <x v="28"/>
    <x v="35"/>
    <x v="58"/>
    <x v="56"/>
    <x v="0"/>
    <x v="0"/>
    <x v="0"/>
    <x v="0"/>
    <x v="14"/>
    <x v="0"/>
    <x v="4"/>
    <x v="38"/>
    <x v="411"/>
    <x v="23"/>
    <x v="0"/>
    <x v="0"/>
    <x v="646"/>
    <x v="536"/>
    <x v="0"/>
    <x v="292"/>
    <x v="25"/>
    <x v="17"/>
    <x v="17"/>
    <x v="88"/>
    <x v="7"/>
    <x v="645"/>
    <x v="717"/>
    <x v="154"/>
  </r>
  <r>
    <x v="2"/>
    <x v="53"/>
    <x v="6"/>
    <x v="1"/>
    <x v="41"/>
    <x v="11"/>
    <x v="19"/>
    <x v="11"/>
    <x v="310"/>
    <x v="0"/>
    <x v="1"/>
    <x v="10"/>
    <x v="189"/>
    <x v="10"/>
    <x v="10"/>
    <x v="0"/>
    <x v="0"/>
    <x v="0"/>
    <x v="0"/>
    <x v="9"/>
    <x v="0"/>
    <x v="0"/>
    <x v="56"/>
    <x v="93"/>
    <x v="17"/>
    <x v="0"/>
    <x v="0"/>
    <x v="646"/>
    <x v="746"/>
    <x v="0"/>
    <x v="31"/>
    <x v="14"/>
    <x v="0"/>
    <x v="0"/>
    <x v="402"/>
    <x v="7"/>
    <x v="0"/>
    <x v="0"/>
    <x v="1220"/>
  </r>
  <r>
    <x v="2"/>
    <x v="53"/>
    <x v="3"/>
    <x v="0"/>
    <x v="29"/>
    <x v="2"/>
    <x v="1"/>
    <x v="23"/>
    <x v="405"/>
    <x v="0"/>
    <x v="14"/>
    <x v="30"/>
    <x v="85"/>
    <x v="49"/>
    <x v="44"/>
    <x v="12"/>
    <x v="18"/>
    <x v="0"/>
    <x v="0"/>
    <x v="40"/>
    <x v="0"/>
    <x v="0"/>
    <x v="118"/>
    <x v="211"/>
    <x v="45"/>
    <x v="8"/>
    <x v="153"/>
    <x v="75"/>
    <x v="761"/>
    <x v="401"/>
    <x v="15"/>
    <x v="0"/>
    <x v="29"/>
    <x v="130"/>
    <x v="133"/>
    <x v="6"/>
    <x v="565"/>
    <x v="544"/>
    <x v="927"/>
  </r>
  <r>
    <x v="2"/>
    <x v="53"/>
    <x v="3"/>
    <x v="0"/>
    <x v="2"/>
    <x v="3"/>
    <x v="0"/>
    <x v="20"/>
    <x v="402"/>
    <x v="0"/>
    <x v="42"/>
    <x v="102"/>
    <x v="21"/>
    <x v="423"/>
    <x v="219"/>
    <x v="37"/>
    <x v="58"/>
    <x v="0"/>
    <x v="0"/>
    <x v="80"/>
    <x v="0"/>
    <x v="0"/>
    <x v="306"/>
    <x v="744"/>
    <x v="38"/>
    <x v="10"/>
    <x v="708"/>
    <x v="151"/>
    <x v="686"/>
    <x v="336"/>
    <x v="100"/>
    <x v="0"/>
    <x v="102"/>
    <x v="130"/>
    <x v="135"/>
    <x v="6"/>
    <x v="564"/>
    <x v="555"/>
    <x v="1002"/>
  </r>
  <r>
    <x v="2"/>
    <x v="53"/>
    <x v="3"/>
    <x v="2"/>
    <x v="77"/>
    <x v="11"/>
    <x v="16"/>
    <x v="5"/>
    <x v="408"/>
    <x v="0"/>
    <x v="14"/>
    <x v="30"/>
    <x v="85"/>
    <x v="60"/>
    <x v="57"/>
    <x v="0"/>
    <x v="0"/>
    <x v="0"/>
    <x v="0"/>
    <x v="0"/>
    <x v="0"/>
    <x v="0"/>
    <x v="139"/>
    <x v="388"/>
    <x v="42"/>
    <x v="2"/>
    <x v="10"/>
    <x v="645"/>
    <x v="0"/>
    <x v="0"/>
    <x v="958"/>
    <x v="7"/>
    <x v="22"/>
    <x v="68"/>
    <x v="192"/>
    <x v="5"/>
    <x v="408"/>
    <x v="601"/>
    <x v="467"/>
  </r>
  <r>
    <x v="2"/>
    <x v="53"/>
    <x v="3"/>
    <x v="2"/>
    <x v="77"/>
    <x v="11"/>
    <x v="13"/>
    <x v="5"/>
    <x v="409"/>
    <x v="0"/>
    <x v="34"/>
    <x v="128"/>
    <x v="109"/>
    <x v="410"/>
    <x v="226"/>
    <x v="12"/>
    <x v="0"/>
    <x v="0"/>
    <x v="0"/>
    <x v="0"/>
    <x v="0"/>
    <x v="0"/>
    <x v="313"/>
    <x v="584"/>
    <x v="42"/>
    <x v="2"/>
    <x v="142"/>
    <x v="520"/>
    <x v="0"/>
    <x v="0"/>
    <x v="958"/>
    <x v="0"/>
    <x v="76"/>
    <x v="130"/>
    <x v="248"/>
    <x v="5"/>
    <x v="495"/>
    <x v="387"/>
    <x v="799"/>
  </r>
  <r>
    <x v="2"/>
    <x v="53"/>
    <x v="3"/>
    <x v="5"/>
    <x v="12"/>
    <x v="7"/>
    <x v="7"/>
    <x v="27"/>
    <x v="1061"/>
    <x v="0"/>
    <x v="42"/>
    <x v="163"/>
    <x v="124"/>
    <x v="801"/>
    <x v="351"/>
    <x v="0"/>
    <x v="12"/>
    <x v="0"/>
    <x v="0"/>
    <x v="45"/>
    <x v="0"/>
    <x v="0"/>
    <x v="419"/>
    <x v="665"/>
    <x v="44"/>
    <x v="1"/>
    <x v="411"/>
    <x v="478"/>
    <x v="318"/>
    <x v="30"/>
    <x v="575"/>
    <x v="0"/>
    <x v="102"/>
    <x v="130"/>
    <x v="329"/>
    <x v="4"/>
    <x v="388"/>
    <x v="499"/>
    <x v="943"/>
  </r>
  <r>
    <x v="2"/>
    <x v="53"/>
    <x v="3"/>
    <x v="7"/>
    <x v="20"/>
    <x v="11"/>
    <x v="10"/>
    <x v="29"/>
    <x v="1054"/>
    <x v="0"/>
    <x v="42"/>
    <x v="184"/>
    <x v="156"/>
    <x v="876"/>
    <x v="407"/>
    <x v="0"/>
    <x v="0"/>
    <x v="0"/>
    <x v="0"/>
    <x v="0"/>
    <x v="0"/>
    <x v="0"/>
    <x v="477"/>
    <x v="400"/>
    <x v="11"/>
    <x v="0"/>
    <x v="0"/>
    <x v="646"/>
    <x v="0"/>
    <x v="0"/>
    <x v="958"/>
    <x v="9"/>
    <x v="97"/>
    <x v="117"/>
    <x v="390"/>
    <x v="2"/>
    <x v="257"/>
    <x v="289"/>
    <x v="456"/>
  </r>
  <r>
    <x v="2"/>
    <x v="53"/>
    <x v="3"/>
    <x v="4"/>
    <x v="58"/>
    <x v="11"/>
    <x v="8"/>
    <x v="31"/>
    <x v="1308"/>
    <x v="0"/>
    <x v="42"/>
    <x v="184"/>
    <x v="156"/>
    <x v="882"/>
    <x v="414"/>
    <x v="0"/>
    <x v="0"/>
    <x v="0"/>
    <x v="0"/>
    <x v="0"/>
    <x v="0"/>
    <x v="0"/>
    <x v="487"/>
    <x v="435"/>
    <x v="15"/>
    <x v="0"/>
    <x v="0"/>
    <x v="646"/>
    <x v="0"/>
    <x v="0"/>
    <x v="958"/>
    <x v="9"/>
    <x v="97"/>
    <x v="117"/>
    <x v="401"/>
    <x v="2"/>
    <x v="240"/>
    <x v="332"/>
    <x v="509"/>
  </r>
  <r>
    <x v="2"/>
    <x v="53"/>
    <x v="5"/>
    <x v="0"/>
    <x v="2"/>
    <x v="3"/>
    <x v="0"/>
    <x v="20"/>
    <x v="406"/>
    <x v="4"/>
    <x v="42"/>
    <x v="107"/>
    <x v="29"/>
    <x v="310"/>
    <x v="196"/>
    <x v="23"/>
    <x v="45"/>
    <x v="0"/>
    <x v="0"/>
    <x v="67"/>
    <x v="3"/>
    <x v="0"/>
    <x v="280"/>
    <x v="656"/>
    <x v="38"/>
    <x v="10"/>
    <x v="655"/>
    <x v="159"/>
    <x v="675"/>
    <x v="321"/>
    <x v="119"/>
    <x v="0"/>
    <x v="102"/>
    <x v="130"/>
    <x v="108"/>
    <x v="6"/>
    <x v="598"/>
    <x v="328"/>
    <x v="638"/>
  </r>
  <r>
    <x v="2"/>
    <x v="53"/>
    <x v="5"/>
    <x v="5"/>
    <x v="12"/>
    <x v="7"/>
    <x v="7"/>
    <x v="27"/>
    <x v="1063"/>
    <x v="4"/>
    <x v="42"/>
    <x v="163"/>
    <x v="124"/>
    <x v="275"/>
    <x v="184"/>
    <x v="68"/>
    <x v="53"/>
    <x v="0"/>
    <x v="0"/>
    <x v="45"/>
    <x v="3"/>
    <x v="0"/>
    <x v="267"/>
    <x v="67"/>
    <x v="44"/>
    <x v="1"/>
    <x v="137"/>
    <x v="16"/>
    <x v="591"/>
    <x v="367"/>
    <x v="244"/>
    <x v="38"/>
    <x v="60"/>
    <x v="39"/>
    <x v="94"/>
    <x v="4"/>
    <x v="461"/>
    <x v="232"/>
    <x v="101"/>
  </r>
  <r>
    <x v="2"/>
    <x v="53"/>
    <x v="5"/>
    <x v="2"/>
    <x v="77"/>
    <x v="11"/>
    <x v="13"/>
    <x v="5"/>
    <x v="410"/>
    <x v="4"/>
    <x v="42"/>
    <x v="153"/>
    <x v="86"/>
    <x v="545"/>
    <x v="282"/>
    <x v="0"/>
    <x v="0"/>
    <x v="0"/>
    <x v="0"/>
    <x v="8"/>
    <x v="3"/>
    <x v="0"/>
    <x v="365"/>
    <x v="554"/>
    <x v="42"/>
    <x v="2"/>
    <x v="254"/>
    <x v="567"/>
    <x v="106"/>
    <x v="0"/>
    <x v="819"/>
    <x v="9"/>
    <x v="97"/>
    <x v="117"/>
    <x v="227"/>
    <x v="5"/>
    <x v="469"/>
    <x v="456"/>
    <x v="647"/>
  </r>
  <r>
    <x v="2"/>
    <x v="54"/>
    <x v="2"/>
    <x v="0"/>
    <x v="2"/>
    <x v="3"/>
    <x v="0"/>
    <x v="20"/>
    <x v="411"/>
    <x v="2"/>
    <x v="42"/>
    <x v="107"/>
    <x v="29"/>
    <x v="231"/>
    <x v="161"/>
    <x v="12"/>
    <x v="54"/>
    <x v="0"/>
    <x v="0"/>
    <x v="70"/>
    <x v="3"/>
    <x v="0"/>
    <x v="240"/>
    <x v="329"/>
    <x v="38"/>
    <x v="10"/>
    <x v="610"/>
    <x v="110"/>
    <x v="727"/>
    <x v="388"/>
    <x v="56"/>
    <x v="26"/>
    <x v="76"/>
    <x v="68"/>
    <x v="75"/>
    <x v="6"/>
    <x v="580"/>
    <x v="481"/>
    <x v="318"/>
  </r>
  <r>
    <x v="2"/>
    <x v="54"/>
    <x v="2"/>
    <x v="5"/>
    <x v="12"/>
    <x v="7"/>
    <x v="7"/>
    <x v="27"/>
    <x v="1067"/>
    <x v="2"/>
    <x v="42"/>
    <x v="163"/>
    <x v="124"/>
    <x v="315"/>
    <x v="195"/>
    <x v="0"/>
    <x v="73"/>
    <x v="0"/>
    <x v="0"/>
    <x v="50"/>
    <x v="3"/>
    <x v="0"/>
    <x v="279"/>
    <x v="90"/>
    <x v="44"/>
    <x v="1"/>
    <x v="99"/>
    <x v="143"/>
    <x v="598"/>
    <x v="402"/>
    <x v="231"/>
    <x v="39"/>
    <x v="58"/>
    <x v="38"/>
    <x v="107"/>
    <x v="4"/>
    <x v="415"/>
    <x v="383"/>
    <x v="119"/>
  </r>
  <r>
    <x v="2"/>
    <x v="54"/>
    <x v="2"/>
    <x v="2"/>
    <x v="77"/>
    <x v="11"/>
    <x v="13"/>
    <x v="5"/>
    <x v="417"/>
    <x v="2"/>
    <x v="15"/>
    <x v="38"/>
    <x v="105"/>
    <x v="99"/>
    <x v="85"/>
    <x v="0"/>
    <x v="0"/>
    <x v="0"/>
    <x v="0"/>
    <x v="0"/>
    <x v="0"/>
    <x v="0"/>
    <x v="174"/>
    <x v="599"/>
    <x v="42"/>
    <x v="2"/>
    <x v="26"/>
    <x v="645"/>
    <x v="0"/>
    <x v="0"/>
    <x v="958"/>
    <x v="7"/>
    <x v="26"/>
    <x v="74"/>
    <x v="246"/>
    <x v="5"/>
    <x v="373"/>
    <x v="651"/>
    <x v="758"/>
  </r>
  <r>
    <x v="2"/>
    <x v="54"/>
    <x v="2"/>
    <x v="2"/>
    <x v="78"/>
    <x v="11"/>
    <x v="16"/>
    <x v="8"/>
    <x v="414"/>
    <x v="2"/>
    <x v="32"/>
    <x v="120"/>
    <x v="75"/>
    <x v="267"/>
    <x v="188"/>
    <x v="0"/>
    <x v="0"/>
    <x v="0"/>
    <x v="0"/>
    <x v="0"/>
    <x v="3"/>
    <x v="0"/>
    <x v="271"/>
    <x v="380"/>
    <x v="39"/>
    <x v="2"/>
    <x v="93"/>
    <x v="591"/>
    <x v="0"/>
    <x v="0"/>
    <x v="958"/>
    <x v="16"/>
    <x v="59"/>
    <x v="78"/>
    <x v="190"/>
    <x v="5"/>
    <x v="439"/>
    <x v="529"/>
    <x v="454"/>
  </r>
  <r>
    <x v="2"/>
    <x v="54"/>
    <x v="2"/>
    <x v="7"/>
    <x v="20"/>
    <x v="11"/>
    <x v="10"/>
    <x v="29"/>
    <x v="1062"/>
    <x v="2"/>
    <x v="42"/>
    <x v="184"/>
    <x v="156"/>
    <x v="780"/>
    <x v="351"/>
    <x v="0"/>
    <x v="0"/>
    <x v="0"/>
    <x v="0"/>
    <x v="0"/>
    <x v="0"/>
    <x v="0"/>
    <x v="419"/>
    <x v="197"/>
    <x v="11"/>
    <x v="0"/>
    <x v="0"/>
    <x v="646"/>
    <x v="0"/>
    <x v="0"/>
    <x v="958"/>
    <x v="32"/>
    <x v="68"/>
    <x v="54"/>
    <x v="329"/>
    <x v="2"/>
    <x v="150"/>
    <x v="499"/>
    <x v="245"/>
  </r>
  <r>
    <x v="2"/>
    <x v="54"/>
    <x v="2"/>
    <x v="4"/>
    <x v="58"/>
    <x v="11"/>
    <x v="8"/>
    <x v="31"/>
    <x v="1057"/>
    <x v="2"/>
    <x v="42"/>
    <x v="184"/>
    <x v="156"/>
    <x v="879"/>
    <x v="412"/>
    <x v="0"/>
    <x v="0"/>
    <x v="0"/>
    <x v="0"/>
    <x v="0"/>
    <x v="0"/>
    <x v="0"/>
    <x v="483"/>
    <x v="421"/>
    <x v="15"/>
    <x v="0"/>
    <x v="0"/>
    <x v="646"/>
    <x v="0"/>
    <x v="0"/>
    <x v="958"/>
    <x v="9"/>
    <x v="97"/>
    <x v="117"/>
    <x v="397"/>
    <x v="2"/>
    <x v="249"/>
    <x v="319"/>
    <x v="493"/>
  </r>
  <r>
    <x v="2"/>
    <x v="54"/>
    <x v="6"/>
    <x v="9"/>
    <x v="73"/>
    <x v="11"/>
    <x v="17"/>
    <x v="38"/>
    <x v="1027"/>
    <x v="0"/>
    <x v="42"/>
    <x v="229"/>
    <x v="234"/>
    <x v="1012"/>
    <x v="561"/>
    <x v="0"/>
    <x v="0"/>
    <x v="0"/>
    <x v="0"/>
    <x v="14"/>
    <x v="0"/>
    <x v="1"/>
    <x v="548"/>
    <x v="518"/>
    <x v="31"/>
    <x v="0"/>
    <x v="0"/>
    <x v="646"/>
    <x v="47"/>
    <x v="0"/>
    <x v="902"/>
    <x v="12"/>
    <x v="94"/>
    <x v="108"/>
    <x v="615"/>
    <x v="1"/>
    <x v="116"/>
    <x v="131"/>
    <x v="297"/>
  </r>
  <r>
    <x v="2"/>
    <x v="54"/>
    <x v="6"/>
    <x v="8"/>
    <x v="62"/>
    <x v="11"/>
    <x v="19"/>
    <x v="30"/>
    <x v="1048"/>
    <x v="0"/>
    <x v="42"/>
    <x v="224"/>
    <x v="211"/>
    <x v="988"/>
    <x v="536"/>
    <x v="0"/>
    <x v="0"/>
    <x v="0"/>
    <x v="0"/>
    <x v="27"/>
    <x v="0"/>
    <x v="0"/>
    <x v="602"/>
    <x v="479"/>
    <x v="27"/>
    <x v="0"/>
    <x v="0"/>
    <x v="646"/>
    <x v="107"/>
    <x v="0"/>
    <x v="818"/>
    <x v="12"/>
    <x v="94"/>
    <x v="108"/>
    <x v="568"/>
    <x v="3"/>
    <x v="14"/>
    <x v="758"/>
    <x v="1210"/>
  </r>
  <r>
    <x v="2"/>
    <x v="54"/>
    <x v="6"/>
    <x v="1"/>
    <x v="70"/>
    <x v="11"/>
    <x v="19"/>
    <x v="59"/>
    <x v="360"/>
    <x v="0"/>
    <x v="14"/>
    <x v="18"/>
    <x v="24"/>
    <x v="29"/>
    <x v="29"/>
    <x v="0"/>
    <x v="0"/>
    <x v="8"/>
    <x v="0"/>
    <x v="8"/>
    <x v="0"/>
    <x v="4"/>
    <x v="26"/>
    <x v="357"/>
    <x v="3"/>
    <x v="0"/>
    <x v="0"/>
    <x v="646"/>
    <x v="503"/>
    <x v="0"/>
    <x v="333"/>
    <x v="12"/>
    <x v="17"/>
    <x v="40"/>
    <x v="76"/>
    <x v="7"/>
    <x v="745"/>
    <x v="352"/>
    <x v="124"/>
  </r>
  <r>
    <x v="2"/>
    <x v="54"/>
    <x v="6"/>
    <x v="1"/>
    <x v="53"/>
    <x v="11"/>
    <x v="19"/>
    <x v="81"/>
    <x v="181"/>
    <x v="0"/>
    <x v="14"/>
    <x v="15"/>
    <x v="19"/>
    <x v="35"/>
    <x v="33"/>
    <x v="0"/>
    <x v="0"/>
    <x v="8"/>
    <x v="0"/>
    <x v="17"/>
    <x v="12"/>
    <x v="4"/>
    <x v="29"/>
    <x v="605"/>
    <x v="21"/>
    <x v="0"/>
    <x v="0"/>
    <x v="646"/>
    <x v="705"/>
    <x v="0"/>
    <x v="72"/>
    <x v="0"/>
    <x v="29"/>
    <x v="130"/>
    <x v="87"/>
    <x v="7"/>
    <x v="780"/>
    <x v="23"/>
    <x v="144"/>
  </r>
  <r>
    <x v="2"/>
    <x v="54"/>
    <x v="6"/>
    <x v="1"/>
    <x v="31"/>
    <x v="11"/>
    <x v="19"/>
    <x v="24"/>
    <x v="11"/>
    <x v="0"/>
    <x v="24"/>
    <x v="92"/>
    <x v="107"/>
    <x v="175"/>
    <x v="136"/>
    <x v="0"/>
    <x v="0"/>
    <x v="17"/>
    <x v="0"/>
    <x v="12"/>
    <x v="0"/>
    <x v="4"/>
    <x v="72"/>
    <x v="334"/>
    <x v="18"/>
    <x v="0"/>
    <x v="0"/>
    <x v="646"/>
    <x v="259"/>
    <x v="0"/>
    <x v="648"/>
    <x v="0"/>
    <x v="55"/>
    <x v="130"/>
    <x v="182"/>
    <x v="7"/>
    <x v="757"/>
    <x v="247"/>
    <x v="578"/>
  </r>
  <r>
    <x v="2"/>
    <x v="54"/>
    <x v="3"/>
    <x v="0"/>
    <x v="2"/>
    <x v="3"/>
    <x v="0"/>
    <x v="20"/>
    <x v="413"/>
    <x v="0"/>
    <x v="42"/>
    <x v="107"/>
    <x v="29"/>
    <x v="57"/>
    <x v="49"/>
    <x v="0"/>
    <x v="26"/>
    <x v="0"/>
    <x v="0"/>
    <x v="60"/>
    <x v="0"/>
    <x v="0"/>
    <x v="123"/>
    <x v="16"/>
    <x v="38"/>
    <x v="10"/>
    <x v="242"/>
    <x v="51"/>
    <x v="770"/>
    <x v="420"/>
    <x v="5"/>
    <x v="55"/>
    <x v="29"/>
    <x v="9"/>
    <x v="10"/>
    <x v="6"/>
    <x v="555"/>
    <x v="589"/>
    <x v="18"/>
  </r>
  <r>
    <x v="2"/>
    <x v="54"/>
    <x v="3"/>
    <x v="2"/>
    <x v="78"/>
    <x v="11"/>
    <x v="16"/>
    <x v="8"/>
    <x v="415"/>
    <x v="0"/>
    <x v="24"/>
    <x v="86"/>
    <x v="71"/>
    <x v="208"/>
    <x v="156"/>
    <x v="0"/>
    <x v="0"/>
    <x v="0"/>
    <x v="0"/>
    <x v="0"/>
    <x v="0"/>
    <x v="0"/>
    <x v="235"/>
    <x v="645"/>
    <x v="39"/>
    <x v="2"/>
    <x v="66"/>
    <x v="645"/>
    <x v="0"/>
    <x v="0"/>
    <x v="958"/>
    <x v="0"/>
    <x v="55"/>
    <x v="130"/>
    <x v="256"/>
    <x v="5"/>
    <x v="485"/>
    <x v="417"/>
    <x v="855"/>
  </r>
  <r>
    <x v="2"/>
    <x v="54"/>
    <x v="3"/>
    <x v="2"/>
    <x v="78"/>
    <x v="11"/>
    <x v="13"/>
    <x v="8"/>
    <x v="418"/>
    <x v="0"/>
    <x v="24"/>
    <x v="86"/>
    <x v="71"/>
    <x v="178"/>
    <x v="143"/>
    <x v="0"/>
    <x v="0"/>
    <x v="0"/>
    <x v="0"/>
    <x v="0"/>
    <x v="0"/>
    <x v="0"/>
    <x v="222"/>
    <x v="417"/>
    <x v="39"/>
    <x v="2"/>
    <x v="59"/>
    <x v="645"/>
    <x v="0"/>
    <x v="0"/>
    <x v="958"/>
    <x v="12"/>
    <x v="45"/>
    <x v="77"/>
    <x v="194"/>
    <x v="5"/>
    <x v="424"/>
    <x v="561"/>
    <x v="502"/>
  </r>
  <r>
    <x v="2"/>
    <x v="54"/>
    <x v="3"/>
    <x v="5"/>
    <x v="12"/>
    <x v="7"/>
    <x v="7"/>
    <x v="27"/>
    <x v="1070"/>
    <x v="0"/>
    <x v="42"/>
    <x v="163"/>
    <x v="124"/>
    <x v="589"/>
    <x v="292"/>
    <x v="0"/>
    <x v="48"/>
    <x v="0"/>
    <x v="0"/>
    <x v="52"/>
    <x v="0"/>
    <x v="0"/>
    <x v="373"/>
    <x v="347"/>
    <x v="44"/>
    <x v="1"/>
    <x v="249"/>
    <x v="329"/>
    <x v="434"/>
    <x v="241"/>
    <x v="438"/>
    <x v="14"/>
    <x v="91"/>
    <x v="102"/>
    <x v="247"/>
    <x v="4"/>
    <x v="419"/>
    <x v="374"/>
    <x v="442"/>
  </r>
  <r>
    <x v="2"/>
    <x v="54"/>
    <x v="3"/>
    <x v="7"/>
    <x v="20"/>
    <x v="11"/>
    <x v="19"/>
    <x v="29"/>
    <x v="1068"/>
    <x v="0"/>
    <x v="42"/>
    <x v="184"/>
    <x v="156"/>
    <x v="875"/>
    <x v="406"/>
    <x v="0"/>
    <x v="0"/>
    <x v="0"/>
    <x v="0"/>
    <x v="0"/>
    <x v="0"/>
    <x v="0"/>
    <x v="476"/>
    <x v="392"/>
    <x v="11"/>
    <x v="0"/>
    <x v="0"/>
    <x v="646"/>
    <x v="0"/>
    <x v="0"/>
    <x v="958"/>
    <x v="9"/>
    <x v="97"/>
    <x v="117"/>
    <x v="389"/>
    <x v="2"/>
    <x v="260"/>
    <x v="283"/>
    <x v="453"/>
  </r>
  <r>
    <x v="2"/>
    <x v="54"/>
    <x v="3"/>
    <x v="4"/>
    <x v="58"/>
    <x v="11"/>
    <x v="8"/>
    <x v="31"/>
    <x v="1057"/>
    <x v="0"/>
    <x v="42"/>
    <x v="184"/>
    <x v="156"/>
    <x v="875"/>
    <x v="406"/>
    <x v="0"/>
    <x v="0"/>
    <x v="0"/>
    <x v="0"/>
    <x v="0"/>
    <x v="0"/>
    <x v="0"/>
    <x v="476"/>
    <x v="392"/>
    <x v="15"/>
    <x v="0"/>
    <x v="0"/>
    <x v="646"/>
    <x v="0"/>
    <x v="0"/>
    <x v="958"/>
    <x v="9"/>
    <x v="97"/>
    <x v="117"/>
    <x v="389"/>
    <x v="2"/>
    <x v="260"/>
    <x v="283"/>
    <x v="453"/>
  </r>
  <r>
    <x v="2"/>
    <x v="54"/>
    <x v="5"/>
    <x v="5"/>
    <x v="12"/>
    <x v="7"/>
    <x v="7"/>
    <x v="27"/>
    <x v="1071"/>
    <x v="4"/>
    <x v="42"/>
    <x v="163"/>
    <x v="124"/>
    <x v="494"/>
    <x v="266"/>
    <x v="28"/>
    <x v="0"/>
    <x v="0"/>
    <x v="0"/>
    <x v="35"/>
    <x v="3"/>
    <x v="0"/>
    <x v="347"/>
    <x v="230"/>
    <x v="44"/>
    <x v="1"/>
    <x v="184"/>
    <x v="313"/>
    <x v="329"/>
    <x v="0"/>
    <x v="562"/>
    <x v="21"/>
    <x v="82"/>
    <x v="82"/>
    <x v="194"/>
    <x v="4"/>
    <x v="442"/>
    <x v="293"/>
    <x v="321"/>
  </r>
  <r>
    <x v="2"/>
    <x v="54"/>
    <x v="5"/>
    <x v="2"/>
    <x v="78"/>
    <x v="11"/>
    <x v="13"/>
    <x v="8"/>
    <x v="419"/>
    <x v="4"/>
    <x v="28"/>
    <x v="111"/>
    <x v="101"/>
    <x v="242"/>
    <x v="177"/>
    <x v="0"/>
    <x v="0"/>
    <x v="0"/>
    <x v="0"/>
    <x v="4"/>
    <x v="3"/>
    <x v="0"/>
    <x v="260"/>
    <x v="466"/>
    <x v="39"/>
    <x v="2"/>
    <x v="81"/>
    <x v="553"/>
    <x v="91"/>
    <x v="0"/>
    <x v="846"/>
    <x v="14"/>
    <x v="55"/>
    <x v="79"/>
    <x v="209"/>
    <x v="5"/>
    <x v="413"/>
    <x v="593"/>
    <x v="565"/>
  </r>
  <r>
    <x v="2"/>
    <x v="54"/>
    <x v="5"/>
    <x v="2"/>
    <x v="78"/>
    <x v="11"/>
    <x v="16"/>
    <x v="8"/>
    <x v="416"/>
    <x v="4"/>
    <x v="20"/>
    <x v="59"/>
    <x v="69"/>
    <x v="128"/>
    <x v="107"/>
    <x v="0"/>
    <x v="0"/>
    <x v="0"/>
    <x v="0"/>
    <x v="0"/>
    <x v="0"/>
    <x v="0"/>
    <x v="194"/>
    <x v="492"/>
    <x v="39"/>
    <x v="2"/>
    <x v="39"/>
    <x v="645"/>
    <x v="0"/>
    <x v="0"/>
    <x v="958"/>
    <x v="7"/>
    <x v="35"/>
    <x v="89"/>
    <x v="207"/>
    <x v="5"/>
    <x v="434"/>
    <x v="542"/>
    <x v="558"/>
  </r>
  <r>
    <x v="2"/>
    <x v="55"/>
    <x v="2"/>
    <x v="7"/>
    <x v="20"/>
    <x v="11"/>
    <x v="10"/>
    <x v="29"/>
    <x v="1069"/>
    <x v="4"/>
    <x v="42"/>
    <x v="184"/>
    <x v="156"/>
    <x v="564"/>
    <x v="290"/>
    <x v="0"/>
    <x v="0"/>
    <x v="0"/>
    <x v="0"/>
    <x v="0"/>
    <x v="0"/>
    <x v="0"/>
    <x v="372"/>
    <x v="105"/>
    <x v="11"/>
    <x v="0"/>
    <x v="0"/>
    <x v="646"/>
    <x v="0"/>
    <x v="0"/>
    <x v="958"/>
    <x v="32"/>
    <x v="68"/>
    <x v="54"/>
    <x v="238"/>
    <x v="2"/>
    <x v="327"/>
    <x v="136"/>
    <x v="132"/>
  </r>
  <r>
    <x v="2"/>
    <x v="55"/>
    <x v="2"/>
    <x v="4"/>
    <x v="58"/>
    <x v="11"/>
    <x v="8"/>
    <x v="31"/>
    <x v="1064"/>
    <x v="4"/>
    <x v="42"/>
    <x v="184"/>
    <x v="156"/>
    <x v="415"/>
    <x v="229"/>
    <x v="0"/>
    <x v="0"/>
    <x v="0"/>
    <x v="0"/>
    <x v="0"/>
    <x v="0"/>
    <x v="0"/>
    <x v="316"/>
    <x v="49"/>
    <x v="15"/>
    <x v="0"/>
    <x v="0"/>
    <x v="646"/>
    <x v="0"/>
    <x v="0"/>
    <x v="958"/>
    <x v="40"/>
    <x v="57"/>
    <x v="35"/>
    <x v="144"/>
    <x v="2"/>
    <x v="350"/>
    <x v="97"/>
    <x v="61"/>
  </r>
  <r>
    <x v="2"/>
    <x v="55"/>
    <x v="2"/>
    <x v="2"/>
    <x v="78"/>
    <x v="11"/>
    <x v="16"/>
    <x v="8"/>
    <x v="420"/>
    <x v="4"/>
    <x v="42"/>
    <x v="153"/>
    <x v="86"/>
    <x v="480"/>
    <x v="266"/>
    <x v="0"/>
    <x v="0"/>
    <x v="0"/>
    <x v="0"/>
    <x v="0"/>
    <x v="3"/>
    <x v="0"/>
    <x v="347"/>
    <x v="403"/>
    <x v="39"/>
    <x v="2"/>
    <x v="208"/>
    <x v="617"/>
    <x v="0"/>
    <x v="0"/>
    <x v="958"/>
    <x v="14"/>
    <x v="91"/>
    <x v="102"/>
    <x v="194"/>
    <x v="5"/>
    <x v="490"/>
    <x v="404"/>
    <x v="502"/>
  </r>
  <r>
    <x v="2"/>
    <x v="55"/>
    <x v="2"/>
    <x v="5"/>
    <x v="11"/>
    <x v="7"/>
    <x v="7"/>
    <x v="39"/>
    <x v="1077"/>
    <x v="4"/>
    <x v="42"/>
    <x v="137"/>
    <x v="56"/>
    <x v="227"/>
    <x v="160"/>
    <x v="62"/>
    <x v="81"/>
    <x v="0"/>
    <x v="0"/>
    <x v="35"/>
    <x v="3"/>
    <x v="0"/>
    <x v="239"/>
    <x v="113"/>
    <x v="44"/>
    <x v="1"/>
    <x v="83"/>
    <x v="25"/>
    <x v="549"/>
    <x v="439"/>
    <x v="300"/>
    <x v="44"/>
    <x v="53"/>
    <x v="29"/>
    <x v="74"/>
    <x v="4"/>
    <x v="446"/>
    <x v="287"/>
    <x v="65"/>
  </r>
  <r>
    <x v="2"/>
    <x v="55"/>
    <x v="2"/>
    <x v="1"/>
    <x v="31"/>
    <x v="11"/>
    <x v="19"/>
    <x v="24"/>
    <x v="357"/>
    <x v="3"/>
    <x v="42"/>
    <x v="168"/>
    <x v="131"/>
    <x v="316"/>
    <x v="202"/>
    <x v="0"/>
    <x v="0"/>
    <x v="34"/>
    <x v="0"/>
    <x v="42"/>
    <x v="0"/>
    <x v="2"/>
    <x v="107"/>
    <x v="83"/>
    <x v="18"/>
    <x v="0"/>
    <x v="0"/>
    <x v="646"/>
    <x v="519"/>
    <x v="0"/>
    <x v="313"/>
    <x v="19"/>
    <x v="84"/>
    <x v="89"/>
    <x v="113"/>
    <x v="7"/>
    <x v="718"/>
    <x v="520"/>
    <x v="510"/>
  </r>
  <r>
    <x v="2"/>
    <x v="55"/>
    <x v="6"/>
    <x v="8"/>
    <x v="62"/>
    <x v="11"/>
    <x v="19"/>
    <x v="30"/>
    <x v="1058"/>
    <x v="0"/>
    <x v="42"/>
    <x v="224"/>
    <x v="211"/>
    <x v="939"/>
    <x v="479"/>
    <x v="0"/>
    <x v="0"/>
    <x v="0"/>
    <x v="0"/>
    <x v="49"/>
    <x v="0"/>
    <x v="0"/>
    <x v="572"/>
    <x v="153"/>
    <x v="27"/>
    <x v="0"/>
    <x v="0"/>
    <x v="646"/>
    <x v="214"/>
    <x v="0"/>
    <x v="697"/>
    <x v="12"/>
    <x v="94"/>
    <x v="108"/>
    <x v="490"/>
    <x v="3"/>
    <x v="66"/>
    <x v="720"/>
    <x v="1170"/>
  </r>
  <r>
    <x v="2"/>
    <x v="55"/>
    <x v="3"/>
    <x v="7"/>
    <x v="20"/>
    <x v="11"/>
    <x v="10"/>
    <x v="29"/>
    <x v="1072"/>
    <x v="0"/>
    <x v="42"/>
    <x v="184"/>
    <x v="156"/>
    <x v="652"/>
    <x v="327"/>
    <x v="0"/>
    <x v="0"/>
    <x v="0"/>
    <x v="0"/>
    <x v="0"/>
    <x v="0"/>
    <x v="0"/>
    <x v="403"/>
    <x v="154"/>
    <x v="11"/>
    <x v="0"/>
    <x v="0"/>
    <x v="646"/>
    <x v="0"/>
    <x v="0"/>
    <x v="958"/>
    <x v="9"/>
    <x v="97"/>
    <x v="117"/>
    <x v="300"/>
    <x v="2"/>
    <x v="392"/>
    <x v="44"/>
    <x v="180"/>
  </r>
  <r>
    <x v="2"/>
    <x v="55"/>
    <x v="3"/>
    <x v="4"/>
    <x v="58"/>
    <x v="11"/>
    <x v="8"/>
    <x v="31"/>
    <x v="1065"/>
    <x v="0"/>
    <x v="42"/>
    <x v="184"/>
    <x v="156"/>
    <x v="652"/>
    <x v="327"/>
    <x v="0"/>
    <x v="0"/>
    <x v="0"/>
    <x v="0"/>
    <x v="0"/>
    <x v="0"/>
    <x v="0"/>
    <x v="403"/>
    <x v="154"/>
    <x v="15"/>
    <x v="0"/>
    <x v="0"/>
    <x v="646"/>
    <x v="0"/>
    <x v="0"/>
    <x v="958"/>
    <x v="16"/>
    <x v="89"/>
    <x v="95"/>
    <x v="300"/>
    <x v="2"/>
    <x v="364"/>
    <x v="70"/>
    <x v="180"/>
  </r>
  <r>
    <x v="2"/>
    <x v="55"/>
    <x v="3"/>
    <x v="2"/>
    <x v="78"/>
    <x v="11"/>
    <x v="16"/>
    <x v="8"/>
    <x v="421"/>
    <x v="0"/>
    <x v="42"/>
    <x v="153"/>
    <x v="86"/>
    <x v="562"/>
    <x v="288"/>
    <x v="0"/>
    <x v="0"/>
    <x v="0"/>
    <x v="0"/>
    <x v="4"/>
    <x v="0"/>
    <x v="0"/>
    <x v="371"/>
    <x v="586"/>
    <x v="39"/>
    <x v="2"/>
    <x v="263"/>
    <x v="636"/>
    <x v="55"/>
    <x v="0"/>
    <x v="893"/>
    <x v="0"/>
    <x v="102"/>
    <x v="130"/>
    <x v="235"/>
    <x v="5"/>
    <x v="508"/>
    <x v="335"/>
    <x v="712"/>
  </r>
  <r>
    <x v="2"/>
    <x v="55"/>
    <x v="3"/>
    <x v="5"/>
    <x v="11"/>
    <x v="7"/>
    <x v="7"/>
    <x v="39"/>
    <x v="1079"/>
    <x v="0"/>
    <x v="42"/>
    <x v="163"/>
    <x v="124"/>
    <x v="427"/>
    <x v="226"/>
    <x v="0"/>
    <x v="69"/>
    <x v="0"/>
    <x v="0"/>
    <x v="68"/>
    <x v="0"/>
    <x v="0"/>
    <x v="313"/>
    <x v="146"/>
    <x v="44"/>
    <x v="1"/>
    <x v="127"/>
    <x v="183"/>
    <x v="635"/>
    <x v="370"/>
    <x v="183"/>
    <x v="0"/>
    <x v="102"/>
    <x v="130"/>
    <x v="141"/>
    <x v="4"/>
    <x v="558"/>
    <x v="33"/>
    <x v="181"/>
  </r>
  <r>
    <x v="2"/>
    <x v="55"/>
    <x v="5"/>
    <x v="7"/>
    <x v="20"/>
    <x v="11"/>
    <x v="10"/>
    <x v="29"/>
    <x v="1073"/>
    <x v="2"/>
    <x v="14"/>
    <x v="28"/>
    <x v="66"/>
    <x v="63"/>
    <x v="60"/>
    <x v="0"/>
    <x v="0"/>
    <x v="0"/>
    <x v="0"/>
    <x v="0"/>
    <x v="0"/>
    <x v="0"/>
    <x v="144"/>
    <x v="466"/>
    <x v="11"/>
    <x v="0"/>
    <x v="0"/>
    <x v="646"/>
    <x v="0"/>
    <x v="0"/>
    <x v="958"/>
    <x v="16"/>
    <x v="13"/>
    <x v="20"/>
    <x v="194"/>
    <x v="2"/>
    <x v="108"/>
    <x v="646"/>
    <x v="100"/>
  </r>
  <r>
    <x v="2"/>
    <x v="55"/>
    <x v="5"/>
    <x v="5"/>
    <x v="11"/>
    <x v="7"/>
    <x v="7"/>
    <x v="39"/>
    <x v="1080"/>
    <x v="2"/>
    <x v="42"/>
    <x v="163"/>
    <x v="124"/>
    <x v="296"/>
    <x v="188"/>
    <x v="0"/>
    <x v="81"/>
    <x v="0"/>
    <x v="0"/>
    <x v="70"/>
    <x v="3"/>
    <x v="0"/>
    <x v="271"/>
    <x v="74"/>
    <x v="44"/>
    <x v="1"/>
    <x v="91"/>
    <x v="102"/>
    <x v="696"/>
    <x v="423"/>
    <x v="94"/>
    <x v="41"/>
    <x v="56"/>
    <x v="34"/>
    <x v="98"/>
    <x v="4"/>
    <x v="400"/>
    <x v="460"/>
    <x v="109"/>
  </r>
  <r>
    <x v="2"/>
    <x v="55"/>
    <x v="5"/>
    <x v="2"/>
    <x v="78"/>
    <x v="11"/>
    <x v="13"/>
    <x v="8"/>
    <x v="422"/>
    <x v="2"/>
    <x v="42"/>
    <x v="153"/>
    <x v="86"/>
    <x v="543"/>
    <x v="282"/>
    <x v="0"/>
    <x v="0"/>
    <x v="0"/>
    <x v="0"/>
    <x v="2"/>
    <x v="3"/>
    <x v="0"/>
    <x v="365"/>
    <x v="554"/>
    <x v="39"/>
    <x v="2"/>
    <x v="253"/>
    <x v="608"/>
    <x v="21"/>
    <x v="0"/>
    <x v="933"/>
    <x v="12"/>
    <x v="94"/>
    <x v="108"/>
    <x v="227"/>
    <x v="5"/>
    <x v="458"/>
    <x v="496"/>
    <x v="654"/>
  </r>
  <r>
    <x v="2"/>
    <x v="55"/>
    <x v="3"/>
    <x v="1"/>
    <x v="31"/>
    <x v="11"/>
    <x v="19"/>
    <x v="24"/>
    <x v="205"/>
    <x v="3"/>
    <x v="42"/>
    <x v="173"/>
    <x v="136"/>
    <x v="553"/>
    <x v="284"/>
    <x v="0"/>
    <x v="0"/>
    <x v="38"/>
    <x v="0"/>
    <x v="44"/>
    <x v="0"/>
    <x v="4"/>
    <x v="122"/>
    <x v="243"/>
    <x v="18"/>
    <x v="0"/>
    <x v="0"/>
    <x v="646"/>
    <x v="386"/>
    <x v="0"/>
    <x v="493"/>
    <x v="9"/>
    <x v="97"/>
    <x v="117"/>
    <x v="229"/>
    <x v="7"/>
    <x v="704"/>
    <x v="569"/>
    <x v="860"/>
  </r>
  <r>
    <x v="2"/>
    <x v="56"/>
    <x v="2"/>
    <x v="1"/>
    <x v="32"/>
    <x v="11"/>
    <x v="19"/>
    <x v="26"/>
    <x v="1308"/>
    <x v="3"/>
    <x v="0"/>
    <x v="3"/>
    <x v="122"/>
    <x v="5"/>
    <x v="5"/>
    <x v="0"/>
    <x v="0"/>
    <x v="0"/>
    <x v="0"/>
    <x v="0"/>
    <x v="0"/>
    <x v="4"/>
    <x v="5"/>
    <x v="466"/>
    <x v="19"/>
    <x v="0"/>
    <x v="0"/>
    <x v="646"/>
    <x v="0"/>
    <x v="0"/>
    <x v="958"/>
    <x v="0"/>
    <x v="2"/>
    <x v="130"/>
    <x v="280"/>
    <x v="7"/>
    <x v="698"/>
    <x v="589"/>
    <x v="1064"/>
  </r>
  <r>
    <x v="2"/>
    <x v="56"/>
    <x v="2"/>
    <x v="1"/>
    <x v="45"/>
    <x v="11"/>
    <x v="19"/>
    <x v="83"/>
    <x v="1308"/>
    <x v="3"/>
    <x v="0"/>
    <x v="3"/>
    <x v="122"/>
    <x v="5"/>
    <x v="5"/>
    <x v="0"/>
    <x v="0"/>
    <x v="0"/>
    <x v="0"/>
    <x v="0"/>
    <x v="0"/>
    <x v="4"/>
    <x v="5"/>
    <x v="466"/>
    <x v="24"/>
    <x v="0"/>
    <x v="0"/>
    <x v="646"/>
    <x v="0"/>
    <x v="0"/>
    <x v="958"/>
    <x v="0"/>
    <x v="2"/>
    <x v="130"/>
    <x v="280"/>
    <x v="7"/>
    <x v="698"/>
    <x v="589"/>
    <x v="1064"/>
  </r>
  <r>
    <x v="2"/>
    <x v="56"/>
    <x v="2"/>
    <x v="7"/>
    <x v="19"/>
    <x v="11"/>
    <x v="10"/>
    <x v="41"/>
    <x v="1078"/>
    <x v="4"/>
    <x v="42"/>
    <x v="184"/>
    <x v="156"/>
    <x v="824"/>
    <x v="361"/>
    <x v="0"/>
    <x v="0"/>
    <x v="0"/>
    <x v="0"/>
    <x v="0"/>
    <x v="0"/>
    <x v="0"/>
    <x v="428"/>
    <x v="222"/>
    <x v="10"/>
    <x v="0"/>
    <x v="0"/>
    <x v="646"/>
    <x v="0"/>
    <x v="0"/>
    <x v="958"/>
    <x v="22"/>
    <x v="81"/>
    <x v="80"/>
    <x v="343"/>
    <x v="2"/>
    <x v="281"/>
    <x v="239"/>
    <x v="270"/>
  </r>
  <r>
    <x v="2"/>
    <x v="56"/>
    <x v="2"/>
    <x v="4"/>
    <x v="58"/>
    <x v="11"/>
    <x v="8"/>
    <x v="31"/>
    <x v="1066"/>
    <x v="4"/>
    <x v="14"/>
    <x v="66"/>
    <x v="147"/>
    <x v="298"/>
    <x v="200"/>
    <x v="0"/>
    <x v="0"/>
    <x v="0"/>
    <x v="0"/>
    <x v="0"/>
    <x v="0"/>
    <x v="0"/>
    <x v="285"/>
    <x v="774"/>
    <x v="15"/>
    <x v="0"/>
    <x v="0"/>
    <x v="646"/>
    <x v="0"/>
    <x v="0"/>
    <x v="958"/>
    <x v="0"/>
    <x v="29"/>
    <x v="130"/>
    <x v="520"/>
    <x v="2"/>
    <x v="52"/>
    <x v="707"/>
    <x v="1179"/>
  </r>
  <r>
    <x v="2"/>
    <x v="56"/>
    <x v="2"/>
    <x v="4"/>
    <x v="57"/>
    <x v="11"/>
    <x v="8"/>
    <x v="43"/>
    <x v="1074"/>
    <x v="4"/>
    <x v="34"/>
    <x v="175"/>
    <x v="164"/>
    <x v="612"/>
    <x v="305"/>
    <x v="0"/>
    <x v="0"/>
    <x v="0"/>
    <x v="0"/>
    <x v="0"/>
    <x v="0"/>
    <x v="0"/>
    <x v="385"/>
    <x v="278"/>
    <x v="14"/>
    <x v="0"/>
    <x v="0"/>
    <x v="646"/>
    <x v="0"/>
    <x v="0"/>
    <x v="958"/>
    <x v="16"/>
    <x v="62"/>
    <x v="81"/>
    <x v="370"/>
    <x v="2"/>
    <x v="197"/>
    <x v="411"/>
    <x v="377"/>
  </r>
  <r>
    <x v="2"/>
    <x v="56"/>
    <x v="2"/>
    <x v="5"/>
    <x v="11"/>
    <x v="7"/>
    <x v="7"/>
    <x v="39"/>
    <x v="1084"/>
    <x v="4"/>
    <x v="42"/>
    <x v="163"/>
    <x v="124"/>
    <x v="742"/>
    <x v="341"/>
    <x v="0"/>
    <x v="70"/>
    <x v="0"/>
    <x v="0"/>
    <x v="72"/>
    <x v="3"/>
    <x v="0"/>
    <x v="412"/>
    <x v="604"/>
    <x v="44"/>
    <x v="1"/>
    <x v="359"/>
    <x v="263"/>
    <x v="518"/>
    <x v="297"/>
    <x v="323"/>
    <x v="0"/>
    <x v="102"/>
    <x v="130"/>
    <x v="314"/>
    <x v="4"/>
    <x v="413"/>
    <x v="397"/>
    <x v="760"/>
  </r>
  <r>
    <x v="2"/>
    <x v="56"/>
    <x v="2"/>
    <x v="2"/>
    <x v="78"/>
    <x v="11"/>
    <x v="13"/>
    <x v="8"/>
    <x v="426"/>
    <x v="4"/>
    <x v="42"/>
    <x v="153"/>
    <x v="86"/>
    <x v="594"/>
    <x v="299"/>
    <x v="0"/>
    <x v="0"/>
    <x v="0"/>
    <x v="0"/>
    <x v="4"/>
    <x v="3"/>
    <x v="0"/>
    <x v="381"/>
    <x v="640"/>
    <x v="39"/>
    <x v="2"/>
    <x v="289"/>
    <x v="600"/>
    <x v="51"/>
    <x v="0"/>
    <x v="899"/>
    <x v="0"/>
    <x v="102"/>
    <x v="130"/>
    <x v="260"/>
    <x v="5"/>
    <x v="482"/>
    <x v="426"/>
    <x v="873"/>
  </r>
  <r>
    <x v="2"/>
    <x v="56"/>
    <x v="2"/>
    <x v="1"/>
    <x v="7"/>
    <x v="11"/>
    <x v="19"/>
    <x v="21"/>
    <x v="403"/>
    <x v="3"/>
    <x v="42"/>
    <x v="171"/>
    <x v="135"/>
    <x v="290"/>
    <x v="196"/>
    <x v="0"/>
    <x v="0"/>
    <x v="20"/>
    <x v="0"/>
    <x v="49"/>
    <x v="0"/>
    <x v="4"/>
    <x v="92"/>
    <x v="68"/>
    <x v="2"/>
    <x v="0"/>
    <x v="0"/>
    <x v="646"/>
    <x v="593"/>
    <x v="0"/>
    <x v="226"/>
    <x v="35"/>
    <x v="63"/>
    <x v="47"/>
    <x v="108"/>
    <x v="7"/>
    <x v="706"/>
    <x v="557"/>
    <x v="210"/>
  </r>
  <r>
    <x v="2"/>
    <x v="56"/>
    <x v="6"/>
    <x v="8"/>
    <x v="61"/>
    <x v="11"/>
    <x v="19"/>
    <x v="42"/>
    <x v="1075"/>
    <x v="0"/>
    <x v="24"/>
    <x v="186"/>
    <x v="210"/>
    <x v="872"/>
    <x v="401"/>
    <x v="0"/>
    <x v="0"/>
    <x v="0"/>
    <x v="0"/>
    <x v="21"/>
    <x v="0"/>
    <x v="1"/>
    <x v="304"/>
    <x v="355"/>
    <x v="26"/>
    <x v="0"/>
    <x v="0"/>
    <x v="646"/>
    <x v="157"/>
    <x v="0"/>
    <x v="760"/>
    <x v="0"/>
    <x v="55"/>
    <x v="130"/>
    <x v="546"/>
    <x v="3"/>
    <x v="325"/>
    <x v="341"/>
    <x v="719"/>
  </r>
  <r>
    <x v="2"/>
    <x v="56"/>
    <x v="6"/>
    <x v="8"/>
    <x v="62"/>
    <x v="11"/>
    <x v="19"/>
    <x v="30"/>
    <x v="1065"/>
    <x v="0"/>
    <x v="24"/>
    <x v="186"/>
    <x v="210"/>
    <x v="652"/>
    <x v="313"/>
    <x v="0"/>
    <x v="0"/>
    <x v="0"/>
    <x v="0"/>
    <x v="122"/>
    <x v="0"/>
    <x v="1"/>
    <x v="243"/>
    <x v="132"/>
    <x v="27"/>
    <x v="0"/>
    <x v="0"/>
    <x v="646"/>
    <x v="750"/>
    <x v="0"/>
    <x v="24"/>
    <x v="0"/>
    <x v="55"/>
    <x v="130"/>
    <x v="485"/>
    <x v="3"/>
    <x v="457"/>
    <x v="48"/>
    <x v="207"/>
  </r>
  <r>
    <x v="2"/>
    <x v="56"/>
    <x v="3"/>
    <x v="2"/>
    <x v="78"/>
    <x v="11"/>
    <x v="16"/>
    <x v="8"/>
    <x v="423"/>
    <x v="0"/>
    <x v="28"/>
    <x v="109"/>
    <x v="85"/>
    <x v="298"/>
    <x v="200"/>
    <x v="0"/>
    <x v="0"/>
    <x v="0"/>
    <x v="0"/>
    <x v="0"/>
    <x v="0"/>
    <x v="0"/>
    <x v="285"/>
    <x v="677"/>
    <x v="39"/>
    <x v="2"/>
    <x v="110"/>
    <x v="645"/>
    <x v="0"/>
    <x v="0"/>
    <x v="958"/>
    <x v="0"/>
    <x v="63"/>
    <x v="130"/>
    <x v="280"/>
    <x v="5"/>
    <x v="458"/>
    <x v="496"/>
    <x v="966"/>
  </r>
  <r>
    <x v="2"/>
    <x v="56"/>
    <x v="3"/>
    <x v="7"/>
    <x v="19"/>
    <x v="11"/>
    <x v="10"/>
    <x v="41"/>
    <x v="1081"/>
    <x v="0"/>
    <x v="42"/>
    <x v="184"/>
    <x v="156"/>
    <x v="620"/>
    <x v="311"/>
    <x v="0"/>
    <x v="0"/>
    <x v="0"/>
    <x v="0"/>
    <x v="25"/>
    <x v="0"/>
    <x v="0"/>
    <x v="388"/>
    <x v="133"/>
    <x v="10"/>
    <x v="0"/>
    <x v="0"/>
    <x v="646"/>
    <x v="234"/>
    <x v="0"/>
    <x v="676"/>
    <x v="9"/>
    <x v="97"/>
    <x v="117"/>
    <x v="278"/>
    <x v="2"/>
    <x v="412"/>
    <x v="36"/>
    <x v="156"/>
  </r>
  <r>
    <x v="2"/>
    <x v="56"/>
    <x v="3"/>
    <x v="4"/>
    <x v="57"/>
    <x v="11"/>
    <x v="8"/>
    <x v="43"/>
    <x v="1076"/>
    <x v="0"/>
    <x v="42"/>
    <x v="184"/>
    <x v="156"/>
    <x v="620"/>
    <x v="312"/>
    <x v="0"/>
    <x v="0"/>
    <x v="0"/>
    <x v="0"/>
    <x v="0"/>
    <x v="0"/>
    <x v="0"/>
    <x v="390"/>
    <x v="137"/>
    <x v="14"/>
    <x v="0"/>
    <x v="0"/>
    <x v="646"/>
    <x v="0"/>
    <x v="0"/>
    <x v="958"/>
    <x v="14"/>
    <x v="91"/>
    <x v="102"/>
    <x v="280"/>
    <x v="2"/>
    <x v="389"/>
    <x v="45"/>
    <x v="162"/>
  </r>
  <r>
    <x v="2"/>
    <x v="56"/>
    <x v="3"/>
    <x v="2"/>
    <x v="78"/>
    <x v="11"/>
    <x v="13"/>
    <x v="8"/>
    <x v="425"/>
    <x v="0"/>
    <x v="20"/>
    <x v="61"/>
    <x v="92"/>
    <x v="138"/>
    <x v="113"/>
    <x v="0"/>
    <x v="0"/>
    <x v="0"/>
    <x v="0"/>
    <x v="0"/>
    <x v="0"/>
    <x v="0"/>
    <x v="199"/>
    <x v="532"/>
    <x v="39"/>
    <x v="2"/>
    <x v="42"/>
    <x v="645"/>
    <x v="0"/>
    <x v="0"/>
    <x v="958"/>
    <x v="7"/>
    <x v="35"/>
    <x v="89"/>
    <x v="223"/>
    <x v="5"/>
    <x v="420"/>
    <x v="579"/>
    <x v="631"/>
  </r>
  <r>
    <x v="2"/>
    <x v="56"/>
    <x v="3"/>
    <x v="5"/>
    <x v="11"/>
    <x v="7"/>
    <x v="7"/>
    <x v="39"/>
    <x v="1086"/>
    <x v="0"/>
    <x v="42"/>
    <x v="163"/>
    <x v="124"/>
    <x v="694"/>
    <x v="327"/>
    <x v="0"/>
    <x v="33"/>
    <x v="0"/>
    <x v="0"/>
    <x v="80"/>
    <x v="0"/>
    <x v="0"/>
    <x v="403"/>
    <x v="551"/>
    <x v="44"/>
    <x v="1"/>
    <x v="319"/>
    <x v="327"/>
    <x v="581"/>
    <x v="161"/>
    <x v="247"/>
    <x v="0"/>
    <x v="102"/>
    <x v="130"/>
    <x v="300"/>
    <x v="4"/>
    <x v="432"/>
    <x v="329"/>
    <x v="658"/>
  </r>
  <r>
    <x v="2"/>
    <x v="56"/>
    <x v="3"/>
    <x v="1"/>
    <x v="7"/>
    <x v="11"/>
    <x v="12"/>
    <x v="21"/>
    <x v="404"/>
    <x v="0"/>
    <x v="42"/>
    <x v="168"/>
    <x v="131"/>
    <x v="640"/>
    <x v="317"/>
    <x v="0"/>
    <x v="0"/>
    <x v="42"/>
    <x v="0"/>
    <x v="45"/>
    <x v="0"/>
    <x v="4"/>
    <x v="136"/>
    <x v="379"/>
    <x v="2"/>
    <x v="0"/>
    <x v="0"/>
    <x v="646"/>
    <x v="344"/>
    <x v="0"/>
    <x v="542"/>
    <x v="9"/>
    <x v="97"/>
    <x v="117"/>
    <x v="284"/>
    <x v="7"/>
    <x v="679"/>
    <x v="649"/>
    <x v="1071"/>
  </r>
  <r>
    <x v="2"/>
    <x v="56"/>
    <x v="5"/>
    <x v="2"/>
    <x v="78"/>
    <x v="11"/>
    <x v="13"/>
    <x v="8"/>
    <x v="426"/>
    <x v="2"/>
    <x v="23"/>
    <x v="83"/>
    <x v="72"/>
    <x v="173"/>
    <x v="134"/>
    <x v="0"/>
    <x v="0"/>
    <x v="0"/>
    <x v="0"/>
    <x v="13"/>
    <x v="3"/>
    <x v="0"/>
    <x v="216"/>
    <x v="374"/>
    <x v="39"/>
    <x v="2"/>
    <x v="57"/>
    <x v="486"/>
    <x v="275"/>
    <x v="0"/>
    <x v="631"/>
    <x v="12"/>
    <x v="43"/>
    <x v="76"/>
    <x v="184"/>
    <x v="5"/>
    <x v="436"/>
    <x v="535"/>
    <x v="430"/>
  </r>
  <r>
    <x v="2"/>
    <x v="56"/>
    <x v="5"/>
    <x v="2"/>
    <x v="79"/>
    <x v="11"/>
    <x v="16"/>
    <x v="9"/>
    <x v="424"/>
    <x v="2"/>
    <x v="25"/>
    <x v="94"/>
    <x v="103"/>
    <x v="253"/>
    <x v="183"/>
    <x v="0"/>
    <x v="0"/>
    <x v="0"/>
    <x v="0"/>
    <x v="0"/>
    <x v="3"/>
    <x v="0"/>
    <x v="266"/>
    <x v="724"/>
    <x v="40"/>
    <x v="2"/>
    <x v="87"/>
    <x v="588"/>
    <x v="0"/>
    <x v="0"/>
    <x v="958"/>
    <x v="7"/>
    <x v="49"/>
    <x v="103"/>
    <x v="317"/>
    <x v="5"/>
    <x v="359"/>
    <x v="671"/>
    <x v="1081"/>
  </r>
  <r>
    <x v="2"/>
    <x v="56"/>
    <x v="5"/>
    <x v="5"/>
    <x v="11"/>
    <x v="7"/>
    <x v="7"/>
    <x v="39"/>
    <x v="1087"/>
    <x v="2"/>
    <x v="42"/>
    <x v="163"/>
    <x v="124"/>
    <x v="700"/>
    <x v="327"/>
    <x v="0"/>
    <x v="49"/>
    <x v="0"/>
    <x v="0"/>
    <x v="70"/>
    <x v="3"/>
    <x v="0"/>
    <x v="403"/>
    <x v="551"/>
    <x v="44"/>
    <x v="1"/>
    <x v="325"/>
    <x v="292"/>
    <x v="521"/>
    <x v="227"/>
    <x v="315"/>
    <x v="7"/>
    <x v="99"/>
    <x v="122"/>
    <x v="300"/>
    <x v="4"/>
    <x v="403"/>
    <x v="444"/>
    <x v="667"/>
  </r>
  <r>
    <x v="2"/>
    <x v="57"/>
    <x v="2"/>
    <x v="7"/>
    <x v="19"/>
    <x v="11"/>
    <x v="10"/>
    <x v="41"/>
    <x v="1085"/>
    <x v="4"/>
    <x v="42"/>
    <x v="184"/>
    <x v="156"/>
    <x v="849"/>
    <x v="380"/>
    <x v="0"/>
    <x v="0"/>
    <x v="0"/>
    <x v="0"/>
    <x v="0"/>
    <x v="0"/>
    <x v="0"/>
    <x v="447"/>
    <x v="281"/>
    <x v="10"/>
    <x v="0"/>
    <x v="0"/>
    <x v="646"/>
    <x v="0"/>
    <x v="0"/>
    <x v="958"/>
    <x v="16"/>
    <x v="89"/>
    <x v="95"/>
    <x v="364"/>
    <x v="2"/>
    <x v="274"/>
    <x v="259"/>
    <x v="354"/>
  </r>
  <r>
    <x v="2"/>
    <x v="57"/>
    <x v="2"/>
    <x v="4"/>
    <x v="57"/>
    <x v="11"/>
    <x v="8"/>
    <x v="43"/>
    <x v="1082"/>
    <x v="4"/>
    <x v="42"/>
    <x v="184"/>
    <x v="156"/>
    <x v="703"/>
    <x v="335"/>
    <x v="0"/>
    <x v="0"/>
    <x v="0"/>
    <x v="0"/>
    <x v="0"/>
    <x v="0"/>
    <x v="0"/>
    <x v="411"/>
    <x v="164"/>
    <x v="14"/>
    <x v="0"/>
    <x v="0"/>
    <x v="646"/>
    <x v="0"/>
    <x v="0"/>
    <x v="958"/>
    <x v="28"/>
    <x v="74"/>
    <x v="63"/>
    <x v="312"/>
    <x v="2"/>
    <x v="288"/>
    <x v="221"/>
    <x v="193"/>
  </r>
  <r>
    <x v="2"/>
    <x v="57"/>
    <x v="2"/>
    <x v="2"/>
    <x v="79"/>
    <x v="11"/>
    <x v="16"/>
    <x v="9"/>
    <x v="433"/>
    <x v="4"/>
    <x v="42"/>
    <x v="184"/>
    <x v="156"/>
    <x v="639"/>
    <x v="319"/>
    <x v="0"/>
    <x v="0"/>
    <x v="0"/>
    <x v="0"/>
    <x v="6"/>
    <x v="3"/>
    <x v="0"/>
    <x v="395"/>
    <x v="141"/>
    <x v="40"/>
    <x v="2"/>
    <x v="337"/>
    <x v="590"/>
    <x v="77"/>
    <x v="0"/>
    <x v="864"/>
    <x v="0"/>
    <x v="102"/>
    <x v="130"/>
    <x v="288"/>
    <x v="5"/>
    <x v="449"/>
    <x v="517"/>
    <x v="998"/>
  </r>
  <r>
    <x v="2"/>
    <x v="57"/>
    <x v="2"/>
    <x v="5"/>
    <x v="11"/>
    <x v="7"/>
    <x v="7"/>
    <x v="39"/>
    <x v="1055"/>
    <x v="4"/>
    <x v="42"/>
    <x v="163"/>
    <x v="124"/>
    <x v="429"/>
    <x v="215"/>
    <x v="0"/>
    <x v="101"/>
    <x v="0"/>
    <x v="0"/>
    <x v="57"/>
    <x v="5"/>
    <x v="0"/>
    <x v="301"/>
    <x v="128"/>
    <x v="44"/>
    <x v="1"/>
    <x v="130"/>
    <x v="57"/>
    <x v="603"/>
    <x v="461"/>
    <x v="242"/>
    <x v="33"/>
    <x v="66"/>
    <x v="52"/>
    <x v="128"/>
    <x v="4"/>
    <x v="427"/>
    <x v="336"/>
    <x v="161"/>
  </r>
  <r>
    <x v="2"/>
    <x v="57"/>
    <x v="2"/>
    <x v="1"/>
    <x v="7"/>
    <x v="11"/>
    <x v="12"/>
    <x v="21"/>
    <x v="412"/>
    <x v="3"/>
    <x v="24"/>
    <x v="105"/>
    <x v="133"/>
    <x v="148"/>
    <x v="116"/>
    <x v="0"/>
    <x v="0"/>
    <x v="26"/>
    <x v="0"/>
    <x v="30"/>
    <x v="0"/>
    <x v="4"/>
    <x v="65"/>
    <x v="108"/>
    <x v="2"/>
    <x v="0"/>
    <x v="0"/>
    <x v="646"/>
    <x v="612"/>
    <x v="0"/>
    <x v="201"/>
    <x v="16"/>
    <x v="40"/>
    <x v="61"/>
    <x v="129"/>
    <x v="7"/>
    <x v="712"/>
    <x v="538"/>
    <x v="305"/>
  </r>
  <r>
    <x v="2"/>
    <x v="57"/>
    <x v="2"/>
    <x v="1"/>
    <x v="42"/>
    <x v="11"/>
    <x v="12"/>
    <x v="15"/>
    <x v="199"/>
    <x v="3"/>
    <x v="10"/>
    <x v="26"/>
    <x v="133"/>
    <x v="9"/>
    <x v="9"/>
    <x v="0"/>
    <x v="0"/>
    <x v="0"/>
    <x v="0"/>
    <x v="3"/>
    <x v="0"/>
    <x v="4"/>
    <x v="9"/>
    <x v="8"/>
    <x v="18"/>
    <x v="0"/>
    <x v="0"/>
    <x v="646"/>
    <x v="442"/>
    <x v="0"/>
    <x v="422"/>
    <x v="16"/>
    <x v="6"/>
    <x v="6"/>
    <x v="24"/>
    <x v="7"/>
    <x v="650"/>
    <x v="697"/>
    <x v="30"/>
  </r>
  <r>
    <x v="2"/>
    <x v="57"/>
    <x v="2"/>
    <x v="1"/>
    <x v="6"/>
    <x v="11"/>
    <x v="12"/>
    <x v="17"/>
    <x v="370"/>
    <x v="3"/>
    <x v="16"/>
    <x v="66"/>
    <x v="133"/>
    <x v="145"/>
    <x v="115"/>
    <x v="0"/>
    <x v="0"/>
    <x v="8"/>
    <x v="0"/>
    <x v="9"/>
    <x v="0"/>
    <x v="4"/>
    <x v="64"/>
    <x v="494"/>
    <x v="1"/>
    <x v="0"/>
    <x v="0"/>
    <x v="646"/>
    <x v="245"/>
    <x v="0"/>
    <x v="665"/>
    <x v="0"/>
    <x v="35"/>
    <x v="130"/>
    <x v="313"/>
    <x v="7"/>
    <x v="680"/>
    <x v="645"/>
    <x v="1125"/>
  </r>
  <r>
    <x v="2"/>
    <x v="57"/>
    <x v="6"/>
    <x v="8"/>
    <x v="61"/>
    <x v="11"/>
    <x v="19"/>
    <x v="42"/>
    <x v="1076"/>
    <x v="0"/>
    <x v="42"/>
    <x v="224"/>
    <x v="211"/>
    <x v="946"/>
    <x v="485"/>
    <x v="0"/>
    <x v="0"/>
    <x v="0"/>
    <x v="0"/>
    <x v="107"/>
    <x v="0"/>
    <x v="0"/>
    <x v="578"/>
    <x v="185"/>
    <x v="26"/>
    <x v="0"/>
    <x v="0"/>
    <x v="646"/>
    <x v="456"/>
    <x v="0"/>
    <x v="399"/>
    <x v="12"/>
    <x v="94"/>
    <x v="108"/>
    <x v="502"/>
    <x v="3"/>
    <x v="50"/>
    <x v="731"/>
    <x v="1181"/>
  </r>
  <r>
    <x v="2"/>
    <x v="57"/>
    <x v="3"/>
    <x v="7"/>
    <x v="19"/>
    <x v="11"/>
    <x v="10"/>
    <x v="41"/>
    <x v="1088"/>
    <x v="0"/>
    <x v="42"/>
    <x v="184"/>
    <x v="156"/>
    <x v="885"/>
    <x v="418"/>
    <x v="0"/>
    <x v="0"/>
    <x v="0"/>
    <x v="0"/>
    <x v="30"/>
    <x v="0"/>
    <x v="0"/>
    <x v="496"/>
    <x v="458"/>
    <x v="10"/>
    <x v="0"/>
    <x v="0"/>
    <x v="646"/>
    <x v="198"/>
    <x v="0"/>
    <x v="714"/>
    <x v="9"/>
    <x v="97"/>
    <x v="117"/>
    <x v="411"/>
    <x v="2"/>
    <x v="230"/>
    <x v="350"/>
    <x v="521"/>
  </r>
  <r>
    <x v="2"/>
    <x v="57"/>
    <x v="3"/>
    <x v="4"/>
    <x v="57"/>
    <x v="11"/>
    <x v="8"/>
    <x v="43"/>
    <x v="1083"/>
    <x v="0"/>
    <x v="42"/>
    <x v="184"/>
    <x v="156"/>
    <x v="885"/>
    <x v="421"/>
    <x v="0"/>
    <x v="0"/>
    <x v="0"/>
    <x v="0"/>
    <x v="0"/>
    <x v="0"/>
    <x v="0"/>
    <x v="499"/>
    <x v="466"/>
    <x v="14"/>
    <x v="0"/>
    <x v="0"/>
    <x v="646"/>
    <x v="0"/>
    <x v="0"/>
    <x v="958"/>
    <x v="9"/>
    <x v="97"/>
    <x v="117"/>
    <x v="415"/>
    <x v="2"/>
    <x v="224"/>
    <x v="365"/>
    <x v="533"/>
  </r>
  <r>
    <x v="2"/>
    <x v="57"/>
    <x v="3"/>
    <x v="2"/>
    <x v="79"/>
    <x v="11"/>
    <x v="16"/>
    <x v="9"/>
    <x v="434"/>
    <x v="0"/>
    <x v="42"/>
    <x v="153"/>
    <x v="86"/>
    <x v="620"/>
    <x v="312"/>
    <x v="0"/>
    <x v="0"/>
    <x v="0"/>
    <x v="0"/>
    <x v="0"/>
    <x v="0"/>
    <x v="0"/>
    <x v="390"/>
    <x v="676"/>
    <x v="40"/>
    <x v="2"/>
    <x v="330"/>
    <x v="645"/>
    <x v="0"/>
    <x v="0"/>
    <x v="958"/>
    <x v="0"/>
    <x v="102"/>
    <x v="130"/>
    <x v="280"/>
    <x v="5"/>
    <x v="458"/>
    <x v="496"/>
    <x v="966"/>
  </r>
  <r>
    <x v="2"/>
    <x v="57"/>
    <x v="3"/>
    <x v="5"/>
    <x v="11"/>
    <x v="7"/>
    <x v="7"/>
    <x v="39"/>
    <x v="1089"/>
    <x v="0"/>
    <x v="42"/>
    <x v="163"/>
    <x v="124"/>
    <x v="192"/>
    <x v="134"/>
    <x v="0"/>
    <x v="81"/>
    <x v="0"/>
    <x v="0"/>
    <x v="105"/>
    <x v="0"/>
    <x v="0"/>
    <x v="216"/>
    <x v="25"/>
    <x v="44"/>
    <x v="1"/>
    <x v="58"/>
    <x v="41"/>
    <x v="769"/>
    <x v="446"/>
    <x v="7"/>
    <x v="52"/>
    <x v="38"/>
    <x v="14"/>
    <x v="46"/>
    <x v="4"/>
    <x v="386"/>
    <x v="503"/>
    <x v="33"/>
  </r>
  <r>
    <x v="2"/>
    <x v="57"/>
    <x v="3"/>
    <x v="0"/>
    <x v="2"/>
    <x v="3"/>
    <x v="1"/>
    <x v="20"/>
    <x v="428"/>
    <x v="0"/>
    <x v="34"/>
    <x v="81"/>
    <x v="30"/>
    <x v="149"/>
    <x v="115"/>
    <x v="0"/>
    <x v="18"/>
    <x v="0"/>
    <x v="0"/>
    <x v="30"/>
    <x v="0"/>
    <x v="0"/>
    <x v="200"/>
    <x v="239"/>
    <x v="38"/>
    <x v="10"/>
    <x v="539"/>
    <x v="244"/>
    <x v="613"/>
    <x v="289"/>
    <x v="209"/>
    <x v="25"/>
    <x v="56"/>
    <x v="57"/>
    <x v="63"/>
    <x v="6"/>
    <x v="585"/>
    <x v="443"/>
    <x v="233"/>
  </r>
  <r>
    <x v="2"/>
    <x v="57"/>
    <x v="3"/>
    <x v="1"/>
    <x v="6"/>
    <x v="11"/>
    <x v="12"/>
    <x v="17"/>
    <x v="376"/>
    <x v="0"/>
    <x v="42"/>
    <x v="168"/>
    <x v="131"/>
    <x v="706"/>
    <x v="339"/>
    <x v="0"/>
    <x v="0"/>
    <x v="44"/>
    <x v="0"/>
    <x v="15"/>
    <x v="0"/>
    <x v="4"/>
    <x v="149"/>
    <x v="506"/>
    <x v="1"/>
    <x v="0"/>
    <x v="0"/>
    <x v="646"/>
    <x v="149"/>
    <x v="0"/>
    <x v="769"/>
    <x v="9"/>
    <x v="97"/>
    <x v="117"/>
    <x v="313"/>
    <x v="7"/>
    <x v="664"/>
    <x v="676"/>
    <x v="1128"/>
  </r>
  <r>
    <x v="2"/>
    <x v="57"/>
    <x v="5"/>
    <x v="2"/>
    <x v="79"/>
    <x v="11"/>
    <x v="16"/>
    <x v="9"/>
    <x v="435"/>
    <x v="2"/>
    <x v="42"/>
    <x v="153"/>
    <x v="86"/>
    <x v="621"/>
    <x v="312"/>
    <x v="0"/>
    <x v="0"/>
    <x v="0"/>
    <x v="0"/>
    <x v="0"/>
    <x v="3"/>
    <x v="0"/>
    <x v="390"/>
    <x v="676"/>
    <x v="40"/>
    <x v="2"/>
    <x v="331"/>
    <x v="622"/>
    <x v="0"/>
    <x v="0"/>
    <x v="958"/>
    <x v="0"/>
    <x v="102"/>
    <x v="130"/>
    <x v="280"/>
    <x v="5"/>
    <x v="458"/>
    <x v="496"/>
    <x v="966"/>
  </r>
  <r>
    <x v="2"/>
    <x v="57"/>
    <x v="5"/>
    <x v="5"/>
    <x v="11"/>
    <x v="7"/>
    <x v="7"/>
    <x v="39"/>
    <x v="1090"/>
    <x v="2"/>
    <x v="42"/>
    <x v="163"/>
    <x v="124"/>
    <x v="412"/>
    <x v="216"/>
    <x v="0"/>
    <x v="45"/>
    <x v="0"/>
    <x v="0"/>
    <x v="48"/>
    <x v="0"/>
    <x v="0"/>
    <x v="302"/>
    <x v="136"/>
    <x v="44"/>
    <x v="1"/>
    <x v="117"/>
    <x v="270"/>
    <x v="541"/>
    <x v="299"/>
    <x v="294"/>
    <x v="29"/>
    <x v="72"/>
    <x v="61"/>
    <x v="131"/>
    <x v="4"/>
    <x v="478"/>
    <x v="198"/>
    <x v="172"/>
  </r>
  <r>
    <x v="2"/>
    <x v="57"/>
    <x v="5"/>
    <x v="0"/>
    <x v="2"/>
    <x v="3"/>
    <x v="1"/>
    <x v="20"/>
    <x v="432"/>
    <x v="2"/>
    <x v="42"/>
    <x v="107"/>
    <x v="29"/>
    <x v="402"/>
    <x v="213"/>
    <x v="21"/>
    <x v="34"/>
    <x v="0"/>
    <x v="0"/>
    <x v="72"/>
    <x v="3"/>
    <x v="0"/>
    <x v="299"/>
    <x v="723"/>
    <x v="38"/>
    <x v="10"/>
    <x v="703"/>
    <x v="201"/>
    <x v="666"/>
    <x v="250"/>
    <x v="132"/>
    <x v="0"/>
    <x v="102"/>
    <x v="130"/>
    <x v="126"/>
    <x v="6"/>
    <x v="570"/>
    <x v="511"/>
    <x v="926"/>
  </r>
  <r>
    <x v="2"/>
    <x v="58"/>
    <x v="2"/>
    <x v="7"/>
    <x v="19"/>
    <x v="11"/>
    <x v="10"/>
    <x v="41"/>
    <x v="1060"/>
    <x v="4"/>
    <x v="42"/>
    <x v="184"/>
    <x v="156"/>
    <x v="891"/>
    <x v="427"/>
    <x v="0"/>
    <x v="0"/>
    <x v="0"/>
    <x v="0"/>
    <x v="0"/>
    <x v="0"/>
    <x v="0"/>
    <x v="507"/>
    <x v="513"/>
    <x v="10"/>
    <x v="0"/>
    <x v="0"/>
    <x v="646"/>
    <x v="0"/>
    <x v="0"/>
    <x v="958"/>
    <x v="9"/>
    <x v="97"/>
    <x v="117"/>
    <x v="426"/>
    <x v="2"/>
    <x v="203"/>
    <x v="397"/>
    <x v="576"/>
  </r>
  <r>
    <x v="2"/>
    <x v="58"/>
    <x v="2"/>
    <x v="4"/>
    <x v="57"/>
    <x v="11"/>
    <x v="8"/>
    <x v="43"/>
    <x v="1056"/>
    <x v="4"/>
    <x v="42"/>
    <x v="184"/>
    <x v="156"/>
    <x v="890"/>
    <x v="426"/>
    <x v="0"/>
    <x v="0"/>
    <x v="0"/>
    <x v="0"/>
    <x v="0"/>
    <x v="0"/>
    <x v="0"/>
    <x v="505"/>
    <x v="507"/>
    <x v="14"/>
    <x v="0"/>
    <x v="0"/>
    <x v="646"/>
    <x v="0"/>
    <x v="0"/>
    <x v="958"/>
    <x v="9"/>
    <x v="97"/>
    <x v="117"/>
    <x v="425"/>
    <x v="2"/>
    <x v="210"/>
    <x v="386"/>
    <x v="563"/>
  </r>
  <r>
    <x v="2"/>
    <x v="58"/>
    <x v="2"/>
    <x v="0"/>
    <x v="2"/>
    <x v="3"/>
    <x v="1"/>
    <x v="20"/>
    <x v="436"/>
    <x v="4"/>
    <x v="42"/>
    <x v="107"/>
    <x v="29"/>
    <x v="311"/>
    <x v="196"/>
    <x v="12"/>
    <x v="54"/>
    <x v="0"/>
    <x v="0"/>
    <x v="59"/>
    <x v="3"/>
    <x v="0"/>
    <x v="280"/>
    <x v="656"/>
    <x v="38"/>
    <x v="10"/>
    <x v="654"/>
    <x v="164"/>
    <x v="638"/>
    <x v="353"/>
    <x v="176"/>
    <x v="0"/>
    <x v="102"/>
    <x v="130"/>
    <x v="108"/>
    <x v="6"/>
    <x v="598"/>
    <x v="328"/>
    <x v="645"/>
  </r>
  <r>
    <x v="2"/>
    <x v="58"/>
    <x v="2"/>
    <x v="2"/>
    <x v="79"/>
    <x v="11"/>
    <x v="16"/>
    <x v="9"/>
    <x v="439"/>
    <x v="4"/>
    <x v="42"/>
    <x v="153"/>
    <x v="86"/>
    <x v="426"/>
    <x v="234"/>
    <x v="7"/>
    <x v="0"/>
    <x v="0"/>
    <x v="0"/>
    <x v="4"/>
    <x v="3"/>
    <x v="0"/>
    <x v="320"/>
    <x v="252"/>
    <x v="40"/>
    <x v="2"/>
    <x v="155"/>
    <x v="505"/>
    <x v="69"/>
    <x v="0"/>
    <x v="872"/>
    <x v="26"/>
    <x v="76"/>
    <x v="68"/>
    <x v="153"/>
    <x v="5"/>
    <x v="473"/>
    <x v="450"/>
    <x v="332"/>
  </r>
  <r>
    <x v="2"/>
    <x v="58"/>
    <x v="2"/>
    <x v="5"/>
    <x v="11"/>
    <x v="7"/>
    <x v="7"/>
    <x v="39"/>
    <x v="1093"/>
    <x v="4"/>
    <x v="16"/>
    <x v="58"/>
    <x v="122"/>
    <x v="128"/>
    <x v="100"/>
    <x v="0"/>
    <x v="56"/>
    <x v="0"/>
    <x v="0"/>
    <x v="26"/>
    <x v="0"/>
    <x v="0"/>
    <x v="189"/>
    <x v="412"/>
    <x v="44"/>
    <x v="1"/>
    <x v="32"/>
    <x v="104"/>
    <x v="606"/>
    <x v="436"/>
    <x v="224"/>
    <x v="7"/>
    <x v="29"/>
    <x v="79"/>
    <x v="267"/>
    <x v="4"/>
    <x v="365"/>
    <x v="578"/>
    <x v="508"/>
  </r>
  <r>
    <x v="2"/>
    <x v="58"/>
    <x v="2"/>
    <x v="1"/>
    <x v="6"/>
    <x v="11"/>
    <x v="19"/>
    <x v="17"/>
    <x v="378"/>
    <x v="3"/>
    <x v="28"/>
    <x v="128"/>
    <x v="133"/>
    <x v="170"/>
    <x v="133"/>
    <x v="0"/>
    <x v="0"/>
    <x v="14"/>
    <x v="0"/>
    <x v="20"/>
    <x v="0"/>
    <x v="2"/>
    <x v="83"/>
    <x v="77"/>
    <x v="1"/>
    <x v="0"/>
    <x v="0"/>
    <x v="646"/>
    <x v="401"/>
    <x v="0"/>
    <x v="473"/>
    <x v="16"/>
    <x v="53"/>
    <x v="70"/>
    <x v="111"/>
    <x v="7"/>
    <x v="696"/>
    <x v="604"/>
    <x v="505"/>
  </r>
  <r>
    <x v="2"/>
    <x v="58"/>
    <x v="2"/>
    <x v="1"/>
    <x v="7"/>
    <x v="11"/>
    <x v="19"/>
    <x v="21"/>
    <x v="429"/>
    <x v="3"/>
    <x v="20"/>
    <x v="78"/>
    <x v="133"/>
    <x v="76"/>
    <x v="66"/>
    <x v="0"/>
    <x v="0"/>
    <x v="9"/>
    <x v="0"/>
    <x v="7"/>
    <x v="0"/>
    <x v="4"/>
    <x v="45"/>
    <x v="65"/>
    <x v="2"/>
    <x v="0"/>
    <x v="0"/>
    <x v="646"/>
    <x v="267"/>
    <x v="0"/>
    <x v="637"/>
    <x v="14"/>
    <x v="29"/>
    <x v="54"/>
    <x v="105"/>
    <x v="7"/>
    <x v="735"/>
    <x v="443"/>
    <x v="208"/>
  </r>
  <r>
    <x v="2"/>
    <x v="58"/>
    <x v="6"/>
    <x v="8"/>
    <x v="61"/>
    <x v="11"/>
    <x v="19"/>
    <x v="42"/>
    <x v="1083"/>
    <x v="0"/>
    <x v="42"/>
    <x v="224"/>
    <x v="211"/>
    <x v="977"/>
    <x v="518"/>
    <x v="0"/>
    <x v="0"/>
    <x v="0"/>
    <x v="0"/>
    <x v="124"/>
    <x v="0"/>
    <x v="0"/>
    <x v="594"/>
    <x v="353"/>
    <x v="26"/>
    <x v="0"/>
    <x v="0"/>
    <x v="646"/>
    <x v="570"/>
    <x v="0"/>
    <x v="256"/>
    <x v="12"/>
    <x v="94"/>
    <x v="108"/>
    <x v="545"/>
    <x v="3"/>
    <x v="23"/>
    <x v="749"/>
    <x v="1202"/>
  </r>
  <r>
    <x v="2"/>
    <x v="58"/>
    <x v="3"/>
    <x v="7"/>
    <x v="19"/>
    <x v="11"/>
    <x v="10"/>
    <x v="41"/>
    <x v="1091"/>
    <x v="0"/>
    <x v="42"/>
    <x v="184"/>
    <x v="156"/>
    <x v="258"/>
    <x v="187"/>
    <x v="0"/>
    <x v="0"/>
    <x v="0"/>
    <x v="0"/>
    <x v="0"/>
    <x v="0"/>
    <x v="0"/>
    <x v="270"/>
    <x v="24"/>
    <x v="10"/>
    <x v="0"/>
    <x v="0"/>
    <x v="646"/>
    <x v="0"/>
    <x v="0"/>
    <x v="958"/>
    <x v="51"/>
    <x v="40"/>
    <x v="15"/>
    <x v="97"/>
    <x v="2"/>
    <x v="205"/>
    <x v="395"/>
    <x v="37"/>
  </r>
  <r>
    <x v="2"/>
    <x v="58"/>
    <x v="3"/>
    <x v="4"/>
    <x v="57"/>
    <x v="11"/>
    <x v="8"/>
    <x v="43"/>
    <x v="1308"/>
    <x v="0"/>
    <x v="42"/>
    <x v="184"/>
    <x v="156"/>
    <x v="613"/>
    <x v="307"/>
    <x v="0"/>
    <x v="0"/>
    <x v="0"/>
    <x v="0"/>
    <x v="0"/>
    <x v="0"/>
    <x v="0"/>
    <x v="386"/>
    <x v="130"/>
    <x v="14"/>
    <x v="0"/>
    <x v="0"/>
    <x v="646"/>
    <x v="0"/>
    <x v="0"/>
    <x v="958"/>
    <x v="23"/>
    <x v="80"/>
    <x v="77"/>
    <x v="275"/>
    <x v="2"/>
    <x v="358"/>
    <x v="80"/>
    <x v="157"/>
  </r>
  <r>
    <x v="2"/>
    <x v="58"/>
    <x v="3"/>
    <x v="0"/>
    <x v="2"/>
    <x v="3"/>
    <x v="1"/>
    <x v="20"/>
    <x v="437"/>
    <x v="0"/>
    <x v="42"/>
    <x v="107"/>
    <x v="29"/>
    <x v="310"/>
    <x v="196"/>
    <x v="0"/>
    <x v="40"/>
    <x v="0"/>
    <x v="0"/>
    <x v="80"/>
    <x v="0"/>
    <x v="0"/>
    <x v="280"/>
    <x v="656"/>
    <x v="38"/>
    <x v="10"/>
    <x v="653"/>
    <x v="179"/>
    <x v="718"/>
    <x v="300"/>
    <x v="65"/>
    <x v="0"/>
    <x v="102"/>
    <x v="130"/>
    <x v="108"/>
    <x v="6"/>
    <x v="598"/>
    <x v="328"/>
    <x v="627"/>
  </r>
  <r>
    <x v="2"/>
    <x v="58"/>
    <x v="3"/>
    <x v="3"/>
    <x v="72"/>
    <x v="11"/>
    <x v="5"/>
    <x v="10"/>
    <x v="440"/>
    <x v="0"/>
    <x v="42"/>
    <x v="153"/>
    <x v="86"/>
    <x v="392"/>
    <x v="216"/>
    <x v="0"/>
    <x v="0"/>
    <x v="0"/>
    <x v="0"/>
    <x v="12"/>
    <x v="3"/>
    <x v="0"/>
    <x v="302"/>
    <x v="206"/>
    <x v="38"/>
    <x v="3"/>
    <x v="195"/>
    <x v="537"/>
    <x v="175"/>
    <x v="0"/>
    <x v="742"/>
    <x v="26"/>
    <x v="76"/>
    <x v="68"/>
    <x v="131"/>
    <x v="5"/>
    <x v="508"/>
    <x v="335"/>
    <x v="259"/>
  </r>
  <r>
    <x v="2"/>
    <x v="58"/>
    <x v="3"/>
    <x v="1"/>
    <x v="7"/>
    <x v="11"/>
    <x v="19"/>
    <x v="21"/>
    <x v="430"/>
    <x v="3"/>
    <x v="42"/>
    <x v="168"/>
    <x v="131"/>
    <x v="713"/>
    <x v="339"/>
    <x v="0"/>
    <x v="0"/>
    <x v="40"/>
    <x v="0"/>
    <x v="23"/>
    <x v="0"/>
    <x v="4"/>
    <x v="149"/>
    <x v="506"/>
    <x v="2"/>
    <x v="0"/>
    <x v="0"/>
    <x v="646"/>
    <x v="204"/>
    <x v="0"/>
    <x v="708"/>
    <x v="0"/>
    <x v="102"/>
    <x v="130"/>
    <x v="313"/>
    <x v="7"/>
    <x v="680"/>
    <x v="645"/>
    <x v="1127"/>
  </r>
  <r>
    <x v="2"/>
    <x v="58"/>
    <x v="5"/>
    <x v="3"/>
    <x v="72"/>
    <x v="11"/>
    <x v="5"/>
    <x v="10"/>
    <x v="441"/>
    <x v="2"/>
    <x v="42"/>
    <x v="153"/>
    <x v="86"/>
    <x v="712"/>
    <x v="341"/>
    <x v="0"/>
    <x v="0"/>
    <x v="0"/>
    <x v="0"/>
    <x v="6"/>
    <x v="0"/>
    <x v="0"/>
    <x v="412"/>
    <x v="721"/>
    <x v="38"/>
    <x v="3"/>
    <x v="493"/>
    <x v="632"/>
    <x v="70"/>
    <x v="0"/>
    <x v="871"/>
    <x v="0"/>
    <x v="102"/>
    <x v="130"/>
    <x v="314"/>
    <x v="5"/>
    <x v="413"/>
    <x v="593"/>
    <x v="1067"/>
  </r>
  <r>
    <x v="2"/>
    <x v="58"/>
    <x v="5"/>
    <x v="0"/>
    <x v="2"/>
    <x v="3"/>
    <x v="1"/>
    <x v="20"/>
    <x v="438"/>
    <x v="2"/>
    <x v="42"/>
    <x v="107"/>
    <x v="29"/>
    <x v="336"/>
    <x v="202"/>
    <x v="14"/>
    <x v="32"/>
    <x v="0"/>
    <x v="0"/>
    <x v="68"/>
    <x v="3"/>
    <x v="0"/>
    <x v="286"/>
    <x v="688"/>
    <x v="38"/>
    <x v="10"/>
    <x v="664"/>
    <x v="200"/>
    <x v="670"/>
    <x v="257"/>
    <x v="126"/>
    <x v="7"/>
    <x v="99"/>
    <x v="122"/>
    <x v="113"/>
    <x v="6"/>
    <x v="572"/>
    <x v="505"/>
    <x v="734"/>
  </r>
  <r>
    <x v="2"/>
    <x v="59"/>
    <x v="2"/>
    <x v="0"/>
    <x v="2"/>
    <x v="3"/>
    <x v="1"/>
    <x v="20"/>
    <x v="442"/>
    <x v="4"/>
    <x v="42"/>
    <x v="107"/>
    <x v="29"/>
    <x v="374"/>
    <x v="207"/>
    <x v="12"/>
    <x v="41"/>
    <x v="0"/>
    <x v="0"/>
    <x v="71"/>
    <x v="3"/>
    <x v="0"/>
    <x v="292"/>
    <x v="706"/>
    <x v="38"/>
    <x v="10"/>
    <x v="686"/>
    <x v="186"/>
    <x v="672"/>
    <x v="290"/>
    <x v="122"/>
    <x v="0"/>
    <x v="102"/>
    <x v="130"/>
    <x v="119"/>
    <x v="6"/>
    <x v="583"/>
    <x v="457"/>
    <x v="845"/>
  </r>
  <r>
    <x v="2"/>
    <x v="59"/>
    <x v="2"/>
    <x v="3"/>
    <x v="72"/>
    <x v="11"/>
    <x v="5"/>
    <x v="10"/>
    <x v="446"/>
    <x v="4"/>
    <x v="42"/>
    <x v="153"/>
    <x v="86"/>
    <x v="714"/>
    <x v="341"/>
    <x v="0"/>
    <x v="0"/>
    <x v="0"/>
    <x v="0"/>
    <x v="0"/>
    <x v="3"/>
    <x v="0"/>
    <x v="412"/>
    <x v="721"/>
    <x v="38"/>
    <x v="3"/>
    <x v="494"/>
    <x v="624"/>
    <x v="0"/>
    <x v="0"/>
    <x v="958"/>
    <x v="0"/>
    <x v="102"/>
    <x v="130"/>
    <x v="314"/>
    <x v="5"/>
    <x v="413"/>
    <x v="593"/>
    <x v="1070"/>
  </r>
  <r>
    <x v="2"/>
    <x v="59"/>
    <x v="2"/>
    <x v="1"/>
    <x v="7"/>
    <x v="11"/>
    <x v="5"/>
    <x v="21"/>
    <x v="431"/>
    <x v="3"/>
    <x v="42"/>
    <x v="168"/>
    <x v="131"/>
    <x v="770"/>
    <x v="349"/>
    <x v="0"/>
    <x v="0"/>
    <x v="33"/>
    <x v="0"/>
    <x v="62"/>
    <x v="0"/>
    <x v="4"/>
    <x v="155"/>
    <x v="581"/>
    <x v="2"/>
    <x v="0"/>
    <x v="0"/>
    <x v="646"/>
    <x v="429"/>
    <x v="0"/>
    <x v="433"/>
    <x v="0"/>
    <x v="102"/>
    <x v="130"/>
    <x v="325"/>
    <x v="7"/>
    <x v="677"/>
    <x v="657"/>
    <x v="1136"/>
  </r>
  <r>
    <x v="2"/>
    <x v="59"/>
    <x v="6"/>
    <x v="9"/>
    <x v="24"/>
    <x v="11"/>
    <x v="17"/>
    <x v="32"/>
    <x v="1042"/>
    <x v="0"/>
    <x v="42"/>
    <x v="229"/>
    <x v="234"/>
    <x v="1008"/>
    <x v="556"/>
    <x v="0"/>
    <x v="0"/>
    <x v="0"/>
    <x v="0"/>
    <x v="20"/>
    <x v="0"/>
    <x v="1"/>
    <x v="541"/>
    <x v="470"/>
    <x v="15"/>
    <x v="0"/>
    <x v="0"/>
    <x v="646"/>
    <x v="78"/>
    <x v="0"/>
    <x v="863"/>
    <x v="12"/>
    <x v="94"/>
    <x v="108"/>
    <x v="604"/>
    <x v="1"/>
    <x v="124"/>
    <x v="114"/>
    <x v="276"/>
  </r>
  <r>
    <x v="2"/>
    <x v="59"/>
    <x v="3"/>
    <x v="5"/>
    <x v="10"/>
    <x v="7"/>
    <x v="7"/>
    <x v="45"/>
    <x v="1095"/>
    <x v="0"/>
    <x v="42"/>
    <x v="163"/>
    <x v="124"/>
    <x v="715"/>
    <x v="327"/>
    <x v="79"/>
    <x v="80"/>
    <x v="0"/>
    <x v="0"/>
    <x v="92"/>
    <x v="3"/>
    <x v="0"/>
    <x v="403"/>
    <x v="551"/>
    <x v="44"/>
    <x v="1"/>
    <x v="499"/>
    <x v="12"/>
    <x v="617"/>
    <x v="341"/>
    <x v="202"/>
    <x v="0"/>
    <x v="102"/>
    <x v="130"/>
    <x v="300"/>
    <x v="4"/>
    <x v="432"/>
    <x v="329"/>
    <x v="653"/>
  </r>
  <r>
    <x v="2"/>
    <x v="59"/>
    <x v="3"/>
    <x v="3"/>
    <x v="72"/>
    <x v="11"/>
    <x v="5"/>
    <x v="10"/>
    <x v="447"/>
    <x v="0"/>
    <x v="42"/>
    <x v="153"/>
    <x v="86"/>
    <x v="658"/>
    <x v="327"/>
    <x v="0"/>
    <x v="0"/>
    <x v="0"/>
    <x v="0"/>
    <x v="12"/>
    <x v="0"/>
    <x v="0"/>
    <x v="403"/>
    <x v="703"/>
    <x v="38"/>
    <x v="3"/>
    <x v="473"/>
    <x v="605"/>
    <x v="132"/>
    <x v="0"/>
    <x v="791"/>
    <x v="7"/>
    <x v="99"/>
    <x v="122"/>
    <x v="300"/>
    <x v="5"/>
    <x v="403"/>
    <x v="614"/>
    <x v="1027"/>
  </r>
  <r>
    <x v="2"/>
    <x v="59"/>
    <x v="3"/>
    <x v="0"/>
    <x v="2"/>
    <x v="3"/>
    <x v="1"/>
    <x v="20"/>
    <x v="443"/>
    <x v="0"/>
    <x v="42"/>
    <x v="107"/>
    <x v="29"/>
    <x v="338"/>
    <x v="202"/>
    <x v="0"/>
    <x v="22"/>
    <x v="0"/>
    <x v="0"/>
    <x v="89"/>
    <x v="0"/>
    <x v="0"/>
    <x v="286"/>
    <x v="688"/>
    <x v="38"/>
    <x v="10"/>
    <x v="663"/>
    <x v="207"/>
    <x v="730"/>
    <x v="194"/>
    <x v="44"/>
    <x v="0"/>
    <x v="102"/>
    <x v="130"/>
    <x v="113"/>
    <x v="6"/>
    <x v="591"/>
    <x v="390"/>
    <x v="718"/>
  </r>
  <r>
    <x v="2"/>
    <x v="59"/>
    <x v="3"/>
    <x v="7"/>
    <x v="18"/>
    <x v="11"/>
    <x v="10"/>
    <x v="47"/>
    <x v="1096"/>
    <x v="0"/>
    <x v="20"/>
    <x v="111"/>
    <x v="155"/>
    <x v="298"/>
    <x v="199"/>
    <x v="0"/>
    <x v="0"/>
    <x v="0"/>
    <x v="0"/>
    <x v="0"/>
    <x v="3"/>
    <x v="0"/>
    <x v="284"/>
    <x v="668"/>
    <x v="9"/>
    <x v="0"/>
    <x v="0"/>
    <x v="646"/>
    <x v="0"/>
    <x v="0"/>
    <x v="958"/>
    <x v="9"/>
    <x v="33"/>
    <x v="72"/>
    <x v="460"/>
    <x v="2"/>
    <x v="91"/>
    <x v="669"/>
    <x v="886"/>
  </r>
  <r>
    <x v="2"/>
    <x v="59"/>
    <x v="3"/>
    <x v="4"/>
    <x v="56"/>
    <x v="11"/>
    <x v="8"/>
    <x v="49"/>
    <x v="1094"/>
    <x v="0"/>
    <x v="14"/>
    <x v="70"/>
    <x v="156"/>
    <x v="185"/>
    <x v="144"/>
    <x v="0"/>
    <x v="0"/>
    <x v="0"/>
    <x v="0"/>
    <x v="0"/>
    <x v="0"/>
    <x v="0"/>
    <x v="223"/>
    <x v="683"/>
    <x v="13"/>
    <x v="0"/>
    <x v="0"/>
    <x v="646"/>
    <x v="0"/>
    <x v="0"/>
    <x v="958"/>
    <x v="9"/>
    <x v="20"/>
    <x v="54"/>
    <x v="465"/>
    <x v="2"/>
    <x v="46"/>
    <x v="709"/>
    <x v="928"/>
  </r>
  <r>
    <x v="2"/>
    <x v="59"/>
    <x v="3"/>
    <x v="1"/>
    <x v="7"/>
    <x v="11"/>
    <x v="19"/>
    <x v="21"/>
    <x v="444"/>
    <x v="0"/>
    <x v="42"/>
    <x v="168"/>
    <x v="131"/>
    <x v="761"/>
    <x v="349"/>
    <x v="0"/>
    <x v="0"/>
    <x v="40"/>
    <x v="0"/>
    <x v="26"/>
    <x v="0"/>
    <x v="5"/>
    <x v="127"/>
    <x v="581"/>
    <x v="2"/>
    <x v="0"/>
    <x v="0"/>
    <x v="646"/>
    <x v="212"/>
    <x v="0"/>
    <x v="699"/>
    <x v="0"/>
    <x v="102"/>
    <x v="130"/>
    <x v="325"/>
    <x v="7"/>
    <x v="724"/>
    <x v="511"/>
    <x v="980"/>
  </r>
  <r>
    <x v="2"/>
    <x v="59"/>
    <x v="5"/>
    <x v="5"/>
    <x v="10"/>
    <x v="7"/>
    <x v="7"/>
    <x v="45"/>
    <x v="1098"/>
    <x v="2"/>
    <x v="42"/>
    <x v="163"/>
    <x v="124"/>
    <x v="780"/>
    <x v="349"/>
    <x v="0"/>
    <x v="30"/>
    <x v="0"/>
    <x v="0"/>
    <x v="60"/>
    <x v="0"/>
    <x v="0"/>
    <x v="417"/>
    <x v="643"/>
    <x v="44"/>
    <x v="1"/>
    <x v="397"/>
    <x v="401"/>
    <x v="416"/>
    <x v="122"/>
    <x v="456"/>
    <x v="0"/>
    <x v="102"/>
    <x v="130"/>
    <x v="325"/>
    <x v="4"/>
    <x v="396"/>
    <x v="471"/>
    <x v="895"/>
  </r>
  <r>
    <x v="2"/>
    <x v="59"/>
    <x v="5"/>
    <x v="3"/>
    <x v="72"/>
    <x v="11"/>
    <x v="5"/>
    <x v="10"/>
    <x v="448"/>
    <x v="2"/>
    <x v="42"/>
    <x v="153"/>
    <x v="86"/>
    <x v="579"/>
    <x v="292"/>
    <x v="0"/>
    <x v="0"/>
    <x v="0"/>
    <x v="0"/>
    <x v="16"/>
    <x v="3"/>
    <x v="0"/>
    <x v="373"/>
    <x v="615"/>
    <x v="38"/>
    <x v="3"/>
    <x v="434"/>
    <x v="541"/>
    <x v="171"/>
    <x v="0"/>
    <x v="745"/>
    <x v="9"/>
    <x v="97"/>
    <x v="117"/>
    <x v="247"/>
    <x v="5"/>
    <x v="445"/>
    <x v="526"/>
    <x v="753"/>
  </r>
  <r>
    <x v="2"/>
    <x v="59"/>
    <x v="5"/>
    <x v="0"/>
    <x v="2"/>
    <x v="3"/>
    <x v="1"/>
    <x v="20"/>
    <x v="445"/>
    <x v="2"/>
    <x v="42"/>
    <x v="107"/>
    <x v="29"/>
    <x v="252"/>
    <x v="176"/>
    <x v="22"/>
    <x v="27"/>
    <x v="0"/>
    <x v="0"/>
    <x v="68"/>
    <x v="3"/>
    <x v="0"/>
    <x v="258"/>
    <x v="481"/>
    <x v="38"/>
    <x v="10"/>
    <x v="626"/>
    <x v="168"/>
    <x v="705"/>
    <x v="255"/>
    <x v="78"/>
    <x v="14"/>
    <x v="91"/>
    <x v="102"/>
    <x v="87"/>
    <x v="6"/>
    <x v="595"/>
    <x v="358"/>
    <x v="406"/>
  </r>
  <r>
    <x v="2"/>
    <x v="60"/>
    <x v="2"/>
    <x v="0"/>
    <x v="2"/>
    <x v="3"/>
    <x v="1"/>
    <x v="20"/>
    <x v="449"/>
    <x v="4"/>
    <x v="34"/>
    <x v="83"/>
    <x v="35"/>
    <x v="202"/>
    <x v="148"/>
    <x v="17"/>
    <x v="24"/>
    <x v="0"/>
    <x v="0"/>
    <x v="55"/>
    <x v="3"/>
    <x v="0"/>
    <x v="227"/>
    <x v="605"/>
    <x v="38"/>
    <x v="10"/>
    <x v="603"/>
    <x v="161"/>
    <x v="700"/>
    <x v="280"/>
    <x v="84"/>
    <x v="0"/>
    <x v="76"/>
    <x v="130"/>
    <x v="105"/>
    <x v="6"/>
    <x v="601"/>
    <x v="295"/>
    <x v="602"/>
  </r>
  <r>
    <x v="2"/>
    <x v="60"/>
    <x v="2"/>
    <x v="5"/>
    <x v="10"/>
    <x v="7"/>
    <x v="7"/>
    <x v="45"/>
    <x v="1100"/>
    <x v="4"/>
    <x v="34"/>
    <x v="137"/>
    <x v="122"/>
    <x v="451"/>
    <x v="244"/>
    <x v="28"/>
    <x v="28"/>
    <x v="0"/>
    <x v="0"/>
    <x v="40"/>
    <x v="3"/>
    <x v="0"/>
    <x v="327"/>
    <x v="498"/>
    <x v="44"/>
    <x v="1"/>
    <x v="152"/>
    <x v="212"/>
    <x v="412"/>
    <x v="203"/>
    <x v="466"/>
    <x v="0"/>
    <x v="76"/>
    <x v="130"/>
    <x v="285"/>
    <x v="4"/>
    <x v="453"/>
    <x v="272"/>
    <x v="601"/>
  </r>
  <r>
    <x v="2"/>
    <x v="60"/>
    <x v="6"/>
    <x v="8"/>
    <x v="60"/>
    <x v="11"/>
    <x v="19"/>
    <x v="48"/>
    <x v="1094"/>
    <x v="0"/>
    <x v="14"/>
    <x v="135"/>
    <x v="210"/>
    <x v="305"/>
    <x v="199"/>
    <x v="0"/>
    <x v="0"/>
    <x v="0"/>
    <x v="0"/>
    <x v="40"/>
    <x v="0"/>
    <x v="0"/>
    <x v="284"/>
    <x v="250"/>
    <x v="25"/>
    <x v="0"/>
    <x v="0"/>
    <x v="646"/>
    <x v="504"/>
    <x v="0"/>
    <x v="331"/>
    <x v="0"/>
    <x v="29"/>
    <x v="130"/>
    <x v="519"/>
    <x v="3"/>
    <x v="53"/>
    <x v="728"/>
    <x v="1192"/>
  </r>
  <r>
    <x v="2"/>
    <x v="60"/>
    <x v="6"/>
    <x v="8"/>
    <x v="61"/>
    <x v="11"/>
    <x v="19"/>
    <x v="42"/>
    <x v="1092"/>
    <x v="0"/>
    <x v="14"/>
    <x v="135"/>
    <x v="210"/>
    <x v="225"/>
    <x v="165"/>
    <x v="0"/>
    <x v="0"/>
    <x v="0"/>
    <x v="0"/>
    <x v="61"/>
    <x v="0"/>
    <x v="0"/>
    <x v="244"/>
    <x v="138"/>
    <x v="26"/>
    <x v="0"/>
    <x v="0"/>
    <x v="646"/>
    <x v="697"/>
    <x v="0"/>
    <x v="83"/>
    <x v="0"/>
    <x v="29"/>
    <x v="130"/>
    <x v="487"/>
    <x v="3"/>
    <x v="104"/>
    <x v="693"/>
    <x v="1162"/>
  </r>
  <r>
    <x v="2"/>
    <x v="60"/>
    <x v="6"/>
    <x v="9"/>
    <x v="23"/>
    <x v="11"/>
    <x v="17"/>
    <x v="44"/>
    <x v="1076"/>
    <x v="4"/>
    <x v="24"/>
    <x v="193"/>
    <x v="230"/>
    <x v="915"/>
    <x v="452"/>
    <x v="0"/>
    <x v="0"/>
    <x v="0"/>
    <x v="0"/>
    <x v="3"/>
    <x v="0"/>
    <x v="1"/>
    <x v="352"/>
    <x v="508"/>
    <x v="14"/>
    <x v="0"/>
    <x v="0"/>
    <x v="646"/>
    <x v="16"/>
    <x v="0"/>
    <x v="941"/>
    <x v="0"/>
    <x v="55"/>
    <x v="130"/>
    <x v="609"/>
    <x v="1"/>
    <x v="157"/>
    <x v="67"/>
    <x v="286"/>
  </r>
  <r>
    <x v="2"/>
    <x v="60"/>
    <x v="2"/>
    <x v="3"/>
    <x v="72"/>
    <x v="11"/>
    <x v="5"/>
    <x v="10"/>
    <x v="452"/>
    <x v="0"/>
    <x v="38"/>
    <x v="137"/>
    <x v="73"/>
    <x v="444"/>
    <x v="245"/>
    <x v="0"/>
    <x v="0"/>
    <x v="0"/>
    <x v="0"/>
    <x v="8"/>
    <x v="0"/>
    <x v="0"/>
    <x v="328"/>
    <x v="512"/>
    <x v="38"/>
    <x v="3"/>
    <x v="257"/>
    <x v="612"/>
    <x v="120"/>
    <x v="0"/>
    <x v="804"/>
    <x v="14"/>
    <x v="76"/>
    <x v="96"/>
    <x v="215"/>
    <x v="5"/>
    <x v="448"/>
    <x v="521"/>
    <x v="588"/>
  </r>
  <r>
    <x v="2"/>
    <x v="60"/>
    <x v="2"/>
    <x v="7"/>
    <x v="18"/>
    <x v="11"/>
    <x v="10"/>
    <x v="47"/>
    <x v="1097"/>
    <x v="0"/>
    <x v="38"/>
    <x v="177"/>
    <x v="153"/>
    <x v="752"/>
    <x v="349"/>
    <x v="0"/>
    <x v="0"/>
    <x v="0"/>
    <x v="0"/>
    <x v="0"/>
    <x v="0"/>
    <x v="0"/>
    <x v="417"/>
    <x v="303"/>
    <x v="9"/>
    <x v="0"/>
    <x v="0"/>
    <x v="646"/>
    <x v="0"/>
    <x v="0"/>
    <x v="958"/>
    <x v="14"/>
    <x v="76"/>
    <x v="96"/>
    <x v="361"/>
    <x v="2"/>
    <x v="277"/>
    <x v="248"/>
    <x v="349"/>
  </r>
  <r>
    <x v="2"/>
    <x v="60"/>
    <x v="2"/>
    <x v="4"/>
    <x v="56"/>
    <x v="11"/>
    <x v="8"/>
    <x v="49"/>
    <x v="1094"/>
    <x v="0"/>
    <x v="38"/>
    <x v="177"/>
    <x v="153"/>
    <x v="645"/>
    <x v="325"/>
    <x v="0"/>
    <x v="0"/>
    <x v="0"/>
    <x v="0"/>
    <x v="0"/>
    <x v="0"/>
    <x v="0"/>
    <x v="400"/>
    <x v="229"/>
    <x v="13"/>
    <x v="0"/>
    <x v="0"/>
    <x v="646"/>
    <x v="0"/>
    <x v="0"/>
    <x v="958"/>
    <x v="7"/>
    <x v="82"/>
    <x v="120"/>
    <x v="337"/>
    <x v="2"/>
    <x v="356"/>
    <x v="88"/>
    <x v="260"/>
  </r>
  <r>
    <x v="2"/>
    <x v="60"/>
    <x v="2"/>
    <x v="1"/>
    <x v="7"/>
    <x v="11"/>
    <x v="19"/>
    <x v="21"/>
    <x v="444"/>
    <x v="3"/>
    <x v="36"/>
    <x v="154"/>
    <x v="133"/>
    <x v="463"/>
    <x v="255"/>
    <x v="0"/>
    <x v="0"/>
    <x v="25"/>
    <x v="0"/>
    <x v="29"/>
    <x v="0"/>
    <x v="4"/>
    <x v="110"/>
    <x v="348"/>
    <x v="2"/>
    <x v="0"/>
    <x v="0"/>
    <x v="646"/>
    <x v="297"/>
    <x v="0"/>
    <x v="604"/>
    <x v="2"/>
    <x v="80"/>
    <x v="129"/>
    <x v="279"/>
    <x v="7"/>
    <x v="695"/>
    <x v="606"/>
    <x v="1055"/>
  </r>
  <r>
    <x v="2"/>
    <x v="61"/>
    <x v="2"/>
    <x v="0"/>
    <x v="2"/>
    <x v="3"/>
    <x v="1"/>
    <x v="20"/>
    <x v="453"/>
    <x v="1"/>
    <x v="42"/>
    <x v="85"/>
    <x v="13"/>
    <x v="192"/>
    <x v="146"/>
    <x v="4"/>
    <x v="22"/>
    <x v="0"/>
    <x v="0"/>
    <x v="40"/>
    <x v="3"/>
    <x v="0"/>
    <x v="225"/>
    <x v="477"/>
    <x v="38"/>
    <x v="10"/>
    <x v="586"/>
    <x v="210"/>
    <x v="627"/>
    <x v="274"/>
    <x v="189"/>
    <x v="26"/>
    <x v="76"/>
    <x v="68"/>
    <x v="57"/>
    <x v="6"/>
    <x v="610"/>
    <x v="210"/>
    <x v="194"/>
  </r>
  <r>
    <x v="2"/>
    <x v="61"/>
    <x v="2"/>
    <x v="5"/>
    <x v="10"/>
    <x v="7"/>
    <x v="7"/>
    <x v="45"/>
    <x v="1103"/>
    <x v="1"/>
    <x v="42"/>
    <x v="137"/>
    <x v="56"/>
    <x v="419"/>
    <x v="216"/>
    <x v="51"/>
    <x v="61"/>
    <x v="0"/>
    <x v="0"/>
    <x v="62"/>
    <x v="3"/>
    <x v="0"/>
    <x v="302"/>
    <x v="323"/>
    <x v="44"/>
    <x v="1"/>
    <x v="136"/>
    <x v="69"/>
    <x v="616"/>
    <x v="347"/>
    <x v="203"/>
    <x v="31"/>
    <x v="70"/>
    <x v="55"/>
    <x v="131"/>
    <x v="4"/>
    <x v="458"/>
    <x v="248"/>
    <x v="168"/>
  </r>
  <r>
    <x v="2"/>
    <x v="61"/>
    <x v="2"/>
    <x v="3"/>
    <x v="72"/>
    <x v="11"/>
    <x v="5"/>
    <x v="10"/>
    <x v="457"/>
    <x v="1"/>
    <x v="42"/>
    <x v="137"/>
    <x v="56"/>
    <x v="491"/>
    <x v="266"/>
    <x v="2"/>
    <x v="10"/>
    <x v="0"/>
    <x v="0"/>
    <x v="4"/>
    <x v="3"/>
    <x v="0"/>
    <x v="347"/>
    <x v="631"/>
    <x v="38"/>
    <x v="3"/>
    <x v="313"/>
    <x v="494"/>
    <x v="60"/>
    <x v="42"/>
    <x v="889"/>
    <x v="19"/>
    <x v="84"/>
    <x v="89"/>
    <x v="194"/>
    <x v="5"/>
    <x v="458"/>
    <x v="496"/>
    <x v="496"/>
  </r>
  <r>
    <x v="2"/>
    <x v="61"/>
    <x v="2"/>
    <x v="7"/>
    <x v="18"/>
    <x v="11"/>
    <x v="10"/>
    <x v="47"/>
    <x v="1099"/>
    <x v="1"/>
    <x v="42"/>
    <x v="184"/>
    <x v="156"/>
    <x v="872"/>
    <x v="403"/>
    <x v="0"/>
    <x v="0"/>
    <x v="0"/>
    <x v="0"/>
    <x v="0"/>
    <x v="0"/>
    <x v="0"/>
    <x v="472"/>
    <x v="374"/>
    <x v="9"/>
    <x v="0"/>
    <x v="0"/>
    <x v="646"/>
    <x v="0"/>
    <x v="0"/>
    <x v="958"/>
    <x v="12"/>
    <x v="94"/>
    <x v="108"/>
    <x v="384"/>
    <x v="2"/>
    <x v="252"/>
    <x v="301"/>
    <x v="434"/>
  </r>
  <r>
    <x v="2"/>
    <x v="61"/>
    <x v="2"/>
    <x v="4"/>
    <x v="56"/>
    <x v="11"/>
    <x v="8"/>
    <x v="49"/>
    <x v="1308"/>
    <x v="1"/>
    <x v="42"/>
    <x v="184"/>
    <x v="156"/>
    <x v="887"/>
    <x v="423"/>
    <x v="0"/>
    <x v="0"/>
    <x v="0"/>
    <x v="0"/>
    <x v="0"/>
    <x v="0"/>
    <x v="0"/>
    <x v="501"/>
    <x v="482"/>
    <x v="13"/>
    <x v="0"/>
    <x v="0"/>
    <x v="646"/>
    <x v="0"/>
    <x v="0"/>
    <x v="958"/>
    <x v="12"/>
    <x v="94"/>
    <x v="108"/>
    <x v="417"/>
    <x v="2"/>
    <x v="196"/>
    <x v="415"/>
    <x v="543"/>
  </r>
  <r>
    <x v="2"/>
    <x v="61"/>
    <x v="2"/>
    <x v="1"/>
    <x v="7"/>
    <x v="11"/>
    <x v="19"/>
    <x v="21"/>
    <x v="450"/>
    <x v="1"/>
    <x v="42"/>
    <x v="169"/>
    <x v="133"/>
    <x v="375"/>
    <x v="213"/>
    <x v="0"/>
    <x v="0"/>
    <x v="56"/>
    <x v="0"/>
    <x v="25"/>
    <x v="0"/>
    <x v="2"/>
    <x v="116"/>
    <x v="106"/>
    <x v="2"/>
    <x v="0"/>
    <x v="0"/>
    <x v="646"/>
    <x v="304"/>
    <x v="0"/>
    <x v="597"/>
    <x v="9"/>
    <x v="97"/>
    <x v="117"/>
    <x v="126"/>
    <x v="7"/>
    <x v="727"/>
    <x v="491"/>
    <x v="698"/>
  </r>
  <r>
    <x v="2"/>
    <x v="61"/>
    <x v="6"/>
    <x v="9"/>
    <x v="25"/>
    <x v="11"/>
    <x v="17"/>
    <x v="56"/>
    <x v="1092"/>
    <x v="0"/>
    <x v="24"/>
    <x v="193"/>
    <x v="230"/>
    <x v="422"/>
    <x v="231"/>
    <x v="0"/>
    <x v="0"/>
    <x v="0"/>
    <x v="0"/>
    <x v="3"/>
    <x v="0"/>
    <x v="1"/>
    <x v="207"/>
    <x v="38"/>
    <x v="16"/>
    <x v="0"/>
    <x v="0"/>
    <x v="646"/>
    <x v="52"/>
    <x v="0"/>
    <x v="897"/>
    <x v="32"/>
    <x v="20"/>
    <x v="13"/>
    <x v="407"/>
    <x v="1"/>
    <x v="84"/>
    <x v="305"/>
    <x v="29"/>
  </r>
  <r>
    <x v="2"/>
    <x v="61"/>
    <x v="6"/>
    <x v="9"/>
    <x v="22"/>
    <x v="11"/>
    <x v="17"/>
    <x v="50"/>
    <x v="1101"/>
    <x v="0"/>
    <x v="27"/>
    <x v="199"/>
    <x v="218"/>
    <x v="837"/>
    <x v="369"/>
    <x v="0"/>
    <x v="0"/>
    <x v="0"/>
    <x v="0"/>
    <x v="2"/>
    <x v="0"/>
    <x v="1"/>
    <x v="282"/>
    <x v="159"/>
    <x v="29"/>
    <x v="0"/>
    <x v="0"/>
    <x v="646"/>
    <x v="14"/>
    <x v="0"/>
    <x v="944"/>
    <x v="28"/>
    <x v="33"/>
    <x v="33"/>
    <x v="497"/>
    <x v="1"/>
    <x v="96"/>
    <x v="262"/>
    <x v="77"/>
  </r>
  <r>
    <x v="2"/>
    <x v="61"/>
    <x v="6"/>
    <x v="8"/>
    <x v="60"/>
    <x v="11"/>
    <x v="19"/>
    <x v="48"/>
    <x v="1094"/>
    <x v="0"/>
    <x v="42"/>
    <x v="221"/>
    <x v="207"/>
    <x v="975"/>
    <x v="520"/>
    <x v="0"/>
    <x v="0"/>
    <x v="0"/>
    <x v="0"/>
    <x v="24"/>
    <x v="0"/>
    <x v="0"/>
    <x v="596"/>
    <x v="375"/>
    <x v="25"/>
    <x v="0"/>
    <x v="0"/>
    <x v="646"/>
    <x v="104"/>
    <x v="0"/>
    <x v="822"/>
    <x v="12"/>
    <x v="94"/>
    <x v="108"/>
    <x v="549"/>
    <x v="3"/>
    <x v="21"/>
    <x v="751"/>
    <x v="1204"/>
  </r>
  <r>
    <x v="2"/>
    <x v="61"/>
    <x v="3"/>
    <x v="7"/>
    <x v="18"/>
    <x v="11"/>
    <x v="10"/>
    <x v="47"/>
    <x v="1104"/>
    <x v="0"/>
    <x v="42"/>
    <x v="184"/>
    <x v="156"/>
    <x v="854"/>
    <x v="386"/>
    <x v="0"/>
    <x v="0"/>
    <x v="0"/>
    <x v="0"/>
    <x v="0"/>
    <x v="0"/>
    <x v="0"/>
    <x v="455"/>
    <x v="303"/>
    <x v="9"/>
    <x v="0"/>
    <x v="0"/>
    <x v="646"/>
    <x v="0"/>
    <x v="0"/>
    <x v="958"/>
    <x v="23"/>
    <x v="80"/>
    <x v="77"/>
    <x v="368"/>
    <x v="2"/>
    <x v="183"/>
    <x v="433"/>
    <x v="373"/>
  </r>
  <r>
    <x v="2"/>
    <x v="61"/>
    <x v="3"/>
    <x v="4"/>
    <x v="56"/>
    <x v="11"/>
    <x v="8"/>
    <x v="49"/>
    <x v="1101"/>
    <x v="0"/>
    <x v="42"/>
    <x v="184"/>
    <x v="156"/>
    <x v="854"/>
    <x v="386"/>
    <x v="0"/>
    <x v="0"/>
    <x v="0"/>
    <x v="0"/>
    <x v="0"/>
    <x v="0"/>
    <x v="0"/>
    <x v="455"/>
    <x v="303"/>
    <x v="13"/>
    <x v="0"/>
    <x v="0"/>
    <x v="646"/>
    <x v="0"/>
    <x v="0"/>
    <x v="958"/>
    <x v="23"/>
    <x v="80"/>
    <x v="77"/>
    <x v="368"/>
    <x v="2"/>
    <x v="183"/>
    <x v="433"/>
    <x v="373"/>
  </r>
  <r>
    <x v="2"/>
    <x v="61"/>
    <x v="3"/>
    <x v="5"/>
    <x v="10"/>
    <x v="7"/>
    <x v="7"/>
    <x v="45"/>
    <x v="1105"/>
    <x v="0"/>
    <x v="42"/>
    <x v="163"/>
    <x v="124"/>
    <x v="705"/>
    <x v="327"/>
    <x v="0"/>
    <x v="71"/>
    <x v="0"/>
    <x v="0"/>
    <x v="95"/>
    <x v="0"/>
    <x v="0"/>
    <x v="403"/>
    <x v="551"/>
    <x v="44"/>
    <x v="1"/>
    <x v="332"/>
    <x v="219"/>
    <x v="635"/>
    <x v="312"/>
    <x v="178"/>
    <x v="0"/>
    <x v="102"/>
    <x v="130"/>
    <x v="300"/>
    <x v="4"/>
    <x v="432"/>
    <x v="329"/>
    <x v="646"/>
  </r>
  <r>
    <x v="2"/>
    <x v="61"/>
    <x v="3"/>
    <x v="3"/>
    <x v="72"/>
    <x v="11"/>
    <x v="5"/>
    <x v="10"/>
    <x v="458"/>
    <x v="0"/>
    <x v="42"/>
    <x v="153"/>
    <x v="86"/>
    <x v="580"/>
    <x v="292"/>
    <x v="0"/>
    <x v="16"/>
    <x v="0"/>
    <x v="0"/>
    <x v="16"/>
    <x v="0"/>
    <x v="0"/>
    <x v="373"/>
    <x v="615"/>
    <x v="38"/>
    <x v="3"/>
    <x v="438"/>
    <x v="509"/>
    <x v="171"/>
    <x v="55"/>
    <x v="746"/>
    <x v="9"/>
    <x v="97"/>
    <x v="117"/>
    <x v="247"/>
    <x v="5"/>
    <x v="445"/>
    <x v="526"/>
    <x v="754"/>
  </r>
  <r>
    <x v="2"/>
    <x v="61"/>
    <x v="3"/>
    <x v="0"/>
    <x v="2"/>
    <x v="3"/>
    <x v="1"/>
    <x v="20"/>
    <x v="454"/>
    <x v="0"/>
    <x v="42"/>
    <x v="107"/>
    <x v="29"/>
    <x v="270"/>
    <x v="183"/>
    <x v="0"/>
    <x v="49"/>
    <x v="0"/>
    <x v="0"/>
    <x v="66"/>
    <x v="0"/>
    <x v="0"/>
    <x v="266"/>
    <x v="565"/>
    <x v="38"/>
    <x v="10"/>
    <x v="641"/>
    <x v="172"/>
    <x v="691"/>
    <x v="348"/>
    <x v="95"/>
    <x v="0"/>
    <x v="102"/>
    <x v="130"/>
    <x v="93"/>
    <x v="6"/>
    <x v="615"/>
    <x v="193"/>
    <x v="463"/>
  </r>
  <r>
    <x v="2"/>
    <x v="61"/>
    <x v="3"/>
    <x v="1"/>
    <x v="7"/>
    <x v="11"/>
    <x v="19"/>
    <x v="21"/>
    <x v="451"/>
    <x v="0"/>
    <x v="42"/>
    <x v="169"/>
    <x v="133"/>
    <x v="610"/>
    <x v="303"/>
    <x v="0"/>
    <x v="0"/>
    <x v="35"/>
    <x v="0"/>
    <x v="34"/>
    <x v="0"/>
    <x v="4"/>
    <x v="131"/>
    <x v="326"/>
    <x v="2"/>
    <x v="0"/>
    <x v="0"/>
    <x v="646"/>
    <x v="289"/>
    <x v="0"/>
    <x v="612"/>
    <x v="9"/>
    <x v="97"/>
    <x v="117"/>
    <x v="271"/>
    <x v="7"/>
    <x v="683"/>
    <x v="640"/>
    <x v="1050"/>
  </r>
  <r>
    <x v="2"/>
    <x v="61"/>
    <x v="5"/>
    <x v="0"/>
    <x v="2"/>
    <x v="3"/>
    <x v="1"/>
    <x v="20"/>
    <x v="456"/>
    <x v="4"/>
    <x v="42"/>
    <x v="107"/>
    <x v="29"/>
    <x v="336"/>
    <x v="202"/>
    <x v="21"/>
    <x v="30"/>
    <x v="0"/>
    <x v="0"/>
    <x v="70"/>
    <x v="3"/>
    <x v="0"/>
    <x v="286"/>
    <x v="688"/>
    <x v="38"/>
    <x v="10"/>
    <x v="665"/>
    <x v="197"/>
    <x v="678"/>
    <x v="245"/>
    <x v="110"/>
    <x v="0"/>
    <x v="102"/>
    <x v="130"/>
    <x v="113"/>
    <x v="6"/>
    <x v="591"/>
    <x v="390"/>
    <x v="730"/>
  </r>
  <r>
    <x v="2"/>
    <x v="61"/>
    <x v="5"/>
    <x v="3"/>
    <x v="72"/>
    <x v="11"/>
    <x v="5"/>
    <x v="10"/>
    <x v="459"/>
    <x v="4"/>
    <x v="42"/>
    <x v="153"/>
    <x v="86"/>
    <x v="662"/>
    <x v="327"/>
    <x v="0"/>
    <x v="9"/>
    <x v="0"/>
    <x v="0"/>
    <x v="5"/>
    <x v="3"/>
    <x v="0"/>
    <x v="403"/>
    <x v="703"/>
    <x v="38"/>
    <x v="3"/>
    <x v="479"/>
    <x v="540"/>
    <x v="60"/>
    <x v="25"/>
    <x v="887"/>
    <x v="0"/>
    <x v="102"/>
    <x v="130"/>
    <x v="300"/>
    <x v="5"/>
    <x v="432"/>
    <x v="550"/>
    <x v="1034"/>
  </r>
  <r>
    <x v="2"/>
    <x v="61"/>
    <x v="5"/>
    <x v="5"/>
    <x v="10"/>
    <x v="7"/>
    <x v="7"/>
    <x v="45"/>
    <x v="1106"/>
    <x v="4"/>
    <x v="42"/>
    <x v="163"/>
    <x v="124"/>
    <x v="697"/>
    <x v="327"/>
    <x v="0"/>
    <x v="25"/>
    <x v="0"/>
    <x v="0"/>
    <x v="77"/>
    <x v="5"/>
    <x v="0"/>
    <x v="403"/>
    <x v="551"/>
    <x v="44"/>
    <x v="1"/>
    <x v="322"/>
    <x v="315"/>
    <x v="564"/>
    <x v="103"/>
    <x v="270"/>
    <x v="0"/>
    <x v="102"/>
    <x v="130"/>
    <x v="300"/>
    <x v="4"/>
    <x v="432"/>
    <x v="329"/>
    <x v="661"/>
  </r>
  <r>
    <x v="2"/>
    <x v="62"/>
    <x v="2"/>
    <x v="0"/>
    <x v="2"/>
    <x v="3"/>
    <x v="1"/>
    <x v="20"/>
    <x v="460"/>
    <x v="4"/>
    <x v="42"/>
    <x v="107"/>
    <x v="29"/>
    <x v="397"/>
    <x v="213"/>
    <x v="12"/>
    <x v="12"/>
    <x v="0"/>
    <x v="0"/>
    <x v="76"/>
    <x v="3"/>
    <x v="0"/>
    <x v="299"/>
    <x v="723"/>
    <x v="38"/>
    <x v="10"/>
    <x v="699"/>
    <x v="248"/>
    <x v="680"/>
    <x v="83"/>
    <x v="106"/>
    <x v="0"/>
    <x v="102"/>
    <x v="130"/>
    <x v="126"/>
    <x v="6"/>
    <x v="570"/>
    <x v="511"/>
    <x v="924"/>
  </r>
  <r>
    <x v="2"/>
    <x v="62"/>
    <x v="2"/>
    <x v="5"/>
    <x v="10"/>
    <x v="7"/>
    <x v="7"/>
    <x v="45"/>
    <x v="1110"/>
    <x v="4"/>
    <x v="42"/>
    <x v="163"/>
    <x v="124"/>
    <x v="633"/>
    <x v="305"/>
    <x v="0"/>
    <x v="40"/>
    <x v="0"/>
    <x v="0"/>
    <x v="62"/>
    <x v="3"/>
    <x v="0"/>
    <x v="385"/>
    <x v="436"/>
    <x v="44"/>
    <x v="1"/>
    <x v="275"/>
    <x v="318"/>
    <x v="489"/>
    <x v="210"/>
    <x v="355"/>
    <x v="0"/>
    <x v="102"/>
    <x v="130"/>
    <x v="273"/>
    <x v="4"/>
    <x v="464"/>
    <x v="227"/>
    <x v="540"/>
  </r>
  <r>
    <x v="2"/>
    <x v="62"/>
    <x v="2"/>
    <x v="3"/>
    <x v="72"/>
    <x v="11"/>
    <x v="5"/>
    <x v="10"/>
    <x v="463"/>
    <x v="4"/>
    <x v="42"/>
    <x v="153"/>
    <x v="86"/>
    <x v="657"/>
    <x v="327"/>
    <x v="0"/>
    <x v="0"/>
    <x v="0"/>
    <x v="0"/>
    <x v="2"/>
    <x v="3"/>
    <x v="0"/>
    <x v="403"/>
    <x v="703"/>
    <x v="38"/>
    <x v="3"/>
    <x v="472"/>
    <x v="617"/>
    <x v="17"/>
    <x v="0"/>
    <x v="939"/>
    <x v="0"/>
    <x v="102"/>
    <x v="130"/>
    <x v="300"/>
    <x v="5"/>
    <x v="432"/>
    <x v="550"/>
    <x v="1040"/>
  </r>
  <r>
    <x v="2"/>
    <x v="62"/>
    <x v="2"/>
    <x v="7"/>
    <x v="18"/>
    <x v="11"/>
    <x v="10"/>
    <x v="47"/>
    <x v="1107"/>
    <x v="4"/>
    <x v="42"/>
    <x v="184"/>
    <x v="156"/>
    <x v="885"/>
    <x v="421"/>
    <x v="0"/>
    <x v="0"/>
    <x v="0"/>
    <x v="0"/>
    <x v="0"/>
    <x v="0"/>
    <x v="0"/>
    <x v="499"/>
    <x v="466"/>
    <x v="9"/>
    <x v="0"/>
    <x v="0"/>
    <x v="646"/>
    <x v="0"/>
    <x v="0"/>
    <x v="958"/>
    <x v="9"/>
    <x v="97"/>
    <x v="117"/>
    <x v="415"/>
    <x v="2"/>
    <x v="224"/>
    <x v="365"/>
    <x v="533"/>
  </r>
  <r>
    <x v="2"/>
    <x v="62"/>
    <x v="2"/>
    <x v="4"/>
    <x v="56"/>
    <x v="11"/>
    <x v="8"/>
    <x v="49"/>
    <x v="1102"/>
    <x v="4"/>
    <x v="42"/>
    <x v="184"/>
    <x v="156"/>
    <x v="885"/>
    <x v="421"/>
    <x v="0"/>
    <x v="0"/>
    <x v="0"/>
    <x v="0"/>
    <x v="0"/>
    <x v="0"/>
    <x v="0"/>
    <x v="499"/>
    <x v="466"/>
    <x v="13"/>
    <x v="0"/>
    <x v="0"/>
    <x v="646"/>
    <x v="0"/>
    <x v="0"/>
    <x v="958"/>
    <x v="9"/>
    <x v="97"/>
    <x v="117"/>
    <x v="415"/>
    <x v="2"/>
    <x v="224"/>
    <x v="365"/>
    <x v="533"/>
  </r>
  <r>
    <x v="2"/>
    <x v="62"/>
    <x v="6"/>
    <x v="8"/>
    <x v="60"/>
    <x v="11"/>
    <x v="19"/>
    <x v="48"/>
    <x v="1101"/>
    <x v="0"/>
    <x v="42"/>
    <x v="221"/>
    <x v="207"/>
    <x v="986"/>
    <x v="530"/>
    <x v="0"/>
    <x v="0"/>
    <x v="0"/>
    <x v="0"/>
    <x v="120"/>
    <x v="0"/>
    <x v="1"/>
    <x v="489"/>
    <x v="437"/>
    <x v="25"/>
    <x v="0"/>
    <x v="0"/>
    <x v="646"/>
    <x v="499"/>
    <x v="0"/>
    <x v="339"/>
    <x v="12"/>
    <x v="94"/>
    <x v="108"/>
    <x v="559"/>
    <x v="3"/>
    <x v="218"/>
    <x v="582"/>
    <x v="806"/>
  </r>
  <r>
    <x v="2"/>
    <x v="62"/>
    <x v="6"/>
    <x v="9"/>
    <x v="22"/>
    <x v="11"/>
    <x v="17"/>
    <x v="50"/>
    <x v="1108"/>
    <x v="0"/>
    <x v="42"/>
    <x v="230"/>
    <x v="238"/>
    <x v="965"/>
    <x v="506"/>
    <x v="0"/>
    <x v="0"/>
    <x v="0"/>
    <x v="0"/>
    <x v="2"/>
    <x v="0"/>
    <x v="1"/>
    <x v="448"/>
    <x v="189"/>
    <x v="29"/>
    <x v="0"/>
    <x v="0"/>
    <x v="646"/>
    <x v="6"/>
    <x v="0"/>
    <x v="952"/>
    <x v="33"/>
    <x v="66"/>
    <x v="52"/>
    <x v="528"/>
    <x v="1"/>
    <x v="107"/>
    <x v="180"/>
    <x v="135"/>
  </r>
  <r>
    <x v="2"/>
    <x v="62"/>
    <x v="3"/>
    <x v="7"/>
    <x v="18"/>
    <x v="11"/>
    <x v="10"/>
    <x v="47"/>
    <x v="1111"/>
    <x v="0"/>
    <x v="42"/>
    <x v="184"/>
    <x v="156"/>
    <x v="876"/>
    <x v="407"/>
    <x v="0"/>
    <x v="0"/>
    <x v="0"/>
    <x v="0"/>
    <x v="0"/>
    <x v="0"/>
    <x v="0"/>
    <x v="477"/>
    <x v="400"/>
    <x v="9"/>
    <x v="0"/>
    <x v="0"/>
    <x v="646"/>
    <x v="0"/>
    <x v="0"/>
    <x v="958"/>
    <x v="14"/>
    <x v="91"/>
    <x v="102"/>
    <x v="390"/>
    <x v="2"/>
    <x v="217"/>
    <x v="374"/>
    <x v="456"/>
  </r>
  <r>
    <x v="2"/>
    <x v="62"/>
    <x v="3"/>
    <x v="4"/>
    <x v="56"/>
    <x v="11"/>
    <x v="8"/>
    <x v="49"/>
    <x v="1108"/>
    <x v="0"/>
    <x v="42"/>
    <x v="184"/>
    <x v="156"/>
    <x v="876"/>
    <x v="407"/>
    <x v="0"/>
    <x v="0"/>
    <x v="0"/>
    <x v="0"/>
    <x v="0"/>
    <x v="0"/>
    <x v="0"/>
    <x v="477"/>
    <x v="400"/>
    <x v="13"/>
    <x v="0"/>
    <x v="0"/>
    <x v="646"/>
    <x v="0"/>
    <x v="0"/>
    <x v="958"/>
    <x v="14"/>
    <x v="91"/>
    <x v="102"/>
    <x v="390"/>
    <x v="2"/>
    <x v="217"/>
    <x v="374"/>
    <x v="456"/>
  </r>
  <r>
    <x v="2"/>
    <x v="62"/>
    <x v="3"/>
    <x v="3"/>
    <x v="72"/>
    <x v="11"/>
    <x v="5"/>
    <x v="10"/>
    <x v="464"/>
    <x v="0"/>
    <x v="42"/>
    <x v="153"/>
    <x v="86"/>
    <x v="669"/>
    <x v="327"/>
    <x v="0"/>
    <x v="16"/>
    <x v="0"/>
    <x v="0"/>
    <x v="26"/>
    <x v="0"/>
    <x v="0"/>
    <x v="403"/>
    <x v="703"/>
    <x v="38"/>
    <x v="3"/>
    <x v="485"/>
    <x v="499"/>
    <x v="230"/>
    <x v="46"/>
    <x v="681"/>
    <x v="0"/>
    <x v="102"/>
    <x v="130"/>
    <x v="300"/>
    <x v="5"/>
    <x v="432"/>
    <x v="550"/>
    <x v="1023"/>
  </r>
  <r>
    <x v="2"/>
    <x v="62"/>
    <x v="3"/>
    <x v="0"/>
    <x v="2"/>
    <x v="3"/>
    <x v="1"/>
    <x v="20"/>
    <x v="461"/>
    <x v="0"/>
    <x v="42"/>
    <x v="107"/>
    <x v="29"/>
    <x v="401"/>
    <x v="213"/>
    <x v="0"/>
    <x v="43"/>
    <x v="0"/>
    <x v="0"/>
    <x v="67"/>
    <x v="0"/>
    <x v="0"/>
    <x v="299"/>
    <x v="723"/>
    <x v="38"/>
    <x v="10"/>
    <x v="701"/>
    <x v="224"/>
    <x v="644"/>
    <x v="293"/>
    <x v="165"/>
    <x v="0"/>
    <x v="102"/>
    <x v="130"/>
    <x v="126"/>
    <x v="6"/>
    <x v="570"/>
    <x v="511"/>
    <x v="929"/>
  </r>
  <r>
    <x v="2"/>
    <x v="62"/>
    <x v="3"/>
    <x v="5"/>
    <x v="10"/>
    <x v="7"/>
    <x v="7"/>
    <x v="45"/>
    <x v="1112"/>
    <x v="0"/>
    <x v="42"/>
    <x v="163"/>
    <x v="124"/>
    <x v="702"/>
    <x v="327"/>
    <x v="0"/>
    <x v="65"/>
    <x v="0"/>
    <x v="0"/>
    <x v="75"/>
    <x v="0"/>
    <x v="0"/>
    <x v="403"/>
    <x v="551"/>
    <x v="44"/>
    <x v="1"/>
    <x v="329"/>
    <x v="277"/>
    <x v="551"/>
    <x v="285"/>
    <x v="284"/>
    <x v="0"/>
    <x v="102"/>
    <x v="130"/>
    <x v="300"/>
    <x v="4"/>
    <x v="432"/>
    <x v="329"/>
    <x v="662"/>
  </r>
  <r>
    <x v="2"/>
    <x v="62"/>
    <x v="5"/>
    <x v="3"/>
    <x v="72"/>
    <x v="11"/>
    <x v="5"/>
    <x v="10"/>
    <x v="465"/>
    <x v="2"/>
    <x v="42"/>
    <x v="153"/>
    <x v="86"/>
    <x v="674"/>
    <x v="327"/>
    <x v="0"/>
    <x v="35"/>
    <x v="0"/>
    <x v="0"/>
    <x v="30"/>
    <x v="3"/>
    <x v="0"/>
    <x v="403"/>
    <x v="703"/>
    <x v="38"/>
    <x v="3"/>
    <x v="487"/>
    <x v="427"/>
    <x v="255"/>
    <x v="172"/>
    <x v="654"/>
    <x v="5"/>
    <x v="100"/>
    <x v="127"/>
    <x v="300"/>
    <x v="5"/>
    <x v="410"/>
    <x v="594"/>
    <x v="1021"/>
  </r>
  <r>
    <x v="2"/>
    <x v="62"/>
    <x v="5"/>
    <x v="0"/>
    <x v="2"/>
    <x v="3"/>
    <x v="1"/>
    <x v="20"/>
    <x v="462"/>
    <x v="2"/>
    <x v="42"/>
    <x v="107"/>
    <x v="29"/>
    <x v="396"/>
    <x v="213"/>
    <x v="0"/>
    <x v="22"/>
    <x v="0"/>
    <x v="0"/>
    <x v="62"/>
    <x v="3"/>
    <x v="0"/>
    <x v="299"/>
    <x v="723"/>
    <x v="38"/>
    <x v="10"/>
    <x v="698"/>
    <x v="273"/>
    <x v="622"/>
    <x v="174"/>
    <x v="192"/>
    <x v="0"/>
    <x v="102"/>
    <x v="130"/>
    <x v="126"/>
    <x v="6"/>
    <x v="570"/>
    <x v="511"/>
    <x v="937"/>
  </r>
  <r>
    <x v="2"/>
    <x v="62"/>
    <x v="5"/>
    <x v="5"/>
    <x v="10"/>
    <x v="7"/>
    <x v="7"/>
    <x v="45"/>
    <x v="1113"/>
    <x v="2"/>
    <x v="42"/>
    <x v="163"/>
    <x v="124"/>
    <x v="779"/>
    <x v="349"/>
    <x v="0"/>
    <x v="23"/>
    <x v="0"/>
    <x v="0"/>
    <x v="50"/>
    <x v="3"/>
    <x v="0"/>
    <x v="417"/>
    <x v="643"/>
    <x v="44"/>
    <x v="1"/>
    <x v="396"/>
    <x v="426"/>
    <x v="344"/>
    <x v="73"/>
    <x v="545"/>
    <x v="7"/>
    <x v="99"/>
    <x v="122"/>
    <x v="325"/>
    <x v="4"/>
    <x v="369"/>
    <x v="558"/>
    <x v="904"/>
  </r>
  <r>
    <x v="2"/>
    <x v="63"/>
    <x v="2"/>
    <x v="0"/>
    <x v="2"/>
    <x v="3"/>
    <x v="1"/>
    <x v="20"/>
    <x v="466"/>
    <x v="1"/>
    <x v="42"/>
    <x v="107"/>
    <x v="29"/>
    <x v="417"/>
    <x v="219"/>
    <x v="0"/>
    <x v="14"/>
    <x v="0"/>
    <x v="0"/>
    <x v="42"/>
    <x v="3"/>
    <x v="0"/>
    <x v="306"/>
    <x v="733"/>
    <x v="38"/>
    <x v="10"/>
    <x v="706"/>
    <x v="365"/>
    <x v="471"/>
    <x v="98"/>
    <x v="381"/>
    <x v="0"/>
    <x v="102"/>
    <x v="130"/>
    <x v="135"/>
    <x v="6"/>
    <x v="564"/>
    <x v="555"/>
    <x v="1016"/>
  </r>
  <r>
    <x v="2"/>
    <x v="63"/>
    <x v="2"/>
    <x v="5"/>
    <x v="10"/>
    <x v="7"/>
    <x v="7"/>
    <x v="45"/>
    <x v="1116"/>
    <x v="1"/>
    <x v="42"/>
    <x v="163"/>
    <x v="124"/>
    <x v="819"/>
    <x v="356"/>
    <x v="0"/>
    <x v="27"/>
    <x v="0"/>
    <x v="0"/>
    <x v="53"/>
    <x v="3"/>
    <x v="0"/>
    <x v="423"/>
    <x v="678"/>
    <x v="44"/>
    <x v="1"/>
    <x v="428"/>
    <x v="416"/>
    <x v="356"/>
    <x v="94"/>
    <x v="534"/>
    <x v="0"/>
    <x v="102"/>
    <x v="130"/>
    <x v="335"/>
    <x v="4"/>
    <x v="381"/>
    <x v="521"/>
    <x v="987"/>
  </r>
  <r>
    <x v="2"/>
    <x v="63"/>
    <x v="2"/>
    <x v="3"/>
    <x v="72"/>
    <x v="11"/>
    <x v="5"/>
    <x v="10"/>
    <x v="472"/>
    <x v="1"/>
    <x v="42"/>
    <x v="153"/>
    <x v="86"/>
    <x v="658"/>
    <x v="327"/>
    <x v="0"/>
    <x v="0"/>
    <x v="0"/>
    <x v="0"/>
    <x v="4"/>
    <x v="3"/>
    <x v="0"/>
    <x v="403"/>
    <x v="703"/>
    <x v="38"/>
    <x v="3"/>
    <x v="473"/>
    <x v="605"/>
    <x v="41"/>
    <x v="0"/>
    <x v="910"/>
    <x v="0"/>
    <x v="102"/>
    <x v="130"/>
    <x v="300"/>
    <x v="5"/>
    <x v="432"/>
    <x v="550"/>
    <x v="1037"/>
  </r>
  <r>
    <x v="2"/>
    <x v="63"/>
    <x v="2"/>
    <x v="7"/>
    <x v="18"/>
    <x v="11"/>
    <x v="10"/>
    <x v="47"/>
    <x v="1308"/>
    <x v="1"/>
    <x v="42"/>
    <x v="184"/>
    <x v="156"/>
    <x v="904"/>
    <x v="441"/>
    <x v="0"/>
    <x v="0"/>
    <x v="0"/>
    <x v="0"/>
    <x v="0"/>
    <x v="0"/>
    <x v="0"/>
    <x v="526"/>
    <x v="580"/>
    <x v="9"/>
    <x v="0"/>
    <x v="0"/>
    <x v="646"/>
    <x v="0"/>
    <x v="0"/>
    <x v="958"/>
    <x v="9"/>
    <x v="97"/>
    <x v="117"/>
    <x v="447"/>
    <x v="2"/>
    <x v="167"/>
    <x v="463"/>
    <x v="669"/>
  </r>
  <r>
    <x v="2"/>
    <x v="63"/>
    <x v="2"/>
    <x v="4"/>
    <x v="56"/>
    <x v="11"/>
    <x v="8"/>
    <x v="49"/>
    <x v="1308"/>
    <x v="1"/>
    <x v="42"/>
    <x v="184"/>
    <x v="156"/>
    <x v="885"/>
    <x v="421"/>
    <x v="0"/>
    <x v="0"/>
    <x v="0"/>
    <x v="0"/>
    <x v="0"/>
    <x v="0"/>
    <x v="0"/>
    <x v="499"/>
    <x v="466"/>
    <x v="13"/>
    <x v="0"/>
    <x v="0"/>
    <x v="646"/>
    <x v="0"/>
    <x v="0"/>
    <x v="958"/>
    <x v="9"/>
    <x v="97"/>
    <x v="117"/>
    <x v="415"/>
    <x v="2"/>
    <x v="224"/>
    <x v="365"/>
    <x v="533"/>
  </r>
  <r>
    <x v="2"/>
    <x v="63"/>
    <x v="6"/>
    <x v="9"/>
    <x v="22"/>
    <x v="11"/>
    <x v="17"/>
    <x v="50"/>
    <x v="1114"/>
    <x v="0"/>
    <x v="42"/>
    <x v="230"/>
    <x v="238"/>
    <x v="994"/>
    <x v="543"/>
    <x v="0"/>
    <x v="0"/>
    <x v="0"/>
    <x v="0"/>
    <x v="1"/>
    <x v="0"/>
    <x v="1"/>
    <x v="514"/>
    <x v="291"/>
    <x v="29"/>
    <x v="0"/>
    <x v="0"/>
    <x v="646"/>
    <x v="2"/>
    <x v="0"/>
    <x v="956"/>
    <x v="12"/>
    <x v="94"/>
    <x v="108"/>
    <x v="577"/>
    <x v="1"/>
    <x v="168"/>
    <x v="63"/>
    <x v="192"/>
  </r>
  <r>
    <x v="2"/>
    <x v="63"/>
    <x v="6"/>
    <x v="8"/>
    <x v="60"/>
    <x v="11"/>
    <x v="19"/>
    <x v="48"/>
    <x v="1108"/>
    <x v="0"/>
    <x v="42"/>
    <x v="221"/>
    <x v="207"/>
    <x v="982"/>
    <x v="526"/>
    <x v="0"/>
    <x v="0"/>
    <x v="0"/>
    <x v="0"/>
    <x v="60"/>
    <x v="0"/>
    <x v="0"/>
    <x v="599"/>
    <x v="420"/>
    <x v="25"/>
    <x v="0"/>
    <x v="0"/>
    <x v="646"/>
    <x v="203"/>
    <x v="0"/>
    <x v="709"/>
    <x v="12"/>
    <x v="94"/>
    <x v="108"/>
    <x v="555"/>
    <x v="3"/>
    <x v="17"/>
    <x v="755"/>
    <x v="1207"/>
  </r>
  <r>
    <x v="2"/>
    <x v="63"/>
    <x v="3"/>
    <x v="7"/>
    <x v="18"/>
    <x v="11"/>
    <x v="10"/>
    <x v="47"/>
    <x v="1117"/>
    <x v="0"/>
    <x v="42"/>
    <x v="184"/>
    <x v="156"/>
    <x v="907"/>
    <x v="444"/>
    <x v="0"/>
    <x v="0"/>
    <x v="0"/>
    <x v="0"/>
    <x v="0"/>
    <x v="0"/>
    <x v="0"/>
    <x v="531"/>
    <x v="613"/>
    <x v="9"/>
    <x v="0"/>
    <x v="0"/>
    <x v="646"/>
    <x v="0"/>
    <x v="0"/>
    <x v="958"/>
    <x v="9"/>
    <x v="97"/>
    <x v="117"/>
    <x v="452"/>
    <x v="2"/>
    <x v="148"/>
    <x v="503"/>
    <x v="729"/>
  </r>
  <r>
    <x v="2"/>
    <x v="63"/>
    <x v="3"/>
    <x v="4"/>
    <x v="56"/>
    <x v="11"/>
    <x v="8"/>
    <x v="49"/>
    <x v="1109"/>
    <x v="0"/>
    <x v="42"/>
    <x v="184"/>
    <x v="156"/>
    <x v="885"/>
    <x v="421"/>
    <x v="0"/>
    <x v="0"/>
    <x v="0"/>
    <x v="0"/>
    <x v="0"/>
    <x v="0"/>
    <x v="0"/>
    <x v="499"/>
    <x v="466"/>
    <x v="13"/>
    <x v="0"/>
    <x v="0"/>
    <x v="646"/>
    <x v="0"/>
    <x v="0"/>
    <x v="958"/>
    <x v="9"/>
    <x v="97"/>
    <x v="117"/>
    <x v="415"/>
    <x v="2"/>
    <x v="224"/>
    <x v="365"/>
    <x v="533"/>
  </r>
  <r>
    <x v="2"/>
    <x v="63"/>
    <x v="3"/>
    <x v="3"/>
    <x v="72"/>
    <x v="11"/>
    <x v="5"/>
    <x v="10"/>
    <x v="473"/>
    <x v="0"/>
    <x v="42"/>
    <x v="153"/>
    <x v="86"/>
    <x v="666"/>
    <x v="327"/>
    <x v="0"/>
    <x v="6"/>
    <x v="0"/>
    <x v="0"/>
    <x v="30"/>
    <x v="0"/>
    <x v="0"/>
    <x v="403"/>
    <x v="703"/>
    <x v="38"/>
    <x v="3"/>
    <x v="483"/>
    <x v="517"/>
    <x v="255"/>
    <x v="18"/>
    <x v="653"/>
    <x v="0"/>
    <x v="102"/>
    <x v="130"/>
    <x v="300"/>
    <x v="5"/>
    <x v="432"/>
    <x v="550"/>
    <x v="1020"/>
  </r>
  <r>
    <x v="2"/>
    <x v="63"/>
    <x v="3"/>
    <x v="5"/>
    <x v="10"/>
    <x v="7"/>
    <x v="7"/>
    <x v="45"/>
    <x v="1118"/>
    <x v="0"/>
    <x v="42"/>
    <x v="163"/>
    <x v="124"/>
    <x v="678"/>
    <x v="327"/>
    <x v="0"/>
    <x v="40"/>
    <x v="0"/>
    <x v="0"/>
    <x v="41"/>
    <x v="0"/>
    <x v="0"/>
    <x v="403"/>
    <x v="551"/>
    <x v="44"/>
    <x v="1"/>
    <x v="302"/>
    <x v="408"/>
    <x v="319"/>
    <x v="201"/>
    <x v="577"/>
    <x v="0"/>
    <x v="102"/>
    <x v="130"/>
    <x v="300"/>
    <x v="4"/>
    <x v="432"/>
    <x v="329"/>
    <x v="696"/>
  </r>
  <r>
    <x v="2"/>
    <x v="63"/>
    <x v="4"/>
    <x v="0"/>
    <x v="2"/>
    <x v="3"/>
    <x v="1"/>
    <x v="20"/>
    <x v="469"/>
    <x v="0"/>
    <x v="42"/>
    <x v="107"/>
    <x v="29"/>
    <x v="364"/>
    <x v="207"/>
    <x v="8"/>
    <x v="45"/>
    <x v="0"/>
    <x v="0"/>
    <x v="40"/>
    <x v="0"/>
    <x v="0"/>
    <x v="292"/>
    <x v="706"/>
    <x v="38"/>
    <x v="10"/>
    <x v="679"/>
    <x v="264"/>
    <x v="481"/>
    <x v="311"/>
    <x v="376"/>
    <x v="0"/>
    <x v="102"/>
    <x v="130"/>
    <x v="119"/>
    <x v="6"/>
    <x v="583"/>
    <x v="457"/>
    <x v="880"/>
  </r>
  <r>
    <x v="2"/>
    <x v="63"/>
    <x v="5"/>
    <x v="3"/>
    <x v="72"/>
    <x v="11"/>
    <x v="5"/>
    <x v="10"/>
    <x v="474"/>
    <x v="2"/>
    <x v="42"/>
    <x v="153"/>
    <x v="86"/>
    <x v="603"/>
    <x v="302"/>
    <x v="0"/>
    <x v="0"/>
    <x v="0"/>
    <x v="0"/>
    <x v="0"/>
    <x v="3"/>
    <x v="0"/>
    <x v="383"/>
    <x v="659"/>
    <x v="38"/>
    <x v="3"/>
    <x v="453"/>
    <x v="621"/>
    <x v="0"/>
    <x v="0"/>
    <x v="958"/>
    <x v="5"/>
    <x v="100"/>
    <x v="127"/>
    <x v="270"/>
    <x v="5"/>
    <x v="446"/>
    <x v="524"/>
    <x v="912"/>
  </r>
  <r>
    <x v="2"/>
    <x v="63"/>
    <x v="5"/>
    <x v="0"/>
    <x v="2"/>
    <x v="3"/>
    <x v="1"/>
    <x v="20"/>
    <x v="471"/>
    <x v="2"/>
    <x v="42"/>
    <x v="107"/>
    <x v="29"/>
    <x v="285"/>
    <x v="189"/>
    <x v="15"/>
    <x v="48"/>
    <x v="0"/>
    <x v="0"/>
    <x v="66"/>
    <x v="3"/>
    <x v="0"/>
    <x v="272"/>
    <x v="618"/>
    <x v="38"/>
    <x v="10"/>
    <x v="646"/>
    <x v="154"/>
    <x v="682"/>
    <x v="333"/>
    <x v="108"/>
    <x v="19"/>
    <x v="84"/>
    <x v="89"/>
    <x v="100"/>
    <x v="6"/>
    <x v="561"/>
    <x v="562"/>
    <x v="547"/>
  </r>
  <r>
    <x v="2"/>
    <x v="63"/>
    <x v="5"/>
    <x v="5"/>
    <x v="10"/>
    <x v="7"/>
    <x v="7"/>
    <x v="45"/>
    <x v="1119"/>
    <x v="2"/>
    <x v="42"/>
    <x v="163"/>
    <x v="124"/>
    <x v="630"/>
    <x v="302"/>
    <x v="0"/>
    <x v="53"/>
    <x v="0"/>
    <x v="0"/>
    <x v="55"/>
    <x v="5"/>
    <x v="0"/>
    <x v="383"/>
    <x v="419"/>
    <x v="44"/>
    <x v="1"/>
    <x v="270"/>
    <x v="286"/>
    <x v="440"/>
    <x v="259"/>
    <x v="431"/>
    <x v="21"/>
    <x v="82"/>
    <x v="82"/>
    <x v="270"/>
    <x v="4"/>
    <x v="368"/>
    <x v="564"/>
    <x v="528"/>
  </r>
  <r>
    <x v="2"/>
    <x v="64"/>
    <x v="2"/>
    <x v="0"/>
    <x v="2"/>
    <x v="3"/>
    <x v="1"/>
    <x v="20"/>
    <x v="475"/>
    <x v="4"/>
    <x v="42"/>
    <x v="107"/>
    <x v="29"/>
    <x v="373"/>
    <x v="207"/>
    <x v="23"/>
    <x v="39"/>
    <x v="0"/>
    <x v="0"/>
    <x v="71"/>
    <x v="3"/>
    <x v="0"/>
    <x v="292"/>
    <x v="706"/>
    <x v="38"/>
    <x v="10"/>
    <x v="687"/>
    <x v="180"/>
    <x v="672"/>
    <x v="287"/>
    <x v="121"/>
    <x v="0"/>
    <x v="102"/>
    <x v="130"/>
    <x v="119"/>
    <x v="6"/>
    <x v="583"/>
    <x v="457"/>
    <x v="844"/>
  </r>
  <r>
    <x v="2"/>
    <x v="64"/>
    <x v="2"/>
    <x v="7"/>
    <x v="18"/>
    <x v="11"/>
    <x v="10"/>
    <x v="47"/>
    <x v="1125"/>
    <x v="4"/>
    <x v="42"/>
    <x v="184"/>
    <x v="156"/>
    <x v="885"/>
    <x v="421"/>
    <x v="0"/>
    <x v="0"/>
    <x v="0"/>
    <x v="0"/>
    <x v="0"/>
    <x v="0"/>
    <x v="0"/>
    <x v="499"/>
    <x v="466"/>
    <x v="9"/>
    <x v="0"/>
    <x v="0"/>
    <x v="646"/>
    <x v="0"/>
    <x v="0"/>
    <x v="958"/>
    <x v="9"/>
    <x v="97"/>
    <x v="117"/>
    <x v="415"/>
    <x v="2"/>
    <x v="224"/>
    <x v="365"/>
    <x v="533"/>
  </r>
  <r>
    <x v="2"/>
    <x v="64"/>
    <x v="2"/>
    <x v="4"/>
    <x v="56"/>
    <x v="11"/>
    <x v="8"/>
    <x v="49"/>
    <x v="1124"/>
    <x v="4"/>
    <x v="42"/>
    <x v="184"/>
    <x v="156"/>
    <x v="885"/>
    <x v="421"/>
    <x v="0"/>
    <x v="0"/>
    <x v="0"/>
    <x v="0"/>
    <x v="0"/>
    <x v="0"/>
    <x v="0"/>
    <x v="499"/>
    <x v="466"/>
    <x v="13"/>
    <x v="0"/>
    <x v="0"/>
    <x v="646"/>
    <x v="0"/>
    <x v="0"/>
    <x v="958"/>
    <x v="9"/>
    <x v="97"/>
    <x v="117"/>
    <x v="415"/>
    <x v="2"/>
    <x v="224"/>
    <x v="365"/>
    <x v="533"/>
  </r>
  <r>
    <x v="2"/>
    <x v="64"/>
    <x v="2"/>
    <x v="5"/>
    <x v="10"/>
    <x v="7"/>
    <x v="7"/>
    <x v="45"/>
    <x v="1123"/>
    <x v="4"/>
    <x v="42"/>
    <x v="163"/>
    <x v="124"/>
    <x v="717"/>
    <x v="341"/>
    <x v="0"/>
    <x v="0"/>
    <x v="0"/>
    <x v="0"/>
    <x v="10"/>
    <x v="3"/>
    <x v="0"/>
    <x v="412"/>
    <x v="604"/>
    <x v="44"/>
    <x v="1"/>
    <x v="334"/>
    <x v="574"/>
    <x v="108"/>
    <x v="0"/>
    <x v="817"/>
    <x v="0"/>
    <x v="102"/>
    <x v="130"/>
    <x v="314"/>
    <x v="4"/>
    <x v="413"/>
    <x v="397"/>
    <x v="804"/>
  </r>
  <r>
    <x v="2"/>
    <x v="64"/>
    <x v="2"/>
    <x v="3"/>
    <x v="72"/>
    <x v="11"/>
    <x v="5"/>
    <x v="10"/>
    <x v="482"/>
    <x v="4"/>
    <x v="42"/>
    <x v="153"/>
    <x v="86"/>
    <x v="656"/>
    <x v="327"/>
    <x v="0"/>
    <x v="0"/>
    <x v="0"/>
    <x v="0"/>
    <x v="0"/>
    <x v="3"/>
    <x v="0"/>
    <x v="403"/>
    <x v="703"/>
    <x v="38"/>
    <x v="3"/>
    <x v="471"/>
    <x v="623"/>
    <x v="0"/>
    <x v="0"/>
    <x v="958"/>
    <x v="0"/>
    <x v="102"/>
    <x v="130"/>
    <x v="300"/>
    <x v="5"/>
    <x v="432"/>
    <x v="550"/>
    <x v="1042"/>
  </r>
  <r>
    <x v="2"/>
    <x v="64"/>
    <x v="2"/>
    <x v="1"/>
    <x v="7"/>
    <x v="11"/>
    <x v="19"/>
    <x v="21"/>
    <x v="455"/>
    <x v="3"/>
    <x v="42"/>
    <x v="169"/>
    <x v="133"/>
    <x v="606"/>
    <x v="300"/>
    <x v="0"/>
    <x v="0"/>
    <x v="46"/>
    <x v="0"/>
    <x v="73"/>
    <x v="0"/>
    <x v="3"/>
    <x v="148"/>
    <x v="313"/>
    <x v="2"/>
    <x v="0"/>
    <x v="0"/>
    <x v="646"/>
    <x v="572"/>
    <x v="0"/>
    <x v="255"/>
    <x v="0"/>
    <x v="102"/>
    <x v="130"/>
    <x v="261"/>
    <x v="7"/>
    <x v="681"/>
    <x v="643"/>
    <x v="1115"/>
  </r>
  <r>
    <x v="2"/>
    <x v="64"/>
    <x v="6"/>
    <x v="8"/>
    <x v="60"/>
    <x v="11"/>
    <x v="19"/>
    <x v="48"/>
    <x v="1115"/>
    <x v="0"/>
    <x v="42"/>
    <x v="221"/>
    <x v="207"/>
    <x v="981"/>
    <x v="525"/>
    <x v="0"/>
    <x v="0"/>
    <x v="0"/>
    <x v="0"/>
    <x v="72"/>
    <x v="0"/>
    <x v="0"/>
    <x v="598"/>
    <x v="413"/>
    <x v="25"/>
    <x v="0"/>
    <x v="0"/>
    <x v="646"/>
    <x v="237"/>
    <x v="0"/>
    <x v="673"/>
    <x v="12"/>
    <x v="94"/>
    <x v="108"/>
    <x v="554"/>
    <x v="3"/>
    <x v="18"/>
    <x v="754"/>
    <x v="1206"/>
  </r>
  <r>
    <x v="2"/>
    <x v="64"/>
    <x v="6"/>
    <x v="9"/>
    <x v="22"/>
    <x v="11"/>
    <x v="17"/>
    <x v="50"/>
    <x v="1115"/>
    <x v="0"/>
    <x v="42"/>
    <x v="230"/>
    <x v="238"/>
    <x v="979"/>
    <x v="524"/>
    <x v="0"/>
    <x v="0"/>
    <x v="0"/>
    <x v="0"/>
    <x v="4"/>
    <x v="0"/>
    <x v="1"/>
    <x v="481"/>
    <x v="246"/>
    <x v="29"/>
    <x v="0"/>
    <x v="0"/>
    <x v="646"/>
    <x v="13"/>
    <x v="0"/>
    <x v="945"/>
    <x v="33"/>
    <x v="66"/>
    <x v="52"/>
    <x v="553"/>
    <x v="1"/>
    <x v="79"/>
    <x v="333"/>
    <x v="169"/>
  </r>
  <r>
    <x v="2"/>
    <x v="64"/>
    <x v="3"/>
    <x v="7"/>
    <x v="18"/>
    <x v="11"/>
    <x v="10"/>
    <x v="47"/>
    <x v="1126"/>
    <x v="0"/>
    <x v="42"/>
    <x v="184"/>
    <x v="156"/>
    <x v="882"/>
    <x v="414"/>
    <x v="0"/>
    <x v="0"/>
    <x v="0"/>
    <x v="0"/>
    <x v="0"/>
    <x v="0"/>
    <x v="0"/>
    <x v="487"/>
    <x v="435"/>
    <x v="9"/>
    <x v="0"/>
    <x v="0"/>
    <x v="646"/>
    <x v="0"/>
    <x v="0"/>
    <x v="958"/>
    <x v="9"/>
    <x v="97"/>
    <x v="117"/>
    <x v="401"/>
    <x v="2"/>
    <x v="240"/>
    <x v="332"/>
    <x v="509"/>
  </r>
  <r>
    <x v="2"/>
    <x v="64"/>
    <x v="3"/>
    <x v="4"/>
    <x v="56"/>
    <x v="11"/>
    <x v="8"/>
    <x v="49"/>
    <x v="1120"/>
    <x v="0"/>
    <x v="42"/>
    <x v="184"/>
    <x v="156"/>
    <x v="882"/>
    <x v="414"/>
    <x v="0"/>
    <x v="0"/>
    <x v="0"/>
    <x v="0"/>
    <x v="0"/>
    <x v="0"/>
    <x v="0"/>
    <x v="487"/>
    <x v="435"/>
    <x v="13"/>
    <x v="0"/>
    <x v="0"/>
    <x v="646"/>
    <x v="0"/>
    <x v="0"/>
    <x v="958"/>
    <x v="9"/>
    <x v="97"/>
    <x v="117"/>
    <x v="401"/>
    <x v="2"/>
    <x v="240"/>
    <x v="332"/>
    <x v="509"/>
  </r>
  <r>
    <x v="2"/>
    <x v="64"/>
    <x v="3"/>
    <x v="5"/>
    <x v="10"/>
    <x v="7"/>
    <x v="7"/>
    <x v="45"/>
    <x v="1127"/>
    <x v="0"/>
    <x v="42"/>
    <x v="163"/>
    <x v="124"/>
    <x v="785"/>
    <x v="351"/>
    <x v="0"/>
    <x v="0"/>
    <x v="0"/>
    <x v="0"/>
    <x v="15"/>
    <x v="0"/>
    <x v="0"/>
    <x v="419"/>
    <x v="665"/>
    <x v="44"/>
    <x v="1"/>
    <x v="400"/>
    <x v="596"/>
    <x v="143"/>
    <x v="0"/>
    <x v="775"/>
    <x v="0"/>
    <x v="102"/>
    <x v="130"/>
    <x v="329"/>
    <x v="4"/>
    <x v="388"/>
    <x v="499"/>
    <x v="964"/>
  </r>
  <r>
    <x v="2"/>
    <x v="64"/>
    <x v="3"/>
    <x v="3"/>
    <x v="72"/>
    <x v="11"/>
    <x v="5"/>
    <x v="10"/>
    <x v="483"/>
    <x v="0"/>
    <x v="42"/>
    <x v="153"/>
    <x v="86"/>
    <x v="665"/>
    <x v="327"/>
    <x v="0"/>
    <x v="4"/>
    <x v="0"/>
    <x v="0"/>
    <x v="32"/>
    <x v="0"/>
    <x v="0"/>
    <x v="403"/>
    <x v="703"/>
    <x v="38"/>
    <x v="3"/>
    <x v="482"/>
    <x v="521"/>
    <x v="264"/>
    <x v="12"/>
    <x v="643"/>
    <x v="0"/>
    <x v="102"/>
    <x v="130"/>
    <x v="300"/>
    <x v="5"/>
    <x v="432"/>
    <x v="550"/>
    <x v="1019"/>
  </r>
  <r>
    <x v="2"/>
    <x v="64"/>
    <x v="3"/>
    <x v="0"/>
    <x v="2"/>
    <x v="3"/>
    <x v="1"/>
    <x v="20"/>
    <x v="478"/>
    <x v="0"/>
    <x v="42"/>
    <x v="107"/>
    <x v="29"/>
    <x v="342"/>
    <x v="202"/>
    <x v="39"/>
    <x v="53"/>
    <x v="0"/>
    <x v="0"/>
    <x v="70"/>
    <x v="0"/>
    <x v="0"/>
    <x v="286"/>
    <x v="688"/>
    <x v="38"/>
    <x v="10"/>
    <x v="669"/>
    <x v="146"/>
    <x v="678"/>
    <x v="342"/>
    <x v="113"/>
    <x v="0"/>
    <x v="102"/>
    <x v="130"/>
    <x v="113"/>
    <x v="6"/>
    <x v="591"/>
    <x v="390"/>
    <x v="732"/>
  </r>
  <r>
    <x v="2"/>
    <x v="64"/>
    <x v="3"/>
    <x v="1"/>
    <x v="7"/>
    <x v="11"/>
    <x v="19"/>
    <x v="21"/>
    <x v="467"/>
    <x v="0"/>
    <x v="42"/>
    <x v="168"/>
    <x v="131"/>
    <x v="589"/>
    <x v="293"/>
    <x v="0"/>
    <x v="0"/>
    <x v="46"/>
    <x v="0"/>
    <x v="74"/>
    <x v="0"/>
    <x v="4"/>
    <x v="128"/>
    <x v="287"/>
    <x v="2"/>
    <x v="0"/>
    <x v="0"/>
    <x v="646"/>
    <x v="586"/>
    <x v="0"/>
    <x v="238"/>
    <x v="12"/>
    <x v="94"/>
    <x v="108"/>
    <x v="249"/>
    <x v="7"/>
    <x v="686"/>
    <x v="634"/>
    <x v="977"/>
  </r>
  <r>
    <x v="2"/>
    <x v="64"/>
    <x v="5"/>
    <x v="0"/>
    <x v="2"/>
    <x v="3"/>
    <x v="1"/>
    <x v="20"/>
    <x v="480"/>
    <x v="2"/>
    <x v="42"/>
    <x v="107"/>
    <x v="29"/>
    <x v="268"/>
    <x v="185"/>
    <x v="22"/>
    <x v="29"/>
    <x v="0"/>
    <x v="0"/>
    <x v="32"/>
    <x v="3"/>
    <x v="0"/>
    <x v="268"/>
    <x v="583"/>
    <x v="38"/>
    <x v="10"/>
    <x v="640"/>
    <x v="260"/>
    <x v="441"/>
    <x v="263"/>
    <x v="426"/>
    <x v="0"/>
    <x v="102"/>
    <x v="130"/>
    <x v="95"/>
    <x v="6"/>
    <x v="611"/>
    <x v="207"/>
    <x v="524"/>
  </r>
  <r>
    <x v="2"/>
    <x v="64"/>
    <x v="5"/>
    <x v="3"/>
    <x v="72"/>
    <x v="11"/>
    <x v="5"/>
    <x v="10"/>
    <x v="484"/>
    <x v="2"/>
    <x v="42"/>
    <x v="153"/>
    <x v="86"/>
    <x v="659"/>
    <x v="327"/>
    <x v="0"/>
    <x v="0"/>
    <x v="0"/>
    <x v="0"/>
    <x v="5"/>
    <x v="3"/>
    <x v="0"/>
    <x v="403"/>
    <x v="703"/>
    <x v="38"/>
    <x v="3"/>
    <x v="474"/>
    <x v="599"/>
    <x v="60"/>
    <x v="0"/>
    <x v="884"/>
    <x v="0"/>
    <x v="102"/>
    <x v="130"/>
    <x v="300"/>
    <x v="5"/>
    <x v="432"/>
    <x v="550"/>
    <x v="1033"/>
  </r>
  <r>
    <x v="2"/>
    <x v="64"/>
    <x v="5"/>
    <x v="5"/>
    <x v="10"/>
    <x v="7"/>
    <x v="7"/>
    <x v="45"/>
    <x v="1129"/>
    <x v="2"/>
    <x v="42"/>
    <x v="163"/>
    <x v="124"/>
    <x v="795"/>
    <x v="351"/>
    <x v="0"/>
    <x v="0"/>
    <x v="0"/>
    <x v="0"/>
    <x v="28"/>
    <x v="3"/>
    <x v="0"/>
    <x v="419"/>
    <x v="665"/>
    <x v="44"/>
    <x v="1"/>
    <x v="405"/>
    <x v="535"/>
    <x v="226"/>
    <x v="0"/>
    <x v="684"/>
    <x v="0"/>
    <x v="102"/>
    <x v="130"/>
    <x v="329"/>
    <x v="4"/>
    <x v="388"/>
    <x v="499"/>
    <x v="951"/>
  </r>
  <r>
    <x v="2"/>
    <x v="65"/>
    <x v="2"/>
    <x v="7"/>
    <x v="18"/>
    <x v="11"/>
    <x v="10"/>
    <x v="47"/>
    <x v="1128"/>
    <x v="4"/>
    <x v="42"/>
    <x v="184"/>
    <x v="156"/>
    <x v="885"/>
    <x v="421"/>
    <x v="0"/>
    <x v="0"/>
    <x v="0"/>
    <x v="0"/>
    <x v="0"/>
    <x v="0"/>
    <x v="0"/>
    <x v="499"/>
    <x v="466"/>
    <x v="9"/>
    <x v="0"/>
    <x v="0"/>
    <x v="646"/>
    <x v="0"/>
    <x v="0"/>
    <x v="958"/>
    <x v="9"/>
    <x v="97"/>
    <x v="117"/>
    <x v="415"/>
    <x v="2"/>
    <x v="224"/>
    <x v="365"/>
    <x v="533"/>
  </r>
  <r>
    <x v="2"/>
    <x v="65"/>
    <x v="2"/>
    <x v="4"/>
    <x v="56"/>
    <x v="11"/>
    <x v="8"/>
    <x v="49"/>
    <x v="1121"/>
    <x v="4"/>
    <x v="42"/>
    <x v="184"/>
    <x v="156"/>
    <x v="885"/>
    <x v="421"/>
    <x v="0"/>
    <x v="0"/>
    <x v="0"/>
    <x v="0"/>
    <x v="0"/>
    <x v="0"/>
    <x v="0"/>
    <x v="499"/>
    <x v="466"/>
    <x v="13"/>
    <x v="0"/>
    <x v="0"/>
    <x v="646"/>
    <x v="0"/>
    <x v="0"/>
    <x v="958"/>
    <x v="9"/>
    <x v="97"/>
    <x v="117"/>
    <x v="415"/>
    <x v="2"/>
    <x v="224"/>
    <x v="365"/>
    <x v="533"/>
  </r>
  <r>
    <x v="2"/>
    <x v="65"/>
    <x v="2"/>
    <x v="3"/>
    <x v="72"/>
    <x v="11"/>
    <x v="5"/>
    <x v="10"/>
    <x v="486"/>
    <x v="4"/>
    <x v="42"/>
    <x v="153"/>
    <x v="86"/>
    <x v="658"/>
    <x v="327"/>
    <x v="0"/>
    <x v="0"/>
    <x v="0"/>
    <x v="0"/>
    <x v="4"/>
    <x v="3"/>
    <x v="0"/>
    <x v="403"/>
    <x v="703"/>
    <x v="38"/>
    <x v="3"/>
    <x v="473"/>
    <x v="605"/>
    <x v="41"/>
    <x v="0"/>
    <x v="910"/>
    <x v="0"/>
    <x v="102"/>
    <x v="130"/>
    <x v="300"/>
    <x v="5"/>
    <x v="432"/>
    <x v="550"/>
    <x v="1037"/>
  </r>
  <r>
    <x v="2"/>
    <x v="65"/>
    <x v="2"/>
    <x v="5"/>
    <x v="10"/>
    <x v="7"/>
    <x v="7"/>
    <x v="45"/>
    <x v="1133"/>
    <x v="4"/>
    <x v="42"/>
    <x v="163"/>
    <x v="124"/>
    <x v="765"/>
    <x v="349"/>
    <x v="0"/>
    <x v="0"/>
    <x v="0"/>
    <x v="0"/>
    <x v="32"/>
    <x v="3"/>
    <x v="0"/>
    <x v="417"/>
    <x v="643"/>
    <x v="44"/>
    <x v="1"/>
    <x v="385"/>
    <x v="528"/>
    <x v="253"/>
    <x v="0"/>
    <x v="657"/>
    <x v="0"/>
    <x v="102"/>
    <x v="130"/>
    <x v="325"/>
    <x v="4"/>
    <x v="396"/>
    <x v="471"/>
    <x v="911"/>
  </r>
  <r>
    <x v="2"/>
    <x v="65"/>
    <x v="2"/>
    <x v="1"/>
    <x v="7"/>
    <x v="11"/>
    <x v="19"/>
    <x v="21"/>
    <x v="468"/>
    <x v="3"/>
    <x v="42"/>
    <x v="169"/>
    <x v="133"/>
    <x v="434"/>
    <x v="236"/>
    <x v="0"/>
    <x v="0"/>
    <x v="46"/>
    <x v="0"/>
    <x v="41"/>
    <x v="0"/>
    <x v="3"/>
    <x v="112"/>
    <x v="140"/>
    <x v="2"/>
    <x v="0"/>
    <x v="0"/>
    <x v="646"/>
    <x v="430"/>
    <x v="0"/>
    <x v="430"/>
    <x v="14"/>
    <x v="91"/>
    <x v="102"/>
    <x v="156"/>
    <x v="7"/>
    <x v="720"/>
    <x v="516"/>
    <x v="607"/>
  </r>
  <r>
    <x v="2"/>
    <x v="65"/>
    <x v="6"/>
    <x v="9"/>
    <x v="23"/>
    <x v="11"/>
    <x v="17"/>
    <x v="44"/>
    <x v="1082"/>
    <x v="0"/>
    <x v="24"/>
    <x v="201"/>
    <x v="243"/>
    <x v="919"/>
    <x v="456"/>
    <x v="0"/>
    <x v="0"/>
    <x v="0"/>
    <x v="0"/>
    <x v="7"/>
    <x v="0"/>
    <x v="1"/>
    <x v="355"/>
    <x v="343"/>
    <x v="14"/>
    <x v="0"/>
    <x v="0"/>
    <x v="646"/>
    <x v="46"/>
    <x v="0"/>
    <x v="903"/>
    <x v="12"/>
    <x v="45"/>
    <x v="77"/>
    <x v="616"/>
    <x v="1"/>
    <x v="82"/>
    <x v="316"/>
    <x v="302"/>
  </r>
  <r>
    <x v="2"/>
    <x v="65"/>
    <x v="6"/>
    <x v="9"/>
    <x v="22"/>
    <x v="11"/>
    <x v="17"/>
    <x v="50"/>
    <x v="1120"/>
    <x v="0"/>
    <x v="24"/>
    <x v="201"/>
    <x v="243"/>
    <x v="930"/>
    <x v="469"/>
    <x v="0"/>
    <x v="0"/>
    <x v="0"/>
    <x v="0"/>
    <x v="0"/>
    <x v="0"/>
    <x v="1"/>
    <x v="377"/>
    <x v="535"/>
    <x v="29"/>
    <x v="0"/>
    <x v="0"/>
    <x v="646"/>
    <x v="0"/>
    <x v="0"/>
    <x v="958"/>
    <x v="0"/>
    <x v="55"/>
    <x v="130"/>
    <x v="631"/>
    <x v="1"/>
    <x v="119"/>
    <x v="124"/>
    <x v="413"/>
  </r>
  <r>
    <x v="2"/>
    <x v="65"/>
    <x v="6"/>
    <x v="8"/>
    <x v="60"/>
    <x v="11"/>
    <x v="19"/>
    <x v="48"/>
    <x v="1120"/>
    <x v="0"/>
    <x v="42"/>
    <x v="221"/>
    <x v="207"/>
    <x v="987"/>
    <x v="535"/>
    <x v="0"/>
    <x v="0"/>
    <x v="0"/>
    <x v="0"/>
    <x v="94"/>
    <x v="0"/>
    <x v="0"/>
    <x v="601"/>
    <x v="485"/>
    <x v="25"/>
    <x v="0"/>
    <x v="0"/>
    <x v="646"/>
    <x v="278"/>
    <x v="0"/>
    <x v="625"/>
    <x v="12"/>
    <x v="94"/>
    <x v="108"/>
    <x v="567"/>
    <x v="3"/>
    <x v="16"/>
    <x v="756"/>
    <x v="1208"/>
  </r>
  <r>
    <x v="2"/>
    <x v="65"/>
    <x v="3"/>
    <x v="7"/>
    <x v="18"/>
    <x v="11"/>
    <x v="10"/>
    <x v="47"/>
    <x v="1130"/>
    <x v="0"/>
    <x v="42"/>
    <x v="184"/>
    <x v="156"/>
    <x v="885"/>
    <x v="421"/>
    <x v="0"/>
    <x v="0"/>
    <x v="0"/>
    <x v="0"/>
    <x v="0"/>
    <x v="0"/>
    <x v="0"/>
    <x v="499"/>
    <x v="466"/>
    <x v="9"/>
    <x v="0"/>
    <x v="0"/>
    <x v="646"/>
    <x v="0"/>
    <x v="0"/>
    <x v="958"/>
    <x v="9"/>
    <x v="97"/>
    <x v="117"/>
    <x v="415"/>
    <x v="2"/>
    <x v="224"/>
    <x v="365"/>
    <x v="533"/>
  </r>
  <r>
    <x v="2"/>
    <x v="65"/>
    <x v="3"/>
    <x v="4"/>
    <x v="56"/>
    <x v="11"/>
    <x v="8"/>
    <x v="49"/>
    <x v="1122"/>
    <x v="0"/>
    <x v="42"/>
    <x v="184"/>
    <x v="156"/>
    <x v="885"/>
    <x v="421"/>
    <x v="0"/>
    <x v="0"/>
    <x v="0"/>
    <x v="0"/>
    <x v="0"/>
    <x v="0"/>
    <x v="0"/>
    <x v="499"/>
    <x v="466"/>
    <x v="13"/>
    <x v="0"/>
    <x v="0"/>
    <x v="646"/>
    <x v="0"/>
    <x v="0"/>
    <x v="958"/>
    <x v="9"/>
    <x v="97"/>
    <x v="117"/>
    <x v="415"/>
    <x v="2"/>
    <x v="224"/>
    <x v="365"/>
    <x v="533"/>
  </r>
  <r>
    <x v="2"/>
    <x v="65"/>
    <x v="3"/>
    <x v="5"/>
    <x v="10"/>
    <x v="7"/>
    <x v="7"/>
    <x v="45"/>
    <x v="1134"/>
    <x v="0"/>
    <x v="42"/>
    <x v="163"/>
    <x v="124"/>
    <x v="720"/>
    <x v="341"/>
    <x v="0"/>
    <x v="22"/>
    <x v="0"/>
    <x v="0"/>
    <x v="60"/>
    <x v="0"/>
    <x v="0"/>
    <x v="412"/>
    <x v="604"/>
    <x v="44"/>
    <x v="1"/>
    <x v="342"/>
    <x v="417"/>
    <x v="433"/>
    <x v="70"/>
    <x v="434"/>
    <x v="0"/>
    <x v="102"/>
    <x v="130"/>
    <x v="314"/>
    <x v="4"/>
    <x v="413"/>
    <x v="397"/>
    <x v="779"/>
  </r>
  <r>
    <x v="2"/>
    <x v="65"/>
    <x v="3"/>
    <x v="3"/>
    <x v="72"/>
    <x v="11"/>
    <x v="5"/>
    <x v="10"/>
    <x v="487"/>
    <x v="0"/>
    <x v="42"/>
    <x v="153"/>
    <x v="86"/>
    <x v="611"/>
    <x v="302"/>
    <x v="0"/>
    <x v="30"/>
    <x v="0"/>
    <x v="0"/>
    <x v="8"/>
    <x v="0"/>
    <x v="0"/>
    <x v="383"/>
    <x v="659"/>
    <x v="38"/>
    <x v="3"/>
    <x v="457"/>
    <x v="497"/>
    <x v="98"/>
    <x v="162"/>
    <x v="833"/>
    <x v="5"/>
    <x v="100"/>
    <x v="127"/>
    <x v="270"/>
    <x v="5"/>
    <x v="446"/>
    <x v="524"/>
    <x v="907"/>
  </r>
  <r>
    <x v="2"/>
    <x v="65"/>
    <x v="3"/>
    <x v="1"/>
    <x v="7"/>
    <x v="11"/>
    <x v="19"/>
    <x v="21"/>
    <x v="476"/>
    <x v="0"/>
    <x v="42"/>
    <x v="168"/>
    <x v="131"/>
    <x v="743"/>
    <x v="345"/>
    <x v="0"/>
    <x v="0"/>
    <x v="49"/>
    <x v="0"/>
    <x v="75"/>
    <x v="0"/>
    <x v="4"/>
    <x v="154"/>
    <x v="548"/>
    <x v="2"/>
    <x v="0"/>
    <x v="0"/>
    <x v="646"/>
    <x v="528"/>
    <x v="0"/>
    <x v="301"/>
    <x v="9"/>
    <x v="97"/>
    <x v="117"/>
    <x v="319"/>
    <x v="7"/>
    <x v="658"/>
    <x v="683"/>
    <x v="1133"/>
  </r>
  <r>
    <x v="2"/>
    <x v="65"/>
    <x v="5"/>
    <x v="0"/>
    <x v="30"/>
    <x v="3"/>
    <x v="1"/>
    <x v="25"/>
    <x v="485"/>
    <x v="2"/>
    <x v="42"/>
    <x v="102"/>
    <x v="21"/>
    <x v="155"/>
    <x v="115"/>
    <x v="22"/>
    <x v="48"/>
    <x v="0"/>
    <x v="0"/>
    <x v="44"/>
    <x v="3"/>
    <x v="0"/>
    <x v="200"/>
    <x v="112"/>
    <x v="45"/>
    <x v="11"/>
    <x v="547"/>
    <x v="92"/>
    <x v="714"/>
    <x v="413"/>
    <x v="75"/>
    <x v="42"/>
    <x v="55"/>
    <x v="31"/>
    <x v="38"/>
    <x v="6"/>
    <x v="570"/>
    <x v="511"/>
    <x v="102"/>
  </r>
  <r>
    <x v="2"/>
    <x v="65"/>
    <x v="5"/>
    <x v="3"/>
    <x v="72"/>
    <x v="11"/>
    <x v="5"/>
    <x v="10"/>
    <x v="488"/>
    <x v="2"/>
    <x v="42"/>
    <x v="153"/>
    <x v="86"/>
    <x v="690"/>
    <x v="334"/>
    <x v="0"/>
    <x v="0"/>
    <x v="0"/>
    <x v="0"/>
    <x v="10"/>
    <x v="3"/>
    <x v="0"/>
    <x v="409"/>
    <x v="713"/>
    <x v="38"/>
    <x v="3"/>
    <x v="489"/>
    <x v="571"/>
    <x v="111"/>
    <x v="0"/>
    <x v="814"/>
    <x v="0"/>
    <x v="102"/>
    <x v="130"/>
    <x v="308"/>
    <x v="5"/>
    <x v="421"/>
    <x v="573"/>
    <x v="1053"/>
  </r>
  <r>
    <x v="2"/>
    <x v="65"/>
    <x v="5"/>
    <x v="5"/>
    <x v="10"/>
    <x v="7"/>
    <x v="7"/>
    <x v="45"/>
    <x v="1136"/>
    <x v="2"/>
    <x v="42"/>
    <x v="163"/>
    <x v="124"/>
    <x v="771"/>
    <x v="349"/>
    <x v="0"/>
    <x v="0"/>
    <x v="0"/>
    <x v="0"/>
    <x v="55"/>
    <x v="3"/>
    <x v="0"/>
    <x v="417"/>
    <x v="643"/>
    <x v="44"/>
    <x v="1"/>
    <x v="389"/>
    <x v="481"/>
    <x v="384"/>
    <x v="0"/>
    <x v="496"/>
    <x v="0"/>
    <x v="102"/>
    <x v="130"/>
    <x v="325"/>
    <x v="4"/>
    <x v="396"/>
    <x v="471"/>
    <x v="899"/>
  </r>
  <r>
    <x v="2"/>
    <x v="66"/>
    <x v="2"/>
    <x v="0"/>
    <x v="30"/>
    <x v="3"/>
    <x v="1"/>
    <x v="25"/>
    <x v="489"/>
    <x v="1"/>
    <x v="42"/>
    <x v="107"/>
    <x v="29"/>
    <x v="344"/>
    <x v="202"/>
    <x v="0"/>
    <x v="42"/>
    <x v="0"/>
    <x v="0"/>
    <x v="82"/>
    <x v="3"/>
    <x v="0"/>
    <x v="286"/>
    <x v="688"/>
    <x v="45"/>
    <x v="11"/>
    <x v="685"/>
    <x v="169"/>
    <x v="712"/>
    <x v="301"/>
    <x v="69"/>
    <x v="0"/>
    <x v="102"/>
    <x v="130"/>
    <x v="113"/>
    <x v="6"/>
    <x v="591"/>
    <x v="390"/>
    <x v="724"/>
  </r>
  <r>
    <x v="2"/>
    <x v="66"/>
    <x v="2"/>
    <x v="5"/>
    <x v="10"/>
    <x v="7"/>
    <x v="7"/>
    <x v="45"/>
    <x v="1141"/>
    <x v="1"/>
    <x v="42"/>
    <x v="163"/>
    <x v="124"/>
    <x v="800"/>
    <x v="351"/>
    <x v="0"/>
    <x v="0"/>
    <x v="0"/>
    <x v="0"/>
    <x v="49"/>
    <x v="3"/>
    <x v="0"/>
    <x v="419"/>
    <x v="665"/>
    <x v="44"/>
    <x v="1"/>
    <x v="409"/>
    <x v="496"/>
    <x v="334"/>
    <x v="0"/>
    <x v="556"/>
    <x v="0"/>
    <x v="102"/>
    <x v="130"/>
    <x v="329"/>
    <x v="4"/>
    <x v="388"/>
    <x v="499"/>
    <x v="938"/>
  </r>
  <r>
    <x v="2"/>
    <x v="66"/>
    <x v="2"/>
    <x v="3"/>
    <x v="72"/>
    <x v="11"/>
    <x v="5"/>
    <x v="10"/>
    <x v="493"/>
    <x v="1"/>
    <x v="42"/>
    <x v="153"/>
    <x v="86"/>
    <x v="658"/>
    <x v="327"/>
    <x v="0"/>
    <x v="0"/>
    <x v="0"/>
    <x v="0"/>
    <x v="4"/>
    <x v="3"/>
    <x v="0"/>
    <x v="403"/>
    <x v="703"/>
    <x v="38"/>
    <x v="3"/>
    <x v="473"/>
    <x v="605"/>
    <x v="41"/>
    <x v="0"/>
    <x v="910"/>
    <x v="0"/>
    <x v="102"/>
    <x v="130"/>
    <x v="300"/>
    <x v="5"/>
    <x v="432"/>
    <x v="550"/>
    <x v="1037"/>
  </r>
  <r>
    <x v="2"/>
    <x v="66"/>
    <x v="2"/>
    <x v="7"/>
    <x v="18"/>
    <x v="11"/>
    <x v="10"/>
    <x v="47"/>
    <x v="1135"/>
    <x v="0"/>
    <x v="42"/>
    <x v="184"/>
    <x v="156"/>
    <x v="885"/>
    <x v="421"/>
    <x v="0"/>
    <x v="0"/>
    <x v="0"/>
    <x v="0"/>
    <x v="0"/>
    <x v="0"/>
    <x v="0"/>
    <x v="499"/>
    <x v="466"/>
    <x v="9"/>
    <x v="0"/>
    <x v="0"/>
    <x v="646"/>
    <x v="0"/>
    <x v="0"/>
    <x v="958"/>
    <x v="9"/>
    <x v="97"/>
    <x v="117"/>
    <x v="415"/>
    <x v="2"/>
    <x v="224"/>
    <x v="365"/>
    <x v="533"/>
  </r>
  <r>
    <x v="2"/>
    <x v="66"/>
    <x v="2"/>
    <x v="4"/>
    <x v="56"/>
    <x v="11"/>
    <x v="8"/>
    <x v="49"/>
    <x v="1082"/>
    <x v="0"/>
    <x v="42"/>
    <x v="184"/>
    <x v="156"/>
    <x v="869"/>
    <x v="400"/>
    <x v="0"/>
    <x v="0"/>
    <x v="0"/>
    <x v="0"/>
    <x v="0"/>
    <x v="0"/>
    <x v="0"/>
    <x v="470"/>
    <x v="362"/>
    <x v="13"/>
    <x v="0"/>
    <x v="0"/>
    <x v="646"/>
    <x v="0"/>
    <x v="0"/>
    <x v="958"/>
    <x v="9"/>
    <x v="97"/>
    <x v="117"/>
    <x v="382"/>
    <x v="2"/>
    <x v="277"/>
    <x v="248"/>
    <x v="422"/>
  </r>
  <r>
    <x v="2"/>
    <x v="66"/>
    <x v="2"/>
    <x v="1"/>
    <x v="7"/>
    <x v="11"/>
    <x v="19"/>
    <x v="21"/>
    <x v="470"/>
    <x v="0"/>
    <x v="42"/>
    <x v="168"/>
    <x v="131"/>
    <x v="556"/>
    <x v="285"/>
    <x v="0"/>
    <x v="0"/>
    <x v="43"/>
    <x v="0"/>
    <x v="47"/>
    <x v="0"/>
    <x v="4"/>
    <x v="123"/>
    <x v="251"/>
    <x v="2"/>
    <x v="0"/>
    <x v="0"/>
    <x v="646"/>
    <x v="408"/>
    <x v="0"/>
    <x v="462"/>
    <x v="26"/>
    <x v="76"/>
    <x v="68"/>
    <x v="230"/>
    <x v="7"/>
    <x v="659"/>
    <x v="681"/>
    <x v="866"/>
  </r>
  <r>
    <x v="2"/>
    <x v="66"/>
    <x v="6"/>
    <x v="8"/>
    <x v="60"/>
    <x v="11"/>
    <x v="19"/>
    <x v="48"/>
    <x v="1122"/>
    <x v="0"/>
    <x v="42"/>
    <x v="221"/>
    <x v="207"/>
    <x v="986"/>
    <x v="532"/>
    <x v="0"/>
    <x v="0"/>
    <x v="0"/>
    <x v="0"/>
    <x v="82"/>
    <x v="0"/>
    <x v="1"/>
    <x v="493"/>
    <x v="453"/>
    <x v="25"/>
    <x v="0"/>
    <x v="0"/>
    <x v="646"/>
    <x v="252"/>
    <x v="0"/>
    <x v="658"/>
    <x v="0"/>
    <x v="102"/>
    <x v="130"/>
    <x v="562"/>
    <x v="3"/>
    <x v="303"/>
    <x v="431"/>
    <x v="862"/>
  </r>
  <r>
    <x v="2"/>
    <x v="66"/>
    <x v="3"/>
    <x v="7"/>
    <x v="18"/>
    <x v="11"/>
    <x v="10"/>
    <x v="47"/>
    <x v="1137"/>
    <x v="0"/>
    <x v="42"/>
    <x v="184"/>
    <x v="156"/>
    <x v="885"/>
    <x v="421"/>
    <x v="0"/>
    <x v="0"/>
    <x v="0"/>
    <x v="0"/>
    <x v="0"/>
    <x v="0"/>
    <x v="0"/>
    <x v="499"/>
    <x v="466"/>
    <x v="9"/>
    <x v="0"/>
    <x v="0"/>
    <x v="646"/>
    <x v="0"/>
    <x v="0"/>
    <x v="958"/>
    <x v="9"/>
    <x v="97"/>
    <x v="117"/>
    <x v="415"/>
    <x v="2"/>
    <x v="224"/>
    <x v="365"/>
    <x v="533"/>
  </r>
  <r>
    <x v="2"/>
    <x v="66"/>
    <x v="3"/>
    <x v="4"/>
    <x v="56"/>
    <x v="11"/>
    <x v="8"/>
    <x v="49"/>
    <x v="1131"/>
    <x v="0"/>
    <x v="42"/>
    <x v="184"/>
    <x v="156"/>
    <x v="904"/>
    <x v="441"/>
    <x v="0"/>
    <x v="0"/>
    <x v="0"/>
    <x v="0"/>
    <x v="0"/>
    <x v="0"/>
    <x v="0"/>
    <x v="526"/>
    <x v="580"/>
    <x v="13"/>
    <x v="0"/>
    <x v="0"/>
    <x v="646"/>
    <x v="0"/>
    <x v="0"/>
    <x v="958"/>
    <x v="9"/>
    <x v="97"/>
    <x v="117"/>
    <x v="447"/>
    <x v="2"/>
    <x v="167"/>
    <x v="463"/>
    <x v="669"/>
  </r>
  <r>
    <x v="2"/>
    <x v="66"/>
    <x v="3"/>
    <x v="0"/>
    <x v="30"/>
    <x v="3"/>
    <x v="1"/>
    <x v="25"/>
    <x v="491"/>
    <x v="0"/>
    <x v="42"/>
    <x v="102"/>
    <x v="21"/>
    <x v="125"/>
    <x v="95"/>
    <x v="0"/>
    <x v="40"/>
    <x v="0"/>
    <x v="0"/>
    <x v="62"/>
    <x v="0"/>
    <x v="0"/>
    <x v="184"/>
    <x v="64"/>
    <x v="45"/>
    <x v="11"/>
    <x v="534"/>
    <x v="82"/>
    <x v="757"/>
    <x v="412"/>
    <x v="20"/>
    <x v="42"/>
    <x v="55"/>
    <x v="31"/>
    <x v="25"/>
    <x v="6"/>
    <x v="602"/>
    <x v="252"/>
    <x v="64"/>
  </r>
  <r>
    <x v="2"/>
    <x v="66"/>
    <x v="3"/>
    <x v="5"/>
    <x v="10"/>
    <x v="7"/>
    <x v="7"/>
    <x v="45"/>
    <x v="1142"/>
    <x v="0"/>
    <x v="42"/>
    <x v="163"/>
    <x v="124"/>
    <x v="638"/>
    <x v="312"/>
    <x v="0"/>
    <x v="49"/>
    <x v="0"/>
    <x v="0"/>
    <x v="40"/>
    <x v="0"/>
    <x v="0"/>
    <x v="390"/>
    <x v="460"/>
    <x v="44"/>
    <x v="1"/>
    <x v="277"/>
    <x v="372"/>
    <x v="321"/>
    <x v="236"/>
    <x v="574"/>
    <x v="0"/>
    <x v="102"/>
    <x v="130"/>
    <x v="280"/>
    <x v="4"/>
    <x v="458"/>
    <x v="248"/>
    <x v="571"/>
  </r>
  <r>
    <x v="2"/>
    <x v="66"/>
    <x v="3"/>
    <x v="3"/>
    <x v="72"/>
    <x v="11"/>
    <x v="5"/>
    <x v="10"/>
    <x v="494"/>
    <x v="0"/>
    <x v="42"/>
    <x v="153"/>
    <x v="86"/>
    <x v="621"/>
    <x v="312"/>
    <x v="0"/>
    <x v="0"/>
    <x v="0"/>
    <x v="0"/>
    <x v="8"/>
    <x v="0"/>
    <x v="0"/>
    <x v="390"/>
    <x v="676"/>
    <x v="38"/>
    <x v="3"/>
    <x v="458"/>
    <x v="622"/>
    <x v="97"/>
    <x v="0"/>
    <x v="834"/>
    <x v="0"/>
    <x v="102"/>
    <x v="130"/>
    <x v="280"/>
    <x v="5"/>
    <x v="458"/>
    <x v="496"/>
    <x v="955"/>
  </r>
  <r>
    <x v="2"/>
    <x v="66"/>
    <x v="3"/>
    <x v="1"/>
    <x v="7"/>
    <x v="11"/>
    <x v="19"/>
    <x v="21"/>
    <x v="477"/>
    <x v="0"/>
    <x v="42"/>
    <x v="168"/>
    <x v="131"/>
    <x v="646"/>
    <x v="321"/>
    <x v="0"/>
    <x v="0"/>
    <x v="46"/>
    <x v="0"/>
    <x v="41"/>
    <x v="0"/>
    <x v="4"/>
    <x v="137"/>
    <x v="398"/>
    <x v="2"/>
    <x v="0"/>
    <x v="0"/>
    <x v="646"/>
    <x v="322"/>
    <x v="0"/>
    <x v="572"/>
    <x v="0"/>
    <x v="102"/>
    <x v="130"/>
    <x v="290"/>
    <x v="7"/>
    <x v="694"/>
    <x v="608"/>
    <x v="1080"/>
  </r>
  <r>
    <x v="2"/>
    <x v="66"/>
    <x v="5"/>
    <x v="0"/>
    <x v="30"/>
    <x v="3"/>
    <x v="1"/>
    <x v="25"/>
    <x v="485"/>
    <x v="2"/>
    <x v="42"/>
    <x v="102"/>
    <x v="21"/>
    <x v="271"/>
    <x v="183"/>
    <x v="22"/>
    <x v="50"/>
    <x v="0"/>
    <x v="0"/>
    <x v="58"/>
    <x v="3"/>
    <x v="0"/>
    <x v="266"/>
    <x v="603"/>
    <x v="45"/>
    <x v="11"/>
    <x v="644"/>
    <x v="148"/>
    <x v="656"/>
    <x v="354"/>
    <x v="150"/>
    <x v="7"/>
    <x v="99"/>
    <x v="122"/>
    <x v="93"/>
    <x v="6"/>
    <x v="601"/>
    <x v="295"/>
    <x v="471"/>
  </r>
  <r>
    <x v="2"/>
    <x v="66"/>
    <x v="5"/>
    <x v="3"/>
    <x v="72"/>
    <x v="11"/>
    <x v="5"/>
    <x v="10"/>
    <x v="488"/>
    <x v="2"/>
    <x v="42"/>
    <x v="153"/>
    <x v="86"/>
    <x v="605"/>
    <x v="302"/>
    <x v="2"/>
    <x v="0"/>
    <x v="0"/>
    <x v="0"/>
    <x v="5"/>
    <x v="3"/>
    <x v="0"/>
    <x v="383"/>
    <x v="659"/>
    <x v="38"/>
    <x v="3"/>
    <x v="454"/>
    <x v="543"/>
    <x v="66"/>
    <x v="0"/>
    <x v="877"/>
    <x v="7"/>
    <x v="99"/>
    <x v="122"/>
    <x v="270"/>
    <x v="5"/>
    <x v="431"/>
    <x v="552"/>
    <x v="909"/>
  </r>
  <r>
    <x v="2"/>
    <x v="66"/>
    <x v="5"/>
    <x v="5"/>
    <x v="10"/>
    <x v="7"/>
    <x v="7"/>
    <x v="45"/>
    <x v="1136"/>
    <x v="2"/>
    <x v="42"/>
    <x v="163"/>
    <x v="124"/>
    <x v="617"/>
    <x v="304"/>
    <x v="36"/>
    <x v="0"/>
    <x v="0"/>
    <x v="0"/>
    <x v="47"/>
    <x v="3"/>
    <x v="0"/>
    <x v="384"/>
    <x v="429"/>
    <x v="44"/>
    <x v="1"/>
    <x v="276"/>
    <x v="278"/>
    <x v="378"/>
    <x v="0"/>
    <x v="506"/>
    <x v="7"/>
    <x v="99"/>
    <x v="122"/>
    <x v="272"/>
    <x v="4"/>
    <x v="426"/>
    <x v="340"/>
    <x v="538"/>
  </r>
  <r>
    <x v="3"/>
    <x v="67"/>
    <x v="2"/>
    <x v="3"/>
    <x v="72"/>
    <x v="11"/>
    <x v="5"/>
    <x v="10"/>
    <x v="501"/>
    <x v="2"/>
    <x v="42"/>
    <x v="153"/>
    <x v="86"/>
    <x v="499"/>
    <x v="266"/>
    <x v="2"/>
    <x v="22"/>
    <x v="0"/>
    <x v="0"/>
    <x v="20"/>
    <x v="3"/>
    <x v="0"/>
    <x v="347"/>
    <x v="403"/>
    <x v="38"/>
    <x v="3"/>
    <x v="327"/>
    <x v="411"/>
    <x v="223"/>
    <x v="126"/>
    <x v="691"/>
    <x v="7"/>
    <x v="99"/>
    <x v="122"/>
    <x v="194"/>
    <x v="5"/>
    <x v="519"/>
    <x v="276"/>
    <x v="477"/>
  </r>
  <r>
    <x v="3"/>
    <x v="67"/>
    <x v="2"/>
    <x v="0"/>
    <x v="30"/>
    <x v="3"/>
    <x v="1"/>
    <x v="25"/>
    <x v="496"/>
    <x v="2"/>
    <x v="42"/>
    <x v="102"/>
    <x v="21"/>
    <x v="229"/>
    <x v="161"/>
    <x v="4"/>
    <x v="55"/>
    <x v="0"/>
    <x v="0"/>
    <x v="52"/>
    <x v="5"/>
    <x v="0"/>
    <x v="240"/>
    <x v="373"/>
    <x v="45"/>
    <x v="11"/>
    <x v="614"/>
    <x v="120"/>
    <x v="661"/>
    <x v="392"/>
    <x v="143"/>
    <x v="28"/>
    <x v="74"/>
    <x v="63"/>
    <x v="75"/>
    <x v="6"/>
    <x v="569"/>
    <x v="515"/>
    <x v="328"/>
  </r>
  <r>
    <x v="3"/>
    <x v="67"/>
    <x v="2"/>
    <x v="5"/>
    <x v="10"/>
    <x v="7"/>
    <x v="7"/>
    <x v="45"/>
    <x v="1149"/>
    <x v="2"/>
    <x v="42"/>
    <x v="163"/>
    <x v="124"/>
    <x v="598"/>
    <x v="292"/>
    <x v="74"/>
    <x v="74"/>
    <x v="0"/>
    <x v="0"/>
    <x v="55"/>
    <x v="5"/>
    <x v="0"/>
    <x v="373"/>
    <x v="347"/>
    <x v="44"/>
    <x v="1"/>
    <x v="426"/>
    <x v="19"/>
    <x v="460"/>
    <x v="338"/>
    <x v="411"/>
    <x v="23"/>
    <x v="80"/>
    <x v="77"/>
    <x v="247"/>
    <x v="4"/>
    <x v="377"/>
    <x v="543"/>
    <x v="440"/>
  </r>
  <r>
    <x v="3"/>
    <x v="67"/>
    <x v="2"/>
    <x v="7"/>
    <x v="18"/>
    <x v="11"/>
    <x v="10"/>
    <x v="47"/>
    <x v="1143"/>
    <x v="2"/>
    <x v="42"/>
    <x v="184"/>
    <x v="156"/>
    <x v="898"/>
    <x v="436"/>
    <x v="0"/>
    <x v="0"/>
    <x v="0"/>
    <x v="0"/>
    <x v="0"/>
    <x v="0"/>
    <x v="0"/>
    <x v="521"/>
    <x v="561"/>
    <x v="9"/>
    <x v="0"/>
    <x v="0"/>
    <x v="646"/>
    <x v="0"/>
    <x v="0"/>
    <x v="958"/>
    <x v="0"/>
    <x v="102"/>
    <x v="130"/>
    <x v="439"/>
    <x v="2"/>
    <x v="265"/>
    <x v="272"/>
    <x v="626"/>
  </r>
  <r>
    <x v="3"/>
    <x v="67"/>
    <x v="2"/>
    <x v="4"/>
    <x v="56"/>
    <x v="11"/>
    <x v="8"/>
    <x v="49"/>
    <x v="1138"/>
    <x v="2"/>
    <x v="42"/>
    <x v="184"/>
    <x v="156"/>
    <x v="898"/>
    <x v="436"/>
    <x v="0"/>
    <x v="0"/>
    <x v="0"/>
    <x v="0"/>
    <x v="0"/>
    <x v="0"/>
    <x v="0"/>
    <x v="521"/>
    <x v="561"/>
    <x v="13"/>
    <x v="0"/>
    <x v="0"/>
    <x v="646"/>
    <x v="0"/>
    <x v="0"/>
    <x v="958"/>
    <x v="0"/>
    <x v="102"/>
    <x v="130"/>
    <x v="439"/>
    <x v="2"/>
    <x v="265"/>
    <x v="272"/>
    <x v="626"/>
  </r>
  <r>
    <x v="3"/>
    <x v="67"/>
    <x v="6"/>
    <x v="8"/>
    <x v="60"/>
    <x v="11"/>
    <x v="19"/>
    <x v="48"/>
    <x v="1132"/>
    <x v="0"/>
    <x v="42"/>
    <x v="221"/>
    <x v="207"/>
    <x v="990"/>
    <x v="538"/>
    <x v="0"/>
    <x v="0"/>
    <x v="0"/>
    <x v="0"/>
    <x v="70"/>
    <x v="0"/>
    <x v="0"/>
    <x v="603"/>
    <x v="505"/>
    <x v="25"/>
    <x v="0"/>
    <x v="0"/>
    <x v="646"/>
    <x v="219"/>
    <x v="0"/>
    <x v="692"/>
    <x v="12"/>
    <x v="94"/>
    <x v="108"/>
    <x v="571"/>
    <x v="3"/>
    <x v="13"/>
    <x v="759"/>
    <x v="1209"/>
  </r>
  <r>
    <x v="3"/>
    <x v="67"/>
    <x v="3"/>
    <x v="7"/>
    <x v="18"/>
    <x v="11"/>
    <x v="10"/>
    <x v="47"/>
    <x v="1150"/>
    <x v="0"/>
    <x v="42"/>
    <x v="184"/>
    <x v="156"/>
    <x v="895"/>
    <x v="431"/>
    <x v="0"/>
    <x v="0"/>
    <x v="0"/>
    <x v="0"/>
    <x v="0"/>
    <x v="0"/>
    <x v="0"/>
    <x v="515"/>
    <x v="538"/>
    <x v="9"/>
    <x v="0"/>
    <x v="0"/>
    <x v="646"/>
    <x v="0"/>
    <x v="0"/>
    <x v="958"/>
    <x v="9"/>
    <x v="97"/>
    <x v="117"/>
    <x v="432"/>
    <x v="2"/>
    <x v="194"/>
    <x v="418"/>
    <x v="605"/>
  </r>
  <r>
    <x v="3"/>
    <x v="67"/>
    <x v="3"/>
    <x v="4"/>
    <x v="56"/>
    <x v="11"/>
    <x v="8"/>
    <x v="49"/>
    <x v="1139"/>
    <x v="0"/>
    <x v="42"/>
    <x v="184"/>
    <x v="156"/>
    <x v="875"/>
    <x v="406"/>
    <x v="0"/>
    <x v="0"/>
    <x v="0"/>
    <x v="0"/>
    <x v="0"/>
    <x v="0"/>
    <x v="0"/>
    <x v="476"/>
    <x v="392"/>
    <x v="13"/>
    <x v="0"/>
    <x v="0"/>
    <x v="646"/>
    <x v="0"/>
    <x v="0"/>
    <x v="958"/>
    <x v="9"/>
    <x v="97"/>
    <x v="117"/>
    <x v="389"/>
    <x v="2"/>
    <x v="260"/>
    <x v="283"/>
    <x v="453"/>
  </r>
  <r>
    <x v="3"/>
    <x v="67"/>
    <x v="3"/>
    <x v="3"/>
    <x v="72"/>
    <x v="11"/>
    <x v="5"/>
    <x v="10"/>
    <x v="502"/>
    <x v="0"/>
    <x v="42"/>
    <x v="153"/>
    <x v="86"/>
    <x v="664"/>
    <x v="327"/>
    <x v="0"/>
    <x v="22"/>
    <x v="0"/>
    <x v="0"/>
    <x v="8"/>
    <x v="0"/>
    <x v="0"/>
    <x v="403"/>
    <x v="703"/>
    <x v="38"/>
    <x v="3"/>
    <x v="481"/>
    <x v="525"/>
    <x v="94"/>
    <x v="81"/>
    <x v="841"/>
    <x v="0"/>
    <x v="102"/>
    <x v="130"/>
    <x v="300"/>
    <x v="5"/>
    <x v="432"/>
    <x v="550"/>
    <x v="1031"/>
  </r>
  <r>
    <x v="3"/>
    <x v="67"/>
    <x v="3"/>
    <x v="0"/>
    <x v="30"/>
    <x v="3"/>
    <x v="1"/>
    <x v="25"/>
    <x v="498"/>
    <x v="0"/>
    <x v="42"/>
    <x v="107"/>
    <x v="29"/>
    <x v="283"/>
    <x v="189"/>
    <x v="0"/>
    <x v="42"/>
    <x v="0"/>
    <x v="0"/>
    <x v="55"/>
    <x v="0"/>
    <x v="0"/>
    <x v="272"/>
    <x v="618"/>
    <x v="45"/>
    <x v="11"/>
    <x v="649"/>
    <x v="217"/>
    <x v="629"/>
    <x v="318"/>
    <x v="187"/>
    <x v="0"/>
    <x v="102"/>
    <x v="130"/>
    <x v="100"/>
    <x v="6"/>
    <x v="602"/>
    <x v="252"/>
    <x v="554"/>
  </r>
  <r>
    <x v="3"/>
    <x v="67"/>
    <x v="3"/>
    <x v="5"/>
    <x v="10"/>
    <x v="7"/>
    <x v="7"/>
    <x v="45"/>
    <x v="1152"/>
    <x v="0"/>
    <x v="42"/>
    <x v="163"/>
    <x v="124"/>
    <x v="701"/>
    <x v="333"/>
    <x v="0"/>
    <x v="22"/>
    <x v="0"/>
    <x v="0"/>
    <x v="40"/>
    <x v="0"/>
    <x v="0"/>
    <x v="408"/>
    <x v="572"/>
    <x v="44"/>
    <x v="1"/>
    <x v="326"/>
    <x v="459"/>
    <x v="309"/>
    <x v="74"/>
    <x v="592"/>
    <x v="0"/>
    <x v="102"/>
    <x v="130"/>
    <x v="306"/>
    <x v="4"/>
    <x v="422"/>
    <x v="353"/>
    <x v="716"/>
  </r>
  <r>
    <x v="3"/>
    <x v="67"/>
    <x v="3"/>
    <x v="1"/>
    <x v="7"/>
    <x v="11"/>
    <x v="19"/>
    <x v="21"/>
    <x v="479"/>
    <x v="0"/>
    <x v="24"/>
    <x v="104"/>
    <x v="131"/>
    <x v="188"/>
    <x v="146"/>
    <x v="0"/>
    <x v="0"/>
    <x v="24"/>
    <x v="0"/>
    <x v="14"/>
    <x v="0"/>
    <x v="4"/>
    <x v="77"/>
    <x v="214"/>
    <x v="2"/>
    <x v="0"/>
    <x v="0"/>
    <x v="646"/>
    <x v="273"/>
    <x v="0"/>
    <x v="630"/>
    <x v="9"/>
    <x v="47"/>
    <x v="89"/>
    <x v="202"/>
    <x v="7"/>
    <x v="693"/>
    <x v="612"/>
    <x v="717"/>
  </r>
  <r>
    <x v="3"/>
    <x v="67"/>
    <x v="5"/>
    <x v="0"/>
    <x v="2"/>
    <x v="3"/>
    <x v="1"/>
    <x v="20"/>
    <x v="499"/>
    <x v="4"/>
    <x v="42"/>
    <x v="107"/>
    <x v="29"/>
    <x v="154"/>
    <x v="115"/>
    <x v="56"/>
    <x v="49"/>
    <x v="0"/>
    <x v="0"/>
    <x v="32"/>
    <x v="3"/>
    <x v="0"/>
    <x v="200"/>
    <x v="104"/>
    <x v="38"/>
    <x v="10"/>
    <x v="544"/>
    <x v="73"/>
    <x v="630"/>
    <x v="416"/>
    <x v="191"/>
    <x v="41"/>
    <x v="56"/>
    <x v="34"/>
    <x v="38"/>
    <x v="6"/>
    <x v="585"/>
    <x v="443"/>
    <x v="107"/>
  </r>
  <r>
    <x v="3"/>
    <x v="67"/>
    <x v="5"/>
    <x v="5"/>
    <x v="10"/>
    <x v="7"/>
    <x v="7"/>
    <x v="45"/>
    <x v="1154"/>
    <x v="4"/>
    <x v="42"/>
    <x v="163"/>
    <x v="124"/>
    <x v="561"/>
    <x v="282"/>
    <x v="73"/>
    <x v="46"/>
    <x v="0"/>
    <x v="0"/>
    <x v="38"/>
    <x v="3"/>
    <x v="0"/>
    <x v="365"/>
    <x v="290"/>
    <x v="44"/>
    <x v="1"/>
    <x v="352"/>
    <x v="21"/>
    <x v="332"/>
    <x v="243"/>
    <x v="563"/>
    <x v="14"/>
    <x v="91"/>
    <x v="102"/>
    <x v="227"/>
    <x v="4"/>
    <x v="444"/>
    <x v="290"/>
    <x v="390"/>
  </r>
  <r>
    <x v="3"/>
    <x v="67"/>
    <x v="5"/>
    <x v="3"/>
    <x v="72"/>
    <x v="11"/>
    <x v="5"/>
    <x v="10"/>
    <x v="503"/>
    <x v="4"/>
    <x v="42"/>
    <x v="153"/>
    <x v="86"/>
    <x v="626"/>
    <x v="312"/>
    <x v="0"/>
    <x v="0"/>
    <x v="0"/>
    <x v="0"/>
    <x v="11"/>
    <x v="3"/>
    <x v="0"/>
    <x v="390"/>
    <x v="676"/>
    <x v="38"/>
    <x v="3"/>
    <x v="463"/>
    <x v="564"/>
    <x v="127"/>
    <x v="0"/>
    <x v="798"/>
    <x v="0"/>
    <x v="102"/>
    <x v="130"/>
    <x v="280"/>
    <x v="5"/>
    <x v="458"/>
    <x v="496"/>
    <x v="952"/>
  </r>
  <r>
    <x v="3"/>
    <x v="68"/>
    <x v="2"/>
    <x v="3"/>
    <x v="72"/>
    <x v="11"/>
    <x v="5"/>
    <x v="10"/>
    <x v="509"/>
    <x v="2"/>
    <x v="42"/>
    <x v="153"/>
    <x v="86"/>
    <x v="624"/>
    <x v="312"/>
    <x v="0"/>
    <x v="0"/>
    <x v="0"/>
    <x v="0"/>
    <x v="8"/>
    <x v="3"/>
    <x v="0"/>
    <x v="390"/>
    <x v="676"/>
    <x v="38"/>
    <x v="3"/>
    <x v="461"/>
    <x v="576"/>
    <x v="97"/>
    <x v="0"/>
    <x v="836"/>
    <x v="0"/>
    <x v="102"/>
    <x v="130"/>
    <x v="280"/>
    <x v="5"/>
    <x v="458"/>
    <x v="496"/>
    <x v="957"/>
  </r>
  <r>
    <x v="3"/>
    <x v="68"/>
    <x v="2"/>
    <x v="0"/>
    <x v="2"/>
    <x v="3"/>
    <x v="1"/>
    <x v="20"/>
    <x v="504"/>
    <x v="2"/>
    <x v="42"/>
    <x v="106"/>
    <x v="27"/>
    <x v="357"/>
    <x v="207"/>
    <x v="22"/>
    <x v="17"/>
    <x v="0"/>
    <x v="0"/>
    <x v="40"/>
    <x v="3"/>
    <x v="0"/>
    <x v="292"/>
    <x v="707"/>
    <x v="38"/>
    <x v="10"/>
    <x v="673"/>
    <x v="301"/>
    <x v="481"/>
    <x v="143"/>
    <x v="371"/>
    <x v="0"/>
    <x v="102"/>
    <x v="130"/>
    <x v="119"/>
    <x v="6"/>
    <x v="583"/>
    <x v="457"/>
    <x v="878"/>
  </r>
  <r>
    <x v="3"/>
    <x v="68"/>
    <x v="2"/>
    <x v="5"/>
    <x v="10"/>
    <x v="7"/>
    <x v="7"/>
    <x v="45"/>
    <x v="1158"/>
    <x v="2"/>
    <x v="42"/>
    <x v="163"/>
    <x v="124"/>
    <x v="768"/>
    <x v="349"/>
    <x v="0"/>
    <x v="0"/>
    <x v="0"/>
    <x v="0"/>
    <x v="42"/>
    <x v="5"/>
    <x v="0"/>
    <x v="417"/>
    <x v="643"/>
    <x v="44"/>
    <x v="1"/>
    <x v="388"/>
    <x v="489"/>
    <x v="306"/>
    <x v="0"/>
    <x v="596"/>
    <x v="0"/>
    <x v="102"/>
    <x v="130"/>
    <x v="325"/>
    <x v="4"/>
    <x v="396"/>
    <x v="471"/>
    <x v="905"/>
  </r>
  <r>
    <x v="3"/>
    <x v="68"/>
    <x v="2"/>
    <x v="7"/>
    <x v="18"/>
    <x v="11"/>
    <x v="10"/>
    <x v="47"/>
    <x v="1151"/>
    <x v="2"/>
    <x v="42"/>
    <x v="184"/>
    <x v="156"/>
    <x v="888"/>
    <x v="424"/>
    <x v="0"/>
    <x v="0"/>
    <x v="0"/>
    <x v="0"/>
    <x v="0"/>
    <x v="0"/>
    <x v="0"/>
    <x v="502"/>
    <x v="489"/>
    <x v="9"/>
    <x v="0"/>
    <x v="0"/>
    <x v="646"/>
    <x v="0"/>
    <x v="0"/>
    <x v="958"/>
    <x v="0"/>
    <x v="102"/>
    <x v="130"/>
    <x v="419"/>
    <x v="2"/>
    <x v="293"/>
    <x v="215"/>
    <x v="551"/>
  </r>
  <r>
    <x v="3"/>
    <x v="68"/>
    <x v="2"/>
    <x v="4"/>
    <x v="56"/>
    <x v="11"/>
    <x v="8"/>
    <x v="49"/>
    <x v="1144"/>
    <x v="2"/>
    <x v="42"/>
    <x v="184"/>
    <x v="156"/>
    <x v="865"/>
    <x v="397"/>
    <x v="0"/>
    <x v="0"/>
    <x v="0"/>
    <x v="0"/>
    <x v="0"/>
    <x v="0"/>
    <x v="0"/>
    <x v="466"/>
    <x v="339"/>
    <x v="13"/>
    <x v="0"/>
    <x v="0"/>
    <x v="646"/>
    <x v="0"/>
    <x v="0"/>
    <x v="958"/>
    <x v="0"/>
    <x v="102"/>
    <x v="130"/>
    <x v="379"/>
    <x v="2"/>
    <x v="335"/>
    <x v="121"/>
    <x v="407"/>
  </r>
  <r>
    <x v="3"/>
    <x v="68"/>
    <x v="6"/>
    <x v="8"/>
    <x v="60"/>
    <x v="11"/>
    <x v="19"/>
    <x v="48"/>
    <x v="1140"/>
    <x v="0"/>
    <x v="42"/>
    <x v="221"/>
    <x v="207"/>
    <x v="961"/>
    <x v="501"/>
    <x v="0"/>
    <x v="0"/>
    <x v="0"/>
    <x v="0"/>
    <x v="42"/>
    <x v="0"/>
    <x v="1"/>
    <x v="443"/>
    <x v="268"/>
    <x v="25"/>
    <x v="0"/>
    <x v="0"/>
    <x v="646"/>
    <x v="169"/>
    <x v="0"/>
    <x v="748"/>
    <x v="12"/>
    <x v="94"/>
    <x v="108"/>
    <x v="523"/>
    <x v="3"/>
    <x v="315"/>
    <x v="389"/>
    <x v="522"/>
  </r>
  <r>
    <x v="3"/>
    <x v="68"/>
    <x v="3"/>
    <x v="7"/>
    <x v="18"/>
    <x v="11"/>
    <x v="10"/>
    <x v="47"/>
    <x v="1155"/>
    <x v="0"/>
    <x v="42"/>
    <x v="184"/>
    <x v="156"/>
    <x v="898"/>
    <x v="436"/>
    <x v="0"/>
    <x v="0"/>
    <x v="0"/>
    <x v="0"/>
    <x v="0"/>
    <x v="0"/>
    <x v="0"/>
    <x v="521"/>
    <x v="561"/>
    <x v="9"/>
    <x v="0"/>
    <x v="0"/>
    <x v="646"/>
    <x v="0"/>
    <x v="0"/>
    <x v="958"/>
    <x v="9"/>
    <x v="97"/>
    <x v="117"/>
    <x v="439"/>
    <x v="2"/>
    <x v="181"/>
    <x v="436"/>
    <x v="626"/>
  </r>
  <r>
    <x v="3"/>
    <x v="68"/>
    <x v="3"/>
    <x v="4"/>
    <x v="56"/>
    <x v="11"/>
    <x v="8"/>
    <x v="49"/>
    <x v="1147"/>
    <x v="0"/>
    <x v="42"/>
    <x v="184"/>
    <x v="156"/>
    <x v="902"/>
    <x v="439"/>
    <x v="0"/>
    <x v="0"/>
    <x v="0"/>
    <x v="0"/>
    <x v="0"/>
    <x v="0"/>
    <x v="0"/>
    <x v="524"/>
    <x v="571"/>
    <x v="13"/>
    <x v="0"/>
    <x v="0"/>
    <x v="646"/>
    <x v="0"/>
    <x v="0"/>
    <x v="958"/>
    <x v="9"/>
    <x v="97"/>
    <x v="117"/>
    <x v="444"/>
    <x v="2"/>
    <x v="171"/>
    <x v="455"/>
    <x v="655"/>
  </r>
  <r>
    <x v="3"/>
    <x v="68"/>
    <x v="3"/>
    <x v="3"/>
    <x v="72"/>
    <x v="11"/>
    <x v="5"/>
    <x v="10"/>
    <x v="510"/>
    <x v="0"/>
    <x v="42"/>
    <x v="153"/>
    <x v="86"/>
    <x v="608"/>
    <x v="302"/>
    <x v="0"/>
    <x v="23"/>
    <x v="0"/>
    <x v="0"/>
    <x v="8"/>
    <x v="0"/>
    <x v="0"/>
    <x v="383"/>
    <x v="659"/>
    <x v="38"/>
    <x v="3"/>
    <x v="456"/>
    <x v="515"/>
    <x v="98"/>
    <x v="107"/>
    <x v="832"/>
    <x v="0"/>
    <x v="102"/>
    <x v="130"/>
    <x v="270"/>
    <x v="5"/>
    <x v="468"/>
    <x v="459"/>
    <x v="906"/>
  </r>
  <r>
    <x v="3"/>
    <x v="68"/>
    <x v="3"/>
    <x v="0"/>
    <x v="2"/>
    <x v="3"/>
    <x v="1"/>
    <x v="20"/>
    <x v="506"/>
    <x v="0"/>
    <x v="42"/>
    <x v="107"/>
    <x v="29"/>
    <x v="321"/>
    <x v="202"/>
    <x v="0"/>
    <x v="27"/>
    <x v="0"/>
    <x v="0"/>
    <x v="40"/>
    <x v="0"/>
    <x v="0"/>
    <x v="286"/>
    <x v="688"/>
    <x v="38"/>
    <x v="10"/>
    <x v="658"/>
    <x v="321"/>
    <x v="498"/>
    <x v="226"/>
    <x v="348"/>
    <x v="0"/>
    <x v="102"/>
    <x v="130"/>
    <x v="113"/>
    <x v="6"/>
    <x v="591"/>
    <x v="390"/>
    <x v="750"/>
  </r>
  <r>
    <x v="3"/>
    <x v="68"/>
    <x v="3"/>
    <x v="5"/>
    <x v="10"/>
    <x v="7"/>
    <x v="7"/>
    <x v="45"/>
    <x v="1159"/>
    <x v="0"/>
    <x v="42"/>
    <x v="163"/>
    <x v="124"/>
    <x v="799"/>
    <x v="351"/>
    <x v="0"/>
    <x v="0"/>
    <x v="0"/>
    <x v="0"/>
    <x v="52"/>
    <x v="0"/>
    <x v="0"/>
    <x v="419"/>
    <x v="665"/>
    <x v="44"/>
    <x v="1"/>
    <x v="408"/>
    <x v="500"/>
    <x v="355"/>
    <x v="0"/>
    <x v="528"/>
    <x v="0"/>
    <x v="102"/>
    <x v="130"/>
    <x v="329"/>
    <x v="4"/>
    <x v="388"/>
    <x v="499"/>
    <x v="934"/>
  </r>
  <r>
    <x v="3"/>
    <x v="68"/>
    <x v="2"/>
    <x v="1"/>
    <x v="7"/>
    <x v="11"/>
    <x v="19"/>
    <x v="21"/>
    <x v="481"/>
    <x v="0"/>
    <x v="20"/>
    <x v="74"/>
    <x v="122"/>
    <x v="122"/>
    <x v="101"/>
    <x v="0"/>
    <x v="0"/>
    <x v="14"/>
    <x v="0"/>
    <x v="30"/>
    <x v="0"/>
    <x v="4"/>
    <x v="61"/>
    <x v="220"/>
    <x v="2"/>
    <x v="0"/>
    <x v="0"/>
    <x v="646"/>
    <x v="639"/>
    <x v="0"/>
    <x v="166"/>
    <x v="9"/>
    <x v="33"/>
    <x v="72"/>
    <x v="191"/>
    <x v="7"/>
    <x v="685"/>
    <x v="635"/>
    <x v="573"/>
  </r>
  <r>
    <x v="3"/>
    <x v="68"/>
    <x v="2"/>
    <x v="1"/>
    <x v="32"/>
    <x v="11"/>
    <x v="19"/>
    <x v="26"/>
    <x v="490"/>
    <x v="0"/>
    <x v="20"/>
    <x v="74"/>
    <x v="122"/>
    <x v="146"/>
    <x v="115"/>
    <x v="0"/>
    <x v="0"/>
    <x v="18"/>
    <x v="0"/>
    <x v="24"/>
    <x v="0"/>
    <x v="4"/>
    <x v="64"/>
    <x v="303"/>
    <x v="19"/>
    <x v="0"/>
    <x v="0"/>
    <x v="646"/>
    <x v="548"/>
    <x v="0"/>
    <x v="283"/>
    <x v="0"/>
    <x v="42"/>
    <x v="130"/>
    <x v="230"/>
    <x v="7"/>
    <x v="735"/>
    <x v="443"/>
    <x v="850"/>
  </r>
  <r>
    <x v="3"/>
    <x v="68"/>
    <x v="3"/>
    <x v="1"/>
    <x v="32"/>
    <x v="11"/>
    <x v="19"/>
    <x v="26"/>
    <x v="490"/>
    <x v="0"/>
    <x v="42"/>
    <x v="168"/>
    <x v="131"/>
    <x v="460"/>
    <x v="251"/>
    <x v="0"/>
    <x v="0"/>
    <x v="24"/>
    <x v="0"/>
    <x v="63"/>
    <x v="0"/>
    <x v="4"/>
    <x v="107"/>
    <x v="166"/>
    <x v="19"/>
    <x v="0"/>
    <x v="0"/>
    <x v="646"/>
    <x v="592"/>
    <x v="0"/>
    <x v="229"/>
    <x v="9"/>
    <x v="97"/>
    <x v="117"/>
    <x v="172"/>
    <x v="7"/>
    <x v="743"/>
    <x v="364"/>
    <x v="507"/>
  </r>
  <r>
    <x v="3"/>
    <x v="68"/>
    <x v="5"/>
    <x v="0"/>
    <x v="2"/>
    <x v="3"/>
    <x v="1"/>
    <x v="20"/>
    <x v="507"/>
    <x v="4"/>
    <x v="42"/>
    <x v="107"/>
    <x v="29"/>
    <x v="265"/>
    <x v="183"/>
    <x v="12"/>
    <x v="28"/>
    <x v="0"/>
    <x v="0"/>
    <x v="48"/>
    <x v="3"/>
    <x v="0"/>
    <x v="266"/>
    <x v="565"/>
    <x v="38"/>
    <x v="10"/>
    <x v="635"/>
    <x v="230"/>
    <x v="605"/>
    <x v="253"/>
    <x v="215"/>
    <x v="0"/>
    <x v="102"/>
    <x v="130"/>
    <x v="93"/>
    <x v="6"/>
    <x v="615"/>
    <x v="193"/>
    <x v="478"/>
  </r>
  <r>
    <x v="3"/>
    <x v="68"/>
    <x v="5"/>
    <x v="3"/>
    <x v="72"/>
    <x v="11"/>
    <x v="5"/>
    <x v="10"/>
    <x v="511"/>
    <x v="4"/>
    <x v="42"/>
    <x v="153"/>
    <x v="86"/>
    <x v="576"/>
    <x v="292"/>
    <x v="0"/>
    <x v="0"/>
    <x v="0"/>
    <x v="0"/>
    <x v="8"/>
    <x v="3"/>
    <x v="0"/>
    <x v="373"/>
    <x v="615"/>
    <x v="38"/>
    <x v="3"/>
    <x v="432"/>
    <x v="569"/>
    <x v="103"/>
    <x v="0"/>
    <x v="824"/>
    <x v="0"/>
    <x v="102"/>
    <x v="130"/>
    <x v="247"/>
    <x v="5"/>
    <x v="497"/>
    <x v="374"/>
    <x v="765"/>
  </r>
  <r>
    <x v="3"/>
    <x v="68"/>
    <x v="5"/>
    <x v="5"/>
    <x v="10"/>
    <x v="7"/>
    <x v="7"/>
    <x v="45"/>
    <x v="1162"/>
    <x v="4"/>
    <x v="42"/>
    <x v="163"/>
    <x v="124"/>
    <x v="552"/>
    <x v="283"/>
    <x v="0"/>
    <x v="0"/>
    <x v="0"/>
    <x v="0"/>
    <x v="32"/>
    <x v="3"/>
    <x v="0"/>
    <x v="366"/>
    <x v="293"/>
    <x v="44"/>
    <x v="1"/>
    <x v="223"/>
    <x v="504"/>
    <x v="295"/>
    <x v="0"/>
    <x v="607"/>
    <x v="21"/>
    <x v="82"/>
    <x v="82"/>
    <x v="228"/>
    <x v="4"/>
    <x v="406"/>
    <x v="432"/>
    <x v="393"/>
  </r>
  <r>
    <x v="3"/>
    <x v="69"/>
    <x v="2"/>
    <x v="5"/>
    <x v="12"/>
    <x v="6"/>
    <x v="6"/>
    <x v="27"/>
    <x v="1164"/>
    <x v="4"/>
    <x v="18"/>
    <x v="38"/>
    <x v="49"/>
    <x v="40"/>
    <x v="39"/>
    <x v="0"/>
    <x v="0"/>
    <x v="0"/>
    <x v="0"/>
    <x v="0"/>
    <x v="0"/>
    <x v="0"/>
    <x v="108"/>
    <x v="110"/>
    <x v="44"/>
    <x v="1"/>
    <x v="5"/>
    <x v="645"/>
    <x v="0"/>
    <x v="0"/>
    <x v="958"/>
    <x v="21"/>
    <x v="19"/>
    <x v="26"/>
    <x v="65"/>
    <x v="4"/>
    <x v="466"/>
    <x v="223"/>
    <x v="54"/>
  </r>
  <r>
    <x v="3"/>
    <x v="69"/>
    <x v="2"/>
    <x v="3"/>
    <x v="72"/>
    <x v="11"/>
    <x v="5"/>
    <x v="10"/>
    <x v="517"/>
    <x v="2"/>
    <x v="42"/>
    <x v="146"/>
    <x v="59"/>
    <x v="553"/>
    <x v="282"/>
    <x v="0"/>
    <x v="30"/>
    <x v="0"/>
    <x v="0"/>
    <x v="8"/>
    <x v="3"/>
    <x v="0"/>
    <x v="365"/>
    <x v="655"/>
    <x v="38"/>
    <x v="3"/>
    <x v="399"/>
    <x v="467"/>
    <x v="106"/>
    <x v="180"/>
    <x v="820"/>
    <x v="0"/>
    <x v="102"/>
    <x v="130"/>
    <x v="227"/>
    <x v="5"/>
    <x v="515"/>
    <x v="290"/>
    <x v="648"/>
  </r>
  <r>
    <x v="3"/>
    <x v="69"/>
    <x v="2"/>
    <x v="0"/>
    <x v="2"/>
    <x v="3"/>
    <x v="1"/>
    <x v="20"/>
    <x v="512"/>
    <x v="2"/>
    <x v="42"/>
    <x v="83"/>
    <x v="12"/>
    <x v="182"/>
    <x v="136"/>
    <x v="12"/>
    <x v="23"/>
    <x v="0"/>
    <x v="0"/>
    <x v="26"/>
    <x v="3"/>
    <x v="0"/>
    <x v="218"/>
    <x v="410"/>
    <x v="38"/>
    <x v="10"/>
    <x v="570"/>
    <x v="223"/>
    <x v="505"/>
    <x v="295"/>
    <x v="346"/>
    <x v="28"/>
    <x v="74"/>
    <x v="63"/>
    <x v="48"/>
    <x v="6"/>
    <x v="617"/>
    <x v="176"/>
    <x v="178"/>
  </r>
  <r>
    <x v="3"/>
    <x v="69"/>
    <x v="2"/>
    <x v="7"/>
    <x v="18"/>
    <x v="11"/>
    <x v="10"/>
    <x v="47"/>
    <x v="1160"/>
    <x v="2"/>
    <x v="42"/>
    <x v="184"/>
    <x v="156"/>
    <x v="882"/>
    <x v="414"/>
    <x v="0"/>
    <x v="0"/>
    <x v="0"/>
    <x v="0"/>
    <x v="0"/>
    <x v="0"/>
    <x v="0"/>
    <x v="487"/>
    <x v="435"/>
    <x v="9"/>
    <x v="0"/>
    <x v="0"/>
    <x v="646"/>
    <x v="0"/>
    <x v="0"/>
    <x v="958"/>
    <x v="14"/>
    <x v="91"/>
    <x v="102"/>
    <x v="401"/>
    <x v="2"/>
    <x v="195"/>
    <x v="417"/>
    <x v="509"/>
  </r>
  <r>
    <x v="3"/>
    <x v="69"/>
    <x v="2"/>
    <x v="4"/>
    <x v="56"/>
    <x v="11"/>
    <x v="8"/>
    <x v="49"/>
    <x v="1156"/>
    <x v="2"/>
    <x v="42"/>
    <x v="184"/>
    <x v="156"/>
    <x v="882"/>
    <x v="414"/>
    <x v="0"/>
    <x v="0"/>
    <x v="0"/>
    <x v="0"/>
    <x v="0"/>
    <x v="0"/>
    <x v="0"/>
    <x v="487"/>
    <x v="435"/>
    <x v="13"/>
    <x v="0"/>
    <x v="0"/>
    <x v="646"/>
    <x v="0"/>
    <x v="0"/>
    <x v="958"/>
    <x v="7"/>
    <x v="99"/>
    <x v="122"/>
    <x v="401"/>
    <x v="2"/>
    <x v="258"/>
    <x v="288"/>
    <x v="509"/>
  </r>
  <r>
    <x v="3"/>
    <x v="69"/>
    <x v="2"/>
    <x v="1"/>
    <x v="32"/>
    <x v="11"/>
    <x v="19"/>
    <x v="26"/>
    <x v="492"/>
    <x v="3"/>
    <x v="42"/>
    <x v="169"/>
    <x v="133"/>
    <x v="520"/>
    <x v="271"/>
    <x v="0"/>
    <x v="0"/>
    <x v="0"/>
    <x v="0"/>
    <x v="65"/>
    <x v="0"/>
    <x v="3"/>
    <x v="129"/>
    <x v="209"/>
    <x v="19"/>
    <x v="0"/>
    <x v="0"/>
    <x v="646"/>
    <x v="575"/>
    <x v="0"/>
    <x v="248"/>
    <x v="0"/>
    <x v="102"/>
    <x v="130"/>
    <x v="202"/>
    <x v="7"/>
    <x v="717"/>
    <x v="527"/>
    <x v="982"/>
  </r>
  <r>
    <x v="3"/>
    <x v="69"/>
    <x v="6"/>
    <x v="8"/>
    <x v="60"/>
    <x v="11"/>
    <x v="19"/>
    <x v="48"/>
    <x v="1153"/>
    <x v="6"/>
    <x v="42"/>
    <x v="202"/>
    <x v="177"/>
    <x v="989"/>
    <x v="539"/>
    <x v="0"/>
    <x v="0"/>
    <x v="0"/>
    <x v="0"/>
    <x v="23"/>
    <x v="0"/>
    <x v="1"/>
    <x v="506"/>
    <x v="768"/>
    <x v="25"/>
    <x v="0"/>
    <x v="0"/>
    <x v="646"/>
    <x v="95"/>
    <x v="0"/>
    <x v="838"/>
    <x v="0"/>
    <x v="102"/>
    <x v="130"/>
    <x v="572"/>
    <x v="3"/>
    <x v="284"/>
    <x v="479"/>
    <x v="920"/>
  </r>
  <r>
    <x v="3"/>
    <x v="69"/>
    <x v="3"/>
    <x v="7"/>
    <x v="18"/>
    <x v="11"/>
    <x v="19"/>
    <x v="47"/>
    <x v="1161"/>
    <x v="6"/>
    <x v="42"/>
    <x v="148"/>
    <x v="66"/>
    <x v="652"/>
    <x v="327"/>
    <x v="0"/>
    <x v="0"/>
    <x v="0"/>
    <x v="0"/>
    <x v="0"/>
    <x v="0"/>
    <x v="0"/>
    <x v="403"/>
    <x v="720"/>
    <x v="9"/>
    <x v="0"/>
    <x v="0"/>
    <x v="646"/>
    <x v="0"/>
    <x v="0"/>
    <x v="958"/>
    <x v="0"/>
    <x v="102"/>
    <x v="130"/>
    <x v="300"/>
    <x v="2"/>
    <x v="432"/>
    <x v="29"/>
    <x v="180"/>
  </r>
  <r>
    <x v="3"/>
    <x v="69"/>
    <x v="3"/>
    <x v="4"/>
    <x v="56"/>
    <x v="11"/>
    <x v="19"/>
    <x v="49"/>
    <x v="1156"/>
    <x v="6"/>
    <x v="42"/>
    <x v="148"/>
    <x v="66"/>
    <x v="475"/>
    <x v="266"/>
    <x v="0"/>
    <x v="0"/>
    <x v="0"/>
    <x v="0"/>
    <x v="0"/>
    <x v="0"/>
    <x v="0"/>
    <x v="347"/>
    <x v="466"/>
    <x v="13"/>
    <x v="0"/>
    <x v="0"/>
    <x v="646"/>
    <x v="0"/>
    <x v="0"/>
    <x v="958"/>
    <x v="0"/>
    <x v="102"/>
    <x v="130"/>
    <x v="194"/>
    <x v="2"/>
    <x v="536"/>
    <x v="13"/>
    <x v="100"/>
  </r>
  <r>
    <x v="3"/>
    <x v="69"/>
    <x v="3"/>
    <x v="3"/>
    <x v="72"/>
    <x v="11"/>
    <x v="19"/>
    <x v="10"/>
    <x v="518"/>
    <x v="6"/>
    <x v="42"/>
    <x v="153"/>
    <x v="86"/>
    <x v="654"/>
    <x v="327"/>
    <x v="0"/>
    <x v="0"/>
    <x v="0"/>
    <x v="0"/>
    <x v="4"/>
    <x v="0"/>
    <x v="0"/>
    <x v="403"/>
    <x v="703"/>
    <x v="38"/>
    <x v="3"/>
    <x v="470"/>
    <x v="638"/>
    <x v="41"/>
    <x v="0"/>
    <x v="908"/>
    <x v="0"/>
    <x v="102"/>
    <x v="130"/>
    <x v="300"/>
    <x v="5"/>
    <x v="432"/>
    <x v="550"/>
    <x v="1035"/>
  </r>
  <r>
    <x v="3"/>
    <x v="69"/>
    <x v="3"/>
    <x v="1"/>
    <x v="32"/>
    <x v="11"/>
    <x v="12"/>
    <x v="26"/>
    <x v="497"/>
    <x v="6"/>
    <x v="42"/>
    <x v="173"/>
    <x v="136"/>
    <x v="461"/>
    <x v="250"/>
    <x v="0"/>
    <x v="0"/>
    <x v="41"/>
    <x v="0"/>
    <x v="96"/>
    <x v="0"/>
    <x v="2"/>
    <x v="132"/>
    <x v="162"/>
    <x v="19"/>
    <x v="0"/>
    <x v="0"/>
    <x v="646"/>
    <x v="709"/>
    <x v="0"/>
    <x v="68"/>
    <x v="0"/>
    <x v="102"/>
    <x v="130"/>
    <x v="170"/>
    <x v="7"/>
    <x v="703"/>
    <x v="570"/>
    <x v="1013"/>
  </r>
  <r>
    <x v="3"/>
    <x v="69"/>
    <x v="3"/>
    <x v="0"/>
    <x v="2"/>
    <x v="3"/>
    <x v="1"/>
    <x v="20"/>
    <x v="514"/>
    <x v="6"/>
    <x v="42"/>
    <x v="107"/>
    <x v="29"/>
    <x v="366"/>
    <x v="207"/>
    <x v="0"/>
    <x v="16"/>
    <x v="0"/>
    <x v="0"/>
    <x v="75"/>
    <x v="0"/>
    <x v="0"/>
    <x v="292"/>
    <x v="706"/>
    <x v="38"/>
    <x v="10"/>
    <x v="677"/>
    <x v="265"/>
    <x v="687"/>
    <x v="128"/>
    <x v="98"/>
    <x v="0"/>
    <x v="102"/>
    <x v="130"/>
    <x v="119"/>
    <x v="6"/>
    <x v="583"/>
    <x v="457"/>
    <x v="832"/>
  </r>
  <r>
    <x v="3"/>
    <x v="69"/>
    <x v="5"/>
    <x v="3"/>
    <x v="72"/>
    <x v="11"/>
    <x v="5"/>
    <x v="10"/>
    <x v="519"/>
    <x v="4"/>
    <x v="42"/>
    <x v="153"/>
    <x v="86"/>
    <x v="591"/>
    <x v="296"/>
    <x v="0"/>
    <x v="0"/>
    <x v="0"/>
    <x v="0"/>
    <x v="6"/>
    <x v="3"/>
    <x v="0"/>
    <x v="378"/>
    <x v="633"/>
    <x v="38"/>
    <x v="3"/>
    <x v="447"/>
    <x v="585"/>
    <x v="82"/>
    <x v="0"/>
    <x v="859"/>
    <x v="0"/>
    <x v="102"/>
    <x v="130"/>
    <x v="256"/>
    <x v="5"/>
    <x v="485"/>
    <x v="417"/>
    <x v="840"/>
  </r>
  <r>
    <x v="3"/>
    <x v="69"/>
    <x v="5"/>
    <x v="0"/>
    <x v="2"/>
    <x v="3"/>
    <x v="1"/>
    <x v="20"/>
    <x v="515"/>
    <x v="4"/>
    <x v="42"/>
    <x v="107"/>
    <x v="29"/>
    <x v="400"/>
    <x v="213"/>
    <x v="12"/>
    <x v="35"/>
    <x v="0"/>
    <x v="0"/>
    <x v="65"/>
    <x v="3"/>
    <x v="0"/>
    <x v="299"/>
    <x v="723"/>
    <x v="38"/>
    <x v="10"/>
    <x v="702"/>
    <x v="215"/>
    <x v="636"/>
    <x v="258"/>
    <x v="175"/>
    <x v="0"/>
    <x v="102"/>
    <x v="130"/>
    <x v="126"/>
    <x v="6"/>
    <x v="570"/>
    <x v="511"/>
    <x v="931"/>
  </r>
  <r>
    <x v="3"/>
    <x v="70"/>
    <x v="2"/>
    <x v="3"/>
    <x v="72"/>
    <x v="11"/>
    <x v="5"/>
    <x v="10"/>
    <x v="526"/>
    <x v="2"/>
    <x v="42"/>
    <x v="153"/>
    <x v="86"/>
    <x v="659"/>
    <x v="327"/>
    <x v="0"/>
    <x v="0"/>
    <x v="0"/>
    <x v="0"/>
    <x v="5"/>
    <x v="3"/>
    <x v="0"/>
    <x v="403"/>
    <x v="703"/>
    <x v="38"/>
    <x v="3"/>
    <x v="474"/>
    <x v="599"/>
    <x v="60"/>
    <x v="0"/>
    <x v="884"/>
    <x v="0"/>
    <x v="102"/>
    <x v="130"/>
    <x v="300"/>
    <x v="5"/>
    <x v="432"/>
    <x v="550"/>
    <x v="1033"/>
  </r>
  <r>
    <x v="3"/>
    <x v="70"/>
    <x v="2"/>
    <x v="0"/>
    <x v="2"/>
    <x v="3"/>
    <x v="1"/>
    <x v="20"/>
    <x v="520"/>
    <x v="2"/>
    <x v="42"/>
    <x v="107"/>
    <x v="29"/>
    <x v="359"/>
    <x v="207"/>
    <x v="2"/>
    <x v="25"/>
    <x v="0"/>
    <x v="0"/>
    <x v="40"/>
    <x v="3"/>
    <x v="0"/>
    <x v="292"/>
    <x v="706"/>
    <x v="38"/>
    <x v="10"/>
    <x v="675"/>
    <x v="296"/>
    <x v="481"/>
    <x v="215"/>
    <x v="372"/>
    <x v="0"/>
    <x v="102"/>
    <x v="130"/>
    <x v="119"/>
    <x v="6"/>
    <x v="583"/>
    <x v="457"/>
    <x v="879"/>
  </r>
  <r>
    <x v="3"/>
    <x v="70"/>
    <x v="2"/>
    <x v="7"/>
    <x v="18"/>
    <x v="11"/>
    <x v="10"/>
    <x v="47"/>
    <x v="1163"/>
    <x v="2"/>
    <x v="42"/>
    <x v="184"/>
    <x v="156"/>
    <x v="102"/>
    <x v="88"/>
    <x v="0"/>
    <x v="0"/>
    <x v="0"/>
    <x v="0"/>
    <x v="0"/>
    <x v="0"/>
    <x v="0"/>
    <x v="177"/>
    <x v="3"/>
    <x v="9"/>
    <x v="0"/>
    <x v="0"/>
    <x v="646"/>
    <x v="0"/>
    <x v="0"/>
    <x v="958"/>
    <x v="59"/>
    <x v="20"/>
    <x v="3"/>
    <x v="22"/>
    <x v="2"/>
    <x v="198"/>
    <x v="410"/>
    <x v="7"/>
  </r>
  <r>
    <x v="3"/>
    <x v="70"/>
    <x v="2"/>
    <x v="4"/>
    <x v="56"/>
    <x v="11"/>
    <x v="8"/>
    <x v="49"/>
    <x v="1157"/>
    <x v="2"/>
    <x v="42"/>
    <x v="184"/>
    <x v="156"/>
    <x v="727"/>
    <x v="347"/>
    <x v="0"/>
    <x v="0"/>
    <x v="0"/>
    <x v="0"/>
    <x v="0"/>
    <x v="0"/>
    <x v="0"/>
    <x v="415"/>
    <x v="179"/>
    <x v="13"/>
    <x v="0"/>
    <x v="0"/>
    <x v="646"/>
    <x v="0"/>
    <x v="0"/>
    <x v="958"/>
    <x v="26"/>
    <x v="76"/>
    <x v="68"/>
    <x v="321"/>
    <x v="2"/>
    <x v="292"/>
    <x v="216"/>
    <x v="211"/>
  </r>
  <r>
    <x v="3"/>
    <x v="70"/>
    <x v="2"/>
    <x v="1"/>
    <x v="43"/>
    <x v="11"/>
    <x v="19"/>
    <x v="18"/>
    <x v="209"/>
    <x v="3"/>
    <x v="42"/>
    <x v="169"/>
    <x v="133"/>
    <x v="137"/>
    <x v="110"/>
    <x v="0"/>
    <x v="0"/>
    <x v="16"/>
    <x v="0"/>
    <x v="30"/>
    <x v="0"/>
    <x v="3"/>
    <x v="68"/>
    <x v="15"/>
    <x v="19"/>
    <x v="0"/>
    <x v="0"/>
    <x v="646"/>
    <x v="623"/>
    <x v="0"/>
    <x v="188"/>
    <x v="48"/>
    <x v="47"/>
    <x v="20"/>
    <x v="34"/>
    <x v="7"/>
    <x v="740"/>
    <x v="377"/>
    <x v="49"/>
  </r>
  <r>
    <x v="3"/>
    <x v="70"/>
    <x v="6"/>
    <x v="8"/>
    <x v="60"/>
    <x v="11"/>
    <x v="19"/>
    <x v="48"/>
    <x v="1161"/>
    <x v="1"/>
    <x v="42"/>
    <x v="184"/>
    <x v="156"/>
    <x v="899"/>
    <x v="433"/>
    <x v="0"/>
    <x v="0"/>
    <x v="0"/>
    <x v="0"/>
    <x v="34"/>
    <x v="0"/>
    <x v="0"/>
    <x v="518"/>
    <x v="555"/>
    <x v="25"/>
    <x v="0"/>
    <x v="0"/>
    <x v="646"/>
    <x v="208"/>
    <x v="0"/>
    <x v="703"/>
    <x v="0"/>
    <x v="102"/>
    <x v="130"/>
    <x v="434"/>
    <x v="3"/>
    <x v="269"/>
    <x v="510"/>
    <x v="978"/>
  </r>
  <r>
    <x v="3"/>
    <x v="70"/>
    <x v="3"/>
    <x v="1"/>
    <x v="6"/>
    <x v="11"/>
    <x v="12"/>
    <x v="17"/>
    <x v="380"/>
    <x v="1"/>
    <x v="42"/>
    <x v="168"/>
    <x v="131"/>
    <x v="828"/>
    <x v="360"/>
    <x v="0"/>
    <x v="0"/>
    <x v="54"/>
    <x v="0"/>
    <x v="43"/>
    <x v="0"/>
    <x v="4"/>
    <x v="161"/>
    <x v="646"/>
    <x v="1"/>
    <x v="0"/>
    <x v="0"/>
    <x v="646"/>
    <x v="300"/>
    <x v="0"/>
    <x v="602"/>
    <x v="0"/>
    <x v="102"/>
    <x v="130"/>
    <x v="340"/>
    <x v="7"/>
    <x v="661"/>
    <x v="679"/>
    <x v="1156"/>
  </r>
  <r>
    <x v="3"/>
    <x v="70"/>
    <x v="3"/>
    <x v="0"/>
    <x v="2"/>
    <x v="3"/>
    <x v="1"/>
    <x v="20"/>
    <x v="522"/>
    <x v="1"/>
    <x v="42"/>
    <x v="107"/>
    <x v="29"/>
    <x v="360"/>
    <x v="207"/>
    <x v="17"/>
    <x v="12"/>
    <x v="0"/>
    <x v="0"/>
    <x v="70"/>
    <x v="0"/>
    <x v="0"/>
    <x v="292"/>
    <x v="706"/>
    <x v="38"/>
    <x v="10"/>
    <x v="676"/>
    <x v="269"/>
    <x v="669"/>
    <x v="91"/>
    <x v="123"/>
    <x v="0"/>
    <x v="102"/>
    <x v="130"/>
    <x v="119"/>
    <x v="6"/>
    <x v="583"/>
    <x v="457"/>
    <x v="846"/>
  </r>
  <r>
    <x v="3"/>
    <x v="70"/>
    <x v="3"/>
    <x v="3"/>
    <x v="72"/>
    <x v="11"/>
    <x v="5"/>
    <x v="10"/>
    <x v="527"/>
    <x v="1"/>
    <x v="42"/>
    <x v="153"/>
    <x v="86"/>
    <x v="654"/>
    <x v="327"/>
    <x v="0"/>
    <x v="0"/>
    <x v="0"/>
    <x v="0"/>
    <x v="4"/>
    <x v="0"/>
    <x v="0"/>
    <x v="403"/>
    <x v="703"/>
    <x v="38"/>
    <x v="3"/>
    <x v="470"/>
    <x v="638"/>
    <x v="41"/>
    <x v="0"/>
    <x v="908"/>
    <x v="0"/>
    <x v="102"/>
    <x v="130"/>
    <x v="300"/>
    <x v="5"/>
    <x v="432"/>
    <x v="550"/>
    <x v="1035"/>
  </r>
  <r>
    <x v="3"/>
    <x v="70"/>
    <x v="5"/>
    <x v="5"/>
    <x v="13"/>
    <x v="7"/>
    <x v="7"/>
    <x v="51"/>
    <x v="1166"/>
    <x v="4"/>
    <x v="42"/>
    <x v="163"/>
    <x v="124"/>
    <x v="856"/>
    <x v="371"/>
    <x v="0"/>
    <x v="99"/>
    <x v="0"/>
    <x v="0"/>
    <x v="91"/>
    <x v="7"/>
    <x v="0"/>
    <x v="439"/>
    <x v="717"/>
    <x v="44"/>
    <x v="1"/>
    <x v="477"/>
    <x v="121"/>
    <x v="566"/>
    <x v="419"/>
    <x v="281"/>
    <x v="0"/>
    <x v="102"/>
    <x v="130"/>
    <x v="354"/>
    <x v="4"/>
    <x v="359"/>
    <x v="597"/>
    <x v="1061"/>
  </r>
  <r>
    <x v="3"/>
    <x v="70"/>
    <x v="5"/>
    <x v="3"/>
    <x v="72"/>
    <x v="11"/>
    <x v="5"/>
    <x v="10"/>
    <x v="528"/>
    <x v="4"/>
    <x v="42"/>
    <x v="153"/>
    <x v="86"/>
    <x v="659"/>
    <x v="327"/>
    <x v="0"/>
    <x v="0"/>
    <x v="0"/>
    <x v="0"/>
    <x v="5"/>
    <x v="3"/>
    <x v="0"/>
    <x v="403"/>
    <x v="703"/>
    <x v="38"/>
    <x v="3"/>
    <x v="474"/>
    <x v="599"/>
    <x v="60"/>
    <x v="0"/>
    <x v="884"/>
    <x v="0"/>
    <x v="102"/>
    <x v="130"/>
    <x v="300"/>
    <x v="5"/>
    <x v="432"/>
    <x v="550"/>
    <x v="1033"/>
  </r>
  <r>
    <x v="3"/>
    <x v="70"/>
    <x v="5"/>
    <x v="0"/>
    <x v="2"/>
    <x v="3"/>
    <x v="1"/>
    <x v="20"/>
    <x v="523"/>
    <x v="4"/>
    <x v="42"/>
    <x v="107"/>
    <x v="29"/>
    <x v="394"/>
    <x v="213"/>
    <x v="7"/>
    <x v="15"/>
    <x v="0"/>
    <x v="0"/>
    <x v="64"/>
    <x v="3"/>
    <x v="0"/>
    <x v="299"/>
    <x v="723"/>
    <x v="38"/>
    <x v="10"/>
    <x v="697"/>
    <x v="274"/>
    <x v="630"/>
    <x v="114"/>
    <x v="180"/>
    <x v="0"/>
    <x v="102"/>
    <x v="130"/>
    <x v="126"/>
    <x v="6"/>
    <x v="570"/>
    <x v="511"/>
    <x v="932"/>
  </r>
  <r>
    <x v="3"/>
    <x v="71"/>
    <x v="2"/>
    <x v="0"/>
    <x v="2"/>
    <x v="3"/>
    <x v="1"/>
    <x v="20"/>
    <x v="529"/>
    <x v="6"/>
    <x v="42"/>
    <x v="107"/>
    <x v="29"/>
    <x v="340"/>
    <x v="202"/>
    <x v="12"/>
    <x v="37"/>
    <x v="0"/>
    <x v="0"/>
    <x v="75"/>
    <x v="3"/>
    <x v="0"/>
    <x v="286"/>
    <x v="688"/>
    <x v="38"/>
    <x v="10"/>
    <x v="666"/>
    <x v="177"/>
    <x v="694"/>
    <x v="284"/>
    <x v="89"/>
    <x v="0"/>
    <x v="102"/>
    <x v="130"/>
    <x v="113"/>
    <x v="6"/>
    <x v="591"/>
    <x v="390"/>
    <x v="726"/>
  </r>
  <r>
    <x v="3"/>
    <x v="71"/>
    <x v="2"/>
    <x v="5"/>
    <x v="13"/>
    <x v="7"/>
    <x v="7"/>
    <x v="51"/>
    <x v="1169"/>
    <x v="6"/>
    <x v="42"/>
    <x v="163"/>
    <x v="124"/>
    <x v="335"/>
    <x v="179"/>
    <x v="0"/>
    <x v="111"/>
    <x v="0"/>
    <x v="0"/>
    <x v="38"/>
    <x v="3"/>
    <x v="0"/>
    <x v="262"/>
    <x v="60"/>
    <x v="44"/>
    <x v="1"/>
    <x v="104"/>
    <x v="26"/>
    <x v="540"/>
    <x v="473"/>
    <x v="392"/>
    <x v="39"/>
    <x v="58"/>
    <x v="38"/>
    <x v="91"/>
    <x v="4"/>
    <x v="474"/>
    <x v="203"/>
    <x v="90"/>
  </r>
  <r>
    <x v="3"/>
    <x v="71"/>
    <x v="2"/>
    <x v="3"/>
    <x v="72"/>
    <x v="11"/>
    <x v="5"/>
    <x v="10"/>
    <x v="533"/>
    <x v="6"/>
    <x v="42"/>
    <x v="153"/>
    <x v="86"/>
    <x v="656"/>
    <x v="327"/>
    <x v="0"/>
    <x v="0"/>
    <x v="0"/>
    <x v="0"/>
    <x v="4"/>
    <x v="1"/>
    <x v="0"/>
    <x v="403"/>
    <x v="703"/>
    <x v="38"/>
    <x v="3"/>
    <x v="471"/>
    <x v="623"/>
    <x v="41"/>
    <x v="0"/>
    <x v="909"/>
    <x v="0"/>
    <x v="102"/>
    <x v="130"/>
    <x v="300"/>
    <x v="5"/>
    <x v="432"/>
    <x v="550"/>
    <x v="1036"/>
  </r>
  <r>
    <x v="3"/>
    <x v="71"/>
    <x v="2"/>
    <x v="7"/>
    <x v="21"/>
    <x v="11"/>
    <x v="10"/>
    <x v="53"/>
    <x v="1238"/>
    <x v="6"/>
    <x v="42"/>
    <x v="184"/>
    <x v="156"/>
    <x v="838"/>
    <x v="371"/>
    <x v="0"/>
    <x v="0"/>
    <x v="0"/>
    <x v="0"/>
    <x v="0"/>
    <x v="0"/>
    <x v="0"/>
    <x v="439"/>
    <x v="255"/>
    <x v="12"/>
    <x v="0"/>
    <x v="0"/>
    <x v="646"/>
    <x v="0"/>
    <x v="0"/>
    <x v="958"/>
    <x v="23"/>
    <x v="80"/>
    <x v="77"/>
    <x v="354"/>
    <x v="2"/>
    <x v="235"/>
    <x v="342"/>
    <x v="331"/>
  </r>
  <r>
    <x v="3"/>
    <x v="71"/>
    <x v="2"/>
    <x v="4"/>
    <x v="59"/>
    <x v="11"/>
    <x v="8"/>
    <x v="55"/>
    <x v="1165"/>
    <x v="6"/>
    <x v="42"/>
    <x v="184"/>
    <x v="156"/>
    <x v="652"/>
    <x v="327"/>
    <x v="0"/>
    <x v="0"/>
    <x v="0"/>
    <x v="0"/>
    <x v="0"/>
    <x v="0"/>
    <x v="0"/>
    <x v="403"/>
    <x v="154"/>
    <x v="16"/>
    <x v="0"/>
    <x v="0"/>
    <x v="646"/>
    <x v="0"/>
    <x v="0"/>
    <x v="958"/>
    <x v="9"/>
    <x v="97"/>
    <x v="117"/>
    <x v="300"/>
    <x v="2"/>
    <x v="392"/>
    <x v="44"/>
    <x v="180"/>
  </r>
  <r>
    <x v="3"/>
    <x v="71"/>
    <x v="2"/>
    <x v="1"/>
    <x v="6"/>
    <x v="11"/>
    <x v="19"/>
    <x v="17"/>
    <x v="381"/>
    <x v="6"/>
    <x v="42"/>
    <x v="168"/>
    <x v="131"/>
    <x v="651"/>
    <x v="326"/>
    <x v="0"/>
    <x v="0"/>
    <x v="38"/>
    <x v="0"/>
    <x v="28"/>
    <x v="0"/>
    <x v="4"/>
    <x v="142"/>
    <x v="414"/>
    <x v="1"/>
    <x v="0"/>
    <x v="0"/>
    <x v="646"/>
    <x v="247"/>
    <x v="0"/>
    <x v="663"/>
    <x v="9"/>
    <x v="97"/>
    <x v="117"/>
    <x v="297"/>
    <x v="7"/>
    <x v="676"/>
    <x v="658"/>
    <x v="1099"/>
  </r>
  <r>
    <x v="3"/>
    <x v="71"/>
    <x v="6"/>
    <x v="8"/>
    <x v="63"/>
    <x v="11"/>
    <x v="19"/>
    <x v="54"/>
    <x v="1167"/>
    <x v="0"/>
    <x v="42"/>
    <x v="221"/>
    <x v="207"/>
    <x v="885"/>
    <x v="417"/>
    <x v="0"/>
    <x v="0"/>
    <x v="0"/>
    <x v="0"/>
    <x v="33"/>
    <x v="0"/>
    <x v="0"/>
    <x v="495"/>
    <x v="52"/>
    <x v="28"/>
    <x v="0"/>
    <x v="0"/>
    <x v="646"/>
    <x v="210"/>
    <x v="0"/>
    <x v="701"/>
    <x v="12"/>
    <x v="94"/>
    <x v="108"/>
    <x v="410"/>
    <x v="3"/>
    <x v="207"/>
    <x v="590"/>
    <x v="870"/>
  </r>
  <r>
    <x v="3"/>
    <x v="71"/>
    <x v="3"/>
    <x v="3"/>
    <x v="72"/>
    <x v="11"/>
    <x v="5"/>
    <x v="10"/>
    <x v="534"/>
    <x v="0"/>
    <x v="42"/>
    <x v="153"/>
    <x v="86"/>
    <x v="656"/>
    <x v="327"/>
    <x v="0"/>
    <x v="2"/>
    <x v="0"/>
    <x v="0"/>
    <x v="4"/>
    <x v="0"/>
    <x v="0"/>
    <x v="403"/>
    <x v="703"/>
    <x v="38"/>
    <x v="3"/>
    <x v="471"/>
    <x v="623"/>
    <x v="41"/>
    <x v="6"/>
    <x v="909"/>
    <x v="0"/>
    <x v="102"/>
    <x v="130"/>
    <x v="300"/>
    <x v="5"/>
    <x v="432"/>
    <x v="550"/>
    <x v="1036"/>
  </r>
  <r>
    <x v="3"/>
    <x v="71"/>
    <x v="3"/>
    <x v="5"/>
    <x v="13"/>
    <x v="7"/>
    <x v="7"/>
    <x v="51"/>
    <x v="1171"/>
    <x v="0"/>
    <x v="42"/>
    <x v="163"/>
    <x v="124"/>
    <x v="688"/>
    <x v="327"/>
    <x v="0"/>
    <x v="58"/>
    <x v="0"/>
    <x v="0"/>
    <x v="40"/>
    <x v="0"/>
    <x v="0"/>
    <x v="403"/>
    <x v="551"/>
    <x v="44"/>
    <x v="1"/>
    <x v="312"/>
    <x v="359"/>
    <x v="313"/>
    <x v="266"/>
    <x v="587"/>
    <x v="0"/>
    <x v="102"/>
    <x v="130"/>
    <x v="300"/>
    <x v="4"/>
    <x v="432"/>
    <x v="329"/>
    <x v="700"/>
  </r>
  <r>
    <x v="3"/>
    <x v="71"/>
    <x v="3"/>
    <x v="0"/>
    <x v="2"/>
    <x v="3"/>
    <x v="1"/>
    <x v="20"/>
    <x v="530"/>
    <x v="0"/>
    <x v="42"/>
    <x v="107"/>
    <x v="29"/>
    <x v="331"/>
    <x v="202"/>
    <x v="0"/>
    <x v="34"/>
    <x v="0"/>
    <x v="0"/>
    <x v="62"/>
    <x v="0"/>
    <x v="0"/>
    <x v="286"/>
    <x v="688"/>
    <x v="38"/>
    <x v="10"/>
    <x v="661"/>
    <x v="241"/>
    <x v="642"/>
    <x v="272"/>
    <x v="168"/>
    <x v="0"/>
    <x v="102"/>
    <x v="130"/>
    <x v="113"/>
    <x v="6"/>
    <x v="591"/>
    <x v="390"/>
    <x v="738"/>
  </r>
  <r>
    <x v="3"/>
    <x v="71"/>
    <x v="3"/>
    <x v="7"/>
    <x v="21"/>
    <x v="11"/>
    <x v="10"/>
    <x v="53"/>
    <x v="1170"/>
    <x v="0"/>
    <x v="42"/>
    <x v="184"/>
    <x v="156"/>
    <x v="809"/>
    <x v="357"/>
    <x v="0"/>
    <x v="0"/>
    <x v="0"/>
    <x v="0"/>
    <x v="0"/>
    <x v="0"/>
    <x v="0"/>
    <x v="424"/>
    <x v="213"/>
    <x v="12"/>
    <x v="0"/>
    <x v="0"/>
    <x v="646"/>
    <x v="0"/>
    <x v="0"/>
    <x v="958"/>
    <x v="23"/>
    <x v="80"/>
    <x v="77"/>
    <x v="336"/>
    <x v="2"/>
    <x v="285"/>
    <x v="226"/>
    <x v="258"/>
  </r>
  <r>
    <x v="3"/>
    <x v="71"/>
    <x v="3"/>
    <x v="4"/>
    <x v="59"/>
    <x v="11"/>
    <x v="8"/>
    <x v="55"/>
    <x v="1167"/>
    <x v="0"/>
    <x v="42"/>
    <x v="184"/>
    <x v="156"/>
    <x v="809"/>
    <x v="357"/>
    <x v="0"/>
    <x v="0"/>
    <x v="0"/>
    <x v="0"/>
    <x v="0"/>
    <x v="0"/>
    <x v="0"/>
    <x v="424"/>
    <x v="213"/>
    <x v="16"/>
    <x v="0"/>
    <x v="0"/>
    <x v="646"/>
    <x v="0"/>
    <x v="0"/>
    <x v="958"/>
    <x v="23"/>
    <x v="80"/>
    <x v="77"/>
    <x v="336"/>
    <x v="2"/>
    <x v="285"/>
    <x v="226"/>
    <x v="258"/>
  </r>
  <r>
    <x v="3"/>
    <x v="71"/>
    <x v="3"/>
    <x v="1"/>
    <x v="6"/>
    <x v="11"/>
    <x v="19"/>
    <x v="17"/>
    <x v="389"/>
    <x v="0"/>
    <x v="42"/>
    <x v="168"/>
    <x v="131"/>
    <x v="616"/>
    <x v="306"/>
    <x v="0"/>
    <x v="0"/>
    <x v="43"/>
    <x v="0"/>
    <x v="31"/>
    <x v="0"/>
    <x v="2"/>
    <x v="164"/>
    <x v="346"/>
    <x v="1"/>
    <x v="0"/>
    <x v="0"/>
    <x v="646"/>
    <x v="268"/>
    <x v="0"/>
    <x v="636"/>
    <x v="9"/>
    <x v="97"/>
    <x v="117"/>
    <x v="274"/>
    <x v="7"/>
    <x v="648"/>
    <x v="706"/>
    <x v="1164"/>
  </r>
  <r>
    <x v="3"/>
    <x v="71"/>
    <x v="5"/>
    <x v="3"/>
    <x v="72"/>
    <x v="11"/>
    <x v="5"/>
    <x v="10"/>
    <x v="535"/>
    <x v="4"/>
    <x v="42"/>
    <x v="153"/>
    <x v="86"/>
    <x v="131"/>
    <x v="106"/>
    <x v="0"/>
    <x v="0"/>
    <x v="0"/>
    <x v="0"/>
    <x v="5"/>
    <x v="3"/>
    <x v="0"/>
    <x v="193"/>
    <x v="21"/>
    <x v="38"/>
    <x v="3"/>
    <x v="53"/>
    <x v="518"/>
    <x v="160"/>
    <x v="0"/>
    <x v="759"/>
    <x v="50"/>
    <x v="42"/>
    <x v="16"/>
    <x v="31"/>
    <x v="5"/>
    <x v="529"/>
    <x v="217"/>
    <x v="32"/>
  </r>
  <r>
    <x v="3"/>
    <x v="71"/>
    <x v="5"/>
    <x v="0"/>
    <x v="2"/>
    <x v="3"/>
    <x v="1"/>
    <x v="20"/>
    <x v="531"/>
    <x v="4"/>
    <x v="42"/>
    <x v="107"/>
    <x v="29"/>
    <x v="395"/>
    <x v="213"/>
    <x v="0"/>
    <x v="22"/>
    <x v="0"/>
    <x v="0"/>
    <x v="60"/>
    <x v="3"/>
    <x v="0"/>
    <x v="299"/>
    <x v="723"/>
    <x v="38"/>
    <x v="10"/>
    <x v="696"/>
    <x v="279"/>
    <x v="613"/>
    <x v="175"/>
    <x v="204"/>
    <x v="0"/>
    <x v="102"/>
    <x v="130"/>
    <x v="126"/>
    <x v="6"/>
    <x v="570"/>
    <x v="511"/>
    <x v="941"/>
  </r>
  <r>
    <x v="3"/>
    <x v="71"/>
    <x v="5"/>
    <x v="5"/>
    <x v="13"/>
    <x v="7"/>
    <x v="7"/>
    <x v="51"/>
    <x v="1172"/>
    <x v="4"/>
    <x v="42"/>
    <x v="163"/>
    <x v="124"/>
    <x v="681"/>
    <x v="327"/>
    <x v="0"/>
    <x v="16"/>
    <x v="0"/>
    <x v="0"/>
    <x v="58"/>
    <x v="5"/>
    <x v="0"/>
    <x v="403"/>
    <x v="551"/>
    <x v="44"/>
    <x v="1"/>
    <x v="305"/>
    <x v="388"/>
    <x v="437"/>
    <x v="44"/>
    <x v="429"/>
    <x v="0"/>
    <x v="102"/>
    <x v="130"/>
    <x v="300"/>
    <x v="4"/>
    <x v="432"/>
    <x v="329"/>
    <x v="683"/>
  </r>
  <r>
    <x v="3"/>
    <x v="72"/>
    <x v="2"/>
    <x v="0"/>
    <x v="2"/>
    <x v="3"/>
    <x v="1"/>
    <x v="20"/>
    <x v="536"/>
    <x v="2"/>
    <x v="42"/>
    <x v="107"/>
    <x v="29"/>
    <x v="413"/>
    <x v="219"/>
    <x v="0"/>
    <x v="0"/>
    <x v="0"/>
    <x v="0"/>
    <x v="50"/>
    <x v="3"/>
    <x v="0"/>
    <x v="306"/>
    <x v="733"/>
    <x v="38"/>
    <x v="10"/>
    <x v="704"/>
    <x v="415"/>
    <x v="550"/>
    <x v="0"/>
    <x v="280"/>
    <x v="0"/>
    <x v="102"/>
    <x v="130"/>
    <x v="135"/>
    <x v="6"/>
    <x v="564"/>
    <x v="555"/>
    <x v="1005"/>
  </r>
  <r>
    <x v="3"/>
    <x v="72"/>
    <x v="2"/>
    <x v="5"/>
    <x v="13"/>
    <x v="7"/>
    <x v="7"/>
    <x v="51"/>
    <x v="1175"/>
    <x v="2"/>
    <x v="42"/>
    <x v="163"/>
    <x v="124"/>
    <x v="698"/>
    <x v="327"/>
    <x v="0"/>
    <x v="60"/>
    <x v="0"/>
    <x v="0"/>
    <x v="48"/>
    <x v="3"/>
    <x v="0"/>
    <x v="403"/>
    <x v="551"/>
    <x v="44"/>
    <x v="1"/>
    <x v="323"/>
    <x v="310"/>
    <x v="363"/>
    <x v="270"/>
    <x v="530"/>
    <x v="0"/>
    <x v="102"/>
    <x v="130"/>
    <x v="300"/>
    <x v="4"/>
    <x v="432"/>
    <x v="329"/>
    <x v="693"/>
  </r>
  <r>
    <x v="3"/>
    <x v="72"/>
    <x v="2"/>
    <x v="7"/>
    <x v="21"/>
    <x v="11"/>
    <x v="10"/>
    <x v="53"/>
    <x v="1173"/>
    <x v="2"/>
    <x v="42"/>
    <x v="184"/>
    <x v="156"/>
    <x v="885"/>
    <x v="421"/>
    <x v="0"/>
    <x v="0"/>
    <x v="0"/>
    <x v="0"/>
    <x v="0"/>
    <x v="0"/>
    <x v="0"/>
    <x v="499"/>
    <x v="466"/>
    <x v="12"/>
    <x v="0"/>
    <x v="0"/>
    <x v="646"/>
    <x v="0"/>
    <x v="0"/>
    <x v="958"/>
    <x v="9"/>
    <x v="97"/>
    <x v="117"/>
    <x v="415"/>
    <x v="2"/>
    <x v="224"/>
    <x v="365"/>
    <x v="533"/>
  </r>
  <r>
    <x v="3"/>
    <x v="72"/>
    <x v="2"/>
    <x v="4"/>
    <x v="59"/>
    <x v="11"/>
    <x v="8"/>
    <x v="55"/>
    <x v="1168"/>
    <x v="2"/>
    <x v="42"/>
    <x v="184"/>
    <x v="156"/>
    <x v="885"/>
    <x v="421"/>
    <x v="0"/>
    <x v="0"/>
    <x v="0"/>
    <x v="0"/>
    <x v="0"/>
    <x v="0"/>
    <x v="0"/>
    <x v="499"/>
    <x v="466"/>
    <x v="16"/>
    <x v="0"/>
    <x v="0"/>
    <x v="646"/>
    <x v="0"/>
    <x v="0"/>
    <x v="958"/>
    <x v="9"/>
    <x v="97"/>
    <x v="117"/>
    <x v="415"/>
    <x v="2"/>
    <x v="224"/>
    <x v="365"/>
    <x v="533"/>
  </r>
  <r>
    <x v="3"/>
    <x v="72"/>
    <x v="2"/>
    <x v="1"/>
    <x v="6"/>
    <x v="11"/>
    <x v="19"/>
    <x v="17"/>
    <x v="389"/>
    <x v="3"/>
    <x v="14"/>
    <x v="44"/>
    <x v="133"/>
    <x v="47"/>
    <x v="48"/>
    <x v="0"/>
    <x v="0"/>
    <x v="6"/>
    <x v="0"/>
    <x v="9"/>
    <x v="0"/>
    <x v="2"/>
    <x v="44"/>
    <x v="124"/>
    <x v="1"/>
    <x v="0"/>
    <x v="0"/>
    <x v="646"/>
    <x v="397"/>
    <x v="0"/>
    <x v="477"/>
    <x v="0"/>
    <x v="29"/>
    <x v="130"/>
    <x v="145"/>
    <x v="7"/>
    <x v="736"/>
    <x v="420"/>
    <x v="811"/>
  </r>
  <r>
    <x v="3"/>
    <x v="72"/>
    <x v="2"/>
    <x v="1"/>
    <x v="7"/>
    <x v="11"/>
    <x v="19"/>
    <x v="21"/>
    <x v="505"/>
    <x v="3"/>
    <x v="34"/>
    <x v="147"/>
    <x v="133"/>
    <x v="407"/>
    <x v="219"/>
    <x v="0"/>
    <x v="0"/>
    <x v="28"/>
    <x v="0"/>
    <x v="38"/>
    <x v="0"/>
    <x v="4"/>
    <x v="100"/>
    <x v="270"/>
    <x v="2"/>
    <x v="0"/>
    <x v="0"/>
    <x v="646"/>
    <x v="422"/>
    <x v="0"/>
    <x v="440"/>
    <x v="14"/>
    <x v="63"/>
    <x v="89"/>
    <x v="242"/>
    <x v="7"/>
    <x v="678"/>
    <x v="654"/>
    <x v="933"/>
  </r>
  <r>
    <x v="3"/>
    <x v="72"/>
    <x v="6"/>
    <x v="8"/>
    <x v="63"/>
    <x v="11"/>
    <x v="19"/>
    <x v="54"/>
    <x v="1167"/>
    <x v="0"/>
    <x v="42"/>
    <x v="211"/>
    <x v="192"/>
    <x v="980"/>
    <x v="522"/>
    <x v="0"/>
    <x v="0"/>
    <x v="0"/>
    <x v="0"/>
    <x v="79"/>
    <x v="0"/>
    <x v="0"/>
    <x v="597"/>
    <x v="650"/>
    <x v="28"/>
    <x v="0"/>
    <x v="0"/>
    <x v="646"/>
    <x v="250"/>
    <x v="0"/>
    <x v="660"/>
    <x v="12"/>
    <x v="94"/>
    <x v="108"/>
    <x v="551"/>
    <x v="3"/>
    <x v="19"/>
    <x v="753"/>
    <x v="1205"/>
  </r>
  <r>
    <x v="3"/>
    <x v="72"/>
    <x v="6"/>
    <x v="9"/>
    <x v="25"/>
    <x v="11"/>
    <x v="17"/>
    <x v="56"/>
    <x v="1167"/>
    <x v="0"/>
    <x v="42"/>
    <x v="202"/>
    <x v="177"/>
    <x v="978"/>
    <x v="523"/>
    <x v="0"/>
    <x v="0"/>
    <x v="0"/>
    <x v="0"/>
    <x v="11"/>
    <x v="0"/>
    <x v="1"/>
    <x v="478"/>
    <x v="765"/>
    <x v="16"/>
    <x v="0"/>
    <x v="0"/>
    <x v="646"/>
    <x v="43"/>
    <x v="0"/>
    <x v="906"/>
    <x v="12"/>
    <x v="94"/>
    <x v="108"/>
    <x v="552"/>
    <x v="1"/>
    <x v="237"/>
    <x v="42"/>
    <x v="165"/>
  </r>
  <r>
    <x v="3"/>
    <x v="72"/>
    <x v="3"/>
    <x v="5"/>
    <x v="13"/>
    <x v="7"/>
    <x v="7"/>
    <x v="51"/>
    <x v="1177"/>
    <x v="0"/>
    <x v="42"/>
    <x v="163"/>
    <x v="124"/>
    <x v="720"/>
    <x v="341"/>
    <x v="0"/>
    <x v="30"/>
    <x v="0"/>
    <x v="0"/>
    <x v="50"/>
    <x v="0"/>
    <x v="0"/>
    <x v="412"/>
    <x v="604"/>
    <x v="44"/>
    <x v="1"/>
    <x v="342"/>
    <x v="417"/>
    <x v="364"/>
    <x v="137"/>
    <x v="525"/>
    <x v="0"/>
    <x v="102"/>
    <x v="130"/>
    <x v="314"/>
    <x v="4"/>
    <x v="413"/>
    <x v="397"/>
    <x v="785"/>
  </r>
  <r>
    <x v="3"/>
    <x v="72"/>
    <x v="3"/>
    <x v="3"/>
    <x v="72"/>
    <x v="11"/>
    <x v="5"/>
    <x v="10"/>
    <x v="544"/>
    <x v="0"/>
    <x v="42"/>
    <x v="153"/>
    <x v="86"/>
    <x v="660"/>
    <x v="327"/>
    <x v="0"/>
    <x v="2"/>
    <x v="0"/>
    <x v="0"/>
    <x v="4"/>
    <x v="3"/>
    <x v="0"/>
    <x v="403"/>
    <x v="703"/>
    <x v="38"/>
    <x v="3"/>
    <x v="475"/>
    <x v="579"/>
    <x v="41"/>
    <x v="5"/>
    <x v="911"/>
    <x v="0"/>
    <x v="102"/>
    <x v="130"/>
    <x v="300"/>
    <x v="5"/>
    <x v="432"/>
    <x v="550"/>
    <x v="1038"/>
  </r>
  <r>
    <x v="3"/>
    <x v="72"/>
    <x v="3"/>
    <x v="0"/>
    <x v="2"/>
    <x v="3"/>
    <x v="1"/>
    <x v="20"/>
    <x v="540"/>
    <x v="0"/>
    <x v="42"/>
    <x v="107"/>
    <x v="29"/>
    <x v="330"/>
    <x v="202"/>
    <x v="0"/>
    <x v="35"/>
    <x v="0"/>
    <x v="0"/>
    <x v="60"/>
    <x v="0"/>
    <x v="0"/>
    <x v="286"/>
    <x v="688"/>
    <x v="38"/>
    <x v="10"/>
    <x v="660"/>
    <x v="243"/>
    <x v="632"/>
    <x v="277"/>
    <x v="181"/>
    <x v="0"/>
    <x v="102"/>
    <x v="130"/>
    <x v="113"/>
    <x v="6"/>
    <x v="591"/>
    <x v="390"/>
    <x v="741"/>
  </r>
  <r>
    <x v="3"/>
    <x v="72"/>
    <x v="6"/>
    <x v="0"/>
    <x v="64"/>
    <x v="11"/>
    <x v="0"/>
    <x v="0"/>
    <x v="538"/>
    <x v="0"/>
    <x v="42"/>
    <x v="160"/>
    <x v="117"/>
    <x v="487"/>
    <x v="254"/>
    <x v="21"/>
    <x v="66"/>
    <x v="0"/>
    <x v="0"/>
    <x v="95"/>
    <x v="0"/>
    <x v="0"/>
    <x v="336"/>
    <x v="236"/>
    <x v="38"/>
    <x v="4"/>
    <x v="587"/>
    <x v="149"/>
    <x v="704"/>
    <x v="330"/>
    <x v="81"/>
    <x v="0"/>
    <x v="102"/>
    <x v="130"/>
    <x v="177"/>
    <x v="6"/>
    <x v="542"/>
    <x v="653"/>
    <x v="1130"/>
  </r>
  <r>
    <x v="3"/>
    <x v="72"/>
    <x v="3"/>
    <x v="7"/>
    <x v="21"/>
    <x v="11"/>
    <x v="10"/>
    <x v="53"/>
    <x v="1176"/>
    <x v="0"/>
    <x v="42"/>
    <x v="184"/>
    <x v="156"/>
    <x v="885"/>
    <x v="421"/>
    <x v="0"/>
    <x v="0"/>
    <x v="0"/>
    <x v="0"/>
    <x v="0"/>
    <x v="0"/>
    <x v="0"/>
    <x v="499"/>
    <x v="466"/>
    <x v="12"/>
    <x v="0"/>
    <x v="0"/>
    <x v="646"/>
    <x v="0"/>
    <x v="0"/>
    <x v="958"/>
    <x v="9"/>
    <x v="97"/>
    <x v="117"/>
    <x v="415"/>
    <x v="2"/>
    <x v="224"/>
    <x v="365"/>
    <x v="533"/>
  </r>
  <r>
    <x v="3"/>
    <x v="72"/>
    <x v="3"/>
    <x v="4"/>
    <x v="59"/>
    <x v="11"/>
    <x v="8"/>
    <x v="55"/>
    <x v="1168"/>
    <x v="0"/>
    <x v="42"/>
    <x v="184"/>
    <x v="156"/>
    <x v="885"/>
    <x v="421"/>
    <x v="0"/>
    <x v="0"/>
    <x v="0"/>
    <x v="0"/>
    <x v="0"/>
    <x v="0"/>
    <x v="0"/>
    <x v="499"/>
    <x v="466"/>
    <x v="16"/>
    <x v="0"/>
    <x v="0"/>
    <x v="646"/>
    <x v="0"/>
    <x v="0"/>
    <x v="958"/>
    <x v="9"/>
    <x v="97"/>
    <x v="117"/>
    <x v="415"/>
    <x v="2"/>
    <x v="224"/>
    <x v="365"/>
    <x v="533"/>
  </r>
  <r>
    <x v="3"/>
    <x v="72"/>
    <x v="3"/>
    <x v="1"/>
    <x v="7"/>
    <x v="11"/>
    <x v="19"/>
    <x v="21"/>
    <x v="500"/>
    <x v="0"/>
    <x v="42"/>
    <x v="168"/>
    <x v="131"/>
    <x v="555"/>
    <x v="285"/>
    <x v="0"/>
    <x v="0"/>
    <x v="48"/>
    <x v="0"/>
    <x v="46"/>
    <x v="0"/>
    <x v="2"/>
    <x v="155"/>
    <x v="251"/>
    <x v="2"/>
    <x v="0"/>
    <x v="0"/>
    <x v="646"/>
    <x v="400"/>
    <x v="0"/>
    <x v="474"/>
    <x v="19"/>
    <x v="84"/>
    <x v="89"/>
    <x v="230"/>
    <x v="7"/>
    <x v="648"/>
    <x v="706"/>
    <x v="1138"/>
  </r>
  <r>
    <x v="3"/>
    <x v="72"/>
    <x v="5"/>
    <x v="0"/>
    <x v="2"/>
    <x v="3"/>
    <x v="2"/>
    <x v="20"/>
    <x v="542"/>
    <x v="4"/>
    <x v="42"/>
    <x v="107"/>
    <x v="29"/>
    <x v="68"/>
    <x v="55"/>
    <x v="7"/>
    <x v="7"/>
    <x v="0"/>
    <x v="0"/>
    <x v="20"/>
    <x v="3"/>
    <x v="0"/>
    <x v="136"/>
    <x v="22"/>
    <x v="38"/>
    <x v="10"/>
    <x v="267"/>
    <x v="162"/>
    <x v="643"/>
    <x v="267"/>
    <x v="169"/>
    <x v="50"/>
    <x v="42"/>
    <x v="16"/>
    <x v="14"/>
    <x v="6"/>
    <x v="622"/>
    <x v="140"/>
    <x v="28"/>
  </r>
  <r>
    <x v="3"/>
    <x v="72"/>
    <x v="5"/>
    <x v="5"/>
    <x v="13"/>
    <x v="7"/>
    <x v="7"/>
    <x v="51"/>
    <x v="1179"/>
    <x v="4"/>
    <x v="42"/>
    <x v="163"/>
    <x v="124"/>
    <x v="695"/>
    <x v="327"/>
    <x v="0"/>
    <x v="32"/>
    <x v="0"/>
    <x v="0"/>
    <x v="66"/>
    <x v="5"/>
    <x v="0"/>
    <x v="403"/>
    <x v="551"/>
    <x v="44"/>
    <x v="1"/>
    <x v="320"/>
    <x v="325"/>
    <x v="496"/>
    <x v="154"/>
    <x v="351"/>
    <x v="0"/>
    <x v="102"/>
    <x v="130"/>
    <x v="300"/>
    <x v="4"/>
    <x v="432"/>
    <x v="329"/>
    <x v="671"/>
  </r>
  <r>
    <x v="3"/>
    <x v="72"/>
    <x v="5"/>
    <x v="3"/>
    <x v="72"/>
    <x v="11"/>
    <x v="5"/>
    <x v="10"/>
    <x v="545"/>
    <x v="4"/>
    <x v="42"/>
    <x v="153"/>
    <x v="86"/>
    <x v="629"/>
    <x v="312"/>
    <x v="0"/>
    <x v="13"/>
    <x v="0"/>
    <x v="0"/>
    <x v="12"/>
    <x v="0"/>
    <x v="0"/>
    <x v="390"/>
    <x v="676"/>
    <x v="38"/>
    <x v="3"/>
    <x v="466"/>
    <x v="533"/>
    <x v="135"/>
    <x v="41"/>
    <x v="787"/>
    <x v="0"/>
    <x v="102"/>
    <x v="130"/>
    <x v="280"/>
    <x v="5"/>
    <x v="458"/>
    <x v="496"/>
    <x v="950"/>
  </r>
  <r>
    <x v="3"/>
    <x v="73"/>
    <x v="2"/>
    <x v="0"/>
    <x v="4"/>
    <x v="3"/>
    <x v="1"/>
    <x v="71"/>
    <x v="546"/>
    <x v="2"/>
    <x v="27"/>
    <x v="38"/>
    <x v="14"/>
    <x v="108"/>
    <x v="86"/>
    <x v="0"/>
    <x v="35"/>
    <x v="0"/>
    <x v="0"/>
    <x v="27"/>
    <x v="3"/>
    <x v="0"/>
    <x v="175"/>
    <x v="605"/>
    <x v="38"/>
    <x v="10"/>
    <x v="490"/>
    <x v="113"/>
    <x v="646"/>
    <x v="411"/>
    <x v="170"/>
    <x v="16"/>
    <x v="47"/>
    <x v="66"/>
    <x v="71"/>
    <x v="6"/>
    <x v="585"/>
    <x v="443"/>
    <x v="283"/>
  </r>
  <r>
    <x v="3"/>
    <x v="73"/>
    <x v="2"/>
    <x v="3"/>
    <x v="72"/>
    <x v="11"/>
    <x v="5"/>
    <x v="10"/>
    <x v="551"/>
    <x v="2"/>
    <x v="42"/>
    <x v="153"/>
    <x v="86"/>
    <x v="592"/>
    <x v="296"/>
    <x v="0"/>
    <x v="0"/>
    <x v="0"/>
    <x v="0"/>
    <x v="8"/>
    <x v="3"/>
    <x v="0"/>
    <x v="378"/>
    <x v="633"/>
    <x v="38"/>
    <x v="3"/>
    <x v="448"/>
    <x v="573"/>
    <x v="100"/>
    <x v="0"/>
    <x v="829"/>
    <x v="0"/>
    <x v="102"/>
    <x v="130"/>
    <x v="256"/>
    <x v="5"/>
    <x v="485"/>
    <x v="417"/>
    <x v="837"/>
  </r>
  <r>
    <x v="3"/>
    <x v="73"/>
    <x v="2"/>
    <x v="7"/>
    <x v="21"/>
    <x v="11"/>
    <x v="10"/>
    <x v="53"/>
    <x v="1178"/>
    <x v="2"/>
    <x v="42"/>
    <x v="184"/>
    <x v="156"/>
    <x v="893"/>
    <x v="429"/>
    <x v="0"/>
    <x v="0"/>
    <x v="0"/>
    <x v="0"/>
    <x v="0"/>
    <x v="0"/>
    <x v="0"/>
    <x v="512"/>
    <x v="531"/>
    <x v="12"/>
    <x v="0"/>
    <x v="0"/>
    <x v="646"/>
    <x v="0"/>
    <x v="0"/>
    <x v="958"/>
    <x v="9"/>
    <x v="97"/>
    <x v="117"/>
    <x v="431"/>
    <x v="2"/>
    <x v="199"/>
    <x v="408"/>
    <x v="596"/>
  </r>
  <r>
    <x v="3"/>
    <x v="73"/>
    <x v="2"/>
    <x v="4"/>
    <x v="59"/>
    <x v="11"/>
    <x v="8"/>
    <x v="55"/>
    <x v="1174"/>
    <x v="2"/>
    <x v="42"/>
    <x v="184"/>
    <x v="156"/>
    <x v="893"/>
    <x v="429"/>
    <x v="0"/>
    <x v="0"/>
    <x v="0"/>
    <x v="0"/>
    <x v="0"/>
    <x v="0"/>
    <x v="0"/>
    <x v="512"/>
    <x v="531"/>
    <x v="16"/>
    <x v="0"/>
    <x v="0"/>
    <x v="646"/>
    <x v="0"/>
    <x v="0"/>
    <x v="958"/>
    <x v="9"/>
    <x v="97"/>
    <x v="117"/>
    <x v="431"/>
    <x v="2"/>
    <x v="199"/>
    <x v="408"/>
    <x v="596"/>
  </r>
  <r>
    <x v="3"/>
    <x v="73"/>
    <x v="2"/>
    <x v="5"/>
    <x v="13"/>
    <x v="7"/>
    <x v="7"/>
    <x v="51"/>
    <x v="1183"/>
    <x v="2"/>
    <x v="42"/>
    <x v="163"/>
    <x v="124"/>
    <x v="190"/>
    <x v="145"/>
    <x v="75"/>
    <x v="19"/>
    <x v="0"/>
    <x v="0"/>
    <x v="35"/>
    <x v="3"/>
    <x v="0"/>
    <x v="224"/>
    <x v="35"/>
    <x v="44"/>
    <x v="1"/>
    <x v="106"/>
    <x v="9"/>
    <x v="597"/>
    <x v="246"/>
    <x v="227"/>
    <x v="50"/>
    <x v="42"/>
    <x v="16"/>
    <x v="56"/>
    <x v="4"/>
    <x v="391"/>
    <x v="494"/>
    <x v="47"/>
  </r>
  <r>
    <x v="3"/>
    <x v="73"/>
    <x v="2"/>
    <x v="1"/>
    <x v="7"/>
    <x v="11"/>
    <x v="19"/>
    <x v="21"/>
    <x v="508"/>
    <x v="3"/>
    <x v="42"/>
    <x v="169"/>
    <x v="133"/>
    <x v="514"/>
    <x v="271"/>
    <x v="0"/>
    <x v="0"/>
    <x v="45"/>
    <x v="0"/>
    <x v="39"/>
    <x v="0"/>
    <x v="3"/>
    <x v="129"/>
    <x v="209"/>
    <x v="2"/>
    <x v="0"/>
    <x v="0"/>
    <x v="646"/>
    <x v="357"/>
    <x v="0"/>
    <x v="526"/>
    <x v="0"/>
    <x v="102"/>
    <x v="130"/>
    <x v="202"/>
    <x v="7"/>
    <x v="717"/>
    <x v="527"/>
    <x v="996"/>
  </r>
  <r>
    <x v="3"/>
    <x v="73"/>
    <x v="6"/>
    <x v="8"/>
    <x v="63"/>
    <x v="11"/>
    <x v="19"/>
    <x v="54"/>
    <x v="1174"/>
    <x v="0"/>
    <x v="42"/>
    <x v="221"/>
    <x v="207"/>
    <x v="960"/>
    <x v="500"/>
    <x v="0"/>
    <x v="0"/>
    <x v="0"/>
    <x v="0"/>
    <x v="104"/>
    <x v="0"/>
    <x v="1"/>
    <x v="440"/>
    <x v="259"/>
    <x v="28"/>
    <x v="0"/>
    <x v="0"/>
    <x v="646"/>
    <x v="375"/>
    <x v="0"/>
    <x v="507"/>
    <x v="12"/>
    <x v="94"/>
    <x v="108"/>
    <x v="522"/>
    <x v="3"/>
    <x v="320"/>
    <x v="373"/>
    <x v="484"/>
  </r>
  <r>
    <x v="3"/>
    <x v="73"/>
    <x v="6"/>
    <x v="9"/>
    <x v="25"/>
    <x v="11"/>
    <x v="17"/>
    <x v="56"/>
    <x v="1174"/>
    <x v="0"/>
    <x v="42"/>
    <x v="230"/>
    <x v="238"/>
    <x v="1022"/>
    <x v="571"/>
    <x v="0"/>
    <x v="0"/>
    <x v="0"/>
    <x v="0"/>
    <x v="10"/>
    <x v="0"/>
    <x v="1"/>
    <x v="562"/>
    <x v="634"/>
    <x v="16"/>
    <x v="0"/>
    <x v="0"/>
    <x v="646"/>
    <x v="28"/>
    <x v="0"/>
    <x v="924"/>
    <x v="12"/>
    <x v="94"/>
    <x v="108"/>
    <x v="628"/>
    <x v="1"/>
    <x v="100"/>
    <x v="242"/>
    <x v="396"/>
  </r>
  <r>
    <x v="3"/>
    <x v="73"/>
    <x v="6"/>
    <x v="0"/>
    <x v="64"/>
    <x v="11"/>
    <x v="0"/>
    <x v="0"/>
    <x v="548"/>
    <x v="0"/>
    <x v="38"/>
    <x v="96"/>
    <x v="28"/>
    <x v="233"/>
    <x v="167"/>
    <x v="7"/>
    <x v="22"/>
    <x v="0"/>
    <x v="0"/>
    <x v="52"/>
    <x v="0"/>
    <x v="0"/>
    <x v="246"/>
    <x v="617"/>
    <x v="38"/>
    <x v="4"/>
    <x v="480"/>
    <x v="227"/>
    <x v="651"/>
    <x v="229"/>
    <x v="152"/>
    <x v="0"/>
    <x v="91"/>
    <x v="130"/>
    <x v="99"/>
    <x v="6"/>
    <x v="603"/>
    <x v="251"/>
    <x v="550"/>
  </r>
  <r>
    <x v="3"/>
    <x v="73"/>
    <x v="3"/>
    <x v="7"/>
    <x v="21"/>
    <x v="11"/>
    <x v="10"/>
    <x v="53"/>
    <x v="1184"/>
    <x v="0"/>
    <x v="24"/>
    <x v="133"/>
    <x v="156"/>
    <x v="312"/>
    <x v="204"/>
    <x v="0"/>
    <x v="0"/>
    <x v="0"/>
    <x v="0"/>
    <x v="0"/>
    <x v="0"/>
    <x v="0"/>
    <x v="289"/>
    <x v="269"/>
    <x v="12"/>
    <x v="0"/>
    <x v="0"/>
    <x v="646"/>
    <x v="0"/>
    <x v="0"/>
    <x v="958"/>
    <x v="9"/>
    <x v="47"/>
    <x v="89"/>
    <x v="359"/>
    <x v="2"/>
    <x v="262"/>
    <x v="278"/>
    <x v="341"/>
  </r>
  <r>
    <x v="3"/>
    <x v="73"/>
    <x v="3"/>
    <x v="4"/>
    <x v="59"/>
    <x v="11"/>
    <x v="8"/>
    <x v="55"/>
    <x v="1174"/>
    <x v="0"/>
    <x v="28"/>
    <x v="157"/>
    <x v="156"/>
    <x v="497"/>
    <x v="269"/>
    <x v="0"/>
    <x v="0"/>
    <x v="0"/>
    <x v="0"/>
    <x v="0"/>
    <x v="0"/>
    <x v="0"/>
    <x v="351"/>
    <x v="334"/>
    <x v="16"/>
    <x v="0"/>
    <x v="0"/>
    <x v="646"/>
    <x v="0"/>
    <x v="0"/>
    <x v="958"/>
    <x v="9"/>
    <x v="57"/>
    <x v="100"/>
    <x v="377"/>
    <x v="2"/>
    <x v="248"/>
    <x v="320"/>
    <x v="403"/>
  </r>
  <r>
    <x v="3"/>
    <x v="73"/>
    <x v="3"/>
    <x v="0"/>
    <x v="4"/>
    <x v="3"/>
    <x v="1"/>
    <x v="71"/>
    <x v="549"/>
    <x v="0"/>
    <x v="42"/>
    <x v="107"/>
    <x v="29"/>
    <x v="184"/>
    <x v="135"/>
    <x v="0"/>
    <x v="35"/>
    <x v="0"/>
    <x v="0"/>
    <x v="60"/>
    <x v="0"/>
    <x v="0"/>
    <x v="217"/>
    <x v="170"/>
    <x v="38"/>
    <x v="10"/>
    <x v="571"/>
    <x v="128"/>
    <x v="736"/>
    <x v="358"/>
    <x v="42"/>
    <x v="0"/>
    <x v="102"/>
    <x v="130"/>
    <x v="47"/>
    <x v="6"/>
    <x v="636"/>
    <x v="28"/>
    <x v="160"/>
  </r>
  <r>
    <x v="3"/>
    <x v="73"/>
    <x v="3"/>
    <x v="5"/>
    <x v="12"/>
    <x v="7"/>
    <x v="7"/>
    <x v="27"/>
    <x v="1185"/>
    <x v="0"/>
    <x v="42"/>
    <x v="163"/>
    <x v="124"/>
    <x v="747"/>
    <x v="320"/>
    <x v="0"/>
    <x v="106"/>
    <x v="0"/>
    <x v="0"/>
    <x v="119"/>
    <x v="0"/>
    <x v="0"/>
    <x v="396"/>
    <x v="509"/>
    <x v="44"/>
    <x v="1"/>
    <x v="364"/>
    <x v="63"/>
    <x v="747"/>
    <x v="451"/>
    <x v="33"/>
    <x v="0"/>
    <x v="102"/>
    <x v="130"/>
    <x v="289"/>
    <x v="4"/>
    <x v="448"/>
    <x v="286"/>
    <x v="560"/>
  </r>
  <r>
    <x v="3"/>
    <x v="73"/>
    <x v="3"/>
    <x v="3"/>
    <x v="72"/>
    <x v="11"/>
    <x v="5"/>
    <x v="10"/>
    <x v="552"/>
    <x v="0"/>
    <x v="42"/>
    <x v="153"/>
    <x v="86"/>
    <x v="653"/>
    <x v="327"/>
    <x v="0"/>
    <x v="0"/>
    <x v="0"/>
    <x v="0"/>
    <x v="2"/>
    <x v="0"/>
    <x v="0"/>
    <x v="403"/>
    <x v="703"/>
    <x v="38"/>
    <x v="3"/>
    <x v="469"/>
    <x v="644"/>
    <x v="17"/>
    <x v="0"/>
    <x v="938"/>
    <x v="0"/>
    <x v="102"/>
    <x v="130"/>
    <x v="300"/>
    <x v="5"/>
    <x v="432"/>
    <x v="550"/>
    <x v="1039"/>
  </r>
  <r>
    <x v="3"/>
    <x v="73"/>
    <x v="3"/>
    <x v="1"/>
    <x v="7"/>
    <x v="11"/>
    <x v="19"/>
    <x v="21"/>
    <x v="513"/>
    <x v="0"/>
    <x v="42"/>
    <x v="168"/>
    <x v="131"/>
    <x v="642"/>
    <x v="317"/>
    <x v="0"/>
    <x v="0"/>
    <x v="33"/>
    <x v="0"/>
    <x v="64"/>
    <x v="0"/>
    <x v="4"/>
    <x v="136"/>
    <x v="379"/>
    <x v="2"/>
    <x v="0"/>
    <x v="0"/>
    <x v="646"/>
    <x v="493"/>
    <x v="0"/>
    <x v="345"/>
    <x v="9"/>
    <x v="97"/>
    <x v="117"/>
    <x v="284"/>
    <x v="7"/>
    <x v="679"/>
    <x v="649"/>
    <x v="1062"/>
  </r>
  <r>
    <x v="3"/>
    <x v="73"/>
    <x v="5"/>
    <x v="5"/>
    <x v="12"/>
    <x v="7"/>
    <x v="7"/>
    <x v="27"/>
    <x v="1187"/>
    <x v="4"/>
    <x v="42"/>
    <x v="163"/>
    <x v="124"/>
    <x v="503"/>
    <x v="266"/>
    <x v="28"/>
    <x v="14"/>
    <x v="0"/>
    <x v="0"/>
    <x v="60"/>
    <x v="0"/>
    <x v="0"/>
    <x v="347"/>
    <x v="230"/>
    <x v="44"/>
    <x v="1"/>
    <x v="191"/>
    <x v="240"/>
    <x v="551"/>
    <x v="59"/>
    <x v="279"/>
    <x v="0"/>
    <x v="102"/>
    <x v="130"/>
    <x v="194"/>
    <x v="4"/>
    <x v="536"/>
    <x v="79"/>
    <x v="306"/>
  </r>
  <r>
    <x v="3"/>
    <x v="73"/>
    <x v="5"/>
    <x v="3"/>
    <x v="72"/>
    <x v="11"/>
    <x v="5"/>
    <x v="10"/>
    <x v="553"/>
    <x v="4"/>
    <x v="42"/>
    <x v="153"/>
    <x v="86"/>
    <x v="623"/>
    <x v="312"/>
    <x v="0"/>
    <x v="0"/>
    <x v="0"/>
    <x v="0"/>
    <x v="5"/>
    <x v="3"/>
    <x v="0"/>
    <x v="390"/>
    <x v="676"/>
    <x v="38"/>
    <x v="3"/>
    <x v="460"/>
    <x v="597"/>
    <x v="62"/>
    <x v="0"/>
    <x v="881"/>
    <x v="0"/>
    <x v="102"/>
    <x v="130"/>
    <x v="280"/>
    <x v="5"/>
    <x v="458"/>
    <x v="496"/>
    <x v="962"/>
  </r>
  <r>
    <x v="3"/>
    <x v="74"/>
    <x v="2"/>
    <x v="5"/>
    <x v="12"/>
    <x v="11"/>
    <x v="19"/>
    <x v="27"/>
    <x v="1190"/>
    <x v="2"/>
    <x v="42"/>
    <x v="137"/>
    <x v="56"/>
    <x v="508"/>
    <x v="266"/>
    <x v="41"/>
    <x v="42"/>
    <x v="0"/>
    <x v="0"/>
    <x v="42"/>
    <x v="5"/>
    <x v="0"/>
    <x v="347"/>
    <x v="631"/>
    <x v="44"/>
    <x v="1"/>
    <x v="198"/>
    <x v="133"/>
    <x v="394"/>
    <x v="242"/>
    <x v="486"/>
    <x v="31"/>
    <x v="70"/>
    <x v="55"/>
    <x v="194"/>
    <x v="4"/>
    <x v="366"/>
    <x v="572"/>
    <x v="317"/>
  </r>
  <r>
    <x v="3"/>
    <x v="74"/>
    <x v="2"/>
    <x v="3"/>
    <x v="72"/>
    <x v="11"/>
    <x v="19"/>
    <x v="10"/>
    <x v="557"/>
    <x v="2"/>
    <x v="42"/>
    <x v="153"/>
    <x v="86"/>
    <x v="574"/>
    <x v="292"/>
    <x v="0"/>
    <x v="0"/>
    <x v="0"/>
    <x v="0"/>
    <x v="5"/>
    <x v="3"/>
    <x v="0"/>
    <x v="373"/>
    <x v="615"/>
    <x v="38"/>
    <x v="3"/>
    <x v="431"/>
    <x v="589"/>
    <x v="68"/>
    <x v="0"/>
    <x v="874"/>
    <x v="14"/>
    <x v="91"/>
    <x v="102"/>
    <x v="247"/>
    <x v="5"/>
    <x v="419"/>
    <x v="583"/>
    <x v="771"/>
  </r>
  <r>
    <x v="3"/>
    <x v="74"/>
    <x v="2"/>
    <x v="7"/>
    <x v="20"/>
    <x v="11"/>
    <x v="10"/>
    <x v="29"/>
    <x v="1186"/>
    <x v="2"/>
    <x v="42"/>
    <x v="184"/>
    <x v="156"/>
    <x v="882"/>
    <x v="414"/>
    <x v="0"/>
    <x v="0"/>
    <x v="0"/>
    <x v="0"/>
    <x v="0"/>
    <x v="0"/>
    <x v="0"/>
    <x v="487"/>
    <x v="435"/>
    <x v="11"/>
    <x v="0"/>
    <x v="0"/>
    <x v="646"/>
    <x v="0"/>
    <x v="0"/>
    <x v="958"/>
    <x v="16"/>
    <x v="89"/>
    <x v="95"/>
    <x v="401"/>
    <x v="2"/>
    <x v="165"/>
    <x v="464"/>
    <x v="509"/>
  </r>
  <r>
    <x v="3"/>
    <x v="74"/>
    <x v="2"/>
    <x v="4"/>
    <x v="58"/>
    <x v="11"/>
    <x v="8"/>
    <x v="31"/>
    <x v="1181"/>
    <x v="2"/>
    <x v="42"/>
    <x v="184"/>
    <x v="156"/>
    <x v="832"/>
    <x v="367"/>
    <x v="0"/>
    <x v="0"/>
    <x v="0"/>
    <x v="0"/>
    <x v="0"/>
    <x v="0"/>
    <x v="0"/>
    <x v="436"/>
    <x v="247"/>
    <x v="15"/>
    <x v="0"/>
    <x v="0"/>
    <x v="646"/>
    <x v="0"/>
    <x v="0"/>
    <x v="958"/>
    <x v="14"/>
    <x v="91"/>
    <x v="102"/>
    <x v="348"/>
    <x v="2"/>
    <x v="321"/>
    <x v="156"/>
    <x v="300"/>
  </r>
  <r>
    <x v="3"/>
    <x v="74"/>
    <x v="2"/>
    <x v="1"/>
    <x v="7"/>
    <x v="11"/>
    <x v="19"/>
    <x v="21"/>
    <x v="516"/>
    <x v="3"/>
    <x v="42"/>
    <x v="169"/>
    <x v="133"/>
    <x v="314"/>
    <x v="202"/>
    <x v="0"/>
    <x v="0"/>
    <x v="30"/>
    <x v="0"/>
    <x v="34"/>
    <x v="0"/>
    <x v="2"/>
    <x v="107"/>
    <x v="80"/>
    <x v="2"/>
    <x v="0"/>
    <x v="0"/>
    <x v="646"/>
    <x v="418"/>
    <x v="0"/>
    <x v="446"/>
    <x v="9"/>
    <x v="97"/>
    <x v="117"/>
    <x v="113"/>
    <x v="7"/>
    <x v="743"/>
    <x v="364"/>
    <x v="515"/>
  </r>
  <r>
    <x v="3"/>
    <x v="74"/>
    <x v="6"/>
    <x v="8"/>
    <x v="63"/>
    <x v="11"/>
    <x v="19"/>
    <x v="54"/>
    <x v="1174"/>
    <x v="0"/>
    <x v="20"/>
    <x v="174"/>
    <x v="207"/>
    <x v="312"/>
    <x v="201"/>
    <x v="0"/>
    <x v="0"/>
    <x v="0"/>
    <x v="0"/>
    <x v="29"/>
    <x v="0"/>
    <x v="1"/>
    <x v="191"/>
    <x v="72"/>
    <x v="28"/>
    <x v="0"/>
    <x v="0"/>
    <x v="646"/>
    <x v="362"/>
    <x v="0"/>
    <x v="519"/>
    <x v="12"/>
    <x v="30"/>
    <x v="62"/>
    <x v="462"/>
    <x v="3"/>
    <x v="382"/>
    <x v="105"/>
    <x v="139"/>
  </r>
  <r>
    <x v="3"/>
    <x v="74"/>
    <x v="6"/>
    <x v="8"/>
    <x v="62"/>
    <x v="11"/>
    <x v="19"/>
    <x v="30"/>
    <x v="1181"/>
    <x v="0"/>
    <x v="28"/>
    <x v="200"/>
    <x v="207"/>
    <x v="911"/>
    <x v="447"/>
    <x v="0"/>
    <x v="0"/>
    <x v="0"/>
    <x v="0"/>
    <x v="62"/>
    <x v="0"/>
    <x v="1"/>
    <x v="340"/>
    <x v="295"/>
    <x v="27"/>
    <x v="0"/>
    <x v="0"/>
    <x v="646"/>
    <x v="311"/>
    <x v="0"/>
    <x v="585"/>
    <x v="0"/>
    <x v="63"/>
    <x v="130"/>
    <x v="529"/>
    <x v="3"/>
    <x v="351"/>
    <x v="238"/>
    <x v="559"/>
  </r>
  <r>
    <x v="3"/>
    <x v="74"/>
    <x v="3"/>
    <x v="5"/>
    <x v="12"/>
    <x v="7"/>
    <x v="7"/>
    <x v="27"/>
    <x v="1191"/>
    <x v="0"/>
    <x v="42"/>
    <x v="163"/>
    <x v="124"/>
    <x v="443"/>
    <x v="233"/>
    <x v="0"/>
    <x v="69"/>
    <x v="0"/>
    <x v="0"/>
    <x v="70"/>
    <x v="0"/>
    <x v="0"/>
    <x v="319"/>
    <x v="158"/>
    <x v="44"/>
    <x v="1"/>
    <x v="140"/>
    <x v="187"/>
    <x v="635"/>
    <x v="362"/>
    <x v="182"/>
    <x v="0"/>
    <x v="102"/>
    <x v="130"/>
    <x v="152"/>
    <x v="4"/>
    <x v="553"/>
    <x v="38"/>
    <x v="190"/>
  </r>
  <r>
    <x v="3"/>
    <x v="74"/>
    <x v="3"/>
    <x v="3"/>
    <x v="72"/>
    <x v="11"/>
    <x v="5"/>
    <x v="10"/>
    <x v="558"/>
    <x v="0"/>
    <x v="42"/>
    <x v="153"/>
    <x v="86"/>
    <x v="371"/>
    <x v="209"/>
    <x v="0"/>
    <x v="22"/>
    <x v="0"/>
    <x v="0"/>
    <x v="20"/>
    <x v="0"/>
    <x v="0"/>
    <x v="295"/>
    <x v="191"/>
    <x v="38"/>
    <x v="3"/>
    <x v="186"/>
    <x v="439"/>
    <x v="261"/>
    <x v="181"/>
    <x v="647"/>
    <x v="0"/>
    <x v="102"/>
    <x v="130"/>
    <x v="123"/>
    <x v="5"/>
    <x v="575"/>
    <x v="45"/>
    <x v="231"/>
  </r>
  <r>
    <x v="3"/>
    <x v="74"/>
    <x v="3"/>
    <x v="0"/>
    <x v="4"/>
    <x v="3"/>
    <x v="1"/>
    <x v="71"/>
    <x v="554"/>
    <x v="0"/>
    <x v="42"/>
    <x v="107"/>
    <x v="29"/>
    <x v="431"/>
    <x v="232"/>
    <x v="46"/>
    <x v="35"/>
    <x v="0"/>
    <x v="0"/>
    <x v="60"/>
    <x v="0"/>
    <x v="0"/>
    <x v="318"/>
    <x v="747"/>
    <x v="38"/>
    <x v="10"/>
    <x v="709"/>
    <x v="214"/>
    <x v="599"/>
    <x v="240"/>
    <x v="223"/>
    <x v="0"/>
    <x v="102"/>
    <x v="130"/>
    <x v="150"/>
    <x v="6"/>
    <x v="554"/>
    <x v="595"/>
    <x v="1056"/>
  </r>
  <r>
    <x v="3"/>
    <x v="74"/>
    <x v="3"/>
    <x v="7"/>
    <x v="20"/>
    <x v="11"/>
    <x v="10"/>
    <x v="29"/>
    <x v="1192"/>
    <x v="0"/>
    <x v="42"/>
    <x v="184"/>
    <x v="156"/>
    <x v="885"/>
    <x v="421"/>
    <x v="0"/>
    <x v="0"/>
    <x v="0"/>
    <x v="0"/>
    <x v="0"/>
    <x v="0"/>
    <x v="0"/>
    <x v="499"/>
    <x v="466"/>
    <x v="11"/>
    <x v="0"/>
    <x v="0"/>
    <x v="646"/>
    <x v="0"/>
    <x v="0"/>
    <x v="958"/>
    <x v="9"/>
    <x v="97"/>
    <x v="117"/>
    <x v="415"/>
    <x v="2"/>
    <x v="224"/>
    <x v="365"/>
    <x v="533"/>
  </r>
  <r>
    <x v="3"/>
    <x v="74"/>
    <x v="3"/>
    <x v="4"/>
    <x v="58"/>
    <x v="11"/>
    <x v="8"/>
    <x v="31"/>
    <x v="1182"/>
    <x v="0"/>
    <x v="42"/>
    <x v="184"/>
    <x v="156"/>
    <x v="838"/>
    <x v="371"/>
    <x v="0"/>
    <x v="0"/>
    <x v="0"/>
    <x v="0"/>
    <x v="0"/>
    <x v="0"/>
    <x v="0"/>
    <x v="439"/>
    <x v="255"/>
    <x v="15"/>
    <x v="0"/>
    <x v="0"/>
    <x v="646"/>
    <x v="0"/>
    <x v="0"/>
    <x v="958"/>
    <x v="9"/>
    <x v="97"/>
    <x v="117"/>
    <x v="354"/>
    <x v="2"/>
    <x v="330"/>
    <x v="125"/>
    <x v="331"/>
  </r>
  <r>
    <x v="3"/>
    <x v="74"/>
    <x v="3"/>
    <x v="1"/>
    <x v="7"/>
    <x v="11"/>
    <x v="19"/>
    <x v="21"/>
    <x v="521"/>
    <x v="0"/>
    <x v="42"/>
    <x v="168"/>
    <x v="131"/>
    <x v="568"/>
    <x v="291"/>
    <x v="0"/>
    <x v="0"/>
    <x v="54"/>
    <x v="0"/>
    <x v="51"/>
    <x v="0"/>
    <x v="4"/>
    <x v="126"/>
    <x v="265"/>
    <x v="2"/>
    <x v="0"/>
    <x v="0"/>
    <x v="646"/>
    <x v="431"/>
    <x v="0"/>
    <x v="427"/>
    <x v="0"/>
    <x v="102"/>
    <x v="130"/>
    <x v="239"/>
    <x v="7"/>
    <x v="726"/>
    <x v="493"/>
    <x v="919"/>
  </r>
  <r>
    <x v="3"/>
    <x v="74"/>
    <x v="5"/>
    <x v="0"/>
    <x v="4"/>
    <x v="5"/>
    <x v="1"/>
    <x v="71"/>
    <x v="555"/>
    <x v="4"/>
    <x v="42"/>
    <x v="107"/>
    <x v="29"/>
    <x v="368"/>
    <x v="206"/>
    <x v="28"/>
    <x v="38"/>
    <x v="0"/>
    <x v="0"/>
    <x v="63"/>
    <x v="3"/>
    <x v="0"/>
    <x v="291"/>
    <x v="704"/>
    <x v="38"/>
    <x v="10"/>
    <x v="683"/>
    <x v="196"/>
    <x v="637"/>
    <x v="282"/>
    <x v="172"/>
    <x v="0"/>
    <x v="102"/>
    <x v="130"/>
    <x v="118"/>
    <x v="6"/>
    <x v="584"/>
    <x v="450"/>
    <x v="833"/>
  </r>
  <r>
    <x v="3"/>
    <x v="74"/>
    <x v="5"/>
    <x v="5"/>
    <x v="12"/>
    <x v="7"/>
    <x v="7"/>
    <x v="27"/>
    <x v="1193"/>
    <x v="4"/>
    <x v="42"/>
    <x v="163"/>
    <x v="124"/>
    <x v="558"/>
    <x v="275"/>
    <x v="0"/>
    <x v="80"/>
    <x v="0"/>
    <x v="0"/>
    <x v="53"/>
    <x v="5"/>
    <x v="0"/>
    <x v="359"/>
    <x v="271"/>
    <x v="44"/>
    <x v="1"/>
    <x v="227"/>
    <x v="198"/>
    <x v="474"/>
    <x v="380"/>
    <x v="391"/>
    <x v="14"/>
    <x v="91"/>
    <x v="102"/>
    <x v="215"/>
    <x v="4"/>
    <x v="458"/>
    <x v="248"/>
    <x v="360"/>
  </r>
  <r>
    <x v="3"/>
    <x v="74"/>
    <x v="5"/>
    <x v="3"/>
    <x v="72"/>
    <x v="11"/>
    <x v="5"/>
    <x v="10"/>
    <x v="559"/>
    <x v="4"/>
    <x v="42"/>
    <x v="153"/>
    <x v="86"/>
    <x v="629"/>
    <x v="312"/>
    <x v="0"/>
    <x v="0"/>
    <x v="0"/>
    <x v="0"/>
    <x v="25"/>
    <x v="3"/>
    <x v="0"/>
    <x v="390"/>
    <x v="676"/>
    <x v="38"/>
    <x v="3"/>
    <x v="466"/>
    <x v="533"/>
    <x v="231"/>
    <x v="0"/>
    <x v="679"/>
    <x v="0"/>
    <x v="102"/>
    <x v="130"/>
    <x v="280"/>
    <x v="5"/>
    <x v="458"/>
    <x v="496"/>
    <x v="944"/>
  </r>
  <r>
    <x v="3"/>
    <x v="75"/>
    <x v="2"/>
    <x v="5"/>
    <x v="12"/>
    <x v="7"/>
    <x v="7"/>
    <x v="27"/>
    <x v="1197"/>
    <x v="2"/>
    <x v="42"/>
    <x v="163"/>
    <x v="124"/>
    <x v="778"/>
    <x v="349"/>
    <x v="0"/>
    <x v="22"/>
    <x v="0"/>
    <x v="0"/>
    <x v="50"/>
    <x v="3"/>
    <x v="0"/>
    <x v="417"/>
    <x v="643"/>
    <x v="44"/>
    <x v="1"/>
    <x v="395"/>
    <x v="430"/>
    <x v="344"/>
    <x v="64"/>
    <x v="544"/>
    <x v="0"/>
    <x v="102"/>
    <x v="130"/>
    <x v="325"/>
    <x v="4"/>
    <x v="396"/>
    <x v="471"/>
    <x v="903"/>
  </r>
  <r>
    <x v="3"/>
    <x v="75"/>
    <x v="2"/>
    <x v="3"/>
    <x v="72"/>
    <x v="11"/>
    <x v="5"/>
    <x v="10"/>
    <x v="564"/>
    <x v="2"/>
    <x v="42"/>
    <x v="153"/>
    <x v="86"/>
    <x v="515"/>
    <x v="270"/>
    <x v="0"/>
    <x v="23"/>
    <x v="0"/>
    <x v="0"/>
    <x v="8"/>
    <x v="3"/>
    <x v="0"/>
    <x v="354"/>
    <x v="447"/>
    <x v="38"/>
    <x v="3"/>
    <x v="336"/>
    <x v="480"/>
    <x v="110"/>
    <x v="141"/>
    <x v="816"/>
    <x v="0"/>
    <x v="102"/>
    <x v="130"/>
    <x v="201"/>
    <x v="5"/>
    <x v="531"/>
    <x v="208"/>
    <x v="537"/>
  </r>
  <r>
    <x v="3"/>
    <x v="75"/>
    <x v="2"/>
    <x v="7"/>
    <x v="20"/>
    <x v="11"/>
    <x v="10"/>
    <x v="29"/>
    <x v="1194"/>
    <x v="2"/>
    <x v="42"/>
    <x v="184"/>
    <x v="156"/>
    <x v="873"/>
    <x v="404"/>
    <x v="0"/>
    <x v="0"/>
    <x v="0"/>
    <x v="0"/>
    <x v="0"/>
    <x v="0"/>
    <x v="0"/>
    <x v="474"/>
    <x v="387"/>
    <x v="11"/>
    <x v="0"/>
    <x v="0"/>
    <x v="646"/>
    <x v="0"/>
    <x v="0"/>
    <x v="958"/>
    <x v="9"/>
    <x v="97"/>
    <x v="117"/>
    <x v="387"/>
    <x v="2"/>
    <x v="263"/>
    <x v="274"/>
    <x v="449"/>
  </r>
  <r>
    <x v="3"/>
    <x v="75"/>
    <x v="2"/>
    <x v="4"/>
    <x v="58"/>
    <x v="11"/>
    <x v="8"/>
    <x v="31"/>
    <x v="1189"/>
    <x v="2"/>
    <x v="42"/>
    <x v="184"/>
    <x v="156"/>
    <x v="873"/>
    <x v="404"/>
    <x v="0"/>
    <x v="0"/>
    <x v="0"/>
    <x v="0"/>
    <x v="0"/>
    <x v="0"/>
    <x v="0"/>
    <x v="474"/>
    <x v="387"/>
    <x v="15"/>
    <x v="0"/>
    <x v="0"/>
    <x v="646"/>
    <x v="0"/>
    <x v="0"/>
    <x v="958"/>
    <x v="9"/>
    <x v="97"/>
    <x v="117"/>
    <x v="387"/>
    <x v="2"/>
    <x v="263"/>
    <x v="274"/>
    <x v="449"/>
  </r>
  <r>
    <x v="3"/>
    <x v="75"/>
    <x v="2"/>
    <x v="0"/>
    <x v="4"/>
    <x v="5"/>
    <x v="1"/>
    <x v="71"/>
    <x v="560"/>
    <x v="2"/>
    <x v="42"/>
    <x v="107"/>
    <x v="29"/>
    <x v="362"/>
    <x v="206"/>
    <x v="17"/>
    <x v="22"/>
    <x v="0"/>
    <x v="0"/>
    <x v="50"/>
    <x v="7"/>
    <x v="0"/>
    <x v="291"/>
    <x v="704"/>
    <x v="38"/>
    <x v="10"/>
    <x v="678"/>
    <x v="234"/>
    <x v="582"/>
    <x v="186"/>
    <x v="253"/>
    <x v="0"/>
    <x v="102"/>
    <x v="130"/>
    <x v="118"/>
    <x v="6"/>
    <x v="584"/>
    <x v="450"/>
    <x v="859"/>
  </r>
  <r>
    <x v="3"/>
    <x v="75"/>
    <x v="2"/>
    <x v="1"/>
    <x v="7"/>
    <x v="11"/>
    <x v="10"/>
    <x v="21"/>
    <x v="524"/>
    <x v="3"/>
    <x v="42"/>
    <x v="169"/>
    <x v="133"/>
    <x v="465"/>
    <x v="255"/>
    <x v="0"/>
    <x v="0"/>
    <x v="24"/>
    <x v="0"/>
    <x v="43"/>
    <x v="0"/>
    <x v="3"/>
    <x v="123"/>
    <x v="181"/>
    <x v="2"/>
    <x v="0"/>
    <x v="0"/>
    <x v="646"/>
    <x v="415"/>
    <x v="0"/>
    <x v="455"/>
    <x v="9"/>
    <x v="97"/>
    <x v="117"/>
    <x v="182"/>
    <x v="7"/>
    <x v="702"/>
    <x v="571"/>
    <x v="865"/>
  </r>
  <r>
    <x v="3"/>
    <x v="75"/>
    <x v="6"/>
    <x v="8"/>
    <x v="62"/>
    <x v="11"/>
    <x v="19"/>
    <x v="30"/>
    <x v="1182"/>
    <x v="0"/>
    <x v="42"/>
    <x v="221"/>
    <x v="207"/>
    <x v="968"/>
    <x v="509"/>
    <x v="0"/>
    <x v="0"/>
    <x v="0"/>
    <x v="0"/>
    <x v="67"/>
    <x v="0"/>
    <x v="0"/>
    <x v="590"/>
    <x v="304"/>
    <x v="27"/>
    <x v="0"/>
    <x v="0"/>
    <x v="646"/>
    <x v="238"/>
    <x v="0"/>
    <x v="671"/>
    <x v="12"/>
    <x v="94"/>
    <x v="108"/>
    <x v="532"/>
    <x v="3"/>
    <x v="27"/>
    <x v="745"/>
    <x v="1197"/>
  </r>
  <r>
    <x v="3"/>
    <x v="75"/>
    <x v="6"/>
    <x v="9"/>
    <x v="25"/>
    <x v="11"/>
    <x v="17"/>
    <x v="56"/>
    <x v="1180"/>
    <x v="0"/>
    <x v="14"/>
    <x v="151"/>
    <x v="237"/>
    <x v="490"/>
    <x v="267"/>
    <x v="0"/>
    <x v="0"/>
    <x v="0"/>
    <x v="0"/>
    <x v="4"/>
    <x v="0"/>
    <x v="0"/>
    <x v="349"/>
    <x v="459"/>
    <x v="16"/>
    <x v="0"/>
    <x v="0"/>
    <x v="646"/>
    <x v="59"/>
    <x v="0"/>
    <x v="888"/>
    <x v="12"/>
    <x v="17"/>
    <x v="40"/>
    <x v="603"/>
    <x v="1"/>
    <x v="2"/>
    <x v="763"/>
    <x v="1171"/>
  </r>
  <r>
    <x v="3"/>
    <x v="75"/>
    <x v="6"/>
    <x v="9"/>
    <x v="24"/>
    <x v="11"/>
    <x v="17"/>
    <x v="32"/>
    <x v="1188"/>
    <x v="0"/>
    <x v="34"/>
    <x v="213"/>
    <x v="237"/>
    <x v="962"/>
    <x v="505"/>
    <x v="0"/>
    <x v="0"/>
    <x v="0"/>
    <x v="0"/>
    <x v="0"/>
    <x v="0"/>
    <x v="0"/>
    <x v="589"/>
    <x v="491"/>
    <x v="15"/>
    <x v="0"/>
    <x v="0"/>
    <x v="646"/>
    <x v="0"/>
    <x v="0"/>
    <x v="958"/>
    <x v="0"/>
    <x v="76"/>
    <x v="130"/>
    <x v="612"/>
    <x v="1"/>
    <x v="9"/>
    <x v="701"/>
    <x v="1173"/>
  </r>
  <r>
    <x v="3"/>
    <x v="75"/>
    <x v="3"/>
    <x v="5"/>
    <x v="12"/>
    <x v="7"/>
    <x v="7"/>
    <x v="27"/>
    <x v="1198"/>
    <x v="0"/>
    <x v="42"/>
    <x v="163"/>
    <x v="124"/>
    <x v="805"/>
    <x v="351"/>
    <x v="0"/>
    <x v="30"/>
    <x v="0"/>
    <x v="0"/>
    <x v="50"/>
    <x v="0"/>
    <x v="0"/>
    <x v="419"/>
    <x v="665"/>
    <x v="44"/>
    <x v="1"/>
    <x v="413"/>
    <x v="428"/>
    <x v="341"/>
    <x v="120"/>
    <x v="551"/>
    <x v="0"/>
    <x v="102"/>
    <x v="130"/>
    <x v="329"/>
    <x v="4"/>
    <x v="388"/>
    <x v="499"/>
    <x v="936"/>
  </r>
  <r>
    <x v="3"/>
    <x v="75"/>
    <x v="3"/>
    <x v="0"/>
    <x v="4"/>
    <x v="5"/>
    <x v="1"/>
    <x v="71"/>
    <x v="562"/>
    <x v="0"/>
    <x v="42"/>
    <x v="107"/>
    <x v="29"/>
    <x v="391"/>
    <x v="213"/>
    <x v="28"/>
    <x v="22"/>
    <x v="0"/>
    <x v="0"/>
    <x v="45"/>
    <x v="0"/>
    <x v="0"/>
    <x v="299"/>
    <x v="723"/>
    <x v="38"/>
    <x v="10"/>
    <x v="694"/>
    <x v="297"/>
    <x v="519"/>
    <x v="177"/>
    <x v="318"/>
    <x v="0"/>
    <x v="102"/>
    <x v="130"/>
    <x v="126"/>
    <x v="6"/>
    <x v="570"/>
    <x v="511"/>
    <x v="961"/>
  </r>
  <r>
    <x v="3"/>
    <x v="75"/>
    <x v="3"/>
    <x v="3"/>
    <x v="72"/>
    <x v="11"/>
    <x v="5"/>
    <x v="10"/>
    <x v="565"/>
    <x v="0"/>
    <x v="42"/>
    <x v="153"/>
    <x v="86"/>
    <x v="566"/>
    <x v="288"/>
    <x v="0"/>
    <x v="6"/>
    <x v="0"/>
    <x v="0"/>
    <x v="20"/>
    <x v="0"/>
    <x v="0"/>
    <x v="371"/>
    <x v="586"/>
    <x v="38"/>
    <x v="3"/>
    <x v="414"/>
    <x v="529"/>
    <x v="207"/>
    <x v="20"/>
    <x v="707"/>
    <x v="0"/>
    <x v="102"/>
    <x v="130"/>
    <x v="235"/>
    <x v="5"/>
    <x v="508"/>
    <x v="335"/>
    <x v="710"/>
  </r>
  <r>
    <x v="3"/>
    <x v="75"/>
    <x v="3"/>
    <x v="7"/>
    <x v="20"/>
    <x v="11"/>
    <x v="10"/>
    <x v="29"/>
    <x v="1199"/>
    <x v="0"/>
    <x v="42"/>
    <x v="184"/>
    <x v="156"/>
    <x v="861"/>
    <x v="392"/>
    <x v="0"/>
    <x v="0"/>
    <x v="0"/>
    <x v="0"/>
    <x v="0"/>
    <x v="0"/>
    <x v="0"/>
    <x v="461"/>
    <x v="321"/>
    <x v="11"/>
    <x v="0"/>
    <x v="0"/>
    <x v="646"/>
    <x v="0"/>
    <x v="0"/>
    <x v="958"/>
    <x v="9"/>
    <x v="97"/>
    <x v="117"/>
    <x v="373"/>
    <x v="2"/>
    <x v="302"/>
    <x v="196"/>
    <x v="392"/>
  </r>
  <r>
    <x v="3"/>
    <x v="75"/>
    <x v="3"/>
    <x v="4"/>
    <x v="58"/>
    <x v="11"/>
    <x v="8"/>
    <x v="31"/>
    <x v="1189"/>
    <x v="0"/>
    <x v="42"/>
    <x v="184"/>
    <x v="156"/>
    <x v="861"/>
    <x v="392"/>
    <x v="0"/>
    <x v="0"/>
    <x v="0"/>
    <x v="0"/>
    <x v="0"/>
    <x v="0"/>
    <x v="0"/>
    <x v="461"/>
    <x v="321"/>
    <x v="15"/>
    <x v="0"/>
    <x v="0"/>
    <x v="646"/>
    <x v="0"/>
    <x v="0"/>
    <x v="958"/>
    <x v="9"/>
    <x v="97"/>
    <x v="117"/>
    <x v="373"/>
    <x v="2"/>
    <x v="302"/>
    <x v="196"/>
    <x v="392"/>
  </r>
  <r>
    <x v="3"/>
    <x v="75"/>
    <x v="3"/>
    <x v="1"/>
    <x v="7"/>
    <x v="11"/>
    <x v="19"/>
    <x v="21"/>
    <x v="525"/>
    <x v="0"/>
    <x v="42"/>
    <x v="168"/>
    <x v="131"/>
    <x v="766"/>
    <x v="349"/>
    <x v="0"/>
    <x v="0"/>
    <x v="44"/>
    <x v="0"/>
    <x v="42"/>
    <x v="0"/>
    <x v="4"/>
    <x v="155"/>
    <x v="581"/>
    <x v="2"/>
    <x v="0"/>
    <x v="0"/>
    <x v="646"/>
    <x v="306"/>
    <x v="0"/>
    <x v="595"/>
    <x v="9"/>
    <x v="97"/>
    <x v="117"/>
    <x v="325"/>
    <x v="7"/>
    <x v="656"/>
    <x v="687"/>
    <x v="1141"/>
  </r>
  <r>
    <x v="3"/>
    <x v="75"/>
    <x v="5"/>
    <x v="0"/>
    <x v="4"/>
    <x v="5"/>
    <x v="1"/>
    <x v="71"/>
    <x v="563"/>
    <x v="4"/>
    <x v="42"/>
    <x v="107"/>
    <x v="29"/>
    <x v="355"/>
    <x v="206"/>
    <x v="28"/>
    <x v="9"/>
    <x v="0"/>
    <x v="0"/>
    <x v="59"/>
    <x v="3"/>
    <x v="0"/>
    <x v="291"/>
    <x v="704"/>
    <x v="38"/>
    <x v="10"/>
    <x v="674"/>
    <x v="276"/>
    <x v="619"/>
    <x v="50"/>
    <x v="197"/>
    <x v="0"/>
    <x v="102"/>
    <x v="130"/>
    <x v="118"/>
    <x v="6"/>
    <x v="584"/>
    <x v="450"/>
    <x v="839"/>
  </r>
  <r>
    <x v="3"/>
    <x v="75"/>
    <x v="5"/>
    <x v="5"/>
    <x v="12"/>
    <x v="7"/>
    <x v="7"/>
    <x v="27"/>
    <x v="1200"/>
    <x v="4"/>
    <x v="42"/>
    <x v="163"/>
    <x v="124"/>
    <x v="788"/>
    <x v="349"/>
    <x v="0"/>
    <x v="23"/>
    <x v="0"/>
    <x v="0"/>
    <x v="70"/>
    <x v="5"/>
    <x v="0"/>
    <x v="417"/>
    <x v="643"/>
    <x v="44"/>
    <x v="1"/>
    <x v="403"/>
    <x v="360"/>
    <x v="487"/>
    <x v="72"/>
    <x v="357"/>
    <x v="0"/>
    <x v="102"/>
    <x v="130"/>
    <x v="325"/>
    <x v="4"/>
    <x v="396"/>
    <x v="471"/>
    <x v="892"/>
  </r>
  <r>
    <x v="3"/>
    <x v="75"/>
    <x v="5"/>
    <x v="3"/>
    <x v="72"/>
    <x v="11"/>
    <x v="5"/>
    <x v="10"/>
    <x v="564"/>
    <x v="4"/>
    <x v="42"/>
    <x v="153"/>
    <x v="86"/>
    <x v="594"/>
    <x v="296"/>
    <x v="12"/>
    <x v="0"/>
    <x v="0"/>
    <x v="0"/>
    <x v="34"/>
    <x v="3"/>
    <x v="0"/>
    <x v="378"/>
    <x v="633"/>
    <x v="38"/>
    <x v="3"/>
    <x v="451"/>
    <x v="455"/>
    <x v="293"/>
    <x v="0"/>
    <x v="608"/>
    <x v="0"/>
    <x v="102"/>
    <x v="130"/>
    <x v="256"/>
    <x v="5"/>
    <x v="485"/>
    <x v="417"/>
    <x v="814"/>
  </r>
  <r>
    <x v="3"/>
    <x v="76"/>
    <x v="2"/>
    <x v="0"/>
    <x v="4"/>
    <x v="5"/>
    <x v="1"/>
    <x v="71"/>
    <x v="567"/>
    <x v="2"/>
    <x v="24"/>
    <x v="64"/>
    <x v="42"/>
    <x v="157"/>
    <x v="119"/>
    <x v="12"/>
    <x v="35"/>
    <x v="0"/>
    <x v="0"/>
    <x v="35"/>
    <x v="0"/>
    <x v="0"/>
    <x v="202"/>
    <x v="569"/>
    <x v="38"/>
    <x v="10"/>
    <x v="542"/>
    <x v="141"/>
    <x v="650"/>
    <x v="386"/>
    <x v="161"/>
    <x v="0"/>
    <x v="55"/>
    <x v="130"/>
    <x v="132"/>
    <x v="6"/>
    <x v="566"/>
    <x v="540"/>
    <x v="993"/>
  </r>
  <r>
    <x v="3"/>
    <x v="76"/>
    <x v="2"/>
    <x v="3"/>
    <x v="72"/>
    <x v="11"/>
    <x v="5"/>
    <x v="10"/>
    <x v="570"/>
    <x v="2"/>
    <x v="42"/>
    <x v="153"/>
    <x v="86"/>
    <x v="567"/>
    <x v="288"/>
    <x v="4"/>
    <x v="18"/>
    <x v="0"/>
    <x v="0"/>
    <x v="14"/>
    <x v="3"/>
    <x v="0"/>
    <x v="371"/>
    <x v="586"/>
    <x v="38"/>
    <x v="3"/>
    <x v="417"/>
    <x v="457"/>
    <x v="158"/>
    <x v="75"/>
    <x v="762"/>
    <x v="0"/>
    <x v="102"/>
    <x v="130"/>
    <x v="235"/>
    <x v="5"/>
    <x v="508"/>
    <x v="335"/>
    <x v="711"/>
  </r>
  <r>
    <x v="3"/>
    <x v="76"/>
    <x v="2"/>
    <x v="7"/>
    <x v="20"/>
    <x v="11"/>
    <x v="10"/>
    <x v="29"/>
    <x v="1201"/>
    <x v="2"/>
    <x v="42"/>
    <x v="184"/>
    <x v="156"/>
    <x v="882"/>
    <x v="414"/>
    <x v="0"/>
    <x v="0"/>
    <x v="0"/>
    <x v="0"/>
    <x v="0"/>
    <x v="0"/>
    <x v="0"/>
    <x v="487"/>
    <x v="435"/>
    <x v="11"/>
    <x v="0"/>
    <x v="0"/>
    <x v="646"/>
    <x v="0"/>
    <x v="0"/>
    <x v="958"/>
    <x v="0"/>
    <x v="102"/>
    <x v="130"/>
    <x v="401"/>
    <x v="2"/>
    <x v="309"/>
    <x v="184"/>
    <x v="509"/>
  </r>
  <r>
    <x v="3"/>
    <x v="76"/>
    <x v="2"/>
    <x v="4"/>
    <x v="58"/>
    <x v="11"/>
    <x v="8"/>
    <x v="31"/>
    <x v="1196"/>
    <x v="2"/>
    <x v="42"/>
    <x v="184"/>
    <x v="156"/>
    <x v="882"/>
    <x v="414"/>
    <x v="0"/>
    <x v="0"/>
    <x v="0"/>
    <x v="0"/>
    <x v="0"/>
    <x v="0"/>
    <x v="0"/>
    <x v="487"/>
    <x v="435"/>
    <x v="15"/>
    <x v="0"/>
    <x v="0"/>
    <x v="646"/>
    <x v="0"/>
    <x v="0"/>
    <x v="958"/>
    <x v="0"/>
    <x v="102"/>
    <x v="130"/>
    <x v="401"/>
    <x v="2"/>
    <x v="309"/>
    <x v="184"/>
    <x v="509"/>
  </r>
  <r>
    <x v="3"/>
    <x v="76"/>
    <x v="2"/>
    <x v="5"/>
    <x v="12"/>
    <x v="7"/>
    <x v="7"/>
    <x v="27"/>
    <x v="1205"/>
    <x v="2"/>
    <x v="42"/>
    <x v="163"/>
    <x v="124"/>
    <x v="684"/>
    <x v="327"/>
    <x v="0"/>
    <x v="43"/>
    <x v="0"/>
    <x v="0"/>
    <x v="40"/>
    <x v="3"/>
    <x v="0"/>
    <x v="403"/>
    <x v="551"/>
    <x v="44"/>
    <x v="1"/>
    <x v="308"/>
    <x v="378"/>
    <x v="313"/>
    <x v="212"/>
    <x v="586"/>
    <x v="0"/>
    <x v="102"/>
    <x v="130"/>
    <x v="300"/>
    <x v="4"/>
    <x v="432"/>
    <x v="329"/>
    <x v="699"/>
  </r>
  <r>
    <x v="3"/>
    <x v="76"/>
    <x v="2"/>
    <x v="0"/>
    <x v="3"/>
    <x v="4"/>
    <x v="0"/>
    <x v="57"/>
    <x v="566"/>
    <x v="2"/>
    <x v="20"/>
    <x v="28"/>
    <x v="35"/>
    <x v="42"/>
    <x v="36"/>
    <x v="34"/>
    <x v="33"/>
    <x v="0"/>
    <x v="0"/>
    <x v="24"/>
    <x v="3"/>
    <x v="0"/>
    <x v="104"/>
    <x v="156"/>
    <x v="38"/>
    <x v="5"/>
    <x v="72"/>
    <x v="37"/>
    <x v="742"/>
    <x v="450"/>
    <x v="39"/>
    <x v="0"/>
    <x v="42"/>
    <x v="130"/>
    <x v="47"/>
    <x v="6"/>
    <x v="636"/>
    <x v="28"/>
    <x v="159"/>
  </r>
  <r>
    <x v="3"/>
    <x v="76"/>
    <x v="2"/>
    <x v="1"/>
    <x v="7"/>
    <x v="11"/>
    <x v="19"/>
    <x v="21"/>
    <x v="532"/>
    <x v="3"/>
    <x v="42"/>
    <x v="173"/>
    <x v="136"/>
    <x v="656"/>
    <x v="326"/>
    <x v="0"/>
    <x v="0"/>
    <x v="35"/>
    <x v="0"/>
    <x v="40"/>
    <x v="0"/>
    <x v="4"/>
    <x v="142"/>
    <x v="405"/>
    <x v="2"/>
    <x v="0"/>
    <x v="0"/>
    <x v="646"/>
    <x v="315"/>
    <x v="0"/>
    <x v="580"/>
    <x v="9"/>
    <x v="97"/>
    <x v="117"/>
    <x v="297"/>
    <x v="7"/>
    <x v="676"/>
    <x v="658"/>
    <x v="1096"/>
  </r>
  <r>
    <x v="3"/>
    <x v="76"/>
    <x v="6"/>
    <x v="8"/>
    <x v="62"/>
    <x v="11"/>
    <x v="19"/>
    <x v="30"/>
    <x v="1195"/>
    <x v="0"/>
    <x v="42"/>
    <x v="221"/>
    <x v="207"/>
    <x v="974"/>
    <x v="519"/>
    <x v="0"/>
    <x v="0"/>
    <x v="0"/>
    <x v="0"/>
    <x v="30"/>
    <x v="0"/>
    <x v="0"/>
    <x v="595"/>
    <x v="370"/>
    <x v="27"/>
    <x v="0"/>
    <x v="0"/>
    <x v="646"/>
    <x v="124"/>
    <x v="0"/>
    <x v="800"/>
    <x v="12"/>
    <x v="94"/>
    <x v="108"/>
    <x v="547"/>
    <x v="3"/>
    <x v="22"/>
    <x v="750"/>
    <x v="1203"/>
  </r>
  <r>
    <x v="3"/>
    <x v="76"/>
    <x v="6"/>
    <x v="9"/>
    <x v="24"/>
    <x v="11"/>
    <x v="17"/>
    <x v="32"/>
    <x v="1189"/>
    <x v="0"/>
    <x v="42"/>
    <x v="230"/>
    <x v="238"/>
    <x v="1009"/>
    <x v="558"/>
    <x v="0"/>
    <x v="0"/>
    <x v="0"/>
    <x v="0"/>
    <x v="1"/>
    <x v="0"/>
    <x v="1"/>
    <x v="543"/>
    <x v="478"/>
    <x v="15"/>
    <x v="0"/>
    <x v="0"/>
    <x v="646"/>
    <x v="1"/>
    <x v="0"/>
    <x v="957"/>
    <x v="12"/>
    <x v="94"/>
    <x v="108"/>
    <x v="608"/>
    <x v="1"/>
    <x v="121"/>
    <x v="120"/>
    <x v="284"/>
  </r>
  <r>
    <x v="3"/>
    <x v="76"/>
    <x v="3"/>
    <x v="5"/>
    <x v="12"/>
    <x v="7"/>
    <x v="7"/>
    <x v="27"/>
    <x v="1208"/>
    <x v="0"/>
    <x v="42"/>
    <x v="164"/>
    <x v="126"/>
    <x v="752"/>
    <x v="346"/>
    <x v="0"/>
    <x v="30"/>
    <x v="0"/>
    <x v="0"/>
    <x v="60"/>
    <x v="0"/>
    <x v="0"/>
    <x v="414"/>
    <x v="619"/>
    <x v="44"/>
    <x v="1"/>
    <x v="373"/>
    <x v="398"/>
    <x v="420"/>
    <x v="127"/>
    <x v="447"/>
    <x v="0"/>
    <x v="102"/>
    <x v="130"/>
    <x v="320"/>
    <x v="4"/>
    <x v="407"/>
    <x v="429"/>
    <x v="829"/>
  </r>
  <r>
    <x v="3"/>
    <x v="76"/>
    <x v="3"/>
    <x v="3"/>
    <x v="72"/>
    <x v="11"/>
    <x v="5"/>
    <x v="10"/>
    <x v="571"/>
    <x v="0"/>
    <x v="42"/>
    <x v="153"/>
    <x v="86"/>
    <x v="529"/>
    <x v="275"/>
    <x v="0"/>
    <x v="4"/>
    <x v="0"/>
    <x v="0"/>
    <x v="12"/>
    <x v="0"/>
    <x v="0"/>
    <x v="359"/>
    <x v="501"/>
    <x v="38"/>
    <x v="3"/>
    <x v="351"/>
    <x v="550"/>
    <x v="148"/>
    <x v="15"/>
    <x v="770"/>
    <x v="0"/>
    <x v="102"/>
    <x v="130"/>
    <x v="215"/>
    <x v="5"/>
    <x v="524"/>
    <x v="248"/>
    <x v="586"/>
  </r>
  <r>
    <x v="3"/>
    <x v="76"/>
    <x v="3"/>
    <x v="0"/>
    <x v="3"/>
    <x v="4"/>
    <x v="0"/>
    <x v="57"/>
    <x v="568"/>
    <x v="0"/>
    <x v="42"/>
    <x v="107"/>
    <x v="29"/>
    <x v="194"/>
    <x v="139"/>
    <x v="12"/>
    <x v="77"/>
    <x v="0"/>
    <x v="0"/>
    <x v="80"/>
    <x v="0"/>
    <x v="0"/>
    <x v="220"/>
    <x v="188"/>
    <x v="38"/>
    <x v="5"/>
    <x v="508"/>
    <x v="66"/>
    <x v="753"/>
    <x v="442"/>
    <x v="25"/>
    <x v="0"/>
    <x v="102"/>
    <x v="130"/>
    <x v="52"/>
    <x v="6"/>
    <x v="635"/>
    <x v="32"/>
    <x v="173"/>
  </r>
  <r>
    <x v="3"/>
    <x v="76"/>
    <x v="3"/>
    <x v="7"/>
    <x v="20"/>
    <x v="11"/>
    <x v="10"/>
    <x v="29"/>
    <x v="1206"/>
    <x v="0"/>
    <x v="42"/>
    <x v="184"/>
    <x v="156"/>
    <x v="885"/>
    <x v="421"/>
    <x v="0"/>
    <x v="0"/>
    <x v="0"/>
    <x v="0"/>
    <x v="0"/>
    <x v="0"/>
    <x v="0"/>
    <x v="499"/>
    <x v="466"/>
    <x v="11"/>
    <x v="0"/>
    <x v="0"/>
    <x v="646"/>
    <x v="0"/>
    <x v="0"/>
    <x v="958"/>
    <x v="9"/>
    <x v="97"/>
    <x v="117"/>
    <x v="415"/>
    <x v="2"/>
    <x v="224"/>
    <x v="365"/>
    <x v="533"/>
  </r>
  <r>
    <x v="3"/>
    <x v="76"/>
    <x v="3"/>
    <x v="4"/>
    <x v="58"/>
    <x v="11"/>
    <x v="8"/>
    <x v="31"/>
    <x v="1196"/>
    <x v="0"/>
    <x v="42"/>
    <x v="184"/>
    <x v="156"/>
    <x v="885"/>
    <x v="421"/>
    <x v="0"/>
    <x v="0"/>
    <x v="0"/>
    <x v="0"/>
    <x v="0"/>
    <x v="0"/>
    <x v="0"/>
    <x v="499"/>
    <x v="466"/>
    <x v="15"/>
    <x v="0"/>
    <x v="0"/>
    <x v="646"/>
    <x v="0"/>
    <x v="0"/>
    <x v="958"/>
    <x v="9"/>
    <x v="97"/>
    <x v="117"/>
    <x v="415"/>
    <x v="2"/>
    <x v="224"/>
    <x v="365"/>
    <x v="533"/>
  </r>
  <r>
    <x v="3"/>
    <x v="76"/>
    <x v="3"/>
    <x v="1"/>
    <x v="7"/>
    <x v="11"/>
    <x v="19"/>
    <x v="21"/>
    <x v="537"/>
    <x v="0"/>
    <x v="42"/>
    <x v="168"/>
    <x v="131"/>
    <x v="716"/>
    <x v="339"/>
    <x v="0"/>
    <x v="0"/>
    <x v="48"/>
    <x v="0"/>
    <x v="32"/>
    <x v="12"/>
    <x v="4"/>
    <x v="149"/>
    <x v="506"/>
    <x v="2"/>
    <x v="0"/>
    <x v="0"/>
    <x v="646"/>
    <x v="259"/>
    <x v="0"/>
    <x v="648"/>
    <x v="9"/>
    <x v="97"/>
    <x v="117"/>
    <x v="313"/>
    <x v="7"/>
    <x v="664"/>
    <x v="676"/>
    <x v="1124"/>
  </r>
  <r>
    <x v="3"/>
    <x v="76"/>
    <x v="3"/>
    <x v="5"/>
    <x v="11"/>
    <x v="6"/>
    <x v="6"/>
    <x v="39"/>
    <x v="1208"/>
    <x v="0"/>
    <x v="42"/>
    <x v="163"/>
    <x v="124"/>
    <x v="863"/>
    <x v="371"/>
    <x v="0"/>
    <x v="104"/>
    <x v="0"/>
    <x v="0"/>
    <x v="111"/>
    <x v="6"/>
    <x v="0"/>
    <x v="439"/>
    <x v="717"/>
    <x v="44"/>
    <x v="1"/>
    <x v="488"/>
    <x v="93"/>
    <x v="684"/>
    <x v="437"/>
    <x v="116"/>
    <x v="0"/>
    <x v="102"/>
    <x v="130"/>
    <x v="354"/>
    <x v="4"/>
    <x v="359"/>
    <x v="597"/>
    <x v="1058"/>
  </r>
  <r>
    <x v="3"/>
    <x v="76"/>
    <x v="5"/>
    <x v="0"/>
    <x v="3"/>
    <x v="4"/>
    <x v="0"/>
    <x v="57"/>
    <x v="569"/>
    <x v="4"/>
    <x v="42"/>
    <x v="107"/>
    <x v="29"/>
    <x v="326"/>
    <x v="205"/>
    <x v="12"/>
    <x v="0"/>
    <x v="0"/>
    <x v="0"/>
    <x v="47"/>
    <x v="3"/>
    <x v="0"/>
    <x v="290"/>
    <x v="698"/>
    <x v="38"/>
    <x v="5"/>
    <x v="575"/>
    <x v="370"/>
    <x v="562"/>
    <x v="0"/>
    <x v="267"/>
    <x v="0"/>
    <x v="102"/>
    <x v="130"/>
    <x v="115"/>
    <x v="6"/>
    <x v="589"/>
    <x v="414"/>
    <x v="791"/>
  </r>
  <r>
    <x v="3"/>
    <x v="76"/>
    <x v="5"/>
    <x v="3"/>
    <x v="72"/>
    <x v="11"/>
    <x v="5"/>
    <x v="10"/>
    <x v="572"/>
    <x v="4"/>
    <x v="42"/>
    <x v="153"/>
    <x v="86"/>
    <x v="796"/>
    <x v="351"/>
    <x v="0"/>
    <x v="10"/>
    <x v="0"/>
    <x v="0"/>
    <x v="12"/>
    <x v="3"/>
    <x v="0"/>
    <x v="419"/>
    <x v="743"/>
    <x v="38"/>
    <x v="3"/>
    <x v="520"/>
    <x v="532"/>
    <x v="121"/>
    <x v="26"/>
    <x v="805"/>
    <x v="0"/>
    <x v="102"/>
    <x v="130"/>
    <x v="329"/>
    <x v="5"/>
    <x v="388"/>
    <x v="637"/>
    <x v="1117"/>
  </r>
  <r>
    <x v="3"/>
    <x v="76"/>
    <x v="5"/>
    <x v="5"/>
    <x v="12"/>
    <x v="7"/>
    <x v="7"/>
    <x v="27"/>
    <x v="1210"/>
    <x v="4"/>
    <x v="42"/>
    <x v="163"/>
    <x v="124"/>
    <x v="818"/>
    <x v="356"/>
    <x v="0"/>
    <x v="12"/>
    <x v="0"/>
    <x v="0"/>
    <x v="60"/>
    <x v="5"/>
    <x v="0"/>
    <x v="423"/>
    <x v="678"/>
    <x v="44"/>
    <x v="1"/>
    <x v="427"/>
    <x v="419"/>
    <x v="402"/>
    <x v="29"/>
    <x v="475"/>
    <x v="0"/>
    <x v="102"/>
    <x v="130"/>
    <x v="335"/>
    <x v="4"/>
    <x v="381"/>
    <x v="521"/>
    <x v="985"/>
  </r>
  <r>
    <x v="3"/>
    <x v="76"/>
    <x v="5"/>
    <x v="5"/>
    <x v="11"/>
    <x v="6"/>
    <x v="6"/>
    <x v="39"/>
    <x v="1210"/>
    <x v="4"/>
    <x v="42"/>
    <x v="138"/>
    <x v="57"/>
    <x v="512"/>
    <x v="266"/>
    <x v="0"/>
    <x v="40"/>
    <x v="0"/>
    <x v="0"/>
    <x v="85"/>
    <x v="0"/>
    <x v="0"/>
    <x v="347"/>
    <x v="626"/>
    <x v="44"/>
    <x v="1"/>
    <x v="190"/>
    <x v="251"/>
    <x v="653"/>
    <x v="232"/>
    <x v="148"/>
    <x v="0"/>
    <x v="102"/>
    <x v="130"/>
    <x v="194"/>
    <x v="4"/>
    <x v="536"/>
    <x v="79"/>
    <x v="294"/>
  </r>
  <r>
    <x v="3"/>
    <x v="77"/>
    <x v="2"/>
    <x v="5"/>
    <x v="11"/>
    <x v="6"/>
    <x v="6"/>
    <x v="39"/>
    <x v="1217"/>
    <x v="2"/>
    <x v="42"/>
    <x v="138"/>
    <x v="57"/>
    <x v="526"/>
    <x v="266"/>
    <x v="0"/>
    <x v="86"/>
    <x v="0"/>
    <x v="0"/>
    <x v="84"/>
    <x v="2"/>
    <x v="0"/>
    <x v="347"/>
    <x v="626"/>
    <x v="44"/>
    <x v="1"/>
    <x v="196"/>
    <x v="139"/>
    <x v="649"/>
    <x v="398"/>
    <x v="164"/>
    <x v="0"/>
    <x v="102"/>
    <x v="130"/>
    <x v="194"/>
    <x v="4"/>
    <x v="536"/>
    <x v="79"/>
    <x v="295"/>
  </r>
  <r>
    <x v="3"/>
    <x v="77"/>
    <x v="2"/>
    <x v="3"/>
    <x v="72"/>
    <x v="11"/>
    <x v="5"/>
    <x v="10"/>
    <x v="576"/>
    <x v="2"/>
    <x v="42"/>
    <x v="153"/>
    <x v="86"/>
    <x v="552"/>
    <x v="282"/>
    <x v="0"/>
    <x v="18"/>
    <x v="0"/>
    <x v="0"/>
    <x v="16"/>
    <x v="3"/>
    <x v="0"/>
    <x v="365"/>
    <x v="554"/>
    <x v="38"/>
    <x v="3"/>
    <x v="398"/>
    <x v="482"/>
    <x v="178"/>
    <x v="82"/>
    <x v="738"/>
    <x v="0"/>
    <x v="102"/>
    <x v="130"/>
    <x v="227"/>
    <x v="5"/>
    <x v="515"/>
    <x v="290"/>
    <x v="641"/>
  </r>
  <r>
    <x v="3"/>
    <x v="77"/>
    <x v="2"/>
    <x v="7"/>
    <x v="20"/>
    <x v="11"/>
    <x v="10"/>
    <x v="29"/>
    <x v="1207"/>
    <x v="2"/>
    <x v="42"/>
    <x v="184"/>
    <x v="156"/>
    <x v="854"/>
    <x v="384"/>
    <x v="0"/>
    <x v="0"/>
    <x v="0"/>
    <x v="0"/>
    <x v="3"/>
    <x v="0"/>
    <x v="0"/>
    <x v="453"/>
    <x v="301"/>
    <x v="11"/>
    <x v="0"/>
    <x v="0"/>
    <x v="646"/>
    <x v="23"/>
    <x v="0"/>
    <x v="931"/>
    <x v="9"/>
    <x v="97"/>
    <x v="117"/>
    <x v="366"/>
    <x v="2"/>
    <x v="312"/>
    <x v="178"/>
    <x v="370"/>
  </r>
  <r>
    <x v="3"/>
    <x v="77"/>
    <x v="2"/>
    <x v="4"/>
    <x v="58"/>
    <x v="11"/>
    <x v="8"/>
    <x v="31"/>
    <x v="1202"/>
    <x v="2"/>
    <x v="42"/>
    <x v="184"/>
    <x v="156"/>
    <x v="652"/>
    <x v="327"/>
    <x v="0"/>
    <x v="0"/>
    <x v="0"/>
    <x v="0"/>
    <x v="0"/>
    <x v="0"/>
    <x v="0"/>
    <x v="403"/>
    <x v="154"/>
    <x v="15"/>
    <x v="0"/>
    <x v="0"/>
    <x v="646"/>
    <x v="0"/>
    <x v="0"/>
    <x v="958"/>
    <x v="9"/>
    <x v="97"/>
    <x v="117"/>
    <x v="300"/>
    <x v="2"/>
    <x v="392"/>
    <x v="44"/>
    <x v="180"/>
  </r>
  <r>
    <x v="3"/>
    <x v="77"/>
    <x v="2"/>
    <x v="5"/>
    <x v="12"/>
    <x v="7"/>
    <x v="7"/>
    <x v="27"/>
    <x v="1217"/>
    <x v="2"/>
    <x v="42"/>
    <x v="163"/>
    <x v="124"/>
    <x v="541"/>
    <x v="275"/>
    <x v="67"/>
    <x v="48"/>
    <x v="0"/>
    <x v="0"/>
    <x v="41"/>
    <x v="3"/>
    <x v="0"/>
    <x v="359"/>
    <x v="271"/>
    <x v="44"/>
    <x v="1"/>
    <x v="287"/>
    <x v="28"/>
    <x v="369"/>
    <x v="261"/>
    <x v="518"/>
    <x v="23"/>
    <x v="80"/>
    <x v="77"/>
    <x v="215"/>
    <x v="4"/>
    <x v="405"/>
    <x v="433"/>
    <x v="364"/>
  </r>
  <r>
    <x v="3"/>
    <x v="77"/>
    <x v="2"/>
    <x v="0"/>
    <x v="3"/>
    <x v="4"/>
    <x v="0"/>
    <x v="57"/>
    <x v="573"/>
    <x v="2"/>
    <x v="42"/>
    <x v="107"/>
    <x v="29"/>
    <x v="278"/>
    <x v="183"/>
    <x v="0"/>
    <x v="73"/>
    <x v="0"/>
    <x v="0"/>
    <x v="72"/>
    <x v="3"/>
    <x v="0"/>
    <x v="266"/>
    <x v="565"/>
    <x v="38"/>
    <x v="5"/>
    <x v="559"/>
    <x v="107"/>
    <x v="706"/>
    <x v="408"/>
    <x v="80"/>
    <x v="0"/>
    <x v="102"/>
    <x v="130"/>
    <x v="93"/>
    <x v="6"/>
    <x v="615"/>
    <x v="193"/>
    <x v="460"/>
  </r>
  <r>
    <x v="3"/>
    <x v="77"/>
    <x v="2"/>
    <x v="1"/>
    <x v="7"/>
    <x v="11"/>
    <x v="12"/>
    <x v="21"/>
    <x v="543"/>
    <x v="3"/>
    <x v="20"/>
    <x v="79"/>
    <x v="137"/>
    <x v="53"/>
    <x v="53"/>
    <x v="0"/>
    <x v="0"/>
    <x v="4"/>
    <x v="0"/>
    <x v="11"/>
    <x v="0"/>
    <x v="2"/>
    <x v="48"/>
    <x v="45"/>
    <x v="2"/>
    <x v="0"/>
    <x v="0"/>
    <x v="646"/>
    <x v="451"/>
    <x v="0"/>
    <x v="404"/>
    <x v="9"/>
    <x v="33"/>
    <x v="72"/>
    <x v="79"/>
    <x v="7"/>
    <x v="752"/>
    <x v="265"/>
    <x v="252"/>
  </r>
  <r>
    <x v="3"/>
    <x v="77"/>
    <x v="2"/>
    <x v="1"/>
    <x v="43"/>
    <x v="11"/>
    <x v="19"/>
    <x v="18"/>
    <x v="214"/>
    <x v="3"/>
    <x v="14"/>
    <x v="45"/>
    <x v="137"/>
    <x v="24"/>
    <x v="23"/>
    <x v="0"/>
    <x v="0"/>
    <x v="3"/>
    <x v="0"/>
    <x v="11"/>
    <x v="0"/>
    <x v="4"/>
    <x v="22"/>
    <x v="28"/>
    <x v="19"/>
    <x v="0"/>
    <x v="0"/>
    <x v="646"/>
    <x v="648"/>
    <x v="0"/>
    <x v="147"/>
    <x v="14"/>
    <x v="15"/>
    <x v="31"/>
    <x v="59"/>
    <x v="7"/>
    <x v="738"/>
    <x v="384"/>
    <x v="82"/>
  </r>
  <r>
    <x v="3"/>
    <x v="77"/>
    <x v="2"/>
    <x v="1"/>
    <x v="9"/>
    <x v="11"/>
    <x v="19"/>
    <x v="72"/>
    <x v="369"/>
    <x v="3"/>
    <x v="20"/>
    <x v="79"/>
    <x v="137"/>
    <x v="187"/>
    <x v="144"/>
    <x v="0"/>
    <x v="0"/>
    <x v="14"/>
    <x v="0"/>
    <x v="12"/>
    <x v="0"/>
    <x v="4"/>
    <x v="76"/>
    <x v="582"/>
    <x v="4"/>
    <x v="0"/>
    <x v="0"/>
    <x v="646"/>
    <x v="251"/>
    <x v="0"/>
    <x v="659"/>
    <x v="0"/>
    <x v="42"/>
    <x v="130"/>
    <x v="326"/>
    <x v="7"/>
    <x v="675"/>
    <x v="659"/>
    <x v="1145"/>
  </r>
  <r>
    <x v="3"/>
    <x v="77"/>
    <x v="6"/>
    <x v="8"/>
    <x v="62"/>
    <x v="11"/>
    <x v="19"/>
    <x v="30"/>
    <x v="1196"/>
    <x v="0"/>
    <x v="42"/>
    <x v="221"/>
    <x v="207"/>
    <x v="964"/>
    <x v="504"/>
    <x v="0"/>
    <x v="0"/>
    <x v="0"/>
    <x v="0"/>
    <x v="53"/>
    <x v="3"/>
    <x v="0"/>
    <x v="588"/>
    <x v="274"/>
    <x v="27"/>
    <x v="0"/>
    <x v="0"/>
    <x v="646"/>
    <x v="201"/>
    <x v="0"/>
    <x v="711"/>
    <x v="12"/>
    <x v="94"/>
    <x v="108"/>
    <x v="525"/>
    <x v="3"/>
    <x v="35"/>
    <x v="743"/>
    <x v="1196"/>
  </r>
  <r>
    <x v="3"/>
    <x v="77"/>
    <x v="6"/>
    <x v="9"/>
    <x v="22"/>
    <x v="11"/>
    <x v="17"/>
    <x v="50"/>
    <x v="1148"/>
    <x v="0"/>
    <x v="14"/>
    <x v="152"/>
    <x v="239"/>
    <x v="298"/>
    <x v="200"/>
    <x v="0"/>
    <x v="0"/>
    <x v="0"/>
    <x v="0"/>
    <x v="0"/>
    <x v="0"/>
    <x v="1"/>
    <x v="190"/>
    <x v="168"/>
    <x v="29"/>
    <x v="0"/>
    <x v="0"/>
    <x v="646"/>
    <x v="0"/>
    <x v="0"/>
    <x v="958"/>
    <x v="12"/>
    <x v="17"/>
    <x v="40"/>
    <x v="520"/>
    <x v="1"/>
    <x v="90"/>
    <x v="284"/>
    <x v="118"/>
  </r>
  <r>
    <x v="3"/>
    <x v="77"/>
    <x v="6"/>
    <x v="9"/>
    <x v="24"/>
    <x v="11"/>
    <x v="17"/>
    <x v="32"/>
    <x v="1196"/>
    <x v="0"/>
    <x v="34"/>
    <x v="213"/>
    <x v="237"/>
    <x v="937"/>
    <x v="477"/>
    <x v="0"/>
    <x v="0"/>
    <x v="0"/>
    <x v="0"/>
    <x v="10"/>
    <x v="0"/>
    <x v="1"/>
    <x v="401"/>
    <x v="221"/>
    <x v="15"/>
    <x v="0"/>
    <x v="0"/>
    <x v="646"/>
    <x v="61"/>
    <x v="0"/>
    <x v="882"/>
    <x v="0"/>
    <x v="76"/>
    <x v="130"/>
    <x v="548"/>
    <x v="1"/>
    <x v="324"/>
    <x v="22"/>
    <x v="155"/>
  </r>
  <r>
    <x v="3"/>
    <x v="77"/>
    <x v="3"/>
    <x v="7"/>
    <x v="20"/>
    <x v="11"/>
    <x v="10"/>
    <x v="29"/>
    <x v="1211"/>
    <x v="0"/>
    <x v="42"/>
    <x v="184"/>
    <x v="156"/>
    <x v="907"/>
    <x v="444"/>
    <x v="0"/>
    <x v="0"/>
    <x v="0"/>
    <x v="0"/>
    <x v="0"/>
    <x v="0"/>
    <x v="0"/>
    <x v="531"/>
    <x v="613"/>
    <x v="11"/>
    <x v="0"/>
    <x v="0"/>
    <x v="646"/>
    <x v="0"/>
    <x v="0"/>
    <x v="958"/>
    <x v="9"/>
    <x v="97"/>
    <x v="117"/>
    <x v="452"/>
    <x v="2"/>
    <x v="148"/>
    <x v="503"/>
    <x v="729"/>
  </r>
  <r>
    <x v="3"/>
    <x v="77"/>
    <x v="3"/>
    <x v="4"/>
    <x v="58"/>
    <x v="11"/>
    <x v="8"/>
    <x v="31"/>
    <x v="0"/>
    <x v="0"/>
    <x v="42"/>
    <x v="184"/>
    <x v="156"/>
    <x v="853"/>
    <x v="385"/>
    <x v="0"/>
    <x v="0"/>
    <x v="0"/>
    <x v="0"/>
    <x v="0"/>
    <x v="0"/>
    <x v="0"/>
    <x v="454"/>
    <x v="302"/>
    <x v="15"/>
    <x v="0"/>
    <x v="0"/>
    <x v="646"/>
    <x v="0"/>
    <x v="0"/>
    <x v="958"/>
    <x v="0"/>
    <x v="102"/>
    <x v="130"/>
    <x v="367"/>
    <x v="2"/>
    <x v="349"/>
    <x v="98"/>
    <x v="372"/>
  </r>
  <r>
    <x v="3"/>
    <x v="77"/>
    <x v="3"/>
    <x v="5"/>
    <x v="12"/>
    <x v="7"/>
    <x v="7"/>
    <x v="27"/>
    <x v="1220"/>
    <x v="0"/>
    <x v="42"/>
    <x v="163"/>
    <x v="124"/>
    <x v="450"/>
    <x v="233"/>
    <x v="0"/>
    <x v="86"/>
    <x v="0"/>
    <x v="0"/>
    <x v="87"/>
    <x v="0"/>
    <x v="0"/>
    <x v="319"/>
    <x v="158"/>
    <x v="44"/>
    <x v="1"/>
    <x v="148"/>
    <x v="119"/>
    <x v="699"/>
    <x v="409"/>
    <x v="90"/>
    <x v="0"/>
    <x v="102"/>
    <x v="130"/>
    <x v="152"/>
    <x v="4"/>
    <x v="553"/>
    <x v="38"/>
    <x v="187"/>
  </r>
  <r>
    <x v="3"/>
    <x v="77"/>
    <x v="3"/>
    <x v="3"/>
    <x v="72"/>
    <x v="11"/>
    <x v="5"/>
    <x v="10"/>
    <x v="577"/>
    <x v="0"/>
    <x v="42"/>
    <x v="153"/>
    <x v="86"/>
    <x v="622"/>
    <x v="312"/>
    <x v="0"/>
    <x v="1"/>
    <x v="0"/>
    <x v="0"/>
    <x v="8"/>
    <x v="0"/>
    <x v="0"/>
    <x v="390"/>
    <x v="676"/>
    <x v="38"/>
    <x v="3"/>
    <x v="459"/>
    <x v="615"/>
    <x v="97"/>
    <x v="1"/>
    <x v="835"/>
    <x v="0"/>
    <x v="102"/>
    <x v="130"/>
    <x v="280"/>
    <x v="5"/>
    <x v="458"/>
    <x v="496"/>
    <x v="956"/>
  </r>
  <r>
    <x v="3"/>
    <x v="77"/>
    <x v="3"/>
    <x v="0"/>
    <x v="3"/>
    <x v="4"/>
    <x v="0"/>
    <x v="57"/>
    <x v="574"/>
    <x v="0"/>
    <x v="42"/>
    <x v="107"/>
    <x v="29"/>
    <x v="255"/>
    <x v="173"/>
    <x v="0"/>
    <x v="83"/>
    <x v="0"/>
    <x v="0"/>
    <x v="86"/>
    <x v="0"/>
    <x v="0"/>
    <x v="252"/>
    <x v="422"/>
    <x v="38"/>
    <x v="5"/>
    <x v="548"/>
    <x v="83"/>
    <x v="745"/>
    <x v="433"/>
    <x v="36"/>
    <x v="0"/>
    <x v="102"/>
    <x v="130"/>
    <x v="84"/>
    <x v="6"/>
    <x v="624"/>
    <x v="118"/>
    <x v="367"/>
  </r>
  <r>
    <x v="3"/>
    <x v="77"/>
    <x v="3"/>
    <x v="5"/>
    <x v="11"/>
    <x v="6"/>
    <x v="6"/>
    <x v="39"/>
    <x v="1220"/>
    <x v="0"/>
    <x v="42"/>
    <x v="138"/>
    <x v="57"/>
    <x v="508"/>
    <x v="258"/>
    <x v="0"/>
    <x v="76"/>
    <x v="0"/>
    <x v="0"/>
    <x v="90"/>
    <x v="3"/>
    <x v="0"/>
    <x v="339"/>
    <x v="609"/>
    <x v="44"/>
    <x v="1"/>
    <x v="185"/>
    <x v="145"/>
    <x v="683"/>
    <x v="378"/>
    <x v="109"/>
    <x v="0"/>
    <x v="102"/>
    <x v="130"/>
    <x v="187"/>
    <x v="4"/>
    <x v="538"/>
    <x v="71"/>
    <x v="267"/>
  </r>
  <r>
    <x v="3"/>
    <x v="77"/>
    <x v="3"/>
    <x v="1"/>
    <x v="9"/>
    <x v="11"/>
    <x v="19"/>
    <x v="72"/>
    <x v="547"/>
    <x v="0"/>
    <x v="42"/>
    <x v="176"/>
    <x v="143"/>
    <x v="847"/>
    <x v="377"/>
    <x v="0"/>
    <x v="0"/>
    <x v="40"/>
    <x v="0"/>
    <x v="43"/>
    <x v="0"/>
    <x v="4"/>
    <x v="169"/>
    <x v="567"/>
    <x v="4"/>
    <x v="0"/>
    <x v="0"/>
    <x v="646"/>
    <x v="285"/>
    <x v="0"/>
    <x v="617"/>
    <x v="9"/>
    <x v="97"/>
    <x v="117"/>
    <x v="359"/>
    <x v="7"/>
    <x v="646"/>
    <x v="714"/>
    <x v="1167"/>
  </r>
  <r>
    <x v="3"/>
    <x v="77"/>
    <x v="5"/>
    <x v="0"/>
    <x v="3"/>
    <x v="4"/>
    <x v="0"/>
    <x v="57"/>
    <x v="575"/>
    <x v="4"/>
    <x v="42"/>
    <x v="107"/>
    <x v="29"/>
    <x v="289"/>
    <x v="193"/>
    <x v="7"/>
    <x v="19"/>
    <x v="0"/>
    <x v="0"/>
    <x v="48"/>
    <x v="3"/>
    <x v="0"/>
    <x v="277"/>
    <x v="639"/>
    <x v="38"/>
    <x v="5"/>
    <x v="565"/>
    <x v="267"/>
    <x v="592"/>
    <x v="178"/>
    <x v="233"/>
    <x v="0"/>
    <x v="102"/>
    <x v="130"/>
    <x v="105"/>
    <x v="6"/>
    <x v="601"/>
    <x v="295"/>
    <x v="613"/>
  </r>
  <r>
    <x v="3"/>
    <x v="77"/>
    <x v="5"/>
    <x v="5"/>
    <x v="12"/>
    <x v="7"/>
    <x v="7"/>
    <x v="27"/>
    <x v="1222"/>
    <x v="4"/>
    <x v="42"/>
    <x v="163"/>
    <x v="124"/>
    <x v="815"/>
    <x v="356"/>
    <x v="0"/>
    <x v="0"/>
    <x v="0"/>
    <x v="0"/>
    <x v="60"/>
    <x v="5"/>
    <x v="0"/>
    <x v="423"/>
    <x v="678"/>
    <x v="44"/>
    <x v="1"/>
    <x v="423"/>
    <x v="464"/>
    <x v="402"/>
    <x v="0"/>
    <x v="472"/>
    <x v="0"/>
    <x v="102"/>
    <x v="130"/>
    <x v="335"/>
    <x v="4"/>
    <x v="381"/>
    <x v="521"/>
    <x v="984"/>
  </r>
  <r>
    <x v="3"/>
    <x v="77"/>
    <x v="5"/>
    <x v="3"/>
    <x v="72"/>
    <x v="11"/>
    <x v="5"/>
    <x v="10"/>
    <x v="578"/>
    <x v="4"/>
    <x v="42"/>
    <x v="153"/>
    <x v="86"/>
    <x v="625"/>
    <x v="312"/>
    <x v="2"/>
    <x v="0"/>
    <x v="0"/>
    <x v="0"/>
    <x v="10"/>
    <x v="3"/>
    <x v="0"/>
    <x v="390"/>
    <x v="676"/>
    <x v="38"/>
    <x v="3"/>
    <x v="465"/>
    <x v="536"/>
    <x v="117"/>
    <x v="0"/>
    <x v="809"/>
    <x v="0"/>
    <x v="102"/>
    <x v="130"/>
    <x v="280"/>
    <x v="5"/>
    <x v="458"/>
    <x v="496"/>
    <x v="954"/>
  </r>
  <r>
    <x v="3"/>
    <x v="77"/>
    <x v="5"/>
    <x v="5"/>
    <x v="11"/>
    <x v="6"/>
    <x v="6"/>
    <x v="39"/>
    <x v="1222"/>
    <x v="4"/>
    <x v="42"/>
    <x v="138"/>
    <x v="57"/>
    <x v="474"/>
    <x v="247"/>
    <x v="0"/>
    <x v="96"/>
    <x v="0"/>
    <x v="0"/>
    <x v="91"/>
    <x v="4"/>
    <x v="0"/>
    <x v="330"/>
    <x v="522"/>
    <x v="44"/>
    <x v="1"/>
    <x v="168"/>
    <x v="84"/>
    <x v="698"/>
    <x v="443"/>
    <x v="97"/>
    <x v="0"/>
    <x v="102"/>
    <x v="130"/>
    <x v="168"/>
    <x v="4"/>
    <x v="546"/>
    <x v="52"/>
    <x v="223"/>
  </r>
  <r>
    <x v="3"/>
    <x v="78"/>
    <x v="2"/>
    <x v="5"/>
    <x v="11"/>
    <x v="6"/>
    <x v="6"/>
    <x v="39"/>
    <x v="1230"/>
    <x v="2"/>
    <x v="42"/>
    <x v="138"/>
    <x v="57"/>
    <x v="448"/>
    <x v="220"/>
    <x v="0"/>
    <x v="97"/>
    <x v="0"/>
    <x v="0"/>
    <x v="112"/>
    <x v="2"/>
    <x v="0"/>
    <x v="307"/>
    <x v="335"/>
    <x v="44"/>
    <x v="1"/>
    <x v="145"/>
    <x v="54"/>
    <x v="756"/>
    <x v="449"/>
    <x v="22"/>
    <x v="0"/>
    <x v="102"/>
    <x v="130"/>
    <x v="136"/>
    <x v="4"/>
    <x v="563"/>
    <x v="30"/>
    <x v="164"/>
  </r>
  <r>
    <x v="3"/>
    <x v="78"/>
    <x v="2"/>
    <x v="3"/>
    <x v="72"/>
    <x v="11"/>
    <x v="5"/>
    <x v="10"/>
    <x v="583"/>
    <x v="2"/>
    <x v="42"/>
    <x v="153"/>
    <x v="86"/>
    <x v="632"/>
    <x v="312"/>
    <x v="0"/>
    <x v="16"/>
    <x v="0"/>
    <x v="0"/>
    <x v="18"/>
    <x v="3"/>
    <x v="0"/>
    <x v="390"/>
    <x v="676"/>
    <x v="38"/>
    <x v="3"/>
    <x v="467"/>
    <x v="493"/>
    <x v="180"/>
    <x v="49"/>
    <x v="736"/>
    <x v="0"/>
    <x v="102"/>
    <x v="130"/>
    <x v="280"/>
    <x v="5"/>
    <x v="458"/>
    <x v="496"/>
    <x v="947"/>
  </r>
  <r>
    <x v="3"/>
    <x v="78"/>
    <x v="2"/>
    <x v="7"/>
    <x v="20"/>
    <x v="11"/>
    <x v="10"/>
    <x v="29"/>
    <x v="1221"/>
    <x v="2"/>
    <x v="42"/>
    <x v="184"/>
    <x v="156"/>
    <x v="849"/>
    <x v="380"/>
    <x v="0"/>
    <x v="0"/>
    <x v="0"/>
    <x v="0"/>
    <x v="0"/>
    <x v="0"/>
    <x v="0"/>
    <x v="447"/>
    <x v="281"/>
    <x v="11"/>
    <x v="0"/>
    <x v="0"/>
    <x v="646"/>
    <x v="0"/>
    <x v="0"/>
    <x v="958"/>
    <x v="0"/>
    <x v="102"/>
    <x v="130"/>
    <x v="364"/>
    <x v="2"/>
    <x v="355"/>
    <x v="92"/>
    <x v="354"/>
  </r>
  <r>
    <x v="3"/>
    <x v="78"/>
    <x v="2"/>
    <x v="4"/>
    <x v="58"/>
    <x v="11"/>
    <x v="8"/>
    <x v="31"/>
    <x v="1213"/>
    <x v="2"/>
    <x v="42"/>
    <x v="184"/>
    <x v="156"/>
    <x v="587"/>
    <x v="296"/>
    <x v="0"/>
    <x v="0"/>
    <x v="0"/>
    <x v="0"/>
    <x v="0"/>
    <x v="0"/>
    <x v="0"/>
    <x v="378"/>
    <x v="115"/>
    <x v="15"/>
    <x v="0"/>
    <x v="0"/>
    <x v="646"/>
    <x v="0"/>
    <x v="0"/>
    <x v="958"/>
    <x v="0"/>
    <x v="102"/>
    <x v="130"/>
    <x v="256"/>
    <x v="2"/>
    <x v="485"/>
    <x v="19"/>
    <x v="141"/>
  </r>
  <r>
    <x v="3"/>
    <x v="78"/>
    <x v="2"/>
    <x v="5"/>
    <x v="12"/>
    <x v="7"/>
    <x v="7"/>
    <x v="27"/>
    <x v="1230"/>
    <x v="2"/>
    <x v="42"/>
    <x v="163"/>
    <x v="124"/>
    <x v="823"/>
    <x v="359"/>
    <x v="0"/>
    <x v="0"/>
    <x v="0"/>
    <x v="0"/>
    <x v="40"/>
    <x v="3"/>
    <x v="0"/>
    <x v="426"/>
    <x v="693"/>
    <x v="44"/>
    <x v="1"/>
    <x v="439"/>
    <x v="516"/>
    <x v="281"/>
    <x v="0"/>
    <x v="623"/>
    <x v="0"/>
    <x v="102"/>
    <x v="130"/>
    <x v="338"/>
    <x v="4"/>
    <x v="376"/>
    <x v="546"/>
    <x v="1011"/>
  </r>
  <r>
    <x v="3"/>
    <x v="78"/>
    <x v="2"/>
    <x v="0"/>
    <x v="3"/>
    <x v="4"/>
    <x v="0"/>
    <x v="57"/>
    <x v="579"/>
    <x v="2"/>
    <x v="28"/>
    <x v="73"/>
    <x v="38"/>
    <x v="245"/>
    <x v="178"/>
    <x v="12"/>
    <x v="0"/>
    <x v="0"/>
    <x v="0"/>
    <x v="35"/>
    <x v="3"/>
    <x v="0"/>
    <x v="261"/>
    <x v="762"/>
    <x v="38"/>
    <x v="5"/>
    <x v="545"/>
    <x v="380"/>
    <x v="506"/>
    <x v="0"/>
    <x v="334"/>
    <x v="0"/>
    <x v="63"/>
    <x v="130"/>
    <x v="213"/>
    <x v="6"/>
    <x v="525"/>
    <x v="684"/>
    <x v="1157"/>
  </r>
  <r>
    <x v="3"/>
    <x v="78"/>
    <x v="2"/>
    <x v="0"/>
    <x v="36"/>
    <x v="5"/>
    <x v="1"/>
    <x v="77"/>
    <x v="580"/>
    <x v="2"/>
    <x v="20"/>
    <x v="22"/>
    <x v="14"/>
    <x v="86"/>
    <x v="46"/>
    <x v="53"/>
    <x v="100"/>
    <x v="0"/>
    <x v="0"/>
    <x v="79"/>
    <x v="3"/>
    <x v="0"/>
    <x v="120"/>
    <x v="566"/>
    <x v="45"/>
    <x v="12"/>
    <x v="449"/>
    <x v="10"/>
    <x v="775"/>
    <x v="476"/>
    <x v="4"/>
    <x v="0"/>
    <x v="42"/>
    <x v="130"/>
    <x v="68"/>
    <x v="6"/>
    <x v="631"/>
    <x v="62"/>
    <x v="219"/>
  </r>
  <r>
    <x v="3"/>
    <x v="78"/>
    <x v="6"/>
    <x v="8"/>
    <x v="62"/>
    <x v="11"/>
    <x v="19"/>
    <x v="30"/>
    <x v="1204"/>
    <x v="0"/>
    <x v="42"/>
    <x v="221"/>
    <x v="207"/>
    <x v="944"/>
    <x v="484"/>
    <x v="0"/>
    <x v="0"/>
    <x v="0"/>
    <x v="0"/>
    <x v="44"/>
    <x v="0"/>
    <x v="0"/>
    <x v="577"/>
    <x v="186"/>
    <x v="27"/>
    <x v="0"/>
    <x v="0"/>
    <x v="646"/>
    <x v="190"/>
    <x v="0"/>
    <x v="722"/>
    <x v="12"/>
    <x v="94"/>
    <x v="108"/>
    <x v="501"/>
    <x v="3"/>
    <x v="51"/>
    <x v="730"/>
    <x v="1182"/>
  </r>
  <r>
    <x v="3"/>
    <x v="78"/>
    <x v="6"/>
    <x v="1"/>
    <x v="9"/>
    <x v="11"/>
    <x v="19"/>
    <x v="72"/>
    <x v="556"/>
    <x v="0"/>
    <x v="42"/>
    <x v="176"/>
    <x v="143"/>
    <x v="595"/>
    <x v="297"/>
    <x v="0"/>
    <x v="0"/>
    <x v="36"/>
    <x v="0"/>
    <x v="24"/>
    <x v="0"/>
    <x v="4"/>
    <x v="130"/>
    <x v="204"/>
    <x v="4"/>
    <x v="0"/>
    <x v="0"/>
    <x v="646"/>
    <x v="229"/>
    <x v="0"/>
    <x v="680"/>
    <x v="25"/>
    <x v="77"/>
    <x v="71"/>
    <x v="257"/>
    <x v="7"/>
    <x v="653"/>
    <x v="692"/>
    <x v="1017"/>
  </r>
  <r>
    <x v="3"/>
    <x v="78"/>
    <x v="3"/>
    <x v="7"/>
    <x v="20"/>
    <x v="11"/>
    <x v="10"/>
    <x v="29"/>
    <x v="1220"/>
    <x v="0"/>
    <x v="42"/>
    <x v="184"/>
    <x v="156"/>
    <x v="845"/>
    <x v="374"/>
    <x v="0"/>
    <x v="0"/>
    <x v="0"/>
    <x v="0"/>
    <x v="25"/>
    <x v="0"/>
    <x v="0"/>
    <x v="442"/>
    <x v="264"/>
    <x v="11"/>
    <x v="0"/>
    <x v="0"/>
    <x v="646"/>
    <x v="191"/>
    <x v="0"/>
    <x v="721"/>
    <x v="9"/>
    <x v="97"/>
    <x v="117"/>
    <x v="356"/>
    <x v="2"/>
    <x v="326"/>
    <x v="137"/>
    <x v="337"/>
  </r>
  <r>
    <x v="3"/>
    <x v="78"/>
    <x v="3"/>
    <x v="4"/>
    <x v="58"/>
    <x v="11"/>
    <x v="8"/>
    <x v="31"/>
    <x v="1213"/>
    <x v="0"/>
    <x v="42"/>
    <x v="184"/>
    <x v="156"/>
    <x v="707"/>
    <x v="341"/>
    <x v="0"/>
    <x v="0"/>
    <x v="0"/>
    <x v="0"/>
    <x v="0"/>
    <x v="0"/>
    <x v="0"/>
    <x v="412"/>
    <x v="169"/>
    <x v="15"/>
    <x v="0"/>
    <x v="0"/>
    <x v="646"/>
    <x v="0"/>
    <x v="0"/>
    <x v="958"/>
    <x v="9"/>
    <x v="97"/>
    <x v="117"/>
    <x v="314"/>
    <x v="2"/>
    <x v="378"/>
    <x v="55"/>
    <x v="197"/>
  </r>
  <r>
    <x v="3"/>
    <x v="78"/>
    <x v="3"/>
    <x v="5"/>
    <x v="11"/>
    <x v="6"/>
    <x v="6"/>
    <x v="39"/>
    <x v="1233"/>
    <x v="0"/>
    <x v="42"/>
    <x v="138"/>
    <x v="57"/>
    <x v="410"/>
    <x v="188"/>
    <x v="0"/>
    <x v="109"/>
    <x v="0"/>
    <x v="0"/>
    <x v="123"/>
    <x v="0"/>
    <x v="0"/>
    <x v="271"/>
    <x v="192"/>
    <x v="44"/>
    <x v="1"/>
    <x v="116"/>
    <x v="24"/>
    <x v="771"/>
    <x v="471"/>
    <x v="6"/>
    <x v="0"/>
    <x v="102"/>
    <x v="130"/>
    <x v="98"/>
    <x v="4"/>
    <x v="604"/>
    <x v="15"/>
    <x v="96"/>
  </r>
  <r>
    <x v="3"/>
    <x v="78"/>
    <x v="3"/>
    <x v="5"/>
    <x v="12"/>
    <x v="7"/>
    <x v="7"/>
    <x v="27"/>
    <x v="1233"/>
    <x v="0"/>
    <x v="42"/>
    <x v="163"/>
    <x v="124"/>
    <x v="805"/>
    <x v="351"/>
    <x v="0"/>
    <x v="40"/>
    <x v="0"/>
    <x v="0"/>
    <x v="40"/>
    <x v="0"/>
    <x v="0"/>
    <x v="419"/>
    <x v="665"/>
    <x v="44"/>
    <x v="1"/>
    <x v="413"/>
    <x v="428"/>
    <x v="290"/>
    <x v="173"/>
    <x v="613"/>
    <x v="0"/>
    <x v="102"/>
    <x v="130"/>
    <x v="329"/>
    <x v="4"/>
    <x v="388"/>
    <x v="499"/>
    <x v="946"/>
  </r>
  <r>
    <x v="3"/>
    <x v="78"/>
    <x v="3"/>
    <x v="3"/>
    <x v="72"/>
    <x v="11"/>
    <x v="5"/>
    <x v="10"/>
    <x v="584"/>
    <x v="0"/>
    <x v="42"/>
    <x v="153"/>
    <x v="86"/>
    <x v="409"/>
    <x v="224"/>
    <x v="0"/>
    <x v="5"/>
    <x v="0"/>
    <x v="0"/>
    <x v="10"/>
    <x v="0"/>
    <x v="0"/>
    <x v="311"/>
    <x v="217"/>
    <x v="38"/>
    <x v="3"/>
    <x v="202"/>
    <x v="539"/>
    <x v="150"/>
    <x v="24"/>
    <x v="768"/>
    <x v="0"/>
    <x v="102"/>
    <x v="130"/>
    <x v="140"/>
    <x v="5"/>
    <x v="560"/>
    <x v="65"/>
    <x v="274"/>
  </r>
  <r>
    <x v="3"/>
    <x v="78"/>
    <x v="3"/>
    <x v="0"/>
    <x v="36"/>
    <x v="5"/>
    <x v="1"/>
    <x v="77"/>
    <x v="581"/>
    <x v="0"/>
    <x v="42"/>
    <x v="107"/>
    <x v="29"/>
    <x v="365"/>
    <x v="200"/>
    <x v="0"/>
    <x v="60"/>
    <x v="0"/>
    <x v="0"/>
    <x v="113"/>
    <x v="3"/>
    <x v="0"/>
    <x v="285"/>
    <x v="682"/>
    <x v="45"/>
    <x v="12"/>
    <x v="695"/>
    <x v="90"/>
    <x v="762"/>
    <x v="361"/>
    <x v="14"/>
    <x v="0"/>
    <x v="102"/>
    <x v="130"/>
    <x v="110"/>
    <x v="6"/>
    <x v="594"/>
    <x v="374"/>
    <x v="650"/>
  </r>
  <r>
    <x v="3"/>
    <x v="78"/>
    <x v="5"/>
    <x v="0"/>
    <x v="36"/>
    <x v="5"/>
    <x v="1"/>
    <x v="77"/>
    <x v="582"/>
    <x v="4"/>
    <x v="42"/>
    <x v="107"/>
    <x v="29"/>
    <x v="302"/>
    <x v="193"/>
    <x v="33"/>
    <x v="36"/>
    <x v="0"/>
    <x v="0"/>
    <x v="77"/>
    <x v="3"/>
    <x v="0"/>
    <x v="277"/>
    <x v="639"/>
    <x v="45"/>
    <x v="12"/>
    <x v="659"/>
    <x v="150"/>
    <x v="707"/>
    <x v="288"/>
    <x v="71"/>
    <x v="0"/>
    <x v="102"/>
    <x v="130"/>
    <x v="105"/>
    <x v="6"/>
    <x v="601"/>
    <x v="295"/>
    <x v="599"/>
  </r>
  <r>
    <x v="3"/>
    <x v="78"/>
    <x v="5"/>
    <x v="5"/>
    <x v="12"/>
    <x v="7"/>
    <x v="7"/>
    <x v="27"/>
    <x v="1235"/>
    <x v="4"/>
    <x v="42"/>
    <x v="163"/>
    <x v="124"/>
    <x v="826"/>
    <x v="359"/>
    <x v="0"/>
    <x v="0"/>
    <x v="0"/>
    <x v="0"/>
    <x v="45"/>
    <x v="5"/>
    <x v="0"/>
    <x v="426"/>
    <x v="693"/>
    <x v="44"/>
    <x v="1"/>
    <x v="441"/>
    <x v="491"/>
    <x v="310"/>
    <x v="0"/>
    <x v="590"/>
    <x v="0"/>
    <x v="102"/>
    <x v="130"/>
    <x v="338"/>
    <x v="4"/>
    <x v="376"/>
    <x v="546"/>
    <x v="1007"/>
  </r>
  <r>
    <x v="3"/>
    <x v="78"/>
    <x v="5"/>
    <x v="3"/>
    <x v="72"/>
    <x v="11"/>
    <x v="5"/>
    <x v="10"/>
    <x v="585"/>
    <x v="4"/>
    <x v="42"/>
    <x v="153"/>
    <x v="86"/>
    <x v="625"/>
    <x v="312"/>
    <x v="0"/>
    <x v="0"/>
    <x v="0"/>
    <x v="0"/>
    <x v="10"/>
    <x v="3"/>
    <x v="0"/>
    <x v="390"/>
    <x v="676"/>
    <x v="38"/>
    <x v="3"/>
    <x v="462"/>
    <x v="566"/>
    <x v="117"/>
    <x v="0"/>
    <x v="809"/>
    <x v="0"/>
    <x v="102"/>
    <x v="130"/>
    <x v="280"/>
    <x v="5"/>
    <x v="458"/>
    <x v="496"/>
    <x v="954"/>
  </r>
  <r>
    <x v="3"/>
    <x v="78"/>
    <x v="5"/>
    <x v="7"/>
    <x v="20"/>
    <x v="11"/>
    <x v="10"/>
    <x v="29"/>
    <x v="1231"/>
    <x v="4"/>
    <x v="42"/>
    <x v="184"/>
    <x v="156"/>
    <x v="893"/>
    <x v="429"/>
    <x v="0"/>
    <x v="0"/>
    <x v="0"/>
    <x v="0"/>
    <x v="0"/>
    <x v="0"/>
    <x v="0"/>
    <x v="512"/>
    <x v="531"/>
    <x v="11"/>
    <x v="0"/>
    <x v="0"/>
    <x v="646"/>
    <x v="0"/>
    <x v="0"/>
    <x v="958"/>
    <x v="5"/>
    <x v="100"/>
    <x v="127"/>
    <x v="431"/>
    <x v="2"/>
    <x v="242"/>
    <x v="330"/>
    <x v="596"/>
  </r>
  <r>
    <x v="3"/>
    <x v="78"/>
    <x v="5"/>
    <x v="4"/>
    <x v="58"/>
    <x v="11"/>
    <x v="8"/>
    <x v="31"/>
    <x v="1216"/>
    <x v="4"/>
    <x v="42"/>
    <x v="184"/>
    <x v="156"/>
    <x v="780"/>
    <x v="351"/>
    <x v="0"/>
    <x v="0"/>
    <x v="0"/>
    <x v="0"/>
    <x v="0"/>
    <x v="0"/>
    <x v="0"/>
    <x v="419"/>
    <x v="197"/>
    <x v="15"/>
    <x v="0"/>
    <x v="0"/>
    <x v="646"/>
    <x v="0"/>
    <x v="0"/>
    <x v="958"/>
    <x v="5"/>
    <x v="100"/>
    <x v="127"/>
    <x v="329"/>
    <x v="2"/>
    <x v="370"/>
    <x v="61"/>
    <x v="245"/>
  </r>
  <r>
    <x v="3"/>
    <x v="78"/>
    <x v="5"/>
    <x v="5"/>
    <x v="11"/>
    <x v="6"/>
    <x v="6"/>
    <x v="39"/>
    <x v="1235"/>
    <x v="4"/>
    <x v="42"/>
    <x v="138"/>
    <x v="57"/>
    <x v="493"/>
    <x v="259"/>
    <x v="0"/>
    <x v="14"/>
    <x v="0"/>
    <x v="0"/>
    <x v="80"/>
    <x v="4"/>
    <x v="0"/>
    <x v="341"/>
    <x v="612"/>
    <x v="44"/>
    <x v="1"/>
    <x v="172"/>
    <x v="284"/>
    <x v="640"/>
    <x v="63"/>
    <x v="167"/>
    <x v="0"/>
    <x v="102"/>
    <x v="130"/>
    <x v="188"/>
    <x v="4"/>
    <x v="537"/>
    <x v="73"/>
    <x v="273"/>
  </r>
  <r>
    <x v="3"/>
    <x v="79"/>
    <x v="2"/>
    <x v="5"/>
    <x v="11"/>
    <x v="6"/>
    <x v="6"/>
    <x v="39"/>
    <x v="1240"/>
    <x v="2"/>
    <x v="27"/>
    <x v="99"/>
    <x v="109"/>
    <x v="301"/>
    <x v="197"/>
    <x v="0"/>
    <x v="12"/>
    <x v="0"/>
    <x v="0"/>
    <x v="34"/>
    <x v="2"/>
    <x v="0"/>
    <x v="281"/>
    <x v="711"/>
    <x v="44"/>
    <x v="1"/>
    <x v="92"/>
    <x v="377"/>
    <x v="432"/>
    <x v="104"/>
    <x v="436"/>
    <x v="0"/>
    <x v="58"/>
    <x v="130"/>
    <x v="316"/>
    <x v="4"/>
    <x v="409"/>
    <x v="413"/>
    <x v="801"/>
  </r>
  <r>
    <x v="3"/>
    <x v="79"/>
    <x v="2"/>
    <x v="3"/>
    <x v="72"/>
    <x v="11"/>
    <x v="5"/>
    <x v="10"/>
    <x v="587"/>
    <x v="2"/>
    <x v="27"/>
    <x v="137"/>
    <x v="147"/>
    <x v="487"/>
    <x v="265"/>
    <x v="0"/>
    <x v="0"/>
    <x v="0"/>
    <x v="0"/>
    <x v="13"/>
    <x v="3"/>
    <x v="0"/>
    <x v="346"/>
    <x v="629"/>
    <x v="38"/>
    <x v="3"/>
    <x v="298"/>
    <x v="542"/>
    <x v="163"/>
    <x v="0"/>
    <x v="756"/>
    <x v="0"/>
    <x v="58"/>
    <x v="130"/>
    <x v="422"/>
    <x v="5"/>
    <x v="287"/>
    <x v="708"/>
    <x v="1180"/>
  </r>
  <r>
    <x v="3"/>
    <x v="79"/>
    <x v="2"/>
    <x v="7"/>
    <x v="20"/>
    <x v="11"/>
    <x v="10"/>
    <x v="29"/>
    <x v="1236"/>
    <x v="2"/>
    <x v="27"/>
    <x v="177"/>
    <x v="184"/>
    <x v="838"/>
    <x v="371"/>
    <x v="0"/>
    <x v="0"/>
    <x v="0"/>
    <x v="0"/>
    <x v="0"/>
    <x v="0"/>
    <x v="0"/>
    <x v="439"/>
    <x v="466"/>
    <x v="11"/>
    <x v="0"/>
    <x v="0"/>
    <x v="646"/>
    <x v="0"/>
    <x v="0"/>
    <x v="958"/>
    <x v="0"/>
    <x v="58"/>
    <x v="130"/>
    <x v="499"/>
    <x v="2"/>
    <x v="78"/>
    <x v="682"/>
    <x v="1159"/>
  </r>
  <r>
    <x v="3"/>
    <x v="79"/>
    <x v="2"/>
    <x v="4"/>
    <x v="58"/>
    <x v="11"/>
    <x v="8"/>
    <x v="31"/>
    <x v="1225"/>
    <x v="2"/>
    <x v="27"/>
    <x v="177"/>
    <x v="184"/>
    <x v="584"/>
    <x v="295"/>
    <x v="0"/>
    <x v="0"/>
    <x v="0"/>
    <x v="0"/>
    <x v="0"/>
    <x v="0"/>
    <x v="0"/>
    <x v="376"/>
    <x v="184"/>
    <x v="15"/>
    <x v="0"/>
    <x v="0"/>
    <x v="646"/>
    <x v="0"/>
    <x v="0"/>
    <x v="958"/>
    <x v="0"/>
    <x v="58"/>
    <x v="130"/>
    <x v="464"/>
    <x v="2"/>
    <x v="158"/>
    <x v="478"/>
    <x v="922"/>
  </r>
  <r>
    <x v="3"/>
    <x v="79"/>
    <x v="2"/>
    <x v="5"/>
    <x v="12"/>
    <x v="7"/>
    <x v="7"/>
    <x v="27"/>
    <x v="1240"/>
    <x v="2"/>
    <x v="27"/>
    <x v="137"/>
    <x v="147"/>
    <x v="534"/>
    <x v="279"/>
    <x v="32"/>
    <x v="0"/>
    <x v="0"/>
    <x v="0"/>
    <x v="34"/>
    <x v="3"/>
    <x v="0"/>
    <x v="363"/>
    <x v="692"/>
    <x v="44"/>
    <x v="1"/>
    <x v="226"/>
    <x v="300"/>
    <x v="313"/>
    <x v="0"/>
    <x v="583"/>
    <x v="0"/>
    <x v="58"/>
    <x v="130"/>
    <x v="451"/>
    <x v="4"/>
    <x v="238"/>
    <x v="698"/>
    <x v="1168"/>
  </r>
  <r>
    <x v="3"/>
    <x v="79"/>
    <x v="2"/>
    <x v="0"/>
    <x v="36"/>
    <x v="5"/>
    <x v="1"/>
    <x v="77"/>
    <x v="586"/>
    <x v="2"/>
    <x v="27"/>
    <x v="83"/>
    <x v="53"/>
    <x v="215"/>
    <x v="154"/>
    <x v="26"/>
    <x v="43"/>
    <x v="0"/>
    <x v="0"/>
    <x v="49"/>
    <x v="3"/>
    <x v="0"/>
    <x v="233"/>
    <x v="662"/>
    <x v="45"/>
    <x v="12"/>
    <x v="609"/>
    <x v="132"/>
    <x v="657"/>
    <x v="357"/>
    <x v="151"/>
    <x v="0"/>
    <x v="58"/>
    <x v="130"/>
    <x v="197"/>
    <x v="6"/>
    <x v="534"/>
    <x v="673"/>
    <x v="1152"/>
  </r>
  <r>
    <x v="3"/>
    <x v="79"/>
    <x v="6"/>
    <x v="8"/>
    <x v="62"/>
    <x v="11"/>
    <x v="19"/>
    <x v="30"/>
    <x v="1218"/>
    <x v="2"/>
    <x v="27"/>
    <x v="184"/>
    <x v="195"/>
    <x v="927"/>
    <x v="465"/>
    <x v="0"/>
    <x v="0"/>
    <x v="0"/>
    <x v="0"/>
    <x v="28"/>
    <x v="0"/>
    <x v="1"/>
    <x v="374"/>
    <x v="730"/>
    <x v="27"/>
    <x v="0"/>
    <x v="0"/>
    <x v="646"/>
    <x v="155"/>
    <x v="0"/>
    <x v="763"/>
    <x v="0"/>
    <x v="58"/>
    <x v="130"/>
    <x v="602"/>
    <x v="3"/>
    <x v="170"/>
    <x v="619"/>
    <x v="1100"/>
  </r>
  <r>
    <x v="3"/>
    <x v="79"/>
    <x v="6"/>
    <x v="9"/>
    <x v="24"/>
    <x v="11"/>
    <x v="17"/>
    <x v="32"/>
    <x v="1213"/>
    <x v="2"/>
    <x v="27"/>
    <x v="193"/>
    <x v="216"/>
    <x v="916"/>
    <x v="453"/>
    <x v="0"/>
    <x v="0"/>
    <x v="0"/>
    <x v="0"/>
    <x v="4"/>
    <x v="0"/>
    <x v="1"/>
    <x v="353"/>
    <x v="515"/>
    <x v="15"/>
    <x v="0"/>
    <x v="0"/>
    <x v="646"/>
    <x v="25"/>
    <x v="0"/>
    <x v="929"/>
    <x v="0"/>
    <x v="58"/>
    <x v="130"/>
    <x v="579"/>
    <x v="1"/>
    <x v="272"/>
    <x v="34"/>
    <x v="195"/>
  </r>
  <r>
    <x v="3"/>
    <x v="80"/>
    <x v="2"/>
    <x v="4"/>
    <x v="58"/>
    <x v="11"/>
    <x v="8"/>
    <x v="31"/>
    <x v="1225"/>
    <x v="0"/>
    <x v="14"/>
    <x v="70"/>
    <x v="156"/>
    <x v="150"/>
    <x v="121"/>
    <x v="0"/>
    <x v="0"/>
    <x v="0"/>
    <x v="0"/>
    <x v="0"/>
    <x v="0"/>
    <x v="0"/>
    <x v="204"/>
    <x v="407"/>
    <x v="15"/>
    <x v="0"/>
    <x v="0"/>
    <x v="646"/>
    <x v="0"/>
    <x v="0"/>
    <x v="958"/>
    <x v="9"/>
    <x v="20"/>
    <x v="54"/>
    <x v="391"/>
    <x v="2"/>
    <x v="94"/>
    <x v="665"/>
    <x v="468"/>
  </r>
  <r>
    <x v="3"/>
    <x v="80"/>
    <x v="2"/>
    <x v="7"/>
    <x v="20"/>
    <x v="11"/>
    <x v="10"/>
    <x v="29"/>
    <x v="1237"/>
    <x v="0"/>
    <x v="20"/>
    <x v="113"/>
    <x v="160"/>
    <x v="251"/>
    <x v="182"/>
    <x v="0"/>
    <x v="0"/>
    <x v="0"/>
    <x v="0"/>
    <x v="2"/>
    <x v="0"/>
    <x v="0"/>
    <x v="265"/>
    <x v="510"/>
    <x v="11"/>
    <x v="0"/>
    <x v="0"/>
    <x v="646"/>
    <x v="36"/>
    <x v="0"/>
    <x v="916"/>
    <x v="9"/>
    <x v="33"/>
    <x v="72"/>
    <x v="430"/>
    <x v="2"/>
    <x v="114"/>
    <x v="625"/>
    <x v="590"/>
  </r>
  <r>
    <x v="3"/>
    <x v="80"/>
    <x v="2"/>
    <x v="3"/>
    <x v="72"/>
    <x v="11"/>
    <x v="5"/>
    <x v="10"/>
    <x v="592"/>
    <x v="0"/>
    <x v="42"/>
    <x v="153"/>
    <x v="86"/>
    <x v="489"/>
    <x v="266"/>
    <x v="54"/>
    <x v="4"/>
    <x v="0"/>
    <x v="0"/>
    <x v="10"/>
    <x v="3"/>
    <x v="0"/>
    <x v="347"/>
    <x v="403"/>
    <x v="38"/>
    <x v="3"/>
    <x v="339"/>
    <x v="181"/>
    <x v="135"/>
    <x v="16"/>
    <x v="786"/>
    <x v="0"/>
    <x v="102"/>
    <x v="130"/>
    <x v="194"/>
    <x v="5"/>
    <x v="536"/>
    <x v="177"/>
    <x v="486"/>
  </r>
  <r>
    <x v="3"/>
    <x v="80"/>
    <x v="2"/>
    <x v="5"/>
    <x v="11"/>
    <x v="6"/>
    <x v="6"/>
    <x v="39"/>
    <x v="1244"/>
    <x v="0"/>
    <x v="42"/>
    <x v="138"/>
    <x v="57"/>
    <x v="404"/>
    <x v="209"/>
    <x v="0"/>
    <x v="71"/>
    <x v="0"/>
    <x v="0"/>
    <x v="68"/>
    <x v="6"/>
    <x v="0"/>
    <x v="295"/>
    <x v="282"/>
    <x v="44"/>
    <x v="1"/>
    <x v="115"/>
    <x v="127"/>
    <x v="653"/>
    <x v="391"/>
    <x v="162"/>
    <x v="0"/>
    <x v="102"/>
    <x v="130"/>
    <x v="123"/>
    <x v="4"/>
    <x v="575"/>
    <x v="24"/>
    <x v="147"/>
  </r>
  <r>
    <x v="3"/>
    <x v="80"/>
    <x v="2"/>
    <x v="5"/>
    <x v="12"/>
    <x v="7"/>
    <x v="7"/>
    <x v="27"/>
    <x v="1244"/>
    <x v="0"/>
    <x v="42"/>
    <x v="163"/>
    <x v="124"/>
    <x v="516"/>
    <x v="266"/>
    <x v="0"/>
    <x v="58"/>
    <x v="0"/>
    <x v="0"/>
    <x v="55"/>
    <x v="7"/>
    <x v="0"/>
    <x v="347"/>
    <x v="230"/>
    <x v="44"/>
    <x v="1"/>
    <x v="192"/>
    <x v="222"/>
    <x v="516"/>
    <x v="307"/>
    <x v="329"/>
    <x v="0"/>
    <x v="102"/>
    <x v="130"/>
    <x v="194"/>
    <x v="4"/>
    <x v="536"/>
    <x v="79"/>
    <x v="308"/>
  </r>
  <r>
    <x v="3"/>
    <x v="80"/>
    <x v="2"/>
    <x v="0"/>
    <x v="35"/>
    <x v="4"/>
    <x v="0"/>
    <x v="63"/>
    <x v="588"/>
    <x v="0"/>
    <x v="42"/>
    <x v="107"/>
    <x v="29"/>
    <x v="111"/>
    <x v="84"/>
    <x v="0"/>
    <x v="58"/>
    <x v="0"/>
    <x v="0"/>
    <x v="45"/>
    <x v="3"/>
    <x v="0"/>
    <x v="172"/>
    <x v="50"/>
    <x v="45"/>
    <x v="6"/>
    <x v="251"/>
    <x v="60"/>
    <x v="747"/>
    <x v="445"/>
    <x v="34"/>
    <x v="42"/>
    <x v="55"/>
    <x v="31"/>
    <x v="20"/>
    <x v="6"/>
    <x v="624"/>
    <x v="118"/>
    <x v="48"/>
  </r>
  <r>
    <x v="3"/>
    <x v="80"/>
    <x v="6"/>
    <x v="8"/>
    <x v="62"/>
    <x v="11"/>
    <x v="19"/>
    <x v="30"/>
    <x v="1225"/>
    <x v="0"/>
    <x v="42"/>
    <x v="221"/>
    <x v="207"/>
    <x v="917"/>
    <x v="454"/>
    <x v="0"/>
    <x v="0"/>
    <x v="0"/>
    <x v="0"/>
    <x v="19"/>
    <x v="0"/>
    <x v="0"/>
    <x v="546"/>
    <x v="75"/>
    <x v="27"/>
    <x v="0"/>
    <x v="0"/>
    <x v="646"/>
    <x v="128"/>
    <x v="0"/>
    <x v="797"/>
    <x v="12"/>
    <x v="94"/>
    <x v="108"/>
    <x v="466"/>
    <x v="3"/>
    <x v="120"/>
    <x v="675"/>
    <x v="1108"/>
  </r>
  <r>
    <x v="3"/>
    <x v="80"/>
    <x v="6"/>
    <x v="1"/>
    <x v="65"/>
    <x v="11"/>
    <x v="19"/>
    <x v="1"/>
    <x v="539"/>
    <x v="0"/>
    <x v="42"/>
    <x v="132"/>
    <x v="48"/>
    <x v="176"/>
    <x v="137"/>
    <x v="0"/>
    <x v="0"/>
    <x v="55"/>
    <x v="0"/>
    <x v="31"/>
    <x v="0"/>
    <x v="4"/>
    <x v="73"/>
    <x v="71"/>
    <x v="30"/>
    <x v="4"/>
    <x v="284"/>
    <x v="436"/>
    <x v="577"/>
    <x v="0"/>
    <x v="246"/>
    <x v="12"/>
    <x v="94"/>
    <x v="108"/>
    <x v="49"/>
    <x v="7"/>
    <x v="782"/>
    <x v="14"/>
    <x v="68"/>
  </r>
  <r>
    <x v="3"/>
    <x v="80"/>
    <x v="3"/>
    <x v="0"/>
    <x v="35"/>
    <x v="4"/>
    <x v="0"/>
    <x v="63"/>
    <x v="590"/>
    <x v="0"/>
    <x v="42"/>
    <x v="107"/>
    <x v="29"/>
    <x v="238"/>
    <x v="173"/>
    <x v="2"/>
    <x v="26"/>
    <x v="0"/>
    <x v="0"/>
    <x v="45"/>
    <x v="0"/>
    <x v="0"/>
    <x v="252"/>
    <x v="422"/>
    <x v="45"/>
    <x v="6"/>
    <x v="551"/>
    <x v="253"/>
    <x v="607"/>
    <x v="260"/>
    <x v="214"/>
    <x v="7"/>
    <x v="99"/>
    <x v="122"/>
    <x v="84"/>
    <x v="6"/>
    <x v="616"/>
    <x v="187"/>
    <x v="384"/>
  </r>
  <r>
    <x v="3"/>
    <x v="80"/>
    <x v="3"/>
    <x v="3"/>
    <x v="72"/>
    <x v="11"/>
    <x v="5"/>
    <x v="10"/>
    <x v="593"/>
    <x v="0"/>
    <x v="42"/>
    <x v="153"/>
    <x v="86"/>
    <x v="531"/>
    <x v="275"/>
    <x v="0"/>
    <x v="12"/>
    <x v="0"/>
    <x v="0"/>
    <x v="10"/>
    <x v="0"/>
    <x v="0"/>
    <x v="359"/>
    <x v="501"/>
    <x v="38"/>
    <x v="3"/>
    <x v="354"/>
    <x v="530"/>
    <x v="130"/>
    <x v="45"/>
    <x v="795"/>
    <x v="0"/>
    <x v="102"/>
    <x v="130"/>
    <x v="215"/>
    <x v="5"/>
    <x v="524"/>
    <x v="248"/>
    <x v="587"/>
  </r>
  <r>
    <x v="3"/>
    <x v="80"/>
    <x v="3"/>
    <x v="5"/>
    <x v="11"/>
    <x v="6"/>
    <x v="6"/>
    <x v="39"/>
    <x v="1246"/>
    <x v="0"/>
    <x v="42"/>
    <x v="138"/>
    <x v="57"/>
    <x v="506"/>
    <x v="266"/>
    <x v="0"/>
    <x v="22"/>
    <x v="0"/>
    <x v="0"/>
    <x v="70"/>
    <x v="0"/>
    <x v="0"/>
    <x v="347"/>
    <x v="626"/>
    <x v="44"/>
    <x v="1"/>
    <x v="183"/>
    <x v="322"/>
    <x v="602"/>
    <x v="123"/>
    <x v="217"/>
    <x v="0"/>
    <x v="102"/>
    <x v="130"/>
    <x v="194"/>
    <x v="4"/>
    <x v="536"/>
    <x v="79"/>
    <x v="299"/>
  </r>
  <r>
    <x v="3"/>
    <x v="80"/>
    <x v="3"/>
    <x v="5"/>
    <x v="12"/>
    <x v="7"/>
    <x v="7"/>
    <x v="27"/>
    <x v="1246"/>
    <x v="0"/>
    <x v="42"/>
    <x v="163"/>
    <x v="124"/>
    <x v="821"/>
    <x v="356"/>
    <x v="0"/>
    <x v="68"/>
    <x v="0"/>
    <x v="0"/>
    <x v="40"/>
    <x v="0"/>
    <x v="0"/>
    <x v="423"/>
    <x v="678"/>
    <x v="44"/>
    <x v="1"/>
    <x v="433"/>
    <x v="367"/>
    <x v="288"/>
    <x v="269"/>
    <x v="618"/>
    <x v="0"/>
    <x v="102"/>
    <x v="130"/>
    <x v="335"/>
    <x v="4"/>
    <x v="381"/>
    <x v="521"/>
    <x v="992"/>
  </r>
  <r>
    <x v="3"/>
    <x v="80"/>
    <x v="3"/>
    <x v="7"/>
    <x v="20"/>
    <x v="11"/>
    <x v="10"/>
    <x v="29"/>
    <x v="1241"/>
    <x v="0"/>
    <x v="42"/>
    <x v="184"/>
    <x v="156"/>
    <x v="532"/>
    <x v="279"/>
    <x v="0"/>
    <x v="0"/>
    <x v="0"/>
    <x v="0"/>
    <x v="0"/>
    <x v="0"/>
    <x v="0"/>
    <x v="363"/>
    <x v="92"/>
    <x v="11"/>
    <x v="0"/>
    <x v="0"/>
    <x v="646"/>
    <x v="0"/>
    <x v="0"/>
    <x v="958"/>
    <x v="9"/>
    <x v="97"/>
    <x v="117"/>
    <x v="220"/>
    <x v="2"/>
    <x v="480"/>
    <x v="20"/>
    <x v="117"/>
  </r>
  <r>
    <x v="3"/>
    <x v="80"/>
    <x v="3"/>
    <x v="4"/>
    <x v="58"/>
    <x v="11"/>
    <x v="8"/>
    <x v="31"/>
    <x v="1227"/>
    <x v="0"/>
    <x v="42"/>
    <x v="184"/>
    <x v="156"/>
    <x v="865"/>
    <x v="397"/>
    <x v="0"/>
    <x v="0"/>
    <x v="0"/>
    <x v="0"/>
    <x v="0"/>
    <x v="0"/>
    <x v="0"/>
    <x v="466"/>
    <x v="339"/>
    <x v="15"/>
    <x v="0"/>
    <x v="0"/>
    <x v="646"/>
    <x v="0"/>
    <x v="0"/>
    <x v="958"/>
    <x v="9"/>
    <x v="97"/>
    <x v="117"/>
    <x v="379"/>
    <x v="2"/>
    <x v="290"/>
    <x v="219"/>
    <x v="407"/>
  </r>
  <r>
    <x v="3"/>
    <x v="80"/>
    <x v="5"/>
    <x v="0"/>
    <x v="35"/>
    <x v="4"/>
    <x v="0"/>
    <x v="63"/>
    <x v="591"/>
    <x v="2"/>
    <x v="42"/>
    <x v="28"/>
    <x v="3"/>
    <x v="31"/>
    <x v="30"/>
    <x v="0"/>
    <x v="0"/>
    <x v="0"/>
    <x v="0"/>
    <x v="14"/>
    <x v="0"/>
    <x v="0"/>
    <x v="95"/>
    <x v="87"/>
    <x v="45"/>
    <x v="6"/>
    <x v="56"/>
    <x v="344"/>
    <x v="679"/>
    <x v="0"/>
    <x v="103"/>
    <x v="57"/>
    <x v="27"/>
    <x v="7"/>
    <x v="5"/>
    <x v="6"/>
    <x v="620"/>
    <x v="154"/>
    <x v="11"/>
  </r>
  <r>
    <x v="3"/>
    <x v="80"/>
    <x v="5"/>
    <x v="3"/>
    <x v="72"/>
    <x v="11"/>
    <x v="5"/>
    <x v="10"/>
    <x v="592"/>
    <x v="2"/>
    <x v="42"/>
    <x v="153"/>
    <x v="86"/>
    <x v="483"/>
    <x v="266"/>
    <x v="0"/>
    <x v="0"/>
    <x v="0"/>
    <x v="0"/>
    <x v="4"/>
    <x v="3"/>
    <x v="0"/>
    <x v="347"/>
    <x v="403"/>
    <x v="38"/>
    <x v="3"/>
    <x v="296"/>
    <x v="587"/>
    <x v="60"/>
    <x v="0"/>
    <x v="885"/>
    <x v="0"/>
    <x v="102"/>
    <x v="130"/>
    <x v="194"/>
    <x v="5"/>
    <x v="536"/>
    <x v="177"/>
    <x v="495"/>
  </r>
  <r>
    <x v="3"/>
    <x v="80"/>
    <x v="5"/>
    <x v="5"/>
    <x v="11"/>
    <x v="6"/>
    <x v="6"/>
    <x v="39"/>
    <x v="1251"/>
    <x v="2"/>
    <x v="42"/>
    <x v="138"/>
    <x v="57"/>
    <x v="94"/>
    <x v="79"/>
    <x v="0"/>
    <x v="0"/>
    <x v="0"/>
    <x v="0"/>
    <x v="19"/>
    <x v="0"/>
    <x v="0"/>
    <x v="169"/>
    <x v="17"/>
    <x v="44"/>
    <x v="1"/>
    <x v="19"/>
    <x v="440"/>
    <x v="568"/>
    <x v="0"/>
    <x v="258"/>
    <x v="55"/>
    <x v="29"/>
    <x v="9"/>
    <x v="19"/>
    <x v="4"/>
    <x v="451"/>
    <x v="278"/>
    <x v="15"/>
  </r>
  <r>
    <x v="3"/>
    <x v="80"/>
    <x v="5"/>
    <x v="5"/>
    <x v="12"/>
    <x v="7"/>
    <x v="7"/>
    <x v="27"/>
    <x v="1251"/>
    <x v="2"/>
    <x v="42"/>
    <x v="163"/>
    <x v="124"/>
    <x v="812"/>
    <x v="356"/>
    <x v="0"/>
    <x v="0"/>
    <x v="0"/>
    <x v="0"/>
    <x v="51"/>
    <x v="3"/>
    <x v="0"/>
    <x v="423"/>
    <x v="678"/>
    <x v="44"/>
    <x v="1"/>
    <x v="419"/>
    <x v="492"/>
    <x v="342"/>
    <x v="0"/>
    <x v="548"/>
    <x v="0"/>
    <x v="102"/>
    <x v="130"/>
    <x v="335"/>
    <x v="4"/>
    <x v="381"/>
    <x v="521"/>
    <x v="989"/>
  </r>
  <r>
    <x v="3"/>
    <x v="80"/>
    <x v="5"/>
    <x v="7"/>
    <x v="20"/>
    <x v="11"/>
    <x v="10"/>
    <x v="29"/>
    <x v="1245"/>
    <x v="2"/>
    <x v="42"/>
    <x v="184"/>
    <x v="156"/>
    <x v="298"/>
    <x v="200"/>
    <x v="0"/>
    <x v="0"/>
    <x v="0"/>
    <x v="0"/>
    <x v="0"/>
    <x v="0"/>
    <x v="0"/>
    <x v="285"/>
    <x v="37"/>
    <x v="11"/>
    <x v="0"/>
    <x v="0"/>
    <x v="646"/>
    <x v="0"/>
    <x v="0"/>
    <x v="958"/>
    <x v="46"/>
    <x v="50"/>
    <x v="25"/>
    <x v="110"/>
    <x v="2"/>
    <x v="330"/>
    <x v="125"/>
    <x v="46"/>
  </r>
  <r>
    <x v="3"/>
    <x v="80"/>
    <x v="5"/>
    <x v="4"/>
    <x v="58"/>
    <x v="11"/>
    <x v="8"/>
    <x v="31"/>
    <x v="1229"/>
    <x v="2"/>
    <x v="42"/>
    <x v="184"/>
    <x v="156"/>
    <x v="601"/>
    <x v="301"/>
    <x v="0"/>
    <x v="0"/>
    <x v="0"/>
    <x v="0"/>
    <x v="0"/>
    <x v="0"/>
    <x v="0"/>
    <x v="382"/>
    <x v="125"/>
    <x v="15"/>
    <x v="0"/>
    <x v="0"/>
    <x v="646"/>
    <x v="0"/>
    <x v="0"/>
    <x v="958"/>
    <x v="5"/>
    <x v="100"/>
    <x v="127"/>
    <x v="269"/>
    <x v="2"/>
    <x v="447"/>
    <x v="26"/>
    <x v="146"/>
  </r>
  <r>
    <x v="3"/>
    <x v="81"/>
    <x v="2"/>
    <x v="5"/>
    <x v="12"/>
    <x v="7"/>
    <x v="7"/>
    <x v="27"/>
    <x v="1258"/>
    <x v="0"/>
    <x v="42"/>
    <x v="163"/>
    <x v="124"/>
    <x v="811"/>
    <x v="356"/>
    <x v="0"/>
    <x v="0"/>
    <x v="0"/>
    <x v="0"/>
    <x v="41"/>
    <x v="3"/>
    <x v="0"/>
    <x v="423"/>
    <x v="678"/>
    <x v="44"/>
    <x v="1"/>
    <x v="418"/>
    <x v="511"/>
    <x v="292"/>
    <x v="0"/>
    <x v="610"/>
    <x v="0"/>
    <x v="102"/>
    <x v="130"/>
    <x v="335"/>
    <x v="4"/>
    <x v="381"/>
    <x v="521"/>
    <x v="991"/>
  </r>
  <r>
    <x v="3"/>
    <x v="81"/>
    <x v="2"/>
    <x v="7"/>
    <x v="20"/>
    <x v="11"/>
    <x v="10"/>
    <x v="29"/>
    <x v="1247"/>
    <x v="0"/>
    <x v="42"/>
    <x v="184"/>
    <x v="156"/>
    <x v="178"/>
    <x v="143"/>
    <x v="0"/>
    <x v="0"/>
    <x v="0"/>
    <x v="0"/>
    <x v="0"/>
    <x v="0"/>
    <x v="0"/>
    <x v="222"/>
    <x v="12"/>
    <x v="11"/>
    <x v="0"/>
    <x v="0"/>
    <x v="646"/>
    <x v="0"/>
    <x v="0"/>
    <x v="958"/>
    <x v="9"/>
    <x v="97"/>
    <x v="117"/>
    <x v="53"/>
    <x v="2"/>
    <x v="632"/>
    <x v="7"/>
    <x v="17"/>
  </r>
  <r>
    <x v="3"/>
    <x v="81"/>
    <x v="2"/>
    <x v="4"/>
    <x v="58"/>
    <x v="11"/>
    <x v="8"/>
    <x v="31"/>
    <x v="1239"/>
    <x v="0"/>
    <x v="42"/>
    <x v="133"/>
    <x v="52"/>
    <x v="298"/>
    <x v="200"/>
    <x v="0"/>
    <x v="0"/>
    <x v="0"/>
    <x v="0"/>
    <x v="0"/>
    <x v="0"/>
    <x v="0"/>
    <x v="285"/>
    <x v="255"/>
    <x v="15"/>
    <x v="0"/>
    <x v="0"/>
    <x v="646"/>
    <x v="0"/>
    <x v="0"/>
    <x v="958"/>
    <x v="48"/>
    <x v="47"/>
    <x v="20"/>
    <x v="110"/>
    <x v="2"/>
    <x v="277"/>
    <x v="248"/>
    <x v="46"/>
  </r>
  <r>
    <x v="3"/>
    <x v="81"/>
    <x v="6"/>
    <x v="8"/>
    <x v="62"/>
    <x v="11"/>
    <x v="19"/>
    <x v="30"/>
    <x v="1"/>
    <x v="0"/>
    <x v="42"/>
    <x v="231"/>
    <x v="244"/>
    <x v="985"/>
    <x v="531"/>
    <x v="0"/>
    <x v="0"/>
    <x v="0"/>
    <x v="0"/>
    <x v="55"/>
    <x v="0"/>
    <x v="1"/>
    <x v="490"/>
    <x v="160"/>
    <x v="27"/>
    <x v="0"/>
    <x v="0"/>
    <x v="646"/>
    <x v="182"/>
    <x v="0"/>
    <x v="732"/>
    <x v="12"/>
    <x v="94"/>
    <x v="108"/>
    <x v="560"/>
    <x v="3"/>
    <x v="212"/>
    <x v="586"/>
    <x v="863"/>
  </r>
  <r>
    <x v="3"/>
    <x v="81"/>
    <x v="6"/>
    <x v="1"/>
    <x v="66"/>
    <x v="11"/>
    <x v="19"/>
    <x v="3"/>
    <x v="541"/>
    <x v="0"/>
    <x v="42"/>
    <x v="111"/>
    <x v="31"/>
    <x v="180"/>
    <x v="138"/>
    <x v="0"/>
    <x v="0"/>
    <x v="39"/>
    <x v="0"/>
    <x v="36"/>
    <x v="0"/>
    <x v="4"/>
    <x v="74"/>
    <x v="178"/>
    <x v="30"/>
    <x v="4"/>
    <x v="292"/>
    <x v="407"/>
    <x v="611"/>
    <x v="0"/>
    <x v="206"/>
    <x v="36"/>
    <x v="62"/>
    <x v="44"/>
    <x v="50"/>
    <x v="7"/>
    <x v="778"/>
    <x v="83"/>
    <x v="69"/>
  </r>
  <r>
    <x v="3"/>
    <x v="81"/>
    <x v="3"/>
    <x v="7"/>
    <x v="20"/>
    <x v="11"/>
    <x v="10"/>
    <x v="29"/>
    <x v="1248"/>
    <x v="0"/>
    <x v="24"/>
    <x v="133"/>
    <x v="156"/>
    <x v="178"/>
    <x v="143"/>
    <x v="0"/>
    <x v="0"/>
    <x v="0"/>
    <x v="0"/>
    <x v="0"/>
    <x v="0"/>
    <x v="0"/>
    <x v="222"/>
    <x v="70"/>
    <x v="11"/>
    <x v="0"/>
    <x v="0"/>
    <x v="646"/>
    <x v="0"/>
    <x v="0"/>
    <x v="958"/>
    <x v="9"/>
    <x v="47"/>
    <x v="89"/>
    <x v="194"/>
    <x v="2"/>
    <x v="458"/>
    <x v="24"/>
    <x v="100"/>
  </r>
  <r>
    <x v="3"/>
    <x v="81"/>
    <x v="3"/>
    <x v="4"/>
    <x v="58"/>
    <x v="11"/>
    <x v="8"/>
    <x v="31"/>
    <x v="1239"/>
    <x v="0"/>
    <x v="24"/>
    <x v="133"/>
    <x v="156"/>
    <x v="532"/>
    <x v="279"/>
    <x v="0"/>
    <x v="0"/>
    <x v="0"/>
    <x v="0"/>
    <x v="0"/>
    <x v="0"/>
    <x v="0"/>
    <x v="363"/>
    <x v="705"/>
    <x v="15"/>
    <x v="0"/>
    <x v="0"/>
    <x v="646"/>
    <x v="0"/>
    <x v="0"/>
    <x v="958"/>
    <x v="0"/>
    <x v="55"/>
    <x v="130"/>
    <x v="472"/>
    <x v="2"/>
    <x v="137"/>
    <x v="537"/>
    <x v="1015"/>
  </r>
  <r>
    <x v="3"/>
    <x v="81"/>
    <x v="3"/>
    <x v="7"/>
    <x v="19"/>
    <x v="11"/>
    <x v="10"/>
    <x v="41"/>
    <x v="1219"/>
    <x v="0"/>
    <x v="24"/>
    <x v="133"/>
    <x v="156"/>
    <x v="178"/>
    <x v="143"/>
    <x v="0"/>
    <x v="0"/>
    <x v="0"/>
    <x v="0"/>
    <x v="0"/>
    <x v="0"/>
    <x v="0"/>
    <x v="222"/>
    <x v="70"/>
    <x v="10"/>
    <x v="0"/>
    <x v="0"/>
    <x v="646"/>
    <x v="0"/>
    <x v="0"/>
    <x v="958"/>
    <x v="9"/>
    <x v="47"/>
    <x v="89"/>
    <x v="194"/>
    <x v="2"/>
    <x v="458"/>
    <x v="24"/>
    <x v="100"/>
  </r>
  <r>
    <x v="3"/>
    <x v="81"/>
    <x v="3"/>
    <x v="4"/>
    <x v="57"/>
    <x v="11"/>
    <x v="8"/>
    <x v="43"/>
    <x v="1212"/>
    <x v="0"/>
    <x v="24"/>
    <x v="133"/>
    <x v="156"/>
    <x v="178"/>
    <x v="143"/>
    <x v="0"/>
    <x v="0"/>
    <x v="0"/>
    <x v="0"/>
    <x v="0"/>
    <x v="0"/>
    <x v="0"/>
    <x v="222"/>
    <x v="70"/>
    <x v="14"/>
    <x v="0"/>
    <x v="0"/>
    <x v="646"/>
    <x v="0"/>
    <x v="0"/>
    <x v="958"/>
    <x v="9"/>
    <x v="47"/>
    <x v="89"/>
    <x v="194"/>
    <x v="2"/>
    <x v="458"/>
    <x v="24"/>
    <x v="100"/>
  </r>
  <r>
    <x v="3"/>
    <x v="81"/>
    <x v="3"/>
    <x v="5"/>
    <x v="12"/>
    <x v="7"/>
    <x v="7"/>
    <x v="27"/>
    <x v="1259"/>
    <x v="0"/>
    <x v="42"/>
    <x v="163"/>
    <x v="125"/>
    <x v="727"/>
    <x v="341"/>
    <x v="0"/>
    <x v="34"/>
    <x v="0"/>
    <x v="0"/>
    <x v="66"/>
    <x v="0"/>
    <x v="0"/>
    <x v="412"/>
    <x v="604"/>
    <x v="44"/>
    <x v="1"/>
    <x v="347"/>
    <x v="369"/>
    <x v="478"/>
    <x v="158"/>
    <x v="374"/>
    <x v="0"/>
    <x v="102"/>
    <x v="130"/>
    <x v="314"/>
    <x v="4"/>
    <x v="413"/>
    <x v="397"/>
    <x v="767"/>
  </r>
  <r>
    <x v="3"/>
    <x v="81"/>
    <x v="3"/>
    <x v="5"/>
    <x v="80"/>
    <x v="6"/>
    <x v="6"/>
    <x v="33"/>
    <x v="1259"/>
    <x v="0"/>
    <x v="42"/>
    <x v="138"/>
    <x v="57"/>
    <x v="533"/>
    <x v="266"/>
    <x v="0"/>
    <x v="90"/>
    <x v="0"/>
    <x v="0"/>
    <x v="98"/>
    <x v="0"/>
    <x v="0"/>
    <x v="347"/>
    <x v="626"/>
    <x v="32"/>
    <x v="1"/>
    <x v="201"/>
    <x v="109"/>
    <x v="703"/>
    <x v="418"/>
    <x v="82"/>
    <x v="0"/>
    <x v="102"/>
    <x v="130"/>
    <x v="194"/>
    <x v="4"/>
    <x v="536"/>
    <x v="79"/>
    <x v="291"/>
  </r>
  <r>
    <x v="3"/>
    <x v="81"/>
    <x v="3"/>
    <x v="2"/>
    <x v="74"/>
    <x v="9"/>
    <x v="5"/>
    <x v="7"/>
    <x v="594"/>
    <x v="0"/>
    <x v="42"/>
    <x v="153"/>
    <x v="86"/>
    <x v="569"/>
    <x v="292"/>
    <x v="0"/>
    <x v="1"/>
    <x v="0"/>
    <x v="0"/>
    <x v="2"/>
    <x v="0"/>
    <x v="0"/>
    <x v="373"/>
    <x v="615"/>
    <x v="37"/>
    <x v="2"/>
    <x v="269"/>
    <x v="637"/>
    <x v="19"/>
    <x v="2"/>
    <x v="935"/>
    <x v="0"/>
    <x v="102"/>
    <x v="130"/>
    <x v="247"/>
    <x v="5"/>
    <x v="497"/>
    <x v="374"/>
    <x v="777"/>
  </r>
  <r>
    <x v="3"/>
    <x v="81"/>
    <x v="5"/>
    <x v="5"/>
    <x v="80"/>
    <x v="6"/>
    <x v="6"/>
    <x v="33"/>
    <x v="1263"/>
    <x v="2"/>
    <x v="42"/>
    <x v="138"/>
    <x v="57"/>
    <x v="498"/>
    <x v="266"/>
    <x v="0"/>
    <x v="0"/>
    <x v="0"/>
    <x v="0"/>
    <x v="45"/>
    <x v="2"/>
    <x v="0"/>
    <x v="347"/>
    <x v="626"/>
    <x v="32"/>
    <x v="1"/>
    <x v="174"/>
    <x v="470"/>
    <x v="419"/>
    <x v="0"/>
    <x v="448"/>
    <x v="0"/>
    <x v="102"/>
    <x v="130"/>
    <x v="194"/>
    <x v="4"/>
    <x v="536"/>
    <x v="79"/>
    <x v="313"/>
  </r>
  <r>
    <x v="3"/>
    <x v="81"/>
    <x v="5"/>
    <x v="5"/>
    <x v="12"/>
    <x v="7"/>
    <x v="7"/>
    <x v="27"/>
    <x v="1263"/>
    <x v="2"/>
    <x v="42"/>
    <x v="163"/>
    <x v="124"/>
    <x v="565"/>
    <x v="282"/>
    <x v="71"/>
    <x v="58"/>
    <x v="0"/>
    <x v="0"/>
    <x v="40"/>
    <x v="3"/>
    <x v="0"/>
    <x v="365"/>
    <x v="290"/>
    <x v="44"/>
    <x v="1"/>
    <x v="340"/>
    <x v="23"/>
    <x v="346"/>
    <x v="294"/>
    <x v="547"/>
    <x v="0"/>
    <x v="102"/>
    <x v="130"/>
    <x v="227"/>
    <x v="4"/>
    <x v="515"/>
    <x v="113"/>
    <x v="389"/>
  </r>
  <r>
    <x v="3"/>
    <x v="81"/>
    <x v="5"/>
    <x v="7"/>
    <x v="19"/>
    <x v="11"/>
    <x v="10"/>
    <x v="41"/>
    <x v="1209"/>
    <x v="2"/>
    <x v="42"/>
    <x v="184"/>
    <x v="156"/>
    <x v="834"/>
    <x v="368"/>
    <x v="0"/>
    <x v="0"/>
    <x v="0"/>
    <x v="0"/>
    <x v="0"/>
    <x v="0"/>
    <x v="0"/>
    <x v="437"/>
    <x v="248"/>
    <x v="10"/>
    <x v="0"/>
    <x v="0"/>
    <x v="646"/>
    <x v="0"/>
    <x v="0"/>
    <x v="958"/>
    <x v="0"/>
    <x v="102"/>
    <x v="130"/>
    <x v="349"/>
    <x v="2"/>
    <x v="362"/>
    <x v="75"/>
    <x v="309"/>
  </r>
  <r>
    <x v="3"/>
    <x v="81"/>
    <x v="5"/>
    <x v="4"/>
    <x v="57"/>
    <x v="11"/>
    <x v="8"/>
    <x v="43"/>
    <x v="1203"/>
    <x v="2"/>
    <x v="42"/>
    <x v="184"/>
    <x v="156"/>
    <x v="642"/>
    <x v="322"/>
    <x v="0"/>
    <x v="0"/>
    <x v="0"/>
    <x v="0"/>
    <x v="0"/>
    <x v="0"/>
    <x v="0"/>
    <x v="397"/>
    <x v="144"/>
    <x v="14"/>
    <x v="0"/>
    <x v="0"/>
    <x v="646"/>
    <x v="0"/>
    <x v="0"/>
    <x v="958"/>
    <x v="0"/>
    <x v="102"/>
    <x v="130"/>
    <x v="292"/>
    <x v="2"/>
    <x v="441"/>
    <x v="27"/>
    <x v="176"/>
  </r>
  <r>
    <x v="3"/>
    <x v="81"/>
    <x v="5"/>
    <x v="2"/>
    <x v="74"/>
    <x v="9"/>
    <x v="5"/>
    <x v="7"/>
    <x v="131"/>
    <x v="2"/>
    <x v="42"/>
    <x v="153"/>
    <x v="86"/>
    <x v="410"/>
    <x v="226"/>
    <x v="0"/>
    <x v="0"/>
    <x v="0"/>
    <x v="0"/>
    <x v="0"/>
    <x v="0"/>
    <x v="0"/>
    <x v="313"/>
    <x v="223"/>
    <x v="37"/>
    <x v="2"/>
    <x v="139"/>
    <x v="645"/>
    <x v="0"/>
    <x v="0"/>
    <x v="958"/>
    <x v="26"/>
    <x v="76"/>
    <x v="68"/>
    <x v="141"/>
    <x v="5"/>
    <x v="495"/>
    <x v="387"/>
    <x v="287"/>
  </r>
  <r>
    <x v="3"/>
    <x v="82"/>
    <x v="2"/>
    <x v="5"/>
    <x v="12"/>
    <x v="7"/>
    <x v="7"/>
    <x v="27"/>
    <x v="1268"/>
    <x v="1"/>
    <x v="42"/>
    <x v="163"/>
    <x v="124"/>
    <x v="792"/>
    <x v="349"/>
    <x v="0"/>
    <x v="30"/>
    <x v="0"/>
    <x v="0"/>
    <x v="77"/>
    <x v="3"/>
    <x v="0"/>
    <x v="417"/>
    <x v="643"/>
    <x v="44"/>
    <x v="1"/>
    <x v="404"/>
    <x v="345"/>
    <x v="532"/>
    <x v="121"/>
    <x v="303"/>
    <x v="0"/>
    <x v="102"/>
    <x v="130"/>
    <x v="325"/>
    <x v="4"/>
    <x v="396"/>
    <x v="471"/>
    <x v="888"/>
  </r>
  <r>
    <x v="3"/>
    <x v="82"/>
    <x v="2"/>
    <x v="5"/>
    <x v="80"/>
    <x v="6"/>
    <x v="6"/>
    <x v="33"/>
    <x v="1268"/>
    <x v="1"/>
    <x v="42"/>
    <x v="138"/>
    <x v="57"/>
    <x v="333"/>
    <x v="200"/>
    <x v="72"/>
    <x v="30"/>
    <x v="0"/>
    <x v="0"/>
    <x v="88"/>
    <x v="3"/>
    <x v="0"/>
    <x v="285"/>
    <x v="231"/>
    <x v="32"/>
    <x v="1"/>
    <x v="173"/>
    <x v="11"/>
    <x v="729"/>
    <x v="247"/>
    <x v="45"/>
    <x v="0"/>
    <x v="102"/>
    <x v="130"/>
    <x v="110"/>
    <x v="4"/>
    <x v="594"/>
    <x v="18"/>
    <x v="123"/>
  </r>
  <r>
    <x v="3"/>
    <x v="82"/>
    <x v="2"/>
    <x v="2"/>
    <x v="74"/>
    <x v="9"/>
    <x v="5"/>
    <x v="7"/>
    <x v="596"/>
    <x v="1"/>
    <x v="42"/>
    <x v="153"/>
    <x v="86"/>
    <x v="435"/>
    <x v="240"/>
    <x v="0"/>
    <x v="0"/>
    <x v="0"/>
    <x v="0"/>
    <x v="0"/>
    <x v="3"/>
    <x v="0"/>
    <x v="324"/>
    <x v="267"/>
    <x v="37"/>
    <x v="2"/>
    <x v="158"/>
    <x v="610"/>
    <x v="0"/>
    <x v="0"/>
    <x v="958"/>
    <x v="0"/>
    <x v="102"/>
    <x v="130"/>
    <x v="159"/>
    <x v="5"/>
    <x v="550"/>
    <x v="91"/>
    <x v="349"/>
  </r>
  <r>
    <x v="3"/>
    <x v="82"/>
    <x v="2"/>
    <x v="0"/>
    <x v="0"/>
    <x v="6"/>
    <x v="0"/>
    <x v="13"/>
    <x v="595"/>
    <x v="1"/>
    <x v="42"/>
    <x v="107"/>
    <x v="29"/>
    <x v="55"/>
    <x v="36"/>
    <x v="0"/>
    <x v="93"/>
    <x v="0"/>
    <x v="0"/>
    <x v="40"/>
    <x v="6"/>
    <x v="0"/>
    <x v="104"/>
    <x v="11"/>
    <x v="38"/>
    <x v="5"/>
    <x v="89"/>
    <x v="17"/>
    <x v="765"/>
    <x v="474"/>
    <x v="18"/>
    <x v="0"/>
    <x v="102"/>
    <x v="130"/>
    <x v="6"/>
    <x v="6"/>
    <x v="771"/>
    <x v="6"/>
    <x v="14"/>
  </r>
  <r>
    <x v="3"/>
    <x v="82"/>
    <x v="2"/>
    <x v="7"/>
    <x v="19"/>
    <x v="11"/>
    <x v="10"/>
    <x v="41"/>
    <x v="1232"/>
    <x v="1"/>
    <x v="42"/>
    <x v="184"/>
    <x v="156"/>
    <x v="643"/>
    <x v="323"/>
    <x v="0"/>
    <x v="0"/>
    <x v="0"/>
    <x v="0"/>
    <x v="10"/>
    <x v="0"/>
    <x v="0"/>
    <x v="398"/>
    <x v="145"/>
    <x v="10"/>
    <x v="0"/>
    <x v="0"/>
    <x v="646"/>
    <x v="113"/>
    <x v="0"/>
    <x v="812"/>
    <x v="10"/>
    <x v="96"/>
    <x v="115"/>
    <x v="293"/>
    <x v="2"/>
    <x v="395"/>
    <x v="43"/>
    <x v="177"/>
  </r>
  <r>
    <x v="3"/>
    <x v="82"/>
    <x v="2"/>
    <x v="4"/>
    <x v="57"/>
    <x v="11"/>
    <x v="8"/>
    <x v="43"/>
    <x v="1214"/>
    <x v="1"/>
    <x v="42"/>
    <x v="184"/>
    <x v="156"/>
    <x v="475"/>
    <x v="266"/>
    <x v="0"/>
    <x v="0"/>
    <x v="0"/>
    <x v="0"/>
    <x v="0"/>
    <x v="0"/>
    <x v="0"/>
    <x v="347"/>
    <x v="70"/>
    <x v="14"/>
    <x v="0"/>
    <x v="0"/>
    <x v="646"/>
    <x v="0"/>
    <x v="0"/>
    <x v="958"/>
    <x v="9"/>
    <x v="97"/>
    <x v="117"/>
    <x v="194"/>
    <x v="2"/>
    <x v="510"/>
    <x v="17"/>
    <x v="100"/>
  </r>
  <r>
    <x v="3"/>
    <x v="82"/>
    <x v="6"/>
    <x v="8"/>
    <x v="62"/>
    <x v="11"/>
    <x v="19"/>
    <x v="30"/>
    <x v="1242"/>
    <x v="6"/>
    <x v="6"/>
    <x v="70"/>
    <x v="207"/>
    <x v="178"/>
    <x v="140"/>
    <x v="0"/>
    <x v="0"/>
    <x v="0"/>
    <x v="0"/>
    <x v="17"/>
    <x v="0"/>
    <x v="1"/>
    <x v="140"/>
    <x v="657"/>
    <x v="27"/>
    <x v="0"/>
    <x v="0"/>
    <x v="646"/>
    <x v="327"/>
    <x v="0"/>
    <x v="565"/>
    <x v="0"/>
    <x v="15"/>
    <x v="130"/>
    <x v="599"/>
    <x v="3"/>
    <x v="188"/>
    <x v="603"/>
    <x v="1076"/>
  </r>
  <r>
    <x v="3"/>
    <x v="82"/>
    <x v="6"/>
    <x v="8"/>
    <x v="61"/>
    <x v="11"/>
    <x v="19"/>
    <x v="42"/>
    <x v="1215"/>
    <x v="6"/>
    <x v="38"/>
    <x v="214"/>
    <x v="207"/>
    <x v="983"/>
    <x v="528"/>
    <x v="0"/>
    <x v="0"/>
    <x v="0"/>
    <x v="0"/>
    <x v="69"/>
    <x v="0"/>
    <x v="1"/>
    <x v="486"/>
    <x v="648"/>
    <x v="26"/>
    <x v="0"/>
    <x v="0"/>
    <x v="646"/>
    <x v="224"/>
    <x v="0"/>
    <x v="686"/>
    <x v="12"/>
    <x v="77"/>
    <x v="104"/>
    <x v="595"/>
    <x v="3"/>
    <x v="127"/>
    <x v="668"/>
    <x v="1075"/>
  </r>
  <r>
    <x v="3"/>
    <x v="82"/>
    <x v="6"/>
    <x v="1"/>
    <x v="67"/>
    <x v="11"/>
    <x v="19"/>
    <x v="2"/>
    <x v="550"/>
    <x v="3"/>
    <x v="42"/>
    <x v="132"/>
    <x v="48"/>
    <x v="205"/>
    <x v="151"/>
    <x v="0"/>
    <x v="0"/>
    <x v="38"/>
    <x v="0"/>
    <x v="32"/>
    <x v="0"/>
    <x v="4"/>
    <x v="81"/>
    <x v="119"/>
    <x v="30"/>
    <x v="4"/>
    <x v="430"/>
    <x v="454"/>
    <x v="531"/>
    <x v="0"/>
    <x v="299"/>
    <x v="12"/>
    <x v="94"/>
    <x v="108"/>
    <x v="69"/>
    <x v="7"/>
    <x v="781"/>
    <x v="21"/>
    <x v="110"/>
  </r>
  <r>
    <x v="3"/>
    <x v="82"/>
    <x v="3"/>
    <x v="7"/>
    <x v="19"/>
    <x v="11"/>
    <x v="10"/>
    <x v="41"/>
    <x v="1234"/>
    <x v="0"/>
    <x v="42"/>
    <x v="184"/>
    <x v="156"/>
    <x v="659"/>
    <x v="329"/>
    <x v="0"/>
    <x v="0"/>
    <x v="0"/>
    <x v="0"/>
    <x v="0"/>
    <x v="0"/>
    <x v="0"/>
    <x v="405"/>
    <x v="155"/>
    <x v="10"/>
    <x v="0"/>
    <x v="0"/>
    <x v="646"/>
    <x v="0"/>
    <x v="0"/>
    <x v="958"/>
    <x v="32"/>
    <x v="68"/>
    <x v="54"/>
    <x v="302"/>
    <x v="2"/>
    <x v="241"/>
    <x v="331"/>
    <x v="182"/>
  </r>
  <r>
    <x v="3"/>
    <x v="82"/>
    <x v="3"/>
    <x v="4"/>
    <x v="57"/>
    <x v="11"/>
    <x v="8"/>
    <x v="43"/>
    <x v="1224"/>
    <x v="0"/>
    <x v="42"/>
    <x v="184"/>
    <x v="156"/>
    <x v="883"/>
    <x v="415"/>
    <x v="0"/>
    <x v="0"/>
    <x v="0"/>
    <x v="0"/>
    <x v="0"/>
    <x v="0"/>
    <x v="0"/>
    <x v="491"/>
    <x v="448"/>
    <x v="14"/>
    <x v="0"/>
    <x v="0"/>
    <x v="646"/>
    <x v="0"/>
    <x v="0"/>
    <x v="958"/>
    <x v="9"/>
    <x v="97"/>
    <x v="117"/>
    <x v="409"/>
    <x v="2"/>
    <x v="234"/>
    <x v="343"/>
    <x v="526"/>
  </r>
  <r>
    <x v="3"/>
    <x v="82"/>
    <x v="3"/>
    <x v="2"/>
    <x v="74"/>
    <x v="9"/>
    <x v="5"/>
    <x v="7"/>
    <x v="597"/>
    <x v="0"/>
    <x v="42"/>
    <x v="153"/>
    <x v="86"/>
    <x v="486"/>
    <x v="266"/>
    <x v="0"/>
    <x v="3"/>
    <x v="0"/>
    <x v="0"/>
    <x v="10"/>
    <x v="0"/>
    <x v="0"/>
    <x v="347"/>
    <x v="403"/>
    <x v="37"/>
    <x v="2"/>
    <x v="215"/>
    <x v="566"/>
    <x v="135"/>
    <x v="10"/>
    <x v="785"/>
    <x v="0"/>
    <x v="102"/>
    <x v="130"/>
    <x v="194"/>
    <x v="5"/>
    <x v="536"/>
    <x v="177"/>
    <x v="485"/>
  </r>
  <r>
    <x v="3"/>
    <x v="82"/>
    <x v="3"/>
    <x v="5"/>
    <x v="80"/>
    <x v="6"/>
    <x v="6"/>
    <x v="33"/>
    <x v="1271"/>
    <x v="0"/>
    <x v="42"/>
    <x v="138"/>
    <x v="57"/>
    <x v="339"/>
    <x v="200"/>
    <x v="0"/>
    <x v="58"/>
    <x v="0"/>
    <x v="0"/>
    <x v="80"/>
    <x v="0"/>
    <x v="0"/>
    <x v="285"/>
    <x v="231"/>
    <x v="32"/>
    <x v="1"/>
    <x v="107"/>
    <x v="153"/>
    <x v="706"/>
    <x v="358"/>
    <x v="76"/>
    <x v="0"/>
    <x v="102"/>
    <x v="130"/>
    <x v="110"/>
    <x v="4"/>
    <x v="594"/>
    <x v="18"/>
    <x v="128"/>
  </r>
  <r>
    <x v="3"/>
    <x v="82"/>
    <x v="3"/>
    <x v="5"/>
    <x v="12"/>
    <x v="7"/>
    <x v="7"/>
    <x v="27"/>
    <x v="1271"/>
    <x v="0"/>
    <x v="42"/>
    <x v="163"/>
    <x v="124"/>
    <x v="775"/>
    <x v="349"/>
    <x v="0"/>
    <x v="12"/>
    <x v="0"/>
    <x v="0"/>
    <x v="62"/>
    <x v="0"/>
    <x v="0"/>
    <x v="417"/>
    <x v="643"/>
    <x v="44"/>
    <x v="1"/>
    <x v="392"/>
    <x v="445"/>
    <x v="429"/>
    <x v="32"/>
    <x v="435"/>
    <x v="0"/>
    <x v="102"/>
    <x v="130"/>
    <x v="325"/>
    <x v="4"/>
    <x v="396"/>
    <x v="471"/>
    <x v="894"/>
  </r>
  <r>
    <x v="3"/>
    <x v="82"/>
    <x v="5"/>
    <x v="5"/>
    <x v="80"/>
    <x v="6"/>
    <x v="6"/>
    <x v="33"/>
    <x v="1274"/>
    <x v="2"/>
    <x v="42"/>
    <x v="138"/>
    <x v="57"/>
    <x v="473"/>
    <x v="257"/>
    <x v="0"/>
    <x v="0"/>
    <x v="0"/>
    <x v="0"/>
    <x v="74"/>
    <x v="5"/>
    <x v="0"/>
    <x v="338"/>
    <x v="606"/>
    <x v="32"/>
    <x v="1"/>
    <x v="167"/>
    <x v="346"/>
    <x v="620"/>
    <x v="0"/>
    <x v="193"/>
    <x v="0"/>
    <x v="102"/>
    <x v="130"/>
    <x v="185"/>
    <x v="4"/>
    <x v="540"/>
    <x v="69"/>
    <x v="269"/>
  </r>
  <r>
    <x v="3"/>
    <x v="82"/>
    <x v="5"/>
    <x v="5"/>
    <x v="12"/>
    <x v="7"/>
    <x v="7"/>
    <x v="27"/>
    <x v="1274"/>
    <x v="2"/>
    <x v="42"/>
    <x v="163"/>
    <x v="124"/>
    <x v="786"/>
    <x v="349"/>
    <x v="0"/>
    <x v="22"/>
    <x v="0"/>
    <x v="0"/>
    <x v="70"/>
    <x v="5"/>
    <x v="0"/>
    <x v="417"/>
    <x v="643"/>
    <x v="44"/>
    <x v="1"/>
    <x v="401"/>
    <x v="366"/>
    <x v="487"/>
    <x v="61"/>
    <x v="356"/>
    <x v="0"/>
    <x v="102"/>
    <x v="130"/>
    <x v="325"/>
    <x v="4"/>
    <x v="396"/>
    <x v="471"/>
    <x v="891"/>
  </r>
  <r>
    <x v="3"/>
    <x v="82"/>
    <x v="5"/>
    <x v="7"/>
    <x v="19"/>
    <x v="11"/>
    <x v="10"/>
    <x v="41"/>
    <x v="1223"/>
    <x v="2"/>
    <x v="34"/>
    <x v="166"/>
    <x v="150"/>
    <x v="627"/>
    <x v="314"/>
    <x v="0"/>
    <x v="0"/>
    <x v="0"/>
    <x v="0"/>
    <x v="0"/>
    <x v="0"/>
    <x v="0"/>
    <x v="391"/>
    <x v="399"/>
    <x v="10"/>
    <x v="0"/>
    <x v="0"/>
    <x v="646"/>
    <x v="0"/>
    <x v="0"/>
    <x v="958"/>
    <x v="9"/>
    <x v="68"/>
    <x v="106"/>
    <x v="375"/>
    <x v="2"/>
    <x v="276"/>
    <x v="256"/>
    <x v="395"/>
  </r>
  <r>
    <x v="3"/>
    <x v="82"/>
    <x v="5"/>
    <x v="7"/>
    <x v="20"/>
    <x v="11"/>
    <x v="10"/>
    <x v="29"/>
    <x v="1249"/>
    <x v="2"/>
    <x v="14"/>
    <x v="83"/>
    <x v="170"/>
    <x v="178"/>
    <x v="143"/>
    <x v="0"/>
    <x v="0"/>
    <x v="0"/>
    <x v="0"/>
    <x v="0"/>
    <x v="0"/>
    <x v="0"/>
    <x v="222"/>
    <x v="466"/>
    <x v="11"/>
    <x v="0"/>
    <x v="0"/>
    <x v="646"/>
    <x v="0"/>
    <x v="0"/>
    <x v="958"/>
    <x v="5"/>
    <x v="25"/>
    <x v="89"/>
    <x v="461"/>
    <x v="2"/>
    <x v="108"/>
    <x v="646"/>
    <x v="893"/>
  </r>
  <r>
    <x v="3"/>
    <x v="82"/>
    <x v="5"/>
    <x v="4"/>
    <x v="57"/>
    <x v="11"/>
    <x v="8"/>
    <x v="43"/>
    <x v="1215"/>
    <x v="2"/>
    <x v="34"/>
    <x v="166"/>
    <x v="150"/>
    <x v="627"/>
    <x v="314"/>
    <x v="0"/>
    <x v="0"/>
    <x v="0"/>
    <x v="0"/>
    <x v="0"/>
    <x v="0"/>
    <x v="0"/>
    <x v="391"/>
    <x v="399"/>
    <x v="14"/>
    <x v="0"/>
    <x v="0"/>
    <x v="646"/>
    <x v="0"/>
    <x v="0"/>
    <x v="958"/>
    <x v="0"/>
    <x v="76"/>
    <x v="130"/>
    <x v="375"/>
    <x v="2"/>
    <x v="340"/>
    <x v="110"/>
    <x v="395"/>
  </r>
  <r>
    <x v="3"/>
    <x v="82"/>
    <x v="5"/>
    <x v="4"/>
    <x v="58"/>
    <x v="11"/>
    <x v="8"/>
    <x v="31"/>
    <x v="1242"/>
    <x v="2"/>
    <x v="14"/>
    <x v="83"/>
    <x v="170"/>
    <x v="63"/>
    <x v="60"/>
    <x v="0"/>
    <x v="0"/>
    <x v="0"/>
    <x v="0"/>
    <x v="0"/>
    <x v="0"/>
    <x v="0"/>
    <x v="144"/>
    <x v="53"/>
    <x v="15"/>
    <x v="0"/>
    <x v="0"/>
    <x v="646"/>
    <x v="0"/>
    <x v="0"/>
    <x v="958"/>
    <x v="9"/>
    <x v="20"/>
    <x v="54"/>
    <x v="194"/>
    <x v="2"/>
    <x v="359"/>
    <x v="79"/>
    <x v="100"/>
  </r>
  <r>
    <x v="3"/>
    <x v="82"/>
    <x v="5"/>
    <x v="2"/>
    <x v="74"/>
    <x v="9"/>
    <x v="5"/>
    <x v="7"/>
    <x v="598"/>
    <x v="2"/>
    <x v="42"/>
    <x v="153"/>
    <x v="86"/>
    <x v="481"/>
    <x v="266"/>
    <x v="0"/>
    <x v="0"/>
    <x v="0"/>
    <x v="0"/>
    <x v="2"/>
    <x v="3"/>
    <x v="0"/>
    <x v="347"/>
    <x v="403"/>
    <x v="37"/>
    <x v="2"/>
    <x v="209"/>
    <x v="602"/>
    <x v="26"/>
    <x v="0"/>
    <x v="927"/>
    <x v="0"/>
    <x v="102"/>
    <x v="130"/>
    <x v="194"/>
    <x v="5"/>
    <x v="536"/>
    <x v="177"/>
    <x v="500"/>
  </r>
  <r>
    <x v="3"/>
    <x v="83"/>
    <x v="2"/>
    <x v="2"/>
    <x v="74"/>
    <x v="9"/>
    <x v="5"/>
    <x v="7"/>
    <x v="603"/>
    <x v="1"/>
    <x v="42"/>
    <x v="153"/>
    <x v="86"/>
    <x v="572"/>
    <x v="292"/>
    <x v="0"/>
    <x v="0"/>
    <x v="0"/>
    <x v="0"/>
    <x v="0"/>
    <x v="3"/>
    <x v="0"/>
    <x v="373"/>
    <x v="615"/>
    <x v="37"/>
    <x v="2"/>
    <x v="272"/>
    <x v="620"/>
    <x v="0"/>
    <x v="0"/>
    <x v="958"/>
    <x v="0"/>
    <x v="102"/>
    <x v="130"/>
    <x v="247"/>
    <x v="5"/>
    <x v="497"/>
    <x v="374"/>
    <x v="780"/>
  </r>
  <r>
    <x v="3"/>
    <x v="83"/>
    <x v="2"/>
    <x v="5"/>
    <x v="80"/>
    <x v="6"/>
    <x v="6"/>
    <x v="33"/>
    <x v="1279"/>
    <x v="1"/>
    <x v="42"/>
    <x v="138"/>
    <x v="57"/>
    <x v="343"/>
    <x v="200"/>
    <x v="0"/>
    <x v="76"/>
    <x v="0"/>
    <x v="0"/>
    <x v="48"/>
    <x v="4"/>
    <x v="0"/>
    <x v="285"/>
    <x v="231"/>
    <x v="32"/>
    <x v="1"/>
    <x v="108"/>
    <x v="131"/>
    <x v="581"/>
    <x v="406"/>
    <x v="262"/>
    <x v="0"/>
    <x v="102"/>
    <x v="130"/>
    <x v="110"/>
    <x v="4"/>
    <x v="594"/>
    <x v="18"/>
    <x v="134"/>
  </r>
  <r>
    <x v="3"/>
    <x v="83"/>
    <x v="2"/>
    <x v="5"/>
    <x v="12"/>
    <x v="7"/>
    <x v="7"/>
    <x v="27"/>
    <x v="1279"/>
    <x v="1"/>
    <x v="42"/>
    <x v="163"/>
    <x v="124"/>
    <x v="609"/>
    <x v="296"/>
    <x v="0"/>
    <x v="68"/>
    <x v="0"/>
    <x v="0"/>
    <x v="45"/>
    <x v="5"/>
    <x v="0"/>
    <x v="378"/>
    <x v="383"/>
    <x v="44"/>
    <x v="1"/>
    <x v="264"/>
    <x v="275"/>
    <x v="370"/>
    <x v="308"/>
    <x v="522"/>
    <x v="0"/>
    <x v="102"/>
    <x v="130"/>
    <x v="256"/>
    <x v="4"/>
    <x v="485"/>
    <x v="184"/>
    <x v="482"/>
  </r>
  <r>
    <x v="3"/>
    <x v="83"/>
    <x v="2"/>
    <x v="0"/>
    <x v="1"/>
    <x v="5"/>
    <x v="1"/>
    <x v="16"/>
    <x v="599"/>
    <x v="1"/>
    <x v="42"/>
    <x v="107"/>
    <x v="29"/>
    <x v="401"/>
    <x v="213"/>
    <x v="47"/>
    <x v="58"/>
    <x v="0"/>
    <x v="0"/>
    <x v="42"/>
    <x v="3"/>
    <x v="0"/>
    <x v="299"/>
    <x v="723"/>
    <x v="38"/>
    <x v="7"/>
    <x v="647"/>
    <x v="167"/>
    <x v="487"/>
    <x v="344"/>
    <x v="368"/>
    <x v="0"/>
    <x v="102"/>
    <x v="130"/>
    <x v="126"/>
    <x v="6"/>
    <x v="570"/>
    <x v="511"/>
    <x v="963"/>
  </r>
  <r>
    <x v="3"/>
    <x v="83"/>
    <x v="2"/>
    <x v="7"/>
    <x v="20"/>
    <x v="11"/>
    <x v="10"/>
    <x v="29"/>
    <x v="1250"/>
    <x v="1"/>
    <x v="24"/>
    <x v="133"/>
    <x v="156"/>
    <x v="433"/>
    <x v="237"/>
    <x v="0"/>
    <x v="0"/>
    <x v="0"/>
    <x v="0"/>
    <x v="20"/>
    <x v="0"/>
    <x v="0"/>
    <x v="321"/>
    <x v="516"/>
    <x v="11"/>
    <x v="0"/>
    <x v="0"/>
    <x v="646"/>
    <x v="246"/>
    <x v="0"/>
    <x v="664"/>
    <x v="0"/>
    <x v="55"/>
    <x v="130"/>
    <x v="427"/>
    <x v="2"/>
    <x v="282"/>
    <x v="236"/>
    <x v="564"/>
  </r>
  <r>
    <x v="3"/>
    <x v="83"/>
    <x v="2"/>
    <x v="7"/>
    <x v="82"/>
    <x v="11"/>
    <x v="10"/>
    <x v="37"/>
    <x v="1260"/>
    <x v="1"/>
    <x v="24"/>
    <x v="133"/>
    <x v="156"/>
    <x v="178"/>
    <x v="143"/>
    <x v="0"/>
    <x v="0"/>
    <x v="0"/>
    <x v="0"/>
    <x v="0"/>
    <x v="0"/>
    <x v="0"/>
    <x v="222"/>
    <x v="70"/>
    <x v="34"/>
    <x v="0"/>
    <x v="0"/>
    <x v="646"/>
    <x v="0"/>
    <x v="0"/>
    <x v="958"/>
    <x v="9"/>
    <x v="47"/>
    <x v="89"/>
    <x v="194"/>
    <x v="2"/>
    <x v="458"/>
    <x v="24"/>
    <x v="100"/>
  </r>
  <r>
    <x v="3"/>
    <x v="83"/>
    <x v="2"/>
    <x v="4"/>
    <x v="58"/>
    <x v="11"/>
    <x v="8"/>
    <x v="31"/>
    <x v="1243"/>
    <x v="1"/>
    <x v="38"/>
    <x v="181"/>
    <x v="156"/>
    <x v="652"/>
    <x v="327"/>
    <x v="0"/>
    <x v="0"/>
    <x v="0"/>
    <x v="0"/>
    <x v="0"/>
    <x v="0"/>
    <x v="0"/>
    <x v="403"/>
    <x v="218"/>
    <x v="15"/>
    <x v="0"/>
    <x v="0"/>
    <x v="646"/>
    <x v="0"/>
    <x v="0"/>
    <x v="958"/>
    <x v="9"/>
    <x v="80"/>
    <x v="111"/>
    <x v="339"/>
    <x v="2"/>
    <x v="347"/>
    <x v="101"/>
    <x v="266"/>
  </r>
  <r>
    <x v="3"/>
    <x v="83"/>
    <x v="2"/>
    <x v="4"/>
    <x v="83"/>
    <x v="11"/>
    <x v="8"/>
    <x v="35"/>
    <x v="1254"/>
    <x v="1"/>
    <x v="6"/>
    <x v="24"/>
    <x v="156"/>
    <x v="63"/>
    <x v="60"/>
    <x v="0"/>
    <x v="0"/>
    <x v="0"/>
    <x v="0"/>
    <x v="0"/>
    <x v="0"/>
    <x v="0"/>
    <x v="144"/>
    <x v="666"/>
    <x v="35"/>
    <x v="0"/>
    <x v="0"/>
    <x v="646"/>
    <x v="0"/>
    <x v="0"/>
    <x v="958"/>
    <x v="0"/>
    <x v="15"/>
    <x v="130"/>
    <x v="461"/>
    <x v="2"/>
    <x v="178"/>
    <x v="444"/>
    <x v="893"/>
  </r>
  <r>
    <x v="3"/>
    <x v="83"/>
    <x v="6"/>
    <x v="8"/>
    <x v="61"/>
    <x v="11"/>
    <x v="19"/>
    <x v="42"/>
    <x v="1226"/>
    <x v="0"/>
    <x v="20"/>
    <x v="190"/>
    <x v="244"/>
    <x v="924"/>
    <x v="462"/>
    <x v="0"/>
    <x v="0"/>
    <x v="0"/>
    <x v="0"/>
    <x v="51"/>
    <x v="0"/>
    <x v="0"/>
    <x v="557"/>
    <x v="712"/>
    <x v="26"/>
    <x v="0"/>
    <x v="0"/>
    <x v="646"/>
    <x v="248"/>
    <x v="0"/>
    <x v="662"/>
    <x v="0"/>
    <x v="42"/>
    <x v="130"/>
    <x v="639"/>
    <x v="3"/>
    <x v="3"/>
    <x v="766"/>
    <x v="1217"/>
  </r>
  <r>
    <x v="3"/>
    <x v="83"/>
    <x v="6"/>
    <x v="8"/>
    <x v="62"/>
    <x v="11"/>
    <x v="19"/>
    <x v="30"/>
    <x v="1242"/>
    <x v="0"/>
    <x v="20"/>
    <x v="190"/>
    <x v="244"/>
    <x v="838"/>
    <x v="369"/>
    <x v="0"/>
    <x v="0"/>
    <x v="0"/>
    <x v="0"/>
    <x v="66"/>
    <x v="0"/>
    <x v="0"/>
    <x v="438"/>
    <x v="234"/>
    <x v="27"/>
    <x v="0"/>
    <x v="0"/>
    <x v="646"/>
    <x v="417"/>
    <x v="0"/>
    <x v="454"/>
    <x v="12"/>
    <x v="30"/>
    <x v="62"/>
    <x v="597"/>
    <x v="3"/>
    <x v="4"/>
    <x v="765"/>
    <x v="1212"/>
  </r>
  <r>
    <x v="3"/>
    <x v="83"/>
    <x v="6"/>
    <x v="8"/>
    <x v="84"/>
    <x v="11"/>
    <x v="19"/>
    <x v="34"/>
    <x v="1254"/>
    <x v="0"/>
    <x v="14"/>
    <x v="161"/>
    <x v="244"/>
    <x v="475"/>
    <x v="263"/>
    <x v="0"/>
    <x v="0"/>
    <x v="0"/>
    <x v="0"/>
    <x v="16"/>
    <x v="0"/>
    <x v="0"/>
    <x v="344"/>
    <x v="240"/>
    <x v="36"/>
    <x v="0"/>
    <x v="0"/>
    <x v="646"/>
    <x v="185"/>
    <x v="0"/>
    <x v="727"/>
    <x v="0"/>
    <x v="29"/>
    <x v="130"/>
    <x v="600"/>
    <x v="3"/>
    <x v="11"/>
    <x v="761"/>
    <x v="1214"/>
  </r>
  <r>
    <x v="3"/>
    <x v="83"/>
    <x v="6"/>
    <x v="9"/>
    <x v="23"/>
    <x v="11"/>
    <x v="17"/>
    <x v="44"/>
    <x v="1228"/>
    <x v="0"/>
    <x v="42"/>
    <x v="203"/>
    <x v="182"/>
    <x v="563"/>
    <x v="289"/>
    <x v="0"/>
    <x v="0"/>
    <x v="58"/>
    <x v="0"/>
    <x v="0"/>
    <x v="0"/>
    <x v="1"/>
    <x v="228"/>
    <x v="39"/>
    <x v="14"/>
    <x v="0"/>
    <x v="0"/>
    <x v="646"/>
    <x v="0"/>
    <x v="0"/>
    <x v="958"/>
    <x v="12"/>
    <x v="94"/>
    <x v="108"/>
    <x v="236"/>
    <x v="1"/>
    <x v="627"/>
    <x v="4"/>
    <x v="13"/>
  </r>
  <r>
    <x v="3"/>
    <x v="83"/>
    <x v="6"/>
    <x v="1"/>
    <x v="50"/>
    <x v="11"/>
    <x v="19"/>
    <x v="61"/>
    <x v="589"/>
    <x v="0"/>
    <x v="14"/>
    <x v="27"/>
    <x v="65"/>
    <x v="27"/>
    <x v="25"/>
    <x v="0"/>
    <x v="0"/>
    <x v="9"/>
    <x v="0"/>
    <x v="10"/>
    <x v="0"/>
    <x v="4"/>
    <x v="24"/>
    <x v="61"/>
    <x v="22"/>
    <x v="0"/>
    <x v="0"/>
    <x v="646"/>
    <x v="612"/>
    <x v="0"/>
    <x v="201"/>
    <x v="14"/>
    <x v="15"/>
    <x v="31"/>
    <x v="64"/>
    <x v="7"/>
    <x v="734"/>
    <x v="452"/>
    <x v="94"/>
  </r>
  <r>
    <x v="3"/>
    <x v="83"/>
    <x v="6"/>
    <x v="1"/>
    <x v="69"/>
    <x v="11"/>
    <x v="19"/>
    <x v="74"/>
    <x v="561"/>
    <x v="0"/>
    <x v="14"/>
    <x v="23"/>
    <x v="48"/>
    <x v="15"/>
    <x v="15"/>
    <x v="0"/>
    <x v="0"/>
    <x v="13"/>
    <x v="0"/>
    <x v="8"/>
    <x v="0"/>
    <x v="4"/>
    <x v="14"/>
    <x v="47"/>
    <x v="4"/>
    <x v="9"/>
    <x v="52"/>
    <x v="389"/>
    <x v="628"/>
    <x v="0"/>
    <x v="184"/>
    <x v="16"/>
    <x v="13"/>
    <x v="20"/>
    <x v="39"/>
    <x v="7"/>
    <x v="751"/>
    <x v="267"/>
    <x v="44"/>
  </r>
  <r>
    <x v="3"/>
    <x v="83"/>
    <x v="6"/>
    <x v="1"/>
    <x v="46"/>
    <x v="11"/>
    <x v="19"/>
    <x v="64"/>
    <x v="168"/>
    <x v="0"/>
    <x v="24"/>
    <x v="63"/>
    <x v="41"/>
    <x v="73"/>
    <x v="62"/>
    <x v="0"/>
    <x v="0"/>
    <x v="0"/>
    <x v="0"/>
    <x v="13"/>
    <x v="0"/>
    <x v="4"/>
    <x v="41"/>
    <x v="120"/>
    <x v="22"/>
    <x v="0"/>
    <x v="0"/>
    <x v="646"/>
    <x v="473"/>
    <x v="0"/>
    <x v="373"/>
    <x v="31"/>
    <x v="22"/>
    <x v="16"/>
    <x v="58"/>
    <x v="7"/>
    <x v="669"/>
    <x v="666"/>
    <x v="78"/>
  </r>
  <r>
    <x v="3"/>
    <x v="83"/>
    <x v="3"/>
    <x v="2"/>
    <x v="74"/>
    <x v="9"/>
    <x v="5"/>
    <x v="7"/>
    <x v="603"/>
    <x v="0"/>
    <x v="42"/>
    <x v="153"/>
    <x v="86"/>
    <x v="576"/>
    <x v="292"/>
    <x v="0"/>
    <x v="4"/>
    <x v="0"/>
    <x v="0"/>
    <x v="8"/>
    <x v="0"/>
    <x v="0"/>
    <x v="373"/>
    <x v="615"/>
    <x v="37"/>
    <x v="2"/>
    <x v="273"/>
    <x v="569"/>
    <x v="103"/>
    <x v="14"/>
    <x v="824"/>
    <x v="0"/>
    <x v="102"/>
    <x v="130"/>
    <x v="247"/>
    <x v="5"/>
    <x v="497"/>
    <x v="374"/>
    <x v="765"/>
  </r>
  <r>
    <x v="3"/>
    <x v="83"/>
    <x v="3"/>
    <x v="5"/>
    <x v="12"/>
    <x v="7"/>
    <x v="7"/>
    <x v="27"/>
    <x v="1280"/>
    <x v="0"/>
    <x v="42"/>
    <x v="163"/>
    <x v="124"/>
    <x v="727"/>
    <x v="341"/>
    <x v="0"/>
    <x v="30"/>
    <x v="0"/>
    <x v="0"/>
    <x v="70"/>
    <x v="0"/>
    <x v="0"/>
    <x v="412"/>
    <x v="604"/>
    <x v="44"/>
    <x v="1"/>
    <x v="347"/>
    <x v="369"/>
    <x v="508"/>
    <x v="134"/>
    <x v="332"/>
    <x v="0"/>
    <x v="102"/>
    <x v="130"/>
    <x v="314"/>
    <x v="4"/>
    <x v="413"/>
    <x v="397"/>
    <x v="762"/>
  </r>
  <r>
    <x v="3"/>
    <x v="83"/>
    <x v="3"/>
    <x v="5"/>
    <x v="80"/>
    <x v="6"/>
    <x v="6"/>
    <x v="33"/>
    <x v="1280"/>
    <x v="0"/>
    <x v="42"/>
    <x v="138"/>
    <x v="57"/>
    <x v="247"/>
    <x v="171"/>
    <x v="0"/>
    <x v="78"/>
    <x v="0"/>
    <x v="0"/>
    <x v="68"/>
    <x v="0"/>
    <x v="0"/>
    <x v="250"/>
    <x v="139"/>
    <x v="32"/>
    <x v="1"/>
    <x v="75"/>
    <x v="100"/>
    <x v="715"/>
    <x v="428"/>
    <x v="73"/>
    <x v="0"/>
    <x v="102"/>
    <x v="130"/>
    <x v="83"/>
    <x v="4"/>
    <x v="625"/>
    <x v="12"/>
    <x v="73"/>
  </r>
  <r>
    <x v="3"/>
    <x v="83"/>
    <x v="3"/>
    <x v="0"/>
    <x v="1"/>
    <x v="5"/>
    <x v="1"/>
    <x v="16"/>
    <x v="600"/>
    <x v="0"/>
    <x v="42"/>
    <x v="107"/>
    <x v="29"/>
    <x v="293"/>
    <x v="196"/>
    <x v="28"/>
    <x v="12"/>
    <x v="0"/>
    <x v="0"/>
    <x v="40"/>
    <x v="0"/>
    <x v="0"/>
    <x v="280"/>
    <x v="656"/>
    <x v="38"/>
    <x v="7"/>
    <x v="618"/>
    <x v="312"/>
    <x v="515"/>
    <x v="106"/>
    <x v="321"/>
    <x v="0"/>
    <x v="102"/>
    <x v="130"/>
    <x v="108"/>
    <x v="6"/>
    <x v="598"/>
    <x v="328"/>
    <x v="665"/>
  </r>
  <r>
    <x v="3"/>
    <x v="83"/>
    <x v="3"/>
    <x v="7"/>
    <x v="82"/>
    <x v="11"/>
    <x v="10"/>
    <x v="37"/>
    <x v="1261"/>
    <x v="0"/>
    <x v="42"/>
    <x v="184"/>
    <x v="156"/>
    <x v="885"/>
    <x v="421"/>
    <x v="0"/>
    <x v="0"/>
    <x v="0"/>
    <x v="0"/>
    <x v="0"/>
    <x v="0"/>
    <x v="0"/>
    <x v="499"/>
    <x v="466"/>
    <x v="34"/>
    <x v="0"/>
    <x v="0"/>
    <x v="646"/>
    <x v="0"/>
    <x v="0"/>
    <x v="958"/>
    <x v="9"/>
    <x v="97"/>
    <x v="117"/>
    <x v="415"/>
    <x v="2"/>
    <x v="224"/>
    <x v="365"/>
    <x v="533"/>
  </r>
  <r>
    <x v="3"/>
    <x v="83"/>
    <x v="3"/>
    <x v="4"/>
    <x v="83"/>
    <x v="11"/>
    <x v="8"/>
    <x v="35"/>
    <x v="1254"/>
    <x v="0"/>
    <x v="42"/>
    <x v="184"/>
    <x v="156"/>
    <x v="885"/>
    <x v="421"/>
    <x v="0"/>
    <x v="0"/>
    <x v="0"/>
    <x v="0"/>
    <x v="0"/>
    <x v="0"/>
    <x v="0"/>
    <x v="499"/>
    <x v="466"/>
    <x v="35"/>
    <x v="0"/>
    <x v="0"/>
    <x v="646"/>
    <x v="0"/>
    <x v="0"/>
    <x v="958"/>
    <x v="9"/>
    <x v="97"/>
    <x v="117"/>
    <x v="415"/>
    <x v="2"/>
    <x v="224"/>
    <x v="365"/>
    <x v="533"/>
  </r>
  <r>
    <x v="3"/>
    <x v="83"/>
    <x v="5"/>
    <x v="2"/>
    <x v="74"/>
    <x v="9"/>
    <x v="5"/>
    <x v="7"/>
    <x v="604"/>
    <x v="2"/>
    <x v="14"/>
    <x v="30"/>
    <x v="85"/>
    <x v="113"/>
    <x v="93"/>
    <x v="41"/>
    <x v="0"/>
    <x v="0"/>
    <x v="0"/>
    <x v="2"/>
    <x v="3"/>
    <x v="0"/>
    <x v="183"/>
    <x v="745"/>
    <x v="37"/>
    <x v="2"/>
    <x v="35"/>
    <x v="89"/>
    <x v="87"/>
    <x v="0"/>
    <x v="851"/>
    <x v="0"/>
    <x v="29"/>
    <x v="130"/>
    <x v="332"/>
    <x v="5"/>
    <x v="383"/>
    <x v="642"/>
    <x v="1123"/>
  </r>
  <r>
    <x v="3"/>
    <x v="83"/>
    <x v="5"/>
    <x v="2"/>
    <x v="75"/>
    <x v="10"/>
    <x v="5"/>
    <x v="6"/>
    <x v="602"/>
    <x v="2"/>
    <x v="34"/>
    <x v="125"/>
    <x v="88"/>
    <x v="438"/>
    <x v="240"/>
    <x v="0"/>
    <x v="0"/>
    <x v="0"/>
    <x v="0"/>
    <x v="8"/>
    <x v="3"/>
    <x v="0"/>
    <x v="324"/>
    <x v="675"/>
    <x v="43"/>
    <x v="2"/>
    <x v="160"/>
    <x v="555"/>
    <x v="123"/>
    <x v="0"/>
    <x v="801"/>
    <x v="13"/>
    <x v="65"/>
    <x v="92"/>
    <x v="280"/>
    <x v="5"/>
    <x v="379"/>
    <x v="647"/>
    <x v="953"/>
  </r>
  <r>
    <x v="3"/>
    <x v="83"/>
    <x v="5"/>
    <x v="5"/>
    <x v="80"/>
    <x v="6"/>
    <x v="6"/>
    <x v="33"/>
    <x v="1283"/>
    <x v="2"/>
    <x v="42"/>
    <x v="138"/>
    <x v="57"/>
    <x v="476"/>
    <x v="257"/>
    <x v="0"/>
    <x v="30"/>
    <x v="0"/>
    <x v="0"/>
    <x v="55"/>
    <x v="2"/>
    <x v="0"/>
    <x v="338"/>
    <x v="606"/>
    <x v="32"/>
    <x v="1"/>
    <x v="169"/>
    <x v="307"/>
    <x v="526"/>
    <x v="204"/>
    <x v="310"/>
    <x v="0"/>
    <x v="102"/>
    <x v="130"/>
    <x v="185"/>
    <x v="4"/>
    <x v="540"/>
    <x v="69"/>
    <x v="275"/>
  </r>
  <r>
    <x v="3"/>
    <x v="83"/>
    <x v="5"/>
    <x v="5"/>
    <x v="12"/>
    <x v="7"/>
    <x v="7"/>
    <x v="27"/>
    <x v="1283"/>
    <x v="2"/>
    <x v="42"/>
    <x v="163"/>
    <x v="124"/>
    <x v="679"/>
    <x v="327"/>
    <x v="0"/>
    <x v="26"/>
    <x v="0"/>
    <x v="0"/>
    <x v="52"/>
    <x v="3"/>
    <x v="0"/>
    <x v="403"/>
    <x v="551"/>
    <x v="44"/>
    <x v="1"/>
    <x v="303"/>
    <x v="396"/>
    <x v="392"/>
    <x v="113"/>
    <x v="487"/>
    <x v="0"/>
    <x v="102"/>
    <x v="130"/>
    <x v="300"/>
    <x v="4"/>
    <x v="432"/>
    <x v="329"/>
    <x v="687"/>
  </r>
  <r>
    <x v="3"/>
    <x v="83"/>
    <x v="5"/>
    <x v="0"/>
    <x v="1"/>
    <x v="5"/>
    <x v="1"/>
    <x v="16"/>
    <x v="601"/>
    <x v="2"/>
    <x v="42"/>
    <x v="107"/>
    <x v="29"/>
    <x v="319"/>
    <x v="202"/>
    <x v="41"/>
    <x v="8"/>
    <x v="0"/>
    <x v="0"/>
    <x v="35"/>
    <x v="3"/>
    <x v="0"/>
    <x v="286"/>
    <x v="688"/>
    <x v="38"/>
    <x v="7"/>
    <x v="627"/>
    <x v="293"/>
    <x v="436"/>
    <x v="48"/>
    <x v="432"/>
    <x v="0"/>
    <x v="102"/>
    <x v="130"/>
    <x v="113"/>
    <x v="6"/>
    <x v="591"/>
    <x v="390"/>
    <x v="755"/>
  </r>
  <r>
    <x v="3"/>
    <x v="83"/>
    <x v="5"/>
    <x v="7"/>
    <x v="82"/>
    <x v="11"/>
    <x v="10"/>
    <x v="37"/>
    <x v="1272"/>
    <x v="2"/>
    <x v="42"/>
    <x v="184"/>
    <x v="156"/>
    <x v="882"/>
    <x v="414"/>
    <x v="0"/>
    <x v="0"/>
    <x v="0"/>
    <x v="0"/>
    <x v="0"/>
    <x v="0"/>
    <x v="0"/>
    <x v="487"/>
    <x v="435"/>
    <x v="34"/>
    <x v="0"/>
    <x v="0"/>
    <x v="646"/>
    <x v="0"/>
    <x v="0"/>
    <x v="958"/>
    <x v="0"/>
    <x v="102"/>
    <x v="130"/>
    <x v="401"/>
    <x v="2"/>
    <x v="309"/>
    <x v="184"/>
    <x v="509"/>
  </r>
  <r>
    <x v="3"/>
    <x v="83"/>
    <x v="5"/>
    <x v="4"/>
    <x v="83"/>
    <x v="11"/>
    <x v="8"/>
    <x v="35"/>
    <x v="1264"/>
    <x v="2"/>
    <x v="42"/>
    <x v="184"/>
    <x v="156"/>
    <x v="838"/>
    <x v="371"/>
    <x v="0"/>
    <x v="0"/>
    <x v="0"/>
    <x v="0"/>
    <x v="0"/>
    <x v="0"/>
    <x v="0"/>
    <x v="439"/>
    <x v="255"/>
    <x v="35"/>
    <x v="0"/>
    <x v="0"/>
    <x v="646"/>
    <x v="0"/>
    <x v="0"/>
    <x v="958"/>
    <x v="0"/>
    <x v="102"/>
    <x v="130"/>
    <x v="354"/>
    <x v="2"/>
    <x v="359"/>
    <x v="79"/>
    <x v="331"/>
  </r>
  <r>
    <x v="3"/>
    <x v="84"/>
    <x v="2"/>
    <x v="2"/>
    <x v="75"/>
    <x v="10"/>
    <x v="5"/>
    <x v="6"/>
    <x v="612"/>
    <x v="2"/>
    <x v="34"/>
    <x v="125"/>
    <x v="88"/>
    <x v="361"/>
    <x v="211"/>
    <x v="0"/>
    <x v="0"/>
    <x v="0"/>
    <x v="0"/>
    <x v="0"/>
    <x v="3"/>
    <x v="0"/>
    <x v="297"/>
    <x v="545"/>
    <x v="43"/>
    <x v="2"/>
    <x v="122"/>
    <x v="603"/>
    <x v="0"/>
    <x v="0"/>
    <x v="958"/>
    <x v="0"/>
    <x v="76"/>
    <x v="130"/>
    <x v="225"/>
    <x v="5"/>
    <x v="516"/>
    <x v="285"/>
    <x v="643"/>
  </r>
  <r>
    <x v="3"/>
    <x v="84"/>
    <x v="2"/>
    <x v="2"/>
    <x v="75"/>
    <x v="9"/>
    <x v="5"/>
    <x v="6"/>
    <x v="614"/>
    <x v="2"/>
    <x v="14"/>
    <x v="30"/>
    <x v="85"/>
    <x v="172"/>
    <x v="134"/>
    <x v="0"/>
    <x v="0"/>
    <x v="0"/>
    <x v="0"/>
    <x v="6"/>
    <x v="0"/>
    <x v="0"/>
    <x v="216"/>
    <x v="772"/>
    <x v="43"/>
    <x v="2"/>
    <x v="55"/>
    <x v="581"/>
    <x v="156"/>
    <x v="0"/>
    <x v="761"/>
    <x v="0"/>
    <x v="29"/>
    <x v="130"/>
    <x v="452"/>
    <x v="5"/>
    <x v="231"/>
    <x v="723"/>
    <x v="1188"/>
  </r>
  <r>
    <x v="3"/>
    <x v="84"/>
    <x v="2"/>
    <x v="5"/>
    <x v="80"/>
    <x v="6"/>
    <x v="6"/>
    <x v="33"/>
    <x v="1287"/>
    <x v="2"/>
    <x v="42"/>
    <x v="138"/>
    <x v="57"/>
    <x v="445"/>
    <x v="240"/>
    <x v="0"/>
    <x v="35"/>
    <x v="0"/>
    <x v="0"/>
    <x v="35"/>
    <x v="2"/>
    <x v="0"/>
    <x v="324"/>
    <x v="461"/>
    <x v="32"/>
    <x v="1"/>
    <x v="143"/>
    <x v="337"/>
    <x v="368"/>
    <x v="235"/>
    <x v="521"/>
    <x v="0"/>
    <x v="102"/>
    <x v="130"/>
    <x v="159"/>
    <x v="4"/>
    <x v="550"/>
    <x v="41"/>
    <x v="217"/>
  </r>
  <r>
    <x v="3"/>
    <x v="84"/>
    <x v="2"/>
    <x v="5"/>
    <x v="12"/>
    <x v="7"/>
    <x v="7"/>
    <x v="27"/>
    <x v="1287"/>
    <x v="2"/>
    <x v="42"/>
    <x v="163"/>
    <x v="124"/>
    <x v="739"/>
    <x v="346"/>
    <x v="0"/>
    <x v="0"/>
    <x v="0"/>
    <x v="0"/>
    <x v="50"/>
    <x v="3"/>
    <x v="0"/>
    <x v="414"/>
    <x v="623"/>
    <x v="44"/>
    <x v="1"/>
    <x v="356"/>
    <x v="488"/>
    <x v="352"/>
    <x v="0"/>
    <x v="532"/>
    <x v="0"/>
    <x v="102"/>
    <x v="130"/>
    <x v="320"/>
    <x v="4"/>
    <x v="407"/>
    <x v="429"/>
    <x v="841"/>
  </r>
  <r>
    <x v="3"/>
    <x v="84"/>
    <x v="2"/>
    <x v="0"/>
    <x v="1"/>
    <x v="5"/>
    <x v="1"/>
    <x v="16"/>
    <x v="605"/>
    <x v="2"/>
    <x v="42"/>
    <x v="107"/>
    <x v="29"/>
    <x v="292"/>
    <x v="196"/>
    <x v="21"/>
    <x v="10"/>
    <x v="0"/>
    <x v="0"/>
    <x v="32"/>
    <x v="3"/>
    <x v="0"/>
    <x v="280"/>
    <x v="656"/>
    <x v="38"/>
    <x v="7"/>
    <x v="616"/>
    <x v="339"/>
    <x v="413"/>
    <x v="86"/>
    <x v="463"/>
    <x v="0"/>
    <x v="102"/>
    <x v="130"/>
    <x v="108"/>
    <x v="6"/>
    <x v="598"/>
    <x v="328"/>
    <x v="685"/>
  </r>
  <r>
    <x v="3"/>
    <x v="84"/>
    <x v="2"/>
    <x v="7"/>
    <x v="82"/>
    <x v="11"/>
    <x v="10"/>
    <x v="37"/>
    <x v="1281"/>
    <x v="2"/>
    <x v="42"/>
    <x v="184"/>
    <x v="156"/>
    <x v="885"/>
    <x v="421"/>
    <x v="0"/>
    <x v="0"/>
    <x v="0"/>
    <x v="0"/>
    <x v="0"/>
    <x v="0"/>
    <x v="0"/>
    <x v="499"/>
    <x v="466"/>
    <x v="34"/>
    <x v="0"/>
    <x v="0"/>
    <x v="646"/>
    <x v="0"/>
    <x v="0"/>
    <x v="958"/>
    <x v="0"/>
    <x v="102"/>
    <x v="130"/>
    <x v="415"/>
    <x v="2"/>
    <x v="300"/>
    <x v="201"/>
    <x v="533"/>
  </r>
  <r>
    <x v="3"/>
    <x v="84"/>
    <x v="2"/>
    <x v="4"/>
    <x v="83"/>
    <x v="11"/>
    <x v="8"/>
    <x v="35"/>
    <x v="1266"/>
    <x v="2"/>
    <x v="42"/>
    <x v="184"/>
    <x v="156"/>
    <x v="882"/>
    <x v="414"/>
    <x v="0"/>
    <x v="0"/>
    <x v="0"/>
    <x v="0"/>
    <x v="0"/>
    <x v="0"/>
    <x v="0"/>
    <x v="487"/>
    <x v="435"/>
    <x v="35"/>
    <x v="0"/>
    <x v="0"/>
    <x v="646"/>
    <x v="0"/>
    <x v="0"/>
    <x v="958"/>
    <x v="0"/>
    <x v="102"/>
    <x v="130"/>
    <x v="401"/>
    <x v="2"/>
    <x v="309"/>
    <x v="184"/>
    <x v="509"/>
  </r>
  <r>
    <x v="3"/>
    <x v="84"/>
    <x v="2"/>
    <x v="0"/>
    <x v="0"/>
    <x v="11"/>
    <x v="0"/>
    <x v="13"/>
    <x v="146"/>
    <x v="2"/>
    <x v="28"/>
    <x v="56"/>
    <x v="18"/>
    <x v="130"/>
    <x v="98"/>
    <x v="28"/>
    <x v="69"/>
    <x v="0"/>
    <x v="0"/>
    <x v="30"/>
    <x v="3"/>
    <x v="0"/>
    <x v="187"/>
    <x v="466"/>
    <x v="38"/>
    <x v="5"/>
    <x v="281"/>
    <x v="65"/>
    <x v="646"/>
    <x v="447"/>
    <x v="179"/>
    <x v="16"/>
    <x v="53"/>
    <x v="70"/>
    <x v="71"/>
    <x v="6"/>
    <x v="593"/>
    <x v="376"/>
    <x v="285"/>
  </r>
  <r>
    <x v="3"/>
    <x v="84"/>
    <x v="6"/>
    <x v="8"/>
    <x v="84"/>
    <x v="11"/>
    <x v="19"/>
    <x v="34"/>
    <x v="1256"/>
    <x v="0"/>
    <x v="42"/>
    <x v="231"/>
    <x v="244"/>
    <x v="1025"/>
    <x v="574"/>
    <x v="0"/>
    <x v="0"/>
    <x v="0"/>
    <x v="0"/>
    <x v="123"/>
    <x v="0"/>
    <x v="1"/>
    <x v="571"/>
    <x v="490"/>
    <x v="36"/>
    <x v="0"/>
    <x v="0"/>
    <x v="646"/>
    <x v="393"/>
    <x v="0"/>
    <x v="481"/>
    <x v="12"/>
    <x v="94"/>
    <x v="108"/>
    <x v="634"/>
    <x v="3"/>
    <x v="77"/>
    <x v="710"/>
    <x v="1161"/>
  </r>
  <r>
    <x v="3"/>
    <x v="84"/>
    <x v="6"/>
    <x v="1"/>
    <x v="8"/>
    <x v="11"/>
    <x v="19"/>
    <x v="58"/>
    <x v="361"/>
    <x v="0"/>
    <x v="42"/>
    <x v="176"/>
    <x v="143"/>
    <x v="848"/>
    <x v="378"/>
    <x v="0"/>
    <x v="0"/>
    <x v="39"/>
    <x v="0"/>
    <x v="73"/>
    <x v="0"/>
    <x v="5"/>
    <x v="147"/>
    <x v="576"/>
    <x v="3"/>
    <x v="0"/>
    <x v="0"/>
    <x v="646"/>
    <x v="446"/>
    <x v="0"/>
    <x v="410"/>
    <x v="12"/>
    <x v="94"/>
    <x v="108"/>
    <x v="360"/>
    <x v="7"/>
    <x v="663"/>
    <x v="677"/>
    <x v="1107"/>
  </r>
  <r>
    <x v="3"/>
    <x v="84"/>
    <x v="3"/>
    <x v="7"/>
    <x v="82"/>
    <x v="11"/>
    <x v="10"/>
    <x v="37"/>
    <x v="1288"/>
    <x v="0"/>
    <x v="42"/>
    <x v="184"/>
    <x v="156"/>
    <x v="885"/>
    <x v="421"/>
    <x v="0"/>
    <x v="0"/>
    <x v="0"/>
    <x v="0"/>
    <x v="0"/>
    <x v="0"/>
    <x v="0"/>
    <x v="499"/>
    <x v="466"/>
    <x v="34"/>
    <x v="0"/>
    <x v="0"/>
    <x v="646"/>
    <x v="0"/>
    <x v="0"/>
    <x v="958"/>
    <x v="9"/>
    <x v="97"/>
    <x v="117"/>
    <x v="415"/>
    <x v="2"/>
    <x v="224"/>
    <x v="365"/>
    <x v="533"/>
  </r>
  <r>
    <x v="3"/>
    <x v="84"/>
    <x v="3"/>
    <x v="4"/>
    <x v="83"/>
    <x v="11"/>
    <x v="8"/>
    <x v="35"/>
    <x v="1276"/>
    <x v="0"/>
    <x v="42"/>
    <x v="184"/>
    <x v="156"/>
    <x v="885"/>
    <x v="421"/>
    <x v="0"/>
    <x v="0"/>
    <x v="0"/>
    <x v="0"/>
    <x v="0"/>
    <x v="0"/>
    <x v="0"/>
    <x v="499"/>
    <x v="466"/>
    <x v="35"/>
    <x v="0"/>
    <x v="0"/>
    <x v="646"/>
    <x v="0"/>
    <x v="0"/>
    <x v="958"/>
    <x v="9"/>
    <x v="97"/>
    <x v="117"/>
    <x v="415"/>
    <x v="2"/>
    <x v="224"/>
    <x v="365"/>
    <x v="533"/>
  </r>
  <r>
    <x v="3"/>
    <x v="84"/>
    <x v="3"/>
    <x v="5"/>
    <x v="12"/>
    <x v="7"/>
    <x v="7"/>
    <x v="27"/>
    <x v="1290"/>
    <x v="0"/>
    <x v="42"/>
    <x v="163"/>
    <x v="124"/>
    <x v="813"/>
    <x v="356"/>
    <x v="0"/>
    <x v="0"/>
    <x v="0"/>
    <x v="0"/>
    <x v="60"/>
    <x v="0"/>
    <x v="0"/>
    <x v="423"/>
    <x v="678"/>
    <x v="44"/>
    <x v="1"/>
    <x v="420"/>
    <x v="490"/>
    <x v="402"/>
    <x v="0"/>
    <x v="471"/>
    <x v="0"/>
    <x v="102"/>
    <x v="130"/>
    <x v="335"/>
    <x v="4"/>
    <x v="381"/>
    <x v="521"/>
    <x v="983"/>
  </r>
  <r>
    <x v="3"/>
    <x v="84"/>
    <x v="3"/>
    <x v="2"/>
    <x v="75"/>
    <x v="9"/>
    <x v="5"/>
    <x v="6"/>
    <x v="615"/>
    <x v="0"/>
    <x v="42"/>
    <x v="153"/>
    <x v="86"/>
    <x v="656"/>
    <x v="327"/>
    <x v="0"/>
    <x v="0"/>
    <x v="0"/>
    <x v="0"/>
    <x v="8"/>
    <x v="0"/>
    <x v="0"/>
    <x v="403"/>
    <x v="703"/>
    <x v="43"/>
    <x v="2"/>
    <x v="365"/>
    <x v="623"/>
    <x v="94"/>
    <x v="0"/>
    <x v="839"/>
    <x v="0"/>
    <x v="102"/>
    <x v="130"/>
    <x v="300"/>
    <x v="5"/>
    <x v="432"/>
    <x v="550"/>
    <x v="1029"/>
  </r>
  <r>
    <x v="3"/>
    <x v="84"/>
    <x v="3"/>
    <x v="0"/>
    <x v="0"/>
    <x v="4"/>
    <x v="0"/>
    <x v="13"/>
    <x v="606"/>
    <x v="0"/>
    <x v="42"/>
    <x v="107"/>
    <x v="29"/>
    <x v="260"/>
    <x v="183"/>
    <x v="2"/>
    <x v="22"/>
    <x v="0"/>
    <x v="0"/>
    <x v="40"/>
    <x v="0"/>
    <x v="0"/>
    <x v="266"/>
    <x v="565"/>
    <x v="38"/>
    <x v="5"/>
    <x v="550"/>
    <x v="291"/>
    <x v="548"/>
    <x v="218"/>
    <x v="287"/>
    <x v="0"/>
    <x v="102"/>
    <x v="130"/>
    <x v="93"/>
    <x v="6"/>
    <x v="615"/>
    <x v="193"/>
    <x v="488"/>
  </r>
  <r>
    <x v="3"/>
    <x v="84"/>
    <x v="3"/>
    <x v="0"/>
    <x v="1"/>
    <x v="5"/>
    <x v="1"/>
    <x v="16"/>
    <x v="608"/>
    <x v="0"/>
    <x v="42"/>
    <x v="107"/>
    <x v="29"/>
    <x v="318"/>
    <x v="202"/>
    <x v="36"/>
    <x v="16"/>
    <x v="0"/>
    <x v="0"/>
    <x v="30"/>
    <x v="0"/>
    <x v="0"/>
    <x v="286"/>
    <x v="688"/>
    <x v="38"/>
    <x v="7"/>
    <x v="625"/>
    <x v="324"/>
    <x v="377"/>
    <x v="142"/>
    <x v="508"/>
    <x v="0"/>
    <x v="102"/>
    <x v="130"/>
    <x v="113"/>
    <x v="6"/>
    <x v="591"/>
    <x v="390"/>
    <x v="763"/>
  </r>
  <r>
    <x v="3"/>
    <x v="84"/>
    <x v="3"/>
    <x v="5"/>
    <x v="80"/>
    <x v="6"/>
    <x v="6"/>
    <x v="33"/>
    <x v="1290"/>
    <x v="0"/>
    <x v="42"/>
    <x v="138"/>
    <x v="57"/>
    <x v="504"/>
    <x v="266"/>
    <x v="0"/>
    <x v="30"/>
    <x v="0"/>
    <x v="0"/>
    <x v="50"/>
    <x v="0"/>
    <x v="0"/>
    <x v="347"/>
    <x v="626"/>
    <x v="32"/>
    <x v="1"/>
    <x v="181"/>
    <x v="351"/>
    <x v="469"/>
    <x v="199"/>
    <x v="383"/>
    <x v="0"/>
    <x v="102"/>
    <x v="130"/>
    <x v="194"/>
    <x v="4"/>
    <x v="536"/>
    <x v="79"/>
    <x v="310"/>
  </r>
  <r>
    <x v="3"/>
    <x v="84"/>
    <x v="5"/>
    <x v="0"/>
    <x v="0"/>
    <x v="1"/>
    <x v="0"/>
    <x v="13"/>
    <x v="609"/>
    <x v="4"/>
    <x v="42"/>
    <x v="107"/>
    <x v="29"/>
    <x v="56"/>
    <x v="50"/>
    <x v="12"/>
    <x v="13"/>
    <x v="0"/>
    <x v="0"/>
    <x v="27"/>
    <x v="3"/>
    <x v="0"/>
    <x v="127"/>
    <x v="18"/>
    <x v="38"/>
    <x v="5"/>
    <x v="95"/>
    <x v="95"/>
    <x v="729"/>
    <x v="356"/>
    <x v="51"/>
    <x v="53"/>
    <x v="35"/>
    <x v="12"/>
    <x v="12"/>
    <x v="6"/>
    <x v="601"/>
    <x v="295"/>
    <x v="20"/>
  </r>
  <r>
    <x v="3"/>
    <x v="84"/>
    <x v="5"/>
    <x v="2"/>
    <x v="75"/>
    <x v="9"/>
    <x v="19"/>
    <x v="6"/>
    <x v="616"/>
    <x v="4"/>
    <x v="18"/>
    <x v="57"/>
    <x v="93"/>
    <x v="116"/>
    <x v="99"/>
    <x v="0"/>
    <x v="0"/>
    <x v="0"/>
    <x v="0"/>
    <x v="2"/>
    <x v="0"/>
    <x v="0"/>
    <x v="188"/>
    <x v="466"/>
    <x v="43"/>
    <x v="2"/>
    <x v="33"/>
    <x v="628"/>
    <x v="85"/>
    <x v="0"/>
    <x v="854"/>
    <x v="0"/>
    <x v="39"/>
    <x v="130"/>
    <x v="206"/>
    <x v="5"/>
    <x v="528"/>
    <x v="222"/>
    <x v="555"/>
  </r>
  <r>
    <x v="3"/>
    <x v="84"/>
    <x v="5"/>
    <x v="5"/>
    <x v="80"/>
    <x v="6"/>
    <x v="6"/>
    <x v="33"/>
    <x v="1293"/>
    <x v="4"/>
    <x v="42"/>
    <x v="138"/>
    <x v="57"/>
    <x v="500"/>
    <x v="266"/>
    <x v="0"/>
    <x v="8"/>
    <x v="0"/>
    <x v="0"/>
    <x v="45"/>
    <x v="0"/>
    <x v="0"/>
    <x v="347"/>
    <x v="626"/>
    <x v="32"/>
    <x v="1"/>
    <x v="175"/>
    <x v="446"/>
    <x v="419"/>
    <x v="33"/>
    <x v="450"/>
    <x v="0"/>
    <x v="102"/>
    <x v="130"/>
    <x v="194"/>
    <x v="4"/>
    <x v="536"/>
    <x v="79"/>
    <x v="314"/>
  </r>
  <r>
    <x v="3"/>
    <x v="84"/>
    <x v="5"/>
    <x v="7"/>
    <x v="82"/>
    <x v="11"/>
    <x v="10"/>
    <x v="37"/>
    <x v="1292"/>
    <x v="4"/>
    <x v="42"/>
    <x v="184"/>
    <x v="156"/>
    <x v="885"/>
    <x v="421"/>
    <x v="0"/>
    <x v="0"/>
    <x v="0"/>
    <x v="0"/>
    <x v="0"/>
    <x v="0"/>
    <x v="0"/>
    <x v="499"/>
    <x v="466"/>
    <x v="34"/>
    <x v="0"/>
    <x v="0"/>
    <x v="646"/>
    <x v="0"/>
    <x v="0"/>
    <x v="958"/>
    <x v="5"/>
    <x v="100"/>
    <x v="127"/>
    <x v="415"/>
    <x v="2"/>
    <x v="264"/>
    <x v="273"/>
    <x v="533"/>
  </r>
  <r>
    <x v="3"/>
    <x v="84"/>
    <x v="5"/>
    <x v="4"/>
    <x v="83"/>
    <x v="11"/>
    <x v="8"/>
    <x v="35"/>
    <x v="1285"/>
    <x v="4"/>
    <x v="42"/>
    <x v="184"/>
    <x v="156"/>
    <x v="838"/>
    <x v="371"/>
    <x v="0"/>
    <x v="0"/>
    <x v="0"/>
    <x v="0"/>
    <x v="0"/>
    <x v="0"/>
    <x v="0"/>
    <x v="439"/>
    <x v="255"/>
    <x v="35"/>
    <x v="0"/>
    <x v="0"/>
    <x v="646"/>
    <x v="0"/>
    <x v="0"/>
    <x v="958"/>
    <x v="5"/>
    <x v="100"/>
    <x v="127"/>
    <x v="354"/>
    <x v="2"/>
    <x v="352"/>
    <x v="95"/>
    <x v="331"/>
  </r>
  <r>
    <x v="3"/>
    <x v="84"/>
    <x v="5"/>
    <x v="5"/>
    <x v="12"/>
    <x v="7"/>
    <x v="7"/>
    <x v="27"/>
    <x v="1293"/>
    <x v="4"/>
    <x v="42"/>
    <x v="163"/>
    <x v="124"/>
    <x v="814"/>
    <x v="356"/>
    <x v="0"/>
    <x v="0"/>
    <x v="0"/>
    <x v="0"/>
    <x v="65"/>
    <x v="0"/>
    <x v="0"/>
    <x v="423"/>
    <x v="678"/>
    <x v="44"/>
    <x v="1"/>
    <x v="421"/>
    <x v="483"/>
    <x v="439"/>
    <x v="0"/>
    <x v="423"/>
    <x v="0"/>
    <x v="102"/>
    <x v="130"/>
    <x v="335"/>
    <x v="4"/>
    <x v="381"/>
    <x v="521"/>
    <x v="981"/>
  </r>
  <r>
    <x v="3"/>
    <x v="84"/>
    <x v="5"/>
    <x v="0"/>
    <x v="1"/>
    <x v="2"/>
    <x v="1"/>
    <x v="16"/>
    <x v="611"/>
    <x v="4"/>
    <x v="42"/>
    <x v="107"/>
    <x v="29"/>
    <x v="218"/>
    <x v="161"/>
    <x v="7"/>
    <x v="12"/>
    <x v="0"/>
    <x v="0"/>
    <x v="35"/>
    <x v="3"/>
    <x v="0"/>
    <x v="240"/>
    <x v="329"/>
    <x v="38"/>
    <x v="7"/>
    <x v="588"/>
    <x v="288"/>
    <x v="546"/>
    <x v="155"/>
    <x v="289"/>
    <x v="0"/>
    <x v="102"/>
    <x v="130"/>
    <x v="75"/>
    <x v="6"/>
    <x v="629"/>
    <x v="89"/>
    <x v="335"/>
  </r>
  <r>
    <x v="3"/>
    <x v="84"/>
    <x v="5"/>
    <x v="2"/>
    <x v="75"/>
    <x v="10"/>
    <x v="19"/>
    <x v="6"/>
    <x v="613"/>
    <x v="4"/>
    <x v="29"/>
    <x v="114"/>
    <x v="82"/>
    <x v="399"/>
    <x v="220"/>
    <x v="0"/>
    <x v="0"/>
    <x v="0"/>
    <x v="0"/>
    <x v="0"/>
    <x v="0"/>
    <x v="0"/>
    <x v="307"/>
    <x v="718"/>
    <x v="43"/>
    <x v="2"/>
    <x v="135"/>
    <x v="645"/>
    <x v="0"/>
    <x v="0"/>
    <x v="958"/>
    <x v="0"/>
    <x v="67"/>
    <x v="130"/>
    <x v="310"/>
    <x v="5"/>
    <x v="418"/>
    <x v="584"/>
    <x v="1059"/>
  </r>
  <r>
    <x v="3"/>
    <x v="85"/>
    <x v="2"/>
    <x v="5"/>
    <x v="80"/>
    <x v="6"/>
    <x v="6"/>
    <x v="33"/>
    <x v="1295"/>
    <x v="2"/>
    <x v="42"/>
    <x v="138"/>
    <x v="57"/>
    <x v="70"/>
    <x v="60"/>
    <x v="0"/>
    <x v="0"/>
    <x v="0"/>
    <x v="0"/>
    <x v="20"/>
    <x v="4"/>
    <x v="0"/>
    <x v="144"/>
    <x v="10"/>
    <x v="32"/>
    <x v="1"/>
    <x v="9"/>
    <x v="262"/>
    <x v="635"/>
    <x v="0"/>
    <x v="173"/>
    <x v="42"/>
    <x v="55"/>
    <x v="31"/>
    <x v="15"/>
    <x v="4"/>
    <x v="634"/>
    <x v="9"/>
    <x v="9"/>
  </r>
  <r>
    <x v="3"/>
    <x v="85"/>
    <x v="2"/>
    <x v="5"/>
    <x v="12"/>
    <x v="7"/>
    <x v="7"/>
    <x v="27"/>
    <x v="1295"/>
    <x v="2"/>
    <x v="42"/>
    <x v="163"/>
    <x v="124"/>
    <x v="830"/>
    <x v="359"/>
    <x v="0"/>
    <x v="40"/>
    <x v="0"/>
    <x v="0"/>
    <x v="39"/>
    <x v="5"/>
    <x v="0"/>
    <x v="426"/>
    <x v="693"/>
    <x v="44"/>
    <x v="1"/>
    <x v="445"/>
    <x v="404"/>
    <x v="275"/>
    <x v="168"/>
    <x v="632"/>
    <x v="0"/>
    <x v="102"/>
    <x v="130"/>
    <x v="338"/>
    <x v="4"/>
    <x v="376"/>
    <x v="546"/>
    <x v="1012"/>
  </r>
  <r>
    <x v="3"/>
    <x v="85"/>
    <x v="2"/>
    <x v="0"/>
    <x v="1"/>
    <x v="5"/>
    <x v="1"/>
    <x v="16"/>
    <x v="619"/>
    <x v="2"/>
    <x v="42"/>
    <x v="107"/>
    <x v="29"/>
    <x v="294"/>
    <x v="196"/>
    <x v="0"/>
    <x v="11"/>
    <x v="0"/>
    <x v="0"/>
    <x v="40"/>
    <x v="3"/>
    <x v="0"/>
    <x v="280"/>
    <x v="656"/>
    <x v="38"/>
    <x v="7"/>
    <x v="615"/>
    <x v="348"/>
    <x v="515"/>
    <x v="95"/>
    <x v="324"/>
    <x v="0"/>
    <x v="102"/>
    <x v="130"/>
    <x v="108"/>
    <x v="6"/>
    <x v="598"/>
    <x v="328"/>
    <x v="666"/>
  </r>
  <r>
    <x v="3"/>
    <x v="85"/>
    <x v="2"/>
    <x v="7"/>
    <x v="82"/>
    <x v="11"/>
    <x v="10"/>
    <x v="37"/>
    <x v="1294"/>
    <x v="2"/>
    <x v="14"/>
    <x v="70"/>
    <x v="156"/>
    <x v="178"/>
    <x v="143"/>
    <x v="0"/>
    <x v="0"/>
    <x v="0"/>
    <x v="0"/>
    <x v="0"/>
    <x v="0"/>
    <x v="0"/>
    <x v="222"/>
    <x v="666"/>
    <x v="34"/>
    <x v="0"/>
    <x v="0"/>
    <x v="646"/>
    <x v="0"/>
    <x v="0"/>
    <x v="958"/>
    <x v="0"/>
    <x v="29"/>
    <x v="130"/>
    <x v="461"/>
    <x v="2"/>
    <x v="178"/>
    <x v="444"/>
    <x v="893"/>
  </r>
  <r>
    <x v="3"/>
    <x v="85"/>
    <x v="2"/>
    <x v="4"/>
    <x v="83"/>
    <x v="11"/>
    <x v="8"/>
    <x v="35"/>
    <x v="1286"/>
    <x v="2"/>
    <x v="34"/>
    <x v="174"/>
    <x v="156"/>
    <x v="652"/>
    <x v="327"/>
    <x v="0"/>
    <x v="0"/>
    <x v="0"/>
    <x v="0"/>
    <x v="0"/>
    <x v="0"/>
    <x v="0"/>
    <x v="403"/>
    <x v="378"/>
    <x v="35"/>
    <x v="0"/>
    <x v="0"/>
    <x v="646"/>
    <x v="0"/>
    <x v="0"/>
    <x v="958"/>
    <x v="9"/>
    <x v="68"/>
    <x v="106"/>
    <x v="385"/>
    <x v="2"/>
    <x v="244"/>
    <x v="329"/>
    <x v="438"/>
  </r>
  <r>
    <x v="3"/>
    <x v="85"/>
    <x v="2"/>
    <x v="4"/>
    <x v="58"/>
    <x v="11"/>
    <x v="8"/>
    <x v="31"/>
    <x v="1243"/>
    <x v="2"/>
    <x v="14"/>
    <x v="70"/>
    <x v="156"/>
    <x v="135"/>
    <x v="112"/>
    <x v="0"/>
    <x v="0"/>
    <x v="0"/>
    <x v="0"/>
    <x v="0"/>
    <x v="0"/>
    <x v="0"/>
    <x v="198"/>
    <x v="305"/>
    <x v="15"/>
    <x v="0"/>
    <x v="0"/>
    <x v="646"/>
    <x v="0"/>
    <x v="0"/>
    <x v="958"/>
    <x v="5"/>
    <x v="25"/>
    <x v="89"/>
    <x v="369"/>
    <x v="2"/>
    <x v="233"/>
    <x v="345"/>
    <x v="375"/>
  </r>
  <r>
    <x v="3"/>
    <x v="85"/>
    <x v="2"/>
    <x v="7"/>
    <x v="20"/>
    <x v="11"/>
    <x v="10"/>
    <x v="29"/>
    <x v="1252"/>
    <x v="2"/>
    <x v="34"/>
    <x v="174"/>
    <x v="156"/>
    <x v="707"/>
    <x v="341"/>
    <x v="0"/>
    <x v="0"/>
    <x v="0"/>
    <x v="0"/>
    <x v="0"/>
    <x v="0"/>
    <x v="0"/>
    <x v="412"/>
    <x v="446"/>
    <x v="11"/>
    <x v="0"/>
    <x v="0"/>
    <x v="646"/>
    <x v="0"/>
    <x v="0"/>
    <x v="958"/>
    <x v="5"/>
    <x v="72"/>
    <x v="124"/>
    <x v="406"/>
    <x v="2"/>
    <x v="261"/>
    <x v="282"/>
    <x v="517"/>
  </r>
  <r>
    <x v="3"/>
    <x v="85"/>
    <x v="2"/>
    <x v="0"/>
    <x v="0"/>
    <x v="2"/>
    <x v="0"/>
    <x v="13"/>
    <x v="617"/>
    <x v="2"/>
    <x v="42"/>
    <x v="107"/>
    <x v="29"/>
    <x v="127"/>
    <x v="98"/>
    <x v="0"/>
    <x v="40"/>
    <x v="0"/>
    <x v="0"/>
    <x v="35"/>
    <x v="3"/>
    <x v="0"/>
    <x v="187"/>
    <x v="62"/>
    <x v="38"/>
    <x v="5"/>
    <x v="266"/>
    <x v="103"/>
    <x v="689"/>
    <x v="410"/>
    <x v="102"/>
    <x v="0"/>
    <x v="102"/>
    <x v="130"/>
    <x v="26"/>
    <x v="6"/>
    <x v="641"/>
    <x v="11"/>
    <x v="70"/>
  </r>
  <r>
    <x v="3"/>
    <x v="85"/>
    <x v="2"/>
    <x v="2"/>
    <x v="75"/>
    <x v="9"/>
    <x v="5"/>
    <x v="6"/>
    <x v="622"/>
    <x v="2"/>
    <x v="42"/>
    <x v="153"/>
    <x v="86"/>
    <x v="656"/>
    <x v="327"/>
    <x v="0"/>
    <x v="0"/>
    <x v="0"/>
    <x v="0"/>
    <x v="0"/>
    <x v="3"/>
    <x v="0"/>
    <x v="403"/>
    <x v="703"/>
    <x v="43"/>
    <x v="2"/>
    <x v="365"/>
    <x v="623"/>
    <x v="0"/>
    <x v="0"/>
    <x v="958"/>
    <x v="0"/>
    <x v="102"/>
    <x v="130"/>
    <x v="300"/>
    <x v="5"/>
    <x v="432"/>
    <x v="550"/>
    <x v="1042"/>
  </r>
  <r>
    <x v="3"/>
    <x v="85"/>
    <x v="6"/>
    <x v="1"/>
    <x v="5"/>
    <x v="11"/>
    <x v="19"/>
    <x v="14"/>
    <x v="607"/>
    <x v="0"/>
    <x v="42"/>
    <x v="168"/>
    <x v="131"/>
    <x v="769"/>
    <x v="349"/>
    <x v="0"/>
    <x v="0"/>
    <x v="50"/>
    <x v="0"/>
    <x v="59"/>
    <x v="0"/>
    <x v="4"/>
    <x v="155"/>
    <x v="581"/>
    <x v="0"/>
    <x v="0"/>
    <x v="0"/>
    <x v="646"/>
    <x v="410"/>
    <x v="0"/>
    <x v="461"/>
    <x v="12"/>
    <x v="94"/>
    <x v="108"/>
    <x v="325"/>
    <x v="7"/>
    <x v="651"/>
    <x v="695"/>
    <x v="1137"/>
  </r>
  <r>
    <x v="3"/>
    <x v="85"/>
    <x v="6"/>
    <x v="9"/>
    <x v="24"/>
    <x v="11"/>
    <x v="17"/>
    <x v="32"/>
    <x v="1226"/>
    <x v="0"/>
    <x v="42"/>
    <x v="230"/>
    <x v="238"/>
    <x v="1013"/>
    <x v="563"/>
    <x v="0"/>
    <x v="0"/>
    <x v="0"/>
    <x v="0"/>
    <x v="0"/>
    <x v="0"/>
    <x v="1"/>
    <x v="550"/>
    <x v="543"/>
    <x v="15"/>
    <x v="0"/>
    <x v="0"/>
    <x v="646"/>
    <x v="0"/>
    <x v="0"/>
    <x v="958"/>
    <x v="12"/>
    <x v="94"/>
    <x v="108"/>
    <x v="620"/>
    <x v="1"/>
    <x v="111"/>
    <x v="145"/>
    <x v="325"/>
  </r>
  <r>
    <x v="3"/>
    <x v="85"/>
    <x v="6"/>
    <x v="8"/>
    <x v="62"/>
    <x v="11"/>
    <x v="19"/>
    <x v="30"/>
    <x v="1255"/>
    <x v="0"/>
    <x v="14"/>
    <x v="161"/>
    <x v="244"/>
    <x v="430"/>
    <x v="235"/>
    <x v="0"/>
    <x v="0"/>
    <x v="0"/>
    <x v="0"/>
    <x v="24"/>
    <x v="0"/>
    <x v="1"/>
    <x v="209"/>
    <x v="174"/>
    <x v="27"/>
    <x v="0"/>
    <x v="0"/>
    <x v="646"/>
    <x v="272"/>
    <x v="0"/>
    <x v="633"/>
    <x v="12"/>
    <x v="17"/>
    <x v="40"/>
    <x v="569"/>
    <x v="3"/>
    <x v="47"/>
    <x v="734"/>
    <x v="915"/>
  </r>
  <r>
    <x v="3"/>
    <x v="85"/>
    <x v="6"/>
    <x v="8"/>
    <x v="84"/>
    <x v="11"/>
    <x v="19"/>
    <x v="34"/>
    <x v="1277"/>
    <x v="0"/>
    <x v="34"/>
    <x v="226"/>
    <x v="244"/>
    <x v="1002"/>
    <x v="548"/>
    <x v="0"/>
    <x v="0"/>
    <x v="0"/>
    <x v="0"/>
    <x v="127"/>
    <x v="0"/>
    <x v="1"/>
    <x v="530"/>
    <x v="591"/>
    <x v="36"/>
    <x v="0"/>
    <x v="0"/>
    <x v="646"/>
    <x v="647"/>
    <x v="0"/>
    <x v="154"/>
    <x v="0"/>
    <x v="76"/>
    <x v="130"/>
    <x v="635"/>
    <x v="3"/>
    <x v="98"/>
    <x v="699"/>
    <x v="1169"/>
  </r>
  <r>
    <x v="3"/>
    <x v="85"/>
    <x v="3"/>
    <x v="7"/>
    <x v="20"/>
    <x v="11"/>
    <x v="10"/>
    <x v="29"/>
    <x v="1262"/>
    <x v="0"/>
    <x v="42"/>
    <x v="184"/>
    <x v="156"/>
    <x v="885"/>
    <x v="421"/>
    <x v="0"/>
    <x v="0"/>
    <x v="0"/>
    <x v="0"/>
    <x v="0"/>
    <x v="0"/>
    <x v="0"/>
    <x v="499"/>
    <x v="466"/>
    <x v="11"/>
    <x v="0"/>
    <x v="0"/>
    <x v="646"/>
    <x v="0"/>
    <x v="0"/>
    <x v="958"/>
    <x v="9"/>
    <x v="97"/>
    <x v="117"/>
    <x v="415"/>
    <x v="2"/>
    <x v="224"/>
    <x v="365"/>
    <x v="533"/>
  </r>
  <r>
    <x v="3"/>
    <x v="85"/>
    <x v="3"/>
    <x v="4"/>
    <x v="58"/>
    <x v="11"/>
    <x v="8"/>
    <x v="31"/>
    <x v="1257"/>
    <x v="0"/>
    <x v="42"/>
    <x v="184"/>
    <x v="156"/>
    <x v="893"/>
    <x v="429"/>
    <x v="0"/>
    <x v="0"/>
    <x v="0"/>
    <x v="0"/>
    <x v="0"/>
    <x v="0"/>
    <x v="0"/>
    <x v="512"/>
    <x v="531"/>
    <x v="15"/>
    <x v="0"/>
    <x v="0"/>
    <x v="646"/>
    <x v="0"/>
    <x v="0"/>
    <x v="958"/>
    <x v="9"/>
    <x v="97"/>
    <x v="117"/>
    <x v="431"/>
    <x v="2"/>
    <x v="199"/>
    <x v="408"/>
    <x v="596"/>
  </r>
  <r>
    <x v="3"/>
    <x v="85"/>
    <x v="3"/>
    <x v="2"/>
    <x v="75"/>
    <x v="9"/>
    <x v="5"/>
    <x v="6"/>
    <x v="623"/>
    <x v="0"/>
    <x v="42"/>
    <x v="153"/>
    <x v="86"/>
    <x v="590"/>
    <x v="296"/>
    <x v="12"/>
    <x v="2"/>
    <x v="0"/>
    <x v="0"/>
    <x v="8"/>
    <x v="0"/>
    <x v="0"/>
    <x v="378"/>
    <x v="633"/>
    <x v="43"/>
    <x v="2"/>
    <x v="288"/>
    <x v="513"/>
    <x v="100"/>
    <x v="7"/>
    <x v="828"/>
    <x v="0"/>
    <x v="102"/>
    <x v="130"/>
    <x v="256"/>
    <x v="5"/>
    <x v="485"/>
    <x v="417"/>
    <x v="836"/>
  </r>
  <r>
    <x v="3"/>
    <x v="85"/>
    <x v="3"/>
    <x v="5"/>
    <x v="12"/>
    <x v="7"/>
    <x v="7"/>
    <x v="27"/>
    <x v="1296"/>
    <x v="0"/>
    <x v="42"/>
    <x v="163"/>
    <x v="124"/>
    <x v="600"/>
    <x v="292"/>
    <x v="77"/>
    <x v="81"/>
    <x v="0"/>
    <x v="0"/>
    <x v="80"/>
    <x v="0"/>
    <x v="0"/>
    <x v="373"/>
    <x v="347"/>
    <x v="44"/>
    <x v="1"/>
    <x v="455"/>
    <x v="14"/>
    <x v="605"/>
    <x v="373"/>
    <x v="218"/>
    <x v="21"/>
    <x v="82"/>
    <x v="82"/>
    <x v="247"/>
    <x v="4"/>
    <x v="385"/>
    <x v="508"/>
    <x v="428"/>
  </r>
  <r>
    <x v="3"/>
    <x v="85"/>
    <x v="3"/>
    <x v="5"/>
    <x v="13"/>
    <x v="6"/>
    <x v="6"/>
    <x v="51"/>
    <x v="1296"/>
    <x v="0"/>
    <x v="42"/>
    <x v="138"/>
    <x v="57"/>
    <x v="246"/>
    <x v="164"/>
    <x v="0"/>
    <x v="92"/>
    <x v="0"/>
    <x v="0"/>
    <x v="99"/>
    <x v="0"/>
    <x v="0"/>
    <x v="242"/>
    <x v="122"/>
    <x v="44"/>
    <x v="1"/>
    <x v="74"/>
    <x v="50"/>
    <x v="758"/>
    <x v="454"/>
    <x v="21"/>
    <x v="0"/>
    <x v="102"/>
    <x v="130"/>
    <x v="77"/>
    <x v="4"/>
    <x v="628"/>
    <x v="10"/>
    <x v="63"/>
  </r>
  <r>
    <x v="3"/>
    <x v="85"/>
    <x v="3"/>
    <x v="0"/>
    <x v="0"/>
    <x v="2"/>
    <x v="0"/>
    <x v="13"/>
    <x v="618"/>
    <x v="0"/>
    <x v="42"/>
    <x v="107"/>
    <x v="29"/>
    <x v="201"/>
    <x v="148"/>
    <x v="0"/>
    <x v="45"/>
    <x v="0"/>
    <x v="0"/>
    <x v="35"/>
    <x v="0"/>
    <x v="0"/>
    <x v="227"/>
    <x v="242"/>
    <x v="38"/>
    <x v="5"/>
    <x v="523"/>
    <x v="199"/>
    <x v="584"/>
    <x v="379"/>
    <x v="250"/>
    <x v="0"/>
    <x v="102"/>
    <x v="130"/>
    <x v="63"/>
    <x v="6"/>
    <x v="633"/>
    <x v="53"/>
    <x v="236"/>
  </r>
  <r>
    <x v="3"/>
    <x v="85"/>
    <x v="3"/>
    <x v="0"/>
    <x v="1"/>
    <x v="5"/>
    <x v="1"/>
    <x v="16"/>
    <x v="619"/>
    <x v="0"/>
    <x v="42"/>
    <x v="107"/>
    <x v="29"/>
    <x v="381"/>
    <x v="213"/>
    <x v="0"/>
    <x v="0"/>
    <x v="0"/>
    <x v="0"/>
    <x v="40"/>
    <x v="0"/>
    <x v="0"/>
    <x v="299"/>
    <x v="723"/>
    <x v="38"/>
    <x v="7"/>
    <x v="642"/>
    <x v="471"/>
    <x v="464"/>
    <x v="0"/>
    <x v="385"/>
    <x v="0"/>
    <x v="102"/>
    <x v="130"/>
    <x v="126"/>
    <x v="6"/>
    <x v="570"/>
    <x v="511"/>
    <x v="967"/>
  </r>
  <r>
    <x v="3"/>
    <x v="85"/>
    <x v="5"/>
    <x v="7"/>
    <x v="20"/>
    <x v="11"/>
    <x v="10"/>
    <x v="29"/>
    <x v="1269"/>
    <x v="4"/>
    <x v="42"/>
    <x v="184"/>
    <x v="156"/>
    <x v="865"/>
    <x v="397"/>
    <x v="0"/>
    <x v="0"/>
    <x v="0"/>
    <x v="0"/>
    <x v="0"/>
    <x v="0"/>
    <x v="0"/>
    <x v="466"/>
    <x v="339"/>
    <x v="11"/>
    <x v="0"/>
    <x v="0"/>
    <x v="646"/>
    <x v="0"/>
    <x v="0"/>
    <x v="958"/>
    <x v="5"/>
    <x v="100"/>
    <x v="127"/>
    <x v="379"/>
    <x v="2"/>
    <x v="317"/>
    <x v="166"/>
    <x v="407"/>
  </r>
  <r>
    <x v="3"/>
    <x v="85"/>
    <x v="5"/>
    <x v="4"/>
    <x v="58"/>
    <x v="11"/>
    <x v="8"/>
    <x v="31"/>
    <x v="1253"/>
    <x v="4"/>
    <x v="42"/>
    <x v="184"/>
    <x v="156"/>
    <x v="838"/>
    <x v="371"/>
    <x v="0"/>
    <x v="0"/>
    <x v="0"/>
    <x v="0"/>
    <x v="0"/>
    <x v="0"/>
    <x v="0"/>
    <x v="439"/>
    <x v="255"/>
    <x v="15"/>
    <x v="0"/>
    <x v="0"/>
    <x v="646"/>
    <x v="0"/>
    <x v="0"/>
    <x v="958"/>
    <x v="5"/>
    <x v="100"/>
    <x v="127"/>
    <x v="354"/>
    <x v="2"/>
    <x v="352"/>
    <x v="95"/>
    <x v="331"/>
  </r>
  <r>
    <x v="3"/>
    <x v="85"/>
    <x v="5"/>
    <x v="5"/>
    <x v="12"/>
    <x v="7"/>
    <x v="7"/>
    <x v="27"/>
    <x v="1297"/>
    <x v="4"/>
    <x v="42"/>
    <x v="163"/>
    <x v="124"/>
    <x v="502"/>
    <x v="266"/>
    <x v="0"/>
    <x v="22"/>
    <x v="0"/>
    <x v="0"/>
    <x v="45"/>
    <x v="0"/>
    <x v="0"/>
    <x v="347"/>
    <x v="230"/>
    <x v="44"/>
    <x v="1"/>
    <x v="177"/>
    <x v="400"/>
    <x v="419"/>
    <x v="125"/>
    <x v="453"/>
    <x v="31"/>
    <x v="70"/>
    <x v="55"/>
    <x v="194"/>
    <x v="4"/>
    <x v="366"/>
    <x v="572"/>
    <x v="316"/>
  </r>
  <r>
    <x v="3"/>
    <x v="85"/>
    <x v="5"/>
    <x v="5"/>
    <x v="13"/>
    <x v="6"/>
    <x v="6"/>
    <x v="51"/>
    <x v="1297"/>
    <x v="4"/>
    <x v="42"/>
    <x v="138"/>
    <x v="57"/>
    <x v="313"/>
    <x v="200"/>
    <x v="0"/>
    <x v="0"/>
    <x v="0"/>
    <x v="0"/>
    <x v="52"/>
    <x v="0"/>
    <x v="0"/>
    <x v="285"/>
    <x v="231"/>
    <x v="44"/>
    <x v="1"/>
    <x v="97"/>
    <x v="414"/>
    <x v="600"/>
    <x v="0"/>
    <x v="220"/>
    <x v="21"/>
    <x v="82"/>
    <x v="82"/>
    <x v="110"/>
    <x v="4"/>
    <x v="548"/>
    <x v="50"/>
    <x v="133"/>
  </r>
  <r>
    <x v="3"/>
    <x v="85"/>
    <x v="5"/>
    <x v="0"/>
    <x v="0"/>
    <x v="1"/>
    <x v="0"/>
    <x v="13"/>
    <x v="620"/>
    <x v="4"/>
    <x v="42"/>
    <x v="107"/>
    <x v="29"/>
    <x v="240"/>
    <x v="173"/>
    <x v="12"/>
    <x v="23"/>
    <x v="0"/>
    <x v="0"/>
    <x v="48"/>
    <x v="3"/>
    <x v="0"/>
    <x v="252"/>
    <x v="422"/>
    <x v="38"/>
    <x v="5"/>
    <x v="541"/>
    <x v="213"/>
    <x v="621"/>
    <x v="237"/>
    <x v="198"/>
    <x v="0"/>
    <x v="102"/>
    <x v="130"/>
    <x v="84"/>
    <x v="6"/>
    <x v="624"/>
    <x v="118"/>
    <x v="382"/>
  </r>
  <r>
    <x v="3"/>
    <x v="85"/>
    <x v="5"/>
    <x v="2"/>
    <x v="75"/>
    <x v="9"/>
    <x v="19"/>
    <x v="6"/>
    <x v="624"/>
    <x v="4"/>
    <x v="35"/>
    <x v="128"/>
    <x v="79"/>
    <x v="475"/>
    <x v="266"/>
    <x v="0"/>
    <x v="0"/>
    <x v="0"/>
    <x v="0"/>
    <x v="0"/>
    <x v="0"/>
    <x v="0"/>
    <x v="347"/>
    <x v="720"/>
    <x v="43"/>
    <x v="2"/>
    <x v="203"/>
    <x v="645"/>
    <x v="0"/>
    <x v="0"/>
    <x v="958"/>
    <x v="0"/>
    <x v="78"/>
    <x v="130"/>
    <x v="311"/>
    <x v="5"/>
    <x v="417"/>
    <x v="585"/>
    <x v="1060"/>
  </r>
  <r>
    <x v="3"/>
    <x v="85"/>
    <x v="5"/>
    <x v="2"/>
    <x v="75"/>
    <x v="10"/>
    <x v="19"/>
    <x v="6"/>
    <x v="621"/>
    <x v="4"/>
    <x v="13"/>
    <x v="25"/>
    <x v="102"/>
    <x v="63"/>
    <x v="60"/>
    <x v="0"/>
    <x v="0"/>
    <x v="0"/>
    <x v="0"/>
    <x v="0"/>
    <x v="0"/>
    <x v="0"/>
    <x v="144"/>
    <x v="594"/>
    <x v="43"/>
    <x v="2"/>
    <x v="11"/>
    <x v="645"/>
    <x v="0"/>
    <x v="0"/>
    <x v="958"/>
    <x v="0"/>
    <x v="26"/>
    <x v="130"/>
    <x v="240"/>
    <x v="5"/>
    <x v="502"/>
    <x v="360"/>
    <x v="736"/>
  </r>
  <r>
    <x v="3"/>
    <x v="86"/>
    <x v="2"/>
    <x v="5"/>
    <x v="13"/>
    <x v="6"/>
    <x v="6"/>
    <x v="51"/>
    <x v="1299"/>
    <x v="2"/>
    <x v="42"/>
    <x v="99"/>
    <x v="19"/>
    <x v="264"/>
    <x v="177"/>
    <x v="49"/>
    <x v="86"/>
    <x v="0"/>
    <x v="0"/>
    <x v="58"/>
    <x v="4"/>
    <x v="0"/>
    <x v="260"/>
    <x v="610"/>
    <x v="44"/>
    <x v="1"/>
    <x v="88"/>
    <x v="40"/>
    <x v="668"/>
    <x v="434"/>
    <x v="142"/>
    <x v="37"/>
    <x v="61"/>
    <x v="40"/>
    <x v="89"/>
    <x v="4"/>
    <x v="500"/>
    <x v="149"/>
    <x v="84"/>
  </r>
  <r>
    <x v="3"/>
    <x v="86"/>
    <x v="2"/>
    <x v="5"/>
    <x v="10"/>
    <x v="7"/>
    <x v="7"/>
    <x v="45"/>
    <x v="1299"/>
    <x v="2"/>
    <x v="42"/>
    <x v="137"/>
    <x v="56"/>
    <x v="554"/>
    <x v="275"/>
    <x v="0"/>
    <x v="61"/>
    <x v="0"/>
    <x v="0"/>
    <x v="55"/>
    <x v="10"/>
    <x v="0"/>
    <x v="359"/>
    <x v="684"/>
    <x v="44"/>
    <x v="1"/>
    <x v="225"/>
    <x v="218"/>
    <x v="492"/>
    <x v="304"/>
    <x v="359"/>
    <x v="29"/>
    <x v="72"/>
    <x v="61"/>
    <x v="215"/>
    <x v="4"/>
    <x v="361"/>
    <x v="591"/>
    <x v="358"/>
  </r>
  <r>
    <x v="3"/>
    <x v="86"/>
    <x v="2"/>
    <x v="0"/>
    <x v="0"/>
    <x v="1"/>
    <x v="0"/>
    <x v="13"/>
    <x v="625"/>
    <x v="2"/>
    <x v="42"/>
    <x v="83"/>
    <x v="12"/>
    <x v="205"/>
    <x v="148"/>
    <x v="0"/>
    <x v="58"/>
    <x v="0"/>
    <x v="0"/>
    <x v="42"/>
    <x v="3"/>
    <x v="0"/>
    <x v="227"/>
    <x v="605"/>
    <x v="38"/>
    <x v="5"/>
    <x v="527"/>
    <x v="125"/>
    <x v="626"/>
    <x v="404"/>
    <x v="196"/>
    <x v="28"/>
    <x v="74"/>
    <x v="63"/>
    <x v="63"/>
    <x v="6"/>
    <x v="595"/>
    <x v="358"/>
    <x v="232"/>
  </r>
  <r>
    <x v="3"/>
    <x v="86"/>
    <x v="2"/>
    <x v="7"/>
    <x v="20"/>
    <x v="11"/>
    <x v="10"/>
    <x v="29"/>
    <x v="1270"/>
    <x v="2"/>
    <x v="42"/>
    <x v="184"/>
    <x v="156"/>
    <x v="877"/>
    <x v="409"/>
    <x v="0"/>
    <x v="0"/>
    <x v="0"/>
    <x v="0"/>
    <x v="0"/>
    <x v="0"/>
    <x v="0"/>
    <x v="480"/>
    <x v="409"/>
    <x v="11"/>
    <x v="0"/>
    <x v="0"/>
    <x v="646"/>
    <x v="0"/>
    <x v="0"/>
    <x v="958"/>
    <x v="0"/>
    <x v="102"/>
    <x v="130"/>
    <x v="393"/>
    <x v="2"/>
    <x v="316"/>
    <x v="169"/>
    <x v="470"/>
  </r>
  <r>
    <x v="3"/>
    <x v="86"/>
    <x v="2"/>
    <x v="4"/>
    <x v="58"/>
    <x v="11"/>
    <x v="19"/>
    <x v="31"/>
    <x v="1255"/>
    <x v="2"/>
    <x v="42"/>
    <x v="184"/>
    <x v="156"/>
    <x v="780"/>
    <x v="351"/>
    <x v="0"/>
    <x v="0"/>
    <x v="0"/>
    <x v="0"/>
    <x v="0"/>
    <x v="0"/>
    <x v="0"/>
    <x v="419"/>
    <x v="197"/>
    <x v="15"/>
    <x v="0"/>
    <x v="0"/>
    <x v="646"/>
    <x v="0"/>
    <x v="0"/>
    <x v="958"/>
    <x v="0"/>
    <x v="102"/>
    <x v="130"/>
    <x v="329"/>
    <x v="2"/>
    <x v="388"/>
    <x v="47"/>
    <x v="245"/>
  </r>
  <r>
    <x v="3"/>
    <x v="86"/>
    <x v="2"/>
    <x v="2"/>
    <x v="76"/>
    <x v="11"/>
    <x v="5"/>
    <x v="4"/>
    <x v="628"/>
    <x v="2"/>
    <x v="20"/>
    <x v="69"/>
    <x v="118"/>
    <x v="147"/>
    <x v="117"/>
    <x v="0"/>
    <x v="0"/>
    <x v="0"/>
    <x v="0"/>
    <x v="0"/>
    <x v="3"/>
    <x v="0"/>
    <x v="201"/>
    <x v="371"/>
    <x v="41"/>
    <x v="2"/>
    <x v="46"/>
    <x v="547"/>
    <x v="0"/>
    <x v="0"/>
    <x v="958"/>
    <x v="0"/>
    <x v="42"/>
    <x v="130"/>
    <x v="233"/>
    <x v="5"/>
    <x v="509"/>
    <x v="327"/>
    <x v="706"/>
  </r>
  <r>
    <x v="3"/>
    <x v="86"/>
    <x v="2"/>
    <x v="2"/>
    <x v="75"/>
    <x v="11"/>
    <x v="5"/>
    <x v="6"/>
    <x v="627"/>
    <x v="2"/>
    <x v="28"/>
    <x v="100"/>
    <x v="62"/>
    <x v="250"/>
    <x v="181"/>
    <x v="0"/>
    <x v="0"/>
    <x v="0"/>
    <x v="0"/>
    <x v="10"/>
    <x v="3"/>
    <x v="0"/>
    <x v="264"/>
    <x v="628"/>
    <x v="43"/>
    <x v="2"/>
    <x v="86"/>
    <x v="534"/>
    <x v="179"/>
    <x v="0"/>
    <x v="735"/>
    <x v="0"/>
    <x v="63"/>
    <x v="130"/>
    <x v="224"/>
    <x v="5"/>
    <x v="518"/>
    <x v="279"/>
    <x v="623"/>
  </r>
  <r>
    <x v="3"/>
    <x v="86"/>
    <x v="6"/>
    <x v="1"/>
    <x v="5"/>
    <x v="11"/>
    <x v="19"/>
    <x v="14"/>
    <x v="610"/>
    <x v="0"/>
    <x v="42"/>
    <x v="168"/>
    <x v="132"/>
    <x v="839"/>
    <x v="370"/>
    <x v="0"/>
    <x v="0"/>
    <x v="44"/>
    <x v="0"/>
    <x v="72"/>
    <x v="0"/>
    <x v="4"/>
    <x v="164"/>
    <x v="680"/>
    <x v="0"/>
    <x v="0"/>
    <x v="0"/>
    <x v="646"/>
    <x v="455"/>
    <x v="0"/>
    <x v="400"/>
    <x v="12"/>
    <x v="94"/>
    <x v="108"/>
    <x v="351"/>
    <x v="7"/>
    <x v="647"/>
    <x v="712"/>
    <x v="1163"/>
  </r>
  <r>
    <x v="3"/>
    <x v="86"/>
    <x v="6"/>
    <x v="8"/>
    <x v="62"/>
    <x v="11"/>
    <x v="19"/>
    <x v="30"/>
    <x v="1253"/>
    <x v="0"/>
    <x v="42"/>
    <x v="231"/>
    <x v="244"/>
    <x v="1020"/>
    <x v="569"/>
    <x v="0"/>
    <x v="0"/>
    <x v="0"/>
    <x v="0"/>
    <x v="60"/>
    <x v="0"/>
    <x v="1"/>
    <x v="558"/>
    <x v="338"/>
    <x v="27"/>
    <x v="0"/>
    <x v="0"/>
    <x v="646"/>
    <x v="167"/>
    <x v="0"/>
    <x v="750"/>
    <x v="12"/>
    <x v="94"/>
    <x v="108"/>
    <x v="626"/>
    <x v="3"/>
    <x v="103"/>
    <x v="696"/>
    <x v="1146"/>
  </r>
  <r>
    <x v="3"/>
    <x v="86"/>
    <x v="3"/>
    <x v="7"/>
    <x v="20"/>
    <x v="11"/>
    <x v="10"/>
    <x v="29"/>
    <x v="1273"/>
    <x v="0"/>
    <x v="42"/>
    <x v="184"/>
    <x v="156"/>
    <x v="885"/>
    <x v="421"/>
    <x v="0"/>
    <x v="0"/>
    <x v="0"/>
    <x v="0"/>
    <x v="0"/>
    <x v="0"/>
    <x v="0"/>
    <x v="499"/>
    <x v="466"/>
    <x v="11"/>
    <x v="0"/>
    <x v="0"/>
    <x v="646"/>
    <x v="0"/>
    <x v="0"/>
    <x v="958"/>
    <x v="9"/>
    <x v="97"/>
    <x v="117"/>
    <x v="415"/>
    <x v="2"/>
    <x v="224"/>
    <x v="365"/>
    <x v="533"/>
  </r>
  <r>
    <x v="3"/>
    <x v="86"/>
    <x v="3"/>
    <x v="4"/>
    <x v="58"/>
    <x v="11"/>
    <x v="8"/>
    <x v="31"/>
    <x v="1257"/>
    <x v="0"/>
    <x v="42"/>
    <x v="184"/>
    <x v="156"/>
    <x v="877"/>
    <x v="409"/>
    <x v="0"/>
    <x v="0"/>
    <x v="0"/>
    <x v="0"/>
    <x v="0"/>
    <x v="0"/>
    <x v="0"/>
    <x v="480"/>
    <x v="409"/>
    <x v="15"/>
    <x v="0"/>
    <x v="0"/>
    <x v="646"/>
    <x v="0"/>
    <x v="0"/>
    <x v="958"/>
    <x v="9"/>
    <x v="97"/>
    <x v="117"/>
    <x v="393"/>
    <x v="2"/>
    <x v="253"/>
    <x v="297"/>
    <x v="470"/>
  </r>
  <r>
    <x v="3"/>
    <x v="86"/>
    <x v="3"/>
    <x v="0"/>
    <x v="0"/>
    <x v="1"/>
    <x v="0"/>
    <x v="13"/>
    <x v="1298"/>
    <x v="0"/>
    <x v="42"/>
    <x v="107"/>
    <x v="29"/>
    <x v="285"/>
    <x v="193"/>
    <x v="2"/>
    <x v="12"/>
    <x v="0"/>
    <x v="0"/>
    <x v="40"/>
    <x v="0"/>
    <x v="0"/>
    <x v="277"/>
    <x v="639"/>
    <x v="38"/>
    <x v="5"/>
    <x v="562"/>
    <x v="352"/>
    <x v="519"/>
    <x v="108"/>
    <x v="316"/>
    <x v="0"/>
    <x v="102"/>
    <x v="130"/>
    <x v="105"/>
    <x v="6"/>
    <x v="601"/>
    <x v="295"/>
    <x v="628"/>
  </r>
  <r>
    <x v="3"/>
    <x v="86"/>
    <x v="3"/>
    <x v="5"/>
    <x v="10"/>
    <x v="7"/>
    <x v="7"/>
    <x v="45"/>
    <x v="1300"/>
    <x v="0"/>
    <x v="42"/>
    <x v="163"/>
    <x v="124"/>
    <x v="748"/>
    <x v="346"/>
    <x v="0"/>
    <x v="17"/>
    <x v="0"/>
    <x v="0"/>
    <x v="52"/>
    <x v="0"/>
    <x v="0"/>
    <x v="414"/>
    <x v="623"/>
    <x v="44"/>
    <x v="1"/>
    <x v="366"/>
    <x v="451"/>
    <x v="372"/>
    <x v="43"/>
    <x v="512"/>
    <x v="0"/>
    <x v="102"/>
    <x v="130"/>
    <x v="320"/>
    <x v="4"/>
    <x v="407"/>
    <x v="429"/>
    <x v="838"/>
  </r>
  <r>
    <x v="3"/>
    <x v="86"/>
    <x v="3"/>
    <x v="5"/>
    <x v="13"/>
    <x v="6"/>
    <x v="6"/>
    <x v="51"/>
    <x v="1300"/>
    <x v="0"/>
    <x v="42"/>
    <x v="138"/>
    <x v="57"/>
    <x v="469"/>
    <x v="257"/>
    <x v="0"/>
    <x v="26"/>
    <x v="0"/>
    <x v="0"/>
    <x v="30"/>
    <x v="0"/>
    <x v="0"/>
    <x v="338"/>
    <x v="606"/>
    <x v="44"/>
    <x v="1"/>
    <x v="165"/>
    <x v="426"/>
    <x v="303"/>
    <x v="171"/>
    <x v="599"/>
    <x v="0"/>
    <x v="102"/>
    <x v="130"/>
    <x v="185"/>
    <x v="4"/>
    <x v="540"/>
    <x v="69"/>
    <x v="282"/>
  </r>
  <r>
    <x v="3"/>
    <x v="86"/>
    <x v="3"/>
    <x v="2"/>
    <x v="76"/>
    <x v="9"/>
    <x v="19"/>
    <x v="4"/>
    <x v="629"/>
    <x v="0"/>
    <x v="42"/>
    <x v="153"/>
    <x v="86"/>
    <x v="573"/>
    <x v="292"/>
    <x v="28"/>
    <x v="2"/>
    <x v="0"/>
    <x v="0"/>
    <x v="8"/>
    <x v="0"/>
    <x v="0"/>
    <x v="373"/>
    <x v="615"/>
    <x v="41"/>
    <x v="2"/>
    <x v="278"/>
    <x v="448"/>
    <x v="103"/>
    <x v="8"/>
    <x v="823"/>
    <x v="0"/>
    <x v="102"/>
    <x v="130"/>
    <x v="247"/>
    <x v="5"/>
    <x v="497"/>
    <x v="374"/>
    <x v="764"/>
  </r>
  <r>
    <x v="3"/>
    <x v="86"/>
    <x v="5"/>
    <x v="7"/>
    <x v="20"/>
    <x v="11"/>
    <x v="10"/>
    <x v="29"/>
    <x v="1282"/>
    <x v="4"/>
    <x v="42"/>
    <x v="184"/>
    <x v="156"/>
    <x v="885"/>
    <x v="421"/>
    <x v="0"/>
    <x v="0"/>
    <x v="0"/>
    <x v="0"/>
    <x v="0"/>
    <x v="0"/>
    <x v="0"/>
    <x v="499"/>
    <x v="466"/>
    <x v="11"/>
    <x v="0"/>
    <x v="0"/>
    <x v="646"/>
    <x v="0"/>
    <x v="0"/>
    <x v="958"/>
    <x v="5"/>
    <x v="100"/>
    <x v="127"/>
    <x v="415"/>
    <x v="2"/>
    <x v="264"/>
    <x v="273"/>
    <x v="533"/>
  </r>
  <r>
    <x v="3"/>
    <x v="86"/>
    <x v="5"/>
    <x v="4"/>
    <x v="58"/>
    <x v="11"/>
    <x v="8"/>
    <x v="31"/>
    <x v="1267"/>
    <x v="4"/>
    <x v="42"/>
    <x v="184"/>
    <x v="156"/>
    <x v="885"/>
    <x v="421"/>
    <x v="0"/>
    <x v="0"/>
    <x v="0"/>
    <x v="0"/>
    <x v="0"/>
    <x v="0"/>
    <x v="0"/>
    <x v="499"/>
    <x v="466"/>
    <x v="15"/>
    <x v="0"/>
    <x v="0"/>
    <x v="646"/>
    <x v="0"/>
    <x v="0"/>
    <x v="958"/>
    <x v="5"/>
    <x v="100"/>
    <x v="127"/>
    <x v="415"/>
    <x v="2"/>
    <x v="264"/>
    <x v="273"/>
    <x v="533"/>
  </r>
  <r>
    <x v="3"/>
    <x v="86"/>
    <x v="5"/>
    <x v="5"/>
    <x v="10"/>
    <x v="7"/>
    <x v="7"/>
    <x v="45"/>
    <x v="1301"/>
    <x v="4"/>
    <x v="42"/>
    <x v="163"/>
    <x v="124"/>
    <x v="688"/>
    <x v="327"/>
    <x v="0"/>
    <x v="23"/>
    <x v="0"/>
    <x v="0"/>
    <x v="62"/>
    <x v="5"/>
    <x v="0"/>
    <x v="403"/>
    <x v="551"/>
    <x v="44"/>
    <x v="1"/>
    <x v="312"/>
    <x v="359"/>
    <x v="467"/>
    <x v="92"/>
    <x v="387"/>
    <x v="0"/>
    <x v="102"/>
    <x v="130"/>
    <x v="300"/>
    <x v="4"/>
    <x v="432"/>
    <x v="329"/>
    <x v="677"/>
  </r>
  <r>
    <x v="3"/>
    <x v="86"/>
    <x v="5"/>
    <x v="5"/>
    <x v="13"/>
    <x v="6"/>
    <x v="6"/>
    <x v="51"/>
    <x v="1301"/>
    <x v="4"/>
    <x v="42"/>
    <x v="138"/>
    <x v="57"/>
    <x v="501"/>
    <x v="266"/>
    <x v="0"/>
    <x v="14"/>
    <x v="0"/>
    <x v="0"/>
    <x v="31"/>
    <x v="4"/>
    <x v="0"/>
    <x v="347"/>
    <x v="626"/>
    <x v="44"/>
    <x v="1"/>
    <x v="176"/>
    <x v="431"/>
    <x v="305"/>
    <x v="60"/>
    <x v="598"/>
    <x v="0"/>
    <x v="102"/>
    <x v="130"/>
    <x v="194"/>
    <x v="4"/>
    <x v="536"/>
    <x v="79"/>
    <x v="322"/>
  </r>
  <r>
    <x v="3"/>
    <x v="86"/>
    <x v="5"/>
    <x v="2"/>
    <x v="76"/>
    <x v="9"/>
    <x v="19"/>
    <x v="4"/>
    <x v="630"/>
    <x v="4"/>
    <x v="42"/>
    <x v="153"/>
    <x v="86"/>
    <x v="661"/>
    <x v="327"/>
    <x v="0"/>
    <x v="0"/>
    <x v="0"/>
    <x v="0"/>
    <x v="12"/>
    <x v="3"/>
    <x v="0"/>
    <x v="403"/>
    <x v="703"/>
    <x v="41"/>
    <x v="2"/>
    <x v="371"/>
    <x v="562"/>
    <x v="132"/>
    <x v="0"/>
    <x v="793"/>
    <x v="0"/>
    <x v="102"/>
    <x v="130"/>
    <x v="300"/>
    <x v="5"/>
    <x v="432"/>
    <x v="550"/>
    <x v="1028"/>
  </r>
  <r>
    <x v="3"/>
    <x v="86"/>
    <x v="5"/>
    <x v="0"/>
    <x v="0"/>
    <x v="1"/>
    <x v="0"/>
    <x v="13"/>
    <x v="625"/>
    <x v="4"/>
    <x v="42"/>
    <x v="107"/>
    <x v="29"/>
    <x v="220"/>
    <x v="159"/>
    <x v="0"/>
    <x v="31"/>
    <x v="0"/>
    <x v="2"/>
    <x v="54"/>
    <x v="3"/>
    <x v="0"/>
    <x v="238"/>
    <x v="315"/>
    <x v="38"/>
    <x v="5"/>
    <x v="537"/>
    <x v="184"/>
    <x v="677"/>
    <x v="306"/>
    <x v="114"/>
    <x v="0"/>
    <x v="102"/>
    <x v="130"/>
    <x v="72"/>
    <x v="6"/>
    <x v="630"/>
    <x v="81"/>
    <x v="296"/>
  </r>
  <r>
    <x v="3"/>
    <x v="87"/>
    <x v="2"/>
    <x v="5"/>
    <x v="13"/>
    <x v="6"/>
    <x v="6"/>
    <x v="51"/>
    <x v="1302"/>
    <x v="2"/>
    <x v="42"/>
    <x v="138"/>
    <x v="57"/>
    <x v="537"/>
    <x v="275"/>
    <x v="0"/>
    <x v="38"/>
    <x v="0"/>
    <x v="0"/>
    <x v="40"/>
    <x v="4"/>
    <x v="0"/>
    <x v="359"/>
    <x v="679"/>
    <x v="44"/>
    <x v="1"/>
    <x v="206"/>
    <x v="338"/>
    <x v="359"/>
    <x v="222"/>
    <x v="535"/>
    <x v="0"/>
    <x v="102"/>
    <x v="130"/>
    <x v="215"/>
    <x v="4"/>
    <x v="524"/>
    <x v="99"/>
    <x v="365"/>
  </r>
  <r>
    <x v="3"/>
    <x v="87"/>
    <x v="2"/>
    <x v="5"/>
    <x v="10"/>
    <x v="7"/>
    <x v="7"/>
    <x v="45"/>
    <x v="1302"/>
    <x v="2"/>
    <x v="42"/>
    <x v="163"/>
    <x v="124"/>
    <x v="602"/>
    <x v="296"/>
    <x v="0"/>
    <x v="38"/>
    <x v="0"/>
    <x v="0"/>
    <x v="38"/>
    <x v="5"/>
    <x v="0"/>
    <x v="378"/>
    <x v="383"/>
    <x v="44"/>
    <x v="1"/>
    <x v="261"/>
    <x v="356"/>
    <x v="320"/>
    <x v="209"/>
    <x v="576"/>
    <x v="0"/>
    <x v="102"/>
    <x v="130"/>
    <x v="256"/>
    <x v="4"/>
    <x v="485"/>
    <x v="184"/>
    <x v="489"/>
  </r>
  <r>
    <x v="3"/>
    <x v="87"/>
    <x v="2"/>
    <x v="0"/>
    <x v="0"/>
    <x v="1"/>
    <x v="0"/>
    <x v="13"/>
    <x v="631"/>
    <x v="2"/>
    <x v="42"/>
    <x v="107"/>
    <x v="29"/>
    <x v="257"/>
    <x v="183"/>
    <x v="12"/>
    <x v="10"/>
    <x v="0"/>
    <x v="0"/>
    <x v="28"/>
    <x v="3"/>
    <x v="0"/>
    <x v="266"/>
    <x v="565"/>
    <x v="38"/>
    <x v="5"/>
    <x v="549"/>
    <x v="341"/>
    <x v="388"/>
    <x v="100"/>
    <x v="490"/>
    <x v="0"/>
    <x v="102"/>
    <x v="130"/>
    <x v="93"/>
    <x v="6"/>
    <x v="615"/>
    <x v="193"/>
    <x v="504"/>
  </r>
  <r>
    <x v="3"/>
    <x v="87"/>
    <x v="2"/>
    <x v="7"/>
    <x v="20"/>
    <x v="11"/>
    <x v="10"/>
    <x v="29"/>
    <x v="1284"/>
    <x v="2"/>
    <x v="42"/>
    <x v="184"/>
    <x v="156"/>
    <x v="893"/>
    <x v="429"/>
    <x v="0"/>
    <x v="0"/>
    <x v="0"/>
    <x v="0"/>
    <x v="0"/>
    <x v="0"/>
    <x v="0"/>
    <x v="512"/>
    <x v="531"/>
    <x v="11"/>
    <x v="0"/>
    <x v="0"/>
    <x v="646"/>
    <x v="0"/>
    <x v="0"/>
    <x v="958"/>
    <x v="9"/>
    <x v="97"/>
    <x v="117"/>
    <x v="431"/>
    <x v="2"/>
    <x v="199"/>
    <x v="408"/>
    <x v="596"/>
  </r>
  <r>
    <x v="3"/>
    <x v="87"/>
    <x v="2"/>
    <x v="4"/>
    <x v="58"/>
    <x v="11"/>
    <x v="8"/>
    <x v="31"/>
    <x v="1275"/>
    <x v="2"/>
    <x v="42"/>
    <x v="184"/>
    <x v="156"/>
    <x v="838"/>
    <x v="371"/>
    <x v="0"/>
    <x v="0"/>
    <x v="0"/>
    <x v="0"/>
    <x v="0"/>
    <x v="0"/>
    <x v="0"/>
    <x v="439"/>
    <x v="255"/>
    <x v="15"/>
    <x v="0"/>
    <x v="0"/>
    <x v="646"/>
    <x v="0"/>
    <x v="0"/>
    <x v="958"/>
    <x v="9"/>
    <x v="97"/>
    <x v="117"/>
    <x v="354"/>
    <x v="2"/>
    <x v="330"/>
    <x v="125"/>
    <x v="331"/>
  </r>
  <r>
    <x v="3"/>
    <x v="87"/>
    <x v="2"/>
    <x v="2"/>
    <x v="76"/>
    <x v="9"/>
    <x v="19"/>
    <x v="4"/>
    <x v="634"/>
    <x v="2"/>
    <x v="42"/>
    <x v="153"/>
    <x v="86"/>
    <x v="656"/>
    <x v="327"/>
    <x v="0"/>
    <x v="0"/>
    <x v="0"/>
    <x v="0"/>
    <x v="0"/>
    <x v="3"/>
    <x v="0"/>
    <x v="403"/>
    <x v="703"/>
    <x v="41"/>
    <x v="2"/>
    <x v="365"/>
    <x v="623"/>
    <x v="0"/>
    <x v="0"/>
    <x v="958"/>
    <x v="0"/>
    <x v="102"/>
    <x v="130"/>
    <x v="300"/>
    <x v="5"/>
    <x v="432"/>
    <x v="550"/>
    <x v="1042"/>
  </r>
  <r>
    <x v="3"/>
    <x v="87"/>
    <x v="6"/>
    <x v="1"/>
    <x v="5"/>
    <x v="11"/>
    <x v="19"/>
    <x v="14"/>
    <x v="626"/>
    <x v="0"/>
    <x v="42"/>
    <x v="168"/>
    <x v="131"/>
    <x v="810"/>
    <x v="354"/>
    <x v="0"/>
    <x v="0"/>
    <x v="49"/>
    <x v="0"/>
    <x v="54"/>
    <x v="0"/>
    <x v="0"/>
    <x v="421"/>
    <x v="620"/>
    <x v="0"/>
    <x v="0"/>
    <x v="0"/>
    <x v="646"/>
    <x v="367"/>
    <x v="0"/>
    <x v="516"/>
    <x v="12"/>
    <x v="94"/>
    <x v="108"/>
    <x v="334"/>
    <x v="7"/>
    <x v="354"/>
    <x v="769"/>
    <x v="1218"/>
  </r>
  <r>
    <x v="3"/>
    <x v="87"/>
    <x v="6"/>
    <x v="8"/>
    <x v="62"/>
    <x v="11"/>
    <x v="19"/>
    <x v="30"/>
    <x v="1265"/>
    <x v="0"/>
    <x v="42"/>
    <x v="231"/>
    <x v="244"/>
    <x v="1026"/>
    <x v="575"/>
    <x v="0"/>
    <x v="0"/>
    <x v="0"/>
    <x v="0"/>
    <x v="101"/>
    <x v="0"/>
    <x v="1"/>
    <x v="575"/>
    <x v="616"/>
    <x v="27"/>
    <x v="0"/>
    <x v="0"/>
    <x v="646"/>
    <x v="235"/>
    <x v="0"/>
    <x v="675"/>
    <x v="12"/>
    <x v="94"/>
    <x v="108"/>
    <x v="637"/>
    <x v="3"/>
    <x v="59"/>
    <x v="726"/>
    <x v="1174"/>
  </r>
  <r>
    <x v="3"/>
    <x v="87"/>
    <x v="6"/>
    <x v="9"/>
    <x v="73"/>
    <x v="11"/>
    <x v="17"/>
    <x v="38"/>
    <x v="1266"/>
    <x v="0"/>
    <x v="42"/>
    <x v="230"/>
    <x v="238"/>
    <x v="1014"/>
    <x v="562"/>
    <x v="0"/>
    <x v="0"/>
    <x v="0"/>
    <x v="0"/>
    <x v="8"/>
    <x v="0"/>
    <x v="1"/>
    <x v="549"/>
    <x v="542"/>
    <x v="31"/>
    <x v="0"/>
    <x v="0"/>
    <x v="646"/>
    <x v="24"/>
    <x v="0"/>
    <x v="930"/>
    <x v="12"/>
    <x v="94"/>
    <x v="108"/>
    <x v="619"/>
    <x v="1"/>
    <x v="112"/>
    <x v="144"/>
    <x v="323"/>
  </r>
  <r>
    <x v="3"/>
    <x v="87"/>
    <x v="3"/>
    <x v="2"/>
    <x v="76"/>
    <x v="9"/>
    <x v="5"/>
    <x v="4"/>
    <x v="635"/>
    <x v="0"/>
    <x v="42"/>
    <x v="153"/>
    <x v="86"/>
    <x v="656"/>
    <x v="327"/>
    <x v="0"/>
    <x v="2"/>
    <x v="0"/>
    <x v="0"/>
    <x v="4"/>
    <x v="0"/>
    <x v="0"/>
    <x v="403"/>
    <x v="703"/>
    <x v="41"/>
    <x v="2"/>
    <x v="365"/>
    <x v="623"/>
    <x v="41"/>
    <x v="6"/>
    <x v="909"/>
    <x v="0"/>
    <x v="102"/>
    <x v="130"/>
    <x v="300"/>
    <x v="5"/>
    <x v="432"/>
    <x v="550"/>
    <x v="1036"/>
  </r>
  <r>
    <x v="3"/>
    <x v="87"/>
    <x v="3"/>
    <x v="5"/>
    <x v="13"/>
    <x v="6"/>
    <x v="6"/>
    <x v="51"/>
    <x v="1303"/>
    <x v="0"/>
    <x v="42"/>
    <x v="138"/>
    <x v="57"/>
    <x v="440"/>
    <x v="239"/>
    <x v="0"/>
    <x v="0"/>
    <x v="0"/>
    <x v="0"/>
    <x v="43"/>
    <x v="0"/>
    <x v="0"/>
    <x v="323"/>
    <x v="454"/>
    <x v="44"/>
    <x v="1"/>
    <x v="138"/>
    <x v="477"/>
    <x v="450"/>
    <x v="0"/>
    <x v="408"/>
    <x v="0"/>
    <x v="102"/>
    <x v="130"/>
    <x v="158"/>
    <x v="4"/>
    <x v="551"/>
    <x v="40"/>
    <x v="212"/>
  </r>
  <r>
    <x v="3"/>
    <x v="87"/>
    <x v="3"/>
    <x v="5"/>
    <x v="10"/>
    <x v="7"/>
    <x v="7"/>
    <x v="45"/>
    <x v="1303"/>
    <x v="0"/>
    <x v="42"/>
    <x v="163"/>
    <x v="124"/>
    <x v="797"/>
    <x v="351"/>
    <x v="0"/>
    <x v="0"/>
    <x v="0"/>
    <x v="0"/>
    <x v="47"/>
    <x v="0"/>
    <x v="0"/>
    <x v="419"/>
    <x v="665"/>
    <x v="44"/>
    <x v="1"/>
    <x v="406"/>
    <x v="514"/>
    <x v="326"/>
    <x v="0"/>
    <x v="566"/>
    <x v="0"/>
    <x v="102"/>
    <x v="130"/>
    <x v="329"/>
    <x v="4"/>
    <x v="388"/>
    <x v="499"/>
    <x v="939"/>
  </r>
  <r>
    <x v="3"/>
    <x v="87"/>
    <x v="3"/>
    <x v="0"/>
    <x v="0"/>
    <x v="1"/>
    <x v="0"/>
    <x v="13"/>
    <x v="632"/>
    <x v="0"/>
    <x v="42"/>
    <x v="107"/>
    <x v="29"/>
    <x v="284"/>
    <x v="193"/>
    <x v="0"/>
    <x v="12"/>
    <x v="0"/>
    <x v="0"/>
    <x v="30"/>
    <x v="0"/>
    <x v="0"/>
    <x v="277"/>
    <x v="639"/>
    <x v="38"/>
    <x v="5"/>
    <x v="561"/>
    <x v="412"/>
    <x v="393"/>
    <x v="109"/>
    <x v="484"/>
    <x v="0"/>
    <x v="102"/>
    <x v="130"/>
    <x v="105"/>
    <x v="6"/>
    <x v="601"/>
    <x v="295"/>
    <x v="635"/>
  </r>
  <r>
    <x v="3"/>
    <x v="87"/>
    <x v="3"/>
    <x v="7"/>
    <x v="20"/>
    <x v="11"/>
    <x v="10"/>
    <x v="29"/>
    <x v="1289"/>
    <x v="0"/>
    <x v="42"/>
    <x v="184"/>
    <x v="156"/>
    <x v="885"/>
    <x v="421"/>
    <x v="0"/>
    <x v="0"/>
    <x v="0"/>
    <x v="0"/>
    <x v="0"/>
    <x v="0"/>
    <x v="0"/>
    <x v="499"/>
    <x v="466"/>
    <x v="11"/>
    <x v="0"/>
    <x v="0"/>
    <x v="646"/>
    <x v="0"/>
    <x v="0"/>
    <x v="958"/>
    <x v="9"/>
    <x v="97"/>
    <x v="117"/>
    <x v="415"/>
    <x v="2"/>
    <x v="224"/>
    <x v="365"/>
    <x v="533"/>
  </r>
  <r>
    <x v="3"/>
    <x v="87"/>
    <x v="3"/>
    <x v="4"/>
    <x v="58"/>
    <x v="11"/>
    <x v="8"/>
    <x v="31"/>
    <x v="1275"/>
    <x v="0"/>
    <x v="42"/>
    <x v="184"/>
    <x v="156"/>
    <x v="885"/>
    <x v="421"/>
    <x v="0"/>
    <x v="0"/>
    <x v="0"/>
    <x v="0"/>
    <x v="0"/>
    <x v="0"/>
    <x v="0"/>
    <x v="499"/>
    <x v="466"/>
    <x v="15"/>
    <x v="0"/>
    <x v="0"/>
    <x v="646"/>
    <x v="0"/>
    <x v="0"/>
    <x v="958"/>
    <x v="9"/>
    <x v="97"/>
    <x v="117"/>
    <x v="415"/>
    <x v="2"/>
    <x v="224"/>
    <x v="365"/>
    <x v="533"/>
  </r>
  <r>
    <x v="3"/>
    <x v="87"/>
    <x v="5"/>
    <x v="7"/>
    <x v="20"/>
    <x v="11"/>
    <x v="10"/>
    <x v="29"/>
    <x v="1291"/>
    <x v="4"/>
    <x v="42"/>
    <x v="184"/>
    <x v="156"/>
    <x v="882"/>
    <x v="414"/>
    <x v="0"/>
    <x v="0"/>
    <x v="0"/>
    <x v="0"/>
    <x v="0"/>
    <x v="0"/>
    <x v="0"/>
    <x v="487"/>
    <x v="435"/>
    <x v="11"/>
    <x v="0"/>
    <x v="0"/>
    <x v="646"/>
    <x v="0"/>
    <x v="0"/>
    <x v="958"/>
    <x v="5"/>
    <x v="100"/>
    <x v="127"/>
    <x v="401"/>
    <x v="2"/>
    <x v="277"/>
    <x v="248"/>
    <x v="509"/>
  </r>
  <r>
    <x v="3"/>
    <x v="87"/>
    <x v="5"/>
    <x v="4"/>
    <x v="58"/>
    <x v="11"/>
    <x v="8"/>
    <x v="31"/>
    <x v="1278"/>
    <x v="4"/>
    <x v="42"/>
    <x v="184"/>
    <x v="156"/>
    <x v="849"/>
    <x v="380"/>
    <x v="0"/>
    <x v="0"/>
    <x v="0"/>
    <x v="0"/>
    <x v="0"/>
    <x v="0"/>
    <x v="0"/>
    <x v="447"/>
    <x v="281"/>
    <x v="15"/>
    <x v="0"/>
    <x v="0"/>
    <x v="646"/>
    <x v="0"/>
    <x v="0"/>
    <x v="958"/>
    <x v="5"/>
    <x v="100"/>
    <x v="127"/>
    <x v="364"/>
    <x v="2"/>
    <x v="337"/>
    <x v="117"/>
    <x v="354"/>
  </r>
  <r>
    <x v="3"/>
    <x v="87"/>
    <x v="5"/>
    <x v="5"/>
    <x v="10"/>
    <x v="7"/>
    <x v="7"/>
    <x v="45"/>
    <x v="1304"/>
    <x v="4"/>
    <x v="42"/>
    <x v="163"/>
    <x v="124"/>
    <x v="753"/>
    <x v="346"/>
    <x v="0"/>
    <x v="22"/>
    <x v="0"/>
    <x v="0"/>
    <x v="55"/>
    <x v="5"/>
    <x v="0"/>
    <x v="414"/>
    <x v="623"/>
    <x v="44"/>
    <x v="1"/>
    <x v="374"/>
    <x v="394"/>
    <x v="389"/>
    <x v="68"/>
    <x v="489"/>
    <x v="0"/>
    <x v="102"/>
    <x v="130"/>
    <x v="320"/>
    <x v="4"/>
    <x v="407"/>
    <x v="429"/>
    <x v="835"/>
  </r>
  <r>
    <x v="3"/>
    <x v="87"/>
    <x v="5"/>
    <x v="5"/>
    <x v="13"/>
    <x v="6"/>
    <x v="6"/>
    <x v="51"/>
    <x v="1304"/>
    <x v="4"/>
    <x v="42"/>
    <x v="138"/>
    <x v="57"/>
    <x v="274"/>
    <x v="183"/>
    <x v="0"/>
    <x v="58"/>
    <x v="0"/>
    <x v="0"/>
    <x v="61"/>
    <x v="4"/>
    <x v="0"/>
    <x v="266"/>
    <x v="173"/>
    <x v="44"/>
    <x v="1"/>
    <x v="85"/>
    <x v="135"/>
    <x v="671"/>
    <x v="382"/>
    <x v="129"/>
    <x v="26"/>
    <x v="76"/>
    <x v="68"/>
    <x v="93"/>
    <x v="4"/>
    <x v="550"/>
    <x v="41"/>
    <x v="97"/>
  </r>
  <r>
    <x v="3"/>
    <x v="87"/>
    <x v="5"/>
    <x v="0"/>
    <x v="0"/>
    <x v="1"/>
    <x v="0"/>
    <x v="13"/>
    <x v="633"/>
    <x v="4"/>
    <x v="42"/>
    <x v="107"/>
    <x v="29"/>
    <x v="261"/>
    <x v="183"/>
    <x v="0"/>
    <x v="19"/>
    <x v="0"/>
    <x v="0"/>
    <x v="43"/>
    <x v="3"/>
    <x v="0"/>
    <x v="266"/>
    <x v="565"/>
    <x v="38"/>
    <x v="5"/>
    <x v="552"/>
    <x v="287"/>
    <x v="578"/>
    <x v="197"/>
    <x v="254"/>
    <x v="0"/>
    <x v="102"/>
    <x v="130"/>
    <x v="93"/>
    <x v="6"/>
    <x v="615"/>
    <x v="193"/>
    <x v="483"/>
  </r>
  <r>
    <x v="3"/>
    <x v="87"/>
    <x v="5"/>
    <x v="2"/>
    <x v="76"/>
    <x v="9"/>
    <x v="19"/>
    <x v="4"/>
    <x v="636"/>
    <x v="4"/>
    <x v="42"/>
    <x v="153"/>
    <x v="86"/>
    <x v="660"/>
    <x v="327"/>
    <x v="0"/>
    <x v="0"/>
    <x v="0"/>
    <x v="0"/>
    <x v="8"/>
    <x v="3"/>
    <x v="0"/>
    <x v="403"/>
    <x v="703"/>
    <x v="41"/>
    <x v="2"/>
    <x v="370"/>
    <x v="579"/>
    <x v="94"/>
    <x v="0"/>
    <x v="840"/>
    <x v="0"/>
    <x v="102"/>
    <x v="130"/>
    <x v="300"/>
    <x v="5"/>
    <x v="432"/>
    <x v="550"/>
    <x v="1030"/>
  </r>
</pivotCacheRecords>
</file>

<file path=xl/pivotCache/pivotCacheRecords2.xml><?xml version="1.0" encoding="utf-8"?>
<pivotCacheRecords xmlns="http://schemas.openxmlformats.org/spreadsheetml/2006/main" xmlns:r="http://schemas.openxmlformats.org/officeDocument/2006/relationships" count="861">
  <r>
    <x v="0"/>
    <x v="2"/>
    <x v="5"/>
    <x v="11"/>
    <x v="7"/>
    <x v="6"/>
    <x v="35"/>
    <x v="376"/>
    <x v="5"/>
    <x v="37"/>
    <x v="129"/>
    <x v="93"/>
    <x v="527"/>
    <x v="207"/>
    <x v="38"/>
    <x v="93"/>
    <x v="0"/>
    <x v="0"/>
    <x v="94"/>
    <x v="3"/>
    <x v="0"/>
    <x v="260"/>
    <x v="171"/>
    <x v="43"/>
    <x v="1"/>
    <x v="279"/>
    <x v="7"/>
    <x v="444"/>
    <x v="252"/>
    <x v="89"/>
    <x v="13"/>
    <x v="82"/>
    <x v="84"/>
    <x v="158"/>
    <x v="4"/>
    <x v="280"/>
    <x v="175"/>
    <x v="226"/>
    <x v="442"/>
  </r>
  <r>
    <x v="0"/>
    <x v="2"/>
    <x v="0"/>
    <x v="3"/>
    <x v="1"/>
    <x v="0"/>
    <x v="53"/>
    <x v="19"/>
    <x v="5"/>
    <x v="37"/>
    <x v="83"/>
    <x v="21"/>
    <x v="149"/>
    <x v="110"/>
    <x v="11"/>
    <x v="80"/>
    <x v="0"/>
    <x v="0"/>
    <x v="40"/>
    <x v="2"/>
    <x v="0"/>
    <x v="162"/>
    <x v="134"/>
    <x v="38"/>
    <x v="5"/>
    <x v="301"/>
    <x v="32"/>
    <x v="376"/>
    <x v="241"/>
    <x v="114"/>
    <x v="29"/>
    <x v="63"/>
    <x v="46"/>
    <x v="41"/>
    <x v="6"/>
    <x v="377"/>
    <x v="299"/>
    <x v="138"/>
    <x v="441"/>
  </r>
  <r>
    <x v="0"/>
    <x v="2"/>
    <x v="6"/>
    <x v="15"/>
    <x v="9"/>
    <x v="10"/>
    <x v="36"/>
    <x v="377"/>
    <x v="5"/>
    <x v="19"/>
    <x v="94"/>
    <x v="131"/>
    <x v="178"/>
    <x v="139"/>
    <x v="0"/>
    <x v="0"/>
    <x v="0"/>
    <x v="0"/>
    <x v="0"/>
    <x v="0"/>
    <x v="0"/>
    <x v="194"/>
    <x v="218"/>
    <x v="6"/>
    <x v="0"/>
    <x v="0"/>
    <x v="357"/>
    <x v="0"/>
    <x v="0"/>
    <x v="541"/>
    <x v="13"/>
    <x v="27"/>
    <x v="45"/>
    <x v="305"/>
    <x v="0"/>
    <x v="39"/>
    <x v="181"/>
    <x v="104"/>
    <x v="443"/>
  </r>
  <r>
    <x v="0"/>
    <x v="3"/>
    <x v="5"/>
    <x v="11"/>
    <x v="7"/>
    <x v="6"/>
    <x v="35"/>
    <x v="379"/>
    <x v="1"/>
    <x v="37"/>
    <x v="129"/>
    <x v="93"/>
    <x v="373"/>
    <x v="214"/>
    <x v="60"/>
    <x v="47"/>
    <x v="0"/>
    <x v="0"/>
    <x v="77"/>
    <x v="2"/>
    <x v="0"/>
    <x v="266"/>
    <x v="253"/>
    <x v="43"/>
    <x v="1"/>
    <x v="257"/>
    <x v="12"/>
    <x v="368"/>
    <x v="126"/>
    <x v="117"/>
    <x v="10"/>
    <x v="86"/>
    <x v="93"/>
    <x v="185"/>
    <x v="4"/>
    <x v="267"/>
    <x v="243"/>
    <x v="317"/>
    <x v="91"/>
  </r>
  <r>
    <x v="0"/>
    <x v="3"/>
    <x v="0"/>
    <x v="3"/>
    <x v="1"/>
    <x v="0"/>
    <x v="53"/>
    <x v="20"/>
    <x v="1"/>
    <x v="37"/>
    <x v="80"/>
    <x v="16"/>
    <x v="246"/>
    <x v="154"/>
    <x v="0"/>
    <x v="11"/>
    <x v="0"/>
    <x v="0"/>
    <x v="36"/>
    <x v="2"/>
    <x v="0"/>
    <x v="212"/>
    <x v="471"/>
    <x v="38"/>
    <x v="5"/>
    <x v="337"/>
    <x v="210"/>
    <x v="255"/>
    <x v="41"/>
    <x v="251"/>
    <x v="5"/>
    <x v="90"/>
    <x v="105"/>
    <x v="86"/>
    <x v="6"/>
    <x v="362"/>
    <x v="374"/>
    <x v="590"/>
    <x v="444"/>
  </r>
  <r>
    <x v="1"/>
    <x v="1"/>
    <x v="7"/>
    <x v="19"/>
    <x v="9"/>
    <x v="10"/>
    <x v="37"/>
    <x v="378"/>
    <x v="2"/>
    <x v="37"/>
    <x v="147"/>
    <x v="120"/>
    <x v="178"/>
    <x v="138"/>
    <x v="0"/>
    <x v="0"/>
    <x v="0"/>
    <x v="0"/>
    <x v="3"/>
    <x v="0"/>
    <x v="0"/>
    <x v="193"/>
    <x v="13"/>
    <x v="10"/>
    <x v="0"/>
    <x v="0"/>
    <x v="357"/>
    <x v="42"/>
    <x v="0"/>
    <x v="492"/>
    <x v="42"/>
    <x v="44"/>
    <x v="18"/>
    <x v="66"/>
    <x v="2"/>
    <x v="223"/>
    <x v="52"/>
    <x v="23"/>
    <x v="92"/>
  </r>
  <r>
    <x v="1"/>
    <x v="1"/>
    <x v="0"/>
    <x v="3"/>
    <x v="1"/>
    <x v="0"/>
    <x v="53"/>
    <x v="22"/>
    <x v="2"/>
    <x v="37"/>
    <x v="83"/>
    <x v="21"/>
    <x v="218"/>
    <x v="148"/>
    <x v="19"/>
    <x v="45"/>
    <x v="0"/>
    <x v="0"/>
    <x v="51"/>
    <x v="2"/>
    <x v="0"/>
    <x v="205"/>
    <x v="448"/>
    <x v="38"/>
    <x v="5"/>
    <x v="330"/>
    <x v="106"/>
    <x v="367"/>
    <x v="162"/>
    <x v="118"/>
    <x v="0"/>
    <x v="92"/>
    <x v="107"/>
    <x v="76"/>
    <x v="6"/>
    <x v="383"/>
    <x v="260"/>
    <x v="490"/>
    <x v="97"/>
  </r>
  <r>
    <x v="1"/>
    <x v="1"/>
    <x v="5"/>
    <x v="11"/>
    <x v="7"/>
    <x v="6"/>
    <x v="35"/>
    <x v="376"/>
    <x v="2"/>
    <x v="37"/>
    <x v="129"/>
    <x v="93"/>
    <x v="363"/>
    <x v="210"/>
    <x v="0"/>
    <x v="64"/>
    <x v="0"/>
    <x v="0"/>
    <x v="59"/>
    <x v="2"/>
    <x v="0"/>
    <x v="263"/>
    <x v="207"/>
    <x v="43"/>
    <x v="1"/>
    <x v="155"/>
    <x v="131"/>
    <x v="309"/>
    <x v="171"/>
    <x v="190"/>
    <x v="13"/>
    <x v="82"/>
    <x v="84"/>
    <x v="168"/>
    <x v="4"/>
    <x v="270"/>
    <x v="231"/>
    <x v="265"/>
    <x v="93"/>
  </r>
  <r>
    <x v="1"/>
    <x v="2"/>
    <x v="6"/>
    <x v="15"/>
    <x v="9"/>
    <x v="10"/>
    <x v="36"/>
    <x v="381"/>
    <x v="5"/>
    <x v="37"/>
    <x v="170"/>
    <x v="156"/>
    <x v="598"/>
    <x v="358"/>
    <x v="0"/>
    <x v="0"/>
    <x v="0"/>
    <x v="0"/>
    <x v="0"/>
    <x v="0"/>
    <x v="0"/>
    <x v="409"/>
    <x v="288"/>
    <x v="6"/>
    <x v="0"/>
    <x v="0"/>
    <x v="357"/>
    <x v="0"/>
    <x v="0"/>
    <x v="541"/>
    <x v="9"/>
    <x v="87"/>
    <x v="97"/>
    <x v="367"/>
    <x v="0"/>
    <x v="16"/>
    <x v="402"/>
    <x v="598"/>
    <x v="445"/>
  </r>
  <r>
    <x v="1"/>
    <x v="2"/>
    <x v="5"/>
    <x v="11"/>
    <x v="7"/>
    <x v="6"/>
    <x v="35"/>
    <x v="383"/>
    <x v="5"/>
    <x v="37"/>
    <x v="129"/>
    <x v="93"/>
    <x v="408"/>
    <x v="227"/>
    <x v="11"/>
    <x v="48"/>
    <x v="0"/>
    <x v="0"/>
    <x v="56"/>
    <x v="0"/>
    <x v="0"/>
    <x v="276"/>
    <x v="344"/>
    <x v="43"/>
    <x v="1"/>
    <x v="193"/>
    <x v="154"/>
    <x v="260"/>
    <x v="123"/>
    <x v="244"/>
    <x v="0"/>
    <x v="92"/>
    <x v="107"/>
    <x v="203"/>
    <x v="4"/>
    <x v="276"/>
    <x v="199"/>
    <x v="425"/>
    <x v="94"/>
  </r>
  <r>
    <x v="1"/>
    <x v="2"/>
    <x v="0"/>
    <x v="3"/>
    <x v="4"/>
    <x v="0"/>
    <x v="53"/>
    <x v="25"/>
    <x v="5"/>
    <x v="37"/>
    <x v="83"/>
    <x v="21"/>
    <x v="173"/>
    <x v="133"/>
    <x v="16"/>
    <x v="27"/>
    <x v="0"/>
    <x v="0"/>
    <x v="50"/>
    <x v="0"/>
    <x v="0"/>
    <x v="188"/>
    <x v="357"/>
    <x v="38"/>
    <x v="5"/>
    <x v="307"/>
    <x v="124"/>
    <x v="379"/>
    <x v="132"/>
    <x v="102"/>
    <x v="0"/>
    <x v="92"/>
    <x v="107"/>
    <x v="61"/>
    <x v="6"/>
    <x v="401"/>
    <x v="108"/>
    <x v="291"/>
    <x v="98"/>
  </r>
  <r>
    <x v="1"/>
    <x v="2"/>
    <x v="7"/>
    <x v="19"/>
    <x v="9"/>
    <x v="9"/>
    <x v="37"/>
    <x v="380"/>
    <x v="5"/>
    <x v="22"/>
    <x v="106"/>
    <x v="120"/>
    <x v="222"/>
    <x v="151"/>
    <x v="0"/>
    <x v="0"/>
    <x v="0"/>
    <x v="0"/>
    <x v="0"/>
    <x v="0"/>
    <x v="0"/>
    <x v="209"/>
    <x v="181"/>
    <x v="10"/>
    <x v="0"/>
    <x v="0"/>
    <x v="357"/>
    <x v="0"/>
    <x v="0"/>
    <x v="541"/>
    <x v="9"/>
    <x v="43"/>
    <x v="72"/>
    <x v="246"/>
    <x v="2"/>
    <x v="151"/>
    <x v="227"/>
    <x v="232"/>
    <x v="446"/>
  </r>
  <r>
    <x v="1"/>
    <x v="3"/>
    <x v="0"/>
    <x v="3"/>
    <x v="4"/>
    <x v="0"/>
    <x v="53"/>
    <x v="27"/>
    <x v="1"/>
    <x v="37"/>
    <x v="83"/>
    <x v="21"/>
    <x v="243"/>
    <x v="154"/>
    <x v="0"/>
    <x v="11"/>
    <x v="0"/>
    <x v="0"/>
    <x v="29"/>
    <x v="2"/>
    <x v="0"/>
    <x v="212"/>
    <x v="464"/>
    <x v="38"/>
    <x v="5"/>
    <x v="335"/>
    <x v="226"/>
    <x v="207"/>
    <x v="43"/>
    <x v="308"/>
    <x v="0"/>
    <x v="92"/>
    <x v="107"/>
    <x v="86"/>
    <x v="6"/>
    <x v="367"/>
    <x v="337"/>
    <x v="592"/>
    <x v="99"/>
  </r>
  <r>
    <x v="1"/>
    <x v="3"/>
    <x v="5"/>
    <x v="11"/>
    <x v="7"/>
    <x v="6"/>
    <x v="35"/>
    <x v="386"/>
    <x v="1"/>
    <x v="37"/>
    <x v="129"/>
    <x v="93"/>
    <x v="466"/>
    <x v="244"/>
    <x v="0"/>
    <x v="14"/>
    <x v="0"/>
    <x v="0"/>
    <x v="50"/>
    <x v="2"/>
    <x v="0"/>
    <x v="286"/>
    <x v="409"/>
    <x v="43"/>
    <x v="1"/>
    <x v="233"/>
    <x v="245"/>
    <x v="221"/>
    <x v="17"/>
    <x v="292"/>
    <x v="0"/>
    <x v="92"/>
    <x v="107"/>
    <x v="218"/>
    <x v="4"/>
    <x v="256"/>
    <x v="304"/>
    <x v="561"/>
    <x v="447"/>
  </r>
  <r>
    <x v="2"/>
    <x v="1"/>
    <x v="7"/>
    <x v="19"/>
    <x v="9"/>
    <x v="10"/>
    <x v="37"/>
    <x v="382"/>
    <x v="2"/>
    <x v="37"/>
    <x v="147"/>
    <x v="120"/>
    <x v="522"/>
    <x v="277"/>
    <x v="0"/>
    <x v="0"/>
    <x v="0"/>
    <x v="0"/>
    <x v="4"/>
    <x v="0"/>
    <x v="0"/>
    <x v="321"/>
    <x v="193"/>
    <x v="10"/>
    <x v="0"/>
    <x v="0"/>
    <x v="357"/>
    <x v="21"/>
    <x v="0"/>
    <x v="516"/>
    <x v="15"/>
    <x v="80"/>
    <x v="77"/>
    <x v="250"/>
    <x v="2"/>
    <x v="157"/>
    <x v="213"/>
    <x v="242"/>
    <x v="448"/>
  </r>
  <r>
    <x v="2"/>
    <x v="1"/>
    <x v="0"/>
    <x v="3"/>
    <x v="1"/>
    <x v="0"/>
    <x v="53"/>
    <x v="28"/>
    <x v="2"/>
    <x v="37"/>
    <x v="83"/>
    <x v="21"/>
    <x v="175"/>
    <x v="133"/>
    <x v="0"/>
    <x v="31"/>
    <x v="0"/>
    <x v="0"/>
    <x v="57"/>
    <x v="2"/>
    <x v="0"/>
    <x v="188"/>
    <x v="357"/>
    <x v="38"/>
    <x v="5"/>
    <x v="308"/>
    <x v="115"/>
    <x v="395"/>
    <x v="146"/>
    <x v="81"/>
    <x v="7"/>
    <x v="89"/>
    <x v="101"/>
    <x v="61"/>
    <x v="6"/>
    <x v="392"/>
    <x v="170"/>
    <x v="287"/>
    <x v="95"/>
  </r>
  <r>
    <x v="2"/>
    <x v="1"/>
    <x v="5"/>
    <x v="11"/>
    <x v="7"/>
    <x v="6"/>
    <x v="35"/>
    <x v="388"/>
    <x v="2"/>
    <x v="37"/>
    <x v="129"/>
    <x v="93"/>
    <x v="489"/>
    <x v="250"/>
    <x v="0"/>
    <x v="21"/>
    <x v="0"/>
    <x v="0"/>
    <x v="42"/>
    <x v="2"/>
    <x v="0"/>
    <x v="291"/>
    <x v="434"/>
    <x v="43"/>
    <x v="1"/>
    <x v="244"/>
    <x v="250"/>
    <x v="186"/>
    <x v="24"/>
    <x v="333"/>
    <x v="0"/>
    <x v="92"/>
    <x v="107"/>
    <x v="224"/>
    <x v="4"/>
    <x v="248"/>
    <x v="344"/>
    <x v="597"/>
    <x v="96"/>
  </r>
  <r>
    <x v="2"/>
    <x v="4"/>
    <x v="8"/>
    <x v="60"/>
    <x v="9"/>
    <x v="18"/>
    <x v="38"/>
    <x v="378"/>
    <x v="6"/>
    <x v="38"/>
    <x v="157"/>
    <x v="135"/>
    <x v="567"/>
    <x v="325"/>
    <x v="0"/>
    <x v="0"/>
    <x v="0"/>
    <x v="0"/>
    <x v="33"/>
    <x v="0"/>
    <x v="0"/>
    <x v="387"/>
    <x v="287"/>
    <x v="26"/>
    <x v="0"/>
    <x v="0"/>
    <x v="357"/>
    <x v="112"/>
    <x v="0"/>
    <x v="411"/>
    <x v="23"/>
    <x v="75"/>
    <x v="62"/>
    <x v="319"/>
    <x v="3"/>
    <x v="49"/>
    <x v="463"/>
    <x v="678"/>
    <x v="449"/>
  </r>
  <r>
    <x v="2"/>
    <x v="2"/>
    <x v="0"/>
    <x v="3"/>
    <x v="4"/>
    <x v="0"/>
    <x v="53"/>
    <x v="30"/>
    <x v="5"/>
    <x v="19"/>
    <x v="55"/>
    <x v="80"/>
    <x v="65"/>
    <x v="51"/>
    <x v="20"/>
    <x v="55"/>
    <x v="0"/>
    <x v="0"/>
    <x v="34"/>
    <x v="0"/>
    <x v="0"/>
    <x v="111"/>
    <x v="75"/>
    <x v="38"/>
    <x v="5"/>
    <x v="89"/>
    <x v="31"/>
    <x v="445"/>
    <x v="236"/>
    <x v="26"/>
    <x v="0"/>
    <x v="39"/>
    <x v="107"/>
    <x v="68"/>
    <x v="6"/>
    <x v="392"/>
    <x v="170"/>
    <x v="364"/>
    <x v="100"/>
  </r>
  <r>
    <x v="2"/>
    <x v="2"/>
    <x v="7"/>
    <x v="19"/>
    <x v="9"/>
    <x v="9"/>
    <x v="37"/>
    <x v="385"/>
    <x v="5"/>
    <x v="37"/>
    <x v="147"/>
    <x v="120"/>
    <x v="553"/>
    <x v="310"/>
    <x v="0"/>
    <x v="0"/>
    <x v="0"/>
    <x v="0"/>
    <x v="20"/>
    <x v="0"/>
    <x v="0"/>
    <x v="363"/>
    <x v="359"/>
    <x v="10"/>
    <x v="0"/>
    <x v="0"/>
    <x v="357"/>
    <x v="90"/>
    <x v="0"/>
    <x v="434"/>
    <x v="9"/>
    <x v="87"/>
    <x v="97"/>
    <x v="302"/>
    <x v="2"/>
    <x v="111"/>
    <x v="298"/>
    <x v="407"/>
    <x v="451"/>
  </r>
  <r>
    <x v="2"/>
    <x v="2"/>
    <x v="6"/>
    <x v="15"/>
    <x v="9"/>
    <x v="10"/>
    <x v="36"/>
    <x v="384"/>
    <x v="5"/>
    <x v="37"/>
    <x v="173"/>
    <x v="166"/>
    <x v="605"/>
    <x v="368"/>
    <x v="0"/>
    <x v="0"/>
    <x v="0"/>
    <x v="0"/>
    <x v="0"/>
    <x v="0"/>
    <x v="0"/>
    <x v="411"/>
    <x v="288"/>
    <x v="6"/>
    <x v="0"/>
    <x v="0"/>
    <x v="357"/>
    <x v="0"/>
    <x v="0"/>
    <x v="541"/>
    <x v="0"/>
    <x v="92"/>
    <x v="107"/>
    <x v="384"/>
    <x v="0"/>
    <x v="12"/>
    <x v="411"/>
    <x v="661"/>
    <x v="450"/>
  </r>
  <r>
    <x v="2"/>
    <x v="2"/>
    <x v="5"/>
    <x v="11"/>
    <x v="7"/>
    <x v="6"/>
    <x v="35"/>
    <x v="391"/>
    <x v="5"/>
    <x v="37"/>
    <x v="129"/>
    <x v="93"/>
    <x v="495"/>
    <x v="252"/>
    <x v="0"/>
    <x v="21"/>
    <x v="0"/>
    <x v="0"/>
    <x v="59"/>
    <x v="0"/>
    <x v="0"/>
    <x v="293"/>
    <x v="443"/>
    <x v="43"/>
    <x v="1"/>
    <x v="253"/>
    <x v="239"/>
    <x v="244"/>
    <x v="23"/>
    <x v="263"/>
    <x v="0"/>
    <x v="92"/>
    <x v="107"/>
    <x v="225"/>
    <x v="4"/>
    <x v="245"/>
    <x v="361"/>
    <x v="604"/>
    <x v="101"/>
  </r>
  <r>
    <x v="2"/>
    <x v="3"/>
    <x v="0"/>
    <x v="3"/>
    <x v="4"/>
    <x v="0"/>
    <x v="53"/>
    <x v="31"/>
    <x v="1"/>
    <x v="29"/>
    <x v="67"/>
    <x v="26"/>
    <x v="140"/>
    <x v="110"/>
    <x v="25"/>
    <x v="49"/>
    <x v="0"/>
    <x v="0"/>
    <x v="42"/>
    <x v="2"/>
    <x v="0"/>
    <x v="162"/>
    <x v="384"/>
    <x v="38"/>
    <x v="5"/>
    <x v="297"/>
    <x v="69"/>
    <x v="383"/>
    <x v="206"/>
    <x v="100"/>
    <x v="7"/>
    <x v="63"/>
    <x v="97"/>
    <x v="68"/>
    <x v="6"/>
    <x v="377"/>
    <x v="299"/>
    <x v="377"/>
    <x v="102"/>
  </r>
  <r>
    <x v="2"/>
    <x v="3"/>
    <x v="5"/>
    <x v="11"/>
    <x v="7"/>
    <x v="6"/>
    <x v="35"/>
    <x v="395"/>
    <x v="1"/>
    <x v="37"/>
    <x v="129"/>
    <x v="93"/>
    <x v="496"/>
    <x v="253"/>
    <x v="0"/>
    <x v="8"/>
    <x v="0"/>
    <x v="0"/>
    <x v="57"/>
    <x v="2"/>
    <x v="0"/>
    <x v="297"/>
    <x v="452"/>
    <x v="43"/>
    <x v="1"/>
    <x v="256"/>
    <x v="251"/>
    <x v="232"/>
    <x v="8"/>
    <x v="277"/>
    <x v="0"/>
    <x v="92"/>
    <x v="107"/>
    <x v="228"/>
    <x v="4"/>
    <x v="238"/>
    <x v="375"/>
    <x v="625"/>
    <x v="103"/>
  </r>
  <r>
    <x v="3"/>
    <x v="1"/>
    <x v="5"/>
    <x v="11"/>
    <x v="7"/>
    <x v="6"/>
    <x v="35"/>
    <x v="397"/>
    <x v="2"/>
    <x v="37"/>
    <x v="129"/>
    <x v="93"/>
    <x v="488"/>
    <x v="250"/>
    <x v="0"/>
    <x v="0"/>
    <x v="0"/>
    <x v="0"/>
    <x v="51"/>
    <x v="2"/>
    <x v="0"/>
    <x v="291"/>
    <x v="434"/>
    <x v="43"/>
    <x v="1"/>
    <x v="242"/>
    <x v="270"/>
    <x v="214"/>
    <x v="0"/>
    <x v="298"/>
    <x v="0"/>
    <x v="92"/>
    <x v="107"/>
    <x v="224"/>
    <x v="4"/>
    <x v="248"/>
    <x v="344"/>
    <x v="596"/>
    <x v="105"/>
  </r>
  <r>
    <x v="3"/>
    <x v="1"/>
    <x v="6"/>
    <x v="15"/>
    <x v="9"/>
    <x v="10"/>
    <x v="36"/>
    <x v="392"/>
    <x v="2"/>
    <x v="16"/>
    <x v="118"/>
    <x v="157"/>
    <x v="280"/>
    <x v="179"/>
    <x v="0"/>
    <x v="0"/>
    <x v="0"/>
    <x v="0"/>
    <x v="0"/>
    <x v="0"/>
    <x v="0"/>
    <x v="234"/>
    <x v="196"/>
    <x v="6"/>
    <x v="0"/>
    <x v="0"/>
    <x v="357"/>
    <x v="0"/>
    <x v="0"/>
    <x v="541"/>
    <x v="0"/>
    <x v="33"/>
    <x v="107"/>
    <x v="359"/>
    <x v="0"/>
    <x v="32"/>
    <x v="244"/>
    <x v="501"/>
    <x v="104"/>
  </r>
  <r>
    <x v="3"/>
    <x v="1"/>
    <x v="7"/>
    <x v="19"/>
    <x v="9"/>
    <x v="9"/>
    <x v="37"/>
    <x v="389"/>
    <x v="2"/>
    <x v="37"/>
    <x v="147"/>
    <x v="120"/>
    <x v="538"/>
    <x v="294"/>
    <x v="0"/>
    <x v="0"/>
    <x v="0"/>
    <x v="0"/>
    <x v="2"/>
    <x v="0"/>
    <x v="0"/>
    <x v="342"/>
    <x v="281"/>
    <x v="10"/>
    <x v="0"/>
    <x v="0"/>
    <x v="357"/>
    <x v="9"/>
    <x v="0"/>
    <x v="532"/>
    <x v="9"/>
    <x v="87"/>
    <x v="97"/>
    <x v="277"/>
    <x v="2"/>
    <x v="153"/>
    <x v="222"/>
    <x v="325"/>
    <x v="452"/>
  </r>
  <r>
    <x v="3"/>
    <x v="1"/>
    <x v="2"/>
    <x v="69"/>
    <x v="9"/>
    <x v="3"/>
    <x v="4"/>
    <x v="36"/>
    <x v="2"/>
    <x v="14"/>
    <x v="32"/>
    <x v="87"/>
    <x v="61"/>
    <x v="58"/>
    <x v="0"/>
    <x v="0"/>
    <x v="0"/>
    <x v="0"/>
    <x v="0"/>
    <x v="0"/>
    <x v="0"/>
    <x v="117"/>
    <x v="323"/>
    <x v="37"/>
    <x v="2"/>
    <x v="17"/>
    <x v="356"/>
    <x v="0"/>
    <x v="0"/>
    <x v="541"/>
    <x v="0"/>
    <x v="27"/>
    <x v="107"/>
    <x v="180"/>
    <x v="5"/>
    <x v="303"/>
    <x v="279"/>
    <x v="554"/>
    <x v="179"/>
  </r>
  <r>
    <x v="3"/>
    <x v="1"/>
    <x v="2"/>
    <x v="69"/>
    <x v="9"/>
    <x v="3"/>
    <x v="4"/>
    <x v="37"/>
    <x v="2"/>
    <x v="29"/>
    <x v="118"/>
    <x v="104"/>
    <x v="160"/>
    <x v="126"/>
    <x v="36"/>
    <x v="5"/>
    <x v="0"/>
    <x v="0"/>
    <x v="6"/>
    <x v="2"/>
    <x v="0"/>
    <x v="177"/>
    <x v="58"/>
    <x v="37"/>
    <x v="2"/>
    <x v="54"/>
    <x v="94"/>
    <x v="82"/>
    <x v="15"/>
    <x v="446"/>
    <x v="13"/>
    <x v="57"/>
    <x v="72"/>
    <x v="91"/>
    <x v="5"/>
    <x v="350"/>
    <x v="97"/>
    <x v="162"/>
    <x v="180"/>
  </r>
  <r>
    <x v="3"/>
    <x v="4"/>
    <x v="1"/>
    <x v="63"/>
    <x v="9"/>
    <x v="11"/>
    <x v="0"/>
    <x v="0"/>
    <x v="3"/>
    <x v="38"/>
    <x v="61"/>
    <x v="5"/>
    <x v="117"/>
    <x v="89"/>
    <x v="0"/>
    <x v="0"/>
    <x v="50"/>
    <x v="0"/>
    <x v="100"/>
    <x v="0"/>
    <x v="4"/>
    <x v="46"/>
    <x v="189"/>
    <x v="30"/>
    <x v="4"/>
    <x v="141"/>
    <x v="43"/>
    <x v="469"/>
    <x v="0"/>
    <x v="1"/>
    <x v="45"/>
    <x v="44"/>
    <x v="15"/>
    <x v="21"/>
    <x v="7"/>
    <x v="506"/>
    <x v="23"/>
    <x v="11"/>
    <x v="756"/>
  </r>
  <r>
    <x v="3"/>
    <x v="4"/>
    <x v="8"/>
    <x v="60"/>
    <x v="9"/>
    <x v="18"/>
    <x v="38"/>
    <x v="382"/>
    <x v="6"/>
    <x v="38"/>
    <x v="176"/>
    <x v="163"/>
    <x v="618"/>
    <x v="381"/>
    <x v="0"/>
    <x v="0"/>
    <x v="0"/>
    <x v="0"/>
    <x v="38"/>
    <x v="0"/>
    <x v="1"/>
    <x v="373"/>
    <x v="402"/>
    <x v="26"/>
    <x v="0"/>
    <x v="0"/>
    <x v="357"/>
    <x v="81"/>
    <x v="0"/>
    <x v="444"/>
    <x v="9"/>
    <x v="91"/>
    <x v="98"/>
    <x v="394"/>
    <x v="3"/>
    <x v="108"/>
    <x v="415"/>
    <x v="609"/>
    <x v="453"/>
  </r>
  <r>
    <x v="3"/>
    <x v="2"/>
    <x v="5"/>
    <x v="11"/>
    <x v="7"/>
    <x v="6"/>
    <x v="35"/>
    <x v="401"/>
    <x v="5"/>
    <x v="37"/>
    <x v="129"/>
    <x v="93"/>
    <x v="361"/>
    <x v="210"/>
    <x v="0"/>
    <x v="34"/>
    <x v="0"/>
    <x v="0"/>
    <x v="64"/>
    <x v="0"/>
    <x v="0"/>
    <x v="263"/>
    <x v="207"/>
    <x v="43"/>
    <x v="1"/>
    <x v="149"/>
    <x v="178"/>
    <x v="332"/>
    <x v="103"/>
    <x v="158"/>
    <x v="11"/>
    <x v="85"/>
    <x v="89"/>
    <x v="168"/>
    <x v="4"/>
    <x v="275"/>
    <x v="201"/>
    <x v="264"/>
    <x v="106"/>
  </r>
  <r>
    <x v="3"/>
    <x v="2"/>
    <x v="2"/>
    <x v="69"/>
    <x v="9"/>
    <x v="3"/>
    <x v="4"/>
    <x v="37"/>
    <x v="5"/>
    <x v="37"/>
    <x v="121"/>
    <x v="62"/>
    <x v="287"/>
    <x v="184"/>
    <x v="20"/>
    <x v="0"/>
    <x v="0"/>
    <x v="0"/>
    <x v="5"/>
    <x v="0"/>
    <x v="0"/>
    <x v="238"/>
    <x v="188"/>
    <x v="37"/>
    <x v="2"/>
    <x v="107"/>
    <x v="263"/>
    <x v="55"/>
    <x v="0"/>
    <x v="478"/>
    <x v="0"/>
    <x v="92"/>
    <x v="107"/>
    <x v="120"/>
    <x v="5"/>
    <x v="354"/>
    <x v="55"/>
    <x v="244"/>
    <x v="180"/>
  </r>
  <r>
    <x v="3"/>
    <x v="2"/>
    <x v="7"/>
    <x v="19"/>
    <x v="9"/>
    <x v="9"/>
    <x v="37"/>
    <x v="393"/>
    <x v="5"/>
    <x v="37"/>
    <x v="147"/>
    <x v="120"/>
    <x v="548"/>
    <x v="305"/>
    <x v="0"/>
    <x v="0"/>
    <x v="0"/>
    <x v="0"/>
    <x v="2"/>
    <x v="0"/>
    <x v="0"/>
    <x v="358"/>
    <x v="339"/>
    <x v="10"/>
    <x v="0"/>
    <x v="0"/>
    <x v="357"/>
    <x v="8"/>
    <x v="0"/>
    <x v="533"/>
    <x v="9"/>
    <x v="87"/>
    <x v="97"/>
    <x v="294"/>
    <x v="2"/>
    <x v="123"/>
    <x v="273"/>
    <x v="386"/>
    <x v="455"/>
  </r>
  <r>
    <x v="3"/>
    <x v="2"/>
    <x v="6"/>
    <x v="15"/>
    <x v="9"/>
    <x v="10"/>
    <x v="36"/>
    <x v="394"/>
    <x v="5"/>
    <x v="37"/>
    <x v="160"/>
    <x v="144"/>
    <x v="580"/>
    <x v="339"/>
    <x v="0"/>
    <x v="0"/>
    <x v="0"/>
    <x v="0"/>
    <x v="0"/>
    <x v="0"/>
    <x v="0"/>
    <x v="399"/>
    <x v="288"/>
    <x v="6"/>
    <x v="0"/>
    <x v="0"/>
    <x v="357"/>
    <x v="0"/>
    <x v="0"/>
    <x v="541"/>
    <x v="9"/>
    <x v="87"/>
    <x v="97"/>
    <x v="339"/>
    <x v="0"/>
    <x v="38"/>
    <x v="183"/>
    <x v="296"/>
    <x v="454"/>
  </r>
  <r>
    <x v="3"/>
    <x v="2"/>
    <x v="0"/>
    <x v="29"/>
    <x v="2"/>
    <x v="1"/>
    <x v="19"/>
    <x v="32"/>
    <x v="5"/>
    <x v="22"/>
    <x v="80"/>
    <x v="97"/>
    <x v="101"/>
    <x v="81"/>
    <x v="37"/>
    <x v="21"/>
    <x v="0"/>
    <x v="0"/>
    <x v="55"/>
    <x v="2"/>
    <x v="0"/>
    <x v="139"/>
    <x v="50"/>
    <x v="44"/>
    <x v="8"/>
    <x v="281"/>
    <x v="54"/>
    <x v="453"/>
    <x v="166"/>
    <x v="17"/>
    <x v="0"/>
    <x v="50"/>
    <x v="107"/>
    <x v="74"/>
    <x v="6"/>
    <x v="385"/>
    <x v="242"/>
    <x v="442"/>
    <x v="107"/>
  </r>
  <r>
    <x v="3"/>
    <x v="3"/>
    <x v="5"/>
    <x v="11"/>
    <x v="7"/>
    <x v="6"/>
    <x v="35"/>
    <x v="403"/>
    <x v="1"/>
    <x v="37"/>
    <x v="129"/>
    <x v="93"/>
    <x v="411"/>
    <x v="227"/>
    <x v="0"/>
    <x v="53"/>
    <x v="0"/>
    <x v="0"/>
    <x v="47"/>
    <x v="2"/>
    <x v="0"/>
    <x v="276"/>
    <x v="344"/>
    <x v="43"/>
    <x v="1"/>
    <x v="190"/>
    <x v="173"/>
    <x v="225"/>
    <x v="136"/>
    <x v="290"/>
    <x v="10"/>
    <x v="86"/>
    <x v="93"/>
    <x v="203"/>
    <x v="4"/>
    <x v="251"/>
    <x v="331"/>
    <x v="431"/>
    <x v="456"/>
  </r>
  <r>
    <x v="3"/>
    <x v="3"/>
    <x v="0"/>
    <x v="29"/>
    <x v="3"/>
    <x v="1"/>
    <x v="19"/>
    <x v="33"/>
    <x v="1"/>
    <x v="37"/>
    <x v="80"/>
    <x v="16"/>
    <x v="190"/>
    <x v="142"/>
    <x v="0"/>
    <x v="16"/>
    <x v="0"/>
    <x v="0"/>
    <x v="45"/>
    <x v="0"/>
    <x v="0"/>
    <x v="198"/>
    <x v="435"/>
    <x v="44"/>
    <x v="8"/>
    <x v="357"/>
    <x v="182"/>
    <x v="349"/>
    <x v="82"/>
    <x v="141"/>
    <x v="0"/>
    <x v="92"/>
    <x v="107"/>
    <x v="70"/>
    <x v="6"/>
    <x v="390"/>
    <x v="198"/>
    <x v="409"/>
    <x v="108"/>
  </r>
  <r>
    <x v="3"/>
    <x v="3"/>
    <x v="2"/>
    <x v="69"/>
    <x v="9"/>
    <x v="3"/>
    <x v="4"/>
    <x v="38"/>
    <x v="1"/>
    <x v="37"/>
    <x v="121"/>
    <x v="62"/>
    <x v="302"/>
    <x v="191"/>
    <x v="0"/>
    <x v="0"/>
    <x v="0"/>
    <x v="0"/>
    <x v="4"/>
    <x v="2"/>
    <x v="0"/>
    <x v="244"/>
    <x v="245"/>
    <x v="37"/>
    <x v="2"/>
    <x v="118"/>
    <x v="322"/>
    <x v="40"/>
    <x v="0"/>
    <x v="495"/>
    <x v="0"/>
    <x v="92"/>
    <x v="107"/>
    <x v="132"/>
    <x v="5"/>
    <x v="350"/>
    <x v="97"/>
    <x v="303"/>
    <x v="180"/>
  </r>
  <r>
    <x v="4"/>
    <x v="1"/>
    <x v="5"/>
    <x v="11"/>
    <x v="7"/>
    <x v="6"/>
    <x v="35"/>
    <x v="405"/>
    <x v="2"/>
    <x v="37"/>
    <x v="129"/>
    <x v="93"/>
    <x v="173"/>
    <x v="131"/>
    <x v="51"/>
    <x v="70"/>
    <x v="0"/>
    <x v="0"/>
    <x v="69"/>
    <x v="2"/>
    <x v="0"/>
    <x v="186"/>
    <x v="33"/>
    <x v="43"/>
    <x v="1"/>
    <x v="59"/>
    <x v="18"/>
    <x v="427"/>
    <x v="223"/>
    <x v="47"/>
    <x v="39"/>
    <x v="50"/>
    <x v="24"/>
    <x v="58"/>
    <x v="4"/>
    <x v="266"/>
    <x v="248"/>
    <x v="51"/>
    <x v="110"/>
  </r>
  <r>
    <x v="4"/>
    <x v="1"/>
    <x v="7"/>
    <x v="19"/>
    <x v="9"/>
    <x v="9"/>
    <x v="37"/>
    <x v="394"/>
    <x v="2"/>
    <x v="37"/>
    <x v="147"/>
    <x v="120"/>
    <x v="531"/>
    <x v="285"/>
    <x v="0"/>
    <x v="0"/>
    <x v="0"/>
    <x v="0"/>
    <x v="8"/>
    <x v="0"/>
    <x v="0"/>
    <x v="331"/>
    <x v="244"/>
    <x v="10"/>
    <x v="0"/>
    <x v="0"/>
    <x v="357"/>
    <x v="46"/>
    <x v="0"/>
    <x v="486"/>
    <x v="9"/>
    <x v="87"/>
    <x v="97"/>
    <x v="260"/>
    <x v="2"/>
    <x v="174"/>
    <x v="171"/>
    <x v="286"/>
    <x v="457"/>
  </r>
  <r>
    <x v="4"/>
    <x v="1"/>
    <x v="2"/>
    <x v="69"/>
    <x v="9"/>
    <x v="3"/>
    <x v="4"/>
    <x v="44"/>
    <x v="2"/>
    <x v="37"/>
    <x v="121"/>
    <x v="62"/>
    <x v="377"/>
    <x v="224"/>
    <x v="0"/>
    <x v="0"/>
    <x v="0"/>
    <x v="0"/>
    <x v="10"/>
    <x v="0"/>
    <x v="0"/>
    <x v="273"/>
    <x v="444"/>
    <x v="37"/>
    <x v="2"/>
    <x v="197"/>
    <x v="336"/>
    <x v="71"/>
    <x v="0"/>
    <x v="456"/>
    <x v="0"/>
    <x v="92"/>
    <x v="107"/>
    <x v="195"/>
    <x v="5"/>
    <x v="284"/>
    <x v="344"/>
    <x v="601"/>
    <x v="180"/>
  </r>
  <r>
    <x v="4"/>
    <x v="1"/>
    <x v="0"/>
    <x v="29"/>
    <x v="3"/>
    <x v="1"/>
    <x v="19"/>
    <x v="39"/>
    <x v="2"/>
    <x v="37"/>
    <x v="83"/>
    <x v="21"/>
    <x v="154"/>
    <x v="119"/>
    <x v="4"/>
    <x v="26"/>
    <x v="0"/>
    <x v="0"/>
    <x v="51"/>
    <x v="2"/>
    <x v="0"/>
    <x v="171"/>
    <x v="192"/>
    <x v="44"/>
    <x v="8"/>
    <x v="341"/>
    <x v="109"/>
    <x v="399"/>
    <x v="143"/>
    <x v="78"/>
    <x v="13"/>
    <x v="82"/>
    <x v="84"/>
    <x v="48"/>
    <x v="6"/>
    <x v="399"/>
    <x v="111"/>
    <x v="189"/>
    <x v="109"/>
  </r>
  <r>
    <x v="4"/>
    <x v="2"/>
    <x v="0"/>
    <x v="29"/>
    <x v="2"/>
    <x v="1"/>
    <x v="19"/>
    <x v="40"/>
    <x v="5"/>
    <x v="10"/>
    <x v="10"/>
    <x v="26"/>
    <x v="19"/>
    <x v="17"/>
    <x v="20"/>
    <x v="11"/>
    <x v="0"/>
    <x v="0"/>
    <x v="25"/>
    <x v="0"/>
    <x v="0"/>
    <x v="62"/>
    <x v="252"/>
    <x v="44"/>
    <x v="8"/>
    <x v="44"/>
    <x v="27"/>
    <x v="461"/>
    <x v="221"/>
    <x v="9"/>
    <x v="0"/>
    <x v="20"/>
    <x v="107"/>
    <x v="59"/>
    <x v="6"/>
    <x v="405"/>
    <x v="76"/>
    <x v="229"/>
    <x v="458"/>
  </r>
  <r>
    <x v="4"/>
    <x v="4"/>
    <x v="1"/>
    <x v="31"/>
    <x v="9"/>
    <x v="11"/>
    <x v="20"/>
    <x v="34"/>
    <x v="3"/>
    <x v="38"/>
    <x v="133"/>
    <x v="91"/>
    <x v="375"/>
    <x v="215"/>
    <x v="0"/>
    <x v="0"/>
    <x v="38"/>
    <x v="0"/>
    <x v="95"/>
    <x v="0"/>
    <x v="4"/>
    <x v="85"/>
    <x v="206"/>
    <x v="18"/>
    <x v="0"/>
    <x v="0"/>
    <x v="357"/>
    <x v="436"/>
    <x v="0"/>
    <x v="33"/>
    <x v="26"/>
    <x v="72"/>
    <x v="56"/>
    <x v="165"/>
    <x v="7"/>
    <x v="439"/>
    <x v="417"/>
    <x v="277"/>
    <x v="464"/>
  </r>
  <r>
    <x v="4"/>
    <x v="4"/>
    <x v="8"/>
    <x v="60"/>
    <x v="9"/>
    <x v="18"/>
    <x v="38"/>
    <x v="390"/>
    <x v="6"/>
    <x v="38"/>
    <x v="176"/>
    <x v="163"/>
    <x v="619"/>
    <x v="382"/>
    <x v="0"/>
    <x v="0"/>
    <x v="0"/>
    <x v="0"/>
    <x v="51"/>
    <x v="0"/>
    <x v="1"/>
    <x v="374"/>
    <x v="416"/>
    <x v="26"/>
    <x v="0"/>
    <x v="0"/>
    <x v="357"/>
    <x v="102"/>
    <x v="0"/>
    <x v="422"/>
    <x v="11"/>
    <x v="90"/>
    <x v="91"/>
    <x v="397"/>
    <x v="3"/>
    <x v="95"/>
    <x v="428"/>
    <x v="623"/>
    <x v="459"/>
  </r>
  <r>
    <x v="4"/>
    <x v="2"/>
    <x v="0"/>
    <x v="1"/>
    <x v="2"/>
    <x v="1"/>
    <x v="12"/>
    <x v="40"/>
    <x v="5"/>
    <x v="29"/>
    <x v="72"/>
    <x v="27"/>
    <x v="83"/>
    <x v="69"/>
    <x v="33"/>
    <x v="40"/>
    <x v="0"/>
    <x v="0"/>
    <x v="30"/>
    <x v="2"/>
    <x v="0"/>
    <x v="128"/>
    <x v="57"/>
    <x v="38"/>
    <x v="7"/>
    <x v="255"/>
    <x v="47"/>
    <x v="411"/>
    <x v="220"/>
    <x v="67"/>
    <x v="26"/>
    <x v="48"/>
    <x v="42"/>
    <x v="29"/>
    <x v="6"/>
    <x v="400"/>
    <x v="109"/>
    <x v="77"/>
    <x v="111"/>
  </r>
  <r>
    <x v="4"/>
    <x v="2"/>
    <x v="5"/>
    <x v="11"/>
    <x v="7"/>
    <x v="6"/>
    <x v="35"/>
    <x v="407"/>
    <x v="5"/>
    <x v="37"/>
    <x v="129"/>
    <x v="93"/>
    <x v="401"/>
    <x v="228"/>
    <x v="0"/>
    <x v="18"/>
    <x v="0"/>
    <x v="0"/>
    <x v="59"/>
    <x v="0"/>
    <x v="0"/>
    <x v="277"/>
    <x v="351"/>
    <x v="43"/>
    <x v="1"/>
    <x v="179"/>
    <x v="227"/>
    <x v="272"/>
    <x v="26"/>
    <x v="226"/>
    <x v="7"/>
    <x v="89"/>
    <x v="101"/>
    <x v="204"/>
    <x v="4"/>
    <x v="261"/>
    <x v="286"/>
    <x v="430"/>
    <x v="112"/>
  </r>
  <r>
    <x v="4"/>
    <x v="2"/>
    <x v="2"/>
    <x v="69"/>
    <x v="9"/>
    <x v="3"/>
    <x v="4"/>
    <x v="45"/>
    <x v="5"/>
    <x v="37"/>
    <x v="121"/>
    <x v="62"/>
    <x v="350"/>
    <x v="210"/>
    <x v="0"/>
    <x v="0"/>
    <x v="0"/>
    <x v="0"/>
    <x v="5"/>
    <x v="0"/>
    <x v="0"/>
    <x v="263"/>
    <x v="389"/>
    <x v="37"/>
    <x v="2"/>
    <x v="161"/>
    <x v="347"/>
    <x v="45"/>
    <x v="0"/>
    <x v="488"/>
    <x v="0"/>
    <x v="92"/>
    <x v="107"/>
    <x v="168"/>
    <x v="5"/>
    <x v="319"/>
    <x v="231"/>
    <x v="476"/>
    <x v="180"/>
  </r>
  <r>
    <x v="4"/>
    <x v="2"/>
    <x v="6"/>
    <x v="15"/>
    <x v="9"/>
    <x v="10"/>
    <x v="36"/>
    <x v="399"/>
    <x v="5"/>
    <x v="37"/>
    <x v="164"/>
    <x v="151"/>
    <x v="586"/>
    <x v="346"/>
    <x v="0"/>
    <x v="0"/>
    <x v="0"/>
    <x v="0"/>
    <x v="0"/>
    <x v="0"/>
    <x v="0"/>
    <x v="404"/>
    <x v="288"/>
    <x v="6"/>
    <x v="0"/>
    <x v="0"/>
    <x v="357"/>
    <x v="0"/>
    <x v="0"/>
    <x v="541"/>
    <x v="9"/>
    <x v="87"/>
    <x v="97"/>
    <x v="352"/>
    <x v="0"/>
    <x v="24"/>
    <x v="327"/>
    <x v="446"/>
    <x v="460"/>
  </r>
  <r>
    <x v="4"/>
    <x v="2"/>
    <x v="7"/>
    <x v="19"/>
    <x v="9"/>
    <x v="9"/>
    <x v="37"/>
    <x v="400"/>
    <x v="5"/>
    <x v="37"/>
    <x v="147"/>
    <x v="120"/>
    <x v="506"/>
    <x v="261"/>
    <x v="0"/>
    <x v="0"/>
    <x v="0"/>
    <x v="0"/>
    <x v="5"/>
    <x v="0"/>
    <x v="0"/>
    <x v="303"/>
    <x v="148"/>
    <x v="10"/>
    <x v="0"/>
    <x v="0"/>
    <x v="357"/>
    <x v="30"/>
    <x v="0"/>
    <x v="506"/>
    <x v="21"/>
    <x v="72"/>
    <x v="63"/>
    <x v="236"/>
    <x v="2"/>
    <x v="148"/>
    <x v="229"/>
    <x v="197"/>
    <x v="461"/>
  </r>
  <r>
    <x v="4"/>
    <x v="3"/>
    <x v="5"/>
    <x v="10"/>
    <x v="7"/>
    <x v="6"/>
    <x v="41"/>
    <x v="410"/>
    <x v="1"/>
    <x v="37"/>
    <x v="129"/>
    <x v="93"/>
    <x v="293"/>
    <x v="184"/>
    <x v="0"/>
    <x v="62"/>
    <x v="0"/>
    <x v="0"/>
    <x v="63"/>
    <x v="2"/>
    <x v="0"/>
    <x v="238"/>
    <x v="111"/>
    <x v="43"/>
    <x v="1"/>
    <x v="99"/>
    <x v="105"/>
    <x v="366"/>
    <x v="188"/>
    <x v="121"/>
    <x v="24"/>
    <x v="69"/>
    <x v="57"/>
    <x v="120"/>
    <x v="4"/>
    <x v="272"/>
    <x v="211"/>
    <x v="155"/>
    <x v="463"/>
  </r>
  <r>
    <x v="4"/>
    <x v="3"/>
    <x v="0"/>
    <x v="1"/>
    <x v="2"/>
    <x v="1"/>
    <x v="12"/>
    <x v="43"/>
    <x v="1"/>
    <x v="37"/>
    <x v="83"/>
    <x v="21"/>
    <x v="224"/>
    <x v="149"/>
    <x v="0"/>
    <x v="0"/>
    <x v="0"/>
    <x v="0"/>
    <x v="61"/>
    <x v="2"/>
    <x v="0"/>
    <x v="206"/>
    <x v="454"/>
    <x v="38"/>
    <x v="7"/>
    <x v="367"/>
    <x v="191"/>
    <x v="384"/>
    <x v="0"/>
    <x v="94"/>
    <x v="0"/>
    <x v="92"/>
    <x v="107"/>
    <x v="79"/>
    <x v="6"/>
    <x v="378"/>
    <x v="292"/>
    <x v="538"/>
    <x v="462"/>
  </r>
  <r>
    <x v="4"/>
    <x v="3"/>
    <x v="2"/>
    <x v="69"/>
    <x v="9"/>
    <x v="3"/>
    <x v="4"/>
    <x v="46"/>
    <x v="1"/>
    <x v="37"/>
    <x v="121"/>
    <x v="62"/>
    <x v="289"/>
    <x v="186"/>
    <x v="0"/>
    <x v="0"/>
    <x v="0"/>
    <x v="0"/>
    <x v="3"/>
    <x v="2"/>
    <x v="0"/>
    <x v="240"/>
    <x v="214"/>
    <x v="37"/>
    <x v="2"/>
    <x v="110"/>
    <x v="324"/>
    <x v="26"/>
    <x v="0"/>
    <x v="512"/>
    <x v="15"/>
    <x v="80"/>
    <x v="77"/>
    <x v="127"/>
    <x v="5"/>
    <x v="313"/>
    <x v="249"/>
    <x v="268"/>
    <x v="180"/>
  </r>
  <r>
    <x v="5"/>
    <x v="1"/>
    <x v="5"/>
    <x v="10"/>
    <x v="7"/>
    <x v="6"/>
    <x v="41"/>
    <x v="414"/>
    <x v="2"/>
    <x v="37"/>
    <x v="129"/>
    <x v="93"/>
    <x v="463"/>
    <x v="244"/>
    <x v="0"/>
    <x v="0"/>
    <x v="0"/>
    <x v="0"/>
    <x v="56"/>
    <x v="2"/>
    <x v="0"/>
    <x v="286"/>
    <x v="409"/>
    <x v="43"/>
    <x v="1"/>
    <x v="231"/>
    <x v="264"/>
    <x v="245"/>
    <x v="0"/>
    <x v="260"/>
    <x v="0"/>
    <x v="92"/>
    <x v="107"/>
    <x v="218"/>
    <x v="4"/>
    <x v="256"/>
    <x v="304"/>
    <x v="557"/>
    <x v="114"/>
  </r>
  <r>
    <x v="5"/>
    <x v="1"/>
    <x v="7"/>
    <x v="19"/>
    <x v="9"/>
    <x v="9"/>
    <x v="37"/>
    <x v="402"/>
    <x v="2"/>
    <x v="37"/>
    <x v="147"/>
    <x v="120"/>
    <x v="538"/>
    <x v="293"/>
    <x v="0"/>
    <x v="0"/>
    <x v="0"/>
    <x v="0"/>
    <x v="6"/>
    <x v="0"/>
    <x v="0"/>
    <x v="341"/>
    <x v="280"/>
    <x v="10"/>
    <x v="0"/>
    <x v="0"/>
    <x v="357"/>
    <x v="32"/>
    <x v="0"/>
    <x v="504"/>
    <x v="7"/>
    <x v="89"/>
    <x v="101"/>
    <x v="275"/>
    <x v="2"/>
    <x v="172"/>
    <x v="186"/>
    <x v="324"/>
    <x v="467"/>
  </r>
  <r>
    <x v="5"/>
    <x v="1"/>
    <x v="6"/>
    <x v="15"/>
    <x v="9"/>
    <x v="10"/>
    <x v="36"/>
    <x v="408"/>
    <x v="2"/>
    <x v="25"/>
    <x v="132"/>
    <x v="132"/>
    <x v="565"/>
    <x v="322"/>
    <x v="0"/>
    <x v="0"/>
    <x v="0"/>
    <x v="0"/>
    <x v="0"/>
    <x v="0"/>
    <x v="0"/>
    <x v="382"/>
    <x v="500"/>
    <x v="6"/>
    <x v="0"/>
    <x v="0"/>
    <x v="357"/>
    <x v="0"/>
    <x v="0"/>
    <x v="541"/>
    <x v="0"/>
    <x v="57"/>
    <x v="107"/>
    <x v="379"/>
    <x v="0"/>
    <x v="17"/>
    <x v="399"/>
    <x v="646"/>
    <x v="465"/>
  </r>
  <r>
    <x v="5"/>
    <x v="1"/>
    <x v="6"/>
    <x v="14"/>
    <x v="9"/>
    <x v="10"/>
    <x v="42"/>
    <x v="411"/>
    <x v="2"/>
    <x v="25"/>
    <x v="67"/>
    <x v="31"/>
    <x v="531"/>
    <x v="286"/>
    <x v="0"/>
    <x v="0"/>
    <x v="0"/>
    <x v="0"/>
    <x v="0"/>
    <x v="0"/>
    <x v="0"/>
    <x v="332"/>
    <x v="505"/>
    <x v="5"/>
    <x v="0"/>
    <x v="0"/>
    <x v="357"/>
    <x v="0"/>
    <x v="0"/>
    <x v="541"/>
    <x v="0"/>
    <x v="57"/>
    <x v="107"/>
    <x v="346"/>
    <x v="0"/>
    <x v="47"/>
    <x v="132"/>
    <x v="352"/>
    <x v="466"/>
  </r>
  <r>
    <x v="5"/>
    <x v="1"/>
    <x v="0"/>
    <x v="1"/>
    <x v="2"/>
    <x v="1"/>
    <x v="12"/>
    <x v="48"/>
    <x v="2"/>
    <x v="37"/>
    <x v="83"/>
    <x v="21"/>
    <x v="199"/>
    <x v="142"/>
    <x v="11"/>
    <x v="38"/>
    <x v="0"/>
    <x v="0"/>
    <x v="63"/>
    <x v="2"/>
    <x v="0"/>
    <x v="198"/>
    <x v="417"/>
    <x v="38"/>
    <x v="7"/>
    <x v="358"/>
    <x v="101"/>
    <x v="401"/>
    <x v="152"/>
    <x v="75"/>
    <x v="0"/>
    <x v="92"/>
    <x v="107"/>
    <x v="70"/>
    <x v="6"/>
    <x v="390"/>
    <x v="198"/>
    <x v="400"/>
    <x v="113"/>
  </r>
  <r>
    <x v="5"/>
    <x v="1"/>
    <x v="2"/>
    <x v="70"/>
    <x v="9"/>
    <x v="3"/>
    <x v="3"/>
    <x v="52"/>
    <x v="2"/>
    <x v="37"/>
    <x v="121"/>
    <x v="62"/>
    <x v="367"/>
    <x v="214"/>
    <x v="25"/>
    <x v="0"/>
    <x v="0"/>
    <x v="0"/>
    <x v="4"/>
    <x v="2"/>
    <x v="0"/>
    <x v="266"/>
    <x v="419"/>
    <x v="42"/>
    <x v="2"/>
    <x v="186"/>
    <x v="255"/>
    <x v="31"/>
    <x v="0"/>
    <x v="505"/>
    <x v="0"/>
    <x v="92"/>
    <x v="107"/>
    <x v="185"/>
    <x v="5"/>
    <x v="296"/>
    <x v="294"/>
    <x v="563"/>
    <x v="181"/>
  </r>
  <r>
    <x v="5"/>
    <x v="4"/>
    <x v="8"/>
    <x v="60"/>
    <x v="9"/>
    <x v="18"/>
    <x v="38"/>
    <x v="398"/>
    <x v="6"/>
    <x v="38"/>
    <x v="176"/>
    <x v="163"/>
    <x v="611"/>
    <x v="374"/>
    <x v="0"/>
    <x v="0"/>
    <x v="0"/>
    <x v="0"/>
    <x v="99"/>
    <x v="0"/>
    <x v="1"/>
    <x v="364"/>
    <x v="360"/>
    <x v="26"/>
    <x v="0"/>
    <x v="0"/>
    <x v="357"/>
    <x v="236"/>
    <x v="0"/>
    <x v="270"/>
    <x v="11"/>
    <x v="90"/>
    <x v="91"/>
    <x v="385"/>
    <x v="3"/>
    <x v="138"/>
    <x v="391"/>
    <x v="548"/>
    <x v="469"/>
  </r>
  <r>
    <x v="5"/>
    <x v="4"/>
    <x v="1"/>
    <x v="31"/>
    <x v="9"/>
    <x v="11"/>
    <x v="20"/>
    <x v="41"/>
    <x v="3"/>
    <x v="21"/>
    <x v="74"/>
    <x v="95"/>
    <x v="128"/>
    <x v="104"/>
    <x v="0"/>
    <x v="0"/>
    <x v="9"/>
    <x v="0"/>
    <x v="28"/>
    <x v="0"/>
    <x v="4"/>
    <x v="52"/>
    <x v="209"/>
    <x v="18"/>
    <x v="0"/>
    <x v="0"/>
    <x v="357"/>
    <x v="322"/>
    <x v="0"/>
    <x v="164"/>
    <x v="5"/>
    <x v="41"/>
    <x v="92"/>
    <x v="170"/>
    <x v="7"/>
    <x v="474"/>
    <x v="236"/>
    <x v="315"/>
    <x v="440"/>
  </r>
  <r>
    <x v="5"/>
    <x v="4"/>
    <x v="1"/>
    <x v="42"/>
    <x v="9"/>
    <x v="11"/>
    <x v="11"/>
    <x v="35"/>
    <x v="3"/>
    <x v="5"/>
    <x v="16"/>
    <x v="110"/>
    <x v="15"/>
    <x v="16"/>
    <x v="0"/>
    <x v="0"/>
    <x v="0"/>
    <x v="0"/>
    <x v="20"/>
    <x v="0"/>
    <x v="4"/>
    <x v="11"/>
    <x v="89"/>
    <x v="18"/>
    <x v="0"/>
    <x v="0"/>
    <x v="357"/>
    <x v="458"/>
    <x v="0"/>
    <x v="12"/>
    <x v="0"/>
    <x v="11"/>
    <x v="107"/>
    <x v="183"/>
    <x v="7"/>
    <x v="486"/>
    <x v="141"/>
    <x v="312"/>
    <x v="758"/>
  </r>
  <r>
    <x v="5"/>
    <x v="4"/>
    <x v="1"/>
    <x v="8"/>
    <x v="9"/>
    <x v="11"/>
    <x v="54"/>
    <x v="9"/>
    <x v="3"/>
    <x v="22"/>
    <x v="82"/>
    <x v="99"/>
    <x v="161"/>
    <x v="127"/>
    <x v="0"/>
    <x v="0"/>
    <x v="8"/>
    <x v="0"/>
    <x v="18"/>
    <x v="0"/>
    <x v="4"/>
    <x v="57"/>
    <x v="272"/>
    <x v="3"/>
    <x v="0"/>
    <x v="0"/>
    <x v="357"/>
    <x v="181"/>
    <x v="0"/>
    <x v="337"/>
    <x v="7"/>
    <x v="44"/>
    <x v="84"/>
    <x v="205"/>
    <x v="7"/>
    <x v="444"/>
    <x v="390"/>
    <x v="483"/>
    <x v="757"/>
  </r>
  <r>
    <x v="5"/>
    <x v="2"/>
    <x v="7"/>
    <x v="19"/>
    <x v="9"/>
    <x v="9"/>
    <x v="37"/>
    <x v="404"/>
    <x v="5"/>
    <x v="37"/>
    <x v="147"/>
    <x v="120"/>
    <x v="526"/>
    <x v="281"/>
    <x v="0"/>
    <x v="0"/>
    <x v="0"/>
    <x v="0"/>
    <x v="0"/>
    <x v="0"/>
    <x v="0"/>
    <x v="326"/>
    <x v="212"/>
    <x v="10"/>
    <x v="0"/>
    <x v="0"/>
    <x v="357"/>
    <x v="0"/>
    <x v="0"/>
    <x v="541"/>
    <x v="9"/>
    <x v="87"/>
    <x v="97"/>
    <x v="254"/>
    <x v="2"/>
    <x v="189"/>
    <x v="140"/>
    <x v="254"/>
    <x v="468"/>
  </r>
  <r>
    <x v="5"/>
    <x v="2"/>
    <x v="2"/>
    <x v="70"/>
    <x v="9"/>
    <x v="3"/>
    <x v="3"/>
    <x v="52"/>
    <x v="5"/>
    <x v="19"/>
    <x v="50"/>
    <x v="49"/>
    <x v="91"/>
    <x v="80"/>
    <x v="0"/>
    <x v="0"/>
    <x v="0"/>
    <x v="0"/>
    <x v="0"/>
    <x v="0"/>
    <x v="0"/>
    <x v="138"/>
    <x v="288"/>
    <x v="42"/>
    <x v="2"/>
    <x v="27"/>
    <x v="356"/>
    <x v="0"/>
    <x v="0"/>
    <x v="541"/>
    <x v="0"/>
    <x v="39"/>
    <x v="107"/>
    <x v="132"/>
    <x v="5"/>
    <x v="350"/>
    <x v="97"/>
    <x v="308"/>
    <x v="181"/>
  </r>
  <r>
    <x v="5"/>
    <x v="2"/>
    <x v="2"/>
    <x v="70"/>
    <x v="9"/>
    <x v="3"/>
    <x v="3"/>
    <x v="54"/>
    <x v="5"/>
    <x v="25"/>
    <x v="88"/>
    <x v="79"/>
    <x v="192"/>
    <x v="145"/>
    <x v="0"/>
    <x v="0"/>
    <x v="0"/>
    <x v="0"/>
    <x v="0"/>
    <x v="0"/>
    <x v="0"/>
    <x v="201"/>
    <x v="421"/>
    <x v="42"/>
    <x v="2"/>
    <x v="66"/>
    <x v="356"/>
    <x v="0"/>
    <x v="0"/>
    <x v="541"/>
    <x v="0"/>
    <x v="57"/>
    <x v="107"/>
    <x v="188"/>
    <x v="5"/>
    <x v="289"/>
    <x v="325"/>
    <x v="583"/>
    <x v="182"/>
  </r>
  <r>
    <x v="5"/>
    <x v="2"/>
    <x v="5"/>
    <x v="10"/>
    <x v="7"/>
    <x v="6"/>
    <x v="41"/>
    <x v="417"/>
    <x v="5"/>
    <x v="37"/>
    <x v="129"/>
    <x v="93"/>
    <x v="394"/>
    <x v="227"/>
    <x v="0"/>
    <x v="12"/>
    <x v="0"/>
    <x v="0"/>
    <x v="44"/>
    <x v="0"/>
    <x v="0"/>
    <x v="276"/>
    <x v="344"/>
    <x v="43"/>
    <x v="1"/>
    <x v="172"/>
    <x v="259"/>
    <x v="203"/>
    <x v="16"/>
    <x v="312"/>
    <x v="7"/>
    <x v="89"/>
    <x v="101"/>
    <x v="203"/>
    <x v="4"/>
    <x v="262"/>
    <x v="282"/>
    <x v="433"/>
    <x v="115"/>
  </r>
  <r>
    <x v="5"/>
    <x v="2"/>
    <x v="0"/>
    <x v="1"/>
    <x v="2"/>
    <x v="1"/>
    <x v="12"/>
    <x v="49"/>
    <x v="5"/>
    <x v="37"/>
    <x v="83"/>
    <x v="21"/>
    <x v="205"/>
    <x v="146"/>
    <x v="0"/>
    <x v="21"/>
    <x v="0"/>
    <x v="0"/>
    <x v="59"/>
    <x v="0"/>
    <x v="0"/>
    <x v="202"/>
    <x v="439"/>
    <x v="38"/>
    <x v="7"/>
    <x v="359"/>
    <x v="153"/>
    <x v="385"/>
    <x v="102"/>
    <x v="96"/>
    <x v="0"/>
    <x v="92"/>
    <x v="107"/>
    <x v="74"/>
    <x v="6"/>
    <x v="385"/>
    <x v="242"/>
    <x v="459"/>
    <x v="116"/>
  </r>
  <r>
    <x v="5"/>
    <x v="3"/>
    <x v="5"/>
    <x v="10"/>
    <x v="7"/>
    <x v="6"/>
    <x v="41"/>
    <x v="420"/>
    <x v="1"/>
    <x v="37"/>
    <x v="129"/>
    <x v="93"/>
    <x v="365"/>
    <x v="211"/>
    <x v="32"/>
    <x v="21"/>
    <x v="0"/>
    <x v="0"/>
    <x v="40"/>
    <x v="2"/>
    <x v="0"/>
    <x v="264"/>
    <x v="230"/>
    <x v="43"/>
    <x v="1"/>
    <x v="158"/>
    <x v="132"/>
    <x v="202"/>
    <x v="47"/>
    <x v="313"/>
    <x v="20"/>
    <x v="73"/>
    <x v="65"/>
    <x v="175"/>
    <x v="4"/>
    <x v="247"/>
    <x v="355"/>
    <x v="297"/>
    <x v="117"/>
  </r>
  <r>
    <x v="5"/>
    <x v="3"/>
    <x v="0"/>
    <x v="1"/>
    <x v="2"/>
    <x v="1"/>
    <x v="12"/>
    <x v="50"/>
    <x v="1"/>
    <x v="37"/>
    <x v="83"/>
    <x v="21"/>
    <x v="195"/>
    <x v="142"/>
    <x v="0"/>
    <x v="24"/>
    <x v="0"/>
    <x v="0"/>
    <x v="53"/>
    <x v="2"/>
    <x v="0"/>
    <x v="198"/>
    <x v="417"/>
    <x v="38"/>
    <x v="7"/>
    <x v="355"/>
    <x v="142"/>
    <x v="376"/>
    <x v="119"/>
    <x v="105"/>
    <x v="7"/>
    <x v="89"/>
    <x v="101"/>
    <x v="70"/>
    <x v="6"/>
    <x v="379"/>
    <x v="281"/>
    <x v="404"/>
    <x v="118"/>
  </r>
  <r>
    <x v="5"/>
    <x v="3"/>
    <x v="2"/>
    <x v="70"/>
    <x v="9"/>
    <x v="3"/>
    <x v="3"/>
    <x v="55"/>
    <x v="1"/>
    <x v="19"/>
    <x v="53"/>
    <x v="71"/>
    <x v="98"/>
    <x v="83"/>
    <x v="0"/>
    <x v="0"/>
    <x v="0"/>
    <x v="0"/>
    <x v="8"/>
    <x v="1"/>
    <x v="0"/>
    <x v="140"/>
    <x v="290"/>
    <x v="42"/>
    <x v="2"/>
    <x v="31"/>
    <x v="286"/>
    <x v="145"/>
    <x v="0"/>
    <x v="375"/>
    <x v="5"/>
    <x v="34"/>
    <x v="87"/>
    <x v="142"/>
    <x v="5"/>
    <x v="300"/>
    <x v="288"/>
    <x v="341"/>
    <x v="182"/>
  </r>
  <r>
    <x v="5"/>
    <x v="3"/>
    <x v="2"/>
    <x v="70"/>
    <x v="9"/>
    <x v="3"/>
    <x v="3"/>
    <x v="53"/>
    <x v="1"/>
    <x v="25"/>
    <x v="84"/>
    <x v="56"/>
    <x v="164"/>
    <x v="129"/>
    <x v="1"/>
    <x v="0"/>
    <x v="0"/>
    <x v="0"/>
    <x v="4"/>
    <x v="1"/>
    <x v="0"/>
    <x v="180"/>
    <x v="288"/>
    <x v="42"/>
    <x v="2"/>
    <x v="53"/>
    <x v="285"/>
    <x v="63"/>
    <x v="0"/>
    <x v="465"/>
    <x v="5"/>
    <x v="55"/>
    <x v="100"/>
    <x v="139"/>
    <x v="5"/>
    <x v="327"/>
    <x v="207"/>
    <x v="337"/>
    <x v="181"/>
  </r>
  <r>
    <x v="6"/>
    <x v="1"/>
    <x v="5"/>
    <x v="10"/>
    <x v="7"/>
    <x v="6"/>
    <x v="41"/>
    <x v="423"/>
    <x v="1"/>
    <x v="37"/>
    <x v="108"/>
    <x v="42"/>
    <x v="360"/>
    <x v="210"/>
    <x v="21"/>
    <x v="37"/>
    <x v="0"/>
    <x v="0"/>
    <x v="48"/>
    <x v="2"/>
    <x v="0"/>
    <x v="263"/>
    <x v="461"/>
    <x v="43"/>
    <x v="1"/>
    <x v="154"/>
    <x v="139"/>
    <x v="252"/>
    <x v="111"/>
    <x v="258"/>
    <x v="20"/>
    <x v="73"/>
    <x v="65"/>
    <x v="168"/>
    <x v="4"/>
    <x v="250"/>
    <x v="335"/>
    <x v="270"/>
    <x v="120"/>
  </r>
  <r>
    <x v="6"/>
    <x v="1"/>
    <x v="0"/>
    <x v="1"/>
    <x v="2"/>
    <x v="1"/>
    <x v="12"/>
    <x v="56"/>
    <x v="1"/>
    <x v="37"/>
    <x v="83"/>
    <x v="21"/>
    <x v="141"/>
    <x v="110"/>
    <x v="9"/>
    <x v="47"/>
    <x v="0"/>
    <x v="0"/>
    <x v="49"/>
    <x v="2"/>
    <x v="0"/>
    <x v="162"/>
    <x v="134"/>
    <x v="38"/>
    <x v="7"/>
    <x v="315"/>
    <x v="73"/>
    <x v="411"/>
    <x v="202"/>
    <x v="65"/>
    <x v="29"/>
    <x v="63"/>
    <x v="46"/>
    <x v="41"/>
    <x v="6"/>
    <x v="377"/>
    <x v="299"/>
    <x v="134"/>
    <x v="119"/>
  </r>
  <r>
    <x v="6"/>
    <x v="1"/>
    <x v="2"/>
    <x v="70"/>
    <x v="9"/>
    <x v="3"/>
    <x v="3"/>
    <x v="61"/>
    <x v="1"/>
    <x v="37"/>
    <x v="121"/>
    <x v="62"/>
    <x v="273"/>
    <x v="173"/>
    <x v="0"/>
    <x v="0"/>
    <x v="0"/>
    <x v="0"/>
    <x v="4"/>
    <x v="2"/>
    <x v="0"/>
    <x v="229"/>
    <x v="150"/>
    <x v="42"/>
    <x v="2"/>
    <x v="95"/>
    <x v="314"/>
    <x v="45"/>
    <x v="0"/>
    <x v="489"/>
    <x v="20"/>
    <x v="73"/>
    <x v="65"/>
    <x v="106"/>
    <x v="5"/>
    <x v="326"/>
    <x v="210"/>
    <x v="204"/>
    <x v="181"/>
  </r>
  <r>
    <x v="6"/>
    <x v="1"/>
    <x v="6"/>
    <x v="14"/>
    <x v="9"/>
    <x v="10"/>
    <x v="42"/>
    <x v="415"/>
    <x v="1"/>
    <x v="16"/>
    <x v="104"/>
    <x v="146"/>
    <x v="258"/>
    <x v="165"/>
    <x v="0"/>
    <x v="0"/>
    <x v="0"/>
    <x v="0"/>
    <x v="0"/>
    <x v="0"/>
    <x v="0"/>
    <x v="222"/>
    <x v="288"/>
    <x v="5"/>
    <x v="0"/>
    <x v="0"/>
    <x v="357"/>
    <x v="0"/>
    <x v="0"/>
    <x v="541"/>
    <x v="0"/>
    <x v="33"/>
    <x v="107"/>
    <x v="346"/>
    <x v="0"/>
    <x v="47"/>
    <x v="132"/>
    <x v="352"/>
    <x v="121"/>
  </r>
  <r>
    <x v="6"/>
    <x v="1"/>
    <x v="7"/>
    <x v="19"/>
    <x v="9"/>
    <x v="9"/>
    <x v="37"/>
    <x v="409"/>
    <x v="1"/>
    <x v="22"/>
    <x v="94"/>
    <x v="109"/>
    <x v="191"/>
    <x v="144"/>
    <x v="0"/>
    <x v="0"/>
    <x v="0"/>
    <x v="0"/>
    <x v="0"/>
    <x v="0"/>
    <x v="0"/>
    <x v="200"/>
    <x v="285"/>
    <x v="10"/>
    <x v="0"/>
    <x v="0"/>
    <x v="357"/>
    <x v="0"/>
    <x v="0"/>
    <x v="541"/>
    <x v="13"/>
    <x v="39"/>
    <x v="57"/>
    <x v="233"/>
    <x v="2"/>
    <x v="120"/>
    <x v="276"/>
    <x v="190"/>
    <x v="123"/>
  </r>
  <r>
    <x v="6"/>
    <x v="1"/>
    <x v="7"/>
    <x v="18"/>
    <x v="9"/>
    <x v="9"/>
    <x v="43"/>
    <x v="412"/>
    <x v="1"/>
    <x v="22"/>
    <x v="68"/>
    <x v="51"/>
    <x v="192"/>
    <x v="144"/>
    <x v="0"/>
    <x v="0"/>
    <x v="0"/>
    <x v="0"/>
    <x v="0"/>
    <x v="2"/>
    <x v="0"/>
    <x v="200"/>
    <x v="493"/>
    <x v="9"/>
    <x v="0"/>
    <x v="0"/>
    <x v="357"/>
    <x v="0"/>
    <x v="0"/>
    <x v="541"/>
    <x v="13"/>
    <x v="39"/>
    <x v="57"/>
    <x v="233"/>
    <x v="2"/>
    <x v="120"/>
    <x v="276"/>
    <x v="190"/>
    <x v="122"/>
  </r>
  <r>
    <x v="6"/>
    <x v="4"/>
    <x v="1"/>
    <x v="8"/>
    <x v="9"/>
    <x v="11"/>
    <x v="54"/>
    <x v="21"/>
    <x v="3"/>
    <x v="38"/>
    <x v="133"/>
    <x v="91"/>
    <x v="516"/>
    <x v="268"/>
    <x v="0"/>
    <x v="0"/>
    <x v="46"/>
    <x v="0"/>
    <x v="31"/>
    <x v="0"/>
    <x v="4"/>
    <x v="109"/>
    <x v="458"/>
    <x v="3"/>
    <x v="0"/>
    <x v="0"/>
    <x v="357"/>
    <x v="138"/>
    <x v="0"/>
    <x v="382"/>
    <x v="11"/>
    <x v="90"/>
    <x v="91"/>
    <x v="232"/>
    <x v="7"/>
    <x v="429"/>
    <x v="440"/>
    <x v="658"/>
    <x v="759"/>
  </r>
  <r>
    <x v="6"/>
    <x v="4"/>
    <x v="8"/>
    <x v="60"/>
    <x v="9"/>
    <x v="18"/>
    <x v="38"/>
    <x v="406"/>
    <x v="6"/>
    <x v="24"/>
    <x v="156"/>
    <x v="174"/>
    <x v="555"/>
    <x v="312"/>
    <x v="0"/>
    <x v="0"/>
    <x v="0"/>
    <x v="0"/>
    <x v="42"/>
    <x v="0"/>
    <x v="1"/>
    <x v="236"/>
    <x v="208"/>
    <x v="26"/>
    <x v="0"/>
    <x v="0"/>
    <x v="357"/>
    <x v="153"/>
    <x v="0"/>
    <x v="367"/>
    <x v="9"/>
    <x v="48"/>
    <x v="76"/>
    <x v="377"/>
    <x v="3"/>
    <x v="132"/>
    <x v="396"/>
    <x v="463"/>
    <x v="471"/>
  </r>
  <r>
    <x v="6"/>
    <x v="4"/>
    <x v="8"/>
    <x v="59"/>
    <x v="9"/>
    <x v="18"/>
    <x v="44"/>
    <x v="412"/>
    <x v="6"/>
    <x v="22"/>
    <x v="141"/>
    <x v="154"/>
    <x v="371"/>
    <x v="217"/>
    <x v="0"/>
    <x v="0"/>
    <x v="0"/>
    <x v="0"/>
    <x v="20"/>
    <x v="0"/>
    <x v="1"/>
    <x v="172"/>
    <x v="105"/>
    <x v="25"/>
    <x v="0"/>
    <x v="0"/>
    <x v="357"/>
    <x v="124"/>
    <x v="0"/>
    <x v="396"/>
    <x v="21"/>
    <x v="31"/>
    <x v="31"/>
    <x v="329"/>
    <x v="3"/>
    <x v="100"/>
    <x v="422"/>
    <x v="133"/>
    <x v="472"/>
  </r>
  <r>
    <x v="6"/>
    <x v="2"/>
    <x v="7"/>
    <x v="18"/>
    <x v="9"/>
    <x v="9"/>
    <x v="43"/>
    <x v="413"/>
    <x v="5"/>
    <x v="37"/>
    <x v="147"/>
    <x v="120"/>
    <x v="508"/>
    <x v="263"/>
    <x v="0"/>
    <x v="0"/>
    <x v="0"/>
    <x v="0"/>
    <x v="0"/>
    <x v="0"/>
    <x v="0"/>
    <x v="306"/>
    <x v="157"/>
    <x v="9"/>
    <x v="0"/>
    <x v="0"/>
    <x v="357"/>
    <x v="0"/>
    <x v="0"/>
    <x v="541"/>
    <x v="9"/>
    <x v="87"/>
    <x v="97"/>
    <x v="240"/>
    <x v="2"/>
    <x v="211"/>
    <x v="83"/>
    <x v="208"/>
    <x v="470"/>
  </r>
  <r>
    <x v="6"/>
    <x v="2"/>
    <x v="0"/>
    <x v="1"/>
    <x v="2"/>
    <x v="1"/>
    <x v="12"/>
    <x v="57"/>
    <x v="5"/>
    <x v="37"/>
    <x v="83"/>
    <x v="21"/>
    <x v="206"/>
    <x v="146"/>
    <x v="7"/>
    <x v="25"/>
    <x v="0"/>
    <x v="0"/>
    <x v="57"/>
    <x v="0"/>
    <x v="0"/>
    <x v="202"/>
    <x v="439"/>
    <x v="38"/>
    <x v="7"/>
    <x v="360"/>
    <x v="144"/>
    <x v="381"/>
    <x v="118"/>
    <x v="99"/>
    <x v="0"/>
    <x v="92"/>
    <x v="107"/>
    <x v="74"/>
    <x v="6"/>
    <x v="385"/>
    <x v="242"/>
    <x v="460"/>
    <x v="124"/>
  </r>
  <r>
    <x v="6"/>
    <x v="2"/>
    <x v="5"/>
    <x v="10"/>
    <x v="7"/>
    <x v="6"/>
    <x v="41"/>
    <x v="426"/>
    <x v="5"/>
    <x v="37"/>
    <x v="129"/>
    <x v="93"/>
    <x v="284"/>
    <x v="179"/>
    <x v="0"/>
    <x v="21"/>
    <x v="0"/>
    <x v="0"/>
    <x v="40"/>
    <x v="0"/>
    <x v="0"/>
    <x v="234"/>
    <x v="102"/>
    <x v="43"/>
    <x v="1"/>
    <x v="91"/>
    <x v="218"/>
    <x v="249"/>
    <x v="76"/>
    <x v="259"/>
    <x v="20"/>
    <x v="73"/>
    <x v="65"/>
    <x v="115"/>
    <x v="4"/>
    <x v="314"/>
    <x v="92"/>
    <x v="144"/>
    <x v="125"/>
  </r>
  <r>
    <x v="6"/>
    <x v="2"/>
    <x v="2"/>
    <x v="70"/>
    <x v="9"/>
    <x v="3"/>
    <x v="3"/>
    <x v="62"/>
    <x v="5"/>
    <x v="37"/>
    <x v="121"/>
    <x v="62"/>
    <x v="283"/>
    <x v="180"/>
    <x v="0"/>
    <x v="0"/>
    <x v="0"/>
    <x v="0"/>
    <x v="2"/>
    <x v="0"/>
    <x v="0"/>
    <x v="235"/>
    <x v="177"/>
    <x v="42"/>
    <x v="2"/>
    <x v="102"/>
    <x v="354"/>
    <x v="17"/>
    <x v="0"/>
    <x v="520"/>
    <x v="0"/>
    <x v="92"/>
    <x v="107"/>
    <x v="116"/>
    <x v="5"/>
    <x v="355"/>
    <x v="48"/>
    <x v="233"/>
    <x v="182"/>
  </r>
  <r>
    <x v="6"/>
    <x v="2"/>
    <x v="6"/>
    <x v="14"/>
    <x v="9"/>
    <x v="10"/>
    <x v="42"/>
    <x v="419"/>
    <x v="5"/>
    <x v="37"/>
    <x v="157"/>
    <x v="138"/>
    <x v="575"/>
    <x v="334"/>
    <x v="0"/>
    <x v="0"/>
    <x v="0"/>
    <x v="0"/>
    <x v="0"/>
    <x v="0"/>
    <x v="0"/>
    <x v="396"/>
    <x v="374"/>
    <x v="5"/>
    <x v="0"/>
    <x v="0"/>
    <x v="357"/>
    <x v="0"/>
    <x v="0"/>
    <x v="541"/>
    <x v="9"/>
    <x v="87"/>
    <x v="97"/>
    <x v="331"/>
    <x v="0"/>
    <x v="53"/>
    <x v="100"/>
    <x v="219"/>
    <x v="473"/>
  </r>
  <r>
    <x v="6"/>
    <x v="3"/>
    <x v="0"/>
    <x v="1"/>
    <x v="2"/>
    <x v="1"/>
    <x v="12"/>
    <x v="59"/>
    <x v="2"/>
    <x v="37"/>
    <x v="83"/>
    <x v="21"/>
    <x v="266"/>
    <x v="161"/>
    <x v="0"/>
    <x v="17"/>
    <x v="0"/>
    <x v="0"/>
    <x v="90"/>
    <x v="2"/>
    <x v="0"/>
    <x v="218"/>
    <x v="472"/>
    <x v="38"/>
    <x v="7"/>
    <x v="374"/>
    <x v="108"/>
    <x v="447"/>
    <x v="60"/>
    <x v="22"/>
    <x v="7"/>
    <x v="89"/>
    <x v="101"/>
    <x v="94"/>
    <x v="6"/>
    <x v="359"/>
    <x v="412"/>
    <x v="600"/>
    <x v="475"/>
  </r>
  <r>
    <x v="6"/>
    <x v="3"/>
    <x v="5"/>
    <x v="10"/>
    <x v="7"/>
    <x v="6"/>
    <x v="41"/>
    <x v="428"/>
    <x v="2"/>
    <x v="37"/>
    <x v="129"/>
    <x v="93"/>
    <x v="398"/>
    <x v="227"/>
    <x v="0"/>
    <x v="24"/>
    <x v="0"/>
    <x v="0"/>
    <x v="51"/>
    <x v="0"/>
    <x v="0"/>
    <x v="276"/>
    <x v="344"/>
    <x v="43"/>
    <x v="1"/>
    <x v="176"/>
    <x v="228"/>
    <x v="242"/>
    <x v="51"/>
    <x v="266"/>
    <x v="7"/>
    <x v="89"/>
    <x v="101"/>
    <x v="203"/>
    <x v="4"/>
    <x v="262"/>
    <x v="282"/>
    <x v="426"/>
    <x v="126"/>
  </r>
  <r>
    <x v="6"/>
    <x v="3"/>
    <x v="2"/>
    <x v="70"/>
    <x v="9"/>
    <x v="3"/>
    <x v="3"/>
    <x v="63"/>
    <x v="2"/>
    <x v="37"/>
    <x v="121"/>
    <x v="62"/>
    <x v="340"/>
    <x v="205"/>
    <x v="0"/>
    <x v="0"/>
    <x v="0"/>
    <x v="0"/>
    <x v="4"/>
    <x v="3"/>
    <x v="0"/>
    <x v="258"/>
    <x v="347"/>
    <x v="42"/>
    <x v="2"/>
    <x v="153"/>
    <x v="297"/>
    <x v="37"/>
    <x v="0"/>
    <x v="499"/>
    <x v="0"/>
    <x v="92"/>
    <x v="107"/>
    <x v="156"/>
    <x v="5"/>
    <x v="336"/>
    <x v="165"/>
    <x v="405"/>
    <x v="182"/>
  </r>
  <r>
    <x v="6"/>
    <x v="3"/>
    <x v="6"/>
    <x v="14"/>
    <x v="9"/>
    <x v="10"/>
    <x v="42"/>
    <x v="425"/>
    <x v="2"/>
    <x v="37"/>
    <x v="146"/>
    <x v="118"/>
    <x v="577"/>
    <x v="336"/>
    <x v="0"/>
    <x v="0"/>
    <x v="0"/>
    <x v="0"/>
    <x v="0"/>
    <x v="0"/>
    <x v="0"/>
    <x v="397"/>
    <x v="491"/>
    <x v="5"/>
    <x v="0"/>
    <x v="0"/>
    <x v="357"/>
    <x v="0"/>
    <x v="0"/>
    <x v="541"/>
    <x v="9"/>
    <x v="87"/>
    <x v="97"/>
    <x v="335"/>
    <x v="0"/>
    <x v="43"/>
    <x v="159"/>
    <x v="276"/>
    <x v="474"/>
  </r>
  <r>
    <x v="7"/>
    <x v="1"/>
    <x v="2"/>
    <x v="70"/>
    <x v="9"/>
    <x v="3"/>
    <x v="3"/>
    <x v="67"/>
    <x v="1"/>
    <x v="6"/>
    <x v="12"/>
    <x v="83"/>
    <x v="21"/>
    <x v="21"/>
    <x v="0"/>
    <x v="0"/>
    <x v="0"/>
    <x v="0"/>
    <x v="0"/>
    <x v="0"/>
    <x v="0"/>
    <x v="67"/>
    <x v="288"/>
    <x v="42"/>
    <x v="2"/>
    <x v="3"/>
    <x v="356"/>
    <x v="0"/>
    <x v="0"/>
    <x v="541"/>
    <x v="0"/>
    <x v="14"/>
    <x v="107"/>
    <x v="161"/>
    <x v="5"/>
    <x v="330"/>
    <x v="202"/>
    <x v="443"/>
    <x v="182"/>
  </r>
  <r>
    <x v="7"/>
    <x v="1"/>
    <x v="2"/>
    <x v="70"/>
    <x v="9"/>
    <x v="3"/>
    <x v="3"/>
    <x v="65"/>
    <x v="1"/>
    <x v="33"/>
    <x v="107"/>
    <x v="53"/>
    <x v="259"/>
    <x v="164"/>
    <x v="0"/>
    <x v="0"/>
    <x v="0"/>
    <x v="0"/>
    <x v="4"/>
    <x v="2"/>
    <x v="0"/>
    <x v="221"/>
    <x v="222"/>
    <x v="42"/>
    <x v="2"/>
    <x v="85"/>
    <x v="310"/>
    <x v="47"/>
    <x v="0"/>
    <x v="487"/>
    <x v="10"/>
    <x v="71"/>
    <x v="88"/>
    <x v="125"/>
    <x v="5"/>
    <x v="333"/>
    <x v="180"/>
    <x v="259"/>
    <x v="181"/>
  </r>
  <r>
    <x v="7"/>
    <x v="1"/>
    <x v="5"/>
    <x v="10"/>
    <x v="7"/>
    <x v="6"/>
    <x v="41"/>
    <x v="430"/>
    <x v="1"/>
    <x v="37"/>
    <x v="129"/>
    <x v="93"/>
    <x v="453"/>
    <x v="242"/>
    <x v="0"/>
    <x v="21"/>
    <x v="0"/>
    <x v="2"/>
    <x v="66"/>
    <x v="2"/>
    <x v="0"/>
    <x v="284"/>
    <x v="393"/>
    <x v="43"/>
    <x v="1"/>
    <x v="221"/>
    <x v="207"/>
    <x v="290"/>
    <x v="31"/>
    <x v="201"/>
    <x v="0"/>
    <x v="92"/>
    <x v="107"/>
    <x v="214"/>
    <x v="4"/>
    <x v="264"/>
    <x v="270"/>
    <x v="516"/>
    <x v="476"/>
  </r>
  <r>
    <x v="7"/>
    <x v="1"/>
    <x v="7"/>
    <x v="18"/>
    <x v="9"/>
    <x v="9"/>
    <x v="43"/>
    <x v="418"/>
    <x v="1"/>
    <x v="37"/>
    <x v="147"/>
    <x v="120"/>
    <x v="538"/>
    <x v="295"/>
    <x v="0"/>
    <x v="0"/>
    <x v="0"/>
    <x v="0"/>
    <x v="0"/>
    <x v="0"/>
    <x v="0"/>
    <x v="343"/>
    <x v="282"/>
    <x v="9"/>
    <x v="0"/>
    <x v="0"/>
    <x v="357"/>
    <x v="0"/>
    <x v="0"/>
    <x v="541"/>
    <x v="9"/>
    <x v="87"/>
    <x v="97"/>
    <x v="278"/>
    <x v="2"/>
    <x v="152"/>
    <x v="223"/>
    <x v="327"/>
    <x v="477"/>
  </r>
  <r>
    <x v="7"/>
    <x v="4"/>
    <x v="1"/>
    <x v="6"/>
    <x v="9"/>
    <x v="11"/>
    <x v="13"/>
    <x v="42"/>
    <x v="3"/>
    <x v="38"/>
    <x v="133"/>
    <x v="91"/>
    <x v="438"/>
    <x v="241"/>
    <x v="0"/>
    <x v="0"/>
    <x v="44"/>
    <x v="0"/>
    <x v="32"/>
    <x v="0"/>
    <x v="4"/>
    <x v="95"/>
    <x v="341"/>
    <x v="1"/>
    <x v="0"/>
    <x v="0"/>
    <x v="357"/>
    <x v="158"/>
    <x v="0"/>
    <x v="362"/>
    <x v="11"/>
    <x v="90"/>
    <x v="91"/>
    <x v="201"/>
    <x v="7"/>
    <x v="453"/>
    <x v="359"/>
    <x v="461"/>
    <x v="760"/>
  </r>
  <r>
    <x v="7"/>
    <x v="4"/>
    <x v="8"/>
    <x v="59"/>
    <x v="9"/>
    <x v="18"/>
    <x v="44"/>
    <x v="416"/>
    <x v="6"/>
    <x v="38"/>
    <x v="176"/>
    <x v="163"/>
    <x v="605"/>
    <x v="367"/>
    <x v="0"/>
    <x v="0"/>
    <x v="0"/>
    <x v="0"/>
    <x v="73"/>
    <x v="0"/>
    <x v="1"/>
    <x v="340"/>
    <x v="260"/>
    <x v="25"/>
    <x v="0"/>
    <x v="0"/>
    <x v="357"/>
    <x v="151"/>
    <x v="0"/>
    <x v="369"/>
    <x v="11"/>
    <x v="90"/>
    <x v="91"/>
    <x v="374"/>
    <x v="3"/>
    <x v="187"/>
    <x v="334"/>
    <x v="436"/>
    <x v="479"/>
  </r>
  <r>
    <x v="7"/>
    <x v="2"/>
    <x v="7"/>
    <x v="18"/>
    <x v="9"/>
    <x v="9"/>
    <x v="43"/>
    <x v="421"/>
    <x v="5"/>
    <x v="37"/>
    <x v="147"/>
    <x v="120"/>
    <x v="541"/>
    <x v="298"/>
    <x v="0"/>
    <x v="0"/>
    <x v="0"/>
    <x v="0"/>
    <x v="0"/>
    <x v="0"/>
    <x v="0"/>
    <x v="346"/>
    <x v="304"/>
    <x v="9"/>
    <x v="0"/>
    <x v="0"/>
    <x v="357"/>
    <x v="0"/>
    <x v="0"/>
    <x v="541"/>
    <x v="9"/>
    <x v="87"/>
    <x v="97"/>
    <x v="283"/>
    <x v="2"/>
    <x v="143"/>
    <x v="234"/>
    <x v="342"/>
    <x v="478"/>
  </r>
  <r>
    <x v="7"/>
    <x v="2"/>
    <x v="5"/>
    <x v="10"/>
    <x v="7"/>
    <x v="6"/>
    <x v="41"/>
    <x v="432"/>
    <x v="5"/>
    <x v="37"/>
    <x v="129"/>
    <x v="93"/>
    <x v="405"/>
    <x v="227"/>
    <x v="0"/>
    <x v="29"/>
    <x v="0"/>
    <x v="0"/>
    <x v="68"/>
    <x v="0"/>
    <x v="0"/>
    <x v="276"/>
    <x v="344"/>
    <x v="43"/>
    <x v="1"/>
    <x v="183"/>
    <x v="195"/>
    <x v="316"/>
    <x v="69"/>
    <x v="171"/>
    <x v="0"/>
    <x v="92"/>
    <x v="107"/>
    <x v="203"/>
    <x v="4"/>
    <x v="276"/>
    <x v="199"/>
    <x v="412"/>
    <x v="481"/>
  </r>
  <r>
    <x v="7"/>
    <x v="2"/>
    <x v="6"/>
    <x v="14"/>
    <x v="9"/>
    <x v="10"/>
    <x v="42"/>
    <x v="429"/>
    <x v="5"/>
    <x v="37"/>
    <x v="162"/>
    <x v="147"/>
    <x v="584"/>
    <x v="343"/>
    <x v="0"/>
    <x v="0"/>
    <x v="0"/>
    <x v="0"/>
    <x v="0"/>
    <x v="0"/>
    <x v="0"/>
    <x v="403"/>
    <x v="328"/>
    <x v="5"/>
    <x v="0"/>
    <x v="0"/>
    <x v="357"/>
    <x v="0"/>
    <x v="0"/>
    <x v="541"/>
    <x v="0"/>
    <x v="92"/>
    <x v="107"/>
    <x v="350"/>
    <x v="0"/>
    <x v="41"/>
    <x v="177"/>
    <x v="428"/>
    <x v="480"/>
  </r>
  <r>
    <x v="7"/>
    <x v="2"/>
    <x v="2"/>
    <x v="70"/>
    <x v="9"/>
    <x v="3"/>
    <x v="3"/>
    <x v="68"/>
    <x v="5"/>
    <x v="37"/>
    <x v="121"/>
    <x v="62"/>
    <x v="340"/>
    <x v="206"/>
    <x v="0"/>
    <x v="0"/>
    <x v="0"/>
    <x v="0"/>
    <x v="0"/>
    <x v="0"/>
    <x v="0"/>
    <x v="259"/>
    <x v="354"/>
    <x v="42"/>
    <x v="2"/>
    <x v="153"/>
    <x v="356"/>
    <x v="0"/>
    <x v="0"/>
    <x v="541"/>
    <x v="0"/>
    <x v="92"/>
    <x v="107"/>
    <x v="157"/>
    <x v="5"/>
    <x v="335"/>
    <x v="170"/>
    <x v="415"/>
    <x v="182"/>
  </r>
  <r>
    <x v="7"/>
    <x v="3"/>
    <x v="0"/>
    <x v="2"/>
    <x v="3"/>
    <x v="1"/>
    <x v="16"/>
    <x v="64"/>
    <x v="2"/>
    <x v="37"/>
    <x v="83"/>
    <x v="21"/>
    <x v="111"/>
    <x v="88"/>
    <x v="14"/>
    <x v="69"/>
    <x v="0"/>
    <x v="0"/>
    <x v="38"/>
    <x v="2"/>
    <x v="0"/>
    <x v="144"/>
    <x v="62"/>
    <x v="38"/>
    <x v="10"/>
    <x v="306"/>
    <x v="37"/>
    <x v="413"/>
    <x v="235"/>
    <x v="70"/>
    <x v="35"/>
    <x v="55"/>
    <x v="31"/>
    <x v="26"/>
    <x v="6"/>
    <x v="394"/>
    <x v="130"/>
    <x v="66"/>
    <x v="131"/>
  </r>
  <r>
    <x v="7"/>
    <x v="3"/>
    <x v="5"/>
    <x v="10"/>
    <x v="7"/>
    <x v="6"/>
    <x v="41"/>
    <x v="434"/>
    <x v="2"/>
    <x v="37"/>
    <x v="129"/>
    <x v="93"/>
    <x v="399"/>
    <x v="227"/>
    <x v="0"/>
    <x v="22"/>
    <x v="0"/>
    <x v="0"/>
    <x v="49"/>
    <x v="2"/>
    <x v="0"/>
    <x v="276"/>
    <x v="344"/>
    <x v="43"/>
    <x v="1"/>
    <x v="177"/>
    <x v="225"/>
    <x v="232"/>
    <x v="45"/>
    <x v="279"/>
    <x v="0"/>
    <x v="92"/>
    <x v="107"/>
    <x v="203"/>
    <x v="4"/>
    <x v="276"/>
    <x v="199"/>
    <x v="429"/>
    <x v="127"/>
  </r>
  <r>
    <x v="7"/>
    <x v="3"/>
    <x v="2"/>
    <x v="70"/>
    <x v="9"/>
    <x v="3"/>
    <x v="3"/>
    <x v="66"/>
    <x v="2"/>
    <x v="37"/>
    <x v="121"/>
    <x v="62"/>
    <x v="285"/>
    <x v="183"/>
    <x v="0"/>
    <x v="0"/>
    <x v="0"/>
    <x v="0"/>
    <x v="4"/>
    <x v="2"/>
    <x v="0"/>
    <x v="237"/>
    <x v="187"/>
    <x v="42"/>
    <x v="2"/>
    <x v="104"/>
    <x v="317"/>
    <x v="41"/>
    <x v="0"/>
    <x v="493"/>
    <x v="13"/>
    <x v="82"/>
    <x v="84"/>
    <x v="119"/>
    <x v="5"/>
    <x v="334"/>
    <x v="174"/>
    <x v="241"/>
    <x v="181"/>
  </r>
  <r>
    <x v="7"/>
    <x v="3"/>
    <x v="6"/>
    <x v="14"/>
    <x v="9"/>
    <x v="10"/>
    <x v="42"/>
    <x v="433"/>
    <x v="2"/>
    <x v="22"/>
    <x v="146"/>
    <x v="166"/>
    <x v="383"/>
    <x v="227"/>
    <x v="0"/>
    <x v="0"/>
    <x v="0"/>
    <x v="0"/>
    <x v="0"/>
    <x v="0"/>
    <x v="0"/>
    <x v="276"/>
    <x v="87"/>
    <x v="5"/>
    <x v="0"/>
    <x v="0"/>
    <x v="357"/>
    <x v="0"/>
    <x v="0"/>
    <x v="541"/>
    <x v="0"/>
    <x v="50"/>
    <x v="107"/>
    <x v="333"/>
    <x v="0"/>
    <x v="65"/>
    <x v="59"/>
    <x v="249"/>
    <x v="482"/>
  </r>
  <r>
    <x v="8"/>
    <x v="1"/>
    <x v="5"/>
    <x v="10"/>
    <x v="7"/>
    <x v="6"/>
    <x v="41"/>
    <x v="439"/>
    <x v="1"/>
    <x v="37"/>
    <x v="129"/>
    <x v="93"/>
    <x v="379"/>
    <x v="219"/>
    <x v="63"/>
    <x v="53"/>
    <x v="0"/>
    <x v="0"/>
    <x v="60"/>
    <x v="2"/>
    <x v="0"/>
    <x v="269"/>
    <x v="289"/>
    <x v="43"/>
    <x v="1"/>
    <x v="375"/>
    <x v="1"/>
    <x v="292"/>
    <x v="140"/>
    <x v="205"/>
    <x v="10"/>
    <x v="86"/>
    <x v="93"/>
    <x v="189"/>
    <x v="4"/>
    <x v="263"/>
    <x v="275"/>
    <x v="349"/>
    <x v="128"/>
  </r>
  <r>
    <x v="8"/>
    <x v="1"/>
    <x v="7"/>
    <x v="18"/>
    <x v="9"/>
    <x v="9"/>
    <x v="43"/>
    <x v="427"/>
    <x v="1"/>
    <x v="37"/>
    <x v="147"/>
    <x v="120"/>
    <x v="529"/>
    <x v="283"/>
    <x v="0"/>
    <x v="0"/>
    <x v="0"/>
    <x v="0"/>
    <x v="0"/>
    <x v="0"/>
    <x v="0"/>
    <x v="329"/>
    <x v="226"/>
    <x v="9"/>
    <x v="0"/>
    <x v="0"/>
    <x v="357"/>
    <x v="0"/>
    <x v="0"/>
    <x v="541"/>
    <x v="9"/>
    <x v="87"/>
    <x v="97"/>
    <x v="258"/>
    <x v="2"/>
    <x v="179"/>
    <x v="158"/>
    <x v="275"/>
    <x v="483"/>
  </r>
  <r>
    <x v="8"/>
    <x v="1"/>
    <x v="2"/>
    <x v="71"/>
    <x v="9"/>
    <x v="3"/>
    <x v="1"/>
    <x v="70"/>
    <x v="1"/>
    <x v="37"/>
    <x v="121"/>
    <x v="62"/>
    <x v="345"/>
    <x v="205"/>
    <x v="0"/>
    <x v="30"/>
    <x v="0"/>
    <x v="0"/>
    <x v="23"/>
    <x v="2"/>
    <x v="0"/>
    <x v="258"/>
    <x v="347"/>
    <x v="40"/>
    <x v="2"/>
    <x v="156"/>
    <x v="234"/>
    <x v="150"/>
    <x v="95"/>
    <x v="370"/>
    <x v="7"/>
    <x v="89"/>
    <x v="101"/>
    <x v="156"/>
    <x v="5"/>
    <x v="309"/>
    <x v="259"/>
    <x v="398"/>
    <x v="183"/>
  </r>
  <r>
    <x v="8"/>
    <x v="1"/>
    <x v="6"/>
    <x v="14"/>
    <x v="9"/>
    <x v="10"/>
    <x v="42"/>
    <x v="437"/>
    <x v="1"/>
    <x v="14"/>
    <x v="94"/>
    <x v="152"/>
    <x v="192"/>
    <x v="145"/>
    <x v="0"/>
    <x v="0"/>
    <x v="0"/>
    <x v="0"/>
    <x v="0"/>
    <x v="0"/>
    <x v="0"/>
    <x v="201"/>
    <x v="288"/>
    <x v="5"/>
    <x v="0"/>
    <x v="0"/>
    <x v="357"/>
    <x v="0"/>
    <x v="0"/>
    <x v="541"/>
    <x v="0"/>
    <x v="27"/>
    <x v="107"/>
    <x v="360"/>
    <x v="0"/>
    <x v="30"/>
    <x v="262"/>
    <x v="535"/>
    <x v="484"/>
  </r>
  <r>
    <x v="8"/>
    <x v="4"/>
    <x v="1"/>
    <x v="6"/>
    <x v="9"/>
    <x v="11"/>
    <x v="13"/>
    <x v="47"/>
    <x v="3"/>
    <x v="38"/>
    <x v="133"/>
    <x v="91"/>
    <x v="498"/>
    <x v="256"/>
    <x v="0"/>
    <x v="0"/>
    <x v="47"/>
    <x v="0"/>
    <x v="29"/>
    <x v="0"/>
    <x v="4"/>
    <x v="100"/>
    <x v="429"/>
    <x v="1"/>
    <x v="0"/>
    <x v="0"/>
    <x v="357"/>
    <x v="139"/>
    <x v="0"/>
    <x v="381"/>
    <x v="11"/>
    <x v="90"/>
    <x v="91"/>
    <x v="222"/>
    <x v="7"/>
    <x v="436"/>
    <x v="426"/>
    <x v="611"/>
    <x v="761"/>
  </r>
  <r>
    <x v="8"/>
    <x v="4"/>
    <x v="8"/>
    <x v="59"/>
    <x v="9"/>
    <x v="18"/>
    <x v="44"/>
    <x v="424"/>
    <x v="6"/>
    <x v="38"/>
    <x v="176"/>
    <x v="163"/>
    <x v="602"/>
    <x v="363"/>
    <x v="0"/>
    <x v="0"/>
    <x v="0"/>
    <x v="0"/>
    <x v="81"/>
    <x v="0"/>
    <x v="1"/>
    <x v="323"/>
    <x v="195"/>
    <x v="25"/>
    <x v="0"/>
    <x v="0"/>
    <x v="357"/>
    <x v="164"/>
    <x v="0"/>
    <x v="356"/>
    <x v="20"/>
    <x v="82"/>
    <x v="70"/>
    <x v="364"/>
    <x v="3"/>
    <x v="166"/>
    <x v="364"/>
    <x v="328"/>
    <x v="486"/>
  </r>
  <r>
    <x v="8"/>
    <x v="2"/>
    <x v="7"/>
    <x v="18"/>
    <x v="9"/>
    <x v="9"/>
    <x v="43"/>
    <x v="429"/>
    <x v="5"/>
    <x v="37"/>
    <x v="147"/>
    <x v="120"/>
    <x v="548"/>
    <x v="306"/>
    <x v="0"/>
    <x v="0"/>
    <x v="0"/>
    <x v="0"/>
    <x v="0"/>
    <x v="0"/>
    <x v="0"/>
    <x v="359"/>
    <x v="340"/>
    <x v="9"/>
    <x v="0"/>
    <x v="0"/>
    <x v="357"/>
    <x v="0"/>
    <x v="0"/>
    <x v="541"/>
    <x v="9"/>
    <x v="87"/>
    <x v="97"/>
    <x v="295"/>
    <x v="2"/>
    <x v="122"/>
    <x v="274"/>
    <x v="390"/>
    <x v="485"/>
  </r>
  <r>
    <x v="8"/>
    <x v="2"/>
    <x v="6"/>
    <x v="14"/>
    <x v="9"/>
    <x v="10"/>
    <x v="42"/>
    <x v="440"/>
    <x v="5"/>
    <x v="37"/>
    <x v="149"/>
    <x v="122"/>
    <x v="532"/>
    <x v="287"/>
    <x v="0"/>
    <x v="0"/>
    <x v="0"/>
    <x v="0"/>
    <x v="0"/>
    <x v="0"/>
    <x v="0"/>
    <x v="333"/>
    <x v="239"/>
    <x v="5"/>
    <x v="0"/>
    <x v="0"/>
    <x v="357"/>
    <x v="0"/>
    <x v="0"/>
    <x v="541"/>
    <x v="30"/>
    <x v="61"/>
    <x v="45"/>
    <x v="263"/>
    <x v="0"/>
    <x v="60"/>
    <x v="77"/>
    <x v="84"/>
    <x v="129"/>
  </r>
  <r>
    <x v="8"/>
    <x v="2"/>
    <x v="5"/>
    <x v="10"/>
    <x v="7"/>
    <x v="6"/>
    <x v="41"/>
    <x v="443"/>
    <x v="5"/>
    <x v="37"/>
    <x v="129"/>
    <x v="93"/>
    <x v="359"/>
    <x v="210"/>
    <x v="0"/>
    <x v="25"/>
    <x v="0"/>
    <x v="0"/>
    <x v="50"/>
    <x v="0"/>
    <x v="0"/>
    <x v="263"/>
    <x v="207"/>
    <x v="43"/>
    <x v="1"/>
    <x v="148"/>
    <x v="216"/>
    <x v="257"/>
    <x v="66"/>
    <x v="245"/>
    <x v="0"/>
    <x v="92"/>
    <x v="107"/>
    <x v="168"/>
    <x v="4"/>
    <x v="319"/>
    <x v="81"/>
    <x v="269"/>
    <x v="130"/>
  </r>
  <r>
    <x v="8"/>
    <x v="2"/>
    <x v="2"/>
    <x v="71"/>
    <x v="9"/>
    <x v="3"/>
    <x v="1"/>
    <x v="71"/>
    <x v="5"/>
    <x v="14"/>
    <x v="28"/>
    <x v="74"/>
    <x v="49"/>
    <x v="49"/>
    <x v="0"/>
    <x v="0"/>
    <x v="0"/>
    <x v="0"/>
    <x v="0"/>
    <x v="0"/>
    <x v="0"/>
    <x v="107"/>
    <x v="288"/>
    <x v="40"/>
    <x v="2"/>
    <x v="13"/>
    <x v="356"/>
    <x v="0"/>
    <x v="0"/>
    <x v="541"/>
    <x v="0"/>
    <x v="27"/>
    <x v="107"/>
    <x v="142"/>
    <x v="5"/>
    <x v="345"/>
    <x v="129"/>
    <x v="346"/>
    <x v="183"/>
  </r>
  <r>
    <x v="8"/>
    <x v="2"/>
    <x v="2"/>
    <x v="71"/>
    <x v="9"/>
    <x v="3"/>
    <x v="1"/>
    <x v="72"/>
    <x v="5"/>
    <x v="29"/>
    <x v="95"/>
    <x v="58"/>
    <x v="268"/>
    <x v="169"/>
    <x v="0"/>
    <x v="0"/>
    <x v="0"/>
    <x v="0"/>
    <x v="5"/>
    <x v="0"/>
    <x v="0"/>
    <x v="226"/>
    <x v="415"/>
    <x v="40"/>
    <x v="2"/>
    <x v="90"/>
    <x v="343"/>
    <x v="57"/>
    <x v="0"/>
    <x v="473"/>
    <x v="0"/>
    <x v="69"/>
    <x v="107"/>
    <x v="181"/>
    <x v="5"/>
    <x v="301"/>
    <x v="282"/>
    <x v="555"/>
    <x v="184"/>
  </r>
  <r>
    <x v="8"/>
    <x v="3"/>
    <x v="0"/>
    <x v="0"/>
    <x v="4"/>
    <x v="0"/>
    <x v="9"/>
    <x v="69"/>
    <x v="2"/>
    <x v="7"/>
    <x v="10"/>
    <x v="33"/>
    <x v="16"/>
    <x v="14"/>
    <x v="16"/>
    <x v="9"/>
    <x v="0"/>
    <x v="0"/>
    <x v="10"/>
    <x v="2"/>
    <x v="0"/>
    <x v="60"/>
    <x v="175"/>
    <x v="38"/>
    <x v="5"/>
    <x v="26"/>
    <x v="33"/>
    <x v="402"/>
    <x v="218"/>
    <x v="86"/>
    <x v="0"/>
    <x v="17"/>
    <x v="107"/>
    <x v="73"/>
    <x v="6"/>
    <x v="386"/>
    <x v="239"/>
    <x v="454"/>
    <x v="132"/>
  </r>
  <r>
    <x v="8"/>
    <x v="3"/>
    <x v="5"/>
    <x v="10"/>
    <x v="7"/>
    <x v="6"/>
    <x v="41"/>
    <x v="444"/>
    <x v="2"/>
    <x v="37"/>
    <x v="129"/>
    <x v="93"/>
    <x v="447"/>
    <x v="242"/>
    <x v="0"/>
    <x v="0"/>
    <x v="0"/>
    <x v="0"/>
    <x v="64"/>
    <x v="2"/>
    <x v="0"/>
    <x v="284"/>
    <x v="393"/>
    <x v="43"/>
    <x v="1"/>
    <x v="212"/>
    <x v="253"/>
    <x v="281"/>
    <x v="0"/>
    <x v="213"/>
    <x v="0"/>
    <x v="92"/>
    <x v="107"/>
    <x v="214"/>
    <x v="4"/>
    <x v="264"/>
    <x v="270"/>
    <x v="519"/>
    <x v="133"/>
  </r>
  <r>
    <x v="8"/>
    <x v="3"/>
    <x v="6"/>
    <x v="14"/>
    <x v="9"/>
    <x v="10"/>
    <x v="42"/>
    <x v="445"/>
    <x v="2"/>
    <x v="22"/>
    <x v="146"/>
    <x v="166"/>
    <x v="468"/>
    <x v="246"/>
    <x v="0"/>
    <x v="0"/>
    <x v="0"/>
    <x v="0"/>
    <x v="0"/>
    <x v="0"/>
    <x v="0"/>
    <x v="288"/>
    <x v="109"/>
    <x v="5"/>
    <x v="0"/>
    <x v="0"/>
    <x v="357"/>
    <x v="0"/>
    <x v="0"/>
    <x v="541"/>
    <x v="0"/>
    <x v="50"/>
    <x v="107"/>
    <x v="348"/>
    <x v="0"/>
    <x v="45"/>
    <x v="145"/>
    <x v="371"/>
    <x v="487"/>
  </r>
  <r>
    <x v="8"/>
    <x v="3"/>
    <x v="2"/>
    <x v="71"/>
    <x v="9"/>
    <x v="3"/>
    <x v="1"/>
    <x v="73"/>
    <x v="2"/>
    <x v="37"/>
    <x v="149"/>
    <x v="122"/>
    <x v="331"/>
    <x v="198"/>
    <x v="7"/>
    <x v="0"/>
    <x v="0"/>
    <x v="0"/>
    <x v="15"/>
    <x v="2"/>
    <x v="0"/>
    <x v="252"/>
    <x v="44"/>
    <x v="40"/>
    <x v="2"/>
    <x v="145"/>
    <x v="271"/>
    <x v="109"/>
    <x v="0"/>
    <x v="414"/>
    <x v="0"/>
    <x v="92"/>
    <x v="107"/>
    <x v="147"/>
    <x v="5"/>
    <x v="343"/>
    <x v="140"/>
    <x v="360"/>
    <x v="184"/>
  </r>
  <r>
    <x v="9"/>
    <x v="1"/>
    <x v="5"/>
    <x v="10"/>
    <x v="7"/>
    <x v="6"/>
    <x v="41"/>
    <x v="450"/>
    <x v="1"/>
    <x v="37"/>
    <x v="129"/>
    <x v="93"/>
    <x v="400"/>
    <x v="227"/>
    <x v="0"/>
    <x v="21"/>
    <x v="0"/>
    <x v="0"/>
    <x v="57"/>
    <x v="2"/>
    <x v="0"/>
    <x v="276"/>
    <x v="344"/>
    <x v="43"/>
    <x v="1"/>
    <x v="178"/>
    <x v="215"/>
    <x v="265"/>
    <x v="34"/>
    <x v="238"/>
    <x v="10"/>
    <x v="86"/>
    <x v="93"/>
    <x v="203"/>
    <x v="4"/>
    <x v="251"/>
    <x v="331"/>
    <x v="424"/>
    <x v="489"/>
  </r>
  <r>
    <x v="9"/>
    <x v="1"/>
    <x v="7"/>
    <x v="18"/>
    <x v="9"/>
    <x v="9"/>
    <x v="43"/>
    <x v="435"/>
    <x v="1"/>
    <x v="37"/>
    <x v="149"/>
    <x v="122"/>
    <x v="538"/>
    <x v="295"/>
    <x v="0"/>
    <x v="0"/>
    <x v="0"/>
    <x v="0"/>
    <x v="0"/>
    <x v="0"/>
    <x v="0"/>
    <x v="343"/>
    <x v="269"/>
    <x v="9"/>
    <x v="0"/>
    <x v="0"/>
    <x v="357"/>
    <x v="0"/>
    <x v="0"/>
    <x v="541"/>
    <x v="9"/>
    <x v="87"/>
    <x v="97"/>
    <x v="278"/>
    <x v="2"/>
    <x v="152"/>
    <x v="223"/>
    <x v="327"/>
    <x v="488"/>
  </r>
  <r>
    <x v="9"/>
    <x v="1"/>
    <x v="0"/>
    <x v="2"/>
    <x v="3"/>
    <x v="1"/>
    <x v="16"/>
    <x v="74"/>
    <x v="1"/>
    <x v="37"/>
    <x v="83"/>
    <x v="21"/>
    <x v="172"/>
    <x v="133"/>
    <x v="4"/>
    <x v="21"/>
    <x v="0"/>
    <x v="0"/>
    <x v="48"/>
    <x v="2"/>
    <x v="0"/>
    <x v="188"/>
    <x v="357"/>
    <x v="38"/>
    <x v="10"/>
    <x v="364"/>
    <x v="140"/>
    <x v="375"/>
    <x v="114"/>
    <x v="109"/>
    <x v="16"/>
    <x v="78"/>
    <x v="74"/>
    <x v="61"/>
    <x v="6"/>
    <x v="372"/>
    <x v="325"/>
    <x v="292"/>
    <x v="490"/>
  </r>
  <r>
    <x v="9"/>
    <x v="1"/>
    <x v="2"/>
    <x v="71"/>
    <x v="9"/>
    <x v="3"/>
    <x v="1"/>
    <x v="79"/>
    <x v="1"/>
    <x v="25"/>
    <x v="92"/>
    <x v="88"/>
    <x v="197"/>
    <x v="145"/>
    <x v="0"/>
    <x v="11"/>
    <x v="0"/>
    <x v="0"/>
    <x v="10"/>
    <x v="1"/>
    <x v="0"/>
    <x v="201"/>
    <x v="346"/>
    <x v="40"/>
    <x v="2"/>
    <x v="70"/>
    <x v="267"/>
    <x v="104"/>
    <x v="50"/>
    <x v="420"/>
    <x v="0"/>
    <x v="57"/>
    <x v="107"/>
    <x v="188"/>
    <x v="5"/>
    <x v="289"/>
    <x v="325"/>
    <x v="577"/>
    <x v="183"/>
  </r>
  <r>
    <x v="9"/>
    <x v="1"/>
    <x v="2"/>
    <x v="71"/>
    <x v="9"/>
    <x v="3"/>
    <x v="1"/>
    <x v="81"/>
    <x v="1"/>
    <x v="19"/>
    <x v="35"/>
    <x v="33"/>
    <x v="73"/>
    <x v="67"/>
    <x v="0"/>
    <x v="5"/>
    <x v="0"/>
    <x v="0"/>
    <x v="5"/>
    <x v="1"/>
    <x v="0"/>
    <x v="125"/>
    <x v="288"/>
    <x v="40"/>
    <x v="2"/>
    <x v="21"/>
    <x v="244"/>
    <x v="116"/>
    <x v="74"/>
    <x v="408"/>
    <x v="10"/>
    <x v="29"/>
    <x v="57"/>
    <x v="91"/>
    <x v="5"/>
    <x v="324"/>
    <x v="219"/>
    <x v="159"/>
    <x v="184"/>
  </r>
  <r>
    <x v="9"/>
    <x v="4"/>
    <x v="1"/>
    <x v="7"/>
    <x v="9"/>
    <x v="11"/>
    <x v="17"/>
    <x v="64"/>
    <x v="3"/>
    <x v="35"/>
    <x v="122"/>
    <x v="86"/>
    <x v="336"/>
    <x v="203"/>
    <x v="0"/>
    <x v="0"/>
    <x v="25"/>
    <x v="0"/>
    <x v="30"/>
    <x v="0"/>
    <x v="4"/>
    <x v="79"/>
    <x v="295"/>
    <x v="2"/>
    <x v="0"/>
    <x v="0"/>
    <x v="357"/>
    <x v="176"/>
    <x v="0"/>
    <x v="342"/>
    <x v="18"/>
    <x v="70"/>
    <x v="68"/>
    <x v="172"/>
    <x v="7"/>
    <x v="451"/>
    <x v="362"/>
    <x v="323"/>
    <x v="494"/>
  </r>
  <r>
    <x v="9"/>
    <x v="4"/>
    <x v="8"/>
    <x v="59"/>
    <x v="9"/>
    <x v="18"/>
    <x v="44"/>
    <x v="431"/>
    <x v="6"/>
    <x v="38"/>
    <x v="176"/>
    <x v="163"/>
    <x v="615"/>
    <x v="378"/>
    <x v="0"/>
    <x v="0"/>
    <x v="0"/>
    <x v="0"/>
    <x v="48"/>
    <x v="0"/>
    <x v="1"/>
    <x v="368"/>
    <x v="380"/>
    <x v="25"/>
    <x v="0"/>
    <x v="0"/>
    <x v="357"/>
    <x v="101"/>
    <x v="0"/>
    <x v="423"/>
    <x v="11"/>
    <x v="90"/>
    <x v="91"/>
    <x v="388"/>
    <x v="3"/>
    <x v="124"/>
    <x v="401"/>
    <x v="573"/>
    <x v="492"/>
  </r>
  <r>
    <x v="9"/>
    <x v="2"/>
    <x v="0"/>
    <x v="2"/>
    <x v="3"/>
    <x v="1"/>
    <x v="16"/>
    <x v="75"/>
    <x v="5"/>
    <x v="37"/>
    <x v="83"/>
    <x v="21"/>
    <x v="252"/>
    <x v="149"/>
    <x v="11"/>
    <x v="78"/>
    <x v="0"/>
    <x v="0"/>
    <x v="59"/>
    <x v="0"/>
    <x v="0"/>
    <x v="206"/>
    <x v="454"/>
    <x v="38"/>
    <x v="10"/>
    <x v="392"/>
    <x v="58"/>
    <x v="380"/>
    <x v="230"/>
    <x v="106"/>
    <x v="0"/>
    <x v="92"/>
    <x v="107"/>
    <x v="79"/>
    <x v="6"/>
    <x v="378"/>
    <x v="292"/>
    <x v="540"/>
    <x v="135"/>
  </r>
  <r>
    <x v="9"/>
    <x v="2"/>
    <x v="7"/>
    <x v="18"/>
    <x v="9"/>
    <x v="9"/>
    <x v="43"/>
    <x v="436"/>
    <x v="5"/>
    <x v="37"/>
    <x v="147"/>
    <x v="120"/>
    <x v="538"/>
    <x v="295"/>
    <x v="0"/>
    <x v="0"/>
    <x v="0"/>
    <x v="0"/>
    <x v="0"/>
    <x v="0"/>
    <x v="0"/>
    <x v="343"/>
    <x v="282"/>
    <x v="9"/>
    <x v="0"/>
    <x v="0"/>
    <x v="357"/>
    <x v="0"/>
    <x v="0"/>
    <x v="541"/>
    <x v="9"/>
    <x v="87"/>
    <x v="97"/>
    <x v="278"/>
    <x v="2"/>
    <x v="152"/>
    <x v="223"/>
    <x v="327"/>
    <x v="491"/>
  </r>
  <r>
    <x v="9"/>
    <x v="2"/>
    <x v="5"/>
    <x v="10"/>
    <x v="7"/>
    <x v="6"/>
    <x v="41"/>
    <x v="453"/>
    <x v="5"/>
    <x v="37"/>
    <x v="129"/>
    <x v="93"/>
    <x v="401"/>
    <x v="227"/>
    <x v="0"/>
    <x v="25"/>
    <x v="0"/>
    <x v="0"/>
    <x v="63"/>
    <x v="0"/>
    <x v="0"/>
    <x v="276"/>
    <x v="344"/>
    <x v="43"/>
    <x v="1"/>
    <x v="179"/>
    <x v="208"/>
    <x v="296"/>
    <x v="54"/>
    <x v="195"/>
    <x v="0"/>
    <x v="92"/>
    <x v="107"/>
    <x v="203"/>
    <x v="4"/>
    <x v="276"/>
    <x v="199"/>
    <x v="416"/>
    <x v="134"/>
  </r>
  <r>
    <x v="9"/>
    <x v="2"/>
    <x v="2"/>
    <x v="71"/>
    <x v="9"/>
    <x v="3"/>
    <x v="1"/>
    <x v="80"/>
    <x v="5"/>
    <x v="37"/>
    <x v="121"/>
    <x v="62"/>
    <x v="298"/>
    <x v="191"/>
    <x v="0"/>
    <x v="0"/>
    <x v="0"/>
    <x v="0"/>
    <x v="2"/>
    <x v="0"/>
    <x v="0"/>
    <x v="244"/>
    <x v="245"/>
    <x v="40"/>
    <x v="2"/>
    <x v="114"/>
    <x v="355"/>
    <x v="16"/>
    <x v="0"/>
    <x v="521"/>
    <x v="0"/>
    <x v="92"/>
    <x v="107"/>
    <x v="132"/>
    <x v="5"/>
    <x v="350"/>
    <x v="97"/>
    <x v="305"/>
    <x v="183"/>
  </r>
  <r>
    <x v="9"/>
    <x v="3"/>
    <x v="0"/>
    <x v="2"/>
    <x v="3"/>
    <x v="1"/>
    <x v="16"/>
    <x v="77"/>
    <x v="2"/>
    <x v="37"/>
    <x v="83"/>
    <x v="21"/>
    <x v="238"/>
    <x v="149"/>
    <x v="14"/>
    <x v="53"/>
    <x v="0"/>
    <x v="0"/>
    <x v="66"/>
    <x v="2"/>
    <x v="0"/>
    <x v="206"/>
    <x v="454"/>
    <x v="38"/>
    <x v="10"/>
    <x v="387"/>
    <x v="89"/>
    <x v="394"/>
    <x v="179"/>
    <x v="87"/>
    <x v="0"/>
    <x v="92"/>
    <x v="107"/>
    <x v="79"/>
    <x v="6"/>
    <x v="378"/>
    <x v="292"/>
    <x v="537"/>
    <x v="137"/>
  </r>
  <r>
    <x v="9"/>
    <x v="3"/>
    <x v="5"/>
    <x v="10"/>
    <x v="7"/>
    <x v="6"/>
    <x v="41"/>
    <x v="455"/>
    <x v="2"/>
    <x v="37"/>
    <x v="129"/>
    <x v="93"/>
    <x v="445"/>
    <x v="242"/>
    <x v="0"/>
    <x v="0"/>
    <x v="0"/>
    <x v="0"/>
    <x v="59"/>
    <x v="2"/>
    <x v="0"/>
    <x v="284"/>
    <x v="393"/>
    <x v="43"/>
    <x v="1"/>
    <x v="210"/>
    <x v="260"/>
    <x v="256"/>
    <x v="0"/>
    <x v="243"/>
    <x v="8"/>
    <x v="88"/>
    <x v="99"/>
    <x v="214"/>
    <x v="4"/>
    <x v="243"/>
    <x v="366"/>
    <x v="522"/>
    <x v="136"/>
  </r>
  <r>
    <x v="9"/>
    <x v="3"/>
    <x v="6"/>
    <x v="14"/>
    <x v="9"/>
    <x v="10"/>
    <x v="42"/>
    <x v="447"/>
    <x v="2"/>
    <x v="37"/>
    <x v="146"/>
    <x v="118"/>
    <x v="578"/>
    <x v="337"/>
    <x v="0"/>
    <x v="0"/>
    <x v="0"/>
    <x v="0"/>
    <x v="0"/>
    <x v="0"/>
    <x v="0"/>
    <x v="398"/>
    <x v="495"/>
    <x v="5"/>
    <x v="0"/>
    <x v="0"/>
    <x v="357"/>
    <x v="0"/>
    <x v="0"/>
    <x v="541"/>
    <x v="9"/>
    <x v="87"/>
    <x v="97"/>
    <x v="338"/>
    <x v="0"/>
    <x v="42"/>
    <x v="167"/>
    <x v="281"/>
    <x v="493"/>
  </r>
  <r>
    <x v="9"/>
    <x v="3"/>
    <x v="2"/>
    <x v="71"/>
    <x v="9"/>
    <x v="3"/>
    <x v="1"/>
    <x v="82"/>
    <x v="2"/>
    <x v="37"/>
    <x v="121"/>
    <x v="62"/>
    <x v="307"/>
    <x v="191"/>
    <x v="0"/>
    <x v="0"/>
    <x v="0"/>
    <x v="0"/>
    <x v="25"/>
    <x v="2"/>
    <x v="0"/>
    <x v="244"/>
    <x v="245"/>
    <x v="40"/>
    <x v="2"/>
    <x v="125"/>
    <x v="283"/>
    <x v="161"/>
    <x v="0"/>
    <x v="359"/>
    <x v="0"/>
    <x v="92"/>
    <x v="107"/>
    <x v="132"/>
    <x v="5"/>
    <x v="350"/>
    <x v="97"/>
    <x v="290"/>
    <x v="184"/>
  </r>
  <r>
    <x v="10"/>
    <x v="4"/>
    <x v="1"/>
    <x v="43"/>
    <x v="9"/>
    <x v="18"/>
    <x v="14"/>
    <x v="10"/>
    <x v="3"/>
    <x v="6"/>
    <x v="13"/>
    <x v="91"/>
    <x v="9"/>
    <x v="9"/>
    <x v="0"/>
    <x v="0"/>
    <x v="1"/>
    <x v="0"/>
    <x v="4"/>
    <x v="0"/>
    <x v="4"/>
    <x v="9"/>
    <x v="34"/>
    <x v="19"/>
    <x v="0"/>
    <x v="0"/>
    <x v="357"/>
    <x v="282"/>
    <x v="0"/>
    <x v="208"/>
    <x v="7"/>
    <x v="6"/>
    <x v="24"/>
    <x v="57"/>
    <x v="7"/>
    <x v="472"/>
    <x v="281"/>
    <x v="60"/>
    <x v="762"/>
  </r>
  <r>
    <x v="10"/>
    <x v="1"/>
    <x v="6"/>
    <x v="14"/>
    <x v="9"/>
    <x v="10"/>
    <x v="42"/>
    <x v="456"/>
    <x v="1"/>
    <x v="37"/>
    <x v="146"/>
    <x v="118"/>
    <x v="571"/>
    <x v="331"/>
    <x v="0"/>
    <x v="0"/>
    <x v="0"/>
    <x v="0"/>
    <x v="0"/>
    <x v="0"/>
    <x v="0"/>
    <x v="394"/>
    <x v="479"/>
    <x v="5"/>
    <x v="0"/>
    <x v="0"/>
    <x v="357"/>
    <x v="0"/>
    <x v="0"/>
    <x v="541"/>
    <x v="9"/>
    <x v="87"/>
    <x v="97"/>
    <x v="325"/>
    <x v="0"/>
    <x v="63"/>
    <x v="70"/>
    <x v="199"/>
    <x v="495"/>
  </r>
  <r>
    <x v="10"/>
    <x v="1"/>
    <x v="2"/>
    <x v="71"/>
    <x v="9"/>
    <x v="3"/>
    <x v="1"/>
    <x v="89"/>
    <x v="1"/>
    <x v="29"/>
    <x v="94"/>
    <x v="49"/>
    <x v="262"/>
    <x v="165"/>
    <x v="11"/>
    <x v="0"/>
    <x v="0"/>
    <x v="0"/>
    <x v="6"/>
    <x v="2"/>
    <x v="0"/>
    <x v="222"/>
    <x v="418"/>
    <x v="40"/>
    <x v="2"/>
    <x v="86"/>
    <x v="262"/>
    <x v="67"/>
    <x v="0"/>
    <x v="460"/>
    <x v="0"/>
    <x v="69"/>
    <x v="107"/>
    <x v="169"/>
    <x v="5"/>
    <x v="317"/>
    <x v="240"/>
    <x v="492"/>
    <x v="184"/>
  </r>
  <r>
    <x v="10"/>
    <x v="1"/>
    <x v="2"/>
    <x v="71"/>
    <x v="9"/>
    <x v="3"/>
    <x v="1"/>
    <x v="88"/>
    <x v="1"/>
    <x v="14"/>
    <x v="27"/>
    <x v="69"/>
    <x v="47"/>
    <x v="46"/>
    <x v="0"/>
    <x v="0"/>
    <x v="0"/>
    <x v="0"/>
    <x v="12"/>
    <x v="0"/>
    <x v="0"/>
    <x v="104"/>
    <x v="243"/>
    <x v="40"/>
    <x v="2"/>
    <x v="11"/>
    <x v="265"/>
    <x v="273"/>
    <x v="0"/>
    <x v="221"/>
    <x v="0"/>
    <x v="27"/>
    <x v="107"/>
    <x v="132"/>
    <x v="5"/>
    <x v="350"/>
    <x v="97"/>
    <x v="282"/>
    <x v="183"/>
  </r>
  <r>
    <x v="10"/>
    <x v="1"/>
    <x v="0"/>
    <x v="2"/>
    <x v="3"/>
    <x v="1"/>
    <x v="16"/>
    <x v="83"/>
    <x v="1"/>
    <x v="37"/>
    <x v="83"/>
    <x v="21"/>
    <x v="224"/>
    <x v="142"/>
    <x v="4"/>
    <x v="81"/>
    <x v="0"/>
    <x v="0"/>
    <x v="75"/>
    <x v="2"/>
    <x v="0"/>
    <x v="198"/>
    <x v="417"/>
    <x v="38"/>
    <x v="10"/>
    <x v="381"/>
    <x v="36"/>
    <x v="426"/>
    <x v="237"/>
    <x v="48"/>
    <x v="0"/>
    <x v="92"/>
    <x v="107"/>
    <x v="70"/>
    <x v="6"/>
    <x v="390"/>
    <x v="198"/>
    <x v="394"/>
    <x v="139"/>
  </r>
  <r>
    <x v="10"/>
    <x v="1"/>
    <x v="5"/>
    <x v="10"/>
    <x v="7"/>
    <x v="6"/>
    <x v="41"/>
    <x v="462"/>
    <x v="1"/>
    <x v="37"/>
    <x v="129"/>
    <x v="93"/>
    <x v="396"/>
    <x v="227"/>
    <x v="0"/>
    <x v="0"/>
    <x v="0"/>
    <x v="0"/>
    <x v="71"/>
    <x v="2"/>
    <x v="0"/>
    <x v="276"/>
    <x v="344"/>
    <x v="43"/>
    <x v="1"/>
    <x v="174"/>
    <x v="237"/>
    <x v="330"/>
    <x v="0"/>
    <x v="157"/>
    <x v="13"/>
    <x v="82"/>
    <x v="84"/>
    <x v="203"/>
    <x v="4"/>
    <x v="244"/>
    <x v="365"/>
    <x v="411"/>
    <x v="138"/>
  </r>
  <r>
    <x v="10"/>
    <x v="1"/>
    <x v="7"/>
    <x v="18"/>
    <x v="9"/>
    <x v="10"/>
    <x v="43"/>
    <x v="442"/>
    <x v="1"/>
    <x v="37"/>
    <x v="147"/>
    <x v="120"/>
    <x v="549"/>
    <x v="307"/>
    <x v="0"/>
    <x v="0"/>
    <x v="0"/>
    <x v="0"/>
    <x v="0"/>
    <x v="0"/>
    <x v="0"/>
    <x v="360"/>
    <x v="349"/>
    <x v="9"/>
    <x v="0"/>
    <x v="0"/>
    <x v="357"/>
    <x v="0"/>
    <x v="0"/>
    <x v="541"/>
    <x v="0"/>
    <x v="92"/>
    <x v="107"/>
    <x v="297"/>
    <x v="2"/>
    <x v="178"/>
    <x v="162"/>
    <x v="395"/>
    <x v="496"/>
  </r>
  <r>
    <x v="10"/>
    <x v="4"/>
    <x v="8"/>
    <x v="59"/>
    <x v="9"/>
    <x v="18"/>
    <x v="44"/>
    <x v="441"/>
    <x v="6"/>
    <x v="38"/>
    <x v="149"/>
    <x v="114"/>
    <x v="572"/>
    <x v="330"/>
    <x v="0"/>
    <x v="0"/>
    <x v="0"/>
    <x v="0"/>
    <x v="56"/>
    <x v="0"/>
    <x v="0"/>
    <x v="393"/>
    <x v="475"/>
    <x v="25"/>
    <x v="0"/>
    <x v="0"/>
    <x v="357"/>
    <x v="159"/>
    <x v="0"/>
    <x v="361"/>
    <x v="11"/>
    <x v="90"/>
    <x v="91"/>
    <x v="320"/>
    <x v="3"/>
    <x v="68"/>
    <x v="452"/>
    <x v="682"/>
    <x v="497"/>
  </r>
  <r>
    <x v="10"/>
    <x v="4"/>
    <x v="1"/>
    <x v="43"/>
    <x v="9"/>
    <x v="11"/>
    <x v="14"/>
    <x v="11"/>
    <x v="3"/>
    <x v="22"/>
    <x v="73"/>
    <x v="78"/>
    <x v="120"/>
    <x v="96"/>
    <x v="0"/>
    <x v="0"/>
    <x v="24"/>
    <x v="0"/>
    <x v="27"/>
    <x v="0"/>
    <x v="4"/>
    <x v="49"/>
    <x v="152"/>
    <x v="19"/>
    <x v="0"/>
    <x v="0"/>
    <x v="357"/>
    <x v="335"/>
    <x v="0"/>
    <x v="152"/>
    <x v="18"/>
    <x v="34"/>
    <x v="45"/>
    <x v="111"/>
    <x v="7"/>
    <x v="455"/>
    <x v="356"/>
    <x v="153"/>
    <x v="763"/>
  </r>
  <r>
    <x v="10"/>
    <x v="4"/>
    <x v="1"/>
    <x v="7"/>
    <x v="9"/>
    <x v="11"/>
    <x v="17"/>
    <x v="76"/>
    <x v="3"/>
    <x v="24"/>
    <x v="94"/>
    <x v="104"/>
    <x v="110"/>
    <x v="91"/>
    <x v="0"/>
    <x v="0"/>
    <x v="13"/>
    <x v="0"/>
    <x v="11"/>
    <x v="0"/>
    <x v="4"/>
    <x v="47"/>
    <x v="40"/>
    <x v="2"/>
    <x v="0"/>
    <x v="0"/>
    <x v="357"/>
    <x v="163"/>
    <x v="0"/>
    <x v="357"/>
    <x v="23"/>
    <x v="34"/>
    <x v="33"/>
    <x v="78"/>
    <x v="7"/>
    <x v="472"/>
    <x v="281"/>
    <x v="92"/>
    <x v="764"/>
  </r>
  <r>
    <x v="10"/>
    <x v="2"/>
    <x v="2"/>
    <x v="71"/>
    <x v="9"/>
    <x v="3"/>
    <x v="1"/>
    <x v="87"/>
    <x v="5"/>
    <x v="37"/>
    <x v="121"/>
    <x v="62"/>
    <x v="264"/>
    <x v="168"/>
    <x v="0"/>
    <x v="0"/>
    <x v="0"/>
    <x v="0"/>
    <x v="5"/>
    <x v="0"/>
    <x v="0"/>
    <x v="225"/>
    <x v="130"/>
    <x v="40"/>
    <x v="2"/>
    <x v="88"/>
    <x v="342"/>
    <x v="58"/>
    <x v="0"/>
    <x v="472"/>
    <x v="15"/>
    <x v="80"/>
    <x v="77"/>
    <x v="100"/>
    <x v="5"/>
    <x v="349"/>
    <x v="105"/>
    <x v="178"/>
    <x v="183"/>
  </r>
  <r>
    <x v="10"/>
    <x v="2"/>
    <x v="0"/>
    <x v="2"/>
    <x v="3"/>
    <x v="1"/>
    <x v="16"/>
    <x v="85"/>
    <x v="5"/>
    <x v="37"/>
    <x v="83"/>
    <x v="21"/>
    <x v="196"/>
    <x v="142"/>
    <x v="0"/>
    <x v="31"/>
    <x v="0"/>
    <x v="0"/>
    <x v="64"/>
    <x v="0"/>
    <x v="0"/>
    <x v="198"/>
    <x v="417"/>
    <x v="38"/>
    <x v="10"/>
    <x v="371"/>
    <x v="126"/>
    <x v="405"/>
    <x v="137"/>
    <x v="69"/>
    <x v="0"/>
    <x v="92"/>
    <x v="107"/>
    <x v="70"/>
    <x v="6"/>
    <x v="390"/>
    <x v="198"/>
    <x v="399"/>
    <x v="141"/>
  </r>
  <r>
    <x v="10"/>
    <x v="2"/>
    <x v="5"/>
    <x v="10"/>
    <x v="7"/>
    <x v="6"/>
    <x v="41"/>
    <x v="465"/>
    <x v="5"/>
    <x v="37"/>
    <x v="129"/>
    <x v="93"/>
    <x v="485"/>
    <x v="246"/>
    <x v="0"/>
    <x v="33"/>
    <x v="0"/>
    <x v="0"/>
    <x v="67"/>
    <x v="0"/>
    <x v="0"/>
    <x v="288"/>
    <x v="423"/>
    <x v="43"/>
    <x v="1"/>
    <x v="240"/>
    <x v="204"/>
    <x v="283"/>
    <x v="71"/>
    <x v="211"/>
    <x v="0"/>
    <x v="92"/>
    <x v="107"/>
    <x v="220"/>
    <x v="4"/>
    <x v="252"/>
    <x v="328"/>
    <x v="571"/>
    <x v="140"/>
  </r>
  <r>
    <x v="10"/>
    <x v="2"/>
    <x v="7"/>
    <x v="18"/>
    <x v="9"/>
    <x v="9"/>
    <x v="43"/>
    <x v="451"/>
    <x v="5"/>
    <x v="37"/>
    <x v="147"/>
    <x v="120"/>
    <x v="548"/>
    <x v="306"/>
    <x v="0"/>
    <x v="0"/>
    <x v="0"/>
    <x v="0"/>
    <x v="0"/>
    <x v="0"/>
    <x v="0"/>
    <x v="359"/>
    <x v="340"/>
    <x v="9"/>
    <x v="0"/>
    <x v="0"/>
    <x v="357"/>
    <x v="0"/>
    <x v="0"/>
    <x v="541"/>
    <x v="0"/>
    <x v="92"/>
    <x v="107"/>
    <x v="295"/>
    <x v="2"/>
    <x v="181"/>
    <x v="157"/>
    <x v="390"/>
    <x v="498"/>
  </r>
  <r>
    <x v="10"/>
    <x v="3"/>
    <x v="5"/>
    <x v="10"/>
    <x v="3"/>
    <x v="1"/>
    <x v="41"/>
    <x v="468"/>
    <x v="2"/>
    <x v="37"/>
    <x v="129"/>
    <x v="93"/>
    <x v="356"/>
    <x v="210"/>
    <x v="26"/>
    <x v="8"/>
    <x v="0"/>
    <x v="0"/>
    <x v="40"/>
    <x v="2"/>
    <x v="0"/>
    <x v="263"/>
    <x v="207"/>
    <x v="43"/>
    <x v="1"/>
    <x v="151"/>
    <x v="160"/>
    <x v="205"/>
    <x v="12"/>
    <x v="309"/>
    <x v="18"/>
    <x v="75"/>
    <x v="72"/>
    <x v="168"/>
    <x v="4"/>
    <x v="256"/>
    <x v="304"/>
    <x v="272"/>
    <x v="499"/>
  </r>
  <r>
    <x v="10"/>
    <x v="3"/>
    <x v="6"/>
    <x v="14"/>
    <x v="9"/>
    <x v="10"/>
    <x v="42"/>
    <x v="463"/>
    <x v="2"/>
    <x v="37"/>
    <x v="162"/>
    <x v="147"/>
    <x v="582"/>
    <x v="341"/>
    <x v="0"/>
    <x v="0"/>
    <x v="0"/>
    <x v="0"/>
    <x v="0"/>
    <x v="0"/>
    <x v="0"/>
    <x v="400"/>
    <x v="288"/>
    <x v="5"/>
    <x v="0"/>
    <x v="0"/>
    <x v="357"/>
    <x v="0"/>
    <x v="0"/>
    <x v="541"/>
    <x v="9"/>
    <x v="87"/>
    <x v="97"/>
    <x v="348"/>
    <x v="0"/>
    <x v="30"/>
    <x v="262"/>
    <x v="371"/>
    <x v="501"/>
  </r>
  <r>
    <x v="10"/>
    <x v="3"/>
    <x v="0"/>
    <x v="2"/>
    <x v="3"/>
    <x v="1"/>
    <x v="16"/>
    <x v="86"/>
    <x v="2"/>
    <x v="37"/>
    <x v="83"/>
    <x v="21"/>
    <x v="198"/>
    <x v="142"/>
    <x v="0"/>
    <x v="29"/>
    <x v="0"/>
    <x v="0"/>
    <x v="71"/>
    <x v="2"/>
    <x v="0"/>
    <x v="198"/>
    <x v="417"/>
    <x v="38"/>
    <x v="10"/>
    <x v="372"/>
    <x v="110"/>
    <x v="421"/>
    <x v="130"/>
    <x v="53"/>
    <x v="9"/>
    <x v="87"/>
    <x v="97"/>
    <x v="70"/>
    <x v="6"/>
    <x v="374"/>
    <x v="321"/>
    <x v="396"/>
    <x v="500"/>
  </r>
  <r>
    <x v="10"/>
    <x v="3"/>
    <x v="2"/>
    <x v="72"/>
    <x v="9"/>
    <x v="3"/>
    <x v="2"/>
    <x v="88"/>
    <x v="2"/>
    <x v="37"/>
    <x v="121"/>
    <x v="62"/>
    <x v="304"/>
    <x v="191"/>
    <x v="32"/>
    <x v="0"/>
    <x v="0"/>
    <x v="0"/>
    <x v="6"/>
    <x v="2"/>
    <x v="0"/>
    <x v="244"/>
    <x v="245"/>
    <x v="41"/>
    <x v="2"/>
    <x v="132"/>
    <x v="187"/>
    <x v="59"/>
    <x v="0"/>
    <x v="471"/>
    <x v="16"/>
    <x v="78"/>
    <x v="74"/>
    <x v="132"/>
    <x v="5"/>
    <x v="294"/>
    <x v="309"/>
    <x v="300"/>
    <x v="185"/>
  </r>
  <r>
    <x v="11"/>
    <x v="1"/>
    <x v="5"/>
    <x v="10"/>
    <x v="7"/>
    <x v="6"/>
    <x v="41"/>
    <x v="471"/>
    <x v="1"/>
    <x v="29"/>
    <x v="108"/>
    <x v="91"/>
    <x v="321"/>
    <x v="191"/>
    <x v="45"/>
    <x v="62"/>
    <x v="0"/>
    <x v="0"/>
    <x v="61"/>
    <x v="2"/>
    <x v="0"/>
    <x v="244"/>
    <x v="399"/>
    <x v="43"/>
    <x v="1"/>
    <x v="123"/>
    <x v="52"/>
    <x v="350"/>
    <x v="181"/>
    <x v="144"/>
    <x v="0"/>
    <x v="69"/>
    <x v="107"/>
    <x v="215"/>
    <x v="4"/>
    <x v="262"/>
    <x v="282"/>
    <x v="530"/>
    <x v="503"/>
  </r>
  <r>
    <x v="11"/>
    <x v="1"/>
    <x v="6"/>
    <x v="14"/>
    <x v="9"/>
    <x v="10"/>
    <x v="42"/>
    <x v="472"/>
    <x v="1"/>
    <x v="19"/>
    <x v="118"/>
    <x v="145"/>
    <x v="297"/>
    <x v="191"/>
    <x v="0"/>
    <x v="0"/>
    <x v="0"/>
    <x v="0"/>
    <x v="0"/>
    <x v="0"/>
    <x v="0"/>
    <x v="244"/>
    <x v="288"/>
    <x v="5"/>
    <x v="0"/>
    <x v="0"/>
    <x v="357"/>
    <x v="0"/>
    <x v="0"/>
    <x v="541"/>
    <x v="0"/>
    <x v="39"/>
    <x v="107"/>
    <x v="342"/>
    <x v="0"/>
    <x v="51"/>
    <x v="115"/>
    <x v="329"/>
    <x v="143"/>
  </r>
  <r>
    <x v="11"/>
    <x v="1"/>
    <x v="7"/>
    <x v="18"/>
    <x v="9"/>
    <x v="9"/>
    <x v="43"/>
    <x v="452"/>
    <x v="1"/>
    <x v="37"/>
    <x v="146"/>
    <x v="118"/>
    <x v="297"/>
    <x v="191"/>
    <x v="0"/>
    <x v="0"/>
    <x v="0"/>
    <x v="0"/>
    <x v="0"/>
    <x v="0"/>
    <x v="0"/>
    <x v="244"/>
    <x v="39"/>
    <x v="9"/>
    <x v="0"/>
    <x v="0"/>
    <x v="357"/>
    <x v="0"/>
    <x v="0"/>
    <x v="541"/>
    <x v="40"/>
    <x v="49"/>
    <x v="23"/>
    <x v="132"/>
    <x v="2"/>
    <x v="101"/>
    <x v="316"/>
    <x v="63"/>
    <x v="502"/>
  </r>
  <r>
    <x v="11"/>
    <x v="1"/>
    <x v="0"/>
    <x v="2"/>
    <x v="3"/>
    <x v="1"/>
    <x v="16"/>
    <x v="91"/>
    <x v="1"/>
    <x v="37"/>
    <x v="83"/>
    <x v="21"/>
    <x v="58"/>
    <x v="51"/>
    <x v="5"/>
    <x v="12"/>
    <x v="0"/>
    <x v="0"/>
    <x v="32"/>
    <x v="2"/>
    <x v="0"/>
    <x v="111"/>
    <x v="19"/>
    <x v="38"/>
    <x v="10"/>
    <x v="220"/>
    <x v="70"/>
    <x v="440"/>
    <x v="164"/>
    <x v="32"/>
    <x v="46"/>
    <x v="37"/>
    <x v="11"/>
    <x v="11"/>
    <x v="6"/>
    <x v="384"/>
    <x v="254"/>
    <x v="20"/>
    <x v="142"/>
  </r>
  <r>
    <x v="11"/>
    <x v="1"/>
    <x v="2"/>
    <x v="72"/>
    <x v="9"/>
    <x v="3"/>
    <x v="2"/>
    <x v="95"/>
    <x v="1"/>
    <x v="37"/>
    <x v="121"/>
    <x v="62"/>
    <x v="302"/>
    <x v="191"/>
    <x v="0"/>
    <x v="1"/>
    <x v="0"/>
    <x v="0"/>
    <x v="2"/>
    <x v="2"/>
    <x v="0"/>
    <x v="244"/>
    <x v="245"/>
    <x v="41"/>
    <x v="2"/>
    <x v="118"/>
    <x v="322"/>
    <x v="16"/>
    <x v="1"/>
    <x v="523"/>
    <x v="13"/>
    <x v="82"/>
    <x v="84"/>
    <x v="132"/>
    <x v="5"/>
    <x v="312"/>
    <x v="253"/>
    <x v="307"/>
    <x v="185"/>
  </r>
  <r>
    <x v="11"/>
    <x v="4"/>
    <x v="1"/>
    <x v="7"/>
    <x v="9"/>
    <x v="11"/>
    <x v="17"/>
    <x v="78"/>
    <x v="3"/>
    <x v="38"/>
    <x v="133"/>
    <x v="91"/>
    <x v="420"/>
    <x v="236"/>
    <x v="0"/>
    <x v="0"/>
    <x v="49"/>
    <x v="0"/>
    <x v="21"/>
    <x v="0"/>
    <x v="4"/>
    <x v="93"/>
    <x v="316"/>
    <x v="2"/>
    <x v="0"/>
    <x v="0"/>
    <x v="357"/>
    <x v="118"/>
    <x v="0"/>
    <x v="402"/>
    <x v="11"/>
    <x v="90"/>
    <x v="91"/>
    <x v="193"/>
    <x v="7"/>
    <x v="464"/>
    <x v="338"/>
    <x v="440"/>
    <x v="765"/>
  </r>
  <r>
    <x v="11"/>
    <x v="4"/>
    <x v="9"/>
    <x v="23"/>
    <x v="9"/>
    <x v="16"/>
    <x v="40"/>
    <x v="371"/>
    <x v="6"/>
    <x v="38"/>
    <x v="178"/>
    <x v="182"/>
    <x v="587"/>
    <x v="347"/>
    <x v="0"/>
    <x v="0"/>
    <x v="0"/>
    <x v="0"/>
    <x v="49"/>
    <x v="0"/>
    <x v="1"/>
    <x v="295"/>
    <x v="85"/>
    <x v="14"/>
    <x v="0"/>
    <x v="0"/>
    <x v="357"/>
    <x v="129"/>
    <x v="0"/>
    <x v="391"/>
    <x v="26"/>
    <x v="72"/>
    <x v="56"/>
    <x v="344"/>
    <x v="1"/>
    <x v="186"/>
    <x v="8"/>
    <x v="55"/>
    <x v="505"/>
  </r>
  <r>
    <x v="11"/>
    <x v="4"/>
    <x v="8"/>
    <x v="59"/>
    <x v="9"/>
    <x v="18"/>
    <x v="44"/>
    <x v="446"/>
    <x v="6"/>
    <x v="38"/>
    <x v="176"/>
    <x v="163"/>
    <x v="595"/>
    <x v="354"/>
    <x v="0"/>
    <x v="0"/>
    <x v="0"/>
    <x v="0"/>
    <x v="81"/>
    <x v="0"/>
    <x v="0"/>
    <x v="408"/>
    <x v="144"/>
    <x v="25"/>
    <x v="0"/>
    <x v="0"/>
    <x v="357"/>
    <x v="172"/>
    <x v="0"/>
    <x v="345"/>
    <x v="11"/>
    <x v="90"/>
    <x v="91"/>
    <x v="351"/>
    <x v="3"/>
    <x v="22"/>
    <x v="479"/>
    <x v="708"/>
    <x v="504"/>
  </r>
  <r>
    <x v="11"/>
    <x v="2"/>
    <x v="6"/>
    <x v="14"/>
    <x v="9"/>
    <x v="10"/>
    <x v="42"/>
    <x v="474"/>
    <x v="5"/>
    <x v="10"/>
    <x v="67"/>
    <x v="145"/>
    <x v="125"/>
    <x v="105"/>
    <x v="0"/>
    <x v="0"/>
    <x v="0"/>
    <x v="0"/>
    <x v="0"/>
    <x v="0"/>
    <x v="0"/>
    <x v="157"/>
    <x v="288"/>
    <x v="5"/>
    <x v="0"/>
    <x v="0"/>
    <x v="357"/>
    <x v="0"/>
    <x v="0"/>
    <x v="541"/>
    <x v="0"/>
    <x v="20"/>
    <x v="107"/>
    <x v="342"/>
    <x v="0"/>
    <x v="51"/>
    <x v="115"/>
    <x v="329"/>
    <x v="144"/>
  </r>
  <r>
    <x v="11"/>
    <x v="2"/>
    <x v="5"/>
    <x v="10"/>
    <x v="7"/>
    <x v="6"/>
    <x v="41"/>
    <x v="473"/>
    <x v="5"/>
    <x v="37"/>
    <x v="129"/>
    <x v="93"/>
    <x v="457"/>
    <x v="242"/>
    <x v="0"/>
    <x v="34"/>
    <x v="0"/>
    <x v="0"/>
    <x v="71"/>
    <x v="0"/>
    <x v="0"/>
    <x v="284"/>
    <x v="393"/>
    <x v="43"/>
    <x v="1"/>
    <x v="225"/>
    <x v="192"/>
    <x v="312"/>
    <x v="81"/>
    <x v="175"/>
    <x v="0"/>
    <x v="92"/>
    <x v="107"/>
    <x v="214"/>
    <x v="4"/>
    <x v="264"/>
    <x v="270"/>
    <x v="510"/>
    <x v="506"/>
  </r>
  <r>
    <x v="11"/>
    <x v="2"/>
    <x v="0"/>
    <x v="2"/>
    <x v="3"/>
    <x v="1"/>
    <x v="16"/>
    <x v="92"/>
    <x v="5"/>
    <x v="37"/>
    <x v="83"/>
    <x v="21"/>
    <x v="219"/>
    <x v="149"/>
    <x v="2"/>
    <x v="0"/>
    <x v="0"/>
    <x v="0"/>
    <x v="47"/>
    <x v="0"/>
    <x v="0"/>
    <x v="206"/>
    <x v="454"/>
    <x v="38"/>
    <x v="10"/>
    <x v="379"/>
    <x v="235"/>
    <x v="347"/>
    <x v="0"/>
    <x v="138"/>
    <x v="0"/>
    <x v="92"/>
    <x v="107"/>
    <x v="79"/>
    <x v="6"/>
    <x v="378"/>
    <x v="292"/>
    <x v="546"/>
    <x v="145"/>
  </r>
  <r>
    <x v="11"/>
    <x v="2"/>
    <x v="7"/>
    <x v="18"/>
    <x v="9"/>
    <x v="9"/>
    <x v="43"/>
    <x v="457"/>
    <x v="5"/>
    <x v="37"/>
    <x v="147"/>
    <x v="120"/>
    <x v="548"/>
    <x v="306"/>
    <x v="0"/>
    <x v="0"/>
    <x v="0"/>
    <x v="0"/>
    <x v="0"/>
    <x v="0"/>
    <x v="0"/>
    <x v="359"/>
    <x v="340"/>
    <x v="9"/>
    <x v="0"/>
    <x v="0"/>
    <x v="357"/>
    <x v="0"/>
    <x v="0"/>
    <x v="541"/>
    <x v="9"/>
    <x v="87"/>
    <x v="97"/>
    <x v="295"/>
    <x v="2"/>
    <x v="122"/>
    <x v="274"/>
    <x v="390"/>
    <x v="507"/>
  </r>
  <r>
    <x v="11"/>
    <x v="2"/>
    <x v="4"/>
    <x v="55"/>
    <x v="9"/>
    <x v="8"/>
    <x v="45"/>
    <x v="448"/>
    <x v="5"/>
    <x v="37"/>
    <x v="147"/>
    <x v="120"/>
    <x v="500"/>
    <x v="257"/>
    <x v="0"/>
    <x v="0"/>
    <x v="0"/>
    <x v="0"/>
    <x v="0"/>
    <x v="0"/>
    <x v="0"/>
    <x v="301"/>
    <x v="140"/>
    <x v="13"/>
    <x v="0"/>
    <x v="0"/>
    <x v="357"/>
    <x v="0"/>
    <x v="0"/>
    <x v="541"/>
    <x v="21"/>
    <x v="72"/>
    <x v="63"/>
    <x v="234"/>
    <x v="2"/>
    <x v="160"/>
    <x v="206"/>
    <x v="192"/>
    <x v="508"/>
  </r>
  <r>
    <x v="11"/>
    <x v="2"/>
    <x v="2"/>
    <x v="72"/>
    <x v="9"/>
    <x v="3"/>
    <x v="2"/>
    <x v="96"/>
    <x v="5"/>
    <x v="16"/>
    <x v="40"/>
    <x v="56"/>
    <x v="80"/>
    <x v="72"/>
    <x v="0"/>
    <x v="0"/>
    <x v="0"/>
    <x v="0"/>
    <x v="0"/>
    <x v="0"/>
    <x v="0"/>
    <x v="131"/>
    <x v="355"/>
    <x v="41"/>
    <x v="2"/>
    <x v="24"/>
    <x v="356"/>
    <x v="0"/>
    <x v="0"/>
    <x v="541"/>
    <x v="0"/>
    <x v="33"/>
    <x v="107"/>
    <x v="157"/>
    <x v="5"/>
    <x v="335"/>
    <x v="170"/>
    <x v="415"/>
    <x v="185"/>
  </r>
  <r>
    <x v="11"/>
    <x v="2"/>
    <x v="2"/>
    <x v="72"/>
    <x v="9"/>
    <x v="3"/>
    <x v="2"/>
    <x v="98"/>
    <x v="5"/>
    <x v="27"/>
    <x v="91"/>
    <x v="67"/>
    <x v="194"/>
    <x v="145"/>
    <x v="0"/>
    <x v="0"/>
    <x v="0"/>
    <x v="0"/>
    <x v="8"/>
    <x v="0"/>
    <x v="0"/>
    <x v="201"/>
    <x v="361"/>
    <x v="41"/>
    <x v="2"/>
    <x v="68"/>
    <x v="326"/>
    <x v="88"/>
    <x v="0"/>
    <x v="436"/>
    <x v="0"/>
    <x v="63"/>
    <x v="107"/>
    <x v="159"/>
    <x v="5"/>
    <x v="332"/>
    <x v="192"/>
    <x v="437"/>
    <x v="186"/>
  </r>
  <r>
    <x v="11"/>
    <x v="3"/>
    <x v="2"/>
    <x v="72"/>
    <x v="9"/>
    <x v="3"/>
    <x v="2"/>
    <x v="99"/>
    <x v="2"/>
    <x v="19"/>
    <x v="51"/>
    <x v="52"/>
    <x v="99"/>
    <x v="85"/>
    <x v="10"/>
    <x v="0"/>
    <x v="0"/>
    <x v="0"/>
    <x v="0"/>
    <x v="2"/>
    <x v="0"/>
    <x v="142"/>
    <x v="319"/>
    <x v="41"/>
    <x v="2"/>
    <x v="32"/>
    <x v="196"/>
    <x v="0"/>
    <x v="0"/>
    <x v="541"/>
    <x v="7"/>
    <x v="33"/>
    <x v="72"/>
    <x v="146"/>
    <x v="5"/>
    <x v="274"/>
    <x v="368"/>
    <x v="361"/>
    <x v="186"/>
  </r>
  <r>
    <x v="11"/>
    <x v="3"/>
    <x v="2"/>
    <x v="73"/>
    <x v="9"/>
    <x v="3"/>
    <x v="5"/>
    <x v="97"/>
    <x v="2"/>
    <x v="25"/>
    <x v="87"/>
    <x v="74"/>
    <x v="195"/>
    <x v="145"/>
    <x v="0"/>
    <x v="0"/>
    <x v="0"/>
    <x v="0"/>
    <x v="4"/>
    <x v="2"/>
    <x v="0"/>
    <x v="201"/>
    <x v="426"/>
    <x v="39"/>
    <x v="2"/>
    <x v="69"/>
    <x v="305"/>
    <x v="56"/>
    <x v="0"/>
    <x v="477"/>
    <x v="0"/>
    <x v="57"/>
    <x v="107"/>
    <x v="188"/>
    <x v="5"/>
    <x v="289"/>
    <x v="325"/>
    <x v="581"/>
    <x v="187"/>
  </r>
  <r>
    <x v="11"/>
    <x v="3"/>
    <x v="5"/>
    <x v="10"/>
    <x v="7"/>
    <x v="6"/>
    <x v="41"/>
    <x v="478"/>
    <x v="2"/>
    <x v="37"/>
    <x v="129"/>
    <x v="93"/>
    <x v="439"/>
    <x v="238"/>
    <x v="65"/>
    <x v="50"/>
    <x v="0"/>
    <x v="0"/>
    <x v="53"/>
    <x v="2"/>
    <x v="0"/>
    <x v="282"/>
    <x v="383"/>
    <x v="43"/>
    <x v="1"/>
    <x v="0"/>
    <x v="357"/>
    <x v="241"/>
    <x v="122"/>
    <x v="267"/>
    <x v="10"/>
    <x v="86"/>
    <x v="93"/>
    <x v="211"/>
    <x v="4"/>
    <x v="241"/>
    <x v="367"/>
    <x v="484"/>
    <x v="146"/>
  </r>
  <r>
    <x v="11"/>
    <x v="3"/>
    <x v="0"/>
    <x v="2"/>
    <x v="3"/>
    <x v="1"/>
    <x v="16"/>
    <x v="94"/>
    <x v="2"/>
    <x v="37"/>
    <x v="83"/>
    <x v="21"/>
    <x v="247"/>
    <x v="154"/>
    <x v="0"/>
    <x v="11"/>
    <x v="0"/>
    <x v="0"/>
    <x v="37"/>
    <x v="2"/>
    <x v="0"/>
    <x v="212"/>
    <x v="464"/>
    <x v="38"/>
    <x v="10"/>
    <x v="390"/>
    <x v="205"/>
    <x v="262"/>
    <x v="40"/>
    <x v="241"/>
    <x v="5"/>
    <x v="90"/>
    <x v="105"/>
    <x v="86"/>
    <x v="6"/>
    <x v="362"/>
    <x v="374"/>
    <x v="587"/>
    <x v="509"/>
  </r>
  <r>
    <x v="12"/>
    <x v="1"/>
    <x v="5"/>
    <x v="10"/>
    <x v="9"/>
    <x v="18"/>
    <x v="41"/>
    <x v="484"/>
    <x v="1"/>
    <x v="37"/>
    <x v="129"/>
    <x v="93"/>
    <x v="413"/>
    <x v="227"/>
    <x v="0"/>
    <x v="62"/>
    <x v="0"/>
    <x v="0"/>
    <x v="40"/>
    <x v="2"/>
    <x v="0"/>
    <x v="276"/>
    <x v="344"/>
    <x v="43"/>
    <x v="1"/>
    <x v="192"/>
    <x v="158"/>
    <x v="192"/>
    <x v="157"/>
    <x v="328"/>
    <x v="0"/>
    <x v="92"/>
    <x v="107"/>
    <x v="203"/>
    <x v="4"/>
    <x v="276"/>
    <x v="199"/>
    <x v="435"/>
    <x v="147"/>
  </r>
  <r>
    <x v="12"/>
    <x v="1"/>
    <x v="0"/>
    <x v="2"/>
    <x v="3"/>
    <x v="1"/>
    <x v="16"/>
    <x v="100"/>
    <x v="1"/>
    <x v="37"/>
    <x v="83"/>
    <x v="21"/>
    <x v="235"/>
    <x v="149"/>
    <x v="8"/>
    <x v="46"/>
    <x v="0"/>
    <x v="0"/>
    <x v="71"/>
    <x v="2"/>
    <x v="0"/>
    <x v="206"/>
    <x v="454"/>
    <x v="38"/>
    <x v="10"/>
    <x v="386"/>
    <x v="97"/>
    <x v="410"/>
    <x v="160"/>
    <x v="63"/>
    <x v="0"/>
    <x v="92"/>
    <x v="107"/>
    <x v="79"/>
    <x v="6"/>
    <x v="378"/>
    <x v="292"/>
    <x v="526"/>
    <x v="148"/>
  </r>
  <r>
    <x v="12"/>
    <x v="1"/>
    <x v="7"/>
    <x v="18"/>
    <x v="9"/>
    <x v="18"/>
    <x v="43"/>
    <x v="466"/>
    <x v="1"/>
    <x v="37"/>
    <x v="146"/>
    <x v="118"/>
    <x v="538"/>
    <x v="295"/>
    <x v="0"/>
    <x v="0"/>
    <x v="0"/>
    <x v="0"/>
    <x v="0"/>
    <x v="0"/>
    <x v="0"/>
    <x v="343"/>
    <x v="288"/>
    <x v="9"/>
    <x v="0"/>
    <x v="0"/>
    <x v="357"/>
    <x v="0"/>
    <x v="0"/>
    <x v="541"/>
    <x v="9"/>
    <x v="87"/>
    <x v="97"/>
    <x v="278"/>
    <x v="2"/>
    <x v="152"/>
    <x v="223"/>
    <x v="327"/>
    <x v="510"/>
  </r>
  <r>
    <x v="12"/>
    <x v="1"/>
    <x v="6"/>
    <x v="14"/>
    <x v="9"/>
    <x v="18"/>
    <x v="42"/>
    <x v="477"/>
    <x v="1"/>
    <x v="14"/>
    <x v="94"/>
    <x v="152"/>
    <x v="244"/>
    <x v="157"/>
    <x v="0"/>
    <x v="0"/>
    <x v="0"/>
    <x v="0"/>
    <x v="0"/>
    <x v="0"/>
    <x v="0"/>
    <x v="215"/>
    <x v="392"/>
    <x v="5"/>
    <x v="0"/>
    <x v="0"/>
    <x v="357"/>
    <x v="0"/>
    <x v="0"/>
    <x v="541"/>
    <x v="0"/>
    <x v="27"/>
    <x v="107"/>
    <x v="376"/>
    <x v="0"/>
    <x v="20"/>
    <x v="373"/>
    <x v="629"/>
    <x v="149"/>
  </r>
  <r>
    <x v="12"/>
    <x v="1"/>
    <x v="4"/>
    <x v="55"/>
    <x v="9"/>
    <x v="18"/>
    <x v="45"/>
    <x v="449"/>
    <x v="1"/>
    <x v="25"/>
    <x v="124"/>
    <x v="118"/>
    <x v="335"/>
    <x v="205"/>
    <x v="0"/>
    <x v="0"/>
    <x v="0"/>
    <x v="0"/>
    <x v="0"/>
    <x v="0"/>
    <x v="0"/>
    <x v="258"/>
    <x v="262"/>
    <x v="13"/>
    <x v="0"/>
    <x v="0"/>
    <x v="357"/>
    <x v="0"/>
    <x v="0"/>
    <x v="541"/>
    <x v="9"/>
    <x v="52"/>
    <x v="82"/>
    <x v="269"/>
    <x v="2"/>
    <x v="127"/>
    <x v="268"/>
    <x v="310"/>
    <x v="511"/>
  </r>
  <r>
    <x v="12"/>
    <x v="1"/>
    <x v="2"/>
    <x v="73"/>
    <x v="9"/>
    <x v="3"/>
    <x v="5"/>
    <x v="106"/>
    <x v="1"/>
    <x v="37"/>
    <x v="121"/>
    <x v="62"/>
    <x v="302"/>
    <x v="191"/>
    <x v="0"/>
    <x v="0"/>
    <x v="0"/>
    <x v="0"/>
    <x v="4"/>
    <x v="2"/>
    <x v="0"/>
    <x v="244"/>
    <x v="245"/>
    <x v="39"/>
    <x v="2"/>
    <x v="118"/>
    <x v="322"/>
    <x v="40"/>
    <x v="0"/>
    <x v="495"/>
    <x v="10"/>
    <x v="86"/>
    <x v="93"/>
    <x v="132"/>
    <x v="5"/>
    <x v="328"/>
    <x v="205"/>
    <x v="303"/>
    <x v="187"/>
  </r>
  <r>
    <x v="12"/>
    <x v="4"/>
    <x v="8"/>
    <x v="59"/>
    <x v="9"/>
    <x v="18"/>
    <x v="44"/>
    <x v="454"/>
    <x v="6"/>
    <x v="38"/>
    <x v="176"/>
    <x v="163"/>
    <x v="595"/>
    <x v="355"/>
    <x v="0"/>
    <x v="0"/>
    <x v="0"/>
    <x v="0"/>
    <x v="60"/>
    <x v="0"/>
    <x v="1"/>
    <x v="304"/>
    <x v="146"/>
    <x v="25"/>
    <x v="0"/>
    <x v="0"/>
    <x v="357"/>
    <x v="141"/>
    <x v="0"/>
    <x v="379"/>
    <x v="23"/>
    <x v="75"/>
    <x v="62"/>
    <x v="353"/>
    <x v="3"/>
    <x v="177"/>
    <x v="343"/>
    <x v="247"/>
    <x v="523"/>
  </r>
  <r>
    <x v="12"/>
    <x v="4"/>
    <x v="9"/>
    <x v="24"/>
    <x v="9"/>
    <x v="18"/>
    <x v="28"/>
    <x v="372"/>
    <x v="6"/>
    <x v="38"/>
    <x v="178"/>
    <x v="182"/>
    <x v="614"/>
    <x v="377"/>
    <x v="0"/>
    <x v="0"/>
    <x v="0"/>
    <x v="0"/>
    <x v="41"/>
    <x v="0"/>
    <x v="1"/>
    <x v="367"/>
    <x v="221"/>
    <x v="15"/>
    <x v="0"/>
    <x v="0"/>
    <x v="357"/>
    <x v="89"/>
    <x v="0"/>
    <x v="435"/>
    <x v="11"/>
    <x v="90"/>
    <x v="91"/>
    <x v="387"/>
    <x v="1"/>
    <x v="125"/>
    <x v="16"/>
    <x v="108"/>
    <x v="512"/>
  </r>
  <r>
    <x v="12"/>
    <x v="4"/>
    <x v="1"/>
    <x v="7"/>
    <x v="9"/>
    <x v="18"/>
    <x v="17"/>
    <x v="84"/>
    <x v="3"/>
    <x v="38"/>
    <x v="133"/>
    <x v="91"/>
    <x v="288"/>
    <x v="182"/>
    <x v="0"/>
    <x v="0"/>
    <x v="32"/>
    <x v="0"/>
    <x v="32"/>
    <x v="0"/>
    <x v="4"/>
    <x v="73"/>
    <x v="92"/>
    <x v="2"/>
    <x v="0"/>
    <x v="0"/>
    <x v="357"/>
    <x v="198"/>
    <x v="0"/>
    <x v="317"/>
    <x v="31"/>
    <x v="65"/>
    <x v="45"/>
    <x v="104"/>
    <x v="7"/>
    <x v="465"/>
    <x v="326"/>
    <x v="136"/>
    <x v="766"/>
  </r>
  <r>
    <x v="12"/>
    <x v="2"/>
    <x v="7"/>
    <x v="18"/>
    <x v="9"/>
    <x v="18"/>
    <x v="43"/>
    <x v="467"/>
    <x v="5"/>
    <x v="37"/>
    <x v="146"/>
    <x v="118"/>
    <x v="538"/>
    <x v="295"/>
    <x v="0"/>
    <x v="0"/>
    <x v="0"/>
    <x v="0"/>
    <x v="0"/>
    <x v="0"/>
    <x v="0"/>
    <x v="343"/>
    <x v="288"/>
    <x v="9"/>
    <x v="0"/>
    <x v="0"/>
    <x v="357"/>
    <x v="0"/>
    <x v="0"/>
    <x v="541"/>
    <x v="9"/>
    <x v="87"/>
    <x v="97"/>
    <x v="278"/>
    <x v="2"/>
    <x v="152"/>
    <x v="223"/>
    <x v="327"/>
    <x v="513"/>
  </r>
  <r>
    <x v="12"/>
    <x v="2"/>
    <x v="4"/>
    <x v="55"/>
    <x v="9"/>
    <x v="18"/>
    <x v="45"/>
    <x v="460"/>
    <x v="5"/>
    <x v="37"/>
    <x v="146"/>
    <x v="118"/>
    <x v="538"/>
    <x v="295"/>
    <x v="0"/>
    <x v="0"/>
    <x v="0"/>
    <x v="0"/>
    <x v="0"/>
    <x v="0"/>
    <x v="0"/>
    <x v="343"/>
    <x v="288"/>
    <x v="13"/>
    <x v="0"/>
    <x v="0"/>
    <x v="357"/>
    <x v="0"/>
    <x v="0"/>
    <x v="541"/>
    <x v="9"/>
    <x v="87"/>
    <x v="97"/>
    <x v="278"/>
    <x v="2"/>
    <x v="152"/>
    <x v="223"/>
    <x v="327"/>
    <x v="514"/>
  </r>
  <r>
    <x v="12"/>
    <x v="2"/>
    <x v="6"/>
    <x v="14"/>
    <x v="9"/>
    <x v="18"/>
    <x v="42"/>
    <x v="479"/>
    <x v="5"/>
    <x v="37"/>
    <x v="146"/>
    <x v="118"/>
    <x v="562"/>
    <x v="319"/>
    <x v="0"/>
    <x v="0"/>
    <x v="0"/>
    <x v="0"/>
    <x v="0"/>
    <x v="0"/>
    <x v="0"/>
    <x v="379"/>
    <x v="438"/>
    <x v="5"/>
    <x v="0"/>
    <x v="0"/>
    <x v="357"/>
    <x v="0"/>
    <x v="0"/>
    <x v="541"/>
    <x v="9"/>
    <x v="87"/>
    <x v="97"/>
    <x v="315"/>
    <x v="0"/>
    <x v="78"/>
    <x v="24"/>
    <x v="129"/>
    <x v="515"/>
  </r>
  <r>
    <x v="12"/>
    <x v="2"/>
    <x v="5"/>
    <x v="10"/>
    <x v="9"/>
    <x v="18"/>
    <x v="41"/>
    <x v="487"/>
    <x v="5"/>
    <x v="37"/>
    <x v="129"/>
    <x v="93"/>
    <x v="390"/>
    <x v="225"/>
    <x v="0"/>
    <x v="23"/>
    <x v="0"/>
    <x v="0"/>
    <x v="62"/>
    <x v="0"/>
    <x v="0"/>
    <x v="274"/>
    <x v="329"/>
    <x v="43"/>
    <x v="1"/>
    <x v="171"/>
    <x v="213"/>
    <x v="293"/>
    <x v="49"/>
    <x v="200"/>
    <x v="0"/>
    <x v="92"/>
    <x v="107"/>
    <x v="198"/>
    <x v="4"/>
    <x v="279"/>
    <x v="176"/>
    <x v="397"/>
    <x v="151"/>
  </r>
  <r>
    <x v="12"/>
    <x v="2"/>
    <x v="0"/>
    <x v="2"/>
    <x v="3"/>
    <x v="1"/>
    <x v="16"/>
    <x v="102"/>
    <x v="5"/>
    <x v="37"/>
    <x v="83"/>
    <x v="21"/>
    <x v="223"/>
    <x v="149"/>
    <x v="7"/>
    <x v="9"/>
    <x v="0"/>
    <x v="0"/>
    <x v="50"/>
    <x v="0"/>
    <x v="0"/>
    <x v="206"/>
    <x v="454"/>
    <x v="38"/>
    <x v="10"/>
    <x v="380"/>
    <x v="185"/>
    <x v="360"/>
    <x v="32"/>
    <x v="126"/>
    <x v="0"/>
    <x v="92"/>
    <x v="107"/>
    <x v="79"/>
    <x v="6"/>
    <x v="378"/>
    <x v="292"/>
    <x v="544"/>
    <x v="150"/>
  </r>
  <r>
    <x v="12"/>
    <x v="2"/>
    <x v="2"/>
    <x v="73"/>
    <x v="9"/>
    <x v="3"/>
    <x v="5"/>
    <x v="107"/>
    <x v="5"/>
    <x v="26"/>
    <x v="89"/>
    <x v="70"/>
    <x v="182"/>
    <x v="140"/>
    <x v="0"/>
    <x v="0"/>
    <x v="0"/>
    <x v="0"/>
    <x v="0"/>
    <x v="0"/>
    <x v="0"/>
    <x v="196"/>
    <x v="331"/>
    <x v="39"/>
    <x v="2"/>
    <x v="61"/>
    <x v="356"/>
    <x v="0"/>
    <x v="0"/>
    <x v="541"/>
    <x v="5"/>
    <x v="58"/>
    <x v="102"/>
    <x v="154"/>
    <x v="5"/>
    <x v="315"/>
    <x v="247"/>
    <x v="393"/>
    <x v="187"/>
  </r>
  <r>
    <x v="12"/>
    <x v="2"/>
    <x v="2"/>
    <x v="73"/>
    <x v="9"/>
    <x v="3"/>
    <x v="5"/>
    <x v="108"/>
    <x v="5"/>
    <x v="21"/>
    <x v="44"/>
    <x v="30"/>
    <x v="127"/>
    <x v="105"/>
    <x v="0"/>
    <x v="0"/>
    <x v="0"/>
    <x v="0"/>
    <x v="8"/>
    <x v="0"/>
    <x v="0"/>
    <x v="157"/>
    <x v="497"/>
    <x v="39"/>
    <x v="2"/>
    <x v="41"/>
    <x v="305"/>
    <x v="116"/>
    <x v="0"/>
    <x v="404"/>
    <x v="0"/>
    <x v="44"/>
    <x v="107"/>
    <x v="173"/>
    <x v="5"/>
    <x v="312"/>
    <x v="253"/>
    <x v="504"/>
    <x v="188"/>
  </r>
  <r>
    <x v="12"/>
    <x v="3"/>
    <x v="2"/>
    <x v="73"/>
    <x v="9"/>
    <x v="3"/>
    <x v="5"/>
    <x v="109"/>
    <x v="2"/>
    <x v="37"/>
    <x v="121"/>
    <x v="62"/>
    <x v="305"/>
    <x v="191"/>
    <x v="0"/>
    <x v="0"/>
    <x v="0"/>
    <x v="0"/>
    <x v="7"/>
    <x v="2"/>
    <x v="0"/>
    <x v="244"/>
    <x v="245"/>
    <x v="39"/>
    <x v="2"/>
    <x v="122"/>
    <x v="308"/>
    <x v="66"/>
    <x v="0"/>
    <x v="461"/>
    <x v="7"/>
    <x v="89"/>
    <x v="101"/>
    <x v="132"/>
    <x v="5"/>
    <x v="338"/>
    <x v="160"/>
    <x v="298"/>
    <x v="188"/>
  </r>
  <r>
    <x v="12"/>
    <x v="3"/>
    <x v="5"/>
    <x v="74"/>
    <x v="7"/>
    <x v="6"/>
    <x v="29"/>
    <x v="490"/>
    <x v="2"/>
    <x v="37"/>
    <x v="129"/>
    <x v="93"/>
    <x v="281"/>
    <x v="173"/>
    <x v="0"/>
    <x v="41"/>
    <x v="0"/>
    <x v="0"/>
    <x v="41"/>
    <x v="2"/>
    <x v="0"/>
    <x v="229"/>
    <x v="94"/>
    <x v="32"/>
    <x v="1"/>
    <x v="87"/>
    <x v="156"/>
    <x v="259"/>
    <x v="141"/>
    <x v="247"/>
    <x v="24"/>
    <x v="69"/>
    <x v="57"/>
    <x v="106"/>
    <x v="4"/>
    <x v="289"/>
    <x v="140"/>
    <x v="125"/>
    <x v="152"/>
  </r>
  <r>
    <x v="12"/>
    <x v="3"/>
    <x v="0"/>
    <x v="2"/>
    <x v="3"/>
    <x v="1"/>
    <x v="16"/>
    <x v="103"/>
    <x v="2"/>
    <x v="37"/>
    <x v="83"/>
    <x v="21"/>
    <x v="242"/>
    <x v="149"/>
    <x v="0"/>
    <x v="52"/>
    <x v="0"/>
    <x v="0"/>
    <x v="75"/>
    <x v="2"/>
    <x v="0"/>
    <x v="206"/>
    <x v="454"/>
    <x v="38"/>
    <x v="10"/>
    <x v="389"/>
    <x v="86"/>
    <x v="422"/>
    <x v="176"/>
    <x v="52"/>
    <x v="5"/>
    <x v="90"/>
    <x v="105"/>
    <x v="79"/>
    <x v="6"/>
    <x v="366"/>
    <x v="345"/>
    <x v="524"/>
    <x v="153"/>
  </r>
  <r>
    <x v="12"/>
    <x v="3"/>
    <x v="6"/>
    <x v="14"/>
    <x v="9"/>
    <x v="10"/>
    <x v="42"/>
    <x v="488"/>
    <x v="2"/>
    <x v="22"/>
    <x v="147"/>
    <x v="167"/>
    <x v="537"/>
    <x v="292"/>
    <x v="0"/>
    <x v="0"/>
    <x v="0"/>
    <x v="0"/>
    <x v="0"/>
    <x v="0"/>
    <x v="0"/>
    <x v="339"/>
    <x v="270"/>
    <x v="5"/>
    <x v="0"/>
    <x v="0"/>
    <x v="357"/>
    <x v="0"/>
    <x v="0"/>
    <x v="541"/>
    <x v="0"/>
    <x v="50"/>
    <x v="107"/>
    <x v="381"/>
    <x v="0"/>
    <x v="14"/>
    <x v="405"/>
    <x v="657"/>
    <x v="516"/>
  </r>
  <r>
    <x v="13"/>
    <x v="1"/>
    <x v="0"/>
    <x v="2"/>
    <x v="0"/>
    <x v="18"/>
    <x v="16"/>
    <x v="110"/>
    <x v="1"/>
    <x v="37"/>
    <x v="83"/>
    <x v="21"/>
    <x v="241"/>
    <x v="149"/>
    <x v="0"/>
    <x v="58"/>
    <x v="0"/>
    <x v="0"/>
    <x v="69"/>
    <x v="2"/>
    <x v="0"/>
    <x v="206"/>
    <x v="454"/>
    <x v="38"/>
    <x v="10"/>
    <x v="388"/>
    <x v="87"/>
    <x v="406"/>
    <x v="191"/>
    <x v="73"/>
    <x v="0"/>
    <x v="92"/>
    <x v="107"/>
    <x v="79"/>
    <x v="6"/>
    <x v="378"/>
    <x v="292"/>
    <x v="531"/>
    <x v="517"/>
  </r>
  <r>
    <x v="13"/>
    <x v="1"/>
    <x v="5"/>
    <x v="74"/>
    <x v="9"/>
    <x v="18"/>
    <x v="29"/>
    <x v="497"/>
    <x v="1"/>
    <x v="37"/>
    <x v="129"/>
    <x v="93"/>
    <x v="487"/>
    <x v="246"/>
    <x v="0"/>
    <x v="37"/>
    <x v="0"/>
    <x v="0"/>
    <x v="75"/>
    <x v="2"/>
    <x v="0"/>
    <x v="288"/>
    <x v="423"/>
    <x v="32"/>
    <x v="1"/>
    <x v="241"/>
    <x v="180"/>
    <x v="326"/>
    <x v="86"/>
    <x v="165"/>
    <x v="0"/>
    <x v="92"/>
    <x v="107"/>
    <x v="220"/>
    <x v="4"/>
    <x v="252"/>
    <x v="328"/>
    <x v="570"/>
    <x v="154"/>
  </r>
  <r>
    <x v="13"/>
    <x v="1"/>
    <x v="7"/>
    <x v="18"/>
    <x v="9"/>
    <x v="18"/>
    <x v="43"/>
    <x v="475"/>
    <x v="1"/>
    <x v="37"/>
    <x v="146"/>
    <x v="118"/>
    <x v="538"/>
    <x v="295"/>
    <x v="0"/>
    <x v="0"/>
    <x v="0"/>
    <x v="0"/>
    <x v="0"/>
    <x v="0"/>
    <x v="0"/>
    <x v="343"/>
    <x v="288"/>
    <x v="9"/>
    <x v="0"/>
    <x v="0"/>
    <x v="357"/>
    <x v="0"/>
    <x v="0"/>
    <x v="541"/>
    <x v="9"/>
    <x v="87"/>
    <x v="97"/>
    <x v="278"/>
    <x v="2"/>
    <x v="152"/>
    <x v="223"/>
    <x v="327"/>
    <x v="518"/>
  </r>
  <r>
    <x v="13"/>
    <x v="1"/>
    <x v="4"/>
    <x v="55"/>
    <x v="9"/>
    <x v="18"/>
    <x v="45"/>
    <x v="461"/>
    <x v="1"/>
    <x v="37"/>
    <x v="131"/>
    <x v="96"/>
    <x v="383"/>
    <x v="227"/>
    <x v="0"/>
    <x v="0"/>
    <x v="0"/>
    <x v="0"/>
    <x v="0"/>
    <x v="0"/>
    <x v="0"/>
    <x v="276"/>
    <x v="288"/>
    <x v="13"/>
    <x v="0"/>
    <x v="0"/>
    <x v="357"/>
    <x v="0"/>
    <x v="0"/>
    <x v="541"/>
    <x v="9"/>
    <x v="87"/>
    <x v="97"/>
    <x v="203"/>
    <x v="2"/>
    <x v="253"/>
    <x v="11"/>
    <x v="105"/>
    <x v="519"/>
  </r>
  <r>
    <x v="13"/>
    <x v="4"/>
    <x v="9"/>
    <x v="68"/>
    <x v="9"/>
    <x v="16"/>
    <x v="34"/>
    <x v="367"/>
    <x v="6"/>
    <x v="38"/>
    <x v="178"/>
    <x v="182"/>
    <x v="626"/>
    <x v="389"/>
    <x v="0"/>
    <x v="0"/>
    <x v="0"/>
    <x v="0"/>
    <x v="22"/>
    <x v="0"/>
    <x v="1"/>
    <x v="383"/>
    <x v="381"/>
    <x v="31"/>
    <x v="0"/>
    <x v="0"/>
    <x v="357"/>
    <x v="54"/>
    <x v="0"/>
    <x v="479"/>
    <x v="11"/>
    <x v="90"/>
    <x v="91"/>
    <x v="416"/>
    <x v="1"/>
    <x v="74"/>
    <x v="54"/>
    <x v="175"/>
    <x v="160"/>
  </r>
  <r>
    <x v="13"/>
    <x v="4"/>
    <x v="8"/>
    <x v="59"/>
    <x v="9"/>
    <x v="18"/>
    <x v="44"/>
    <x v="464"/>
    <x v="6"/>
    <x v="38"/>
    <x v="176"/>
    <x v="163"/>
    <x v="601"/>
    <x v="362"/>
    <x v="0"/>
    <x v="0"/>
    <x v="0"/>
    <x v="0"/>
    <x v="46"/>
    <x v="0"/>
    <x v="1"/>
    <x v="320"/>
    <x v="184"/>
    <x v="25"/>
    <x v="0"/>
    <x v="0"/>
    <x v="357"/>
    <x v="110"/>
    <x v="0"/>
    <x v="413"/>
    <x v="23"/>
    <x v="75"/>
    <x v="62"/>
    <x v="362"/>
    <x v="3"/>
    <x v="141"/>
    <x v="389"/>
    <x v="320"/>
    <x v="524"/>
  </r>
  <r>
    <x v="13"/>
    <x v="4"/>
    <x v="1"/>
    <x v="7"/>
    <x v="9"/>
    <x v="11"/>
    <x v="17"/>
    <x v="459"/>
    <x v="3"/>
    <x v="38"/>
    <x v="133"/>
    <x v="91"/>
    <x v="431"/>
    <x v="239"/>
    <x v="0"/>
    <x v="0"/>
    <x v="39"/>
    <x v="0"/>
    <x v="41"/>
    <x v="0"/>
    <x v="4"/>
    <x v="94"/>
    <x v="336"/>
    <x v="2"/>
    <x v="0"/>
    <x v="0"/>
    <x v="357"/>
    <x v="189"/>
    <x v="0"/>
    <x v="329"/>
    <x v="11"/>
    <x v="90"/>
    <x v="91"/>
    <x v="199"/>
    <x v="7"/>
    <x v="458"/>
    <x v="352"/>
    <x v="450"/>
    <x v="767"/>
  </r>
  <r>
    <x v="13"/>
    <x v="2"/>
    <x v="0"/>
    <x v="2"/>
    <x v="3"/>
    <x v="1"/>
    <x v="16"/>
    <x v="112"/>
    <x v="5"/>
    <x v="14"/>
    <x v="13"/>
    <x v="14"/>
    <x v="24"/>
    <x v="25"/>
    <x v="0"/>
    <x v="0"/>
    <x v="0"/>
    <x v="0"/>
    <x v="0"/>
    <x v="0"/>
    <x v="0"/>
    <x v="73"/>
    <x v="358"/>
    <x v="38"/>
    <x v="10"/>
    <x v="56"/>
    <x v="356"/>
    <x v="0"/>
    <x v="0"/>
    <x v="541"/>
    <x v="0"/>
    <x v="27"/>
    <x v="107"/>
    <x v="54"/>
    <x v="6"/>
    <x v="408"/>
    <x v="53"/>
    <x v="240"/>
    <x v="768"/>
  </r>
  <r>
    <x v="13"/>
    <x v="2"/>
    <x v="0"/>
    <x v="2"/>
    <x v="3"/>
    <x v="1"/>
    <x v="16"/>
    <x v="112"/>
    <x v="5"/>
    <x v="29"/>
    <x v="66"/>
    <x v="25"/>
    <x v="165"/>
    <x v="124"/>
    <x v="8"/>
    <x v="43"/>
    <x v="0"/>
    <x v="0"/>
    <x v="69"/>
    <x v="0"/>
    <x v="0"/>
    <x v="175"/>
    <x v="463"/>
    <x v="38"/>
    <x v="10"/>
    <x v="353"/>
    <x v="81"/>
    <x v="433"/>
    <x v="177"/>
    <x v="39"/>
    <x v="0"/>
    <x v="69"/>
    <x v="107"/>
    <x v="90"/>
    <x v="6"/>
    <x v="364"/>
    <x v="358"/>
    <x v="594"/>
    <x v="769"/>
  </r>
  <r>
    <x v="13"/>
    <x v="2"/>
    <x v="7"/>
    <x v="18"/>
    <x v="9"/>
    <x v="9"/>
    <x v="43"/>
    <x v="476"/>
    <x v="5"/>
    <x v="37"/>
    <x v="146"/>
    <x v="118"/>
    <x v="548"/>
    <x v="306"/>
    <x v="0"/>
    <x v="0"/>
    <x v="0"/>
    <x v="0"/>
    <x v="0"/>
    <x v="0"/>
    <x v="0"/>
    <x v="359"/>
    <x v="353"/>
    <x v="9"/>
    <x v="0"/>
    <x v="0"/>
    <x v="357"/>
    <x v="0"/>
    <x v="0"/>
    <x v="541"/>
    <x v="9"/>
    <x v="87"/>
    <x v="97"/>
    <x v="295"/>
    <x v="2"/>
    <x v="122"/>
    <x v="274"/>
    <x v="390"/>
    <x v="770"/>
  </r>
  <r>
    <x v="13"/>
    <x v="2"/>
    <x v="4"/>
    <x v="55"/>
    <x v="9"/>
    <x v="7"/>
    <x v="45"/>
    <x v="461"/>
    <x v="5"/>
    <x v="37"/>
    <x v="146"/>
    <x v="118"/>
    <x v="548"/>
    <x v="306"/>
    <x v="0"/>
    <x v="0"/>
    <x v="0"/>
    <x v="0"/>
    <x v="0"/>
    <x v="0"/>
    <x v="0"/>
    <x v="359"/>
    <x v="353"/>
    <x v="13"/>
    <x v="0"/>
    <x v="0"/>
    <x v="357"/>
    <x v="0"/>
    <x v="0"/>
    <x v="541"/>
    <x v="9"/>
    <x v="87"/>
    <x v="97"/>
    <x v="295"/>
    <x v="2"/>
    <x v="122"/>
    <x v="274"/>
    <x v="390"/>
    <x v="522"/>
  </r>
  <r>
    <x v="13"/>
    <x v="2"/>
    <x v="6"/>
    <x v="75"/>
    <x v="9"/>
    <x v="18"/>
    <x v="32"/>
    <x v="491"/>
    <x v="5"/>
    <x v="37"/>
    <x v="147"/>
    <x v="120"/>
    <x v="569"/>
    <x v="327"/>
    <x v="0"/>
    <x v="0"/>
    <x v="0"/>
    <x v="0"/>
    <x v="0"/>
    <x v="0"/>
    <x v="0"/>
    <x v="390"/>
    <x v="470"/>
    <x v="33"/>
    <x v="0"/>
    <x v="0"/>
    <x v="357"/>
    <x v="0"/>
    <x v="0"/>
    <x v="541"/>
    <x v="9"/>
    <x v="87"/>
    <x v="97"/>
    <x v="323"/>
    <x v="0"/>
    <x v="66"/>
    <x v="56"/>
    <x v="188"/>
    <x v="520"/>
  </r>
  <r>
    <x v="13"/>
    <x v="2"/>
    <x v="5"/>
    <x v="74"/>
    <x v="7"/>
    <x v="6"/>
    <x v="29"/>
    <x v="499"/>
    <x v="5"/>
    <x v="37"/>
    <x v="129"/>
    <x v="93"/>
    <x v="444"/>
    <x v="242"/>
    <x v="0"/>
    <x v="0"/>
    <x v="0"/>
    <x v="0"/>
    <x v="64"/>
    <x v="0"/>
    <x v="0"/>
    <x v="284"/>
    <x v="393"/>
    <x v="32"/>
    <x v="1"/>
    <x v="209"/>
    <x v="261"/>
    <x v="281"/>
    <x v="0"/>
    <x v="212"/>
    <x v="0"/>
    <x v="92"/>
    <x v="107"/>
    <x v="214"/>
    <x v="4"/>
    <x v="264"/>
    <x v="270"/>
    <x v="518"/>
    <x v="521"/>
  </r>
  <r>
    <x v="13"/>
    <x v="3"/>
    <x v="5"/>
    <x v="74"/>
    <x v="7"/>
    <x v="6"/>
    <x v="29"/>
    <x v="501"/>
    <x v="2"/>
    <x v="37"/>
    <x v="129"/>
    <x v="93"/>
    <x v="412"/>
    <x v="227"/>
    <x v="0"/>
    <x v="53"/>
    <x v="0"/>
    <x v="0"/>
    <x v="51"/>
    <x v="2"/>
    <x v="0"/>
    <x v="276"/>
    <x v="344"/>
    <x v="32"/>
    <x v="1"/>
    <x v="191"/>
    <x v="166"/>
    <x v="242"/>
    <x v="135"/>
    <x v="268"/>
    <x v="7"/>
    <x v="89"/>
    <x v="101"/>
    <x v="203"/>
    <x v="4"/>
    <x v="262"/>
    <x v="282"/>
    <x v="427"/>
    <x v="156"/>
  </r>
  <r>
    <x v="13"/>
    <x v="3"/>
    <x v="0"/>
    <x v="2"/>
    <x v="3"/>
    <x v="1"/>
    <x v="16"/>
    <x v="115"/>
    <x v="2"/>
    <x v="37"/>
    <x v="83"/>
    <x v="21"/>
    <x v="234"/>
    <x v="149"/>
    <x v="0"/>
    <x v="45"/>
    <x v="0"/>
    <x v="0"/>
    <x v="54"/>
    <x v="2"/>
    <x v="0"/>
    <x v="206"/>
    <x v="454"/>
    <x v="38"/>
    <x v="10"/>
    <x v="385"/>
    <x v="118"/>
    <x v="372"/>
    <x v="158"/>
    <x v="113"/>
    <x v="0"/>
    <x v="92"/>
    <x v="107"/>
    <x v="79"/>
    <x v="6"/>
    <x v="378"/>
    <x v="292"/>
    <x v="542"/>
    <x v="525"/>
  </r>
  <r>
    <x v="13"/>
    <x v="3"/>
    <x v="3"/>
    <x v="67"/>
    <x v="9"/>
    <x v="3"/>
    <x v="6"/>
    <x v="116"/>
    <x v="2"/>
    <x v="37"/>
    <x v="121"/>
    <x v="62"/>
    <x v="464"/>
    <x v="227"/>
    <x v="51"/>
    <x v="89"/>
    <x v="0"/>
    <x v="0"/>
    <x v="54"/>
    <x v="2"/>
    <x v="0"/>
    <x v="276"/>
    <x v="453"/>
    <x v="38"/>
    <x v="3"/>
    <x v="298"/>
    <x v="22"/>
    <x v="254"/>
    <x v="243"/>
    <x v="271"/>
    <x v="0"/>
    <x v="92"/>
    <x v="107"/>
    <x v="203"/>
    <x v="5"/>
    <x v="276"/>
    <x v="365"/>
    <x v="607"/>
    <x v="155"/>
  </r>
  <r>
    <x v="13"/>
    <x v="3"/>
    <x v="6"/>
    <x v="75"/>
    <x v="9"/>
    <x v="10"/>
    <x v="32"/>
    <x v="500"/>
    <x v="2"/>
    <x v="29"/>
    <x v="147"/>
    <x v="139"/>
    <x v="548"/>
    <x v="306"/>
    <x v="0"/>
    <x v="0"/>
    <x v="0"/>
    <x v="0"/>
    <x v="0"/>
    <x v="0"/>
    <x v="0"/>
    <x v="359"/>
    <x v="340"/>
    <x v="33"/>
    <x v="0"/>
    <x v="0"/>
    <x v="357"/>
    <x v="0"/>
    <x v="0"/>
    <x v="541"/>
    <x v="9"/>
    <x v="61"/>
    <x v="87"/>
    <x v="332"/>
    <x v="0"/>
    <x v="46"/>
    <x v="139"/>
    <x v="231"/>
    <x v="532"/>
  </r>
  <r>
    <x v="14"/>
    <x v="1"/>
    <x v="0"/>
    <x v="2"/>
    <x v="3"/>
    <x v="1"/>
    <x v="16"/>
    <x v="117"/>
    <x v="6"/>
    <x v="37"/>
    <x v="83"/>
    <x v="21"/>
    <x v="186"/>
    <x v="136"/>
    <x v="0"/>
    <x v="47"/>
    <x v="0"/>
    <x v="0"/>
    <x v="66"/>
    <x v="2"/>
    <x v="0"/>
    <x v="191"/>
    <x v="390"/>
    <x v="38"/>
    <x v="10"/>
    <x v="370"/>
    <x v="90"/>
    <x v="415"/>
    <x v="174"/>
    <x v="58"/>
    <x v="0"/>
    <x v="92"/>
    <x v="107"/>
    <x v="63"/>
    <x v="6"/>
    <x v="393"/>
    <x v="143"/>
    <x v="335"/>
    <x v="158"/>
  </r>
  <r>
    <x v="14"/>
    <x v="1"/>
    <x v="5"/>
    <x v="74"/>
    <x v="7"/>
    <x v="6"/>
    <x v="29"/>
    <x v="507"/>
    <x v="6"/>
    <x v="37"/>
    <x v="129"/>
    <x v="93"/>
    <x v="294"/>
    <x v="173"/>
    <x v="0"/>
    <x v="84"/>
    <x v="0"/>
    <x v="0"/>
    <x v="88"/>
    <x v="2"/>
    <x v="0"/>
    <x v="229"/>
    <x v="94"/>
    <x v="32"/>
    <x v="1"/>
    <x v="100"/>
    <x v="34"/>
    <x v="432"/>
    <x v="239"/>
    <x v="46"/>
    <x v="26"/>
    <x v="67"/>
    <x v="53"/>
    <x v="106"/>
    <x v="4"/>
    <x v="281"/>
    <x v="170"/>
    <x v="118"/>
    <x v="159"/>
  </r>
  <r>
    <x v="14"/>
    <x v="1"/>
    <x v="7"/>
    <x v="18"/>
    <x v="9"/>
    <x v="18"/>
    <x v="43"/>
    <x v="485"/>
    <x v="6"/>
    <x v="37"/>
    <x v="146"/>
    <x v="118"/>
    <x v="544"/>
    <x v="301"/>
    <x v="0"/>
    <x v="0"/>
    <x v="0"/>
    <x v="0"/>
    <x v="0"/>
    <x v="0"/>
    <x v="0"/>
    <x v="353"/>
    <x v="331"/>
    <x v="9"/>
    <x v="0"/>
    <x v="0"/>
    <x v="357"/>
    <x v="0"/>
    <x v="0"/>
    <x v="541"/>
    <x v="9"/>
    <x v="87"/>
    <x v="97"/>
    <x v="289"/>
    <x v="2"/>
    <x v="133"/>
    <x v="257"/>
    <x v="368"/>
    <x v="526"/>
  </r>
  <r>
    <x v="14"/>
    <x v="1"/>
    <x v="4"/>
    <x v="55"/>
    <x v="9"/>
    <x v="7"/>
    <x v="45"/>
    <x v="470"/>
    <x v="6"/>
    <x v="37"/>
    <x v="146"/>
    <x v="118"/>
    <x v="500"/>
    <x v="257"/>
    <x v="0"/>
    <x v="0"/>
    <x v="0"/>
    <x v="0"/>
    <x v="0"/>
    <x v="0"/>
    <x v="0"/>
    <x v="301"/>
    <x v="141"/>
    <x v="13"/>
    <x v="0"/>
    <x v="0"/>
    <x v="357"/>
    <x v="0"/>
    <x v="0"/>
    <x v="541"/>
    <x v="9"/>
    <x v="87"/>
    <x v="97"/>
    <x v="234"/>
    <x v="2"/>
    <x v="217"/>
    <x v="57"/>
    <x v="192"/>
    <x v="527"/>
  </r>
  <r>
    <x v="14"/>
    <x v="1"/>
    <x v="3"/>
    <x v="67"/>
    <x v="9"/>
    <x v="18"/>
    <x v="6"/>
    <x v="123"/>
    <x v="6"/>
    <x v="37"/>
    <x v="121"/>
    <x v="62"/>
    <x v="308"/>
    <x v="191"/>
    <x v="0"/>
    <x v="0"/>
    <x v="0"/>
    <x v="0"/>
    <x v="44"/>
    <x v="0"/>
    <x v="0"/>
    <x v="244"/>
    <x v="245"/>
    <x v="38"/>
    <x v="3"/>
    <x v="187"/>
    <x v="269"/>
    <x v="254"/>
    <x v="0"/>
    <x v="252"/>
    <x v="7"/>
    <x v="89"/>
    <x v="101"/>
    <x v="132"/>
    <x v="5"/>
    <x v="338"/>
    <x v="160"/>
    <x v="285"/>
    <x v="160"/>
  </r>
  <r>
    <x v="14"/>
    <x v="4"/>
    <x v="1"/>
    <x v="42"/>
    <x v="9"/>
    <x v="11"/>
    <x v="11"/>
    <x v="8"/>
    <x v="3"/>
    <x v="14"/>
    <x v="33"/>
    <x v="91"/>
    <x v="62"/>
    <x v="57"/>
    <x v="0"/>
    <x v="0"/>
    <x v="10"/>
    <x v="0"/>
    <x v="12"/>
    <x v="0"/>
    <x v="3"/>
    <x v="38"/>
    <x v="242"/>
    <x v="18"/>
    <x v="0"/>
    <x v="0"/>
    <x v="357"/>
    <x v="240"/>
    <x v="0"/>
    <x v="264"/>
    <x v="0"/>
    <x v="27"/>
    <x v="107"/>
    <x v="176"/>
    <x v="7"/>
    <x v="450"/>
    <x v="363"/>
    <x v="605"/>
    <x v="771"/>
  </r>
  <r>
    <x v="14"/>
    <x v="4"/>
    <x v="1"/>
    <x v="65"/>
    <x v="9"/>
    <x v="11"/>
    <x v="69"/>
    <x v="127"/>
    <x v="3"/>
    <x v="27"/>
    <x v="61"/>
    <x v="24"/>
    <x v="90"/>
    <x v="79"/>
    <x v="0"/>
    <x v="0"/>
    <x v="32"/>
    <x v="0"/>
    <x v="11"/>
    <x v="0"/>
    <x v="4"/>
    <x v="42"/>
    <x v="127"/>
    <x v="4"/>
    <x v="9"/>
    <x v="291"/>
    <x v="289"/>
    <x v="183"/>
    <x v="0"/>
    <x v="334"/>
    <x v="33"/>
    <x v="33"/>
    <x v="20"/>
    <x v="40"/>
    <x v="7"/>
    <x v="482"/>
    <x v="163"/>
    <x v="37"/>
    <x v="772"/>
  </r>
  <r>
    <x v="14"/>
    <x v="4"/>
    <x v="9"/>
    <x v="22"/>
    <x v="9"/>
    <x v="16"/>
    <x v="46"/>
    <x v="370"/>
    <x v="6"/>
    <x v="15"/>
    <x v="117"/>
    <x v="160"/>
    <x v="324"/>
    <x v="198"/>
    <x v="0"/>
    <x v="0"/>
    <x v="0"/>
    <x v="0"/>
    <x v="0"/>
    <x v="0"/>
    <x v="1"/>
    <x v="161"/>
    <x v="395"/>
    <x v="29"/>
    <x v="0"/>
    <x v="0"/>
    <x v="357"/>
    <x v="0"/>
    <x v="0"/>
    <x v="541"/>
    <x v="0"/>
    <x v="30"/>
    <x v="107"/>
    <x v="392"/>
    <x v="1"/>
    <x v="180"/>
    <x v="9"/>
    <x v="115"/>
    <x v="529"/>
  </r>
  <r>
    <x v="14"/>
    <x v="4"/>
    <x v="9"/>
    <x v="23"/>
    <x v="9"/>
    <x v="16"/>
    <x v="40"/>
    <x v="374"/>
    <x v="6"/>
    <x v="14"/>
    <x v="116"/>
    <x v="178"/>
    <x v="297"/>
    <x v="191"/>
    <x v="0"/>
    <x v="0"/>
    <x v="0"/>
    <x v="0"/>
    <x v="0"/>
    <x v="0"/>
    <x v="1"/>
    <x v="157"/>
    <x v="385"/>
    <x v="14"/>
    <x v="0"/>
    <x v="0"/>
    <x v="357"/>
    <x v="0"/>
    <x v="0"/>
    <x v="541"/>
    <x v="0"/>
    <x v="27"/>
    <x v="107"/>
    <x v="410"/>
    <x v="1"/>
    <x v="119"/>
    <x v="18"/>
    <x v="164"/>
    <x v="535"/>
  </r>
  <r>
    <x v="14"/>
    <x v="4"/>
    <x v="9"/>
    <x v="24"/>
    <x v="9"/>
    <x v="16"/>
    <x v="28"/>
    <x v="373"/>
    <x v="6"/>
    <x v="14"/>
    <x v="105"/>
    <x v="166"/>
    <x v="283"/>
    <x v="181"/>
    <x v="0"/>
    <x v="0"/>
    <x v="0"/>
    <x v="0"/>
    <x v="0"/>
    <x v="0"/>
    <x v="1"/>
    <x v="153"/>
    <x v="377"/>
    <x v="15"/>
    <x v="0"/>
    <x v="0"/>
    <x v="357"/>
    <x v="0"/>
    <x v="0"/>
    <x v="541"/>
    <x v="0"/>
    <x v="27"/>
    <x v="107"/>
    <x v="396"/>
    <x v="1"/>
    <x v="164"/>
    <x v="10"/>
    <x v="127"/>
    <x v="528"/>
  </r>
  <r>
    <x v="14"/>
    <x v="4"/>
    <x v="9"/>
    <x v="68"/>
    <x v="9"/>
    <x v="16"/>
    <x v="34"/>
    <x v="368"/>
    <x v="6"/>
    <x v="19"/>
    <x v="135"/>
    <x v="165"/>
    <x v="507"/>
    <x v="260"/>
    <x v="0"/>
    <x v="0"/>
    <x v="0"/>
    <x v="0"/>
    <x v="13"/>
    <x v="0"/>
    <x v="1"/>
    <x v="204"/>
    <x v="446"/>
    <x v="31"/>
    <x v="0"/>
    <x v="0"/>
    <x v="357"/>
    <x v="75"/>
    <x v="0"/>
    <x v="452"/>
    <x v="0"/>
    <x v="39"/>
    <x v="107"/>
    <x v="413"/>
    <x v="1"/>
    <x v="104"/>
    <x v="22"/>
    <x v="169"/>
    <x v="161"/>
  </r>
  <r>
    <x v="14"/>
    <x v="4"/>
    <x v="8"/>
    <x v="59"/>
    <x v="9"/>
    <x v="18"/>
    <x v="44"/>
    <x v="476"/>
    <x v="6"/>
    <x v="38"/>
    <x v="147"/>
    <x v="112"/>
    <x v="548"/>
    <x v="303"/>
    <x v="0"/>
    <x v="0"/>
    <x v="0"/>
    <x v="0"/>
    <x v="38"/>
    <x v="0"/>
    <x v="0"/>
    <x v="355"/>
    <x v="335"/>
    <x v="25"/>
    <x v="0"/>
    <x v="0"/>
    <x v="357"/>
    <x v="147"/>
    <x v="0"/>
    <x v="373"/>
    <x v="11"/>
    <x v="90"/>
    <x v="91"/>
    <x v="264"/>
    <x v="3"/>
    <x v="161"/>
    <x v="372"/>
    <x v="498"/>
    <x v="534"/>
  </r>
  <r>
    <x v="14"/>
    <x v="2"/>
    <x v="0"/>
    <x v="2"/>
    <x v="3"/>
    <x v="1"/>
    <x v="16"/>
    <x v="121"/>
    <x v="5"/>
    <x v="37"/>
    <x v="83"/>
    <x v="21"/>
    <x v="229"/>
    <x v="149"/>
    <x v="22"/>
    <x v="15"/>
    <x v="0"/>
    <x v="0"/>
    <x v="70"/>
    <x v="0"/>
    <x v="0"/>
    <x v="206"/>
    <x v="454"/>
    <x v="38"/>
    <x v="10"/>
    <x v="382"/>
    <x v="138"/>
    <x v="407"/>
    <x v="61"/>
    <x v="64"/>
    <x v="0"/>
    <x v="92"/>
    <x v="107"/>
    <x v="79"/>
    <x v="6"/>
    <x v="378"/>
    <x v="292"/>
    <x v="527"/>
    <x v="162"/>
  </r>
  <r>
    <x v="14"/>
    <x v="2"/>
    <x v="7"/>
    <x v="18"/>
    <x v="9"/>
    <x v="9"/>
    <x v="43"/>
    <x v="489"/>
    <x v="5"/>
    <x v="25"/>
    <x v="126"/>
    <x v="125"/>
    <x v="292"/>
    <x v="188"/>
    <x v="0"/>
    <x v="0"/>
    <x v="0"/>
    <x v="0"/>
    <x v="0"/>
    <x v="0"/>
    <x v="0"/>
    <x v="241"/>
    <x v="155"/>
    <x v="9"/>
    <x v="0"/>
    <x v="0"/>
    <x v="357"/>
    <x v="0"/>
    <x v="0"/>
    <x v="541"/>
    <x v="0"/>
    <x v="57"/>
    <x v="107"/>
    <x v="243"/>
    <x v="2"/>
    <x v="230"/>
    <x v="41"/>
    <x v="220"/>
    <x v="163"/>
  </r>
  <r>
    <x v="14"/>
    <x v="2"/>
    <x v="7"/>
    <x v="76"/>
    <x v="9"/>
    <x v="9"/>
    <x v="33"/>
    <x v="491"/>
    <x v="5"/>
    <x v="19"/>
    <x v="79"/>
    <x v="113"/>
    <x v="125"/>
    <x v="105"/>
    <x v="0"/>
    <x v="0"/>
    <x v="0"/>
    <x v="0"/>
    <x v="0"/>
    <x v="0"/>
    <x v="0"/>
    <x v="157"/>
    <x v="118"/>
    <x v="34"/>
    <x v="0"/>
    <x v="0"/>
    <x v="357"/>
    <x v="0"/>
    <x v="0"/>
    <x v="541"/>
    <x v="15"/>
    <x v="25"/>
    <x v="36"/>
    <x v="215"/>
    <x v="2"/>
    <x v="82"/>
    <x v="379"/>
    <x v="123"/>
    <x v="164"/>
  </r>
  <r>
    <x v="14"/>
    <x v="2"/>
    <x v="4"/>
    <x v="55"/>
    <x v="9"/>
    <x v="7"/>
    <x v="45"/>
    <x v="481"/>
    <x v="5"/>
    <x v="37"/>
    <x v="146"/>
    <x v="118"/>
    <x v="544"/>
    <x v="301"/>
    <x v="0"/>
    <x v="0"/>
    <x v="0"/>
    <x v="0"/>
    <x v="0"/>
    <x v="0"/>
    <x v="0"/>
    <x v="353"/>
    <x v="331"/>
    <x v="13"/>
    <x v="0"/>
    <x v="0"/>
    <x v="357"/>
    <x v="0"/>
    <x v="0"/>
    <x v="541"/>
    <x v="9"/>
    <x v="87"/>
    <x v="97"/>
    <x v="289"/>
    <x v="2"/>
    <x v="133"/>
    <x v="257"/>
    <x v="368"/>
    <x v="530"/>
  </r>
  <r>
    <x v="14"/>
    <x v="2"/>
    <x v="3"/>
    <x v="67"/>
    <x v="9"/>
    <x v="3"/>
    <x v="6"/>
    <x v="124"/>
    <x v="5"/>
    <x v="22"/>
    <x v="121"/>
    <x v="133"/>
    <x v="151"/>
    <x v="118"/>
    <x v="0"/>
    <x v="38"/>
    <x v="0"/>
    <x v="0"/>
    <x v="22"/>
    <x v="0"/>
    <x v="0"/>
    <x v="170"/>
    <x v="37"/>
    <x v="38"/>
    <x v="3"/>
    <x v="58"/>
    <x v="150"/>
    <x v="220"/>
    <x v="175"/>
    <x v="300"/>
    <x v="0"/>
    <x v="50"/>
    <x v="107"/>
    <x v="180"/>
    <x v="5"/>
    <x v="303"/>
    <x v="279"/>
    <x v="541"/>
    <x v="165"/>
  </r>
  <r>
    <x v="14"/>
    <x v="2"/>
    <x v="6"/>
    <x v="75"/>
    <x v="9"/>
    <x v="10"/>
    <x v="32"/>
    <x v="503"/>
    <x v="5"/>
    <x v="25"/>
    <x v="150"/>
    <x v="150"/>
    <x v="526"/>
    <x v="281"/>
    <x v="0"/>
    <x v="0"/>
    <x v="0"/>
    <x v="0"/>
    <x v="0"/>
    <x v="0"/>
    <x v="0"/>
    <x v="326"/>
    <x v="203"/>
    <x v="33"/>
    <x v="0"/>
    <x v="0"/>
    <x v="357"/>
    <x v="0"/>
    <x v="0"/>
    <x v="541"/>
    <x v="9"/>
    <x v="52"/>
    <x v="82"/>
    <x v="341"/>
    <x v="0"/>
    <x v="28"/>
    <x v="284"/>
    <x v="319"/>
    <x v="531"/>
  </r>
  <r>
    <x v="14"/>
    <x v="2"/>
    <x v="5"/>
    <x v="74"/>
    <x v="7"/>
    <x v="6"/>
    <x v="29"/>
    <x v="509"/>
    <x v="5"/>
    <x v="37"/>
    <x v="129"/>
    <x v="93"/>
    <x v="264"/>
    <x v="157"/>
    <x v="0"/>
    <x v="66"/>
    <x v="0"/>
    <x v="0"/>
    <x v="49"/>
    <x v="0"/>
    <x v="0"/>
    <x v="215"/>
    <x v="78"/>
    <x v="32"/>
    <x v="1"/>
    <x v="74"/>
    <x v="99"/>
    <x v="340"/>
    <x v="210"/>
    <x v="152"/>
    <x v="23"/>
    <x v="70"/>
    <x v="59"/>
    <x v="89"/>
    <x v="4"/>
    <x v="337"/>
    <x v="47"/>
    <x v="101"/>
    <x v="166"/>
  </r>
  <r>
    <x v="14"/>
    <x v="3"/>
    <x v="0"/>
    <x v="2"/>
    <x v="3"/>
    <x v="1"/>
    <x v="16"/>
    <x v="122"/>
    <x v="2"/>
    <x v="3"/>
    <x v="6"/>
    <x v="82"/>
    <x v="7"/>
    <x v="7"/>
    <x v="15"/>
    <x v="0"/>
    <x v="0"/>
    <x v="0"/>
    <x v="2"/>
    <x v="0"/>
    <x v="0"/>
    <x v="36"/>
    <x v="77"/>
    <x v="38"/>
    <x v="10"/>
    <x v="12"/>
    <x v="104"/>
    <x v="209"/>
    <x v="0"/>
    <x v="304"/>
    <x v="0"/>
    <x v="7"/>
    <x v="107"/>
    <x v="71"/>
    <x v="6"/>
    <x v="388"/>
    <x v="215"/>
    <x v="445"/>
    <x v="167"/>
  </r>
  <r>
    <x v="14"/>
    <x v="3"/>
    <x v="0"/>
    <x v="4"/>
    <x v="4"/>
    <x v="1"/>
    <x v="66"/>
    <x v="122"/>
    <x v="2"/>
    <x v="33"/>
    <x v="76"/>
    <x v="20"/>
    <x v="37"/>
    <x v="37"/>
    <x v="0"/>
    <x v="29"/>
    <x v="0"/>
    <x v="0"/>
    <x v="33"/>
    <x v="2"/>
    <x v="0"/>
    <x v="91"/>
    <x v="11"/>
    <x v="38"/>
    <x v="10"/>
    <x v="129"/>
    <x v="40"/>
    <x v="455"/>
    <x v="227"/>
    <x v="15"/>
    <x v="43"/>
    <x v="31"/>
    <x v="9"/>
    <x v="10"/>
    <x v="6"/>
    <x v="392"/>
    <x v="170"/>
    <x v="17"/>
    <x v="168"/>
  </r>
  <r>
    <x v="14"/>
    <x v="3"/>
    <x v="5"/>
    <x v="74"/>
    <x v="7"/>
    <x v="6"/>
    <x v="29"/>
    <x v="511"/>
    <x v="2"/>
    <x v="37"/>
    <x v="129"/>
    <x v="93"/>
    <x v="366"/>
    <x v="210"/>
    <x v="0"/>
    <x v="70"/>
    <x v="0"/>
    <x v="0"/>
    <x v="84"/>
    <x v="2"/>
    <x v="0"/>
    <x v="263"/>
    <x v="207"/>
    <x v="32"/>
    <x v="1"/>
    <x v="157"/>
    <x v="96"/>
    <x v="388"/>
    <x v="192"/>
    <x v="97"/>
    <x v="0"/>
    <x v="92"/>
    <x v="107"/>
    <x v="168"/>
    <x v="4"/>
    <x v="319"/>
    <x v="81"/>
    <x v="256"/>
    <x v="169"/>
  </r>
  <r>
    <x v="14"/>
    <x v="3"/>
    <x v="6"/>
    <x v="75"/>
    <x v="9"/>
    <x v="10"/>
    <x v="32"/>
    <x v="510"/>
    <x v="2"/>
    <x v="25"/>
    <x v="147"/>
    <x v="149"/>
    <x v="512"/>
    <x v="267"/>
    <x v="0"/>
    <x v="0"/>
    <x v="0"/>
    <x v="0"/>
    <x v="0"/>
    <x v="0"/>
    <x v="0"/>
    <x v="312"/>
    <x v="168"/>
    <x v="33"/>
    <x v="0"/>
    <x v="0"/>
    <x v="357"/>
    <x v="0"/>
    <x v="0"/>
    <x v="541"/>
    <x v="9"/>
    <x v="52"/>
    <x v="82"/>
    <x v="334"/>
    <x v="0"/>
    <x v="34"/>
    <x v="225"/>
    <x v="257"/>
    <x v="533"/>
  </r>
  <r>
    <x v="15"/>
    <x v="1"/>
    <x v="5"/>
    <x v="74"/>
    <x v="7"/>
    <x v="6"/>
    <x v="29"/>
    <x v="514"/>
    <x v="2"/>
    <x v="19"/>
    <x v="108"/>
    <x v="141"/>
    <x v="121"/>
    <x v="92"/>
    <x v="0"/>
    <x v="53"/>
    <x v="0"/>
    <x v="0"/>
    <x v="45"/>
    <x v="2"/>
    <x v="0"/>
    <x v="147"/>
    <x v="28"/>
    <x v="32"/>
    <x v="1"/>
    <x v="35"/>
    <x v="59"/>
    <x v="424"/>
    <x v="219"/>
    <x v="49"/>
    <x v="0"/>
    <x v="39"/>
    <x v="107"/>
    <x v="181"/>
    <x v="4"/>
    <x v="301"/>
    <x v="114"/>
    <x v="295"/>
    <x v="170"/>
  </r>
  <r>
    <x v="15"/>
    <x v="1"/>
    <x v="6"/>
    <x v="75"/>
    <x v="9"/>
    <x v="10"/>
    <x v="32"/>
    <x v="513"/>
    <x v="2"/>
    <x v="16"/>
    <x v="105"/>
    <x v="148"/>
    <x v="233"/>
    <x v="156"/>
    <x v="0"/>
    <x v="0"/>
    <x v="0"/>
    <x v="0"/>
    <x v="0"/>
    <x v="0"/>
    <x v="0"/>
    <x v="214"/>
    <x v="200"/>
    <x v="33"/>
    <x v="0"/>
    <x v="0"/>
    <x v="357"/>
    <x v="0"/>
    <x v="0"/>
    <x v="541"/>
    <x v="0"/>
    <x v="33"/>
    <x v="107"/>
    <x v="339"/>
    <x v="0"/>
    <x v="55"/>
    <x v="93"/>
    <x v="296"/>
    <x v="549"/>
  </r>
  <r>
    <x v="15"/>
    <x v="1"/>
    <x v="7"/>
    <x v="76"/>
    <x v="9"/>
    <x v="9"/>
    <x v="33"/>
    <x v="493"/>
    <x v="2"/>
    <x v="29"/>
    <x v="131"/>
    <x v="113"/>
    <x v="484"/>
    <x v="250"/>
    <x v="0"/>
    <x v="0"/>
    <x v="0"/>
    <x v="0"/>
    <x v="0"/>
    <x v="0"/>
    <x v="0"/>
    <x v="291"/>
    <x v="408"/>
    <x v="34"/>
    <x v="0"/>
    <x v="0"/>
    <x v="357"/>
    <x v="0"/>
    <x v="0"/>
    <x v="541"/>
    <x v="9"/>
    <x v="61"/>
    <x v="87"/>
    <x v="303"/>
    <x v="2"/>
    <x v="93"/>
    <x v="344"/>
    <x v="438"/>
    <x v="537"/>
  </r>
  <r>
    <x v="15"/>
    <x v="1"/>
    <x v="4"/>
    <x v="55"/>
    <x v="9"/>
    <x v="18"/>
    <x v="45"/>
    <x v="482"/>
    <x v="2"/>
    <x v="25"/>
    <x v="131"/>
    <x v="131"/>
    <x v="378"/>
    <x v="225"/>
    <x v="0"/>
    <x v="0"/>
    <x v="0"/>
    <x v="0"/>
    <x v="0"/>
    <x v="0"/>
    <x v="0"/>
    <x v="274"/>
    <x v="274"/>
    <x v="13"/>
    <x v="0"/>
    <x v="0"/>
    <x v="357"/>
    <x v="0"/>
    <x v="0"/>
    <x v="541"/>
    <x v="0"/>
    <x v="57"/>
    <x v="107"/>
    <x v="309"/>
    <x v="2"/>
    <x v="129"/>
    <x v="266"/>
    <x v="543"/>
    <x v="536"/>
  </r>
  <r>
    <x v="15"/>
    <x v="4"/>
    <x v="8"/>
    <x v="59"/>
    <x v="9"/>
    <x v="18"/>
    <x v="44"/>
    <x v="480"/>
    <x v="6"/>
    <x v="25"/>
    <x v="131"/>
    <x v="131"/>
    <x v="545"/>
    <x v="301"/>
    <x v="0"/>
    <x v="0"/>
    <x v="0"/>
    <x v="0"/>
    <x v="24"/>
    <x v="0"/>
    <x v="0"/>
    <x v="353"/>
    <x v="487"/>
    <x v="25"/>
    <x v="0"/>
    <x v="0"/>
    <x v="357"/>
    <x v="104"/>
    <x v="0"/>
    <x v="419"/>
    <x v="0"/>
    <x v="57"/>
    <x v="107"/>
    <x v="354"/>
    <x v="3"/>
    <x v="37"/>
    <x v="469"/>
    <x v="709"/>
    <x v="539"/>
  </r>
  <r>
    <x v="15"/>
    <x v="4"/>
    <x v="9"/>
    <x v="23"/>
    <x v="9"/>
    <x v="16"/>
    <x v="40"/>
    <x v="375"/>
    <x v="6"/>
    <x v="25"/>
    <x v="139"/>
    <x v="141"/>
    <x v="566"/>
    <x v="323"/>
    <x v="0"/>
    <x v="0"/>
    <x v="0"/>
    <x v="0"/>
    <x v="4"/>
    <x v="0"/>
    <x v="0"/>
    <x v="384"/>
    <x v="488"/>
    <x v="14"/>
    <x v="0"/>
    <x v="0"/>
    <x v="357"/>
    <x v="14"/>
    <x v="0"/>
    <x v="525"/>
    <x v="0"/>
    <x v="57"/>
    <x v="107"/>
    <x v="382"/>
    <x v="1"/>
    <x v="13"/>
    <x v="435"/>
    <x v="685"/>
    <x v="540"/>
  </r>
  <r>
    <x v="15"/>
    <x v="1"/>
    <x v="0"/>
    <x v="4"/>
    <x v="5"/>
    <x v="1"/>
    <x v="66"/>
    <x v="125"/>
    <x v="2"/>
    <x v="37"/>
    <x v="83"/>
    <x v="21"/>
    <x v="166"/>
    <x v="127"/>
    <x v="11"/>
    <x v="61"/>
    <x v="0"/>
    <x v="0"/>
    <x v="40"/>
    <x v="0"/>
    <x v="0"/>
    <x v="178"/>
    <x v="255"/>
    <x v="38"/>
    <x v="10"/>
    <x v="356"/>
    <x v="85"/>
    <x v="356"/>
    <x v="211"/>
    <x v="136"/>
    <x v="0"/>
    <x v="92"/>
    <x v="107"/>
    <x v="54"/>
    <x v="6"/>
    <x v="408"/>
    <x v="53"/>
    <x v="230"/>
    <x v="171"/>
  </r>
  <r>
    <x v="15"/>
    <x v="4"/>
    <x v="1"/>
    <x v="9"/>
    <x v="9"/>
    <x v="18"/>
    <x v="67"/>
    <x v="15"/>
    <x v="3"/>
    <x v="14"/>
    <x v="33"/>
    <x v="91"/>
    <x v="72"/>
    <x v="66"/>
    <x v="0"/>
    <x v="0"/>
    <x v="5"/>
    <x v="0"/>
    <x v="11"/>
    <x v="0"/>
    <x v="4"/>
    <x v="34"/>
    <x v="343"/>
    <x v="4"/>
    <x v="0"/>
    <x v="0"/>
    <x v="357"/>
    <x v="204"/>
    <x v="0"/>
    <x v="310"/>
    <x v="2"/>
    <x v="25"/>
    <x v="97"/>
    <x v="202"/>
    <x v="7"/>
    <x v="460"/>
    <x v="342"/>
    <x v="458"/>
    <x v="538"/>
  </r>
  <r>
    <x v="15"/>
    <x v="4"/>
    <x v="1"/>
    <x v="64"/>
    <x v="9"/>
    <x v="18"/>
    <x v="55"/>
    <x v="18"/>
    <x v="3"/>
    <x v="16"/>
    <x v="30"/>
    <x v="35"/>
    <x v="8"/>
    <x v="8"/>
    <x v="0"/>
    <x v="0"/>
    <x v="9"/>
    <x v="0"/>
    <x v="8"/>
    <x v="0"/>
    <x v="4"/>
    <x v="7"/>
    <x v="6"/>
    <x v="3"/>
    <x v="0"/>
    <x v="0"/>
    <x v="357"/>
    <x v="437"/>
    <x v="0"/>
    <x v="30"/>
    <x v="24"/>
    <x v="6"/>
    <x v="2"/>
    <x v="9"/>
    <x v="7"/>
    <x v="494"/>
    <x v="88"/>
    <x v="7"/>
    <x v="773"/>
  </r>
  <r>
    <x v="16"/>
    <x v="1"/>
    <x v="7"/>
    <x v="76"/>
    <x v="9"/>
    <x v="18"/>
    <x v="33"/>
    <x v="498"/>
    <x v="5"/>
    <x v="37"/>
    <x v="146"/>
    <x v="118"/>
    <x v="522"/>
    <x v="278"/>
    <x v="0"/>
    <x v="0"/>
    <x v="0"/>
    <x v="0"/>
    <x v="0"/>
    <x v="0"/>
    <x v="0"/>
    <x v="322"/>
    <x v="200"/>
    <x v="34"/>
    <x v="0"/>
    <x v="0"/>
    <x v="357"/>
    <x v="0"/>
    <x v="0"/>
    <x v="541"/>
    <x v="9"/>
    <x v="87"/>
    <x v="97"/>
    <x v="251"/>
    <x v="2"/>
    <x v="194"/>
    <x v="125"/>
    <x v="243"/>
    <x v="172"/>
  </r>
  <r>
    <x v="16"/>
    <x v="1"/>
    <x v="4"/>
    <x v="77"/>
    <x v="9"/>
    <x v="18"/>
    <x v="31"/>
    <x v="483"/>
    <x v="5"/>
    <x v="37"/>
    <x v="146"/>
    <x v="118"/>
    <x v="541"/>
    <x v="298"/>
    <x v="0"/>
    <x v="0"/>
    <x v="0"/>
    <x v="0"/>
    <x v="0"/>
    <x v="0"/>
    <x v="0"/>
    <x v="346"/>
    <x v="310"/>
    <x v="35"/>
    <x v="0"/>
    <x v="0"/>
    <x v="357"/>
    <x v="0"/>
    <x v="0"/>
    <x v="541"/>
    <x v="9"/>
    <x v="87"/>
    <x v="97"/>
    <x v="283"/>
    <x v="2"/>
    <x v="143"/>
    <x v="234"/>
    <x v="342"/>
    <x v="541"/>
  </r>
  <r>
    <x v="16"/>
    <x v="1"/>
    <x v="3"/>
    <x v="67"/>
    <x v="9"/>
    <x v="18"/>
    <x v="6"/>
    <x v="134"/>
    <x v="5"/>
    <x v="14"/>
    <x v="121"/>
    <x v="194"/>
    <x v="113"/>
    <x v="52"/>
    <x v="0"/>
    <x v="90"/>
    <x v="0"/>
    <x v="0"/>
    <x v="87"/>
    <x v="0"/>
    <x v="0"/>
    <x v="113"/>
    <x v="7"/>
    <x v="38"/>
    <x v="3"/>
    <x v="43"/>
    <x v="5"/>
    <x v="467"/>
    <x v="253"/>
    <x v="6"/>
    <x v="0"/>
    <x v="27"/>
    <x v="107"/>
    <x v="161"/>
    <x v="5"/>
    <x v="330"/>
    <x v="202"/>
    <x v="350"/>
    <x v="173"/>
  </r>
  <r>
    <x v="16"/>
    <x v="4"/>
    <x v="1"/>
    <x v="64"/>
    <x v="9"/>
    <x v="11"/>
    <x v="55"/>
    <x v="23"/>
    <x v="3"/>
    <x v="14"/>
    <x v="13"/>
    <x v="14"/>
    <x v="5"/>
    <x v="5"/>
    <x v="0"/>
    <x v="0"/>
    <x v="2"/>
    <x v="0"/>
    <x v="3"/>
    <x v="0"/>
    <x v="3"/>
    <x v="5"/>
    <x v="4"/>
    <x v="3"/>
    <x v="0"/>
    <x v="0"/>
    <x v="357"/>
    <x v="400"/>
    <x v="0"/>
    <x v="71"/>
    <x v="21"/>
    <x v="5"/>
    <x v="1"/>
    <x v="4"/>
    <x v="7"/>
    <x v="505"/>
    <x v="33"/>
    <x v="4"/>
    <x v="774"/>
  </r>
  <r>
    <x v="16"/>
    <x v="4"/>
    <x v="1"/>
    <x v="46"/>
    <x v="9"/>
    <x v="11"/>
    <x v="59"/>
    <x v="6"/>
    <x v="3"/>
    <x v="14"/>
    <x v="13"/>
    <x v="14"/>
    <x v="11"/>
    <x v="11"/>
    <x v="0"/>
    <x v="0"/>
    <x v="6"/>
    <x v="0"/>
    <x v="11"/>
    <x v="0"/>
    <x v="3"/>
    <x v="12"/>
    <x v="69"/>
    <x v="22"/>
    <x v="0"/>
    <x v="0"/>
    <x v="357"/>
    <x v="432"/>
    <x v="0"/>
    <x v="36"/>
    <x v="15"/>
    <x v="12"/>
    <x v="16"/>
    <x v="24"/>
    <x v="7"/>
    <x v="490"/>
    <x v="120"/>
    <x v="26"/>
    <x v="775"/>
  </r>
  <r>
    <x v="16"/>
    <x v="4"/>
    <x v="1"/>
    <x v="66"/>
    <x v="9"/>
    <x v="11"/>
    <x v="68"/>
    <x v="16"/>
    <x v="3"/>
    <x v="14"/>
    <x v="13"/>
    <x v="14"/>
    <x v="51"/>
    <x v="48"/>
    <x v="0"/>
    <x v="0"/>
    <x v="3"/>
    <x v="0"/>
    <x v="13"/>
    <x v="0"/>
    <x v="3"/>
    <x v="33"/>
    <x v="501"/>
    <x v="4"/>
    <x v="0"/>
    <x v="0"/>
    <x v="357"/>
    <x v="288"/>
    <x v="0"/>
    <x v="203"/>
    <x v="0"/>
    <x v="27"/>
    <x v="107"/>
    <x v="141"/>
    <x v="7"/>
    <x v="476"/>
    <x v="228"/>
    <x v="451"/>
    <x v="776"/>
  </r>
  <r>
    <x v="16"/>
    <x v="4"/>
    <x v="1"/>
    <x v="45"/>
    <x v="9"/>
    <x v="11"/>
    <x v="77"/>
    <x v="3"/>
    <x v="3"/>
    <x v="14"/>
    <x v="13"/>
    <x v="14"/>
    <x v="14"/>
    <x v="15"/>
    <x v="0"/>
    <x v="0"/>
    <x v="6"/>
    <x v="0"/>
    <x v="11"/>
    <x v="0"/>
    <x v="3"/>
    <x v="16"/>
    <x v="100"/>
    <x v="24"/>
    <x v="0"/>
    <x v="0"/>
    <x v="357"/>
    <x v="416"/>
    <x v="0"/>
    <x v="54"/>
    <x v="13"/>
    <x v="14"/>
    <x v="24"/>
    <x v="31"/>
    <x v="7"/>
    <x v="495"/>
    <x v="85"/>
    <x v="36"/>
    <x v="777"/>
  </r>
  <r>
    <x v="16"/>
    <x v="4"/>
    <x v="8"/>
    <x v="59"/>
    <x v="9"/>
    <x v="18"/>
    <x v="44"/>
    <x v="486"/>
    <x v="6"/>
    <x v="22"/>
    <x v="146"/>
    <x v="166"/>
    <x v="559"/>
    <x v="316"/>
    <x v="0"/>
    <x v="0"/>
    <x v="0"/>
    <x v="0"/>
    <x v="21"/>
    <x v="0"/>
    <x v="1"/>
    <x v="242"/>
    <x v="413"/>
    <x v="25"/>
    <x v="0"/>
    <x v="0"/>
    <x v="357"/>
    <x v="87"/>
    <x v="0"/>
    <x v="437"/>
    <x v="0"/>
    <x v="50"/>
    <x v="107"/>
    <x v="407"/>
    <x v="3"/>
    <x v="131"/>
    <x v="397"/>
    <x v="640"/>
    <x v="542"/>
  </r>
  <r>
    <x v="16"/>
    <x v="4"/>
    <x v="8"/>
    <x v="78"/>
    <x v="9"/>
    <x v="18"/>
    <x v="30"/>
    <x v="492"/>
    <x v="6"/>
    <x v="22"/>
    <x v="148"/>
    <x v="170"/>
    <x v="569"/>
    <x v="326"/>
    <x v="0"/>
    <x v="0"/>
    <x v="0"/>
    <x v="0"/>
    <x v="14"/>
    <x v="0"/>
    <x v="0"/>
    <x v="389"/>
    <x v="469"/>
    <x v="36"/>
    <x v="0"/>
    <x v="0"/>
    <x v="357"/>
    <x v="62"/>
    <x v="0"/>
    <x v="466"/>
    <x v="0"/>
    <x v="50"/>
    <x v="107"/>
    <x v="425"/>
    <x v="3"/>
    <x v="2"/>
    <x v="490"/>
    <x v="720"/>
    <x v="544"/>
  </r>
  <r>
    <x v="16"/>
    <x v="4"/>
    <x v="9"/>
    <x v="23"/>
    <x v="9"/>
    <x v="16"/>
    <x v="40"/>
    <x v="387"/>
    <x v="6"/>
    <x v="37"/>
    <x v="178"/>
    <x v="188"/>
    <x v="629"/>
    <x v="392"/>
    <x v="0"/>
    <x v="0"/>
    <x v="0"/>
    <x v="0"/>
    <x v="0"/>
    <x v="0"/>
    <x v="1"/>
    <x v="388"/>
    <x v="407"/>
    <x v="14"/>
    <x v="0"/>
    <x v="0"/>
    <x v="357"/>
    <x v="0"/>
    <x v="0"/>
    <x v="541"/>
    <x v="0"/>
    <x v="92"/>
    <x v="107"/>
    <x v="424"/>
    <x v="1"/>
    <x v="75"/>
    <x v="51"/>
    <x v="234"/>
    <x v="543"/>
  </r>
  <r>
    <x v="16"/>
    <x v="2"/>
    <x v="0"/>
    <x v="34"/>
    <x v="5"/>
    <x v="1"/>
    <x v="78"/>
    <x v="129"/>
    <x v="2"/>
    <x v="37"/>
    <x v="55"/>
    <x v="4"/>
    <x v="107"/>
    <x v="77"/>
    <x v="52"/>
    <x v="74"/>
    <x v="0"/>
    <x v="0"/>
    <x v="77"/>
    <x v="2"/>
    <x v="0"/>
    <x v="136"/>
    <x v="172"/>
    <x v="44"/>
    <x v="12"/>
    <x v="305"/>
    <x v="15"/>
    <x v="463"/>
    <x v="242"/>
    <x v="8"/>
    <x v="38"/>
    <x v="51"/>
    <x v="26"/>
    <x v="16"/>
    <x v="6"/>
    <x v="396"/>
    <x v="126"/>
    <x v="42"/>
    <x v="174"/>
  </r>
  <r>
    <x v="16"/>
    <x v="2"/>
    <x v="0"/>
    <x v="0"/>
    <x v="4"/>
    <x v="0"/>
    <x v="9"/>
    <x v="128"/>
    <x v="2"/>
    <x v="37"/>
    <x v="83"/>
    <x v="21"/>
    <x v="180"/>
    <x v="127"/>
    <x v="39"/>
    <x v="82"/>
    <x v="0"/>
    <x v="0"/>
    <x v="81"/>
    <x v="4"/>
    <x v="0"/>
    <x v="178"/>
    <x v="255"/>
    <x v="38"/>
    <x v="5"/>
    <x v="312"/>
    <x v="21"/>
    <x v="450"/>
    <x v="244"/>
    <x v="25"/>
    <x v="0"/>
    <x v="92"/>
    <x v="107"/>
    <x v="54"/>
    <x v="6"/>
    <x v="408"/>
    <x v="53"/>
    <x v="216"/>
    <x v="177"/>
  </r>
  <r>
    <x v="16"/>
    <x v="2"/>
    <x v="7"/>
    <x v="76"/>
    <x v="9"/>
    <x v="9"/>
    <x v="33"/>
    <x v="502"/>
    <x v="2"/>
    <x v="37"/>
    <x v="147"/>
    <x v="120"/>
    <x v="536"/>
    <x v="291"/>
    <x v="0"/>
    <x v="0"/>
    <x v="0"/>
    <x v="0"/>
    <x v="0"/>
    <x v="0"/>
    <x v="0"/>
    <x v="337"/>
    <x v="257"/>
    <x v="34"/>
    <x v="0"/>
    <x v="0"/>
    <x v="357"/>
    <x v="0"/>
    <x v="0"/>
    <x v="541"/>
    <x v="9"/>
    <x v="87"/>
    <x v="97"/>
    <x v="270"/>
    <x v="2"/>
    <x v="163"/>
    <x v="200"/>
    <x v="311"/>
    <x v="175"/>
  </r>
  <r>
    <x v="16"/>
    <x v="2"/>
    <x v="4"/>
    <x v="77"/>
    <x v="9"/>
    <x v="7"/>
    <x v="31"/>
    <x v="496"/>
    <x v="2"/>
    <x v="37"/>
    <x v="147"/>
    <x v="120"/>
    <x v="500"/>
    <x v="257"/>
    <x v="0"/>
    <x v="0"/>
    <x v="0"/>
    <x v="0"/>
    <x v="0"/>
    <x v="0"/>
    <x v="0"/>
    <x v="301"/>
    <x v="140"/>
    <x v="35"/>
    <x v="0"/>
    <x v="0"/>
    <x v="357"/>
    <x v="0"/>
    <x v="0"/>
    <x v="541"/>
    <x v="9"/>
    <x v="87"/>
    <x v="97"/>
    <x v="234"/>
    <x v="2"/>
    <x v="217"/>
    <x v="57"/>
    <x v="192"/>
    <x v="176"/>
  </r>
  <r>
    <x v="16"/>
    <x v="3"/>
    <x v="0"/>
    <x v="0"/>
    <x v="4"/>
    <x v="0"/>
    <x v="9"/>
    <x v="133"/>
    <x v="7"/>
    <x v="37"/>
    <x v="83"/>
    <x v="21"/>
    <x v="220"/>
    <x v="148"/>
    <x v="0"/>
    <x v="45"/>
    <x v="0"/>
    <x v="0"/>
    <x v="64"/>
    <x v="0"/>
    <x v="0"/>
    <x v="205"/>
    <x v="448"/>
    <x v="38"/>
    <x v="5"/>
    <x v="328"/>
    <x v="116"/>
    <x v="392"/>
    <x v="161"/>
    <x v="88"/>
    <x v="5"/>
    <x v="90"/>
    <x v="105"/>
    <x v="76"/>
    <x v="6"/>
    <x v="373"/>
    <x v="324"/>
    <x v="480"/>
    <x v="545"/>
  </r>
  <r>
    <x v="16"/>
    <x v="3"/>
    <x v="3"/>
    <x v="67"/>
    <x v="9"/>
    <x v="3"/>
    <x v="6"/>
    <x v="135"/>
    <x v="1"/>
    <x v="37"/>
    <x v="121"/>
    <x v="62"/>
    <x v="314"/>
    <x v="191"/>
    <x v="4"/>
    <x v="61"/>
    <x v="0"/>
    <x v="0"/>
    <x v="28"/>
    <x v="2"/>
    <x v="0"/>
    <x v="244"/>
    <x v="245"/>
    <x v="38"/>
    <x v="3"/>
    <x v="195"/>
    <x v="145"/>
    <x v="173"/>
    <x v="170"/>
    <x v="347"/>
    <x v="17"/>
    <x v="76"/>
    <x v="73"/>
    <x v="132"/>
    <x v="5"/>
    <x v="292"/>
    <x v="315"/>
    <x v="289"/>
    <x v="546"/>
  </r>
  <r>
    <x v="17"/>
    <x v="1"/>
    <x v="7"/>
    <x v="76"/>
    <x v="9"/>
    <x v="18"/>
    <x v="33"/>
    <x v="508"/>
    <x v="5"/>
    <x v="37"/>
    <x v="146"/>
    <x v="118"/>
    <x v="548"/>
    <x v="306"/>
    <x v="0"/>
    <x v="0"/>
    <x v="0"/>
    <x v="0"/>
    <x v="0"/>
    <x v="0"/>
    <x v="0"/>
    <x v="359"/>
    <x v="353"/>
    <x v="34"/>
    <x v="0"/>
    <x v="0"/>
    <x v="357"/>
    <x v="0"/>
    <x v="0"/>
    <x v="541"/>
    <x v="9"/>
    <x v="87"/>
    <x v="97"/>
    <x v="295"/>
    <x v="2"/>
    <x v="122"/>
    <x v="274"/>
    <x v="390"/>
    <x v="547"/>
  </r>
  <r>
    <x v="17"/>
    <x v="1"/>
    <x v="4"/>
    <x v="77"/>
    <x v="9"/>
    <x v="18"/>
    <x v="31"/>
    <x v="494"/>
    <x v="5"/>
    <x v="37"/>
    <x v="146"/>
    <x v="118"/>
    <x v="536"/>
    <x v="291"/>
    <x v="0"/>
    <x v="0"/>
    <x v="0"/>
    <x v="0"/>
    <x v="0"/>
    <x v="0"/>
    <x v="0"/>
    <x v="337"/>
    <x v="267"/>
    <x v="35"/>
    <x v="0"/>
    <x v="0"/>
    <x v="357"/>
    <x v="0"/>
    <x v="0"/>
    <x v="541"/>
    <x v="9"/>
    <x v="87"/>
    <x v="97"/>
    <x v="270"/>
    <x v="2"/>
    <x v="163"/>
    <x v="200"/>
    <x v="311"/>
    <x v="548"/>
  </r>
  <r>
    <x v="17"/>
    <x v="1"/>
    <x v="3"/>
    <x v="67"/>
    <x v="9"/>
    <x v="3"/>
    <x v="6"/>
    <x v="139"/>
    <x v="5"/>
    <x v="33"/>
    <x v="121"/>
    <x v="90"/>
    <x v="318"/>
    <x v="191"/>
    <x v="0"/>
    <x v="66"/>
    <x v="0"/>
    <x v="0"/>
    <x v="40"/>
    <x v="2"/>
    <x v="0"/>
    <x v="244"/>
    <x v="245"/>
    <x v="38"/>
    <x v="3"/>
    <x v="196"/>
    <x v="123"/>
    <x v="232"/>
    <x v="196"/>
    <x v="283"/>
    <x v="0"/>
    <x v="82"/>
    <x v="107"/>
    <x v="173"/>
    <x v="5"/>
    <x v="312"/>
    <x v="253"/>
    <x v="494"/>
    <x v="178"/>
  </r>
  <r>
    <x v="17"/>
    <x v="4"/>
    <x v="8"/>
    <x v="78"/>
    <x v="9"/>
    <x v="18"/>
    <x v="30"/>
    <x v="495"/>
    <x v="6"/>
    <x v="38"/>
    <x v="174"/>
    <x v="161"/>
    <x v="600"/>
    <x v="359"/>
    <x v="0"/>
    <x v="0"/>
    <x v="0"/>
    <x v="0"/>
    <x v="97"/>
    <x v="0"/>
    <x v="1"/>
    <x v="315"/>
    <x v="176"/>
    <x v="36"/>
    <x v="0"/>
    <x v="0"/>
    <x v="357"/>
    <x v="266"/>
    <x v="0"/>
    <x v="236"/>
    <x v="11"/>
    <x v="90"/>
    <x v="91"/>
    <x v="361"/>
    <x v="3"/>
    <x v="214"/>
    <x v="212"/>
    <x v="283"/>
    <x v="550"/>
  </r>
  <r>
    <x v="17"/>
    <x v="4"/>
    <x v="9"/>
    <x v="22"/>
    <x v="9"/>
    <x v="18"/>
    <x v="46"/>
    <x v="422"/>
    <x v="6"/>
    <x v="38"/>
    <x v="178"/>
    <x v="182"/>
    <x v="627"/>
    <x v="390"/>
    <x v="0"/>
    <x v="0"/>
    <x v="0"/>
    <x v="0"/>
    <x v="2"/>
    <x v="0"/>
    <x v="0"/>
    <x v="413"/>
    <x v="388"/>
    <x v="29"/>
    <x v="0"/>
    <x v="0"/>
    <x v="357"/>
    <x v="1"/>
    <x v="0"/>
    <x v="540"/>
    <x v="0"/>
    <x v="93"/>
    <x v="107"/>
    <x v="417"/>
    <x v="1"/>
    <x v="4"/>
    <x v="457"/>
    <x v="701"/>
    <x v="551"/>
  </r>
  <r>
    <x v="17"/>
    <x v="4"/>
    <x v="1"/>
    <x v="52"/>
    <x v="9"/>
    <x v="11"/>
    <x v="75"/>
    <x v="130"/>
    <x v="3"/>
    <x v="14"/>
    <x v="8"/>
    <x v="4"/>
    <x v="10"/>
    <x v="10"/>
    <x v="0"/>
    <x v="0"/>
    <x v="2"/>
    <x v="0"/>
    <x v="8"/>
    <x v="0"/>
    <x v="4"/>
    <x v="10"/>
    <x v="241"/>
    <x v="21"/>
    <x v="0"/>
    <x v="0"/>
    <x v="357"/>
    <x v="390"/>
    <x v="0"/>
    <x v="91"/>
    <x v="18"/>
    <x v="9"/>
    <x v="9"/>
    <x v="19"/>
    <x v="7"/>
    <x v="488"/>
    <x v="128"/>
    <x v="13"/>
    <x v="778"/>
  </r>
  <r>
    <x v="17"/>
    <x v="4"/>
    <x v="1"/>
    <x v="51"/>
    <x v="9"/>
    <x v="11"/>
    <x v="62"/>
    <x v="126"/>
    <x v="3"/>
    <x v="22"/>
    <x v="55"/>
    <x v="31"/>
    <x v="105"/>
    <x v="87"/>
    <x v="0"/>
    <x v="0"/>
    <x v="10"/>
    <x v="0"/>
    <x v="15"/>
    <x v="0"/>
    <x v="4"/>
    <x v="45"/>
    <x v="296"/>
    <x v="20"/>
    <x v="0"/>
    <x v="0"/>
    <x v="357"/>
    <x v="215"/>
    <x v="0"/>
    <x v="295"/>
    <x v="11"/>
    <x v="41"/>
    <x v="63"/>
    <x v="85"/>
    <x v="7"/>
    <x v="502"/>
    <x v="38"/>
    <x v="103"/>
    <x v="779"/>
  </r>
  <r>
    <x v="17"/>
    <x v="4"/>
    <x v="1"/>
    <x v="48"/>
    <x v="9"/>
    <x v="11"/>
    <x v="57"/>
    <x v="126"/>
    <x v="3"/>
    <x v="14"/>
    <x v="20"/>
    <x v="31"/>
    <x v="25"/>
    <x v="26"/>
    <x v="0"/>
    <x v="0"/>
    <x v="5"/>
    <x v="0"/>
    <x v="10"/>
    <x v="0"/>
    <x v="4"/>
    <x v="20"/>
    <x v="119"/>
    <x v="20"/>
    <x v="0"/>
    <x v="0"/>
    <x v="357"/>
    <x v="352"/>
    <x v="0"/>
    <x v="132"/>
    <x v="11"/>
    <x v="16"/>
    <x v="31"/>
    <x v="56"/>
    <x v="7"/>
    <x v="493"/>
    <x v="89"/>
    <x v="57"/>
    <x v="780"/>
  </r>
  <r>
    <x v="17"/>
    <x v="2"/>
    <x v="4"/>
    <x v="77"/>
    <x v="9"/>
    <x v="7"/>
    <x v="31"/>
    <x v="505"/>
    <x v="2"/>
    <x v="37"/>
    <x v="147"/>
    <x v="120"/>
    <x v="512"/>
    <x v="267"/>
    <x v="0"/>
    <x v="0"/>
    <x v="0"/>
    <x v="0"/>
    <x v="0"/>
    <x v="0"/>
    <x v="0"/>
    <x v="312"/>
    <x v="168"/>
    <x v="35"/>
    <x v="0"/>
    <x v="0"/>
    <x v="357"/>
    <x v="0"/>
    <x v="0"/>
    <x v="541"/>
    <x v="9"/>
    <x v="87"/>
    <x v="97"/>
    <x v="242"/>
    <x v="2"/>
    <x v="207"/>
    <x v="98"/>
    <x v="218"/>
    <x v="781"/>
  </r>
  <r>
    <x v="17"/>
    <x v="2"/>
    <x v="7"/>
    <x v="76"/>
    <x v="9"/>
    <x v="9"/>
    <x v="33"/>
    <x v="512"/>
    <x v="2"/>
    <x v="27"/>
    <x v="131"/>
    <x v="127"/>
    <x v="332"/>
    <x v="202"/>
    <x v="0"/>
    <x v="0"/>
    <x v="0"/>
    <x v="0"/>
    <x v="0"/>
    <x v="0"/>
    <x v="0"/>
    <x v="256"/>
    <x v="139"/>
    <x v="34"/>
    <x v="0"/>
    <x v="0"/>
    <x v="357"/>
    <x v="0"/>
    <x v="0"/>
    <x v="541"/>
    <x v="12"/>
    <x v="54"/>
    <x v="72"/>
    <x v="238"/>
    <x v="2"/>
    <x v="173"/>
    <x v="172"/>
    <x v="206"/>
    <x v="552"/>
  </r>
  <r>
    <x v="17"/>
    <x v="2"/>
    <x v="5"/>
    <x v="12"/>
    <x v="7"/>
    <x v="6"/>
    <x v="23"/>
    <x v="516"/>
    <x v="2"/>
    <x v="37"/>
    <x v="129"/>
    <x v="93"/>
    <x v="503"/>
    <x v="252"/>
    <x v="46"/>
    <x v="83"/>
    <x v="0"/>
    <x v="0"/>
    <x v="91"/>
    <x v="2"/>
    <x v="0"/>
    <x v="293"/>
    <x v="443"/>
    <x v="43"/>
    <x v="1"/>
    <x v="259"/>
    <x v="44"/>
    <x v="382"/>
    <x v="222"/>
    <x v="103"/>
    <x v="0"/>
    <x v="92"/>
    <x v="107"/>
    <x v="225"/>
    <x v="4"/>
    <x v="245"/>
    <x v="361"/>
    <x v="602"/>
    <x v="189"/>
  </r>
  <r>
    <x v="17"/>
    <x v="2"/>
    <x v="6"/>
    <x v="16"/>
    <x v="9"/>
    <x v="10"/>
    <x v="24"/>
    <x v="517"/>
    <x v="2"/>
    <x v="25"/>
    <x v="147"/>
    <x v="149"/>
    <x v="383"/>
    <x v="227"/>
    <x v="0"/>
    <x v="0"/>
    <x v="0"/>
    <x v="0"/>
    <x v="0"/>
    <x v="0"/>
    <x v="0"/>
    <x v="276"/>
    <x v="83"/>
    <x v="7"/>
    <x v="0"/>
    <x v="0"/>
    <x v="357"/>
    <x v="0"/>
    <x v="0"/>
    <x v="541"/>
    <x v="9"/>
    <x v="52"/>
    <x v="82"/>
    <x v="313"/>
    <x v="0"/>
    <x v="72"/>
    <x v="31"/>
    <x v="117"/>
    <x v="191"/>
  </r>
  <r>
    <x v="17"/>
    <x v="2"/>
    <x v="7"/>
    <x v="20"/>
    <x v="9"/>
    <x v="9"/>
    <x v="25"/>
    <x v="518"/>
    <x v="2"/>
    <x v="16"/>
    <x v="68"/>
    <x v="111"/>
    <x v="125"/>
    <x v="105"/>
    <x v="0"/>
    <x v="0"/>
    <x v="0"/>
    <x v="0"/>
    <x v="0"/>
    <x v="0"/>
    <x v="0"/>
    <x v="157"/>
    <x v="261"/>
    <x v="11"/>
    <x v="0"/>
    <x v="0"/>
    <x v="357"/>
    <x v="0"/>
    <x v="0"/>
    <x v="541"/>
    <x v="5"/>
    <x v="28"/>
    <x v="82"/>
    <x v="246"/>
    <x v="2"/>
    <x v="176"/>
    <x v="168"/>
    <x v="232"/>
    <x v="193"/>
  </r>
  <r>
    <x v="17"/>
    <x v="2"/>
    <x v="0"/>
    <x v="0"/>
    <x v="4"/>
    <x v="0"/>
    <x v="9"/>
    <x v="136"/>
    <x v="2"/>
    <x v="39"/>
    <x v="83"/>
    <x v="10"/>
    <x v="368"/>
    <x v="210"/>
    <x v="48"/>
    <x v="73"/>
    <x v="0"/>
    <x v="0"/>
    <x v="86"/>
    <x v="2"/>
    <x v="0"/>
    <x v="263"/>
    <x v="502"/>
    <x v="38"/>
    <x v="5"/>
    <x v="378"/>
    <x v="62"/>
    <x v="389"/>
    <x v="199"/>
    <x v="93"/>
    <x v="0"/>
    <x v="94"/>
    <x v="107"/>
    <x v="99"/>
    <x v="6"/>
    <x v="360"/>
    <x v="387"/>
    <x v="628"/>
    <x v="190"/>
  </r>
  <r>
    <x v="17"/>
    <x v="2"/>
    <x v="3"/>
    <x v="67"/>
    <x v="9"/>
    <x v="3"/>
    <x v="6"/>
    <x v="140"/>
    <x v="2"/>
    <x v="37"/>
    <x v="121"/>
    <x v="62"/>
    <x v="274"/>
    <x v="167"/>
    <x v="0"/>
    <x v="72"/>
    <x v="0"/>
    <x v="0"/>
    <x v="86"/>
    <x v="0"/>
    <x v="0"/>
    <x v="224"/>
    <x v="125"/>
    <x v="38"/>
    <x v="3"/>
    <x v="146"/>
    <x v="68"/>
    <x v="428"/>
    <x v="213"/>
    <x v="45"/>
    <x v="24"/>
    <x v="69"/>
    <x v="57"/>
    <x v="98"/>
    <x v="5"/>
    <x v="316"/>
    <x v="246"/>
    <x v="160"/>
    <x v="192"/>
  </r>
  <r>
    <x v="17"/>
    <x v="3"/>
    <x v="0"/>
    <x v="0"/>
    <x v="4"/>
    <x v="0"/>
    <x v="9"/>
    <x v="137"/>
    <x v="1"/>
    <x v="37"/>
    <x v="83"/>
    <x v="21"/>
    <x v="256"/>
    <x v="154"/>
    <x v="0"/>
    <x v="41"/>
    <x v="0"/>
    <x v="0"/>
    <x v="78"/>
    <x v="2"/>
    <x v="0"/>
    <x v="212"/>
    <x v="464"/>
    <x v="38"/>
    <x v="5"/>
    <x v="344"/>
    <x v="102"/>
    <x v="423"/>
    <x v="147"/>
    <x v="51"/>
    <x v="0"/>
    <x v="92"/>
    <x v="107"/>
    <x v="86"/>
    <x v="6"/>
    <x v="367"/>
    <x v="337"/>
    <x v="569"/>
    <x v="194"/>
  </r>
  <r>
    <x v="17"/>
    <x v="3"/>
    <x v="5"/>
    <x v="12"/>
    <x v="7"/>
    <x v="6"/>
    <x v="23"/>
    <x v="521"/>
    <x v="1"/>
    <x v="37"/>
    <x v="129"/>
    <x v="93"/>
    <x v="386"/>
    <x v="223"/>
    <x v="0"/>
    <x v="40"/>
    <x v="0"/>
    <x v="0"/>
    <x v="69"/>
    <x v="0"/>
    <x v="0"/>
    <x v="272"/>
    <x v="311"/>
    <x v="43"/>
    <x v="1"/>
    <x v="170"/>
    <x v="175"/>
    <x v="329"/>
    <x v="110"/>
    <x v="161"/>
    <x v="0"/>
    <x v="92"/>
    <x v="107"/>
    <x v="194"/>
    <x v="4"/>
    <x v="285"/>
    <x v="164"/>
    <x v="372"/>
    <x v="553"/>
  </r>
  <r>
    <x v="17"/>
    <x v="3"/>
    <x v="3"/>
    <x v="67"/>
    <x v="9"/>
    <x v="3"/>
    <x v="6"/>
    <x v="141"/>
    <x v="1"/>
    <x v="37"/>
    <x v="121"/>
    <x v="62"/>
    <x v="469"/>
    <x v="246"/>
    <x v="0"/>
    <x v="0"/>
    <x v="0"/>
    <x v="0"/>
    <x v="2"/>
    <x v="2"/>
    <x v="0"/>
    <x v="288"/>
    <x v="480"/>
    <x v="38"/>
    <x v="3"/>
    <x v="283"/>
    <x v="339"/>
    <x v="10"/>
    <x v="0"/>
    <x v="530"/>
    <x v="0"/>
    <x v="92"/>
    <x v="107"/>
    <x v="220"/>
    <x v="5"/>
    <x v="252"/>
    <x v="424"/>
    <x v="674"/>
    <x v="554"/>
  </r>
  <r>
    <x v="18"/>
    <x v="1"/>
    <x v="5"/>
    <x v="12"/>
    <x v="7"/>
    <x v="6"/>
    <x v="23"/>
    <x v="526"/>
    <x v="5"/>
    <x v="37"/>
    <x v="129"/>
    <x v="93"/>
    <x v="253"/>
    <x v="145"/>
    <x v="61"/>
    <x v="85"/>
    <x v="0"/>
    <x v="0"/>
    <x v="69"/>
    <x v="2"/>
    <x v="0"/>
    <x v="201"/>
    <x v="55"/>
    <x v="43"/>
    <x v="1"/>
    <x v="159"/>
    <x v="6"/>
    <x v="412"/>
    <x v="245"/>
    <x v="80"/>
    <x v="26"/>
    <x v="67"/>
    <x v="53"/>
    <x v="72"/>
    <x v="4"/>
    <x v="346"/>
    <x v="35"/>
    <x v="81"/>
    <x v="198"/>
  </r>
  <r>
    <x v="18"/>
    <x v="1"/>
    <x v="3"/>
    <x v="67"/>
    <x v="9"/>
    <x v="3"/>
    <x v="6"/>
    <x v="144"/>
    <x v="5"/>
    <x v="37"/>
    <x v="121"/>
    <x v="62"/>
    <x v="388"/>
    <x v="227"/>
    <x v="11"/>
    <x v="0"/>
    <x v="0"/>
    <x v="0"/>
    <x v="12"/>
    <x v="2"/>
    <x v="0"/>
    <x v="276"/>
    <x v="453"/>
    <x v="38"/>
    <x v="3"/>
    <x v="263"/>
    <x v="281"/>
    <x v="82"/>
    <x v="0"/>
    <x v="445"/>
    <x v="0"/>
    <x v="92"/>
    <x v="107"/>
    <x v="203"/>
    <x v="5"/>
    <x v="276"/>
    <x v="365"/>
    <x v="616"/>
    <x v="195"/>
  </r>
  <r>
    <x v="18"/>
    <x v="1"/>
    <x v="4"/>
    <x v="77"/>
    <x v="9"/>
    <x v="7"/>
    <x v="31"/>
    <x v="506"/>
    <x v="5"/>
    <x v="24"/>
    <x v="118"/>
    <x v="123"/>
    <x v="297"/>
    <x v="191"/>
    <x v="0"/>
    <x v="0"/>
    <x v="0"/>
    <x v="0"/>
    <x v="0"/>
    <x v="0"/>
    <x v="0"/>
    <x v="244"/>
    <x v="288"/>
    <x v="35"/>
    <x v="0"/>
    <x v="0"/>
    <x v="357"/>
    <x v="0"/>
    <x v="0"/>
    <x v="541"/>
    <x v="7"/>
    <x v="50"/>
    <x v="87"/>
    <x v="284"/>
    <x v="2"/>
    <x v="119"/>
    <x v="282"/>
    <x v="343"/>
    <x v="196"/>
  </r>
  <r>
    <x v="18"/>
    <x v="1"/>
    <x v="4"/>
    <x v="57"/>
    <x v="9"/>
    <x v="7"/>
    <x v="27"/>
    <x v="515"/>
    <x v="5"/>
    <x v="19"/>
    <x v="94"/>
    <x v="131"/>
    <x v="192"/>
    <x v="143"/>
    <x v="0"/>
    <x v="0"/>
    <x v="0"/>
    <x v="0"/>
    <x v="18"/>
    <x v="0"/>
    <x v="0"/>
    <x v="199"/>
    <x v="279"/>
    <x v="15"/>
    <x v="0"/>
    <x v="0"/>
    <x v="357"/>
    <x v="157"/>
    <x v="0"/>
    <x v="363"/>
    <x v="0"/>
    <x v="39"/>
    <x v="107"/>
    <x v="311"/>
    <x v="2"/>
    <x v="126"/>
    <x v="271"/>
    <x v="539"/>
    <x v="197"/>
  </r>
  <r>
    <x v="18"/>
    <x v="1"/>
    <x v="6"/>
    <x v="16"/>
    <x v="9"/>
    <x v="10"/>
    <x v="24"/>
    <x v="519"/>
    <x v="5"/>
    <x v="25"/>
    <x v="147"/>
    <x v="149"/>
    <x v="483"/>
    <x v="249"/>
    <x v="0"/>
    <x v="0"/>
    <x v="0"/>
    <x v="0"/>
    <x v="0"/>
    <x v="0"/>
    <x v="0"/>
    <x v="290"/>
    <x v="114"/>
    <x v="7"/>
    <x v="0"/>
    <x v="0"/>
    <x v="357"/>
    <x v="0"/>
    <x v="0"/>
    <x v="541"/>
    <x v="9"/>
    <x v="52"/>
    <x v="82"/>
    <x v="321"/>
    <x v="0"/>
    <x v="58"/>
    <x v="86"/>
    <x v="177"/>
    <x v="555"/>
  </r>
  <r>
    <x v="18"/>
    <x v="1"/>
    <x v="7"/>
    <x v="20"/>
    <x v="9"/>
    <x v="9"/>
    <x v="25"/>
    <x v="520"/>
    <x v="5"/>
    <x v="37"/>
    <x v="146"/>
    <x v="118"/>
    <x v="500"/>
    <x v="257"/>
    <x v="0"/>
    <x v="0"/>
    <x v="0"/>
    <x v="0"/>
    <x v="0"/>
    <x v="0"/>
    <x v="0"/>
    <x v="301"/>
    <x v="141"/>
    <x v="11"/>
    <x v="0"/>
    <x v="0"/>
    <x v="357"/>
    <x v="0"/>
    <x v="0"/>
    <x v="541"/>
    <x v="9"/>
    <x v="87"/>
    <x v="97"/>
    <x v="234"/>
    <x v="2"/>
    <x v="217"/>
    <x v="57"/>
    <x v="192"/>
    <x v="556"/>
  </r>
  <r>
    <x v="18"/>
    <x v="4"/>
    <x v="8"/>
    <x v="78"/>
    <x v="9"/>
    <x v="18"/>
    <x v="30"/>
    <x v="505"/>
    <x v="6"/>
    <x v="27"/>
    <x v="158"/>
    <x v="175"/>
    <x v="561"/>
    <x v="317"/>
    <x v="0"/>
    <x v="0"/>
    <x v="0"/>
    <x v="0"/>
    <x v="77"/>
    <x v="0"/>
    <x v="1"/>
    <x v="243"/>
    <x v="112"/>
    <x v="36"/>
    <x v="0"/>
    <x v="0"/>
    <x v="357"/>
    <x v="233"/>
    <x v="0"/>
    <x v="275"/>
    <x v="7"/>
    <x v="57"/>
    <x v="94"/>
    <x v="355"/>
    <x v="3"/>
    <x v="227"/>
    <x v="156"/>
    <x v="248"/>
    <x v="558"/>
  </r>
  <r>
    <x v="18"/>
    <x v="4"/>
    <x v="8"/>
    <x v="61"/>
    <x v="9"/>
    <x v="18"/>
    <x v="26"/>
    <x v="515"/>
    <x v="6"/>
    <x v="19"/>
    <x v="118"/>
    <x v="145"/>
    <x v="296"/>
    <x v="187"/>
    <x v="0"/>
    <x v="0"/>
    <x v="0"/>
    <x v="0"/>
    <x v="40"/>
    <x v="0"/>
    <x v="1"/>
    <x v="155"/>
    <x v="266"/>
    <x v="27"/>
    <x v="0"/>
    <x v="0"/>
    <x v="357"/>
    <x v="235"/>
    <x v="0"/>
    <x v="272"/>
    <x v="5"/>
    <x v="34"/>
    <x v="87"/>
    <x v="340"/>
    <x v="3"/>
    <x v="236"/>
    <x v="82"/>
    <x v="186"/>
    <x v="200"/>
  </r>
  <r>
    <x v="18"/>
    <x v="4"/>
    <x v="9"/>
    <x v="23"/>
    <x v="9"/>
    <x v="16"/>
    <x v="40"/>
    <x v="396"/>
    <x v="6"/>
    <x v="38"/>
    <x v="178"/>
    <x v="182"/>
    <x v="628"/>
    <x v="391"/>
    <x v="0"/>
    <x v="0"/>
    <x v="0"/>
    <x v="0"/>
    <x v="10"/>
    <x v="0"/>
    <x v="1"/>
    <x v="385"/>
    <x v="400"/>
    <x v="14"/>
    <x v="0"/>
    <x v="0"/>
    <x v="357"/>
    <x v="18"/>
    <x v="0"/>
    <x v="519"/>
    <x v="11"/>
    <x v="90"/>
    <x v="91"/>
    <x v="420"/>
    <x v="1"/>
    <x v="70"/>
    <x v="73"/>
    <x v="195"/>
    <x v="559"/>
  </r>
  <r>
    <x v="18"/>
    <x v="4"/>
    <x v="1"/>
    <x v="5"/>
    <x v="9"/>
    <x v="11"/>
    <x v="10"/>
    <x v="131"/>
    <x v="3"/>
    <x v="38"/>
    <x v="133"/>
    <x v="91"/>
    <x v="523"/>
    <x v="276"/>
    <x v="0"/>
    <x v="0"/>
    <x v="0"/>
    <x v="0"/>
    <x v="48"/>
    <x v="0"/>
    <x v="4"/>
    <x v="111"/>
    <x v="465"/>
    <x v="0"/>
    <x v="0"/>
    <x v="0"/>
    <x v="357"/>
    <x v="187"/>
    <x v="0"/>
    <x v="331"/>
    <x v="11"/>
    <x v="90"/>
    <x v="91"/>
    <x v="237"/>
    <x v="7"/>
    <x v="424"/>
    <x v="446"/>
    <x v="665"/>
    <x v="557"/>
  </r>
  <r>
    <x v="18"/>
    <x v="2"/>
    <x v="7"/>
    <x v="20"/>
    <x v="9"/>
    <x v="9"/>
    <x v="25"/>
    <x v="522"/>
    <x v="2"/>
    <x v="6"/>
    <x v="23"/>
    <x v="131"/>
    <x v="43"/>
    <x v="46"/>
    <x v="0"/>
    <x v="0"/>
    <x v="0"/>
    <x v="0"/>
    <x v="0"/>
    <x v="0"/>
    <x v="0"/>
    <x v="104"/>
    <x v="288"/>
    <x v="11"/>
    <x v="0"/>
    <x v="0"/>
    <x v="357"/>
    <x v="0"/>
    <x v="0"/>
    <x v="541"/>
    <x v="0"/>
    <x v="14"/>
    <x v="107"/>
    <x v="313"/>
    <x v="2"/>
    <x v="119"/>
    <x v="282"/>
    <x v="556"/>
    <x v="199"/>
  </r>
  <r>
    <x v="18"/>
    <x v="2"/>
    <x v="4"/>
    <x v="57"/>
    <x v="9"/>
    <x v="7"/>
    <x v="27"/>
    <x v="515"/>
    <x v="2"/>
    <x v="31"/>
    <x v="147"/>
    <x v="136"/>
    <x v="500"/>
    <x v="257"/>
    <x v="0"/>
    <x v="0"/>
    <x v="0"/>
    <x v="0"/>
    <x v="0"/>
    <x v="0"/>
    <x v="0"/>
    <x v="301"/>
    <x v="140"/>
    <x v="15"/>
    <x v="0"/>
    <x v="0"/>
    <x v="357"/>
    <x v="0"/>
    <x v="0"/>
    <x v="541"/>
    <x v="11"/>
    <x v="65"/>
    <x v="83"/>
    <x v="300"/>
    <x v="2"/>
    <x v="90"/>
    <x v="350"/>
    <x v="408"/>
    <x v="560"/>
  </r>
  <r>
    <x v="18"/>
    <x v="2"/>
    <x v="5"/>
    <x v="12"/>
    <x v="7"/>
    <x v="6"/>
    <x v="23"/>
    <x v="528"/>
    <x v="2"/>
    <x v="37"/>
    <x v="129"/>
    <x v="93"/>
    <x v="399"/>
    <x v="227"/>
    <x v="0"/>
    <x v="29"/>
    <x v="0"/>
    <x v="0"/>
    <x v="49"/>
    <x v="0"/>
    <x v="0"/>
    <x v="276"/>
    <x v="344"/>
    <x v="43"/>
    <x v="1"/>
    <x v="177"/>
    <x v="225"/>
    <x v="232"/>
    <x v="73"/>
    <x v="279"/>
    <x v="0"/>
    <x v="92"/>
    <x v="107"/>
    <x v="203"/>
    <x v="4"/>
    <x v="276"/>
    <x v="199"/>
    <x v="429"/>
    <x v="561"/>
  </r>
  <r>
    <x v="18"/>
    <x v="2"/>
    <x v="6"/>
    <x v="16"/>
    <x v="9"/>
    <x v="10"/>
    <x v="24"/>
    <x v="527"/>
    <x v="2"/>
    <x v="29"/>
    <x v="147"/>
    <x v="139"/>
    <x v="538"/>
    <x v="295"/>
    <x v="0"/>
    <x v="0"/>
    <x v="0"/>
    <x v="0"/>
    <x v="0"/>
    <x v="0"/>
    <x v="0"/>
    <x v="343"/>
    <x v="282"/>
    <x v="7"/>
    <x v="0"/>
    <x v="0"/>
    <x v="357"/>
    <x v="0"/>
    <x v="0"/>
    <x v="541"/>
    <x v="7"/>
    <x v="63"/>
    <x v="97"/>
    <x v="326"/>
    <x v="0"/>
    <x v="62"/>
    <x v="75"/>
    <x v="201"/>
    <x v="562"/>
  </r>
  <r>
    <x v="18"/>
    <x v="2"/>
    <x v="0"/>
    <x v="0"/>
    <x v="4"/>
    <x v="0"/>
    <x v="9"/>
    <x v="142"/>
    <x v="2"/>
    <x v="37"/>
    <x v="83"/>
    <x v="21"/>
    <x v="236"/>
    <x v="148"/>
    <x v="0"/>
    <x v="62"/>
    <x v="0"/>
    <x v="0"/>
    <x v="83"/>
    <x v="6"/>
    <x v="0"/>
    <x v="205"/>
    <x v="448"/>
    <x v="38"/>
    <x v="5"/>
    <x v="332"/>
    <x v="60"/>
    <x v="435"/>
    <x v="205"/>
    <x v="37"/>
    <x v="0"/>
    <x v="92"/>
    <x v="107"/>
    <x v="76"/>
    <x v="6"/>
    <x v="383"/>
    <x v="260"/>
    <x v="464"/>
    <x v="202"/>
  </r>
  <r>
    <x v="18"/>
    <x v="2"/>
    <x v="3"/>
    <x v="67"/>
    <x v="9"/>
    <x v="3"/>
    <x v="6"/>
    <x v="145"/>
    <x v="2"/>
    <x v="37"/>
    <x v="121"/>
    <x v="62"/>
    <x v="474"/>
    <x v="246"/>
    <x v="0"/>
    <x v="0"/>
    <x v="0"/>
    <x v="0"/>
    <x v="20"/>
    <x v="0"/>
    <x v="0"/>
    <x v="288"/>
    <x v="480"/>
    <x v="38"/>
    <x v="3"/>
    <x v="288"/>
    <x v="309"/>
    <x v="111"/>
    <x v="0"/>
    <x v="412"/>
    <x v="0"/>
    <x v="92"/>
    <x v="107"/>
    <x v="220"/>
    <x v="5"/>
    <x v="252"/>
    <x v="424"/>
    <x v="667"/>
    <x v="201"/>
  </r>
  <r>
    <x v="18"/>
    <x v="3"/>
    <x v="0"/>
    <x v="0"/>
    <x v="4"/>
    <x v="0"/>
    <x v="9"/>
    <x v="143"/>
    <x v="1"/>
    <x v="37"/>
    <x v="83"/>
    <x v="21"/>
    <x v="257"/>
    <x v="152"/>
    <x v="0"/>
    <x v="61"/>
    <x v="0"/>
    <x v="0"/>
    <x v="69"/>
    <x v="5"/>
    <x v="0"/>
    <x v="210"/>
    <x v="460"/>
    <x v="38"/>
    <x v="5"/>
    <x v="345"/>
    <x v="74"/>
    <x v="397"/>
    <x v="194"/>
    <x v="82"/>
    <x v="0"/>
    <x v="92"/>
    <x v="107"/>
    <x v="84"/>
    <x v="6"/>
    <x v="370"/>
    <x v="330"/>
    <x v="567"/>
    <x v="205"/>
  </r>
  <r>
    <x v="18"/>
    <x v="3"/>
    <x v="5"/>
    <x v="12"/>
    <x v="7"/>
    <x v="6"/>
    <x v="23"/>
    <x v="530"/>
    <x v="1"/>
    <x v="37"/>
    <x v="129"/>
    <x v="93"/>
    <x v="455"/>
    <x v="242"/>
    <x v="0"/>
    <x v="32"/>
    <x v="0"/>
    <x v="0"/>
    <x v="59"/>
    <x v="2"/>
    <x v="0"/>
    <x v="284"/>
    <x v="393"/>
    <x v="43"/>
    <x v="1"/>
    <x v="223"/>
    <x v="200"/>
    <x v="256"/>
    <x v="75"/>
    <x v="246"/>
    <x v="0"/>
    <x v="92"/>
    <x v="107"/>
    <x v="214"/>
    <x v="4"/>
    <x v="264"/>
    <x v="270"/>
    <x v="523"/>
    <x v="563"/>
  </r>
  <r>
    <x v="18"/>
    <x v="3"/>
    <x v="3"/>
    <x v="67"/>
    <x v="9"/>
    <x v="3"/>
    <x v="6"/>
    <x v="146"/>
    <x v="1"/>
    <x v="37"/>
    <x v="121"/>
    <x v="62"/>
    <x v="387"/>
    <x v="227"/>
    <x v="0"/>
    <x v="0"/>
    <x v="0"/>
    <x v="0"/>
    <x v="4"/>
    <x v="2"/>
    <x v="0"/>
    <x v="276"/>
    <x v="453"/>
    <x v="38"/>
    <x v="3"/>
    <x v="260"/>
    <x v="330"/>
    <x v="27"/>
    <x v="0"/>
    <x v="510"/>
    <x v="0"/>
    <x v="92"/>
    <x v="107"/>
    <x v="203"/>
    <x v="5"/>
    <x v="276"/>
    <x v="365"/>
    <x v="619"/>
    <x v="564"/>
  </r>
  <r>
    <x v="19"/>
    <x v="1"/>
    <x v="6"/>
    <x v="16"/>
    <x v="9"/>
    <x v="10"/>
    <x v="24"/>
    <x v="531"/>
    <x v="5"/>
    <x v="37"/>
    <x v="147"/>
    <x v="120"/>
    <x v="578"/>
    <x v="337"/>
    <x v="0"/>
    <x v="0"/>
    <x v="0"/>
    <x v="0"/>
    <x v="0"/>
    <x v="0"/>
    <x v="0"/>
    <x v="398"/>
    <x v="492"/>
    <x v="7"/>
    <x v="0"/>
    <x v="0"/>
    <x v="357"/>
    <x v="0"/>
    <x v="0"/>
    <x v="541"/>
    <x v="9"/>
    <x v="87"/>
    <x v="97"/>
    <x v="338"/>
    <x v="0"/>
    <x v="42"/>
    <x v="167"/>
    <x v="281"/>
    <x v="565"/>
  </r>
  <r>
    <x v="19"/>
    <x v="1"/>
    <x v="5"/>
    <x v="12"/>
    <x v="9"/>
    <x v="6"/>
    <x v="23"/>
    <x v="536"/>
    <x v="5"/>
    <x v="37"/>
    <x v="129"/>
    <x v="93"/>
    <x v="343"/>
    <x v="197"/>
    <x v="0"/>
    <x v="71"/>
    <x v="0"/>
    <x v="0"/>
    <x v="50"/>
    <x v="2"/>
    <x v="0"/>
    <x v="251"/>
    <x v="147"/>
    <x v="43"/>
    <x v="1"/>
    <x v="127"/>
    <x v="111"/>
    <x v="279"/>
    <x v="200"/>
    <x v="228"/>
    <x v="13"/>
    <x v="82"/>
    <x v="84"/>
    <x v="143"/>
    <x v="4"/>
    <x v="291"/>
    <x v="131"/>
    <x v="205"/>
    <x v="203"/>
  </r>
  <r>
    <x v="19"/>
    <x v="1"/>
    <x v="3"/>
    <x v="67"/>
    <x v="9"/>
    <x v="3"/>
    <x v="6"/>
    <x v="151"/>
    <x v="5"/>
    <x v="37"/>
    <x v="121"/>
    <x v="62"/>
    <x v="477"/>
    <x v="246"/>
    <x v="0"/>
    <x v="0"/>
    <x v="0"/>
    <x v="0"/>
    <x v="18"/>
    <x v="2"/>
    <x v="0"/>
    <x v="288"/>
    <x v="480"/>
    <x v="38"/>
    <x v="3"/>
    <x v="290"/>
    <x v="296"/>
    <x v="103"/>
    <x v="0"/>
    <x v="421"/>
    <x v="0"/>
    <x v="92"/>
    <x v="107"/>
    <x v="220"/>
    <x v="5"/>
    <x v="252"/>
    <x v="424"/>
    <x v="668"/>
    <x v="204"/>
  </r>
  <r>
    <x v="19"/>
    <x v="1"/>
    <x v="7"/>
    <x v="20"/>
    <x v="9"/>
    <x v="6"/>
    <x v="25"/>
    <x v="529"/>
    <x v="5"/>
    <x v="37"/>
    <x v="147"/>
    <x v="120"/>
    <x v="524"/>
    <x v="279"/>
    <x v="0"/>
    <x v="0"/>
    <x v="0"/>
    <x v="0"/>
    <x v="0"/>
    <x v="0"/>
    <x v="0"/>
    <x v="324"/>
    <x v="210"/>
    <x v="11"/>
    <x v="0"/>
    <x v="0"/>
    <x v="357"/>
    <x v="0"/>
    <x v="0"/>
    <x v="541"/>
    <x v="9"/>
    <x v="87"/>
    <x v="97"/>
    <x v="252"/>
    <x v="2"/>
    <x v="191"/>
    <x v="137"/>
    <x v="251"/>
    <x v="566"/>
  </r>
  <r>
    <x v="19"/>
    <x v="1"/>
    <x v="4"/>
    <x v="77"/>
    <x v="9"/>
    <x v="7"/>
    <x v="31"/>
    <x v="506"/>
    <x v="5"/>
    <x v="15"/>
    <x v="76"/>
    <x v="130"/>
    <x v="138"/>
    <x v="114"/>
    <x v="0"/>
    <x v="0"/>
    <x v="0"/>
    <x v="0"/>
    <x v="0"/>
    <x v="0"/>
    <x v="0"/>
    <x v="166"/>
    <x v="288"/>
    <x v="35"/>
    <x v="0"/>
    <x v="0"/>
    <x v="357"/>
    <x v="0"/>
    <x v="0"/>
    <x v="541"/>
    <x v="0"/>
    <x v="30"/>
    <x v="107"/>
    <x v="307"/>
    <x v="2"/>
    <x v="135"/>
    <x v="251"/>
    <x v="507"/>
    <x v="567"/>
  </r>
  <r>
    <x v="19"/>
    <x v="1"/>
    <x v="4"/>
    <x v="57"/>
    <x v="9"/>
    <x v="7"/>
    <x v="27"/>
    <x v="515"/>
    <x v="5"/>
    <x v="25"/>
    <x v="127"/>
    <x v="129"/>
    <x v="272"/>
    <x v="172"/>
    <x v="0"/>
    <x v="0"/>
    <x v="0"/>
    <x v="0"/>
    <x v="0"/>
    <x v="0"/>
    <x v="0"/>
    <x v="228"/>
    <x v="97"/>
    <x v="15"/>
    <x v="0"/>
    <x v="0"/>
    <x v="357"/>
    <x v="0"/>
    <x v="0"/>
    <x v="541"/>
    <x v="7"/>
    <x v="53"/>
    <x v="90"/>
    <x v="227"/>
    <x v="2"/>
    <x v="228"/>
    <x v="44"/>
    <x v="165"/>
    <x v="568"/>
  </r>
  <r>
    <x v="19"/>
    <x v="4"/>
    <x v="1"/>
    <x v="5"/>
    <x v="9"/>
    <x v="11"/>
    <x v="10"/>
    <x v="2"/>
    <x v="3"/>
    <x v="38"/>
    <x v="133"/>
    <x v="91"/>
    <x v="514"/>
    <x v="267"/>
    <x v="0"/>
    <x v="0"/>
    <x v="0"/>
    <x v="0"/>
    <x v="46"/>
    <x v="0"/>
    <x v="4"/>
    <x v="108"/>
    <x v="457"/>
    <x v="0"/>
    <x v="0"/>
    <x v="0"/>
    <x v="357"/>
    <x v="185"/>
    <x v="0"/>
    <x v="332"/>
    <x v="11"/>
    <x v="90"/>
    <x v="91"/>
    <x v="231"/>
    <x v="7"/>
    <x v="430"/>
    <x v="439"/>
    <x v="652"/>
    <x v="576"/>
  </r>
  <r>
    <x v="19"/>
    <x v="4"/>
    <x v="8"/>
    <x v="61"/>
    <x v="9"/>
    <x v="18"/>
    <x v="26"/>
    <x v="515"/>
    <x v="6"/>
    <x v="31"/>
    <x v="165"/>
    <x v="177"/>
    <x v="588"/>
    <x v="344"/>
    <x v="0"/>
    <x v="0"/>
    <x v="0"/>
    <x v="0"/>
    <x v="105"/>
    <x v="0"/>
    <x v="1"/>
    <x v="292"/>
    <x v="223"/>
    <x v="27"/>
    <x v="0"/>
    <x v="0"/>
    <x v="357"/>
    <x v="396"/>
    <x v="0"/>
    <x v="76"/>
    <x v="11"/>
    <x v="65"/>
    <x v="83"/>
    <x v="383"/>
    <x v="3"/>
    <x v="117"/>
    <x v="407"/>
    <x v="506"/>
    <x v="571"/>
  </r>
  <r>
    <x v="19"/>
    <x v="4"/>
    <x v="8"/>
    <x v="78"/>
    <x v="9"/>
    <x v="18"/>
    <x v="30"/>
    <x v="506"/>
    <x v="6"/>
    <x v="14"/>
    <x v="71"/>
    <x v="134"/>
    <x v="156"/>
    <x v="120"/>
    <x v="0"/>
    <x v="0"/>
    <x v="0"/>
    <x v="0"/>
    <x v="91"/>
    <x v="0"/>
    <x v="1"/>
    <x v="120"/>
    <x v="425"/>
    <x v="36"/>
    <x v="0"/>
    <x v="0"/>
    <x v="357"/>
    <x v="459"/>
    <x v="0"/>
    <x v="10"/>
    <x v="7"/>
    <x v="20"/>
    <x v="57"/>
    <x v="328"/>
    <x v="3"/>
    <x v="229"/>
    <x v="148"/>
    <x v="114"/>
    <x v="569"/>
  </r>
  <r>
    <x v="19"/>
    <x v="4"/>
    <x v="9"/>
    <x v="24"/>
    <x v="9"/>
    <x v="16"/>
    <x v="28"/>
    <x v="523"/>
    <x v="6"/>
    <x v="22"/>
    <x v="153"/>
    <x v="187"/>
    <x v="556"/>
    <x v="313"/>
    <x v="0"/>
    <x v="0"/>
    <x v="0"/>
    <x v="0"/>
    <x v="0"/>
    <x v="0"/>
    <x v="1"/>
    <x v="239"/>
    <x v="233"/>
    <x v="15"/>
    <x v="0"/>
    <x v="0"/>
    <x v="357"/>
    <x v="0"/>
    <x v="0"/>
    <x v="541"/>
    <x v="2"/>
    <x v="48"/>
    <x v="105"/>
    <x v="402"/>
    <x v="1"/>
    <x v="118"/>
    <x v="19"/>
    <x v="143"/>
    <x v="572"/>
  </r>
  <r>
    <x v="19"/>
    <x v="2"/>
    <x v="4"/>
    <x v="57"/>
    <x v="9"/>
    <x v="7"/>
    <x v="27"/>
    <x v="524"/>
    <x v="2"/>
    <x v="37"/>
    <x v="147"/>
    <x v="120"/>
    <x v="538"/>
    <x v="295"/>
    <x v="0"/>
    <x v="0"/>
    <x v="0"/>
    <x v="0"/>
    <x v="0"/>
    <x v="0"/>
    <x v="0"/>
    <x v="343"/>
    <x v="282"/>
    <x v="15"/>
    <x v="0"/>
    <x v="0"/>
    <x v="357"/>
    <x v="0"/>
    <x v="0"/>
    <x v="541"/>
    <x v="9"/>
    <x v="87"/>
    <x v="97"/>
    <x v="278"/>
    <x v="2"/>
    <x v="152"/>
    <x v="223"/>
    <x v="327"/>
    <x v="570"/>
  </r>
  <r>
    <x v="19"/>
    <x v="2"/>
    <x v="7"/>
    <x v="20"/>
    <x v="9"/>
    <x v="9"/>
    <x v="25"/>
    <x v="532"/>
    <x v="2"/>
    <x v="37"/>
    <x v="147"/>
    <x v="120"/>
    <x v="548"/>
    <x v="306"/>
    <x v="0"/>
    <x v="0"/>
    <x v="0"/>
    <x v="0"/>
    <x v="0"/>
    <x v="0"/>
    <x v="0"/>
    <x v="359"/>
    <x v="340"/>
    <x v="11"/>
    <x v="0"/>
    <x v="0"/>
    <x v="357"/>
    <x v="0"/>
    <x v="0"/>
    <x v="541"/>
    <x v="9"/>
    <x v="87"/>
    <x v="97"/>
    <x v="295"/>
    <x v="2"/>
    <x v="122"/>
    <x v="274"/>
    <x v="390"/>
    <x v="206"/>
  </r>
  <r>
    <x v="19"/>
    <x v="2"/>
    <x v="5"/>
    <x v="12"/>
    <x v="9"/>
    <x v="18"/>
    <x v="23"/>
    <x v="538"/>
    <x v="2"/>
    <x v="37"/>
    <x v="129"/>
    <x v="93"/>
    <x v="465"/>
    <x v="242"/>
    <x v="0"/>
    <x v="62"/>
    <x v="0"/>
    <x v="0"/>
    <x v="77"/>
    <x v="0"/>
    <x v="0"/>
    <x v="284"/>
    <x v="393"/>
    <x v="43"/>
    <x v="1"/>
    <x v="232"/>
    <x v="146"/>
    <x v="338"/>
    <x v="151"/>
    <x v="150"/>
    <x v="0"/>
    <x v="92"/>
    <x v="107"/>
    <x v="214"/>
    <x v="4"/>
    <x v="264"/>
    <x v="270"/>
    <x v="509"/>
    <x v="207"/>
  </r>
  <r>
    <x v="19"/>
    <x v="2"/>
    <x v="6"/>
    <x v="16"/>
    <x v="9"/>
    <x v="18"/>
    <x v="24"/>
    <x v="537"/>
    <x v="2"/>
    <x v="25"/>
    <x v="147"/>
    <x v="149"/>
    <x v="322"/>
    <x v="197"/>
    <x v="0"/>
    <x v="0"/>
    <x v="0"/>
    <x v="0"/>
    <x v="0"/>
    <x v="0"/>
    <x v="0"/>
    <x v="251"/>
    <x v="45"/>
    <x v="7"/>
    <x v="0"/>
    <x v="0"/>
    <x v="357"/>
    <x v="0"/>
    <x v="0"/>
    <x v="541"/>
    <x v="9"/>
    <x v="52"/>
    <x v="82"/>
    <x v="257"/>
    <x v="0"/>
    <x v="149"/>
    <x v="7"/>
    <x v="79"/>
    <x v="209"/>
  </r>
  <r>
    <x v="19"/>
    <x v="2"/>
    <x v="0"/>
    <x v="33"/>
    <x v="5"/>
    <x v="0"/>
    <x v="65"/>
    <x v="148"/>
    <x v="2"/>
    <x v="22"/>
    <x v="36"/>
    <x v="16"/>
    <x v="64"/>
    <x v="51"/>
    <x v="53"/>
    <x v="36"/>
    <x v="0"/>
    <x v="0"/>
    <x v="45"/>
    <x v="2"/>
    <x v="0"/>
    <x v="111"/>
    <x v="145"/>
    <x v="44"/>
    <x v="6"/>
    <x v="113"/>
    <x v="16"/>
    <x v="457"/>
    <x v="225"/>
    <x v="13"/>
    <x v="10"/>
    <x v="42"/>
    <x v="65"/>
    <x v="41"/>
    <x v="6"/>
    <x v="403"/>
    <x v="94"/>
    <x v="126"/>
    <x v="210"/>
  </r>
  <r>
    <x v="19"/>
    <x v="2"/>
    <x v="3"/>
    <x v="67"/>
    <x v="9"/>
    <x v="2"/>
    <x v="6"/>
    <x v="152"/>
    <x v="2"/>
    <x v="37"/>
    <x v="121"/>
    <x v="62"/>
    <x v="357"/>
    <x v="210"/>
    <x v="0"/>
    <x v="34"/>
    <x v="0"/>
    <x v="0"/>
    <x v="28"/>
    <x v="0"/>
    <x v="0"/>
    <x v="263"/>
    <x v="389"/>
    <x v="38"/>
    <x v="3"/>
    <x v="252"/>
    <x v="236"/>
    <x v="160"/>
    <x v="105"/>
    <x v="360"/>
    <x v="0"/>
    <x v="92"/>
    <x v="107"/>
    <x v="168"/>
    <x v="5"/>
    <x v="319"/>
    <x v="231"/>
    <x v="466"/>
    <x v="208"/>
  </r>
  <r>
    <x v="19"/>
    <x v="3"/>
    <x v="5"/>
    <x v="12"/>
    <x v="7"/>
    <x v="6"/>
    <x v="23"/>
    <x v="542"/>
    <x v="1"/>
    <x v="37"/>
    <x v="129"/>
    <x v="93"/>
    <x v="440"/>
    <x v="238"/>
    <x v="0"/>
    <x v="57"/>
    <x v="0"/>
    <x v="0"/>
    <x v="47"/>
    <x v="2"/>
    <x v="0"/>
    <x v="282"/>
    <x v="383"/>
    <x v="43"/>
    <x v="1"/>
    <x v="204"/>
    <x v="174"/>
    <x v="212"/>
    <x v="139"/>
    <x v="302"/>
    <x v="0"/>
    <x v="92"/>
    <x v="107"/>
    <x v="211"/>
    <x v="4"/>
    <x v="266"/>
    <x v="248"/>
    <x v="488"/>
    <x v="574"/>
  </r>
  <r>
    <x v="19"/>
    <x v="3"/>
    <x v="0"/>
    <x v="33"/>
    <x v="5"/>
    <x v="0"/>
    <x v="65"/>
    <x v="149"/>
    <x v="1"/>
    <x v="37"/>
    <x v="83"/>
    <x v="21"/>
    <x v="202"/>
    <x v="140"/>
    <x v="4"/>
    <x v="75"/>
    <x v="0"/>
    <x v="0"/>
    <x v="82"/>
    <x v="2"/>
    <x v="0"/>
    <x v="196"/>
    <x v="406"/>
    <x v="44"/>
    <x v="6"/>
    <x v="338"/>
    <x v="53"/>
    <x v="441"/>
    <x v="226"/>
    <x v="31"/>
    <x v="10"/>
    <x v="86"/>
    <x v="93"/>
    <x v="68"/>
    <x v="6"/>
    <x v="375"/>
    <x v="317"/>
    <x v="367"/>
    <x v="573"/>
  </r>
  <r>
    <x v="19"/>
    <x v="3"/>
    <x v="3"/>
    <x v="67"/>
    <x v="9"/>
    <x v="4"/>
    <x v="6"/>
    <x v="153"/>
    <x v="1"/>
    <x v="37"/>
    <x v="121"/>
    <x v="62"/>
    <x v="474"/>
    <x v="246"/>
    <x v="0"/>
    <x v="0"/>
    <x v="0"/>
    <x v="0"/>
    <x v="12"/>
    <x v="2"/>
    <x v="0"/>
    <x v="288"/>
    <x v="480"/>
    <x v="38"/>
    <x v="3"/>
    <x v="288"/>
    <x v="309"/>
    <x v="76"/>
    <x v="0"/>
    <x v="451"/>
    <x v="0"/>
    <x v="92"/>
    <x v="107"/>
    <x v="220"/>
    <x v="5"/>
    <x v="252"/>
    <x v="424"/>
    <x v="670"/>
    <x v="575"/>
  </r>
  <r>
    <x v="20"/>
    <x v="1"/>
    <x v="0"/>
    <x v="33"/>
    <x v="4"/>
    <x v="0"/>
    <x v="65"/>
    <x v="154"/>
    <x v="5"/>
    <x v="19"/>
    <x v="33"/>
    <x v="31"/>
    <x v="55"/>
    <x v="51"/>
    <x v="41"/>
    <x v="18"/>
    <x v="0"/>
    <x v="0"/>
    <x v="17"/>
    <x v="2"/>
    <x v="0"/>
    <x v="111"/>
    <x v="172"/>
    <x v="44"/>
    <x v="6"/>
    <x v="97"/>
    <x v="48"/>
    <x v="354"/>
    <x v="195"/>
    <x v="142"/>
    <x v="0"/>
    <x v="39"/>
    <x v="107"/>
    <x v="68"/>
    <x v="6"/>
    <x v="392"/>
    <x v="170"/>
    <x v="385"/>
    <x v="211"/>
  </r>
  <r>
    <x v="20"/>
    <x v="1"/>
    <x v="6"/>
    <x v="16"/>
    <x v="9"/>
    <x v="10"/>
    <x v="24"/>
    <x v="540"/>
    <x v="5"/>
    <x v="37"/>
    <x v="147"/>
    <x v="120"/>
    <x v="573"/>
    <x v="332"/>
    <x v="0"/>
    <x v="0"/>
    <x v="0"/>
    <x v="0"/>
    <x v="0"/>
    <x v="0"/>
    <x v="0"/>
    <x v="395"/>
    <x v="481"/>
    <x v="7"/>
    <x v="0"/>
    <x v="0"/>
    <x v="357"/>
    <x v="0"/>
    <x v="0"/>
    <x v="541"/>
    <x v="9"/>
    <x v="87"/>
    <x v="97"/>
    <x v="327"/>
    <x v="0"/>
    <x v="56"/>
    <x v="91"/>
    <x v="214"/>
    <x v="577"/>
  </r>
  <r>
    <x v="20"/>
    <x v="1"/>
    <x v="0"/>
    <x v="35"/>
    <x v="4"/>
    <x v="0"/>
    <x v="58"/>
    <x v="154"/>
    <x v="5"/>
    <x v="23"/>
    <x v="45"/>
    <x v="19"/>
    <x v="63"/>
    <x v="51"/>
    <x v="44"/>
    <x v="45"/>
    <x v="0"/>
    <x v="0"/>
    <x v="20"/>
    <x v="3"/>
    <x v="0"/>
    <x v="111"/>
    <x v="110"/>
    <x v="44"/>
    <x v="6"/>
    <x v="103"/>
    <x v="23"/>
    <x v="376"/>
    <x v="231"/>
    <x v="112"/>
    <x v="18"/>
    <x v="38"/>
    <x v="47"/>
    <x v="35"/>
    <x v="6"/>
    <x v="391"/>
    <x v="193"/>
    <x v="106"/>
    <x v="214"/>
  </r>
  <r>
    <x v="20"/>
    <x v="1"/>
    <x v="5"/>
    <x v="12"/>
    <x v="7"/>
    <x v="6"/>
    <x v="23"/>
    <x v="545"/>
    <x v="5"/>
    <x v="37"/>
    <x v="129"/>
    <x v="93"/>
    <x v="441"/>
    <x v="238"/>
    <x v="0"/>
    <x v="42"/>
    <x v="0"/>
    <x v="0"/>
    <x v="73"/>
    <x v="2"/>
    <x v="0"/>
    <x v="282"/>
    <x v="383"/>
    <x v="43"/>
    <x v="1"/>
    <x v="205"/>
    <x v="163"/>
    <x v="331"/>
    <x v="106"/>
    <x v="160"/>
    <x v="0"/>
    <x v="92"/>
    <x v="107"/>
    <x v="211"/>
    <x v="4"/>
    <x v="266"/>
    <x v="248"/>
    <x v="471"/>
    <x v="578"/>
  </r>
  <r>
    <x v="20"/>
    <x v="1"/>
    <x v="7"/>
    <x v="20"/>
    <x v="9"/>
    <x v="9"/>
    <x v="25"/>
    <x v="531"/>
    <x v="5"/>
    <x v="37"/>
    <x v="146"/>
    <x v="118"/>
    <x v="543"/>
    <x v="300"/>
    <x v="0"/>
    <x v="0"/>
    <x v="0"/>
    <x v="0"/>
    <x v="0"/>
    <x v="0"/>
    <x v="0"/>
    <x v="349"/>
    <x v="322"/>
    <x v="11"/>
    <x v="0"/>
    <x v="0"/>
    <x v="357"/>
    <x v="0"/>
    <x v="0"/>
    <x v="541"/>
    <x v="9"/>
    <x v="87"/>
    <x v="97"/>
    <x v="287"/>
    <x v="2"/>
    <x v="136"/>
    <x v="250"/>
    <x v="358"/>
    <x v="579"/>
  </r>
  <r>
    <x v="20"/>
    <x v="1"/>
    <x v="3"/>
    <x v="67"/>
    <x v="9"/>
    <x v="3"/>
    <x v="6"/>
    <x v="163"/>
    <x v="5"/>
    <x v="37"/>
    <x v="121"/>
    <x v="62"/>
    <x v="435"/>
    <x v="242"/>
    <x v="0"/>
    <x v="0"/>
    <x v="0"/>
    <x v="0"/>
    <x v="12"/>
    <x v="2"/>
    <x v="0"/>
    <x v="284"/>
    <x v="468"/>
    <x v="38"/>
    <x v="3"/>
    <x v="276"/>
    <x v="307"/>
    <x v="78"/>
    <x v="0"/>
    <x v="449"/>
    <x v="0"/>
    <x v="92"/>
    <x v="107"/>
    <x v="214"/>
    <x v="5"/>
    <x v="264"/>
    <x v="400"/>
    <x v="648"/>
    <x v="212"/>
  </r>
  <r>
    <x v="20"/>
    <x v="1"/>
    <x v="4"/>
    <x v="57"/>
    <x v="9"/>
    <x v="7"/>
    <x v="27"/>
    <x v="525"/>
    <x v="5"/>
    <x v="37"/>
    <x v="146"/>
    <x v="118"/>
    <x v="521"/>
    <x v="275"/>
    <x v="0"/>
    <x v="0"/>
    <x v="0"/>
    <x v="0"/>
    <x v="0"/>
    <x v="0"/>
    <x v="0"/>
    <x v="319"/>
    <x v="194"/>
    <x v="15"/>
    <x v="0"/>
    <x v="0"/>
    <x v="357"/>
    <x v="0"/>
    <x v="0"/>
    <x v="541"/>
    <x v="9"/>
    <x v="87"/>
    <x v="97"/>
    <x v="248"/>
    <x v="2"/>
    <x v="195"/>
    <x v="123"/>
    <x v="237"/>
    <x v="580"/>
  </r>
  <r>
    <x v="20"/>
    <x v="4"/>
    <x v="8"/>
    <x v="61"/>
    <x v="9"/>
    <x v="18"/>
    <x v="26"/>
    <x v="524"/>
    <x v="6"/>
    <x v="38"/>
    <x v="174"/>
    <x v="161"/>
    <x v="596"/>
    <x v="356"/>
    <x v="0"/>
    <x v="0"/>
    <x v="0"/>
    <x v="0"/>
    <x v="26"/>
    <x v="0"/>
    <x v="1"/>
    <x v="308"/>
    <x v="158"/>
    <x v="27"/>
    <x v="0"/>
    <x v="0"/>
    <x v="357"/>
    <x v="74"/>
    <x v="0"/>
    <x v="453"/>
    <x v="11"/>
    <x v="90"/>
    <x v="91"/>
    <x v="358"/>
    <x v="3"/>
    <x v="222"/>
    <x v="173"/>
    <x v="271"/>
    <x v="215"/>
  </r>
  <r>
    <x v="20"/>
    <x v="4"/>
    <x v="9"/>
    <x v="24"/>
    <x v="9"/>
    <x v="16"/>
    <x v="28"/>
    <x v="524"/>
    <x v="6"/>
    <x v="38"/>
    <x v="177"/>
    <x v="181"/>
    <x v="585"/>
    <x v="345"/>
    <x v="0"/>
    <x v="0"/>
    <x v="0"/>
    <x v="0"/>
    <x v="3"/>
    <x v="0"/>
    <x v="1"/>
    <x v="294"/>
    <x v="84"/>
    <x v="15"/>
    <x v="0"/>
    <x v="0"/>
    <x v="357"/>
    <x v="7"/>
    <x v="0"/>
    <x v="534"/>
    <x v="11"/>
    <x v="90"/>
    <x v="91"/>
    <x v="343"/>
    <x v="1"/>
    <x v="235"/>
    <x v="5"/>
    <x v="53"/>
    <x v="216"/>
  </r>
  <r>
    <x v="20"/>
    <x v="4"/>
    <x v="1"/>
    <x v="5"/>
    <x v="9"/>
    <x v="11"/>
    <x v="10"/>
    <x v="138"/>
    <x v="3"/>
    <x v="24"/>
    <x v="67"/>
    <x v="39"/>
    <x v="124"/>
    <x v="103"/>
    <x v="0"/>
    <x v="0"/>
    <x v="23"/>
    <x v="0"/>
    <x v="11"/>
    <x v="0"/>
    <x v="4"/>
    <x v="51"/>
    <x v="277"/>
    <x v="0"/>
    <x v="0"/>
    <x v="0"/>
    <x v="357"/>
    <x v="152"/>
    <x v="0"/>
    <x v="368"/>
    <x v="11"/>
    <x v="45"/>
    <x v="66"/>
    <x v="103"/>
    <x v="7"/>
    <x v="497"/>
    <x v="74"/>
    <x v="130"/>
    <x v="213"/>
  </r>
  <r>
    <x v="20"/>
    <x v="4"/>
    <x v="1"/>
    <x v="41"/>
    <x v="9"/>
    <x v="11"/>
    <x v="7"/>
    <x v="90"/>
    <x v="3"/>
    <x v="14"/>
    <x v="23"/>
    <x v="49"/>
    <x v="52"/>
    <x v="50"/>
    <x v="0"/>
    <x v="0"/>
    <x v="4"/>
    <x v="0"/>
    <x v="14"/>
    <x v="0"/>
    <x v="4"/>
    <x v="27"/>
    <x v="368"/>
    <x v="17"/>
    <x v="0"/>
    <x v="0"/>
    <x v="357"/>
    <x v="303"/>
    <x v="0"/>
    <x v="185"/>
    <x v="7"/>
    <x v="20"/>
    <x v="57"/>
    <x v="153"/>
    <x v="7"/>
    <x v="447"/>
    <x v="381"/>
    <x v="238"/>
    <x v="581"/>
  </r>
  <r>
    <x v="20"/>
    <x v="4"/>
    <x v="1"/>
    <x v="53"/>
    <x v="9"/>
    <x v="11"/>
    <x v="61"/>
    <x v="7"/>
    <x v="3"/>
    <x v="14"/>
    <x v="23"/>
    <x v="49"/>
    <x v="46"/>
    <x v="46"/>
    <x v="0"/>
    <x v="0"/>
    <x v="13"/>
    <x v="0"/>
    <x v="11"/>
    <x v="0"/>
    <x v="4"/>
    <x v="25"/>
    <x v="288"/>
    <x v="22"/>
    <x v="0"/>
    <x v="0"/>
    <x v="357"/>
    <x v="254"/>
    <x v="0"/>
    <x v="252"/>
    <x v="0"/>
    <x v="27"/>
    <x v="107"/>
    <x v="132"/>
    <x v="7"/>
    <x v="504"/>
    <x v="35"/>
    <x v="198"/>
    <x v="582"/>
  </r>
  <r>
    <x v="20"/>
    <x v="2"/>
    <x v="4"/>
    <x v="57"/>
    <x v="9"/>
    <x v="7"/>
    <x v="27"/>
    <x v="533"/>
    <x v="2"/>
    <x v="37"/>
    <x v="147"/>
    <x v="120"/>
    <x v="512"/>
    <x v="267"/>
    <x v="0"/>
    <x v="0"/>
    <x v="0"/>
    <x v="0"/>
    <x v="0"/>
    <x v="0"/>
    <x v="0"/>
    <x v="312"/>
    <x v="168"/>
    <x v="15"/>
    <x v="0"/>
    <x v="0"/>
    <x v="357"/>
    <x v="0"/>
    <x v="0"/>
    <x v="541"/>
    <x v="9"/>
    <x v="87"/>
    <x v="97"/>
    <x v="242"/>
    <x v="2"/>
    <x v="207"/>
    <x v="98"/>
    <x v="218"/>
    <x v="583"/>
  </r>
  <r>
    <x v="20"/>
    <x v="2"/>
    <x v="7"/>
    <x v="20"/>
    <x v="9"/>
    <x v="9"/>
    <x v="25"/>
    <x v="539"/>
    <x v="2"/>
    <x v="37"/>
    <x v="147"/>
    <x v="120"/>
    <x v="548"/>
    <x v="306"/>
    <x v="0"/>
    <x v="0"/>
    <x v="0"/>
    <x v="0"/>
    <x v="0"/>
    <x v="0"/>
    <x v="0"/>
    <x v="359"/>
    <x v="340"/>
    <x v="11"/>
    <x v="0"/>
    <x v="0"/>
    <x v="357"/>
    <x v="0"/>
    <x v="0"/>
    <x v="541"/>
    <x v="9"/>
    <x v="87"/>
    <x v="97"/>
    <x v="295"/>
    <x v="2"/>
    <x v="122"/>
    <x v="274"/>
    <x v="390"/>
    <x v="217"/>
  </r>
  <r>
    <x v="20"/>
    <x v="2"/>
    <x v="6"/>
    <x v="16"/>
    <x v="9"/>
    <x v="9"/>
    <x v="24"/>
    <x v="546"/>
    <x v="2"/>
    <x v="25"/>
    <x v="147"/>
    <x v="149"/>
    <x v="416"/>
    <x v="238"/>
    <x v="0"/>
    <x v="0"/>
    <x v="0"/>
    <x v="0"/>
    <x v="0"/>
    <x v="0"/>
    <x v="0"/>
    <x v="282"/>
    <x v="90"/>
    <x v="7"/>
    <x v="0"/>
    <x v="0"/>
    <x v="357"/>
    <x v="0"/>
    <x v="0"/>
    <x v="541"/>
    <x v="24"/>
    <x v="39"/>
    <x v="34"/>
    <x v="318"/>
    <x v="0"/>
    <x v="15"/>
    <x v="403"/>
    <x v="139"/>
    <x v="584"/>
  </r>
  <r>
    <x v="20"/>
    <x v="2"/>
    <x v="5"/>
    <x v="12"/>
    <x v="7"/>
    <x v="6"/>
    <x v="23"/>
    <x v="547"/>
    <x v="2"/>
    <x v="37"/>
    <x v="129"/>
    <x v="93"/>
    <x v="480"/>
    <x v="246"/>
    <x v="0"/>
    <x v="0"/>
    <x v="0"/>
    <x v="0"/>
    <x v="56"/>
    <x v="0"/>
    <x v="0"/>
    <x v="288"/>
    <x v="423"/>
    <x v="43"/>
    <x v="1"/>
    <x v="237"/>
    <x v="272"/>
    <x v="239"/>
    <x v="0"/>
    <x v="265"/>
    <x v="0"/>
    <x v="92"/>
    <x v="107"/>
    <x v="220"/>
    <x v="4"/>
    <x v="252"/>
    <x v="328"/>
    <x v="572"/>
    <x v="219"/>
  </r>
  <r>
    <x v="20"/>
    <x v="2"/>
    <x v="0"/>
    <x v="35"/>
    <x v="4"/>
    <x v="0"/>
    <x v="58"/>
    <x v="157"/>
    <x v="2"/>
    <x v="37"/>
    <x v="80"/>
    <x v="16"/>
    <x v="179"/>
    <x v="133"/>
    <x v="20"/>
    <x v="45"/>
    <x v="0"/>
    <x v="0"/>
    <x v="72"/>
    <x v="0"/>
    <x v="0"/>
    <x v="188"/>
    <x v="382"/>
    <x v="44"/>
    <x v="6"/>
    <x v="317"/>
    <x v="77"/>
    <x v="431"/>
    <x v="173"/>
    <x v="43"/>
    <x v="0"/>
    <x v="92"/>
    <x v="107"/>
    <x v="61"/>
    <x v="6"/>
    <x v="401"/>
    <x v="108"/>
    <x v="280"/>
    <x v="220"/>
  </r>
  <r>
    <x v="20"/>
    <x v="2"/>
    <x v="3"/>
    <x v="67"/>
    <x v="9"/>
    <x v="4"/>
    <x v="6"/>
    <x v="164"/>
    <x v="2"/>
    <x v="37"/>
    <x v="121"/>
    <x v="62"/>
    <x v="388"/>
    <x v="227"/>
    <x v="0"/>
    <x v="0"/>
    <x v="0"/>
    <x v="0"/>
    <x v="20"/>
    <x v="0"/>
    <x v="0"/>
    <x v="276"/>
    <x v="453"/>
    <x v="38"/>
    <x v="3"/>
    <x v="262"/>
    <x v="305"/>
    <x v="116"/>
    <x v="0"/>
    <x v="404"/>
    <x v="0"/>
    <x v="92"/>
    <x v="107"/>
    <x v="203"/>
    <x v="5"/>
    <x v="276"/>
    <x v="365"/>
    <x v="612"/>
    <x v="218"/>
  </r>
  <r>
    <x v="20"/>
    <x v="3"/>
    <x v="0"/>
    <x v="35"/>
    <x v="4"/>
    <x v="0"/>
    <x v="58"/>
    <x v="162"/>
    <x v="1"/>
    <x v="20"/>
    <x v="33"/>
    <x v="29"/>
    <x v="78"/>
    <x v="68"/>
    <x v="18"/>
    <x v="19"/>
    <x v="0"/>
    <x v="0"/>
    <x v="20"/>
    <x v="2"/>
    <x v="0"/>
    <x v="126"/>
    <x v="358"/>
    <x v="44"/>
    <x v="6"/>
    <x v="135"/>
    <x v="76"/>
    <x v="356"/>
    <x v="178"/>
    <x v="135"/>
    <x v="1"/>
    <x v="40"/>
    <x v="104"/>
    <x v="75"/>
    <x v="6"/>
    <x v="372"/>
    <x v="325"/>
    <x v="489"/>
    <x v="585"/>
  </r>
  <r>
    <x v="20"/>
    <x v="3"/>
    <x v="5"/>
    <x v="12"/>
    <x v="7"/>
    <x v="6"/>
    <x v="23"/>
    <x v="550"/>
    <x v="1"/>
    <x v="37"/>
    <x v="129"/>
    <x v="93"/>
    <x v="339"/>
    <x v="200"/>
    <x v="29"/>
    <x v="30"/>
    <x v="0"/>
    <x v="0"/>
    <x v="53"/>
    <x v="2"/>
    <x v="0"/>
    <x v="254"/>
    <x v="153"/>
    <x v="43"/>
    <x v="1"/>
    <x v="131"/>
    <x v="113"/>
    <x v="297"/>
    <x v="100"/>
    <x v="197"/>
    <x v="22"/>
    <x v="71"/>
    <x v="61"/>
    <x v="149"/>
    <x v="4"/>
    <x v="257"/>
    <x v="301"/>
    <x v="213"/>
    <x v="586"/>
  </r>
  <r>
    <x v="20"/>
    <x v="3"/>
    <x v="3"/>
    <x v="67"/>
    <x v="9"/>
    <x v="4"/>
    <x v="6"/>
    <x v="165"/>
    <x v="1"/>
    <x v="37"/>
    <x v="121"/>
    <x v="62"/>
    <x v="470"/>
    <x v="246"/>
    <x v="0"/>
    <x v="0"/>
    <x v="0"/>
    <x v="0"/>
    <x v="4"/>
    <x v="2"/>
    <x v="0"/>
    <x v="288"/>
    <x v="480"/>
    <x v="38"/>
    <x v="3"/>
    <x v="284"/>
    <x v="334"/>
    <x v="23"/>
    <x v="0"/>
    <x v="514"/>
    <x v="0"/>
    <x v="92"/>
    <x v="107"/>
    <x v="220"/>
    <x v="5"/>
    <x v="252"/>
    <x v="424"/>
    <x v="673"/>
    <x v="221"/>
  </r>
  <r>
    <x v="21"/>
    <x v="1"/>
    <x v="6"/>
    <x v="16"/>
    <x v="9"/>
    <x v="18"/>
    <x v="24"/>
    <x v="551"/>
    <x v="2"/>
    <x v="37"/>
    <x v="147"/>
    <x v="120"/>
    <x v="530"/>
    <x v="284"/>
    <x v="0"/>
    <x v="0"/>
    <x v="0"/>
    <x v="0"/>
    <x v="0"/>
    <x v="0"/>
    <x v="0"/>
    <x v="330"/>
    <x v="228"/>
    <x v="7"/>
    <x v="0"/>
    <x v="0"/>
    <x v="357"/>
    <x v="0"/>
    <x v="0"/>
    <x v="541"/>
    <x v="9"/>
    <x v="87"/>
    <x v="97"/>
    <x v="259"/>
    <x v="0"/>
    <x v="178"/>
    <x v="6"/>
    <x v="82"/>
    <x v="587"/>
  </r>
  <r>
    <x v="21"/>
    <x v="1"/>
    <x v="5"/>
    <x v="12"/>
    <x v="7"/>
    <x v="6"/>
    <x v="23"/>
    <x v="554"/>
    <x v="2"/>
    <x v="37"/>
    <x v="129"/>
    <x v="93"/>
    <x v="321"/>
    <x v="191"/>
    <x v="46"/>
    <x v="67"/>
    <x v="0"/>
    <x v="0"/>
    <x v="49"/>
    <x v="2"/>
    <x v="0"/>
    <x v="244"/>
    <x v="128"/>
    <x v="43"/>
    <x v="1"/>
    <x v="126"/>
    <x v="49"/>
    <x v="287"/>
    <x v="197"/>
    <x v="217"/>
    <x v="24"/>
    <x v="69"/>
    <x v="57"/>
    <x v="132"/>
    <x v="4"/>
    <x v="262"/>
    <x v="282"/>
    <x v="183"/>
    <x v="224"/>
  </r>
  <r>
    <x v="21"/>
    <x v="1"/>
    <x v="7"/>
    <x v="20"/>
    <x v="9"/>
    <x v="9"/>
    <x v="25"/>
    <x v="774"/>
    <x v="2"/>
    <x v="37"/>
    <x v="147"/>
    <x v="120"/>
    <x v="519"/>
    <x v="273"/>
    <x v="0"/>
    <x v="0"/>
    <x v="0"/>
    <x v="0"/>
    <x v="0"/>
    <x v="0"/>
    <x v="0"/>
    <x v="317"/>
    <x v="181"/>
    <x v="11"/>
    <x v="0"/>
    <x v="0"/>
    <x v="357"/>
    <x v="0"/>
    <x v="0"/>
    <x v="541"/>
    <x v="9"/>
    <x v="87"/>
    <x v="97"/>
    <x v="246"/>
    <x v="2"/>
    <x v="203"/>
    <x v="110"/>
    <x v="232"/>
    <x v="589"/>
  </r>
  <r>
    <x v="21"/>
    <x v="1"/>
    <x v="4"/>
    <x v="57"/>
    <x v="9"/>
    <x v="7"/>
    <x v="27"/>
    <x v="534"/>
    <x v="2"/>
    <x v="37"/>
    <x v="147"/>
    <x v="120"/>
    <x v="192"/>
    <x v="145"/>
    <x v="0"/>
    <x v="0"/>
    <x v="0"/>
    <x v="0"/>
    <x v="0"/>
    <x v="0"/>
    <x v="0"/>
    <x v="201"/>
    <x v="21"/>
    <x v="15"/>
    <x v="0"/>
    <x v="0"/>
    <x v="357"/>
    <x v="0"/>
    <x v="0"/>
    <x v="541"/>
    <x v="43"/>
    <x v="43"/>
    <x v="16"/>
    <x v="72"/>
    <x v="2"/>
    <x v="189"/>
    <x v="140"/>
    <x v="30"/>
    <x v="222"/>
  </r>
  <r>
    <x v="21"/>
    <x v="1"/>
    <x v="3"/>
    <x v="67"/>
    <x v="9"/>
    <x v="4"/>
    <x v="6"/>
    <x v="166"/>
    <x v="2"/>
    <x v="37"/>
    <x v="121"/>
    <x v="62"/>
    <x v="355"/>
    <x v="210"/>
    <x v="22"/>
    <x v="16"/>
    <x v="0"/>
    <x v="0"/>
    <x v="12"/>
    <x v="2"/>
    <x v="0"/>
    <x v="263"/>
    <x v="389"/>
    <x v="38"/>
    <x v="3"/>
    <x v="254"/>
    <x v="217"/>
    <x v="88"/>
    <x v="30"/>
    <x v="438"/>
    <x v="0"/>
    <x v="92"/>
    <x v="107"/>
    <x v="168"/>
    <x v="5"/>
    <x v="319"/>
    <x v="231"/>
    <x v="472"/>
    <x v="223"/>
  </r>
  <r>
    <x v="21"/>
    <x v="4"/>
    <x v="9"/>
    <x v="22"/>
    <x v="9"/>
    <x v="16"/>
    <x v="46"/>
    <x v="438"/>
    <x v="6"/>
    <x v="38"/>
    <x v="178"/>
    <x v="182"/>
    <x v="630"/>
    <x v="393"/>
    <x v="0"/>
    <x v="0"/>
    <x v="0"/>
    <x v="0"/>
    <x v="0"/>
    <x v="0"/>
    <x v="0"/>
    <x v="414"/>
    <x v="414"/>
    <x v="29"/>
    <x v="0"/>
    <x v="0"/>
    <x v="357"/>
    <x v="0"/>
    <x v="0"/>
    <x v="541"/>
    <x v="0"/>
    <x v="93"/>
    <x v="107"/>
    <x v="422"/>
    <x v="1"/>
    <x v="3"/>
    <x v="461"/>
    <x v="703"/>
    <x v="590"/>
  </r>
  <r>
    <x v="21"/>
    <x v="4"/>
    <x v="8"/>
    <x v="61"/>
    <x v="9"/>
    <x v="18"/>
    <x v="26"/>
    <x v="541"/>
    <x v="6"/>
    <x v="38"/>
    <x v="147"/>
    <x v="112"/>
    <x v="548"/>
    <x v="302"/>
    <x v="0"/>
    <x v="0"/>
    <x v="0"/>
    <x v="0"/>
    <x v="75"/>
    <x v="0"/>
    <x v="0"/>
    <x v="354"/>
    <x v="326"/>
    <x v="27"/>
    <x v="0"/>
    <x v="0"/>
    <x v="357"/>
    <x v="248"/>
    <x v="0"/>
    <x v="256"/>
    <x v="11"/>
    <x v="90"/>
    <x v="91"/>
    <x v="261"/>
    <x v="3"/>
    <x v="162"/>
    <x v="368"/>
    <x v="468"/>
    <x v="591"/>
  </r>
  <r>
    <x v="21"/>
    <x v="2"/>
    <x v="5"/>
    <x v="12"/>
    <x v="7"/>
    <x v="6"/>
    <x v="23"/>
    <x v="557"/>
    <x v="5"/>
    <x v="37"/>
    <x v="129"/>
    <x v="93"/>
    <x v="346"/>
    <x v="205"/>
    <x v="27"/>
    <x v="21"/>
    <x v="0"/>
    <x v="0"/>
    <x v="54"/>
    <x v="0"/>
    <x v="0"/>
    <x v="258"/>
    <x v="166"/>
    <x v="43"/>
    <x v="1"/>
    <x v="136"/>
    <x v="141"/>
    <x v="295"/>
    <x v="53"/>
    <x v="196"/>
    <x v="0"/>
    <x v="92"/>
    <x v="107"/>
    <x v="156"/>
    <x v="4"/>
    <x v="336"/>
    <x v="50"/>
    <x v="227"/>
    <x v="229"/>
  </r>
  <r>
    <x v="21"/>
    <x v="2"/>
    <x v="7"/>
    <x v="20"/>
    <x v="9"/>
    <x v="9"/>
    <x v="25"/>
    <x v="548"/>
    <x v="5"/>
    <x v="37"/>
    <x v="146"/>
    <x v="118"/>
    <x v="554"/>
    <x v="311"/>
    <x v="0"/>
    <x v="0"/>
    <x v="0"/>
    <x v="0"/>
    <x v="0"/>
    <x v="0"/>
    <x v="0"/>
    <x v="365"/>
    <x v="376"/>
    <x v="11"/>
    <x v="0"/>
    <x v="0"/>
    <x v="357"/>
    <x v="0"/>
    <x v="0"/>
    <x v="541"/>
    <x v="9"/>
    <x v="87"/>
    <x v="97"/>
    <x v="304"/>
    <x v="2"/>
    <x v="99"/>
    <x v="322"/>
    <x v="441"/>
    <x v="592"/>
  </r>
  <r>
    <x v="21"/>
    <x v="2"/>
    <x v="3"/>
    <x v="67"/>
    <x v="9"/>
    <x v="3"/>
    <x v="6"/>
    <x v="167"/>
    <x v="5"/>
    <x v="37"/>
    <x v="121"/>
    <x v="62"/>
    <x v="351"/>
    <x v="210"/>
    <x v="0"/>
    <x v="0"/>
    <x v="0"/>
    <x v="0"/>
    <x v="6"/>
    <x v="0"/>
    <x v="0"/>
    <x v="263"/>
    <x v="389"/>
    <x v="38"/>
    <x v="3"/>
    <x v="246"/>
    <x v="344"/>
    <x v="56"/>
    <x v="0"/>
    <x v="475"/>
    <x v="0"/>
    <x v="92"/>
    <x v="107"/>
    <x v="168"/>
    <x v="5"/>
    <x v="319"/>
    <x v="231"/>
    <x v="474"/>
    <x v="230"/>
  </r>
  <r>
    <x v="21"/>
    <x v="2"/>
    <x v="6"/>
    <x v="16"/>
    <x v="9"/>
    <x v="10"/>
    <x v="24"/>
    <x v="555"/>
    <x v="5"/>
    <x v="16"/>
    <x v="118"/>
    <x v="157"/>
    <x v="297"/>
    <x v="191"/>
    <x v="0"/>
    <x v="0"/>
    <x v="0"/>
    <x v="0"/>
    <x v="0"/>
    <x v="0"/>
    <x v="0"/>
    <x v="244"/>
    <x v="288"/>
    <x v="7"/>
    <x v="0"/>
    <x v="0"/>
    <x v="357"/>
    <x v="0"/>
    <x v="0"/>
    <x v="541"/>
    <x v="0"/>
    <x v="33"/>
    <x v="107"/>
    <x v="368"/>
    <x v="0"/>
    <x v="21"/>
    <x v="347"/>
    <x v="603"/>
    <x v="231"/>
  </r>
  <r>
    <x v="21"/>
    <x v="4"/>
    <x v="1"/>
    <x v="39"/>
    <x v="9"/>
    <x v="18"/>
    <x v="60"/>
    <x v="155"/>
    <x v="3"/>
    <x v="19"/>
    <x v="18"/>
    <x v="7"/>
    <x v="26"/>
    <x v="27"/>
    <x v="0"/>
    <x v="0"/>
    <x v="4"/>
    <x v="0"/>
    <x v="12"/>
    <x v="0"/>
    <x v="4"/>
    <x v="21"/>
    <x v="332"/>
    <x v="22"/>
    <x v="0"/>
    <x v="0"/>
    <x v="357"/>
    <x v="373"/>
    <x v="0"/>
    <x v="108"/>
    <x v="23"/>
    <x v="16"/>
    <x v="13"/>
    <x v="30"/>
    <x v="7"/>
    <x v="489"/>
    <x v="124"/>
    <x v="21"/>
    <x v="588"/>
  </r>
  <r>
    <x v="21"/>
    <x v="4"/>
    <x v="1"/>
    <x v="37"/>
    <x v="9"/>
    <x v="18"/>
    <x v="63"/>
    <x v="147"/>
    <x v="3"/>
    <x v="22"/>
    <x v="31"/>
    <x v="12"/>
    <x v="66"/>
    <x v="59"/>
    <x v="0"/>
    <x v="0"/>
    <x v="15"/>
    <x v="0"/>
    <x v="22"/>
    <x v="0"/>
    <x v="4"/>
    <x v="31"/>
    <x v="370"/>
    <x v="20"/>
    <x v="0"/>
    <x v="0"/>
    <x v="357"/>
    <x v="378"/>
    <x v="0"/>
    <x v="101"/>
    <x v="23"/>
    <x v="28"/>
    <x v="27"/>
    <x v="47"/>
    <x v="7"/>
    <x v="499"/>
    <x v="71"/>
    <x v="43"/>
    <x v="225"/>
  </r>
  <r>
    <x v="21"/>
    <x v="4"/>
    <x v="1"/>
    <x v="44"/>
    <x v="9"/>
    <x v="18"/>
    <x v="64"/>
    <x v="147"/>
    <x v="3"/>
    <x v="2"/>
    <x v="4"/>
    <x v="34"/>
    <x v="1"/>
    <x v="1"/>
    <x v="0"/>
    <x v="0"/>
    <x v="0"/>
    <x v="0"/>
    <x v="0"/>
    <x v="0"/>
    <x v="0"/>
    <x v="3"/>
    <x v="0"/>
    <x v="20"/>
    <x v="0"/>
    <x v="0"/>
    <x v="357"/>
    <x v="0"/>
    <x v="0"/>
    <x v="541"/>
    <x v="6"/>
    <x v="0"/>
    <x v="1"/>
    <x v="0"/>
    <x v="7"/>
    <x v="503"/>
    <x v="36"/>
    <x v="5"/>
    <x v="226"/>
  </r>
  <r>
    <x v="21"/>
    <x v="4"/>
    <x v="1"/>
    <x v="46"/>
    <x v="9"/>
    <x v="18"/>
    <x v="59"/>
    <x v="158"/>
    <x v="3"/>
    <x v="6"/>
    <x v="5"/>
    <x v="6"/>
    <x v="3"/>
    <x v="3"/>
    <x v="0"/>
    <x v="0"/>
    <x v="0"/>
    <x v="0"/>
    <x v="0"/>
    <x v="0"/>
    <x v="0"/>
    <x v="8"/>
    <x v="5"/>
    <x v="22"/>
    <x v="0"/>
    <x v="0"/>
    <x v="357"/>
    <x v="0"/>
    <x v="0"/>
    <x v="541"/>
    <x v="7"/>
    <x v="6"/>
    <x v="24"/>
    <x v="3"/>
    <x v="7"/>
    <x v="478"/>
    <x v="204"/>
    <x v="49"/>
    <x v="227"/>
  </r>
  <r>
    <x v="21"/>
    <x v="4"/>
    <x v="1"/>
    <x v="7"/>
    <x v="9"/>
    <x v="18"/>
    <x v="17"/>
    <x v="113"/>
    <x v="3"/>
    <x v="8"/>
    <x v="15"/>
    <x v="47"/>
    <x v="24"/>
    <x v="23"/>
    <x v="0"/>
    <x v="0"/>
    <x v="0"/>
    <x v="0"/>
    <x v="35"/>
    <x v="0"/>
    <x v="4"/>
    <x v="18"/>
    <x v="220"/>
    <x v="2"/>
    <x v="0"/>
    <x v="0"/>
    <x v="357"/>
    <x v="465"/>
    <x v="0"/>
    <x v="4"/>
    <x v="7"/>
    <x v="11"/>
    <x v="37"/>
    <x v="110"/>
    <x v="7"/>
    <x v="441"/>
    <x v="410"/>
    <x v="124"/>
    <x v="228"/>
  </r>
  <r>
    <x v="22"/>
    <x v="1"/>
    <x v="4"/>
    <x v="57"/>
    <x v="9"/>
    <x v="7"/>
    <x v="27"/>
    <x v="543"/>
    <x v="1"/>
    <x v="37"/>
    <x v="147"/>
    <x v="120"/>
    <x v="508"/>
    <x v="263"/>
    <x v="0"/>
    <x v="0"/>
    <x v="0"/>
    <x v="0"/>
    <x v="0"/>
    <x v="0"/>
    <x v="0"/>
    <x v="306"/>
    <x v="157"/>
    <x v="15"/>
    <x v="0"/>
    <x v="0"/>
    <x v="357"/>
    <x v="0"/>
    <x v="0"/>
    <x v="541"/>
    <x v="21"/>
    <x v="72"/>
    <x v="63"/>
    <x v="240"/>
    <x v="2"/>
    <x v="134"/>
    <x v="252"/>
    <x v="208"/>
    <x v="593"/>
  </r>
  <r>
    <x v="22"/>
    <x v="1"/>
    <x v="5"/>
    <x v="13"/>
    <x v="7"/>
    <x v="6"/>
    <x v="47"/>
    <x v="177"/>
    <x v="1"/>
    <x v="37"/>
    <x v="129"/>
    <x v="93"/>
    <x v="317"/>
    <x v="191"/>
    <x v="20"/>
    <x v="60"/>
    <x v="0"/>
    <x v="0"/>
    <x v="48"/>
    <x v="2"/>
    <x v="0"/>
    <x v="244"/>
    <x v="128"/>
    <x v="43"/>
    <x v="1"/>
    <x v="109"/>
    <x v="100"/>
    <x v="280"/>
    <x v="168"/>
    <x v="223"/>
    <x v="24"/>
    <x v="69"/>
    <x v="57"/>
    <x v="132"/>
    <x v="4"/>
    <x v="262"/>
    <x v="282"/>
    <x v="184"/>
    <x v="232"/>
  </r>
  <r>
    <x v="22"/>
    <x v="1"/>
    <x v="7"/>
    <x v="20"/>
    <x v="9"/>
    <x v="9"/>
    <x v="25"/>
    <x v="556"/>
    <x v="1"/>
    <x v="37"/>
    <x v="147"/>
    <x v="120"/>
    <x v="509"/>
    <x v="262"/>
    <x v="0"/>
    <x v="0"/>
    <x v="0"/>
    <x v="0"/>
    <x v="25"/>
    <x v="0"/>
    <x v="0"/>
    <x v="305"/>
    <x v="156"/>
    <x v="11"/>
    <x v="0"/>
    <x v="0"/>
    <x v="357"/>
    <x v="117"/>
    <x v="0"/>
    <x v="403"/>
    <x v="9"/>
    <x v="87"/>
    <x v="97"/>
    <x v="239"/>
    <x v="2"/>
    <x v="212"/>
    <x v="80"/>
    <x v="203"/>
    <x v="594"/>
  </r>
  <r>
    <x v="22"/>
    <x v="1"/>
    <x v="0"/>
    <x v="34"/>
    <x v="5"/>
    <x v="1"/>
    <x v="78"/>
    <x v="169"/>
    <x v="1"/>
    <x v="37"/>
    <x v="83"/>
    <x v="21"/>
    <x v="53"/>
    <x v="41"/>
    <x v="24"/>
    <x v="53"/>
    <x v="0"/>
    <x v="0"/>
    <x v="53"/>
    <x v="2"/>
    <x v="0"/>
    <x v="98"/>
    <x v="10"/>
    <x v="44"/>
    <x v="12"/>
    <x v="213"/>
    <x v="20"/>
    <x v="464"/>
    <x v="238"/>
    <x v="7"/>
    <x v="48"/>
    <x v="33"/>
    <x v="8"/>
    <x v="10"/>
    <x v="6"/>
    <x v="382"/>
    <x v="263"/>
    <x v="15"/>
    <x v="234"/>
  </r>
  <r>
    <x v="22"/>
    <x v="1"/>
    <x v="3"/>
    <x v="67"/>
    <x v="9"/>
    <x v="4"/>
    <x v="6"/>
    <x v="174"/>
    <x v="1"/>
    <x v="37"/>
    <x v="121"/>
    <x v="62"/>
    <x v="385"/>
    <x v="227"/>
    <x v="2"/>
    <x v="3"/>
    <x v="0"/>
    <x v="0"/>
    <x v="0"/>
    <x v="0"/>
    <x v="0"/>
    <x v="276"/>
    <x v="453"/>
    <x v="38"/>
    <x v="3"/>
    <x v="261"/>
    <x v="315"/>
    <x v="0"/>
    <x v="3"/>
    <x v="541"/>
    <x v="0"/>
    <x v="92"/>
    <x v="107"/>
    <x v="203"/>
    <x v="5"/>
    <x v="276"/>
    <x v="365"/>
    <x v="622"/>
    <x v="233"/>
  </r>
  <r>
    <x v="22"/>
    <x v="1"/>
    <x v="6"/>
    <x v="16"/>
    <x v="9"/>
    <x v="10"/>
    <x v="24"/>
    <x v="558"/>
    <x v="1"/>
    <x v="37"/>
    <x v="146"/>
    <x v="118"/>
    <x v="335"/>
    <x v="205"/>
    <x v="0"/>
    <x v="0"/>
    <x v="0"/>
    <x v="0"/>
    <x v="0"/>
    <x v="0"/>
    <x v="0"/>
    <x v="258"/>
    <x v="53"/>
    <x v="7"/>
    <x v="0"/>
    <x v="0"/>
    <x v="357"/>
    <x v="0"/>
    <x v="0"/>
    <x v="541"/>
    <x v="43"/>
    <x v="43"/>
    <x v="16"/>
    <x v="156"/>
    <x v="0"/>
    <x v="57"/>
    <x v="87"/>
    <x v="24"/>
    <x v="595"/>
  </r>
  <r>
    <x v="22"/>
    <x v="4"/>
    <x v="8"/>
    <x v="61"/>
    <x v="9"/>
    <x v="18"/>
    <x v="26"/>
    <x v="535"/>
    <x v="2"/>
    <x v="37"/>
    <x v="173"/>
    <x v="166"/>
    <x v="564"/>
    <x v="321"/>
    <x v="0"/>
    <x v="0"/>
    <x v="0"/>
    <x v="0"/>
    <x v="85"/>
    <x v="0"/>
    <x v="1"/>
    <x v="250"/>
    <x v="46"/>
    <x v="27"/>
    <x v="0"/>
    <x v="0"/>
    <x v="357"/>
    <x v="253"/>
    <x v="0"/>
    <x v="253"/>
    <x v="29"/>
    <x v="63"/>
    <x v="46"/>
    <x v="317"/>
    <x v="3"/>
    <x v="233"/>
    <x v="102"/>
    <x v="90"/>
    <x v="597"/>
  </r>
  <r>
    <x v="22"/>
    <x v="4"/>
    <x v="1"/>
    <x v="27"/>
    <x v="9"/>
    <x v="11"/>
    <x v="15"/>
    <x v="12"/>
    <x v="2"/>
    <x v="31"/>
    <x v="125"/>
    <x v="105"/>
    <x v="323"/>
    <x v="196"/>
    <x v="0"/>
    <x v="0"/>
    <x v="21"/>
    <x v="0"/>
    <x v="54"/>
    <x v="0"/>
    <x v="4"/>
    <x v="77"/>
    <x v="216"/>
    <x v="19"/>
    <x v="0"/>
    <x v="0"/>
    <x v="357"/>
    <x v="307"/>
    <x v="0"/>
    <x v="180"/>
    <x v="11"/>
    <x v="65"/>
    <x v="83"/>
    <x v="209"/>
    <x v="7"/>
    <x v="443"/>
    <x v="395"/>
    <x v="496"/>
    <x v="599"/>
  </r>
  <r>
    <x v="22"/>
    <x v="4"/>
    <x v="1"/>
    <x v="26"/>
    <x v="9"/>
    <x v="11"/>
    <x v="8"/>
    <x v="4"/>
    <x v="2"/>
    <x v="14"/>
    <x v="10"/>
    <x v="11"/>
    <x v="20"/>
    <x v="19"/>
    <x v="0"/>
    <x v="0"/>
    <x v="1"/>
    <x v="0"/>
    <x v="5"/>
    <x v="0"/>
    <x v="4"/>
    <x v="14"/>
    <x v="384"/>
    <x v="17"/>
    <x v="0"/>
    <x v="0"/>
    <x v="357"/>
    <x v="213"/>
    <x v="0"/>
    <x v="299"/>
    <x v="15"/>
    <x v="12"/>
    <x v="16"/>
    <x v="41"/>
    <x v="7"/>
    <x v="472"/>
    <x v="281"/>
    <x v="35"/>
    <x v="242"/>
  </r>
  <r>
    <x v="22"/>
    <x v="2"/>
    <x v="4"/>
    <x v="57"/>
    <x v="9"/>
    <x v="7"/>
    <x v="27"/>
    <x v="543"/>
    <x v="2"/>
    <x v="37"/>
    <x v="147"/>
    <x v="120"/>
    <x v="544"/>
    <x v="301"/>
    <x v="0"/>
    <x v="0"/>
    <x v="0"/>
    <x v="0"/>
    <x v="0"/>
    <x v="0"/>
    <x v="0"/>
    <x v="353"/>
    <x v="320"/>
    <x v="15"/>
    <x v="0"/>
    <x v="0"/>
    <x v="357"/>
    <x v="0"/>
    <x v="0"/>
    <x v="541"/>
    <x v="9"/>
    <x v="87"/>
    <x v="97"/>
    <x v="289"/>
    <x v="2"/>
    <x v="133"/>
    <x v="257"/>
    <x v="368"/>
    <x v="596"/>
  </r>
  <r>
    <x v="22"/>
    <x v="2"/>
    <x v="7"/>
    <x v="20"/>
    <x v="9"/>
    <x v="9"/>
    <x v="25"/>
    <x v="549"/>
    <x v="2"/>
    <x v="24"/>
    <x v="120"/>
    <x v="124"/>
    <x v="335"/>
    <x v="205"/>
    <x v="0"/>
    <x v="0"/>
    <x v="0"/>
    <x v="0"/>
    <x v="0"/>
    <x v="0"/>
    <x v="0"/>
    <x v="258"/>
    <x v="372"/>
    <x v="11"/>
    <x v="0"/>
    <x v="0"/>
    <x v="357"/>
    <x v="0"/>
    <x v="0"/>
    <x v="541"/>
    <x v="9"/>
    <x v="48"/>
    <x v="76"/>
    <x v="306"/>
    <x v="2"/>
    <x v="77"/>
    <x v="393"/>
    <x v="462"/>
    <x v="236"/>
  </r>
  <r>
    <x v="22"/>
    <x v="2"/>
    <x v="7"/>
    <x v="21"/>
    <x v="9"/>
    <x v="9"/>
    <x v="49"/>
    <x v="562"/>
    <x v="2"/>
    <x v="21"/>
    <x v="94"/>
    <x v="116"/>
    <x v="125"/>
    <x v="105"/>
    <x v="0"/>
    <x v="0"/>
    <x v="0"/>
    <x v="0"/>
    <x v="0"/>
    <x v="0"/>
    <x v="0"/>
    <x v="157"/>
    <x v="72"/>
    <x v="12"/>
    <x v="0"/>
    <x v="0"/>
    <x v="357"/>
    <x v="0"/>
    <x v="0"/>
    <x v="541"/>
    <x v="15"/>
    <x v="31"/>
    <x v="45"/>
    <x v="173"/>
    <x v="2"/>
    <x v="209"/>
    <x v="97"/>
    <x v="86"/>
    <x v="237"/>
  </r>
  <r>
    <x v="22"/>
    <x v="2"/>
    <x v="5"/>
    <x v="13"/>
    <x v="7"/>
    <x v="6"/>
    <x v="47"/>
    <x v="563"/>
    <x v="2"/>
    <x v="37"/>
    <x v="129"/>
    <x v="93"/>
    <x v="144"/>
    <x v="112"/>
    <x v="34"/>
    <x v="31"/>
    <x v="0"/>
    <x v="0"/>
    <x v="30"/>
    <x v="2"/>
    <x v="0"/>
    <x v="164"/>
    <x v="24"/>
    <x v="43"/>
    <x v="1"/>
    <x v="45"/>
    <x v="56"/>
    <x v="311"/>
    <x v="163"/>
    <x v="181"/>
    <x v="39"/>
    <x v="50"/>
    <x v="24"/>
    <x v="43"/>
    <x v="4"/>
    <x v="325"/>
    <x v="67"/>
    <x v="33"/>
    <x v="235"/>
  </r>
  <r>
    <x v="22"/>
    <x v="2"/>
    <x v="0"/>
    <x v="34"/>
    <x v="5"/>
    <x v="1"/>
    <x v="78"/>
    <x v="171"/>
    <x v="2"/>
    <x v="37"/>
    <x v="80"/>
    <x v="16"/>
    <x v="168"/>
    <x v="127"/>
    <x v="47"/>
    <x v="53"/>
    <x v="0"/>
    <x v="0"/>
    <x v="80"/>
    <x v="0"/>
    <x v="0"/>
    <x v="178"/>
    <x v="298"/>
    <x v="44"/>
    <x v="12"/>
    <x v="366"/>
    <x v="55"/>
    <x v="449"/>
    <x v="201"/>
    <x v="21"/>
    <x v="7"/>
    <x v="89"/>
    <x v="101"/>
    <x v="54"/>
    <x v="6"/>
    <x v="402"/>
    <x v="104"/>
    <x v="215"/>
    <x v="239"/>
  </r>
  <r>
    <x v="22"/>
    <x v="2"/>
    <x v="6"/>
    <x v="17"/>
    <x v="9"/>
    <x v="10"/>
    <x v="48"/>
    <x v="561"/>
    <x v="2"/>
    <x v="37"/>
    <x v="146"/>
    <x v="118"/>
    <x v="510"/>
    <x v="264"/>
    <x v="0"/>
    <x v="0"/>
    <x v="0"/>
    <x v="0"/>
    <x v="0"/>
    <x v="0"/>
    <x v="0"/>
    <x v="307"/>
    <x v="161"/>
    <x v="8"/>
    <x v="0"/>
    <x v="0"/>
    <x v="357"/>
    <x v="0"/>
    <x v="0"/>
    <x v="541"/>
    <x v="34"/>
    <x v="56"/>
    <x v="35"/>
    <x v="241"/>
    <x v="0"/>
    <x v="59"/>
    <x v="84"/>
    <x v="67"/>
    <x v="598"/>
  </r>
  <r>
    <x v="22"/>
    <x v="2"/>
    <x v="3"/>
    <x v="67"/>
    <x v="9"/>
    <x v="4"/>
    <x v="6"/>
    <x v="175"/>
    <x v="2"/>
    <x v="37"/>
    <x v="121"/>
    <x v="62"/>
    <x v="387"/>
    <x v="227"/>
    <x v="0"/>
    <x v="0"/>
    <x v="0"/>
    <x v="0"/>
    <x v="12"/>
    <x v="0"/>
    <x v="0"/>
    <x v="276"/>
    <x v="453"/>
    <x v="38"/>
    <x v="3"/>
    <x v="260"/>
    <x v="330"/>
    <x v="82"/>
    <x v="0"/>
    <x v="443"/>
    <x v="0"/>
    <x v="92"/>
    <x v="107"/>
    <x v="203"/>
    <x v="5"/>
    <x v="276"/>
    <x v="365"/>
    <x v="615"/>
    <x v="238"/>
  </r>
  <r>
    <x v="22"/>
    <x v="3"/>
    <x v="0"/>
    <x v="34"/>
    <x v="5"/>
    <x v="1"/>
    <x v="78"/>
    <x v="173"/>
    <x v="4"/>
    <x v="37"/>
    <x v="80"/>
    <x v="16"/>
    <x v="113"/>
    <x v="90"/>
    <x v="50"/>
    <x v="51"/>
    <x v="0"/>
    <x v="0"/>
    <x v="41"/>
    <x v="2"/>
    <x v="0"/>
    <x v="145"/>
    <x v="73"/>
    <x v="44"/>
    <x v="12"/>
    <x v="311"/>
    <x v="39"/>
    <x v="418"/>
    <x v="217"/>
    <x v="57"/>
    <x v="38"/>
    <x v="51"/>
    <x v="26"/>
    <x v="28"/>
    <x v="6"/>
    <x v="369"/>
    <x v="333"/>
    <x v="73"/>
    <x v="240"/>
  </r>
  <r>
    <x v="22"/>
    <x v="3"/>
    <x v="3"/>
    <x v="67"/>
    <x v="9"/>
    <x v="4"/>
    <x v="6"/>
    <x v="176"/>
    <x v="4"/>
    <x v="37"/>
    <x v="121"/>
    <x v="62"/>
    <x v="486"/>
    <x v="250"/>
    <x v="0"/>
    <x v="0"/>
    <x v="0"/>
    <x v="0"/>
    <x v="11"/>
    <x v="2"/>
    <x v="0"/>
    <x v="291"/>
    <x v="483"/>
    <x v="38"/>
    <x v="3"/>
    <x v="294"/>
    <x v="313"/>
    <x v="70"/>
    <x v="0"/>
    <x v="457"/>
    <x v="0"/>
    <x v="92"/>
    <x v="107"/>
    <x v="224"/>
    <x v="5"/>
    <x v="248"/>
    <x v="430"/>
    <x v="677"/>
    <x v="241"/>
  </r>
  <r>
    <x v="23"/>
    <x v="1"/>
    <x v="0"/>
    <x v="34"/>
    <x v="5"/>
    <x v="1"/>
    <x v="78"/>
    <x v="178"/>
    <x v="1"/>
    <x v="37"/>
    <x v="83"/>
    <x v="21"/>
    <x v="134"/>
    <x v="106"/>
    <x v="46"/>
    <x v="58"/>
    <x v="0"/>
    <x v="0"/>
    <x v="65"/>
    <x v="2"/>
    <x v="0"/>
    <x v="158"/>
    <x v="113"/>
    <x v="44"/>
    <x v="12"/>
    <x v="347"/>
    <x v="45"/>
    <x v="448"/>
    <x v="215"/>
    <x v="24"/>
    <x v="24"/>
    <x v="69"/>
    <x v="57"/>
    <x v="36"/>
    <x v="6"/>
    <x v="398"/>
    <x v="112"/>
    <x v="107"/>
    <x v="280"/>
  </r>
  <r>
    <x v="23"/>
    <x v="1"/>
    <x v="5"/>
    <x v="11"/>
    <x v="7"/>
    <x v="5"/>
    <x v="35"/>
    <x v="568"/>
    <x v="1"/>
    <x v="37"/>
    <x v="129"/>
    <x v="93"/>
    <x v="253"/>
    <x v="151"/>
    <x v="43"/>
    <x v="62"/>
    <x v="0"/>
    <x v="0"/>
    <x v="59"/>
    <x v="2"/>
    <x v="0"/>
    <x v="209"/>
    <x v="71"/>
    <x v="43"/>
    <x v="1"/>
    <x v="76"/>
    <x v="41"/>
    <x v="377"/>
    <x v="204"/>
    <x v="107"/>
    <x v="29"/>
    <x v="63"/>
    <x v="46"/>
    <x v="83"/>
    <x v="4"/>
    <x v="304"/>
    <x v="110"/>
    <x v="93"/>
    <x v="600"/>
  </r>
  <r>
    <x v="23"/>
    <x v="1"/>
    <x v="3"/>
    <x v="67"/>
    <x v="9"/>
    <x v="4"/>
    <x v="6"/>
    <x v="182"/>
    <x v="1"/>
    <x v="37"/>
    <x v="121"/>
    <x v="62"/>
    <x v="470"/>
    <x v="246"/>
    <x v="0"/>
    <x v="0"/>
    <x v="0"/>
    <x v="0"/>
    <x v="4"/>
    <x v="2"/>
    <x v="0"/>
    <x v="288"/>
    <x v="480"/>
    <x v="38"/>
    <x v="3"/>
    <x v="284"/>
    <x v="334"/>
    <x v="23"/>
    <x v="0"/>
    <x v="514"/>
    <x v="0"/>
    <x v="92"/>
    <x v="107"/>
    <x v="220"/>
    <x v="5"/>
    <x v="252"/>
    <x v="424"/>
    <x v="673"/>
    <x v="601"/>
  </r>
  <r>
    <x v="23"/>
    <x v="1"/>
    <x v="4"/>
    <x v="57"/>
    <x v="9"/>
    <x v="7"/>
    <x v="27"/>
    <x v="552"/>
    <x v="1"/>
    <x v="37"/>
    <x v="146"/>
    <x v="118"/>
    <x v="530"/>
    <x v="284"/>
    <x v="0"/>
    <x v="0"/>
    <x v="0"/>
    <x v="0"/>
    <x v="0"/>
    <x v="0"/>
    <x v="0"/>
    <x v="330"/>
    <x v="236"/>
    <x v="15"/>
    <x v="0"/>
    <x v="0"/>
    <x v="357"/>
    <x v="0"/>
    <x v="0"/>
    <x v="541"/>
    <x v="21"/>
    <x v="72"/>
    <x v="63"/>
    <x v="259"/>
    <x v="2"/>
    <x v="88"/>
    <x v="351"/>
    <x v="278"/>
    <x v="602"/>
  </r>
  <r>
    <x v="23"/>
    <x v="1"/>
    <x v="7"/>
    <x v="21"/>
    <x v="9"/>
    <x v="9"/>
    <x v="49"/>
    <x v="564"/>
    <x v="1"/>
    <x v="37"/>
    <x v="146"/>
    <x v="118"/>
    <x v="327"/>
    <x v="200"/>
    <x v="0"/>
    <x v="0"/>
    <x v="0"/>
    <x v="0"/>
    <x v="0"/>
    <x v="0"/>
    <x v="0"/>
    <x v="254"/>
    <x v="49"/>
    <x v="12"/>
    <x v="0"/>
    <x v="0"/>
    <x v="357"/>
    <x v="0"/>
    <x v="0"/>
    <x v="541"/>
    <x v="37"/>
    <x v="52"/>
    <x v="27"/>
    <x v="149"/>
    <x v="2"/>
    <x v="140"/>
    <x v="241"/>
    <x v="72"/>
    <x v="603"/>
  </r>
  <r>
    <x v="23"/>
    <x v="4"/>
    <x v="8"/>
    <x v="61"/>
    <x v="9"/>
    <x v="18"/>
    <x v="26"/>
    <x v="544"/>
    <x v="2"/>
    <x v="38"/>
    <x v="173"/>
    <x v="159"/>
    <x v="591"/>
    <x v="349"/>
    <x v="0"/>
    <x v="0"/>
    <x v="0"/>
    <x v="0"/>
    <x v="59"/>
    <x v="0"/>
    <x v="0"/>
    <x v="405"/>
    <x v="129"/>
    <x v="27"/>
    <x v="0"/>
    <x v="0"/>
    <x v="357"/>
    <x v="146"/>
    <x v="0"/>
    <x v="374"/>
    <x v="11"/>
    <x v="90"/>
    <x v="91"/>
    <x v="347"/>
    <x v="3"/>
    <x v="29"/>
    <x v="474"/>
    <x v="704"/>
    <x v="605"/>
  </r>
  <r>
    <x v="23"/>
    <x v="4"/>
    <x v="9"/>
    <x v="22"/>
    <x v="9"/>
    <x v="16"/>
    <x v="46"/>
    <x v="458"/>
    <x v="2"/>
    <x v="38"/>
    <x v="178"/>
    <x v="182"/>
    <x v="620"/>
    <x v="383"/>
    <x v="0"/>
    <x v="0"/>
    <x v="0"/>
    <x v="0"/>
    <x v="0"/>
    <x v="0"/>
    <x v="1"/>
    <x v="375"/>
    <x v="291"/>
    <x v="29"/>
    <x v="0"/>
    <x v="0"/>
    <x v="357"/>
    <x v="0"/>
    <x v="0"/>
    <x v="541"/>
    <x v="11"/>
    <x v="90"/>
    <x v="91"/>
    <x v="400"/>
    <x v="1"/>
    <x v="91"/>
    <x v="29"/>
    <x v="135"/>
    <x v="606"/>
  </r>
  <r>
    <x v="23"/>
    <x v="4"/>
    <x v="1"/>
    <x v="26"/>
    <x v="9"/>
    <x v="11"/>
    <x v="8"/>
    <x v="5"/>
    <x v="2"/>
    <x v="19"/>
    <x v="61"/>
    <x v="91"/>
    <x v="112"/>
    <x v="93"/>
    <x v="0"/>
    <x v="0"/>
    <x v="9"/>
    <x v="0"/>
    <x v="24"/>
    <x v="0"/>
    <x v="4"/>
    <x v="48"/>
    <x v="251"/>
    <x v="17"/>
    <x v="0"/>
    <x v="0"/>
    <x v="357"/>
    <x v="314"/>
    <x v="0"/>
    <x v="172"/>
    <x v="0"/>
    <x v="39"/>
    <x v="107"/>
    <x v="184"/>
    <x v="7"/>
    <x v="484"/>
    <x v="143"/>
    <x v="345"/>
    <x v="243"/>
  </r>
  <r>
    <x v="23"/>
    <x v="4"/>
    <x v="1"/>
    <x v="41"/>
    <x v="9"/>
    <x v="11"/>
    <x v="7"/>
    <x v="5"/>
    <x v="2"/>
    <x v="4"/>
    <x v="3"/>
    <x v="13"/>
    <x v="6"/>
    <x v="6"/>
    <x v="0"/>
    <x v="0"/>
    <x v="0"/>
    <x v="0"/>
    <x v="0"/>
    <x v="0"/>
    <x v="4"/>
    <x v="6"/>
    <x v="256"/>
    <x v="17"/>
    <x v="0"/>
    <x v="0"/>
    <x v="357"/>
    <x v="0"/>
    <x v="0"/>
    <x v="541"/>
    <x v="6"/>
    <x v="3"/>
    <x v="14"/>
    <x v="44"/>
    <x v="7"/>
    <x v="452"/>
    <x v="360"/>
    <x v="41"/>
    <x v="244"/>
  </r>
  <r>
    <x v="23"/>
    <x v="4"/>
    <x v="1"/>
    <x v="43"/>
    <x v="9"/>
    <x v="11"/>
    <x v="14"/>
    <x v="13"/>
    <x v="2"/>
    <x v="1"/>
    <x v="0"/>
    <x v="0"/>
    <x v="0"/>
    <x v="0"/>
    <x v="0"/>
    <x v="0"/>
    <x v="0"/>
    <x v="0"/>
    <x v="0"/>
    <x v="0"/>
    <x v="4"/>
    <x v="0"/>
    <x v="288"/>
    <x v="19"/>
    <x v="0"/>
    <x v="0"/>
    <x v="357"/>
    <x v="0"/>
    <x v="0"/>
    <x v="541"/>
    <x v="0"/>
    <x v="4"/>
    <x v="107"/>
    <x v="1"/>
    <x v="7"/>
    <x v="509"/>
    <x v="0"/>
    <x v="0"/>
    <x v="245"/>
  </r>
  <r>
    <x v="23"/>
    <x v="4"/>
    <x v="1"/>
    <x v="38"/>
    <x v="9"/>
    <x v="11"/>
    <x v="76"/>
    <x v="170"/>
    <x v="2"/>
    <x v="16"/>
    <x v="33"/>
    <x v="46"/>
    <x v="56"/>
    <x v="54"/>
    <x v="0"/>
    <x v="0"/>
    <x v="0"/>
    <x v="0"/>
    <x v="17"/>
    <x v="0"/>
    <x v="4"/>
    <x v="29"/>
    <x v="202"/>
    <x v="21"/>
    <x v="0"/>
    <x v="0"/>
    <x v="357"/>
    <x v="343"/>
    <x v="0"/>
    <x v="143"/>
    <x v="7"/>
    <x v="27"/>
    <x v="64"/>
    <x v="105"/>
    <x v="7"/>
    <x v="492"/>
    <x v="101"/>
    <x v="132"/>
    <x v="604"/>
  </r>
  <r>
    <x v="23"/>
    <x v="4"/>
    <x v="1"/>
    <x v="45"/>
    <x v="9"/>
    <x v="11"/>
    <x v="77"/>
    <x v="170"/>
    <x v="2"/>
    <x v="1"/>
    <x v="2"/>
    <x v="3"/>
    <x v="4"/>
    <x v="4"/>
    <x v="0"/>
    <x v="0"/>
    <x v="0"/>
    <x v="0"/>
    <x v="0"/>
    <x v="0"/>
    <x v="4"/>
    <x v="4"/>
    <x v="288"/>
    <x v="24"/>
    <x v="0"/>
    <x v="0"/>
    <x v="357"/>
    <x v="0"/>
    <x v="0"/>
    <x v="541"/>
    <x v="3"/>
    <x v="0"/>
    <x v="6"/>
    <x v="18"/>
    <x v="7"/>
    <x v="459"/>
    <x v="348"/>
    <x v="14"/>
    <x v="755"/>
  </r>
  <r>
    <x v="23"/>
    <x v="4"/>
    <x v="1"/>
    <x v="40"/>
    <x v="9"/>
    <x v="11"/>
    <x v="73"/>
    <x v="1"/>
    <x v="2"/>
    <x v="12"/>
    <x v="13"/>
    <x v="28"/>
    <x v="22"/>
    <x v="24"/>
    <x v="0"/>
    <x v="0"/>
    <x v="6"/>
    <x v="0"/>
    <x v="5"/>
    <x v="0"/>
    <x v="4"/>
    <x v="19"/>
    <x v="288"/>
    <x v="23"/>
    <x v="0"/>
    <x v="0"/>
    <x v="357"/>
    <x v="196"/>
    <x v="0"/>
    <x v="320"/>
    <x v="10"/>
    <x v="13"/>
    <x v="29"/>
    <x v="64"/>
    <x v="7"/>
    <x v="473"/>
    <x v="247"/>
    <x v="76"/>
    <x v="755"/>
  </r>
  <r>
    <x v="23"/>
    <x v="2"/>
    <x v="6"/>
    <x v="15"/>
    <x v="9"/>
    <x v="10"/>
    <x v="36"/>
    <x v="569"/>
    <x v="2"/>
    <x v="37"/>
    <x v="147"/>
    <x v="120"/>
    <x v="508"/>
    <x v="263"/>
    <x v="0"/>
    <x v="0"/>
    <x v="0"/>
    <x v="0"/>
    <x v="0"/>
    <x v="0"/>
    <x v="0"/>
    <x v="306"/>
    <x v="157"/>
    <x v="6"/>
    <x v="0"/>
    <x v="0"/>
    <x v="357"/>
    <x v="0"/>
    <x v="0"/>
    <x v="541"/>
    <x v="29"/>
    <x v="63"/>
    <x v="46"/>
    <x v="240"/>
    <x v="0"/>
    <x v="76"/>
    <x v="26"/>
    <x v="64"/>
    <x v="607"/>
  </r>
  <r>
    <x v="23"/>
    <x v="2"/>
    <x v="7"/>
    <x v="19"/>
    <x v="9"/>
    <x v="9"/>
    <x v="37"/>
    <x v="570"/>
    <x v="2"/>
    <x v="37"/>
    <x v="147"/>
    <x v="120"/>
    <x v="222"/>
    <x v="151"/>
    <x v="0"/>
    <x v="0"/>
    <x v="0"/>
    <x v="0"/>
    <x v="0"/>
    <x v="0"/>
    <x v="0"/>
    <x v="209"/>
    <x v="22"/>
    <x v="10"/>
    <x v="0"/>
    <x v="0"/>
    <x v="357"/>
    <x v="0"/>
    <x v="0"/>
    <x v="541"/>
    <x v="43"/>
    <x v="43"/>
    <x v="16"/>
    <x v="83"/>
    <x v="2"/>
    <x v="151"/>
    <x v="227"/>
    <x v="31"/>
    <x v="608"/>
  </r>
  <r>
    <x v="23"/>
    <x v="2"/>
    <x v="5"/>
    <x v="11"/>
    <x v="7"/>
    <x v="5"/>
    <x v="35"/>
    <x v="571"/>
    <x v="2"/>
    <x v="37"/>
    <x v="129"/>
    <x v="93"/>
    <x v="353"/>
    <x v="209"/>
    <x v="0"/>
    <x v="46"/>
    <x v="0"/>
    <x v="0"/>
    <x v="61"/>
    <x v="0"/>
    <x v="0"/>
    <x v="262"/>
    <x v="185"/>
    <x v="43"/>
    <x v="1"/>
    <x v="140"/>
    <x v="159"/>
    <x v="323"/>
    <x v="128"/>
    <x v="167"/>
    <x v="0"/>
    <x v="92"/>
    <x v="107"/>
    <x v="161"/>
    <x v="4"/>
    <x v="330"/>
    <x v="65"/>
    <x v="245"/>
    <x v="610"/>
  </r>
  <r>
    <x v="23"/>
    <x v="2"/>
    <x v="0"/>
    <x v="36"/>
    <x v="5"/>
    <x v="1"/>
    <x v="71"/>
    <x v="185"/>
    <x v="2"/>
    <x v="37"/>
    <x v="80"/>
    <x v="16"/>
    <x v="167"/>
    <x v="127"/>
    <x v="42"/>
    <x v="56"/>
    <x v="0"/>
    <x v="0"/>
    <x v="55"/>
    <x v="0"/>
    <x v="0"/>
    <x v="178"/>
    <x v="298"/>
    <x v="44"/>
    <x v="12"/>
    <x v="362"/>
    <x v="65"/>
    <x v="404"/>
    <x v="207"/>
    <x v="74"/>
    <x v="15"/>
    <x v="80"/>
    <x v="77"/>
    <x v="54"/>
    <x v="6"/>
    <x v="389"/>
    <x v="208"/>
    <x v="224"/>
    <x v="248"/>
  </r>
  <r>
    <x v="23"/>
    <x v="2"/>
    <x v="3"/>
    <x v="67"/>
    <x v="9"/>
    <x v="4"/>
    <x v="6"/>
    <x v="183"/>
    <x v="2"/>
    <x v="37"/>
    <x v="121"/>
    <x v="62"/>
    <x v="437"/>
    <x v="242"/>
    <x v="0"/>
    <x v="0"/>
    <x v="0"/>
    <x v="0"/>
    <x v="22"/>
    <x v="0"/>
    <x v="0"/>
    <x v="284"/>
    <x v="468"/>
    <x v="38"/>
    <x v="3"/>
    <x v="278"/>
    <x v="303"/>
    <x v="122"/>
    <x v="0"/>
    <x v="398"/>
    <x v="0"/>
    <x v="92"/>
    <x v="107"/>
    <x v="214"/>
    <x v="5"/>
    <x v="264"/>
    <x v="400"/>
    <x v="643"/>
    <x v="247"/>
  </r>
  <r>
    <x v="23"/>
    <x v="2"/>
    <x v="4"/>
    <x v="57"/>
    <x v="9"/>
    <x v="7"/>
    <x v="27"/>
    <x v="553"/>
    <x v="2"/>
    <x v="33"/>
    <x v="140"/>
    <x v="117"/>
    <x v="511"/>
    <x v="266"/>
    <x v="0"/>
    <x v="0"/>
    <x v="0"/>
    <x v="0"/>
    <x v="0"/>
    <x v="0"/>
    <x v="0"/>
    <x v="311"/>
    <x v="348"/>
    <x v="15"/>
    <x v="0"/>
    <x v="0"/>
    <x v="357"/>
    <x v="0"/>
    <x v="0"/>
    <x v="541"/>
    <x v="0"/>
    <x v="82"/>
    <x v="107"/>
    <x v="288"/>
    <x v="2"/>
    <x v="192"/>
    <x v="135"/>
    <x v="359"/>
    <x v="609"/>
  </r>
  <r>
    <x v="23"/>
    <x v="2"/>
    <x v="4"/>
    <x v="58"/>
    <x v="9"/>
    <x v="7"/>
    <x v="51"/>
    <x v="559"/>
    <x v="2"/>
    <x v="6"/>
    <x v="23"/>
    <x v="131"/>
    <x v="43"/>
    <x v="46"/>
    <x v="0"/>
    <x v="0"/>
    <x v="0"/>
    <x v="0"/>
    <x v="0"/>
    <x v="0"/>
    <x v="0"/>
    <x v="104"/>
    <x v="288"/>
    <x v="16"/>
    <x v="0"/>
    <x v="0"/>
    <x v="357"/>
    <x v="0"/>
    <x v="0"/>
    <x v="541"/>
    <x v="0"/>
    <x v="14"/>
    <x v="107"/>
    <x v="313"/>
    <x v="2"/>
    <x v="119"/>
    <x v="282"/>
    <x v="556"/>
    <x v="246"/>
  </r>
  <r>
    <x v="23"/>
    <x v="3"/>
    <x v="0"/>
    <x v="36"/>
    <x v="5"/>
    <x v="1"/>
    <x v="71"/>
    <x v="181"/>
    <x v="4"/>
    <x v="37"/>
    <x v="80"/>
    <x v="16"/>
    <x v="212"/>
    <x v="145"/>
    <x v="4"/>
    <x v="54"/>
    <x v="0"/>
    <x v="0"/>
    <x v="63"/>
    <x v="2"/>
    <x v="0"/>
    <x v="201"/>
    <x v="450"/>
    <x v="44"/>
    <x v="12"/>
    <x v="383"/>
    <x v="88"/>
    <x v="393"/>
    <x v="185"/>
    <x v="90"/>
    <x v="0"/>
    <x v="92"/>
    <x v="107"/>
    <x v="72"/>
    <x v="6"/>
    <x v="387"/>
    <x v="231"/>
    <x v="447"/>
    <x v="611"/>
  </r>
  <r>
    <x v="23"/>
    <x v="3"/>
    <x v="3"/>
    <x v="67"/>
    <x v="9"/>
    <x v="4"/>
    <x v="6"/>
    <x v="184"/>
    <x v="4"/>
    <x v="37"/>
    <x v="121"/>
    <x v="62"/>
    <x v="470"/>
    <x v="246"/>
    <x v="0"/>
    <x v="0"/>
    <x v="0"/>
    <x v="0"/>
    <x v="4"/>
    <x v="2"/>
    <x v="0"/>
    <x v="288"/>
    <x v="480"/>
    <x v="38"/>
    <x v="3"/>
    <x v="284"/>
    <x v="334"/>
    <x v="23"/>
    <x v="0"/>
    <x v="514"/>
    <x v="0"/>
    <x v="92"/>
    <x v="107"/>
    <x v="220"/>
    <x v="5"/>
    <x v="252"/>
    <x v="424"/>
    <x v="673"/>
    <x v="249"/>
  </r>
  <r>
    <x v="23"/>
    <x v="3"/>
    <x v="5"/>
    <x v="11"/>
    <x v="7"/>
    <x v="5"/>
    <x v="35"/>
    <x v="573"/>
    <x v="4"/>
    <x v="37"/>
    <x v="129"/>
    <x v="93"/>
    <x v="410"/>
    <x v="227"/>
    <x v="0"/>
    <x v="37"/>
    <x v="0"/>
    <x v="0"/>
    <x v="65"/>
    <x v="2"/>
    <x v="0"/>
    <x v="276"/>
    <x v="344"/>
    <x v="43"/>
    <x v="1"/>
    <x v="189"/>
    <x v="179"/>
    <x v="305"/>
    <x v="94"/>
    <x v="188"/>
    <x v="0"/>
    <x v="92"/>
    <x v="107"/>
    <x v="203"/>
    <x v="4"/>
    <x v="276"/>
    <x v="199"/>
    <x v="414"/>
    <x v="250"/>
  </r>
  <r>
    <x v="24"/>
    <x v="1"/>
    <x v="0"/>
    <x v="36"/>
    <x v="5"/>
    <x v="1"/>
    <x v="71"/>
    <x v="186"/>
    <x v="1"/>
    <x v="14"/>
    <x v="14"/>
    <x v="17"/>
    <x v="23"/>
    <x v="24"/>
    <x v="2"/>
    <x v="7"/>
    <x v="0"/>
    <x v="0"/>
    <x v="6"/>
    <x v="2"/>
    <x v="0"/>
    <x v="71"/>
    <x v="235"/>
    <x v="44"/>
    <x v="12"/>
    <x v="60"/>
    <x v="83"/>
    <x v="232"/>
    <x v="184"/>
    <x v="285"/>
    <x v="9"/>
    <x v="18"/>
    <x v="45"/>
    <x v="49"/>
    <x v="6"/>
    <x v="358"/>
    <x v="416"/>
    <x v="200"/>
    <x v="251"/>
  </r>
  <r>
    <x v="24"/>
    <x v="1"/>
    <x v="6"/>
    <x v="15"/>
    <x v="9"/>
    <x v="10"/>
    <x v="36"/>
    <x v="574"/>
    <x v="1"/>
    <x v="37"/>
    <x v="147"/>
    <x v="120"/>
    <x v="519"/>
    <x v="273"/>
    <x v="0"/>
    <x v="0"/>
    <x v="0"/>
    <x v="0"/>
    <x v="0"/>
    <x v="0"/>
    <x v="0"/>
    <x v="317"/>
    <x v="181"/>
    <x v="6"/>
    <x v="0"/>
    <x v="0"/>
    <x v="357"/>
    <x v="0"/>
    <x v="0"/>
    <x v="541"/>
    <x v="39"/>
    <x v="50"/>
    <x v="24"/>
    <x v="246"/>
    <x v="0"/>
    <x v="21"/>
    <x v="347"/>
    <x v="71"/>
    <x v="612"/>
  </r>
  <r>
    <x v="24"/>
    <x v="1"/>
    <x v="7"/>
    <x v="19"/>
    <x v="9"/>
    <x v="18"/>
    <x v="37"/>
    <x v="572"/>
    <x v="1"/>
    <x v="37"/>
    <x v="147"/>
    <x v="120"/>
    <x v="297"/>
    <x v="191"/>
    <x v="0"/>
    <x v="0"/>
    <x v="0"/>
    <x v="0"/>
    <x v="0"/>
    <x v="0"/>
    <x v="0"/>
    <x v="244"/>
    <x v="38"/>
    <x v="10"/>
    <x v="0"/>
    <x v="0"/>
    <x v="357"/>
    <x v="0"/>
    <x v="0"/>
    <x v="541"/>
    <x v="39"/>
    <x v="50"/>
    <x v="24"/>
    <x v="132"/>
    <x v="2"/>
    <x v="119"/>
    <x v="282"/>
    <x v="63"/>
    <x v="252"/>
  </r>
  <r>
    <x v="24"/>
    <x v="1"/>
    <x v="4"/>
    <x v="58"/>
    <x v="9"/>
    <x v="18"/>
    <x v="51"/>
    <x v="559"/>
    <x v="1"/>
    <x v="37"/>
    <x v="147"/>
    <x v="120"/>
    <x v="325"/>
    <x v="199"/>
    <x v="0"/>
    <x v="0"/>
    <x v="0"/>
    <x v="0"/>
    <x v="0"/>
    <x v="0"/>
    <x v="0"/>
    <x v="253"/>
    <x v="47"/>
    <x v="16"/>
    <x v="0"/>
    <x v="0"/>
    <x v="357"/>
    <x v="0"/>
    <x v="0"/>
    <x v="541"/>
    <x v="39"/>
    <x v="50"/>
    <x v="24"/>
    <x v="148"/>
    <x v="2"/>
    <x v="92"/>
    <x v="346"/>
    <x v="70"/>
    <x v="613"/>
  </r>
  <r>
    <x v="24"/>
    <x v="1"/>
    <x v="5"/>
    <x v="11"/>
    <x v="7"/>
    <x v="5"/>
    <x v="35"/>
    <x v="580"/>
    <x v="1"/>
    <x v="37"/>
    <x v="129"/>
    <x v="93"/>
    <x v="446"/>
    <x v="242"/>
    <x v="0"/>
    <x v="11"/>
    <x v="0"/>
    <x v="0"/>
    <x v="42"/>
    <x v="2"/>
    <x v="0"/>
    <x v="284"/>
    <x v="393"/>
    <x v="43"/>
    <x v="1"/>
    <x v="211"/>
    <x v="258"/>
    <x v="191"/>
    <x v="14"/>
    <x v="327"/>
    <x v="0"/>
    <x v="92"/>
    <x v="107"/>
    <x v="214"/>
    <x v="4"/>
    <x v="264"/>
    <x v="270"/>
    <x v="536"/>
    <x v="253"/>
  </r>
  <r>
    <x v="24"/>
    <x v="1"/>
    <x v="3"/>
    <x v="67"/>
    <x v="9"/>
    <x v="18"/>
    <x v="6"/>
    <x v="191"/>
    <x v="1"/>
    <x v="37"/>
    <x v="121"/>
    <x v="62"/>
    <x v="434"/>
    <x v="242"/>
    <x v="0"/>
    <x v="4"/>
    <x v="0"/>
    <x v="0"/>
    <x v="0"/>
    <x v="2"/>
    <x v="0"/>
    <x v="284"/>
    <x v="468"/>
    <x v="38"/>
    <x v="3"/>
    <x v="275"/>
    <x v="321"/>
    <x v="0"/>
    <x v="4"/>
    <x v="541"/>
    <x v="0"/>
    <x v="92"/>
    <x v="107"/>
    <x v="214"/>
    <x v="5"/>
    <x v="264"/>
    <x v="400"/>
    <x v="654"/>
    <x v="254"/>
  </r>
  <r>
    <x v="24"/>
    <x v="1"/>
    <x v="8"/>
    <x v="61"/>
    <x v="9"/>
    <x v="18"/>
    <x v="26"/>
    <x v="552"/>
    <x v="1"/>
    <x v="33"/>
    <x v="171"/>
    <x v="180"/>
    <x v="511"/>
    <x v="265"/>
    <x v="0"/>
    <x v="0"/>
    <x v="0"/>
    <x v="0"/>
    <x v="49"/>
    <x v="0"/>
    <x v="0"/>
    <x v="309"/>
    <x v="27"/>
    <x v="27"/>
    <x v="0"/>
    <x v="0"/>
    <x v="357"/>
    <x v="193"/>
    <x v="0"/>
    <x v="323"/>
    <x v="11"/>
    <x v="70"/>
    <x v="85"/>
    <x v="285"/>
    <x v="3"/>
    <x v="110"/>
    <x v="414"/>
    <x v="564"/>
    <x v="614"/>
  </r>
  <r>
    <x v="24"/>
    <x v="4"/>
    <x v="8"/>
    <x v="62"/>
    <x v="9"/>
    <x v="18"/>
    <x v="50"/>
    <x v="559"/>
    <x v="2"/>
    <x v="6"/>
    <x v="23"/>
    <x v="131"/>
    <x v="43"/>
    <x v="45"/>
    <x v="0"/>
    <x v="0"/>
    <x v="0"/>
    <x v="0"/>
    <x v="3"/>
    <x v="0"/>
    <x v="0"/>
    <x v="103"/>
    <x v="284"/>
    <x v="28"/>
    <x v="0"/>
    <x v="0"/>
    <x v="357"/>
    <x v="98"/>
    <x v="0"/>
    <x v="426"/>
    <x v="0"/>
    <x v="14"/>
    <x v="107"/>
    <x v="312"/>
    <x v="3"/>
    <x v="121"/>
    <x v="404"/>
    <x v="655"/>
    <x v="255"/>
  </r>
  <r>
    <x v="24"/>
    <x v="4"/>
    <x v="1"/>
    <x v="40"/>
    <x v="9"/>
    <x v="11"/>
    <x v="73"/>
    <x v="179"/>
    <x v="2"/>
    <x v="19"/>
    <x v="33"/>
    <x v="31"/>
    <x v="38"/>
    <x v="40"/>
    <x v="0"/>
    <x v="0"/>
    <x v="5"/>
    <x v="0"/>
    <x v="14"/>
    <x v="0"/>
    <x v="4"/>
    <x v="24"/>
    <x v="99"/>
    <x v="23"/>
    <x v="0"/>
    <x v="0"/>
    <x v="357"/>
    <x v="348"/>
    <x v="0"/>
    <x v="137"/>
    <x v="20"/>
    <x v="20"/>
    <x v="24"/>
    <x v="50"/>
    <x v="7"/>
    <x v="479"/>
    <x v="196"/>
    <x v="47"/>
    <x v="755"/>
  </r>
  <r>
    <x v="24"/>
    <x v="4"/>
    <x v="1"/>
    <x v="7"/>
    <x v="9"/>
    <x v="11"/>
    <x v="17"/>
    <x v="93"/>
    <x v="2"/>
    <x v="27"/>
    <x v="78"/>
    <x v="38"/>
    <x v="133"/>
    <x v="110"/>
    <x v="0"/>
    <x v="0"/>
    <x v="5"/>
    <x v="0"/>
    <x v="14"/>
    <x v="0"/>
    <x v="4"/>
    <x v="54"/>
    <x v="172"/>
    <x v="2"/>
    <x v="0"/>
    <x v="0"/>
    <x v="357"/>
    <x v="166"/>
    <x v="0"/>
    <x v="351"/>
    <x v="24"/>
    <x v="44"/>
    <x v="41"/>
    <x v="81"/>
    <x v="7"/>
    <x v="477"/>
    <x v="217"/>
    <x v="97"/>
    <x v="755"/>
  </r>
  <r>
    <x v="24"/>
    <x v="2"/>
    <x v="5"/>
    <x v="11"/>
    <x v="7"/>
    <x v="5"/>
    <x v="35"/>
    <x v="582"/>
    <x v="2"/>
    <x v="37"/>
    <x v="129"/>
    <x v="93"/>
    <x v="421"/>
    <x v="232"/>
    <x v="0"/>
    <x v="34"/>
    <x v="0"/>
    <x v="0"/>
    <x v="60"/>
    <x v="0"/>
    <x v="0"/>
    <x v="280"/>
    <x v="367"/>
    <x v="43"/>
    <x v="1"/>
    <x v="194"/>
    <x v="202"/>
    <x v="270"/>
    <x v="87"/>
    <x v="233"/>
    <x v="0"/>
    <x v="92"/>
    <x v="107"/>
    <x v="208"/>
    <x v="4"/>
    <x v="271"/>
    <x v="226"/>
    <x v="448"/>
    <x v="616"/>
  </r>
  <r>
    <x v="24"/>
    <x v="2"/>
    <x v="6"/>
    <x v="15"/>
    <x v="9"/>
    <x v="10"/>
    <x v="36"/>
    <x v="581"/>
    <x v="2"/>
    <x v="37"/>
    <x v="146"/>
    <x v="118"/>
    <x v="558"/>
    <x v="315"/>
    <x v="0"/>
    <x v="0"/>
    <x v="0"/>
    <x v="0"/>
    <x v="0"/>
    <x v="0"/>
    <x v="0"/>
    <x v="372"/>
    <x v="412"/>
    <x v="6"/>
    <x v="0"/>
    <x v="0"/>
    <x v="357"/>
    <x v="0"/>
    <x v="0"/>
    <x v="541"/>
    <x v="30"/>
    <x v="61"/>
    <x v="45"/>
    <x v="308"/>
    <x v="0"/>
    <x v="31"/>
    <x v="245"/>
    <x v="113"/>
    <x v="615"/>
  </r>
  <r>
    <x v="24"/>
    <x v="2"/>
    <x v="7"/>
    <x v="19"/>
    <x v="9"/>
    <x v="9"/>
    <x v="37"/>
    <x v="575"/>
    <x v="2"/>
    <x v="37"/>
    <x v="147"/>
    <x v="120"/>
    <x v="347"/>
    <x v="208"/>
    <x v="0"/>
    <x v="0"/>
    <x v="0"/>
    <x v="0"/>
    <x v="8"/>
    <x v="0"/>
    <x v="0"/>
    <x v="261"/>
    <x v="56"/>
    <x v="10"/>
    <x v="0"/>
    <x v="0"/>
    <x v="357"/>
    <x v="68"/>
    <x v="0"/>
    <x v="459"/>
    <x v="30"/>
    <x v="61"/>
    <x v="45"/>
    <x v="160"/>
    <x v="2"/>
    <x v="216"/>
    <x v="62"/>
    <x v="78"/>
    <x v="617"/>
  </r>
  <r>
    <x v="24"/>
    <x v="2"/>
    <x v="3"/>
    <x v="67"/>
    <x v="9"/>
    <x v="4"/>
    <x v="6"/>
    <x v="192"/>
    <x v="2"/>
    <x v="37"/>
    <x v="121"/>
    <x v="62"/>
    <x v="436"/>
    <x v="242"/>
    <x v="0"/>
    <x v="0"/>
    <x v="0"/>
    <x v="0"/>
    <x v="21"/>
    <x v="0"/>
    <x v="0"/>
    <x v="284"/>
    <x v="468"/>
    <x v="38"/>
    <x v="3"/>
    <x v="277"/>
    <x v="306"/>
    <x v="115"/>
    <x v="0"/>
    <x v="407"/>
    <x v="0"/>
    <x v="92"/>
    <x v="107"/>
    <x v="214"/>
    <x v="5"/>
    <x v="264"/>
    <x v="400"/>
    <x v="644"/>
    <x v="256"/>
  </r>
  <r>
    <x v="24"/>
    <x v="2"/>
    <x v="0"/>
    <x v="29"/>
    <x v="2"/>
    <x v="0"/>
    <x v="19"/>
    <x v="187"/>
    <x v="2"/>
    <x v="37"/>
    <x v="80"/>
    <x v="16"/>
    <x v="75"/>
    <x v="61"/>
    <x v="30"/>
    <x v="56"/>
    <x v="0"/>
    <x v="0"/>
    <x v="36"/>
    <x v="2"/>
    <x v="0"/>
    <x v="119"/>
    <x v="26"/>
    <x v="44"/>
    <x v="8"/>
    <x v="238"/>
    <x v="28"/>
    <x v="443"/>
    <x v="233"/>
    <x v="35"/>
    <x v="42"/>
    <x v="44"/>
    <x v="18"/>
    <x v="13"/>
    <x v="6"/>
    <x v="399"/>
    <x v="111"/>
    <x v="28"/>
    <x v="257"/>
  </r>
  <r>
    <x v="24"/>
    <x v="3"/>
    <x v="0"/>
    <x v="29"/>
    <x v="2"/>
    <x v="0"/>
    <x v="19"/>
    <x v="189"/>
    <x v="4"/>
    <x v="37"/>
    <x v="80"/>
    <x v="16"/>
    <x v="181"/>
    <x v="133"/>
    <x v="11"/>
    <x v="61"/>
    <x v="0"/>
    <x v="0"/>
    <x v="65"/>
    <x v="2"/>
    <x v="0"/>
    <x v="188"/>
    <x v="382"/>
    <x v="44"/>
    <x v="8"/>
    <x v="352"/>
    <x v="71"/>
    <x v="419"/>
    <x v="208"/>
    <x v="56"/>
    <x v="0"/>
    <x v="92"/>
    <x v="107"/>
    <x v="61"/>
    <x v="6"/>
    <x v="401"/>
    <x v="108"/>
    <x v="284"/>
    <x v="259"/>
  </r>
  <r>
    <x v="24"/>
    <x v="3"/>
    <x v="3"/>
    <x v="67"/>
    <x v="9"/>
    <x v="4"/>
    <x v="6"/>
    <x v="193"/>
    <x v="4"/>
    <x v="37"/>
    <x v="121"/>
    <x v="62"/>
    <x v="423"/>
    <x v="238"/>
    <x v="0"/>
    <x v="0"/>
    <x v="0"/>
    <x v="0"/>
    <x v="8"/>
    <x v="2"/>
    <x v="0"/>
    <x v="282"/>
    <x v="462"/>
    <x v="38"/>
    <x v="3"/>
    <x v="268"/>
    <x v="320"/>
    <x v="61"/>
    <x v="0"/>
    <x v="468"/>
    <x v="0"/>
    <x v="92"/>
    <x v="107"/>
    <x v="211"/>
    <x v="5"/>
    <x v="266"/>
    <x v="392"/>
    <x v="635"/>
    <x v="268"/>
  </r>
  <r>
    <x v="24"/>
    <x v="3"/>
    <x v="5"/>
    <x v="11"/>
    <x v="7"/>
    <x v="5"/>
    <x v="35"/>
    <x v="736"/>
    <x v="4"/>
    <x v="37"/>
    <x v="129"/>
    <x v="93"/>
    <x v="333"/>
    <x v="198"/>
    <x v="27"/>
    <x v="25"/>
    <x v="0"/>
    <x v="0"/>
    <x v="50"/>
    <x v="2"/>
    <x v="0"/>
    <x v="252"/>
    <x v="151"/>
    <x v="43"/>
    <x v="1"/>
    <x v="130"/>
    <x v="127"/>
    <x v="276"/>
    <x v="78"/>
    <x v="220"/>
    <x v="0"/>
    <x v="92"/>
    <x v="107"/>
    <x v="147"/>
    <x v="4"/>
    <x v="343"/>
    <x v="39"/>
    <x v="211"/>
    <x v="258"/>
  </r>
  <r>
    <x v="25"/>
    <x v="1"/>
    <x v="0"/>
    <x v="29"/>
    <x v="2"/>
    <x v="0"/>
    <x v="19"/>
    <x v="194"/>
    <x v="1"/>
    <x v="37"/>
    <x v="80"/>
    <x v="16"/>
    <x v="108"/>
    <x v="88"/>
    <x v="4"/>
    <x v="29"/>
    <x v="0"/>
    <x v="0"/>
    <x v="37"/>
    <x v="2"/>
    <x v="0"/>
    <x v="144"/>
    <x v="66"/>
    <x v="44"/>
    <x v="8"/>
    <x v="299"/>
    <x v="75"/>
    <x v="409"/>
    <x v="193"/>
    <x v="66"/>
    <x v="36"/>
    <x v="53"/>
    <x v="30"/>
    <x v="26"/>
    <x v="6"/>
    <x v="392"/>
    <x v="170"/>
    <x v="65"/>
    <x v="618"/>
  </r>
  <r>
    <x v="25"/>
    <x v="1"/>
    <x v="5"/>
    <x v="11"/>
    <x v="7"/>
    <x v="5"/>
    <x v="35"/>
    <x v="592"/>
    <x v="1"/>
    <x v="31"/>
    <x v="108"/>
    <x v="84"/>
    <x v="319"/>
    <x v="191"/>
    <x v="35"/>
    <x v="65"/>
    <x v="0"/>
    <x v="0"/>
    <x v="51"/>
    <x v="2"/>
    <x v="0"/>
    <x v="244"/>
    <x v="399"/>
    <x v="43"/>
    <x v="1"/>
    <x v="112"/>
    <x v="66"/>
    <x v="300"/>
    <x v="190"/>
    <x v="199"/>
    <x v="0"/>
    <x v="73"/>
    <x v="107"/>
    <x v="196"/>
    <x v="4"/>
    <x v="282"/>
    <x v="168"/>
    <x v="383"/>
    <x v="260"/>
  </r>
  <r>
    <x v="25"/>
    <x v="1"/>
    <x v="3"/>
    <x v="67"/>
    <x v="9"/>
    <x v="4"/>
    <x v="6"/>
    <x v="199"/>
    <x v="1"/>
    <x v="37"/>
    <x v="121"/>
    <x v="62"/>
    <x v="354"/>
    <x v="210"/>
    <x v="7"/>
    <x v="6"/>
    <x v="0"/>
    <x v="0"/>
    <x v="2"/>
    <x v="2"/>
    <x v="0"/>
    <x v="263"/>
    <x v="389"/>
    <x v="38"/>
    <x v="3"/>
    <x v="249"/>
    <x v="280"/>
    <x v="13"/>
    <x v="7"/>
    <x v="526"/>
    <x v="0"/>
    <x v="92"/>
    <x v="107"/>
    <x v="168"/>
    <x v="5"/>
    <x v="319"/>
    <x v="231"/>
    <x v="482"/>
    <x v="619"/>
  </r>
  <r>
    <x v="25"/>
    <x v="1"/>
    <x v="6"/>
    <x v="15"/>
    <x v="9"/>
    <x v="18"/>
    <x v="36"/>
    <x v="576"/>
    <x v="1"/>
    <x v="29"/>
    <x v="152"/>
    <x v="143"/>
    <x v="557"/>
    <x v="314"/>
    <x v="0"/>
    <x v="0"/>
    <x v="0"/>
    <x v="0"/>
    <x v="0"/>
    <x v="0"/>
    <x v="0"/>
    <x v="369"/>
    <x v="327"/>
    <x v="6"/>
    <x v="0"/>
    <x v="0"/>
    <x v="357"/>
    <x v="0"/>
    <x v="0"/>
    <x v="541"/>
    <x v="13"/>
    <x v="57"/>
    <x v="72"/>
    <x v="337"/>
    <x v="0"/>
    <x v="26"/>
    <x v="303"/>
    <x v="279"/>
    <x v="621"/>
  </r>
  <r>
    <x v="25"/>
    <x v="1"/>
    <x v="7"/>
    <x v="19"/>
    <x v="9"/>
    <x v="9"/>
    <x v="37"/>
    <x v="583"/>
    <x v="1"/>
    <x v="37"/>
    <x v="146"/>
    <x v="118"/>
    <x v="548"/>
    <x v="306"/>
    <x v="0"/>
    <x v="0"/>
    <x v="0"/>
    <x v="0"/>
    <x v="0"/>
    <x v="0"/>
    <x v="0"/>
    <x v="359"/>
    <x v="353"/>
    <x v="10"/>
    <x v="0"/>
    <x v="0"/>
    <x v="357"/>
    <x v="0"/>
    <x v="0"/>
    <x v="541"/>
    <x v="0"/>
    <x v="92"/>
    <x v="107"/>
    <x v="295"/>
    <x v="2"/>
    <x v="181"/>
    <x v="157"/>
    <x v="390"/>
    <x v="620"/>
  </r>
  <r>
    <x v="25"/>
    <x v="1"/>
    <x v="4"/>
    <x v="56"/>
    <x v="9"/>
    <x v="7"/>
    <x v="39"/>
    <x v="565"/>
    <x v="1"/>
    <x v="6"/>
    <x v="23"/>
    <x v="131"/>
    <x v="43"/>
    <x v="46"/>
    <x v="0"/>
    <x v="0"/>
    <x v="0"/>
    <x v="0"/>
    <x v="0"/>
    <x v="0"/>
    <x v="0"/>
    <x v="104"/>
    <x v="288"/>
    <x v="14"/>
    <x v="0"/>
    <x v="0"/>
    <x v="357"/>
    <x v="0"/>
    <x v="0"/>
    <x v="541"/>
    <x v="0"/>
    <x v="14"/>
    <x v="107"/>
    <x v="313"/>
    <x v="2"/>
    <x v="119"/>
    <x v="282"/>
    <x v="556"/>
    <x v="622"/>
  </r>
  <r>
    <x v="25"/>
    <x v="1"/>
    <x v="4"/>
    <x v="58"/>
    <x v="9"/>
    <x v="7"/>
    <x v="51"/>
    <x v="560"/>
    <x v="1"/>
    <x v="6"/>
    <x v="23"/>
    <x v="131"/>
    <x v="43"/>
    <x v="46"/>
    <x v="0"/>
    <x v="0"/>
    <x v="0"/>
    <x v="0"/>
    <x v="0"/>
    <x v="0"/>
    <x v="0"/>
    <x v="104"/>
    <x v="288"/>
    <x v="16"/>
    <x v="0"/>
    <x v="0"/>
    <x v="357"/>
    <x v="0"/>
    <x v="0"/>
    <x v="541"/>
    <x v="0"/>
    <x v="14"/>
    <x v="107"/>
    <x v="313"/>
    <x v="2"/>
    <x v="119"/>
    <x v="282"/>
    <x v="556"/>
    <x v="261"/>
  </r>
  <r>
    <x v="25"/>
    <x v="4"/>
    <x v="9"/>
    <x v="25"/>
    <x v="9"/>
    <x v="16"/>
    <x v="52"/>
    <x v="559"/>
    <x v="2"/>
    <x v="6"/>
    <x v="23"/>
    <x v="131"/>
    <x v="41"/>
    <x v="45"/>
    <x v="0"/>
    <x v="0"/>
    <x v="0"/>
    <x v="0"/>
    <x v="0"/>
    <x v="0"/>
    <x v="1"/>
    <x v="64"/>
    <x v="284"/>
    <x v="16"/>
    <x v="0"/>
    <x v="0"/>
    <x v="357"/>
    <x v="0"/>
    <x v="0"/>
    <x v="541"/>
    <x v="7"/>
    <x v="6"/>
    <x v="24"/>
    <x v="312"/>
    <x v="1"/>
    <x v="121"/>
    <x v="17"/>
    <x v="25"/>
    <x v="263"/>
  </r>
  <r>
    <x v="25"/>
    <x v="4"/>
    <x v="8"/>
    <x v="60"/>
    <x v="9"/>
    <x v="18"/>
    <x v="38"/>
    <x v="566"/>
    <x v="2"/>
    <x v="21"/>
    <x v="146"/>
    <x v="186"/>
    <x v="222"/>
    <x v="151"/>
    <x v="0"/>
    <x v="0"/>
    <x v="0"/>
    <x v="0"/>
    <x v="0"/>
    <x v="0"/>
    <x v="1"/>
    <x v="143"/>
    <x v="23"/>
    <x v="26"/>
    <x v="0"/>
    <x v="0"/>
    <x v="357"/>
    <x v="0"/>
    <x v="0"/>
    <x v="541"/>
    <x v="23"/>
    <x v="23"/>
    <x v="22"/>
    <x v="296"/>
    <x v="3"/>
    <x v="151"/>
    <x v="384"/>
    <x v="69"/>
    <x v="264"/>
  </r>
  <r>
    <x v="25"/>
    <x v="4"/>
    <x v="8"/>
    <x v="62"/>
    <x v="9"/>
    <x v="18"/>
    <x v="50"/>
    <x v="559"/>
    <x v="2"/>
    <x v="25"/>
    <x v="146"/>
    <x v="148"/>
    <x v="417"/>
    <x v="235"/>
    <x v="0"/>
    <x v="0"/>
    <x v="0"/>
    <x v="0"/>
    <x v="21"/>
    <x v="0"/>
    <x v="1"/>
    <x v="183"/>
    <x v="91"/>
    <x v="28"/>
    <x v="0"/>
    <x v="0"/>
    <x v="357"/>
    <x v="119"/>
    <x v="0"/>
    <x v="401"/>
    <x v="23"/>
    <x v="41"/>
    <x v="39"/>
    <x v="316"/>
    <x v="3"/>
    <x v="218"/>
    <x v="191"/>
    <x v="94"/>
    <x v="625"/>
  </r>
  <r>
    <x v="25"/>
    <x v="4"/>
    <x v="1"/>
    <x v="7"/>
    <x v="9"/>
    <x v="11"/>
    <x v="17"/>
    <x v="168"/>
    <x v="2"/>
    <x v="27"/>
    <x v="101"/>
    <x v="89"/>
    <x v="228"/>
    <x v="152"/>
    <x v="0"/>
    <x v="0"/>
    <x v="20"/>
    <x v="0"/>
    <x v="16"/>
    <x v="0"/>
    <x v="4"/>
    <x v="66"/>
    <x v="283"/>
    <x v="2"/>
    <x v="0"/>
    <x v="0"/>
    <x v="357"/>
    <x v="142"/>
    <x v="0"/>
    <x v="378"/>
    <x v="11"/>
    <x v="55"/>
    <x v="75"/>
    <x v="182"/>
    <x v="7"/>
    <x v="457"/>
    <x v="353"/>
    <x v="357"/>
    <x v="623"/>
  </r>
  <r>
    <x v="25"/>
    <x v="4"/>
    <x v="1"/>
    <x v="31"/>
    <x v="9"/>
    <x v="11"/>
    <x v="20"/>
    <x v="188"/>
    <x v="2"/>
    <x v="19"/>
    <x v="33"/>
    <x v="31"/>
    <x v="77"/>
    <x v="69"/>
    <x v="0"/>
    <x v="0"/>
    <x v="11"/>
    <x v="0"/>
    <x v="16"/>
    <x v="0"/>
    <x v="4"/>
    <x v="35"/>
    <x v="384"/>
    <x v="18"/>
    <x v="0"/>
    <x v="0"/>
    <x v="357"/>
    <x v="282"/>
    <x v="0"/>
    <x v="208"/>
    <x v="15"/>
    <x v="25"/>
    <x v="36"/>
    <x v="101"/>
    <x v="7"/>
    <x v="448"/>
    <x v="378"/>
    <x v="119"/>
    <x v="669"/>
  </r>
  <r>
    <x v="25"/>
    <x v="2"/>
    <x v="4"/>
    <x v="56"/>
    <x v="9"/>
    <x v="7"/>
    <x v="39"/>
    <x v="566"/>
    <x v="2"/>
    <x v="37"/>
    <x v="146"/>
    <x v="118"/>
    <x v="525"/>
    <x v="280"/>
    <x v="0"/>
    <x v="0"/>
    <x v="0"/>
    <x v="0"/>
    <x v="0"/>
    <x v="0"/>
    <x v="0"/>
    <x v="325"/>
    <x v="215"/>
    <x v="14"/>
    <x v="0"/>
    <x v="0"/>
    <x v="357"/>
    <x v="0"/>
    <x v="0"/>
    <x v="541"/>
    <x v="9"/>
    <x v="87"/>
    <x v="97"/>
    <x v="253"/>
    <x v="2"/>
    <x v="190"/>
    <x v="138"/>
    <x v="252"/>
    <x v="624"/>
  </r>
  <r>
    <x v="25"/>
    <x v="2"/>
    <x v="7"/>
    <x v="19"/>
    <x v="9"/>
    <x v="9"/>
    <x v="37"/>
    <x v="584"/>
    <x v="2"/>
    <x v="37"/>
    <x v="146"/>
    <x v="118"/>
    <x v="512"/>
    <x v="267"/>
    <x v="0"/>
    <x v="0"/>
    <x v="0"/>
    <x v="0"/>
    <x v="0"/>
    <x v="0"/>
    <x v="0"/>
    <x v="312"/>
    <x v="172"/>
    <x v="10"/>
    <x v="0"/>
    <x v="0"/>
    <x v="357"/>
    <x v="0"/>
    <x v="0"/>
    <x v="541"/>
    <x v="9"/>
    <x v="87"/>
    <x v="97"/>
    <x v="242"/>
    <x v="2"/>
    <x v="207"/>
    <x v="98"/>
    <x v="218"/>
    <x v="627"/>
  </r>
  <r>
    <x v="25"/>
    <x v="2"/>
    <x v="0"/>
    <x v="29"/>
    <x v="2"/>
    <x v="0"/>
    <x v="19"/>
    <x v="195"/>
    <x v="2"/>
    <x v="22"/>
    <x v="33"/>
    <x v="14"/>
    <x v="60"/>
    <x v="53"/>
    <x v="11"/>
    <x v="17"/>
    <x v="0"/>
    <x v="0"/>
    <x v="20"/>
    <x v="0"/>
    <x v="0"/>
    <x v="115"/>
    <x v="191"/>
    <x v="44"/>
    <x v="8"/>
    <x v="162"/>
    <x v="91"/>
    <x v="374"/>
    <x v="186"/>
    <x v="110"/>
    <x v="18"/>
    <x v="34"/>
    <x v="45"/>
    <x v="42"/>
    <x v="6"/>
    <x v="364"/>
    <x v="358"/>
    <x v="152"/>
    <x v="262"/>
  </r>
  <r>
    <x v="25"/>
    <x v="2"/>
    <x v="0"/>
    <x v="30"/>
    <x v="3"/>
    <x v="1"/>
    <x v="21"/>
    <x v="195"/>
    <x v="2"/>
    <x v="22"/>
    <x v="43"/>
    <x v="23"/>
    <x v="123"/>
    <x v="96"/>
    <x v="28"/>
    <x v="33"/>
    <x v="0"/>
    <x v="0"/>
    <x v="51"/>
    <x v="2"/>
    <x v="0"/>
    <x v="149"/>
    <x v="486"/>
    <x v="44"/>
    <x v="11"/>
    <x v="318"/>
    <x v="63"/>
    <x v="434"/>
    <x v="187"/>
    <x v="40"/>
    <x v="0"/>
    <x v="50"/>
    <x v="107"/>
    <x v="111"/>
    <x v="6"/>
    <x v="357"/>
    <x v="425"/>
    <x v="659"/>
    <x v="267"/>
  </r>
  <r>
    <x v="25"/>
    <x v="2"/>
    <x v="5"/>
    <x v="11"/>
    <x v="7"/>
    <x v="5"/>
    <x v="35"/>
    <x v="595"/>
    <x v="2"/>
    <x v="37"/>
    <x v="128"/>
    <x v="92"/>
    <x v="402"/>
    <x v="227"/>
    <x v="0"/>
    <x v="29"/>
    <x v="0"/>
    <x v="0"/>
    <x v="59"/>
    <x v="0"/>
    <x v="0"/>
    <x v="276"/>
    <x v="345"/>
    <x v="43"/>
    <x v="1"/>
    <x v="180"/>
    <x v="206"/>
    <x v="273"/>
    <x v="72"/>
    <x v="227"/>
    <x v="7"/>
    <x v="89"/>
    <x v="101"/>
    <x v="203"/>
    <x v="4"/>
    <x v="262"/>
    <x v="282"/>
    <x v="420"/>
    <x v="266"/>
  </r>
  <r>
    <x v="25"/>
    <x v="2"/>
    <x v="6"/>
    <x v="15"/>
    <x v="9"/>
    <x v="10"/>
    <x v="36"/>
    <x v="593"/>
    <x v="2"/>
    <x v="37"/>
    <x v="146"/>
    <x v="118"/>
    <x v="538"/>
    <x v="295"/>
    <x v="0"/>
    <x v="0"/>
    <x v="0"/>
    <x v="0"/>
    <x v="0"/>
    <x v="0"/>
    <x v="0"/>
    <x v="343"/>
    <x v="288"/>
    <x v="6"/>
    <x v="0"/>
    <x v="0"/>
    <x v="357"/>
    <x v="0"/>
    <x v="0"/>
    <x v="541"/>
    <x v="34"/>
    <x v="56"/>
    <x v="35"/>
    <x v="278"/>
    <x v="0"/>
    <x v="35"/>
    <x v="216"/>
    <x v="87"/>
    <x v="626"/>
  </r>
  <r>
    <x v="25"/>
    <x v="2"/>
    <x v="3"/>
    <x v="67"/>
    <x v="9"/>
    <x v="4"/>
    <x v="6"/>
    <x v="200"/>
    <x v="2"/>
    <x v="37"/>
    <x v="121"/>
    <x v="62"/>
    <x v="391"/>
    <x v="227"/>
    <x v="2"/>
    <x v="18"/>
    <x v="0"/>
    <x v="0"/>
    <x v="20"/>
    <x v="0"/>
    <x v="0"/>
    <x v="276"/>
    <x v="453"/>
    <x v="38"/>
    <x v="3"/>
    <x v="264"/>
    <x v="266"/>
    <x v="116"/>
    <x v="27"/>
    <x v="406"/>
    <x v="0"/>
    <x v="92"/>
    <x v="107"/>
    <x v="203"/>
    <x v="5"/>
    <x v="276"/>
    <x v="365"/>
    <x v="613"/>
    <x v="265"/>
  </r>
  <r>
    <x v="25"/>
    <x v="3"/>
    <x v="0"/>
    <x v="30"/>
    <x v="3"/>
    <x v="1"/>
    <x v="21"/>
    <x v="197"/>
    <x v="4"/>
    <x v="37"/>
    <x v="80"/>
    <x v="16"/>
    <x v="187"/>
    <x v="136"/>
    <x v="8"/>
    <x v="49"/>
    <x v="0"/>
    <x v="0"/>
    <x v="66"/>
    <x v="2"/>
    <x v="0"/>
    <x v="191"/>
    <x v="410"/>
    <x v="44"/>
    <x v="11"/>
    <x v="373"/>
    <x v="84"/>
    <x v="415"/>
    <x v="180"/>
    <x v="59"/>
    <x v="0"/>
    <x v="92"/>
    <x v="107"/>
    <x v="63"/>
    <x v="6"/>
    <x v="393"/>
    <x v="143"/>
    <x v="336"/>
    <x v="270"/>
  </r>
  <r>
    <x v="25"/>
    <x v="3"/>
    <x v="5"/>
    <x v="11"/>
    <x v="7"/>
    <x v="5"/>
    <x v="35"/>
    <x v="596"/>
    <x v="4"/>
    <x v="37"/>
    <x v="129"/>
    <x v="93"/>
    <x v="380"/>
    <x v="220"/>
    <x v="0"/>
    <x v="36"/>
    <x v="0"/>
    <x v="0"/>
    <x v="74"/>
    <x v="0"/>
    <x v="0"/>
    <x v="270"/>
    <x v="294"/>
    <x v="43"/>
    <x v="1"/>
    <x v="167"/>
    <x v="170"/>
    <x v="353"/>
    <x v="98"/>
    <x v="134"/>
    <x v="0"/>
    <x v="92"/>
    <x v="107"/>
    <x v="190"/>
    <x v="4"/>
    <x v="288"/>
    <x v="149"/>
    <x v="351"/>
    <x v="277"/>
  </r>
  <r>
    <x v="25"/>
    <x v="3"/>
    <x v="3"/>
    <x v="67"/>
    <x v="9"/>
    <x v="4"/>
    <x v="6"/>
    <x v="201"/>
    <x v="4"/>
    <x v="37"/>
    <x v="121"/>
    <x v="62"/>
    <x v="475"/>
    <x v="246"/>
    <x v="0"/>
    <x v="0"/>
    <x v="0"/>
    <x v="0"/>
    <x v="15"/>
    <x v="2"/>
    <x v="0"/>
    <x v="288"/>
    <x v="480"/>
    <x v="38"/>
    <x v="3"/>
    <x v="289"/>
    <x v="302"/>
    <x v="92"/>
    <x v="0"/>
    <x v="432"/>
    <x v="0"/>
    <x v="92"/>
    <x v="107"/>
    <x v="220"/>
    <x v="5"/>
    <x v="252"/>
    <x v="424"/>
    <x v="669"/>
    <x v="269"/>
  </r>
  <r>
    <x v="25"/>
    <x v="3"/>
    <x v="6"/>
    <x v="15"/>
    <x v="9"/>
    <x v="10"/>
    <x v="36"/>
    <x v="597"/>
    <x v="4"/>
    <x v="37"/>
    <x v="147"/>
    <x v="120"/>
    <x v="297"/>
    <x v="191"/>
    <x v="0"/>
    <x v="0"/>
    <x v="0"/>
    <x v="0"/>
    <x v="0"/>
    <x v="0"/>
    <x v="0"/>
    <x v="244"/>
    <x v="38"/>
    <x v="6"/>
    <x v="0"/>
    <x v="0"/>
    <x v="357"/>
    <x v="0"/>
    <x v="0"/>
    <x v="541"/>
    <x v="48"/>
    <x v="33"/>
    <x v="8"/>
    <x v="132"/>
    <x v="0"/>
    <x v="21"/>
    <x v="347"/>
    <x v="19"/>
    <x v="278"/>
  </r>
  <r>
    <x v="26"/>
    <x v="1"/>
    <x v="0"/>
    <x v="30"/>
    <x v="3"/>
    <x v="1"/>
    <x v="21"/>
    <x v="202"/>
    <x v="1"/>
    <x v="19"/>
    <x v="48"/>
    <x v="45"/>
    <x v="92"/>
    <x v="76"/>
    <x v="17"/>
    <x v="29"/>
    <x v="0"/>
    <x v="0"/>
    <x v="20"/>
    <x v="2"/>
    <x v="0"/>
    <x v="135"/>
    <x v="288"/>
    <x v="44"/>
    <x v="11"/>
    <x v="300"/>
    <x v="80"/>
    <x v="319"/>
    <x v="203"/>
    <x v="176"/>
    <x v="0"/>
    <x v="39"/>
    <x v="107"/>
    <x v="122"/>
    <x v="6"/>
    <x v="353"/>
    <x v="433"/>
    <x v="679"/>
    <x v="628"/>
  </r>
  <r>
    <x v="26"/>
    <x v="1"/>
    <x v="4"/>
    <x v="56"/>
    <x v="9"/>
    <x v="7"/>
    <x v="39"/>
    <x v="566"/>
    <x v="1"/>
    <x v="37"/>
    <x v="146"/>
    <x v="118"/>
    <x v="538"/>
    <x v="295"/>
    <x v="0"/>
    <x v="0"/>
    <x v="0"/>
    <x v="0"/>
    <x v="0"/>
    <x v="0"/>
    <x v="0"/>
    <x v="343"/>
    <x v="288"/>
    <x v="14"/>
    <x v="0"/>
    <x v="0"/>
    <x v="357"/>
    <x v="0"/>
    <x v="0"/>
    <x v="541"/>
    <x v="13"/>
    <x v="82"/>
    <x v="84"/>
    <x v="278"/>
    <x v="2"/>
    <x v="119"/>
    <x v="282"/>
    <x v="327"/>
    <x v="629"/>
  </r>
  <r>
    <x v="26"/>
    <x v="1"/>
    <x v="7"/>
    <x v="19"/>
    <x v="9"/>
    <x v="9"/>
    <x v="37"/>
    <x v="594"/>
    <x v="1"/>
    <x v="37"/>
    <x v="146"/>
    <x v="118"/>
    <x v="538"/>
    <x v="295"/>
    <x v="0"/>
    <x v="0"/>
    <x v="0"/>
    <x v="0"/>
    <x v="0"/>
    <x v="0"/>
    <x v="0"/>
    <x v="343"/>
    <x v="288"/>
    <x v="10"/>
    <x v="0"/>
    <x v="0"/>
    <x v="357"/>
    <x v="0"/>
    <x v="0"/>
    <x v="541"/>
    <x v="0"/>
    <x v="92"/>
    <x v="107"/>
    <x v="278"/>
    <x v="2"/>
    <x v="201"/>
    <x v="114"/>
    <x v="327"/>
    <x v="630"/>
  </r>
  <r>
    <x v="26"/>
    <x v="1"/>
    <x v="3"/>
    <x v="67"/>
    <x v="9"/>
    <x v="4"/>
    <x v="6"/>
    <x v="204"/>
    <x v="1"/>
    <x v="37"/>
    <x v="121"/>
    <x v="62"/>
    <x v="470"/>
    <x v="246"/>
    <x v="0"/>
    <x v="0"/>
    <x v="0"/>
    <x v="0"/>
    <x v="4"/>
    <x v="2"/>
    <x v="0"/>
    <x v="288"/>
    <x v="480"/>
    <x v="38"/>
    <x v="3"/>
    <x v="284"/>
    <x v="334"/>
    <x v="23"/>
    <x v="0"/>
    <x v="514"/>
    <x v="0"/>
    <x v="92"/>
    <x v="107"/>
    <x v="220"/>
    <x v="5"/>
    <x v="252"/>
    <x v="424"/>
    <x v="673"/>
    <x v="271"/>
  </r>
  <r>
    <x v="26"/>
    <x v="1"/>
    <x v="1"/>
    <x v="31"/>
    <x v="9"/>
    <x v="11"/>
    <x v="20"/>
    <x v="190"/>
    <x v="2"/>
    <x v="37"/>
    <x v="133"/>
    <x v="99"/>
    <x v="96"/>
    <x v="82"/>
    <x v="0"/>
    <x v="0"/>
    <x v="17"/>
    <x v="0"/>
    <x v="11"/>
    <x v="0"/>
    <x v="4"/>
    <x v="44"/>
    <x v="9"/>
    <x v="18"/>
    <x v="0"/>
    <x v="0"/>
    <x v="357"/>
    <x v="180"/>
    <x v="0"/>
    <x v="338"/>
    <x v="49"/>
    <x v="31"/>
    <x v="7"/>
    <x v="20"/>
    <x v="7"/>
    <x v="466"/>
    <x v="318"/>
    <x v="16"/>
    <x v="272"/>
  </r>
  <r>
    <x v="26"/>
    <x v="4"/>
    <x v="8"/>
    <x v="60"/>
    <x v="9"/>
    <x v="18"/>
    <x v="38"/>
    <x v="567"/>
    <x v="2"/>
    <x v="38"/>
    <x v="173"/>
    <x v="159"/>
    <x v="603"/>
    <x v="364"/>
    <x v="0"/>
    <x v="0"/>
    <x v="0"/>
    <x v="0"/>
    <x v="0"/>
    <x v="0"/>
    <x v="1"/>
    <x v="328"/>
    <x v="232"/>
    <x v="26"/>
    <x v="0"/>
    <x v="0"/>
    <x v="357"/>
    <x v="0"/>
    <x v="0"/>
    <x v="541"/>
    <x v="11"/>
    <x v="90"/>
    <x v="91"/>
    <x v="366"/>
    <x v="3"/>
    <x v="202"/>
    <x v="278"/>
    <x v="369"/>
    <x v="632"/>
  </r>
  <r>
    <x v="26"/>
    <x v="2"/>
    <x v="0"/>
    <x v="2"/>
    <x v="3"/>
    <x v="1"/>
    <x v="16"/>
    <x v="203"/>
    <x v="2"/>
    <x v="37"/>
    <x v="83"/>
    <x v="21"/>
    <x v="175"/>
    <x v="136"/>
    <x v="0"/>
    <x v="0"/>
    <x v="0"/>
    <x v="0"/>
    <x v="0"/>
    <x v="0"/>
    <x v="0"/>
    <x v="191"/>
    <x v="390"/>
    <x v="38"/>
    <x v="10"/>
    <x v="368"/>
    <x v="356"/>
    <x v="0"/>
    <x v="0"/>
    <x v="541"/>
    <x v="13"/>
    <x v="82"/>
    <x v="84"/>
    <x v="63"/>
    <x v="6"/>
    <x v="371"/>
    <x v="329"/>
    <x v="370"/>
    <x v="157"/>
  </r>
  <r>
    <x v="26"/>
    <x v="2"/>
    <x v="7"/>
    <x v="19"/>
    <x v="9"/>
    <x v="9"/>
    <x v="37"/>
    <x v="585"/>
    <x v="2"/>
    <x v="37"/>
    <x v="146"/>
    <x v="118"/>
    <x v="538"/>
    <x v="295"/>
    <x v="0"/>
    <x v="0"/>
    <x v="0"/>
    <x v="0"/>
    <x v="0"/>
    <x v="0"/>
    <x v="0"/>
    <x v="343"/>
    <x v="288"/>
    <x v="10"/>
    <x v="0"/>
    <x v="0"/>
    <x v="357"/>
    <x v="0"/>
    <x v="0"/>
    <x v="541"/>
    <x v="0"/>
    <x v="92"/>
    <x v="107"/>
    <x v="278"/>
    <x v="2"/>
    <x v="201"/>
    <x v="114"/>
    <x v="327"/>
    <x v="279"/>
  </r>
  <r>
    <x v="26"/>
    <x v="2"/>
    <x v="4"/>
    <x v="56"/>
    <x v="9"/>
    <x v="7"/>
    <x v="39"/>
    <x v="577"/>
    <x v="2"/>
    <x v="37"/>
    <x v="146"/>
    <x v="118"/>
    <x v="536"/>
    <x v="291"/>
    <x v="0"/>
    <x v="0"/>
    <x v="0"/>
    <x v="0"/>
    <x v="0"/>
    <x v="0"/>
    <x v="0"/>
    <x v="337"/>
    <x v="267"/>
    <x v="14"/>
    <x v="0"/>
    <x v="0"/>
    <x v="357"/>
    <x v="0"/>
    <x v="0"/>
    <x v="541"/>
    <x v="9"/>
    <x v="87"/>
    <x v="97"/>
    <x v="270"/>
    <x v="2"/>
    <x v="163"/>
    <x v="200"/>
    <x v="311"/>
    <x v="631"/>
  </r>
  <r>
    <x v="26"/>
    <x v="2"/>
    <x v="5"/>
    <x v="11"/>
    <x v="7"/>
    <x v="5"/>
    <x v="35"/>
    <x v="601"/>
    <x v="2"/>
    <x v="37"/>
    <x v="129"/>
    <x v="93"/>
    <x v="374"/>
    <x v="210"/>
    <x v="55"/>
    <x v="86"/>
    <x v="0"/>
    <x v="0"/>
    <x v="75"/>
    <x v="2"/>
    <x v="0"/>
    <x v="263"/>
    <x v="207"/>
    <x v="43"/>
    <x v="1"/>
    <x v="206"/>
    <x v="14"/>
    <x v="369"/>
    <x v="234"/>
    <x v="124"/>
    <x v="13"/>
    <x v="82"/>
    <x v="84"/>
    <x v="168"/>
    <x v="4"/>
    <x v="270"/>
    <x v="231"/>
    <x v="262"/>
    <x v="281"/>
  </r>
  <r>
    <x v="26"/>
    <x v="2"/>
    <x v="6"/>
    <x v="15"/>
    <x v="9"/>
    <x v="10"/>
    <x v="36"/>
    <x v="586"/>
    <x v="2"/>
    <x v="14"/>
    <x v="67"/>
    <x v="131"/>
    <x v="118"/>
    <x v="98"/>
    <x v="0"/>
    <x v="0"/>
    <x v="0"/>
    <x v="0"/>
    <x v="0"/>
    <x v="0"/>
    <x v="0"/>
    <x v="150"/>
    <x v="191"/>
    <x v="6"/>
    <x v="0"/>
    <x v="0"/>
    <x v="357"/>
    <x v="0"/>
    <x v="0"/>
    <x v="541"/>
    <x v="11"/>
    <x v="16"/>
    <x v="31"/>
    <x v="299"/>
    <x v="0"/>
    <x v="23"/>
    <x v="332"/>
    <x v="98"/>
    <x v="278"/>
  </r>
  <r>
    <x v="26"/>
    <x v="2"/>
    <x v="3"/>
    <x v="67"/>
    <x v="9"/>
    <x v="4"/>
    <x v="6"/>
    <x v="205"/>
    <x v="2"/>
    <x v="37"/>
    <x v="121"/>
    <x v="62"/>
    <x v="433"/>
    <x v="242"/>
    <x v="0"/>
    <x v="0"/>
    <x v="0"/>
    <x v="0"/>
    <x v="15"/>
    <x v="0"/>
    <x v="0"/>
    <x v="284"/>
    <x v="468"/>
    <x v="38"/>
    <x v="3"/>
    <x v="274"/>
    <x v="323"/>
    <x v="96"/>
    <x v="0"/>
    <x v="428"/>
    <x v="0"/>
    <x v="92"/>
    <x v="107"/>
    <x v="214"/>
    <x v="5"/>
    <x v="264"/>
    <x v="400"/>
    <x v="647"/>
    <x v="273"/>
  </r>
  <r>
    <x v="26"/>
    <x v="2"/>
    <x v="1"/>
    <x v="32"/>
    <x v="9"/>
    <x v="11"/>
    <x v="22"/>
    <x v="196"/>
    <x v="2"/>
    <x v="37"/>
    <x v="133"/>
    <x v="99"/>
    <x v="278"/>
    <x v="175"/>
    <x v="0"/>
    <x v="0"/>
    <x v="31"/>
    <x v="0"/>
    <x v="54"/>
    <x v="0"/>
    <x v="3"/>
    <x v="80"/>
    <x v="86"/>
    <x v="19"/>
    <x v="0"/>
    <x v="0"/>
    <x v="357"/>
    <x v="339"/>
    <x v="0"/>
    <x v="146"/>
    <x v="21"/>
    <x v="72"/>
    <x v="63"/>
    <x v="109"/>
    <x v="7"/>
    <x v="454"/>
    <x v="357"/>
    <x v="261"/>
    <x v="633"/>
  </r>
  <r>
    <x v="26"/>
    <x v="3"/>
    <x v="5"/>
    <x v="11"/>
    <x v="7"/>
    <x v="5"/>
    <x v="35"/>
    <x v="603"/>
    <x v="4"/>
    <x v="37"/>
    <x v="129"/>
    <x v="93"/>
    <x v="437"/>
    <x v="238"/>
    <x v="0"/>
    <x v="28"/>
    <x v="0"/>
    <x v="0"/>
    <x v="74"/>
    <x v="2"/>
    <x v="0"/>
    <x v="282"/>
    <x v="383"/>
    <x v="43"/>
    <x v="1"/>
    <x v="203"/>
    <x v="186"/>
    <x v="334"/>
    <x v="58"/>
    <x v="154"/>
    <x v="0"/>
    <x v="92"/>
    <x v="107"/>
    <x v="211"/>
    <x v="4"/>
    <x v="266"/>
    <x v="248"/>
    <x v="470"/>
    <x v="282"/>
  </r>
  <r>
    <x v="26"/>
    <x v="3"/>
    <x v="3"/>
    <x v="67"/>
    <x v="9"/>
    <x v="4"/>
    <x v="6"/>
    <x v="206"/>
    <x v="4"/>
    <x v="37"/>
    <x v="121"/>
    <x v="62"/>
    <x v="470"/>
    <x v="246"/>
    <x v="0"/>
    <x v="0"/>
    <x v="0"/>
    <x v="0"/>
    <x v="4"/>
    <x v="2"/>
    <x v="0"/>
    <x v="288"/>
    <x v="480"/>
    <x v="38"/>
    <x v="3"/>
    <x v="284"/>
    <x v="334"/>
    <x v="23"/>
    <x v="0"/>
    <x v="514"/>
    <x v="0"/>
    <x v="92"/>
    <x v="107"/>
    <x v="220"/>
    <x v="5"/>
    <x v="252"/>
    <x v="424"/>
    <x v="673"/>
    <x v="274"/>
  </r>
  <r>
    <x v="27"/>
    <x v="1"/>
    <x v="3"/>
    <x v="67"/>
    <x v="9"/>
    <x v="4"/>
    <x v="6"/>
    <x v="207"/>
    <x v="1"/>
    <x v="37"/>
    <x v="83"/>
    <x v="21"/>
    <x v="472"/>
    <x v="246"/>
    <x v="0"/>
    <x v="2"/>
    <x v="0"/>
    <x v="0"/>
    <x v="2"/>
    <x v="2"/>
    <x v="0"/>
    <x v="288"/>
    <x v="504"/>
    <x v="38"/>
    <x v="3"/>
    <x v="286"/>
    <x v="327"/>
    <x v="10"/>
    <x v="2"/>
    <x v="531"/>
    <x v="9"/>
    <x v="87"/>
    <x v="97"/>
    <x v="220"/>
    <x v="5"/>
    <x v="234"/>
    <x v="444"/>
    <x v="675"/>
    <x v="276"/>
  </r>
  <r>
    <x v="27"/>
    <x v="1"/>
    <x v="5"/>
    <x v="11"/>
    <x v="7"/>
    <x v="5"/>
    <x v="35"/>
    <x v="607"/>
    <x v="1"/>
    <x v="37"/>
    <x v="129"/>
    <x v="93"/>
    <x v="446"/>
    <x v="238"/>
    <x v="23"/>
    <x v="62"/>
    <x v="0"/>
    <x v="0"/>
    <x v="71"/>
    <x v="2"/>
    <x v="0"/>
    <x v="282"/>
    <x v="383"/>
    <x v="43"/>
    <x v="1"/>
    <x v="226"/>
    <x v="103"/>
    <x v="317"/>
    <x v="153"/>
    <x v="174"/>
    <x v="0"/>
    <x v="92"/>
    <x v="107"/>
    <x v="211"/>
    <x v="4"/>
    <x v="266"/>
    <x v="248"/>
    <x v="473"/>
    <x v="283"/>
  </r>
  <r>
    <x v="27"/>
    <x v="1"/>
    <x v="7"/>
    <x v="19"/>
    <x v="9"/>
    <x v="18"/>
    <x v="37"/>
    <x v="598"/>
    <x v="1"/>
    <x v="14"/>
    <x v="62"/>
    <x v="128"/>
    <x v="118"/>
    <x v="98"/>
    <x v="0"/>
    <x v="0"/>
    <x v="0"/>
    <x v="0"/>
    <x v="0"/>
    <x v="0"/>
    <x v="0"/>
    <x v="150"/>
    <x v="288"/>
    <x v="10"/>
    <x v="0"/>
    <x v="0"/>
    <x v="357"/>
    <x v="0"/>
    <x v="0"/>
    <x v="541"/>
    <x v="9"/>
    <x v="18"/>
    <x v="45"/>
    <x v="299"/>
    <x v="2"/>
    <x v="44"/>
    <x v="451"/>
    <x v="403"/>
    <x v="279"/>
  </r>
  <r>
    <x v="27"/>
    <x v="1"/>
    <x v="4"/>
    <x v="56"/>
    <x v="9"/>
    <x v="18"/>
    <x v="39"/>
    <x v="579"/>
    <x v="1"/>
    <x v="37"/>
    <x v="147"/>
    <x v="120"/>
    <x v="491"/>
    <x v="252"/>
    <x v="0"/>
    <x v="0"/>
    <x v="0"/>
    <x v="0"/>
    <x v="0"/>
    <x v="0"/>
    <x v="0"/>
    <x v="293"/>
    <x v="122"/>
    <x v="14"/>
    <x v="0"/>
    <x v="0"/>
    <x v="357"/>
    <x v="0"/>
    <x v="0"/>
    <x v="541"/>
    <x v="24"/>
    <x v="69"/>
    <x v="57"/>
    <x v="225"/>
    <x v="2"/>
    <x v="158"/>
    <x v="211"/>
    <x v="161"/>
    <x v="634"/>
  </r>
  <r>
    <x v="27"/>
    <x v="1"/>
    <x v="7"/>
    <x v="19"/>
    <x v="9"/>
    <x v="18"/>
    <x v="37"/>
    <x v="602"/>
    <x v="1"/>
    <x v="29"/>
    <x v="131"/>
    <x v="113"/>
    <x v="267"/>
    <x v="169"/>
    <x v="0"/>
    <x v="0"/>
    <x v="0"/>
    <x v="0"/>
    <x v="0"/>
    <x v="0"/>
    <x v="0"/>
    <x v="226"/>
    <x v="80"/>
    <x v="10"/>
    <x v="0"/>
    <x v="0"/>
    <x v="357"/>
    <x v="0"/>
    <x v="0"/>
    <x v="541"/>
    <x v="29"/>
    <x v="44"/>
    <x v="31"/>
    <x v="181"/>
    <x v="2"/>
    <x v="119"/>
    <x v="282"/>
    <x v="89"/>
    <x v="284"/>
  </r>
  <r>
    <x v="27"/>
    <x v="1"/>
    <x v="1"/>
    <x v="43"/>
    <x v="9"/>
    <x v="11"/>
    <x v="14"/>
    <x v="198"/>
    <x v="2"/>
    <x v="22"/>
    <x v="67"/>
    <x v="49"/>
    <x v="35"/>
    <x v="36"/>
    <x v="0"/>
    <x v="0"/>
    <x v="6"/>
    <x v="1"/>
    <x v="28"/>
    <x v="0"/>
    <x v="3"/>
    <x v="26"/>
    <x v="18"/>
    <x v="19"/>
    <x v="0"/>
    <x v="0"/>
    <x v="357"/>
    <x v="451"/>
    <x v="0"/>
    <x v="20"/>
    <x v="30"/>
    <x v="18"/>
    <x v="9"/>
    <x v="27"/>
    <x v="7"/>
    <x v="438"/>
    <x v="419"/>
    <x v="29"/>
    <x v="755"/>
  </r>
  <r>
    <x v="27"/>
    <x v="1"/>
    <x v="1"/>
    <x v="32"/>
    <x v="9"/>
    <x v="11"/>
    <x v="22"/>
    <x v="198"/>
    <x v="2"/>
    <x v="22"/>
    <x v="67"/>
    <x v="49"/>
    <x v="12"/>
    <x v="12"/>
    <x v="0"/>
    <x v="0"/>
    <x v="9"/>
    <x v="0"/>
    <x v="6"/>
    <x v="0"/>
    <x v="3"/>
    <x v="13"/>
    <x v="3"/>
    <x v="19"/>
    <x v="0"/>
    <x v="0"/>
    <x v="357"/>
    <x v="328"/>
    <x v="0"/>
    <x v="159"/>
    <x v="34"/>
    <x v="12"/>
    <x v="3"/>
    <x v="8"/>
    <x v="7"/>
    <x v="480"/>
    <x v="187"/>
    <x v="9"/>
    <x v="275"/>
  </r>
  <r>
    <x v="27"/>
    <x v="4"/>
    <x v="9"/>
    <x v="23"/>
    <x v="9"/>
    <x v="16"/>
    <x v="40"/>
    <x v="578"/>
    <x v="2"/>
    <x v="37"/>
    <x v="178"/>
    <x v="188"/>
    <x v="581"/>
    <x v="340"/>
    <x v="0"/>
    <x v="0"/>
    <x v="0"/>
    <x v="0"/>
    <x v="2"/>
    <x v="0"/>
    <x v="1"/>
    <x v="287"/>
    <x v="74"/>
    <x v="14"/>
    <x v="0"/>
    <x v="0"/>
    <x v="357"/>
    <x v="4"/>
    <x v="0"/>
    <x v="537"/>
    <x v="31"/>
    <x v="60"/>
    <x v="43"/>
    <x v="345"/>
    <x v="1"/>
    <x v="94"/>
    <x v="28"/>
    <x v="56"/>
    <x v="637"/>
  </r>
  <r>
    <x v="27"/>
    <x v="4"/>
    <x v="8"/>
    <x v="60"/>
    <x v="9"/>
    <x v="18"/>
    <x v="38"/>
    <x v="577"/>
    <x v="2"/>
    <x v="37"/>
    <x v="173"/>
    <x v="166"/>
    <x v="597"/>
    <x v="357"/>
    <x v="0"/>
    <x v="0"/>
    <x v="0"/>
    <x v="0"/>
    <x v="56"/>
    <x v="0"/>
    <x v="1"/>
    <x v="310"/>
    <x v="169"/>
    <x v="26"/>
    <x v="0"/>
    <x v="0"/>
    <x v="357"/>
    <x v="131"/>
    <x v="0"/>
    <x v="389"/>
    <x v="11"/>
    <x v="85"/>
    <x v="89"/>
    <x v="365"/>
    <x v="3"/>
    <x v="200"/>
    <x v="283"/>
    <x v="348"/>
    <x v="636"/>
  </r>
  <r>
    <x v="27"/>
    <x v="2"/>
    <x v="4"/>
    <x v="56"/>
    <x v="9"/>
    <x v="7"/>
    <x v="39"/>
    <x v="589"/>
    <x v="2"/>
    <x v="37"/>
    <x v="146"/>
    <x v="118"/>
    <x v="500"/>
    <x v="257"/>
    <x v="0"/>
    <x v="0"/>
    <x v="0"/>
    <x v="0"/>
    <x v="0"/>
    <x v="0"/>
    <x v="0"/>
    <x v="301"/>
    <x v="141"/>
    <x v="14"/>
    <x v="0"/>
    <x v="0"/>
    <x v="357"/>
    <x v="0"/>
    <x v="0"/>
    <x v="541"/>
    <x v="9"/>
    <x v="87"/>
    <x v="97"/>
    <x v="234"/>
    <x v="2"/>
    <x v="217"/>
    <x v="57"/>
    <x v="192"/>
    <x v="635"/>
  </r>
  <r>
    <x v="27"/>
    <x v="2"/>
    <x v="7"/>
    <x v="19"/>
    <x v="9"/>
    <x v="9"/>
    <x v="37"/>
    <x v="604"/>
    <x v="2"/>
    <x v="37"/>
    <x v="146"/>
    <x v="118"/>
    <x v="544"/>
    <x v="301"/>
    <x v="0"/>
    <x v="0"/>
    <x v="0"/>
    <x v="0"/>
    <x v="0"/>
    <x v="0"/>
    <x v="0"/>
    <x v="353"/>
    <x v="331"/>
    <x v="10"/>
    <x v="0"/>
    <x v="0"/>
    <x v="357"/>
    <x v="0"/>
    <x v="0"/>
    <x v="541"/>
    <x v="9"/>
    <x v="87"/>
    <x v="97"/>
    <x v="289"/>
    <x v="2"/>
    <x v="133"/>
    <x v="257"/>
    <x v="368"/>
    <x v="638"/>
  </r>
  <r>
    <x v="27"/>
    <x v="2"/>
    <x v="3"/>
    <x v="67"/>
    <x v="9"/>
    <x v="4"/>
    <x v="6"/>
    <x v="208"/>
    <x v="2"/>
    <x v="37"/>
    <x v="121"/>
    <x v="62"/>
    <x v="424"/>
    <x v="238"/>
    <x v="0"/>
    <x v="0"/>
    <x v="0"/>
    <x v="0"/>
    <x v="18"/>
    <x v="0"/>
    <x v="0"/>
    <x v="282"/>
    <x v="462"/>
    <x v="38"/>
    <x v="3"/>
    <x v="269"/>
    <x v="312"/>
    <x v="107"/>
    <x v="0"/>
    <x v="416"/>
    <x v="0"/>
    <x v="92"/>
    <x v="107"/>
    <x v="211"/>
    <x v="5"/>
    <x v="266"/>
    <x v="392"/>
    <x v="633"/>
    <x v="285"/>
  </r>
  <r>
    <x v="27"/>
    <x v="2"/>
    <x v="1"/>
    <x v="7"/>
    <x v="9"/>
    <x v="11"/>
    <x v="17"/>
    <x v="14"/>
    <x v="2"/>
    <x v="37"/>
    <x v="133"/>
    <x v="99"/>
    <x v="133"/>
    <x v="110"/>
    <x v="0"/>
    <x v="0"/>
    <x v="28"/>
    <x v="0"/>
    <x v="14"/>
    <x v="0"/>
    <x v="4"/>
    <x v="54"/>
    <x v="20"/>
    <x v="2"/>
    <x v="0"/>
    <x v="0"/>
    <x v="357"/>
    <x v="166"/>
    <x v="0"/>
    <x v="351"/>
    <x v="43"/>
    <x v="43"/>
    <x v="16"/>
    <x v="41"/>
    <x v="7"/>
    <x v="472"/>
    <x v="281"/>
    <x v="38"/>
    <x v="755"/>
  </r>
  <r>
    <x v="27"/>
    <x v="2"/>
    <x v="5"/>
    <x v="11"/>
    <x v="7"/>
    <x v="5"/>
    <x v="35"/>
    <x v="609"/>
    <x v="2"/>
    <x v="37"/>
    <x v="129"/>
    <x v="93"/>
    <x v="443"/>
    <x v="242"/>
    <x v="0"/>
    <x v="0"/>
    <x v="0"/>
    <x v="0"/>
    <x v="59"/>
    <x v="0"/>
    <x v="0"/>
    <x v="284"/>
    <x v="393"/>
    <x v="43"/>
    <x v="1"/>
    <x v="208"/>
    <x v="268"/>
    <x v="256"/>
    <x v="0"/>
    <x v="242"/>
    <x v="0"/>
    <x v="92"/>
    <x v="107"/>
    <x v="214"/>
    <x v="4"/>
    <x v="264"/>
    <x v="270"/>
    <x v="521"/>
    <x v="286"/>
  </r>
  <r>
    <x v="27"/>
    <x v="3"/>
    <x v="5"/>
    <x v="11"/>
    <x v="7"/>
    <x v="5"/>
    <x v="35"/>
    <x v="612"/>
    <x v="4"/>
    <x v="37"/>
    <x v="129"/>
    <x v="93"/>
    <x v="490"/>
    <x v="250"/>
    <x v="0"/>
    <x v="15"/>
    <x v="0"/>
    <x v="0"/>
    <x v="53"/>
    <x v="2"/>
    <x v="0"/>
    <x v="291"/>
    <x v="434"/>
    <x v="43"/>
    <x v="1"/>
    <x v="245"/>
    <x v="242"/>
    <x v="227"/>
    <x v="18"/>
    <x v="286"/>
    <x v="0"/>
    <x v="92"/>
    <x v="107"/>
    <x v="224"/>
    <x v="4"/>
    <x v="248"/>
    <x v="344"/>
    <x v="595"/>
    <x v="287"/>
  </r>
  <r>
    <x v="27"/>
    <x v="3"/>
    <x v="3"/>
    <x v="67"/>
    <x v="9"/>
    <x v="4"/>
    <x v="6"/>
    <x v="209"/>
    <x v="4"/>
    <x v="37"/>
    <x v="121"/>
    <x v="62"/>
    <x v="470"/>
    <x v="246"/>
    <x v="0"/>
    <x v="0"/>
    <x v="0"/>
    <x v="0"/>
    <x v="4"/>
    <x v="2"/>
    <x v="0"/>
    <x v="288"/>
    <x v="480"/>
    <x v="38"/>
    <x v="3"/>
    <x v="284"/>
    <x v="334"/>
    <x v="23"/>
    <x v="0"/>
    <x v="514"/>
    <x v="0"/>
    <x v="92"/>
    <x v="107"/>
    <x v="220"/>
    <x v="5"/>
    <x v="252"/>
    <x v="424"/>
    <x v="673"/>
    <x v="288"/>
  </r>
  <r>
    <x v="28"/>
    <x v="1"/>
    <x v="5"/>
    <x v="11"/>
    <x v="7"/>
    <x v="5"/>
    <x v="35"/>
    <x v="617"/>
    <x v="2"/>
    <x v="37"/>
    <x v="129"/>
    <x v="93"/>
    <x v="493"/>
    <x v="252"/>
    <x v="0"/>
    <x v="8"/>
    <x v="0"/>
    <x v="0"/>
    <x v="24"/>
    <x v="2"/>
    <x v="0"/>
    <x v="293"/>
    <x v="443"/>
    <x v="43"/>
    <x v="1"/>
    <x v="250"/>
    <x v="282"/>
    <x v="126"/>
    <x v="9"/>
    <x v="395"/>
    <x v="0"/>
    <x v="92"/>
    <x v="107"/>
    <x v="225"/>
    <x v="4"/>
    <x v="245"/>
    <x v="361"/>
    <x v="610"/>
    <x v="289"/>
  </r>
  <r>
    <x v="28"/>
    <x v="1"/>
    <x v="7"/>
    <x v="19"/>
    <x v="9"/>
    <x v="9"/>
    <x v="37"/>
    <x v="608"/>
    <x v="2"/>
    <x v="37"/>
    <x v="146"/>
    <x v="118"/>
    <x v="522"/>
    <x v="278"/>
    <x v="0"/>
    <x v="0"/>
    <x v="0"/>
    <x v="0"/>
    <x v="0"/>
    <x v="0"/>
    <x v="0"/>
    <x v="322"/>
    <x v="200"/>
    <x v="10"/>
    <x v="0"/>
    <x v="0"/>
    <x v="357"/>
    <x v="0"/>
    <x v="0"/>
    <x v="541"/>
    <x v="15"/>
    <x v="80"/>
    <x v="77"/>
    <x v="251"/>
    <x v="2"/>
    <x v="156"/>
    <x v="214"/>
    <x v="243"/>
    <x v="640"/>
  </r>
  <r>
    <x v="28"/>
    <x v="1"/>
    <x v="4"/>
    <x v="56"/>
    <x v="9"/>
    <x v="7"/>
    <x v="39"/>
    <x v="590"/>
    <x v="2"/>
    <x v="37"/>
    <x v="146"/>
    <x v="118"/>
    <x v="538"/>
    <x v="295"/>
    <x v="0"/>
    <x v="0"/>
    <x v="0"/>
    <x v="0"/>
    <x v="0"/>
    <x v="0"/>
    <x v="0"/>
    <x v="343"/>
    <x v="288"/>
    <x v="14"/>
    <x v="0"/>
    <x v="0"/>
    <x v="357"/>
    <x v="0"/>
    <x v="0"/>
    <x v="541"/>
    <x v="9"/>
    <x v="87"/>
    <x v="97"/>
    <x v="278"/>
    <x v="2"/>
    <x v="152"/>
    <x v="223"/>
    <x v="327"/>
    <x v="639"/>
  </r>
  <r>
    <x v="28"/>
    <x v="1"/>
    <x v="1"/>
    <x v="7"/>
    <x v="9"/>
    <x v="11"/>
    <x v="17"/>
    <x v="101"/>
    <x v="2"/>
    <x v="37"/>
    <x v="133"/>
    <x v="99"/>
    <x v="286"/>
    <x v="182"/>
    <x v="0"/>
    <x v="0"/>
    <x v="27"/>
    <x v="0"/>
    <x v="22"/>
    <x v="0"/>
    <x v="3"/>
    <x v="82"/>
    <x v="92"/>
    <x v="2"/>
    <x v="0"/>
    <x v="0"/>
    <x v="357"/>
    <x v="154"/>
    <x v="0"/>
    <x v="366"/>
    <x v="0"/>
    <x v="92"/>
    <x v="107"/>
    <x v="118"/>
    <x v="7"/>
    <x v="491"/>
    <x v="113"/>
    <x v="322"/>
    <x v="642"/>
  </r>
  <r>
    <x v="28"/>
    <x v="1"/>
    <x v="3"/>
    <x v="67"/>
    <x v="9"/>
    <x v="4"/>
    <x v="6"/>
    <x v="210"/>
    <x v="2"/>
    <x v="37"/>
    <x v="121"/>
    <x v="62"/>
    <x v="429"/>
    <x v="242"/>
    <x v="0"/>
    <x v="0"/>
    <x v="0"/>
    <x v="0"/>
    <x v="3"/>
    <x v="0"/>
    <x v="0"/>
    <x v="284"/>
    <x v="468"/>
    <x v="38"/>
    <x v="3"/>
    <x v="271"/>
    <x v="353"/>
    <x v="19"/>
    <x v="0"/>
    <x v="518"/>
    <x v="0"/>
    <x v="92"/>
    <x v="107"/>
    <x v="214"/>
    <x v="5"/>
    <x v="264"/>
    <x v="400"/>
    <x v="653"/>
    <x v="641"/>
  </r>
  <r>
    <x v="28"/>
    <x v="4"/>
    <x v="8"/>
    <x v="60"/>
    <x v="9"/>
    <x v="18"/>
    <x v="38"/>
    <x v="589"/>
    <x v="1"/>
    <x v="37"/>
    <x v="173"/>
    <x v="166"/>
    <x v="592"/>
    <x v="351"/>
    <x v="0"/>
    <x v="0"/>
    <x v="0"/>
    <x v="0"/>
    <x v="102"/>
    <x v="0"/>
    <x v="1"/>
    <x v="299"/>
    <x v="131"/>
    <x v="26"/>
    <x v="0"/>
    <x v="0"/>
    <x v="357"/>
    <x v="333"/>
    <x v="0"/>
    <x v="153"/>
    <x v="11"/>
    <x v="85"/>
    <x v="89"/>
    <x v="357"/>
    <x v="3"/>
    <x v="219"/>
    <x v="182"/>
    <x v="250"/>
    <x v="645"/>
  </r>
  <r>
    <x v="28"/>
    <x v="2"/>
    <x v="5"/>
    <x v="11"/>
    <x v="7"/>
    <x v="5"/>
    <x v="35"/>
    <x v="620"/>
    <x v="1"/>
    <x v="37"/>
    <x v="129"/>
    <x v="93"/>
    <x v="492"/>
    <x v="252"/>
    <x v="0"/>
    <x v="0"/>
    <x v="0"/>
    <x v="0"/>
    <x v="40"/>
    <x v="0"/>
    <x v="0"/>
    <x v="293"/>
    <x v="443"/>
    <x v="43"/>
    <x v="1"/>
    <x v="248"/>
    <x v="290"/>
    <x v="175"/>
    <x v="0"/>
    <x v="343"/>
    <x v="0"/>
    <x v="92"/>
    <x v="107"/>
    <x v="225"/>
    <x v="4"/>
    <x v="245"/>
    <x v="361"/>
    <x v="608"/>
    <x v="290"/>
  </r>
  <r>
    <x v="28"/>
    <x v="2"/>
    <x v="3"/>
    <x v="67"/>
    <x v="9"/>
    <x v="4"/>
    <x v="6"/>
    <x v="211"/>
    <x v="1"/>
    <x v="37"/>
    <x v="121"/>
    <x v="62"/>
    <x v="456"/>
    <x v="244"/>
    <x v="0"/>
    <x v="0"/>
    <x v="0"/>
    <x v="0"/>
    <x v="13"/>
    <x v="0"/>
    <x v="0"/>
    <x v="286"/>
    <x v="473"/>
    <x v="38"/>
    <x v="3"/>
    <x v="280"/>
    <x v="329"/>
    <x v="83"/>
    <x v="0"/>
    <x v="442"/>
    <x v="0"/>
    <x v="92"/>
    <x v="107"/>
    <x v="218"/>
    <x v="5"/>
    <x v="256"/>
    <x v="416"/>
    <x v="662"/>
    <x v="291"/>
  </r>
  <r>
    <x v="28"/>
    <x v="2"/>
    <x v="1"/>
    <x v="7"/>
    <x v="9"/>
    <x v="11"/>
    <x v="17"/>
    <x v="104"/>
    <x v="1"/>
    <x v="37"/>
    <x v="133"/>
    <x v="99"/>
    <x v="254"/>
    <x v="160"/>
    <x v="0"/>
    <x v="0"/>
    <x v="37"/>
    <x v="0"/>
    <x v="23"/>
    <x v="0"/>
    <x v="4"/>
    <x v="68"/>
    <x v="67"/>
    <x v="2"/>
    <x v="0"/>
    <x v="0"/>
    <x v="357"/>
    <x v="171"/>
    <x v="0"/>
    <x v="346"/>
    <x v="32"/>
    <x v="59"/>
    <x v="40"/>
    <x v="92"/>
    <x v="7"/>
    <x v="468"/>
    <x v="310"/>
    <x v="110"/>
    <x v="755"/>
  </r>
  <r>
    <x v="28"/>
    <x v="2"/>
    <x v="4"/>
    <x v="56"/>
    <x v="9"/>
    <x v="7"/>
    <x v="39"/>
    <x v="600"/>
    <x v="1"/>
    <x v="37"/>
    <x v="146"/>
    <x v="118"/>
    <x v="513"/>
    <x v="269"/>
    <x v="0"/>
    <x v="0"/>
    <x v="0"/>
    <x v="0"/>
    <x v="0"/>
    <x v="0"/>
    <x v="0"/>
    <x v="313"/>
    <x v="174"/>
    <x v="14"/>
    <x v="0"/>
    <x v="0"/>
    <x v="357"/>
    <x v="0"/>
    <x v="0"/>
    <x v="541"/>
    <x v="9"/>
    <x v="87"/>
    <x v="97"/>
    <x v="244"/>
    <x v="2"/>
    <x v="205"/>
    <x v="106"/>
    <x v="223"/>
    <x v="644"/>
  </r>
  <r>
    <x v="28"/>
    <x v="2"/>
    <x v="7"/>
    <x v="19"/>
    <x v="9"/>
    <x v="9"/>
    <x v="37"/>
    <x v="611"/>
    <x v="1"/>
    <x v="37"/>
    <x v="146"/>
    <x v="118"/>
    <x v="538"/>
    <x v="295"/>
    <x v="0"/>
    <x v="0"/>
    <x v="0"/>
    <x v="0"/>
    <x v="0"/>
    <x v="0"/>
    <x v="0"/>
    <x v="343"/>
    <x v="288"/>
    <x v="10"/>
    <x v="0"/>
    <x v="0"/>
    <x v="357"/>
    <x v="0"/>
    <x v="0"/>
    <x v="541"/>
    <x v="9"/>
    <x v="87"/>
    <x v="97"/>
    <x v="278"/>
    <x v="2"/>
    <x v="152"/>
    <x v="223"/>
    <x v="327"/>
    <x v="643"/>
  </r>
  <r>
    <x v="28"/>
    <x v="3"/>
    <x v="3"/>
    <x v="67"/>
    <x v="9"/>
    <x v="4"/>
    <x v="6"/>
    <x v="212"/>
    <x v="4"/>
    <x v="37"/>
    <x v="121"/>
    <x v="62"/>
    <x v="471"/>
    <x v="246"/>
    <x v="0"/>
    <x v="0"/>
    <x v="0"/>
    <x v="0"/>
    <x v="5"/>
    <x v="2"/>
    <x v="0"/>
    <x v="288"/>
    <x v="480"/>
    <x v="38"/>
    <x v="3"/>
    <x v="285"/>
    <x v="332"/>
    <x v="36"/>
    <x v="0"/>
    <x v="500"/>
    <x v="0"/>
    <x v="92"/>
    <x v="107"/>
    <x v="220"/>
    <x v="5"/>
    <x v="252"/>
    <x v="424"/>
    <x v="672"/>
    <x v="293"/>
  </r>
  <r>
    <x v="28"/>
    <x v="3"/>
    <x v="5"/>
    <x v="11"/>
    <x v="7"/>
    <x v="5"/>
    <x v="35"/>
    <x v="621"/>
    <x v="4"/>
    <x v="37"/>
    <x v="129"/>
    <x v="93"/>
    <x v="494"/>
    <x v="252"/>
    <x v="0"/>
    <x v="0"/>
    <x v="0"/>
    <x v="0"/>
    <x v="45"/>
    <x v="2"/>
    <x v="0"/>
    <x v="293"/>
    <x v="443"/>
    <x v="43"/>
    <x v="1"/>
    <x v="251"/>
    <x v="276"/>
    <x v="190"/>
    <x v="0"/>
    <x v="326"/>
    <x v="0"/>
    <x v="92"/>
    <x v="107"/>
    <x v="225"/>
    <x v="4"/>
    <x v="245"/>
    <x v="361"/>
    <x v="606"/>
    <x v="292"/>
  </r>
  <r>
    <x v="29"/>
    <x v="1"/>
    <x v="7"/>
    <x v="19"/>
    <x v="9"/>
    <x v="18"/>
    <x v="37"/>
    <x v="613"/>
    <x v="1"/>
    <x v="37"/>
    <x v="146"/>
    <x v="118"/>
    <x v="526"/>
    <x v="281"/>
    <x v="0"/>
    <x v="0"/>
    <x v="0"/>
    <x v="0"/>
    <x v="0"/>
    <x v="0"/>
    <x v="0"/>
    <x v="326"/>
    <x v="217"/>
    <x v="10"/>
    <x v="0"/>
    <x v="0"/>
    <x v="357"/>
    <x v="0"/>
    <x v="0"/>
    <x v="541"/>
    <x v="15"/>
    <x v="80"/>
    <x v="77"/>
    <x v="254"/>
    <x v="2"/>
    <x v="145"/>
    <x v="232"/>
    <x v="254"/>
    <x v="646"/>
  </r>
  <r>
    <x v="29"/>
    <x v="1"/>
    <x v="4"/>
    <x v="56"/>
    <x v="9"/>
    <x v="18"/>
    <x v="39"/>
    <x v="605"/>
    <x v="1"/>
    <x v="37"/>
    <x v="146"/>
    <x v="118"/>
    <x v="519"/>
    <x v="273"/>
    <x v="0"/>
    <x v="0"/>
    <x v="0"/>
    <x v="0"/>
    <x v="0"/>
    <x v="0"/>
    <x v="0"/>
    <x v="317"/>
    <x v="186"/>
    <x v="14"/>
    <x v="0"/>
    <x v="0"/>
    <x v="357"/>
    <x v="0"/>
    <x v="0"/>
    <x v="541"/>
    <x v="15"/>
    <x v="80"/>
    <x v="77"/>
    <x v="246"/>
    <x v="2"/>
    <x v="167"/>
    <x v="195"/>
    <x v="232"/>
    <x v="647"/>
  </r>
  <r>
    <x v="29"/>
    <x v="1"/>
    <x v="5"/>
    <x v="11"/>
    <x v="7"/>
    <x v="5"/>
    <x v="35"/>
    <x v="625"/>
    <x v="1"/>
    <x v="37"/>
    <x v="129"/>
    <x v="93"/>
    <x v="479"/>
    <x v="246"/>
    <x v="0"/>
    <x v="11"/>
    <x v="0"/>
    <x v="0"/>
    <x v="22"/>
    <x v="2"/>
    <x v="0"/>
    <x v="288"/>
    <x v="423"/>
    <x v="43"/>
    <x v="1"/>
    <x v="236"/>
    <x v="279"/>
    <x v="116"/>
    <x v="13"/>
    <x v="405"/>
    <x v="9"/>
    <x v="87"/>
    <x v="97"/>
    <x v="220"/>
    <x v="4"/>
    <x v="234"/>
    <x v="394"/>
    <x v="579"/>
    <x v="294"/>
  </r>
  <r>
    <x v="29"/>
    <x v="1"/>
    <x v="3"/>
    <x v="67"/>
    <x v="9"/>
    <x v="18"/>
    <x v="6"/>
    <x v="771"/>
    <x v="1"/>
    <x v="37"/>
    <x v="121"/>
    <x v="62"/>
    <x v="388"/>
    <x v="227"/>
    <x v="0"/>
    <x v="5"/>
    <x v="0"/>
    <x v="0"/>
    <x v="2"/>
    <x v="2"/>
    <x v="0"/>
    <x v="276"/>
    <x v="453"/>
    <x v="38"/>
    <x v="3"/>
    <x v="262"/>
    <x v="305"/>
    <x v="11"/>
    <x v="6"/>
    <x v="529"/>
    <x v="0"/>
    <x v="92"/>
    <x v="107"/>
    <x v="203"/>
    <x v="5"/>
    <x v="276"/>
    <x v="365"/>
    <x v="621"/>
    <x v="295"/>
  </r>
  <r>
    <x v="29"/>
    <x v="1"/>
    <x v="1"/>
    <x v="7"/>
    <x v="9"/>
    <x v="18"/>
    <x v="17"/>
    <x v="105"/>
    <x v="1"/>
    <x v="37"/>
    <x v="133"/>
    <x v="99"/>
    <x v="290"/>
    <x v="185"/>
    <x v="0"/>
    <x v="0"/>
    <x v="23"/>
    <x v="0"/>
    <x v="35"/>
    <x v="0"/>
    <x v="4"/>
    <x v="74"/>
    <x v="101"/>
    <x v="2"/>
    <x v="0"/>
    <x v="0"/>
    <x v="357"/>
    <x v="208"/>
    <x v="0"/>
    <x v="305"/>
    <x v="25"/>
    <x v="68"/>
    <x v="55"/>
    <x v="126"/>
    <x v="7"/>
    <x v="469"/>
    <x v="306"/>
    <x v="185"/>
    <x v="755"/>
  </r>
  <r>
    <x v="29"/>
    <x v="4"/>
    <x v="8"/>
    <x v="60"/>
    <x v="9"/>
    <x v="18"/>
    <x v="38"/>
    <x v="599"/>
    <x v="1"/>
    <x v="37"/>
    <x v="173"/>
    <x v="166"/>
    <x v="604"/>
    <x v="365"/>
    <x v="0"/>
    <x v="0"/>
    <x v="0"/>
    <x v="0"/>
    <x v="101"/>
    <x v="0"/>
    <x v="1"/>
    <x v="336"/>
    <x v="259"/>
    <x v="26"/>
    <x v="0"/>
    <x v="0"/>
    <x v="357"/>
    <x v="264"/>
    <x v="0"/>
    <x v="237"/>
    <x v="0"/>
    <x v="92"/>
    <x v="107"/>
    <x v="378"/>
    <x v="3"/>
    <x v="208"/>
    <x v="256"/>
    <x v="495"/>
    <x v="648"/>
  </r>
  <r>
    <x v="29"/>
    <x v="2"/>
    <x v="7"/>
    <x v="19"/>
    <x v="9"/>
    <x v="18"/>
    <x v="37"/>
    <x v="619"/>
    <x v="1"/>
    <x v="37"/>
    <x v="146"/>
    <x v="118"/>
    <x v="519"/>
    <x v="273"/>
    <x v="0"/>
    <x v="0"/>
    <x v="0"/>
    <x v="0"/>
    <x v="0"/>
    <x v="0"/>
    <x v="0"/>
    <x v="317"/>
    <x v="186"/>
    <x v="10"/>
    <x v="0"/>
    <x v="0"/>
    <x v="357"/>
    <x v="0"/>
    <x v="0"/>
    <x v="541"/>
    <x v="0"/>
    <x v="92"/>
    <x v="107"/>
    <x v="246"/>
    <x v="2"/>
    <x v="226"/>
    <x v="45"/>
    <x v="232"/>
    <x v="649"/>
  </r>
  <r>
    <x v="29"/>
    <x v="2"/>
    <x v="4"/>
    <x v="56"/>
    <x v="9"/>
    <x v="18"/>
    <x v="39"/>
    <x v="605"/>
    <x v="1"/>
    <x v="37"/>
    <x v="146"/>
    <x v="118"/>
    <x v="512"/>
    <x v="267"/>
    <x v="0"/>
    <x v="0"/>
    <x v="0"/>
    <x v="0"/>
    <x v="0"/>
    <x v="0"/>
    <x v="0"/>
    <x v="312"/>
    <x v="172"/>
    <x v="14"/>
    <x v="0"/>
    <x v="0"/>
    <x v="357"/>
    <x v="0"/>
    <x v="0"/>
    <x v="541"/>
    <x v="9"/>
    <x v="87"/>
    <x v="97"/>
    <x v="242"/>
    <x v="2"/>
    <x v="207"/>
    <x v="98"/>
    <x v="218"/>
    <x v="650"/>
  </r>
  <r>
    <x v="29"/>
    <x v="2"/>
    <x v="5"/>
    <x v="11"/>
    <x v="7"/>
    <x v="5"/>
    <x v="35"/>
    <x v="627"/>
    <x v="1"/>
    <x v="37"/>
    <x v="129"/>
    <x v="93"/>
    <x v="462"/>
    <x v="244"/>
    <x v="0"/>
    <x v="0"/>
    <x v="0"/>
    <x v="0"/>
    <x v="54"/>
    <x v="0"/>
    <x v="0"/>
    <x v="286"/>
    <x v="409"/>
    <x v="43"/>
    <x v="1"/>
    <x v="230"/>
    <x v="273"/>
    <x v="237"/>
    <x v="0"/>
    <x v="269"/>
    <x v="0"/>
    <x v="92"/>
    <x v="107"/>
    <x v="218"/>
    <x v="4"/>
    <x v="256"/>
    <x v="304"/>
    <x v="558"/>
    <x v="651"/>
  </r>
  <r>
    <x v="29"/>
    <x v="2"/>
    <x v="3"/>
    <x v="67"/>
    <x v="9"/>
    <x v="18"/>
    <x v="6"/>
    <x v="623"/>
    <x v="1"/>
    <x v="37"/>
    <x v="121"/>
    <x v="62"/>
    <x v="387"/>
    <x v="227"/>
    <x v="0"/>
    <x v="0"/>
    <x v="0"/>
    <x v="0"/>
    <x v="12"/>
    <x v="0"/>
    <x v="0"/>
    <x v="276"/>
    <x v="453"/>
    <x v="38"/>
    <x v="3"/>
    <x v="260"/>
    <x v="330"/>
    <x v="82"/>
    <x v="0"/>
    <x v="443"/>
    <x v="0"/>
    <x v="92"/>
    <x v="107"/>
    <x v="203"/>
    <x v="5"/>
    <x v="276"/>
    <x v="365"/>
    <x v="615"/>
    <x v="652"/>
  </r>
  <r>
    <x v="29"/>
    <x v="2"/>
    <x v="1"/>
    <x v="7"/>
    <x v="9"/>
    <x v="11"/>
    <x v="17"/>
    <x v="114"/>
    <x v="1"/>
    <x v="37"/>
    <x v="133"/>
    <x v="99"/>
    <x v="150"/>
    <x v="119"/>
    <x v="0"/>
    <x v="0"/>
    <x v="15"/>
    <x v="0"/>
    <x v="16"/>
    <x v="0"/>
    <x v="4"/>
    <x v="56"/>
    <x v="25"/>
    <x v="2"/>
    <x v="0"/>
    <x v="0"/>
    <x v="357"/>
    <x v="169"/>
    <x v="0"/>
    <x v="349"/>
    <x v="42"/>
    <x v="44"/>
    <x v="18"/>
    <x v="48"/>
    <x v="7"/>
    <x v="461"/>
    <x v="341"/>
    <x v="45"/>
    <x v="755"/>
  </r>
  <r>
    <x v="29"/>
    <x v="3"/>
    <x v="5"/>
    <x v="11"/>
    <x v="7"/>
    <x v="5"/>
    <x v="35"/>
    <x v="630"/>
    <x v="4"/>
    <x v="37"/>
    <x v="108"/>
    <x v="42"/>
    <x v="148"/>
    <x v="115"/>
    <x v="62"/>
    <x v="12"/>
    <x v="0"/>
    <x v="0"/>
    <x v="17"/>
    <x v="2"/>
    <x v="0"/>
    <x v="167"/>
    <x v="63"/>
    <x v="43"/>
    <x v="1"/>
    <x v="152"/>
    <x v="4"/>
    <x v="184"/>
    <x v="89"/>
    <x v="335"/>
    <x v="39"/>
    <x v="50"/>
    <x v="24"/>
    <x v="45"/>
    <x v="4"/>
    <x v="313"/>
    <x v="95"/>
    <x v="40"/>
    <x v="296"/>
  </r>
  <r>
    <x v="29"/>
    <x v="3"/>
    <x v="3"/>
    <x v="67"/>
    <x v="9"/>
    <x v="4"/>
    <x v="6"/>
    <x v="213"/>
    <x v="4"/>
    <x v="37"/>
    <x v="121"/>
    <x v="62"/>
    <x v="473"/>
    <x v="246"/>
    <x v="0"/>
    <x v="0"/>
    <x v="0"/>
    <x v="0"/>
    <x v="9"/>
    <x v="2"/>
    <x v="0"/>
    <x v="288"/>
    <x v="480"/>
    <x v="38"/>
    <x v="3"/>
    <x v="287"/>
    <x v="319"/>
    <x v="64"/>
    <x v="0"/>
    <x v="464"/>
    <x v="0"/>
    <x v="92"/>
    <x v="107"/>
    <x v="220"/>
    <x v="5"/>
    <x v="252"/>
    <x v="424"/>
    <x v="671"/>
    <x v="296"/>
  </r>
  <r>
    <x v="30"/>
    <x v="1"/>
    <x v="0"/>
    <x v="1"/>
    <x v="2"/>
    <x v="0"/>
    <x v="12"/>
    <x v="214"/>
    <x v="1"/>
    <x v="37"/>
    <x v="83"/>
    <x v="21"/>
    <x v="132"/>
    <x v="108"/>
    <x v="8"/>
    <x v="31"/>
    <x v="0"/>
    <x v="0"/>
    <x v="61"/>
    <x v="2"/>
    <x v="0"/>
    <x v="160"/>
    <x v="116"/>
    <x v="38"/>
    <x v="7"/>
    <x v="310"/>
    <x v="72"/>
    <x v="442"/>
    <x v="169"/>
    <x v="27"/>
    <x v="30"/>
    <x v="61"/>
    <x v="45"/>
    <x v="37"/>
    <x v="6"/>
    <x v="381"/>
    <x v="265"/>
    <x v="109"/>
    <x v="653"/>
  </r>
  <r>
    <x v="30"/>
    <x v="1"/>
    <x v="3"/>
    <x v="67"/>
    <x v="9"/>
    <x v="4"/>
    <x v="6"/>
    <x v="218"/>
    <x v="1"/>
    <x v="37"/>
    <x v="121"/>
    <x v="62"/>
    <x v="352"/>
    <x v="210"/>
    <x v="3"/>
    <x v="0"/>
    <x v="0"/>
    <x v="0"/>
    <x v="6"/>
    <x v="2"/>
    <x v="0"/>
    <x v="263"/>
    <x v="389"/>
    <x v="38"/>
    <x v="3"/>
    <x v="247"/>
    <x v="291"/>
    <x v="56"/>
    <x v="0"/>
    <x v="476"/>
    <x v="7"/>
    <x v="89"/>
    <x v="101"/>
    <x v="168"/>
    <x v="5"/>
    <x v="289"/>
    <x v="325"/>
    <x v="475"/>
    <x v="297"/>
  </r>
  <r>
    <x v="30"/>
    <x v="1"/>
    <x v="7"/>
    <x v="19"/>
    <x v="9"/>
    <x v="9"/>
    <x v="37"/>
    <x v="626"/>
    <x v="1"/>
    <x v="37"/>
    <x v="146"/>
    <x v="118"/>
    <x v="544"/>
    <x v="301"/>
    <x v="0"/>
    <x v="0"/>
    <x v="0"/>
    <x v="0"/>
    <x v="0"/>
    <x v="0"/>
    <x v="0"/>
    <x v="353"/>
    <x v="331"/>
    <x v="10"/>
    <x v="0"/>
    <x v="0"/>
    <x v="357"/>
    <x v="0"/>
    <x v="0"/>
    <x v="541"/>
    <x v="9"/>
    <x v="87"/>
    <x v="97"/>
    <x v="289"/>
    <x v="2"/>
    <x v="133"/>
    <x v="257"/>
    <x v="368"/>
    <x v="655"/>
  </r>
  <r>
    <x v="30"/>
    <x v="1"/>
    <x v="4"/>
    <x v="56"/>
    <x v="9"/>
    <x v="7"/>
    <x v="39"/>
    <x v="606"/>
    <x v="1"/>
    <x v="37"/>
    <x v="146"/>
    <x v="118"/>
    <x v="526"/>
    <x v="281"/>
    <x v="0"/>
    <x v="0"/>
    <x v="0"/>
    <x v="0"/>
    <x v="0"/>
    <x v="0"/>
    <x v="0"/>
    <x v="326"/>
    <x v="217"/>
    <x v="14"/>
    <x v="0"/>
    <x v="0"/>
    <x v="357"/>
    <x v="0"/>
    <x v="0"/>
    <x v="541"/>
    <x v="14"/>
    <x v="81"/>
    <x v="80"/>
    <x v="254"/>
    <x v="2"/>
    <x v="154"/>
    <x v="221"/>
    <x v="254"/>
    <x v="654"/>
  </r>
  <r>
    <x v="30"/>
    <x v="1"/>
    <x v="1"/>
    <x v="7"/>
    <x v="9"/>
    <x v="18"/>
    <x v="17"/>
    <x v="111"/>
    <x v="3"/>
    <x v="37"/>
    <x v="133"/>
    <x v="99"/>
    <x v="309"/>
    <x v="190"/>
    <x v="0"/>
    <x v="0"/>
    <x v="28"/>
    <x v="0"/>
    <x v="50"/>
    <x v="0"/>
    <x v="4"/>
    <x v="75"/>
    <x v="106"/>
    <x v="2"/>
    <x v="0"/>
    <x v="0"/>
    <x v="357"/>
    <x v="294"/>
    <x v="0"/>
    <x v="193"/>
    <x v="27"/>
    <x v="65"/>
    <x v="51"/>
    <x v="131"/>
    <x v="7"/>
    <x v="449"/>
    <x v="377"/>
    <x v="196"/>
    <x v="656"/>
  </r>
  <r>
    <x v="30"/>
    <x v="2"/>
    <x v="7"/>
    <x v="19"/>
    <x v="9"/>
    <x v="18"/>
    <x v="37"/>
    <x v="628"/>
    <x v="0"/>
    <x v="37"/>
    <x v="146"/>
    <x v="118"/>
    <x v="538"/>
    <x v="295"/>
    <x v="0"/>
    <x v="0"/>
    <x v="0"/>
    <x v="0"/>
    <x v="0"/>
    <x v="0"/>
    <x v="0"/>
    <x v="343"/>
    <x v="288"/>
    <x v="10"/>
    <x v="0"/>
    <x v="0"/>
    <x v="357"/>
    <x v="0"/>
    <x v="0"/>
    <x v="541"/>
    <x v="9"/>
    <x v="87"/>
    <x v="97"/>
    <x v="278"/>
    <x v="2"/>
    <x v="152"/>
    <x v="223"/>
    <x v="327"/>
    <x v="657"/>
  </r>
  <r>
    <x v="30"/>
    <x v="2"/>
    <x v="3"/>
    <x v="67"/>
    <x v="9"/>
    <x v="4"/>
    <x v="6"/>
    <x v="219"/>
    <x v="0"/>
    <x v="37"/>
    <x v="121"/>
    <x v="62"/>
    <x v="422"/>
    <x v="238"/>
    <x v="0"/>
    <x v="0"/>
    <x v="0"/>
    <x v="0"/>
    <x v="8"/>
    <x v="0"/>
    <x v="0"/>
    <x v="282"/>
    <x v="462"/>
    <x v="38"/>
    <x v="3"/>
    <x v="267"/>
    <x v="340"/>
    <x v="61"/>
    <x v="0"/>
    <x v="467"/>
    <x v="0"/>
    <x v="92"/>
    <x v="107"/>
    <x v="211"/>
    <x v="5"/>
    <x v="266"/>
    <x v="392"/>
    <x v="634"/>
    <x v="298"/>
  </r>
  <r>
    <x v="30"/>
    <x v="2"/>
    <x v="5"/>
    <x v="12"/>
    <x v="7"/>
    <x v="6"/>
    <x v="23"/>
    <x v="634"/>
    <x v="0"/>
    <x v="37"/>
    <x v="129"/>
    <x v="93"/>
    <x v="330"/>
    <x v="191"/>
    <x v="49"/>
    <x v="77"/>
    <x v="0"/>
    <x v="0"/>
    <x v="69"/>
    <x v="2"/>
    <x v="0"/>
    <x v="244"/>
    <x v="128"/>
    <x v="43"/>
    <x v="1"/>
    <x v="137"/>
    <x v="29"/>
    <x v="371"/>
    <x v="214"/>
    <x v="116"/>
    <x v="15"/>
    <x v="80"/>
    <x v="77"/>
    <x v="132"/>
    <x v="4"/>
    <x v="299"/>
    <x v="118"/>
    <x v="179"/>
    <x v="299"/>
  </r>
  <r>
    <x v="30"/>
    <x v="2"/>
    <x v="4"/>
    <x v="56"/>
    <x v="9"/>
    <x v="0"/>
    <x v="39"/>
    <x v="614"/>
    <x v="0"/>
    <x v="37"/>
    <x v="146"/>
    <x v="118"/>
    <x v="529"/>
    <x v="283"/>
    <x v="0"/>
    <x v="0"/>
    <x v="0"/>
    <x v="0"/>
    <x v="0"/>
    <x v="0"/>
    <x v="0"/>
    <x v="329"/>
    <x v="234"/>
    <x v="14"/>
    <x v="0"/>
    <x v="0"/>
    <x v="357"/>
    <x v="0"/>
    <x v="0"/>
    <x v="541"/>
    <x v="9"/>
    <x v="87"/>
    <x v="97"/>
    <x v="258"/>
    <x v="2"/>
    <x v="179"/>
    <x v="158"/>
    <x v="275"/>
    <x v="658"/>
  </r>
  <r>
    <x v="30"/>
    <x v="2"/>
    <x v="0"/>
    <x v="1"/>
    <x v="9"/>
    <x v="0"/>
    <x v="12"/>
    <x v="215"/>
    <x v="0"/>
    <x v="37"/>
    <x v="83"/>
    <x v="21"/>
    <x v="184"/>
    <x v="136"/>
    <x v="0"/>
    <x v="31"/>
    <x v="0"/>
    <x v="0"/>
    <x v="55"/>
    <x v="0"/>
    <x v="0"/>
    <x v="191"/>
    <x v="390"/>
    <x v="38"/>
    <x v="7"/>
    <x v="350"/>
    <x v="134"/>
    <x v="387"/>
    <x v="142"/>
    <x v="95"/>
    <x v="0"/>
    <x v="92"/>
    <x v="107"/>
    <x v="63"/>
    <x v="6"/>
    <x v="393"/>
    <x v="143"/>
    <x v="340"/>
    <x v="300"/>
  </r>
  <r>
    <x v="30"/>
    <x v="2"/>
    <x v="1"/>
    <x v="7"/>
    <x v="9"/>
    <x v="18"/>
    <x v="17"/>
    <x v="118"/>
    <x v="0"/>
    <x v="37"/>
    <x v="133"/>
    <x v="99"/>
    <x v="389"/>
    <x v="226"/>
    <x v="0"/>
    <x v="0"/>
    <x v="36"/>
    <x v="0"/>
    <x v="64"/>
    <x v="0"/>
    <x v="4"/>
    <x v="89"/>
    <x v="249"/>
    <x v="2"/>
    <x v="0"/>
    <x v="0"/>
    <x v="357"/>
    <x v="302"/>
    <x v="0"/>
    <x v="186"/>
    <x v="9"/>
    <x v="87"/>
    <x v="97"/>
    <x v="200"/>
    <x v="7"/>
    <x v="462"/>
    <x v="340"/>
    <x v="449"/>
    <x v="755"/>
  </r>
  <r>
    <x v="30"/>
    <x v="4"/>
    <x v="8"/>
    <x v="60"/>
    <x v="9"/>
    <x v="18"/>
    <x v="38"/>
    <x v="610"/>
    <x v="0"/>
    <x v="38"/>
    <x v="159"/>
    <x v="140"/>
    <x v="593"/>
    <x v="352"/>
    <x v="0"/>
    <x v="0"/>
    <x v="0"/>
    <x v="0"/>
    <x v="33"/>
    <x v="0"/>
    <x v="0"/>
    <x v="406"/>
    <x v="440"/>
    <x v="26"/>
    <x v="0"/>
    <x v="0"/>
    <x v="357"/>
    <x v="95"/>
    <x v="0"/>
    <x v="429"/>
    <x v="11"/>
    <x v="90"/>
    <x v="91"/>
    <x v="349"/>
    <x v="3"/>
    <x v="25"/>
    <x v="476"/>
    <x v="706"/>
    <x v="665"/>
  </r>
  <r>
    <x v="30"/>
    <x v="4"/>
    <x v="9"/>
    <x v="68"/>
    <x v="9"/>
    <x v="16"/>
    <x v="34"/>
    <x v="504"/>
    <x v="0"/>
    <x v="38"/>
    <x v="178"/>
    <x v="182"/>
    <x v="622"/>
    <x v="385"/>
    <x v="0"/>
    <x v="0"/>
    <x v="0"/>
    <x v="0"/>
    <x v="18"/>
    <x v="0"/>
    <x v="1"/>
    <x v="377"/>
    <x v="305"/>
    <x v="31"/>
    <x v="0"/>
    <x v="0"/>
    <x v="357"/>
    <x v="44"/>
    <x v="0"/>
    <x v="490"/>
    <x v="11"/>
    <x v="90"/>
    <x v="91"/>
    <x v="401"/>
    <x v="1"/>
    <x v="87"/>
    <x v="32"/>
    <x v="140"/>
    <x v="659"/>
  </r>
  <r>
    <x v="30"/>
    <x v="3"/>
    <x v="5"/>
    <x v="12"/>
    <x v="7"/>
    <x v="6"/>
    <x v="23"/>
    <x v="636"/>
    <x v="4"/>
    <x v="37"/>
    <x v="129"/>
    <x v="93"/>
    <x v="449"/>
    <x v="242"/>
    <x v="0"/>
    <x v="18"/>
    <x v="0"/>
    <x v="0"/>
    <x v="47"/>
    <x v="2"/>
    <x v="0"/>
    <x v="284"/>
    <x v="393"/>
    <x v="43"/>
    <x v="1"/>
    <x v="216"/>
    <x v="240"/>
    <x v="211"/>
    <x v="22"/>
    <x v="306"/>
    <x v="0"/>
    <x v="92"/>
    <x v="107"/>
    <x v="214"/>
    <x v="4"/>
    <x v="264"/>
    <x v="270"/>
    <x v="528"/>
    <x v="301"/>
  </r>
  <r>
    <x v="30"/>
    <x v="3"/>
    <x v="0"/>
    <x v="1"/>
    <x v="2"/>
    <x v="0"/>
    <x v="12"/>
    <x v="216"/>
    <x v="4"/>
    <x v="37"/>
    <x v="83"/>
    <x v="21"/>
    <x v="216"/>
    <x v="149"/>
    <x v="0"/>
    <x v="0"/>
    <x v="0"/>
    <x v="0"/>
    <x v="34"/>
    <x v="2"/>
    <x v="0"/>
    <x v="206"/>
    <x v="454"/>
    <x v="38"/>
    <x v="7"/>
    <x v="363"/>
    <x v="257"/>
    <x v="251"/>
    <x v="0"/>
    <x v="255"/>
    <x v="0"/>
    <x v="92"/>
    <x v="107"/>
    <x v="79"/>
    <x v="6"/>
    <x v="378"/>
    <x v="292"/>
    <x v="550"/>
    <x v="302"/>
  </r>
  <r>
    <x v="30"/>
    <x v="3"/>
    <x v="3"/>
    <x v="67"/>
    <x v="9"/>
    <x v="4"/>
    <x v="6"/>
    <x v="220"/>
    <x v="4"/>
    <x v="37"/>
    <x v="121"/>
    <x v="62"/>
    <x v="372"/>
    <x v="218"/>
    <x v="0"/>
    <x v="0"/>
    <x v="0"/>
    <x v="0"/>
    <x v="13"/>
    <x v="2"/>
    <x v="0"/>
    <x v="268"/>
    <x v="432"/>
    <x v="38"/>
    <x v="3"/>
    <x v="258"/>
    <x v="300"/>
    <x v="91"/>
    <x v="0"/>
    <x v="433"/>
    <x v="0"/>
    <x v="92"/>
    <x v="107"/>
    <x v="188"/>
    <x v="5"/>
    <x v="289"/>
    <x v="325"/>
    <x v="578"/>
    <x v="303"/>
  </r>
  <r>
    <x v="31"/>
    <x v="1"/>
    <x v="0"/>
    <x v="1"/>
    <x v="2"/>
    <x v="0"/>
    <x v="12"/>
    <x v="773"/>
    <x v="1"/>
    <x v="37"/>
    <x v="83"/>
    <x v="21"/>
    <x v="163"/>
    <x v="125"/>
    <x v="0"/>
    <x v="9"/>
    <x v="0"/>
    <x v="0"/>
    <x v="38"/>
    <x v="2"/>
    <x v="0"/>
    <x v="176"/>
    <x v="247"/>
    <x v="38"/>
    <x v="7"/>
    <x v="343"/>
    <x v="168"/>
    <x v="342"/>
    <x v="56"/>
    <x v="147"/>
    <x v="0"/>
    <x v="92"/>
    <x v="107"/>
    <x v="53"/>
    <x v="6"/>
    <x v="409"/>
    <x v="46"/>
    <x v="221"/>
    <x v="310"/>
  </r>
  <r>
    <x v="31"/>
    <x v="1"/>
    <x v="3"/>
    <x v="67"/>
    <x v="9"/>
    <x v="18"/>
    <x v="6"/>
    <x v="224"/>
    <x v="1"/>
    <x v="37"/>
    <x v="121"/>
    <x v="62"/>
    <x v="434"/>
    <x v="242"/>
    <x v="0"/>
    <x v="0"/>
    <x v="0"/>
    <x v="0"/>
    <x v="8"/>
    <x v="2"/>
    <x v="0"/>
    <x v="284"/>
    <x v="468"/>
    <x v="38"/>
    <x v="3"/>
    <x v="275"/>
    <x v="321"/>
    <x v="60"/>
    <x v="0"/>
    <x v="469"/>
    <x v="0"/>
    <x v="92"/>
    <x v="107"/>
    <x v="214"/>
    <x v="5"/>
    <x v="264"/>
    <x v="400"/>
    <x v="650"/>
    <x v="661"/>
  </r>
  <r>
    <x v="31"/>
    <x v="1"/>
    <x v="5"/>
    <x v="12"/>
    <x v="7"/>
    <x v="6"/>
    <x v="23"/>
    <x v="641"/>
    <x v="1"/>
    <x v="37"/>
    <x v="129"/>
    <x v="93"/>
    <x v="446"/>
    <x v="242"/>
    <x v="0"/>
    <x v="11"/>
    <x v="0"/>
    <x v="0"/>
    <x v="42"/>
    <x v="2"/>
    <x v="0"/>
    <x v="284"/>
    <x v="393"/>
    <x v="43"/>
    <x v="1"/>
    <x v="211"/>
    <x v="258"/>
    <x v="191"/>
    <x v="14"/>
    <x v="327"/>
    <x v="0"/>
    <x v="92"/>
    <x v="107"/>
    <x v="214"/>
    <x v="4"/>
    <x v="264"/>
    <x v="270"/>
    <x v="536"/>
    <x v="662"/>
  </r>
  <r>
    <x v="31"/>
    <x v="1"/>
    <x v="7"/>
    <x v="19"/>
    <x v="9"/>
    <x v="18"/>
    <x v="37"/>
    <x v="629"/>
    <x v="1"/>
    <x v="37"/>
    <x v="146"/>
    <x v="118"/>
    <x v="362"/>
    <x v="212"/>
    <x v="0"/>
    <x v="0"/>
    <x v="0"/>
    <x v="0"/>
    <x v="4"/>
    <x v="0"/>
    <x v="0"/>
    <x v="265"/>
    <x v="70"/>
    <x v="10"/>
    <x v="0"/>
    <x v="0"/>
    <x v="357"/>
    <x v="34"/>
    <x v="0"/>
    <x v="502"/>
    <x v="35"/>
    <x v="55"/>
    <x v="31"/>
    <x v="177"/>
    <x v="2"/>
    <x v="128"/>
    <x v="267"/>
    <x v="88"/>
    <x v="663"/>
  </r>
  <r>
    <x v="31"/>
    <x v="1"/>
    <x v="4"/>
    <x v="56"/>
    <x v="9"/>
    <x v="18"/>
    <x v="39"/>
    <x v="615"/>
    <x v="1"/>
    <x v="37"/>
    <x v="146"/>
    <x v="118"/>
    <x v="529"/>
    <x v="283"/>
    <x v="0"/>
    <x v="0"/>
    <x v="0"/>
    <x v="0"/>
    <x v="0"/>
    <x v="0"/>
    <x v="0"/>
    <x v="329"/>
    <x v="234"/>
    <x v="14"/>
    <x v="0"/>
    <x v="0"/>
    <x v="357"/>
    <x v="0"/>
    <x v="0"/>
    <x v="541"/>
    <x v="19"/>
    <x v="74"/>
    <x v="69"/>
    <x v="258"/>
    <x v="2"/>
    <x v="103"/>
    <x v="311"/>
    <x v="275"/>
    <x v="660"/>
  </r>
  <r>
    <x v="31"/>
    <x v="1"/>
    <x v="1"/>
    <x v="7"/>
    <x v="9"/>
    <x v="9"/>
    <x v="17"/>
    <x v="119"/>
    <x v="3"/>
    <x v="37"/>
    <x v="133"/>
    <x v="99"/>
    <x v="255"/>
    <x v="160"/>
    <x v="0"/>
    <x v="0"/>
    <x v="27"/>
    <x v="0"/>
    <x v="32"/>
    <x v="0"/>
    <x v="3"/>
    <x v="76"/>
    <x v="67"/>
    <x v="2"/>
    <x v="0"/>
    <x v="0"/>
    <x v="357"/>
    <x v="223"/>
    <x v="0"/>
    <x v="288"/>
    <x v="27"/>
    <x v="65"/>
    <x v="51"/>
    <x v="92"/>
    <x v="7"/>
    <x v="446"/>
    <x v="382"/>
    <x v="202"/>
    <x v="664"/>
  </r>
  <r>
    <x v="31"/>
    <x v="4"/>
    <x v="8"/>
    <x v="60"/>
    <x v="9"/>
    <x v="18"/>
    <x v="38"/>
    <x v="618"/>
    <x v="0"/>
    <x v="37"/>
    <x v="176"/>
    <x v="172"/>
    <x v="612"/>
    <x v="375"/>
    <x v="0"/>
    <x v="0"/>
    <x v="0"/>
    <x v="0"/>
    <x v="96"/>
    <x v="0"/>
    <x v="0"/>
    <x v="412"/>
    <x v="363"/>
    <x v="26"/>
    <x v="0"/>
    <x v="0"/>
    <x v="357"/>
    <x v="217"/>
    <x v="0"/>
    <x v="293"/>
    <x v="0"/>
    <x v="92"/>
    <x v="107"/>
    <x v="395"/>
    <x v="3"/>
    <x v="8"/>
    <x v="486"/>
    <x v="717"/>
    <x v="668"/>
  </r>
  <r>
    <x v="31"/>
    <x v="2"/>
    <x v="7"/>
    <x v="20"/>
    <x v="9"/>
    <x v="18"/>
    <x v="25"/>
    <x v="635"/>
    <x v="0"/>
    <x v="37"/>
    <x v="146"/>
    <x v="118"/>
    <x v="383"/>
    <x v="227"/>
    <x v="0"/>
    <x v="0"/>
    <x v="0"/>
    <x v="0"/>
    <x v="0"/>
    <x v="0"/>
    <x v="0"/>
    <x v="276"/>
    <x v="87"/>
    <x v="11"/>
    <x v="0"/>
    <x v="0"/>
    <x v="357"/>
    <x v="0"/>
    <x v="0"/>
    <x v="541"/>
    <x v="30"/>
    <x v="61"/>
    <x v="45"/>
    <x v="203"/>
    <x v="2"/>
    <x v="165"/>
    <x v="199"/>
    <x v="105"/>
    <x v="666"/>
  </r>
  <r>
    <x v="31"/>
    <x v="2"/>
    <x v="4"/>
    <x v="56"/>
    <x v="9"/>
    <x v="18"/>
    <x v="39"/>
    <x v="616"/>
    <x v="0"/>
    <x v="37"/>
    <x v="146"/>
    <x v="118"/>
    <x v="544"/>
    <x v="301"/>
    <x v="0"/>
    <x v="0"/>
    <x v="0"/>
    <x v="0"/>
    <x v="0"/>
    <x v="0"/>
    <x v="0"/>
    <x v="353"/>
    <x v="331"/>
    <x v="14"/>
    <x v="0"/>
    <x v="0"/>
    <x v="357"/>
    <x v="0"/>
    <x v="0"/>
    <x v="541"/>
    <x v="9"/>
    <x v="87"/>
    <x v="97"/>
    <x v="289"/>
    <x v="2"/>
    <x v="133"/>
    <x v="257"/>
    <x v="368"/>
    <x v="667"/>
  </r>
  <r>
    <x v="31"/>
    <x v="2"/>
    <x v="3"/>
    <x v="67"/>
    <x v="9"/>
    <x v="4"/>
    <x v="6"/>
    <x v="225"/>
    <x v="0"/>
    <x v="37"/>
    <x v="121"/>
    <x v="62"/>
    <x v="419"/>
    <x v="238"/>
    <x v="0"/>
    <x v="0"/>
    <x v="0"/>
    <x v="0"/>
    <x v="4"/>
    <x v="0"/>
    <x v="0"/>
    <x v="282"/>
    <x v="462"/>
    <x v="38"/>
    <x v="3"/>
    <x v="266"/>
    <x v="351"/>
    <x v="25"/>
    <x v="0"/>
    <x v="511"/>
    <x v="9"/>
    <x v="87"/>
    <x v="97"/>
    <x v="211"/>
    <x v="5"/>
    <x v="246"/>
    <x v="431"/>
    <x v="636"/>
    <x v="304"/>
  </r>
  <r>
    <x v="31"/>
    <x v="2"/>
    <x v="5"/>
    <x v="12"/>
    <x v="7"/>
    <x v="6"/>
    <x v="23"/>
    <x v="644"/>
    <x v="0"/>
    <x v="37"/>
    <x v="129"/>
    <x v="93"/>
    <x v="461"/>
    <x v="243"/>
    <x v="0"/>
    <x v="29"/>
    <x v="0"/>
    <x v="0"/>
    <x v="49"/>
    <x v="0"/>
    <x v="0"/>
    <x v="285"/>
    <x v="399"/>
    <x v="43"/>
    <x v="1"/>
    <x v="228"/>
    <x v="233"/>
    <x v="216"/>
    <x v="59"/>
    <x v="297"/>
    <x v="0"/>
    <x v="92"/>
    <x v="107"/>
    <x v="216"/>
    <x v="4"/>
    <x v="260"/>
    <x v="289"/>
    <x v="547"/>
    <x v="305"/>
  </r>
  <r>
    <x v="31"/>
    <x v="2"/>
    <x v="0"/>
    <x v="1"/>
    <x v="2"/>
    <x v="0"/>
    <x v="12"/>
    <x v="221"/>
    <x v="0"/>
    <x v="37"/>
    <x v="83"/>
    <x v="21"/>
    <x v="169"/>
    <x v="130"/>
    <x v="0"/>
    <x v="29"/>
    <x v="0"/>
    <x v="0"/>
    <x v="53"/>
    <x v="0"/>
    <x v="0"/>
    <x v="184"/>
    <x v="299"/>
    <x v="38"/>
    <x v="7"/>
    <x v="348"/>
    <x v="128"/>
    <x v="391"/>
    <x v="145"/>
    <x v="92"/>
    <x v="0"/>
    <x v="92"/>
    <x v="107"/>
    <x v="57"/>
    <x v="6"/>
    <x v="406"/>
    <x v="68"/>
    <x v="246"/>
    <x v="306"/>
  </r>
  <r>
    <x v="31"/>
    <x v="2"/>
    <x v="1"/>
    <x v="6"/>
    <x v="9"/>
    <x v="18"/>
    <x v="13"/>
    <x v="51"/>
    <x v="0"/>
    <x v="37"/>
    <x v="133"/>
    <x v="99"/>
    <x v="306"/>
    <x v="190"/>
    <x v="0"/>
    <x v="0"/>
    <x v="29"/>
    <x v="0"/>
    <x v="28"/>
    <x v="0"/>
    <x v="3"/>
    <x v="86"/>
    <x v="106"/>
    <x v="1"/>
    <x v="0"/>
    <x v="0"/>
    <x v="357"/>
    <x v="174"/>
    <x v="0"/>
    <x v="344"/>
    <x v="9"/>
    <x v="87"/>
    <x v="97"/>
    <x v="131"/>
    <x v="7"/>
    <x v="470"/>
    <x v="297"/>
    <x v="401"/>
    <x v="755"/>
  </r>
  <r>
    <x v="31"/>
    <x v="3"/>
    <x v="0"/>
    <x v="1"/>
    <x v="2"/>
    <x v="0"/>
    <x v="12"/>
    <x v="222"/>
    <x v="4"/>
    <x v="37"/>
    <x v="83"/>
    <x v="21"/>
    <x v="171"/>
    <x v="133"/>
    <x v="8"/>
    <x v="9"/>
    <x v="0"/>
    <x v="0"/>
    <x v="36"/>
    <x v="2"/>
    <x v="0"/>
    <x v="188"/>
    <x v="357"/>
    <x v="38"/>
    <x v="7"/>
    <x v="349"/>
    <x v="171"/>
    <x v="309"/>
    <x v="48"/>
    <x v="182"/>
    <x v="0"/>
    <x v="92"/>
    <x v="107"/>
    <x v="61"/>
    <x v="6"/>
    <x v="401"/>
    <x v="108"/>
    <x v="304"/>
    <x v="307"/>
  </r>
  <r>
    <x v="31"/>
    <x v="3"/>
    <x v="3"/>
    <x v="67"/>
    <x v="9"/>
    <x v="4"/>
    <x v="6"/>
    <x v="226"/>
    <x v="4"/>
    <x v="37"/>
    <x v="121"/>
    <x v="62"/>
    <x v="432"/>
    <x v="242"/>
    <x v="0"/>
    <x v="0"/>
    <x v="0"/>
    <x v="0"/>
    <x v="4"/>
    <x v="2"/>
    <x v="0"/>
    <x v="284"/>
    <x v="468"/>
    <x v="38"/>
    <x v="3"/>
    <x v="273"/>
    <x v="333"/>
    <x v="24"/>
    <x v="0"/>
    <x v="513"/>
    <x v="0"/>
    <x v="92"/>
    <x v="107"/>
    <x v="214"/>
    <x v="5"/>
    <x v="264"/>
    <x v="400"/>
    <x v="651"/>
    <x v="308"/>
  </r>
  <r>
    <x v="31"/>
    <x v="3"/>
    <x v="5"/>
    <x v="12"/>
    <x v="7"/>
    <x v="6"/>
    <x v="23"/>
    <x v="646"/>
    <x v="4"/>
    <x v="37"/>
    <x v="129"/>
    <x v="93"/>
    <x v="451"/>
    <x v="242"/>
    <x v="0"/>
    <x v="28"/>
    <x v="0"/>
    <x v="0"/>
    <x v="55"/>
    <x v="2"/>
    <x v="0"/>
    <x v="284"/>
    <x v="393"/>
    <x v="43"/>
    <x v="1"/>
    <x v="218"/>
    <x v="214"/>
    <x v="246"/>
    <x v="57"/>
    <x v="262"/>
    <x v="0"/>
    <x v="92"/>
    <x v="107"/>
    <x v="214"/>
    <x v="4"/>
    <x v="264"/>
    <x v="270"/>
    <x v="525"/>
    <x v="309"/>
  </r>
  <r>
    <x v="32"/>
    <x v="1"/>
    <x v="5"/>
    <x v="12"/>
    <x v="7"/>
    <x v="6"/>
    <x v="23"/>
    <x v="649"/>
    <x v="1"/>
    <x v="37"/>
    <x v="129"/>
    <x v="93"/>
    <x v="426"/>
    <x v="238"/>
    <x v="0"/>
    <x v="29"/>
    <x v="0"/>
    <x v="0"/>
    <x v="47"/>
    <x v="2"/>
    <x v="0"/>
    <x v="282"/>
    <x v="383"/>
    <x v="43"/>
    <x v="1"/>
    <x v="200"/>
    <x v="221"/>
    <x v="212"/>
    <x v="65"/>
    <x v="301"/>
    <x v="0"/>
    <x v="92"/>
    <x v="107"/>
    <x v="211"/>
    <x v="4"/>
    <x v="266"/>
    <x v="248"/>
    <x v="487"/>
    <x v="670"/>
  </r>
  <r>
    <x v="32"/>
    <x v="1"/>
    <x v="3"/>
    <x v="67"/>
    <x v="9"/>
    <x v="4"/>
    <x v="6"/>
    <x v="227"/>
    <x v="1"/>
    <x v="37"/>
    <x v="121"/>
    <x v="62"/>
    <x v="432"/>
    <x v="242"/>
    <x v="0"/>
    <x v="0"/>
    <x v="0"/>
    <x v="0"/>
    <x v="4"/>
    <x v="2"/>
    <x v="0"/>
    <x v="284"/>
    <x v="468"/>
    <x v="38"/>
    <x v="3"/>
    <x v="273"/>
    <x v="333"/>
    <x v="24"/>
    <x v="0"/>
    <x v="513"/>
    <x v="0"/>
    <x v="92"/>
    <x v="107"/>
    <x v="214"/>
    <x v="5"/>
    <x v="264"/>
    <x v="400"/>
    <x v="651"/>
    <x v="671"/>
  </r>
  <r>
    <x v="32"/>
    <x v="1"/>
    <x v="1"/>
    <x v="6"/>
    <x v="9"/>
    <x v="11"/>
    <x v="13"/>
    <x v="58"/>
    <x v="1"/>
    <x v="37"/>
    <x v="133"/>
    <x v="99"/>
    <x v="364"/>
    <x v="213"/>
    <x v="0"/>
    <x v="0"/>
    <x v="42"/>
    <x v="0"/>
    <x v="20"/>
    <x v="0"/>
    <x v="4"/>
    <x v="83"/>
    <x v="182"/>
    <x v="1"/>
    <x v="0"/>
    <x v="0"/>
    <x v="357"/>
    <x v="128"/>
    <x v="0"/>
    <x v="392"/>
    <x v="0"/>
    <x v="92"/>
    <x v="107"/>
    <x v="178"/>
    <x v="7"/>
    <x v="487"/>
    <x v="134"/>
    <x v="347"/>
    <x v="755"/>
  </r>
  <r>
    <x v="32"/>
    <x v="1"/>
    <x v="7"/>
    <x v="20"/>
    <x v="9"/>
    <x v="9"/>
    <x v="25"/>
    <x v="637"/>
    <x v="1"/>
    <x v="37"/>
    <x v="146"/>
    <x v="118"/>
    <x v="526"/>
    <x v="281"/>
    <x v="0"/>
    <x v="0"/>
    <x v="0"/>
    <x v="0"/>
    <x v="0"/>
    <x v="0"/>
    <x v="0"/>
    <x v="326"/>
    <x v="217"/>
    <x v="11"/>
    <x v="0"/>
    <x v="0"/>
    <x v="357"/>
    <x v="0"/>
    <x v="0"/>
    <x v="541"/>
    <x v="19"/>
    <x v="74"/>
    <x v="69"/>
    <x v="254"/>
    <x v="2"/>
    <x v="114"/>
    <x v="287"/>
    <x v="254"/>
    <x v="672"/>
  </r>
  <r>
    <x v="32"/>
    <x v="1"/>
    <x v="4"/>
    <x v="56"/>
    <x v="9"/>
    <x v="7"/>
    <x v="39"/>
    <x v="624"/>
    <x v="1"/>
    <x v="37"/>
    <x v="146"/>
    <x v="118"/>
    <x v="538"/>
    <x v="295"/>
    <x v="0"/>
    <x v="0"/>
    <x v="0"/>
    <x v="0"/>
    <x v="0"/>
    <x v="0"/>
    <x v="0"/>
    <x v="343"/>
    <x v="288"/>
    <x v="14"/>
    <x v="0"/>
    <x v="0"/>
    <x v="357"/>
    <x v="0"/>
    <x v="0"/>
    <x v="541"/>
    <x v="12"/>
    <x v="83"/>
    <x v="86"/>
    <x v="278"/>
    <x v="2"/>
    <x v="130"/>
    <x v="264"/>
    <x v="327"/>
    <x v="673"/>
  </r>
  <r>
    <x v="32"/>
    <x v="2"/>
    <x v="7"/>
    <x v="20"/>
    <x v="9"/>
    <x v="18"/>
    <x v="25"/>
    <x v="643"/>
    <x v="0"/>
    <x v="37"/>
    <x v="146"/>
    <x v="118"/>
    <x v="550"/>
    <x v="308"/>
    <x v="0"/>
    <x v="0"/>
    <x v="0"/>
    <x v="0"/>
    <x v="0"/>
    <x v="0"/>
    <x v="0"/>
    <x v="361"/>
    <x v="358"/>
    <x v="11"/>
    <x v="0"/>
    <x v="0"/>
    <x v="357"/>
    <x v="0"/>
    <x v="0"/>
    <x v="541"/>
    <x v="9"/>
    <x v="87"/>
    <x v="97"/>
    <x v="298"/>
    <x v="2"/>
    <x v="115"/>
    <x v="285"/>
    <x v="402"/>
    <x v="674"/>
  </r>
  <r>
    <x v="32"/>
    <x v="2"/>
    <x v="3"/>
    <x v="67"/>
    <x v="9"/>
    <x v="18"/>
    <x v="6"/>
    <x v="228"/>
    <x v="0"/>
    <x v="37"/>
    <x v="121"/>
    <x v="62"/>
    <x v="418"/>
    <x v="238"/>
    <x v="0"/>
    <x v="0"/>
    <x v="0"/>
    <x v="0"/>
    <x v="3"/>
    <x v="0"/>
    <x v="0"/>
    <x v="282"/>
    <x v="462"/>
    <x v="38"/>
    <x v="3"/>
    <x v="265"/>
    <x v="352"/>
    <x v="20"/>
    <x v="0"/>
    <x v="517"/>
    <x v="0"/>
    <x v="92"/>
    <x v="107"/>
    <x v="211"/>
    <x v="5"/>
    <x v="266"/>
    <x v="392"/>
    <x v="637"/>
    <x v="312"/>
  </r>
  <r>
    <x v="32"/>
    <x v="2"/>
    <x v="5"/>
    <x v="12"/>
    <x v="7"/>
    <x v="6"/>
    <x v="23"/>
    <x v="651"/>
    <x v="0"/>
    <x v="37"/>
    <x v="129"/>
    <x v="93"/>
    <x v="399"/>
    <x v="227"/>
    <x v="0"/>
    <x v="29"/>
    <x v="0"/>
    <x v="0"/>
    <x v="49"/>
    <x v="0"/>
    <x v="0"/>
    <x v="276"/>
    <x v="344"/>
    <x v="43"/>
    <x v="1"/>
    <x v="177"/>
    <x v="225"/>
    <x v="232"/>
    <x v="73"/>
    <x v="279"/>
    <x v="0"/>
    <x v="92"/>
    <x v="107"/>
    <x v="203"/>
    <x v="4"/>
    <x v="276"/>
    <x v="199"/>
    <x v="429"/>
    <x v="311"/>
  </r>
  <r>
    <x v="32"/>
    <x v="2"/>
    <x v="4"/>
    <x v="56"/>
    <x v="9"/>
    <x v="18"/>
    <x v="39"/>
    <x v="622"/>
    <x v="0"/>
    <x v="22"/>
    <x v="113"/>
    <x v="126"/>
    <x v="275"/>
    <x v="174"/>
    <x v="0"/>
    <x v="0"/>
    <x v="0"/>
    <x v="0"/>
    <x v="0"/>
    <x v="0"/>
    <x v="0"/>
    <x v="230"/>
    <x v="288"/>
    <x v="14"/>
    <x v="0"/>
    <x v="0"/>
    <x v="357"/>
    <x v="0"/>
    <x v="0"/>
    <x v="541"/>
    <x v="9"/>
    <x v="43"/>
    <x v="72"/>
    <x v="290"/>
    <x v="2"/>
    <x v="83"/>
    <x v="376"/>
    <x v="374"/>
    <x v="675"/>
  </r>
  <r>
    <x v="32"/>
    <x v="2"/>
    <x v="4"/>
    <x v="57"/>
    <x v="9"/>
    <x v="18"/>
    <x v="27"/>
    <x v="633"/>
    <x v="0"/>
    <x v="22"/>
    <x v="103"/>
    <x v="115"/>
    <x v="192"/>
    <x v="145"/>
    <x v="0"/>
    <x v="0"/>
    <x v="0"/>
    <x v="0"/>
    <x v="0"/>
    <x v="0"/>
    <x v="0"/>
    <x v="201"/>
    <x v="163"/>
    <x v="15"/>
    <x v="0"/>
    <x v="0"/>
    <x v="357"/>
    <x v="0"/>
    <x v="0"/>
    <x v="541"/>
    <x v="9"/>
    <x v="43"/>
    <x v="72"/>
    <x v="234"/>
    <x v="2"/>
    <x v="189"/>
    <x v="140"/>
    <x v="192"/>
    <x v="313"/>
  </r>
  <r>
    <x v="32"/>
    <x v="4"/>
    <x v="8"/>
    <x v="60"/>
    <x v="9"/>
    <x v="18"/>
    <x v="38"/>
    <x v="616"/>
    <x v="0"/>
    <x v="37"/>
    <x v="176"/>
    <x v="172"/>
    <x v="600"/>
    <x v="360"/>
    <x v="0"/>
    <x v="0"/>
    <x v="0"/>
    <x v="0"/>
    <x v="44"/>
    <x v="0"/>
    <x v="0"/>
    <x v="410"/>
    <x v="178"/>
    <x v="26"/>
    <x v="0"/>
    <x v="0"/>
    <x v="357"/>
    <x v="106"/>
    <x v="0"/>
    <x v="417"/>
    <x v="9"/>
    <x v="87"/>
    <x v="97"/>
    <x v="371"/>
    <x v="3"/>
    <x v="11"/>
    <x v="483"/>
    <x v="715"/>
    <x v="676"/>
  </r>
  <r>
    <x v="32"/>
    <x v="2"/>
    <x v="1"/>
    <x v="6"/>
    <x v="9"/>
    <x v="18"/>
    <x v="13"/>
    <x v="60"/>
    <x v="0"/>
    <x v="37"/>
    <x v="133"/>
    <x v="99"/>
    <x v="369"/>
    <x v="215"/>
    <x v="0"/>
    <x v="0"/>
    <x v="17"/>
    <x v="0"/>
    <x v="13"/>
    <x v="0"/>
    <x v="3"/>
    <x v="96"/>
    <x v="206"/>
    <x v="1"/>
    <x v="0"/>
    <x v="0"/>
    <x v="357"/>
    <x v="93"/>
    <x v="0"/>
    <x v="431"/>
    <x v="9"/>
    <x v="87"/>
    <x v="97"/>
    <x v="186"/>
    <x v="7"/>
    <x v="434"/>
    <x v="429"/>
    <x v="631"/>
    <x v="755"/>
  </r>
  <r>
    <x v="32"/>
    <x v="3"/>
    <x v="5"/>
    <x v="12"/>
    <x v="7"/>
    <x v="6"/>
    <x v="23"/>
    <x v="653"/>
    <x v="4"/>
    <x v="37"/>
    <x v="129"/>
    <x v="93"/>
    <x v="442"/>
    <x v="242"/>
    <x v="0"/>
    <x v="0"/>
    <x v="0"/>
    <x v="0"/>
    <x v="45"/>
    <x v="2"/>
    <x v="0"/>
    <x v="284"/>
    <x v="393"/>
    <x v="43"/>
    <x v="1"/>
    <x v="207"/>
    <x v="274"/>
    <x v="199"/>
    <x v="0"/>
    <x v="316"/>
    <x v="0"/>
    <x v="92"/>
    <x v="107"/>
    <x v="214"/>
    <x v="4"/>
    <x v="264"/>
    <x v="270"/>
    <x v="533"/>
    <x v="314"/>
  </r>
  <r>
    <x v="32"/>
    <x v="3"/>
    <x v="3"/>
    <x v="67"/>
    <x v="9"/>
    <x v="4"/>
    <x v="6"/>
    <x v="229"/>
    <x v="4"/>
    <x v="37"/>
    <x v="121"/>
    <x v="62"/>
    <x v="471"/>
    <x v="246"/>
    <x v="0"/>
    <x v="0"/>
    <x v="0"/>
    <x v="0"/>
    <x v="5"/>
    <x v="2"/>
    <x v="0"/>
    <x v="288"/>
    <x v="480"/>
    <x v="38"/>
    <x v="3"/>
    <x v="285"/>
    <x v="332"/>
    <x v="36"/>
    <x v="0"/>
    <x v="500"/>
    <x v="0"/>
    <x v="92"/>
    <x v="107"/>
    <x v="220"/>
    <x v="5"/>
    <x v="252"/>
    <x v="424"/>
    <x v="672"/>
    <x v="315"/>
  </r>
  <r>
    <x v="33"/>
    <x v="1"/>
    <x v="4"/>
    <x v="57"/>
    <x v="9"/>
    <x v="7"/>
    <x v="27"/>
    <x v="633"/>
    <x v="1"/>
    <x v="37"/>
    <x v="146"/>
    <x v="118"/>
    <x v="548"/>
    <x v="306"/>
    <x v="0"/>
    <x v="0"/>
    <x v="0"/>
    <x v="0"/>
    <x v="0"/>
    <x v="0"/>
    <x v="0"/>
    <x v="359"/>
    <x v="353"/>
    <x v="15"/>
    <x v="0"/>
    <x v="0"/>
    <x v="357"/>
    <x v="0"/>
    <x v="0"/>
    <x v="541"/>
    <x v="9"/>
    <x v="87"/>
    <x v="97"/>
    <x v="295"/>
    <x v="2"/>
    <x v="122"/>
    <x v="274"/>
    <x v="390"/>
    <x v="677"/>
  </r>
  <r>
    <x v="33"/>
    <x v="1"/>
    <x v="7"/>
    <x v="20"/>
    <x v="9"/>
    <x v="9"/>
    <x v="25"/>
    <x v="645"/>
    <x v="1"/>
    <x v="37"/>
    <x v="146"/>
    <x v="118"/>
    <x v="548"/>
    <x v="306"/>
    <x v="0"/>
    <x v="0"/>
    <x v="0"/>
    <x v="0"/>
    <x v="0"/>
    <x v="0"/>
    <x v="0"/>
    <x v="359"/>
    <x v="353"/>
    <x v="11"/>
    <x v="0"/>
    <x v="0"/>
    <x v="357"/>
    <x v="0"/>
    <x v="0"/>
    <x v="541"/>
    <x v="9"/>
    <x v="87"/>
    <x v="97"/>
    <x v="295"/>
    <x v="2"/>
    <x v="122"/>
    <x v="274"/>
    <x v="390"/>
    <x v="678"/>
  </r>
  <r>
    <x v="33"/>
    <x v="1"/>
    <x v="5"/>
    <x v="12"/>
    <x v="7"/>
    <x v="6"/>
    <x v="23"/>
    <x v="661"/>
    <x v="1"/>
    <x v="37"/>
    <x v="129"/>
    <x v="93"/>
    <x v="452"/>
    <x v="242"/>
    <x v="0"/>
    <x v="39"/>
    <x v="0"/>
    <x v="0"/>
    <x v="45"/>
    <x v="2"/>
    <x v="0"/>
    <x v="284"/>
    <x v="393"/>
    <x v="43"/>
    <x v="1"/>
    <x v="219"/>
    <x v="211"/>
    <x v="199"/>
    <x v="97"/>
    <x v="319"/>
    <x v="0"/>
    <x v="92"/>
    <x v="107"/>
    <x v="214"/>
    <x v="4"/>
    <x v="264"/>
    <x v="270"/>
    <x v="534"/>
    <x v="679"/>
  </r>
  <r>
    <x v="33"/>
    <x v="1"/>
    <x v="3"/>
    <x v="67"/>
    <x v="9"/>
    <x v="4"/>
    <x v="6"/>
    <x v="660"/>
    <x v="1"/>
    <x v="37"/>
    <x v="121"/>
    <x v="62"/>
    <x v="155"/>
    <x v="123"/>
    <x v="0"/>
    <x v="0"/>
    <x v="0"/>
    <x v="0"/>
    <x v="2"/>
    <x v="2"/>
    <x v="0"/>
    <x v="174"/>
    <x v="48"/>
    <x v="38"/>
    <x v="3"/>
    <x v="64"/>
    <x v="304"/>
    <x v="28"/>
    <x v="0"/>
    <x v="508"/>
    <x v="38"/>
    <x v="51"/>
    <x v="26"/>
    <x v="52"/>
    <x v="5"/>
    <x v="293"/>
    <x v="312"/>
    <x v="74"/>
    <x v="680"/>
  </r>
  <r>
    <x v="33"/>
    <x v="1"/>
    <x v="1"/>
    <x v="31"/>
    <x v="9"/>
    <x v="18"/>
    <x v="20"/>
    <x v="198"/>
    <x v="3"/>
    <x v="0"/>
    <x v="0"/>
    <x v="1"/>
    <x v="0"/>
    <x v="0"/>
    <x v="0"/>
    <x v="0"/>
    <x v="0"/>
    <x v="0"/>
    <x v="0"/>
    <x v="0"/>
    <x v="3"/>
    <x v="1"/>
    <x v="288"/>
    <x v="18"/>
    <x v="0"/>
    <x v="0"/>
    <x v="357"/>
    <x v="0"/>
    <x v="0"/>
    <x v="541"/>
    <x v="0"/>
    <x v="1"/>
    <x v="107"/>
    <x v="2"/>
    <x v="7"/>
    <x v="508"/>
    <x v="1"/>
    <x v="1"/>
    <x v="782"/>
  </r>
  <r>
    <x v="33"/>
    <x v="1"/>
    <x v="1"/>
    <x v="32"/>
    <x v="9"/>
    <x v="18"/>
    <x v="22"/>
    <x v="190"/>
    <x v="3"/>
    <x v="0"/>
    <x v="1"/>
    <x v="2"/>
    <x v="2"/>
    <x v="2"/>
    <x v="0"/>
    <x v="0"/>
    <x v="0"/>
    <x v="0"/>
    <x v="0"/>
    <x v="0"/>
    <x v="3"/>
    <x v="2"/>
    <x v="288"/>
    <x v="19"/>
    <x v="0"/>
    <x v="0"/>
    <x v="357"/>
    <x v="0"/>
    <x v="0"/>
    <x v="541"/>
    <x v="0"/>
    <x v="1"/>
    <x v="107"/>
    <x v="7"/>
    <x v="7"/>
    <x v="507"/>
    <x v="2"/>
    <x v="8"/>
    <x v="783"/>
  </r>
  <r>
    <x v="33"/>
    <x v="1"/>
    <x v="1"/>
    <x v="6"/>
    <x v="9"/>
    <x v="18"/>
    <x v="13"/>
    <x v="772"/>
    <x v="3"/>
    <x v="36"/>
    <x v="130"/>
    <x v="98"/>
    <x v="382"/>
    <x v="226"/>
    <x v="0"/>
    <x v="0"/>
    <x v="40"/>
    <x v="0"/>
    <x v="26"/>
    <x v="0"/>
    <x v="3"/>
    <x v="102"/>
    <x v="309"/>
    <x v="1"/>
    <x v="0"/>
    <x v="0"/>
    <x v="357"/>
    <x v="148"/>
    <x v="0"/>
    <x v="372"/>
    <x v="9"/>
    <x v="84"/>
    <x v="96"/>
    <x v="207"/>
    <x v="7"/>
    <x v="425"/>
    <x v="445"/>
    <x v="666"/>
    <x v="755"/>
  </r>
  <r>
    <x v="33"/>
    <x v="1"/>
    <x v="0"/>
    <x v="2"/>
    <x v="3"/>
    <x v="0"/>
    <x v="16"/>
    <x v="230"/>
    <x v="1"/>
    <x v="37"/>
    <x v="83"/>
    <x v="21"/>
    <x v="33"/>
    <x v="30"/>
    <x v="8"/>
    <x v="26"/>
    <x v="0"/>
    <x v="0"/>
    <x v="21"/>
    <x v="2"/>
    <x v="0"/>
    <x v="82"/>
    <x v="8"/>
    <x v="38"/>
    <x v="10"/>
    <x v="96"/>
    <x v="42"/>
    <x v="432"/>
    <x v="228"/>
    <x v="44"/>
    <x v="50"/>
    <x v="26"/>
    <x v="5"/>
    <x v="6"/>
    <x v="6"/>
    <x v="376"/>
    <x v="307"/>
    <x v="10"/>
    <x v="317"/>
  </r>
  <r>
    <x v="33"/>
    <x v="4"/>
    <x v="8"/>
    <x v="60"/>
    <x v="9"/>
    <x v="18"/>
    <x v="38"/>
    <x v="631"/>
    <x v="0"/>
    <x v="16"/>
    <x v="79"/>
    <x v="131"/>
    <x v="136"/>
    <x v="111"/>
    <x v="0"/>
    <x v="0"/>
    <x v="0"/>
    <x v="0"/>
    <x v="11"/>
    <x v="0"/>
    <x v="0"/>
    <x v="163"/>
    <x v="160"/>
    <x v="26"/>
    <x v="0"/>
    <x v="0"/>
    <x v="357"/>
    <x v="140"/>
    <x v="0"/>
    <x v="380"/>
    <x v="9"/>
    <x v="25"/>
    <x v="54"/>
    <x v="282"/>
    <x v="3"/>
    <x v="67"/>
    <x v="453"/>
    <x v="565"/>
    <x v="318"/>
  </r>
  <r>
    <x v="33"/>
    <x v="4"/>
    <x v="8"/>
    <x v="61"/>
    <x v="9"/>
    <x v="18"/>
    <x v="26"/>
    <x v="635"/>
    <x v="0"/>
    <x v="29"/>
    <x v="164"/>
    <x v="183"/>
    <x v="571"/>
    <x v="329"/>
    <x v="0"/>
    <x v="0"/>
    <x v="0"/>
    <x v="0"/>
    <x v="92"/>
    <x v="0"/>
    <x v="0"/>
    <x v="392"/>
    <x v="117"/>
    <x v="27"/>
    <x v="0"/>
    <x v="0"/>
    <x v="357"/>
    <x v="277"/>
    <x v="0"/>
    <x v="216"/>
    <x v="0"/>
    <x v="69"/>
    <x v="107"/>
    <x v="363"/>
    <x v="3"/>
    <x v="27"/>
    <x v="475"/>
    <x v="712"/>
    <x v="681"/>
  </r>
  <r>
    <x v="33"/>
    <x v="4"/>
    <x v="9"/>
    <x v="23"/>
    <x v="9"/>
    <x v="18"/>
    <x v="40"/>
    <x v="591"/>
    <x v="0"/>
    <x v="37"/>
    <x v="178"/>
    <x v="188"/>
    <x v="624"/>
    <x v="387"/>
    <x v="0"/>
    <x v="0"/>
    <x v="0"/>
    <x v="0"/>
    <x v="35"/>
    <x v="0"/>
    <x v="1"/>
    <x v="380"/>
    <x v="356"/>
    <x v="14"/>
    <x v="0"/>
    <x v="0"/>
    <x v="357"/>
    <x v="72"/>
    <x v="0"/>
    <x v="455"/>
    <x v="9"/>
    <x v="87"/>
    <x v="97"/>
    <x v="421"/>
    <x v="1"/>
    <x v="73"/>
    <x v="60"/>
    <x v="194"/>
    <x v="682"/>
  </r>
  <r>
    <x v="33"/>
    <x v="2"/>
    <x v="4"/>
    <x v="57"/>
    <x v="9"/>
    <x v="7"/>
    <x v="27"/>
    <x v="638"/>
    <x v="0"/>
    <x v="37"/>
    <x v="146"/>
    <x v="118"/>
    <x v="74"/>
    <x v="70"/>
    <x v="0"/>
    <x v="0"/>
    <x v="0"/>
    <x v="0"/>
    <x v="0"/>
    <x v="0"/>
    <x v="0"/>
    <x v="129"/>
    <x v="2"/>
    <x v="15"/>
    <x v="0"/>
    <x v="0"/>
    <x v="357"/>
    <x v="0"/>
    <x v="0"/>
    <x v="541"/>
    <x v="51"/>
    <x v="23"/>
    <x v="4"/>
    <x v="14"/>
    <x v="2"/>
    <x v="232"/>
    <x v="37"/>
    <x v="6"/>
    <x v="316"/>
  </r>
  <r>
    <x v="33"/>
    <x v="2"/>
    <x v="7"/>
    <x v="20"/>
    <x v="9"/>
    <x v="9"/>
    <x v="25"/>
    <x v="652"/>
    <x v="2"/>
    <x v="37"/>
    <x v="146"/>
    <x v="118"/>
    <x v="544"/>
    <x v="301"/>
    <x v="0"/>
    <x v="0"/>
    <x v="0"/>
    <x v="0"/>
    <x v="0"/>
    <x v="0"/>
    <x v="0"/>
    <x v="353"/>
    <x v="331"/>
    <x v="11"/>
    <x v="0"/>
    <x v="0"/>
    <x v="357"/>
    <x v="0"/>
    <x v="0"/>
    <x v="541"/>
    <x v="9"/>
    <x v="87"/>
    <x v="97"/>
    <x v="289"/>
    <x v="2"/>
    <x v="133"/>
    <x v="257"/>
    <x v="368"/>
    <x v="683"/>
  </r>
  <r>
    <x v="33"/>
    <x v="2"/>
    <x v="0"/>
    <x v="2"/>
    <x v="3"/>
    <x v="0"/>
    <x v="16"/>
    <x v="232"/>
    <x v="2"/>
    <x v="37"/>
    <x v="83"/>
    <x v="21"/>
    <x v="231"/>
    <x v="149"/>
    <x v="8"/>
    <x v="29"/>
    <x v="0"/>
    <x v="0"/>
    <x v="69"/>
    <x v="0"/>
    <x v="0"/>
    <x v="206"/>
    <x v="454"/>
    <x v="38"/>
    <x v="10"/>
    <x v="384"/>
    <x v="125"/>
    <x v="406"/>
    <x v="125"/>
    <x v="68"/>
    <x v="0"/>
    <x v="92"/>
    <x v="107"/>
    <x v="79"/>
    <x v="6"/>
    <x v="378"/>
    <x v="292"/>
    <x v="529"/>
    <x v="319"/>
  </r>
  <r>
    <x v="33"/>
    <x v="2"/>
    <x v="5"/>
    <x v="12"/>
    <x v="7"/>
    <x v="6"/>
    <x v="23"/>
    <x v="663"/>
    <x v="2"/>
    <x v="37"/>
    <x v="129"/>
    <x v="93"/>
    <x v="407"/>
    <x v="227"/>
    <x v="0"/>
    <x v="37"/>
    <x v="0"/>
    <x v="0"/>
    <x v="63"/>
    <x v="0"/>
    <x v="0"/>
    <x v="276"/>
    <x v="344"/>
    <x v="43"/>
    <x v="1"/>
    <x v="185"/>
    <x v="190"/>
    <x v="296"/>
    <x v="96"/>
    <x v="198"/>
    <x v="0"/>
    <x v="92"/>
    <x v="107"/>
    <x v="203"/>
    <x v="4"/>
    <x v="276"/>
    <x v="199"/>
    <x v="417"/>
    <x v="320"/>
  </r>
  <r>
    <x v="33"/>
    <x v="2"/>
    <x v="1"/>
    <x v="6"/>
    <x v="9"/>
    <x v="11"/>
    <x v="13"/>
    <x v="217"/>
    <x v="2"/>
    <x v="37"/>
    <x v="133"/>
    <x v="99"/>
    <x v="505"/>
    <x v="258"/>
    <x v="0"/>
    <x v="0"/>
    <x v="34"/>
    <x v="0"/>
    <x v="29"/>
    <x v="0"/>
    <x v="4"/>
    <x v="106"/>
    <x v="447"/>
    <x v="1"/>
    <x v="0"/>
    <x v="0"/>
    <x v="357"/>
    <x v="134"/>
    <x v="0"/>
    <x v="386"/>
    <x v="9"/>
    <x v="87"/>
    <x v="97"/>
    <x v="235"/>
    <x v="7"/>
    <x v="427"/>
    <x v="442"/>
    <x v="663"/>
    <x v="755"/>
  </r>
  <r>
    <x v="33"/>
    <x v="3"/>
    <x v="0"/>
    <x v="2"/>
    <x v="3"/>
    <x v="0"/>
    <x v="16"/>
    <x v="233"/>
    <x v="4"/>
    <x v="37"/>
    <x v="83"/>
    <x v="21"/>
    <x v="213"/>
    <x v="146"/>
    <x v="21"/>
    <x v="44"/>
    <x v="0"/>
    <x v="0"/>
    <x v="69"/>
    <x v="2"/>
    <x v="0"/>
    <x v="202"/>
    <x v="439"/>
    <x v="38"/>
    <x v="10"/>
    <x v="377"/>
    <x v="93"/>
    <x v="411"/>
    <x v="159"/>
    <x v="62"/>
    <x v="0"/>
    <x v="92"/>
    <x v="107"/>
    <x v="74"/>
    <x v="6"/>
    <x v="385"/>
    <x v="242"/>
    <x v="453"/>
    <x v="321"/>
  </r>
  <r>
    <x v="33"/>
    <x v="3"/>
    <x v="5"/>
    <x v="12"/>
    <x v="7"/>
    <x v="6"/>
    <x v="23"/>
    <x v="664"/>
    <x v="4"/>
    <x v="37"/>
    <x v="129"/>
    <x v="93"/>
    <x v="395"/>
    <x v="227"/>
    <x v="0"/>
    <x v="13"/>
    <x v="0"/>
    <x v="0"/>
    <x v="40"/>
    <x v="2"/>
    <x v="0"/>
    <x v="276"/>
    <x v="344"/>
    <x v="43"/>
    <x v="1"/>
    <x v="173"/>
    <x v="252"/>
    <x v="192"/>
    <x v="19"/>
    <x v="325"/>
    <x v="0"/>
    <x v="92"/>
    <x v="107"/>
    <x v="203"/>
    <x v="4"/>
    <x v="276"/>
    <x v="199"/>
    <x v="434"/>
    <x v="322"/>
  </r>
  <r>
    <x v="34"/>
    <x v="1"/>
    <x v="0"/>
    <x v="2"/>
    <x v="3"/>
    <x v="0"/>
    <x v="16"/>
    <x v="235"/>
    <x v="2"/>
    <x v="37"/>
    <x v="83"/>
    <x v="21"/>
    <x v="209"/>
    <x v="146"/>
    <x v="0"/>
    <x v="28"/>
    <x v="0"/>
    <x v="0"/>
    <x v="65"/>
    <x v="2"/>
    <x v="0"/>
    <x v="202"/>
    <x v="439"/>
    <x v="38"/>
    <x v="10"/>
    <x v="376"/>
    <x v="121"/>
    <x v="398"/>
    <x v="124"/>
    <x v="77"/>
    <x v="7"/>
    <x v="89"/>
    <x v="101"/>
    <x v="74"/>
    <x v="6"/>
    <x v="369"/>
    <x v="333"/>
    <x v="455"/>
    <x v="324"/>
  </r>
  <r>
    <x v="34"/>
    <x v="1"/>
    <x v="0"/>
    <x v="0"/>
    <x v="4"/>
    <x v="1"/>
    <x v="9"/>
    <x v="236"/>
    <x v="2"/>
    <x v="22"/>
    <x v="33"/>
    <x v="14"/>
    <x v="116"/>
    <x v="91"/>
    <x v="7"/>
    <x v="15"/>
    <x v="0"/>
    <x v="0"/>
    <x v="42"/>
    <x v="2"/>
    <x v="0"/>
    <x v="146"/>
    <x v="487"/>
    <x v="38"/>
    <x v="5"/>
    <x v="243"/>
    <x v="95"/>
    <x v="417"/>
    <x v="133"/>
    <x v="55"/>
    <x v="15"/>
    <x v="37"/>
    <x v="51"/>
    <x v="101"/>
    <x v="6"/>
    <x v="286"/>
    <x v="465"/>
    <x v="630"/>
    <x v="684"/>
  </r>
  <r>
    <x v="34"/>
    <x v="1"/>
    <x v="5"/>
    <x v="12"/>
    <x v="7"/>
    <x v="6"/>
    <x v="23"/>
    <x v="668"/>
    <x v="2"/>
    <x v="37"/>
    <x v="129"/>
    <x v="93"/>
    <x v="337"/>
    <x v="198"/>
    <x v="57"/>
    <x v="35"/>
    <x v="0"/>
    <x v="0"/>
    <x v="50"/>
    <x v="2"/>
    <x v="0"/>
    <x v="252"/>
    <x v="151"/>
    <x v="43"/>
    <x v="1"/>
    <x v="163"/>
    <x v="17"/>
    <x v="276"/>
    <x v="113"/>
    <x v="224"/>
    <x v="15"/>
    <x v="80"/>
    <x v="77"/>
    <x v="147"/>
    <x v="4"/>
    <x v="283"/>
    <x v="166"/>
    <x v="212"/>
    <x v="325"/>
  </r>
  <r>
    <x v="34"/>
    <x v="1"/>
    <x v="7"/>
    <x v="20"/>
    <x v="9"/>
    <x v="9"/>
    <x v="25"/>
    <x v="650"/>
    <x v="2"/>
    <x v="37"/>
    <x v="146"/>
    <x v="118"/>
    <x v="428"/>
    <x v="242"/>
    <x v="0"/>
    <x v="0"/>
    <x v="0"/>
    <x v="0"/>
    <x v="0"/>
    <x v="0"/>
    <x v="0"/>
    <x v="284"/>
    <x v="98"/>
    <x v="11"/>
    <x v="0"/>
    <x v="0"/>
    <x v="357"/>
    <x v="0"/>
    <x v="0"/>
    <x v="541"/>
    <x v="26"/>
    <x v="67"/>
    <x v="53"/>
    <x v="214"/>
    <x v="2"/>
    <x v="185"/>
    <x v="150"/>
    <x v="122"/>
    <x v="685"/>
  </r>
  <r>
    <x v="34"/>
    <x v="1"/>
    <x v="1"/>
    <x v="6"/>
    <x v="9"/>
    <x v="18"/>
    <x v="13"/>
    <x v="223"/>
    <x v="3"/>
    <x v="24"/>
    <x v="93"/>
    <x v="102"/>
    <x v="115"/>
    <x v="94"/>
    <x v="0"/>
    <x v="0"/>
    <x v="9"/>
    <x v="0"/>
    <x v="15"/>
    <x v="0"/>
    <x v="3"/>
    <x v="53"/>
    <x v="54"/>
    <x v="1"/>
    <x v="0"/>
    <x v="0"/>
    <x v="357"/>
    <x v="197"/>
    <x v="0"/>
    <x v="318"/>
    <x v="18"/>
    <x v="41"/>
    <x v="50"/>
    <x v="82"/>
    <x v="7"/>
    <x v="463"/>
    <x v="339"/>
    <x v="174"/>
    <x v="323"/>
  </r>
  <r>
    <x v="34"/>
    <x v="1"/>
    <x v="1"/>
    <x v="8"/>
    <x v="9"/>
    <x v="18"/>
    <x v="54"/>
    <x v="24"/>
    <x v="3"/>
    <x v="21"/>
    <x v="87"/>
    <x v="108"/>
    <x v="201"/>
    <x v="148"/>
    <x v="0"/>
    <x v="0"/>
    <x v="9"/>
    <x v="0"/>
    <x v="15"/>
    <x v="0"/>
    <x v="3"/>
    <x v="72"/>
    <x v="441"/>
    <x v="3"/>
    <x v="0"/>
    <x v="0"/>
    <x v="357"/>
    <x v="137"/>
    <x v="0"/>
    <x v="383"/>
    <x v="0"/>
    <x v="44"/>
    <x v="107"/>
    <x v="276"/>
    <x v="7"/>
    <x v="414"/>
    <x v="468"/>
    <x v="707"/>
    <x v="686"/>
  </r>
  <r>
    <x v="34"/>
    <x v="4"/>
    <x v="8"/>
    <x v="61"/>
    <x v="9"/>
    <x v="18"/>
    <x v="26"/>
    <x v="642"/>
    <x v="0"/>
    <x v="14"/>
    <x v="89"/>
    <x v="148"/>
    <x v="144"/>
    <x v="113"/>
    <x v="0"/>
    <x v="0"/>
    <x v="0"/>
    <x v="0"/>
    <x v="50"/>
    <x v="0"/>
    <x v="0"/>
    <x v="165"/>
    <x v="120"/>
    <x v="27"/>
    <x v="0"/>
    <x v="0"/>
    <x v="357"/>
    <x v="408"/>
    <x v="0"/>
    <x v="61"/>
    <x v="9"/>
    <x v="18"/>
    <x v="45"/>
    <x v="322"/>
    <x v="3"/>
    <x v="19"/>
    <x v="480"/>
    <x v="686"/>
    <x v="326"/>
  </r>
  <r>
    <x v="34"/>
    <x v="4"/>
    <x v="9"/>
    <x v="22"/>
    <x v="9"/>
    <x v="16"/>
    <x v="46"/>
    <x v="469"/>
    <x v="0"/>
    <x v="37"/>
    <x v="178"/>
    <x v="188"/>
    <x v="623"/>
    <x v="386"/>
    <x v="0"/>
    <x v="0"/>
    <x v="0"/>
    <x v="0"/>
    <x v="4"/>
    <x v="0"/>
    <x v="1"/>
    <x v="378"/>
    <x v="306"/>
    <x v="29"/>
    <x v="0"/>
    <x v="0"/>
    <x v="357"/>
    <x v="6"/>
    <x v="0"/>
    <x v="535"/>
    <x v="9"/>
    <x v="87"/>
    <x v="97"/>
    <x v="415"/>
    <x v="1"/>
    <x v="79"/>
    <x v="43"/>
    <x v="173"/>
    <x v="689"/>
  </r>
  <r>
    <x v="34"/>
    <x v="2"/>
    <x v="7"/>
    <x v="20"/>
    <x v="9"/>
    <x v="18"/>
    <x v="25"/>
    <x v="654"/>
    <x v="0"/>
    <x v="37"/>
    <x v="146"/>
    <x v="118"/>
    <x v="538"/>
    <x v="295"/>
    <x v="0"/>
    <x v="0"/>
    <x v="0"/>
    <x v="0"/>
    <x v="0"/>
    <x v="0"/>
    <x v="0"/>
    <x v="343"/>
    <x v="288"/>
    <x v="11"/>
    <x v="0"/>
    <x v="0"/>
    <x v="357"/>
    <x v="0"/>
    <x v="0"/>
    <x v="541"/>
    <x v="9"/>
    <x v="87"/>
    <x v="97"/>
    <x v="278"/>
    <x v="2"/>
    <x v="152"/>
    <x v="223"/>
    <x v="327"/>
    <x v="687"/>
  </r>
  <r>
    <x v="34"/>
    <x v="2"/>
    <x v="3"/>
    <x v="67"/>
    <x v="9"/>
    <x v="4"/>
    <x v="6"/>
    <x v="244"/>
    <x v="0"/>
    <x v="37"/>
    <x v="121"/>
    <x v="62"/>
    <x v="501"/>
    <x v="257"/>
    <x v="2"/>
    <x v="11"/>
    <x v="0"/>
    <x v="0"/>
    <x v="6"/>
    <x v="2"/>
    <x v="0"/>
    <x v="301"/>
    <x v="489"/>
    <x v="38"/>
    <x v="3"/>
    <x v="302"/>
    <x v="287"/>
    <x v="40"/>
    <x v="11"/>
    <x v="496"/>
    <x v="0"/>
    <x v="92"/>
    <x v="107"/>
    <x v="234"/>
    <x v="5"/>
    <x v="234"/>
    <x v="444"/>
    <x v="691"/>
    <x v="327"/>
  </r>
  <r>
    <x v="34"/>
    <x v="2"/>
    <x v="5"/>
    <x v="12"/>
    <x v="7"/>
    <x v="6"/>
    <x v="23"/>
    <x v="669"/>
    <x v="0"/>
    <x v="37"/>
    <x v="129"/>
    <x v="93"/>
    <x v="458"/>
    <x v="242"/>
    <x v="0"/>
    <x v="47"/>
    <x v="0"/>
    <x v="0"/>
    <x v="69"/>
    <x v="0"/>
    <x v="0"/>
    <x v="284"/>
    <x v="393"/>
    <x v="43"/>
    <x v="1"/>
    <x v="227"/>
    <x v="177"/>
    <x v="306"/>
    <x v="116"/>
    <x v="187"/>
    <x v="0"/>
    <x v="92"/>
    <x v="107"/>
    <x v="214"/>
    <x v="4"/>
    <x v="264"/>
    <x v="270"/>
    <x v="513"/>
    <x v="328"/>
  </r>
  <r>
    <x v="34"/>
    <x v="2"/>
    <x v="0"/>
    <x v="2"/>
    <x v="9"/>
    <x v="0"/>
    <x v="16"/>
    <x v="238"/>
    <x v="0"/>
    <x v="37"/>
    <x v="83"/>
    <x v="21"/>
    <x v="265"/>
    <x v="166"/>
    <x v="0"/>
    <x v="0"/>
    <x v="0"/>
    <x v="0"/>
    <x v="52"/>
    <x v="0"/>
    <x v="0"/>
    <x v="223"/>
    <x v="478"/>
    <x v="38"/>
    <x v="10"/>
    <x v="394"/>
    <x v="241"/>
    <x v="351"/>
    <x v="0"/>
    <x v="133"/>
    <x v="0"/>
    <x v="92"/>
    <x v="107"/>
    <x v="97"/>
    <x v="6"/>
    <x v="361"/>
    <x v="383"/>
    <x v="626"/>
    <x v="688"/>
  </r>
  <r>
    <x v="34"/>
    <x v="2"/>
    <x v="0"/>
    <x v="0"/>
    <x v="9"/>
    <x v="1"/>
    <x v="9"/>
    <x v="240"/>
    <x v="0"/>
    <x v="37"/>
    <x v="83"/>
    <x v="21"/>
    <x v="215"/>
    <x v="148"/>
    <x v="12"/>
    <x v="20"/>
    <x v="0"/>
    <x v="0"/>
    <x v="80"/>
    <x v="0"/>
    <x v="0"/>
    <x v="205"/>
    <x v="448"/>
    <x v="38"/>
    <x v="5"/>
    <x v="327"/>
    <x v="117"/>
    <x v="429"/>
    <x v="90"/>
    <x v="42"/>
    <x v="0"/>
    <x v="92"/>
    <x v="107"/>
    <x v="76"/>
    <x v="6"/>
    <x v="383"/>
    <x v="260"/>
    <x v="465"/>
    <x v="329"/>
  </r>
  <r>
    <x v="34"/>
    <x v="2"/>
    <x v="1"/>
    <x v="8"/>
    <x v="9"/>
    <x v="18"/>
    <x v="54"/>
    <x v="26"/>
    <x v="0"/>
    <x v="37"/>
    <x v="138"/>
    <x v="107"/>
    <x v="535"/>
    <x v="288"/>
    <x v="0"/>
    <x v="0"/>
    <x v="43"/>
    <x v="0"/>
    <x v="44"/>
    <x v="0"/>
    <x v="3"/>
    <x v="132"/>
    <x v="442"/>
    <x v="3"/>
    <x v="0"/>
    <x v="0"/>
    <x v="357"/>
    <x v="165"/>
    <x v="0"/>
    <x v="354"/>
    <x v="9"/>
    <x v="87"/>
    <x v="97"/>
    <x v="265"/>
    <x v="7"/>
    <x v="413"/>
    <x v="473"/>
    <x v="705"/>
    <x v="755"/>
  </r>
  <r>
    <x v="34"/>
    <x v="3"/>
    <x v="0"/>
    <x v="0"/>
    <x v="1"/>
    <x v="1"/>
    <x v="9"/>
    <x v="242"/>
    <x v="4"/>
    <x v="37"/>
    <x v="83"/>
    <x v="21"/>
    <x v="217"/>
    <x v="148"/>
    <x v="21"/>
    <x v="31"/>
    <x v="0"/>
    <x v="0"/>
    <x v="64"/>
    <x v="2"/>
    <x v="0"/>
    <x v="205"/>
    <x v="448"/>
    <x v="38"/>
    <x v="5"/>
    <x v="329"/>
    <x v="107"/>
    <x v="392"/>
    <x v="131"/>
    <x v="85"/>
    <x v="0"/>
    <x v="92"/>
    <x v="107"/>
    <x v="76"/>
    <x v="6"/>
    <x v="383"/>
    <x v="260"/>
    <x v="479"/>
    <x v="330"/>
  </r>
  <r>
    <x v="34"/>
    <x v="3"/>
    <x v="5"/>
    <x v="12"/>
    <x v="7"/>
    <x v="6"/>
    <x v="23"/>
    <x v="671"/>
    <x v="4"/>
    <x v="37"/>
    <x v="129"/>
    <x v="93"/>
    <x v="358"/>
    <x v="210"/>
    <x v="0"/>
    <x v="25"/>
    <x v="0"/>
    <x v="0"/>
    <x v="40"/>
    <x v="2"/>
    <x v="0"/>
    <x v="263"/>
    <x v="207"/>
    <x v="43"/>
    <x v="1"/>
    <x v="147"/>
    <x v="222"/>
    <x v="205"/>
    <x v="67"/>
    <x v="311"/>
    <x v="13"/>
    <x v="82"/>
    <x v="84"/>
    <x v="168"/>
    <x v="4"/>
    <x v="270"/>
    <x v="231"/>
    <x v="273"/>
    <x v="331"/>
  </r>
  <r>
    <x v="34"/>
    <x v="3"/>
    <x v="3"/>
    <x v="67"/>
    <x v="9"/>
    <x v="4"/>
    <x v="6"/>
    <x v="245"/>
    <x v="4"/>
    <x v="37"/>
    <x v="121"/>
    <x v="62"/>
    <x v="388"/>
    <x v="227"/>
    <x v="11"/>
    <x v="0"/>
    <x v="0"/>
    <x v="0"/>
    <x v="12"/>
    <x v="2"/>
    <x v="0"/>
    <x v="276"/>
    <x v="453"/>
    <x v="38"/>
    <x v="3"/>
    <x v="263"/>
    <x v="281"/>
    <x v="82"/>
    <x v="0"/>
    <x v="445"/>
    <x v="0"/>
    <x v="92"/>
    <x v="107"/>
    <x v="203"/>
    <x v="5"/>
    <x v="276"/>
    <x v="365"/>
    <x v="616"/>
    <x v="332"/>
  </r>
  <r>
    <x v="35"/>
    <x v="1"/>
    <x v="0"/>
    <x v="0"/>
    <x v="1"/>
    <x v="1"/>
    <x v="9"/>
    <x v="246"/>
    <x v="2"/>
    <x v="29"/>
    <x v="65"/>
    <x v="22"/>
    <x v="135"/>
    <x v="110"/>
    <x v="4"/>
    <x v="12"/>
    <x v="0"/>
    <x v="0"/>
    <x v="28"/>
    <x v="2"/>
    <x v="0"/>
    <x v="162"/>
    <x v="403"/>
    <x v="38"/>
    <x v="5"/>
    <x v="282"/>
    <x v="155"/>
    <x v="299"/>
    <x v="99"/>
    <x v="192"/>
    <x v="0"/>
    <x v="69"/>
    <x v="107"/>
    <x v="68"/>
    <x v="6"/>
    <x v="392"/>
    <x v="170"/>
    <x v="392"/>
    <x v="336"/>
  </r>
  <r>
    <x v="35"/>
    <x v="1"/>
    <x v="5"/>
    <x v="12"/>
    <x v="7"/>
    <x v="6"/>
    <x v="23"/>
    <x v="672"/>
    <x v="2"/>
    <x v="29"/>
    <x v="110"/>
    <x v="94"/>
    <x v="263"/>
    <x v="163"/>
    <x v="25"/>
    <x v="15"/>
    <x v="0"/>
    <x v="0"/>
    <x v="32"/>
    <x v="2"/>
    <x v="0"/>
    <x v="220"/>
    <x v="204"/>
    <x v="43"/>
    <x v="1"/>
    <x v="75"/>
    <x v="129"/>
    <x v="222"/>
    <x v="55"/>
    <x v="291"/>
    <x v="0"/>
    <x v="69"/>
    <x v="107"/>
    <x v="167"/>
    <x v="4"/>
    <x v="320"/>
    <x v="78"/>
    <x v="267"/>
    <x v="333"/>
  </r>
  <r>
    <x v="35"/>
    <x v="1"/>
    <x v="3"/>
    <x v="67"/>
    <x v="9"/>
    <x v="4"/>
    <x v="6"/>
    <x v="247"/>
    <x v="2"/>
    <x v="22"/>
    <x v="70"/>
    <x v="62"/>
    <x v="162"/>
    <x v="128"/>
    <x v="0"/>
    <x v="0"/>
    <x v="0"/>
    <x v="0"/>
    <x v="15"/>
    <x v="2"/>
    <x v="0"/>
    <x v="179"/>
    <x v="455"/>
    <x v="38"/>
    <x v="3"/>
    <x v="65"/>
    <x v="278"/>
    <x v="156"/>
    <x v="0"/>
    <x v="364"/>
    <x v="0"/>
    <x v="50"/>
    <x v="107"/>
    <x v="206"/>
    <x v="5"/>
    <x v="273"/>
    <x v="371"/>
    <x v="624"/>
    <x v="334"/>
  </r>
  <r>
    <x v="35"/>
    <x v="1"/>
    <x v="7"/>
    <x v="20"/>
    <x v="9"/>
    <x v="9"/>
    <x v="25"/>
    <x v="662"/>
    <x v="2"/>
    <x v="29"/>
    <x v="137"/>
    <x v="118"/>
    <x v="428"/>
    <x v="240"/>
    <x v="0"/>
    <x v="0"/>
    <x v="0"/>
    <x v="0"/>
    <x v="12"/>
    <x v="0"/>
    <x v="0"/>
    <x v="283"/>
    <x v="301"/>
    <x v="11"/>
    <x v="0"/>
    <x v="0"/>
    <x v="357"/>
    <x v="79"/>
    <x v="0"/>
    <x v="448"/>
    <x v="0"/>
    <x v="69"/>
    <x v="107"/>
    <x v="281"/>
    <x v="2"/>
    <x v="196"/>
    <x v="122"/>
    <x v="332"/>
    <x v="335"/>
  </r>
  <r>
    <x v="35"/>
    <x v="1"/>
    <x v="1"/>
    <x v="8"/>
    <x v="9"/>
    <x v="18"/>
    <x v="54"/>
    <x v="29"/>
    <x v="3"/>
    <x v="25"/>
    <x v="102"/>
    <x v="103"/>
    <x v="153"/>
    <x v="121"/>
    <x v="0"/>
    <x v="0"/>
    <x v="15"/>
    <x v="0"/>
    <x v="79"/>
    <x v="0"/>
    <x v="3"/>
    <x v="61"/>
    <x v="88"/>
    <x v="3"/>
    <x v="0"/>
    <x v="0"/>
    <x v="357"/>
    <x v="452"/>
    <x v="0"/>
    <x v="19"/>
    <x v="15"/>
    <x v="48"/>
    <x v="58"/>
    <x v="121"/>
    <x v="7"/>
    <x v="440"/>
    <x v="413"/>
    <x v="294"/>
    <x v="690"/>
  </r>
  <r>
    <x v="35"/>
    <x v="1"/>
    <x v="1"/>
    <x v="5"/>
    <x v="9"/>
    <x v="18"/>
    <x v="10"/>
    <x v="120"/>
    <x v="2"/>
    <x v="14"/>
    <x v="33"/>
    <x v="91"/>
    <x v="71"/>
    <x v="65"/>
    <x v="0"/>
    <x v="0"/>
    <x v="7"/>
    <x v="0"/>
    <x v="13"/>
    <x v="0"/>
    <x v="3"/>
    <x v="43"/>
    <x v="333"/>
    <x v="0"/>
    <x v="0"/>
    <x v="0"/>
    <x v="357"/>
    <x v="243"/>
    <x v="0"/>
    <x v="261"/>
    <x v="0"/>
    <x v="27"/>
    <x v="107"/>
    <x v="197"/>
    <x v="7"/>
    <x v="442"/>
    <x v="408"/>
    <x v="649"/>
    <x v="755"/>
  </r>
  <r>
    <x v="36"/>
    <x v="1"/>
    <x v="0"/>
    <x v="0"/>
    <x v="1"/>
    <x v="1"/>
    <x v="9"/>
    <x v="248"/>
    <x v="2"/>
    <x v="37"/>
    <x v="83"/>
    <x v="21"/>
    <x v="137"/>
    <x v="110"/>
    <x v="4"/>
    <x v="31"/>
    <x v="0"/>
    <x v="0"/>
    <x v="32"/>
    <x v="2"/>
    <x v="0"/>
    <x v="162"/>
    <x v="134"/>
    <x v="38"/>
    <x v="5"/>
    <x v="292"/>
    <x v="112"/>
    <x v="337"/>
    <x v="167"/>
    <x v="155"/>
    <x v="22"/>
    <x v="71"/>
    <x v="61"/>
    <x v="41"/>
    <x v="6"/>
    <x v="396"/>
    <x v="126"/>
    <x v="141"/>
    <x v="337"/>
  </r>
  <r>
    <x v="36"/>
    <x v="1"/>
    <x v="5"/>
    <x v="12"/>
    <x v="7"/>
    <x v="6"/>
    <x v="23"/>
    <x v="676"/>
    <x v="2"/>
    <x v="37"/>
    <x v="108"/>
    <x v="42"/>
    <x v="291"/>
    <x v="184"/>
    <x v="46"/>
    <x v="59"/>
    <x v="0"/>
    <x v="0"/>
    <x v="53"/>
    <x v="2"/>
    <x v="0"/>
    <x v="238"/>
    <x v="364"/>
    <x v="43"/>
    <x v="1"/>
    <x v="106"/>
    <x v="50"/>
    <x v="327"/>
    <x v="172"/>
    <x v="168"/>
    <x v="24"/>
    <x v="69"/>
    <x v="57"/>
    <x v="120"/>
    <x v="4"/>
    <x v="272"/>
    <x v="211"/>
    <x v="157"/>
    <x v="338"/>
  </r>
  <r>
    <x v="36"/>
    <x v="1"/>
    <x v="7"/>
    <x v="20"/>
    <x v="1"/>
    <x v="1"/>
    <x v="25"/>
    <x v="665"/>
    <x v="2"/>
    <x v="37"/>
    <x v="146"/>
    <x v="118"/>
    <x v="508"/>
    <x v="263"/>
    <x v="0"/>
    <x v="0"/>
    <x v="0"/>
    <x v="0"/>
    <x v="0"/>
    <x v="0"/>
    <x v="0"/>
    <x v="306"/>
    <x v="159"/>
    <x v="11"/>
    <x v="0"/>
    <x v="0"/>
    <x v="357"/>
    <x v="0"/>
    <x v="0"/>
    <x v="541"/>
    <x v="10"/>
    <x v="86"/>
    <x v="93"/>
    <x v="240"/>
    <x v="2"/>
    <x v="210"/>
    <x v="96"/>
    <x v="208"/>
    <x v="691"/>
  </r>
  <r>
    <x v="36"/>
    <x v="1"/>
    <x v="1"/>
    <x v="5"/>
    <x v="9"/>
    <x v="18"/>
    <x v="10"/>
    <x v="237"/>
    <x v="3"/>
    <x v="37"/>
    <x v="133"/>
    <x v="99"/>
    <x v="376"/>
    <x v="222"/>
    <x v="0"/>
    <x v="0"/>
    <x v="30"/>
    <x v="0"/>
    <x v="37"/>
    <x v="0"/>
    <x v="3"/>
    <x v="99"/>
    <x v="227"/>
    <x v="0"/>
    <x v="0"/>
    <x v="0"/>
    <x v="357"/>
    <x v="188"/>
    <x v="0"/>
    <x v="330"/>
    <x v="13"/>
    <x v="82"/>
    <x v="84"/>
    <x v="192"/>
    <x v="7"/>
    <x v="426"/>
    <x v="443"/>
    <x v="638"/>
    <x v="755"/>
  </r>
  <r>
    <x v="36"/>
    <x v="4"/>
    <x v="9"/>
    <x v="23"/>
    <x v="9"/>
    <x v="18"/>
    <x v="40"/>
    <x v="774"/>
    <x v="0"/>
    <x v="37"/>
    <x v="178"/>
    <x v="188"/>
    <x v="621"/>
    <x v="384"/>
    <x v="0"/>
    <x v="0"/>
    <x v="0"/>
    <x v="0"/>
    <x v="2"/>
    <x v="0"/>
    <x v="1"/>
    <x v="376"/>
    <x v="293"/>
    <x v="14"/>
    <x v="0"/>
    <x v="0"/>
    <x v="357"/>
    <x v="2"/>
    <x v="0"/>
    <x v="539"/>
    <x v="9"/>
    <x v="87"/>
    <x v="97"/>
    <x v="411"/>
    <x v="1"/>
    <x v="80"/>
    <x v="40"/>
    <x v="168"/>
    <x v="692"/>
  </r>
  <r>
    <x v="36"/>
    <x v="2"/>
    <x v="7"/>
    <x v="20"/>
    <x v="9"/>
    <x v="18"/>
    <x v="25"/>
    <x v="670"/>
    <x v="0"/>
    <x v="37"/>
    <x v="146"/>
    <x v="118"/>
    <x v="512"/>
    <x v="267"/>
    <x v="0"/>
    <x v="0"/>
    <x v="0"/>
    <x v="0"/>
    <x v="0"/>
    <x v="0"/>
    <x v="0"/>
    <x v="312"/>
    <x v="172"/>
    <x v="11"/>
    <x v="0"/>
    <x v="0"/>
    <x v="357"/>
    <x v="0"/>
    <x v="0"/>
    <x v="541"/>
    <x v="9"/>
    <x v="87"/>
    <x v="97"/>
    <x v="242"/>
    <x v="2"/>
    <x v="207"/>
    <x v="98"/>
    <x v="218"/>
    <x v="693"/>
  </r>
  <r>
    <x v="36"/>
    <x v="2"/>
    <x v="4"/>
    <x v="57"/>
    <x v="9"/>
    <x v="18"/>
    <x v="27"/>
    <x v="638"/>
    <x v="0"/>
    <x v="37"/>
    <x v="146"/>
    <x v="118"/>
    <x v="538"/>
    <x v="295"/>
    <x v="0"/>
    <x v="0"/>
    <x v="0"/>
    <x v="0"/>
    <x v="0"/>
    <x v="0"/>
    <x v="0"/>
    <x v="343"/>
    <x v="288"/>
    <x v="15"/>
    <x v="0"/>
    <x v="0"/>
    <x v="357"/>
    <x v="0"/>
    <x v="0"/>
    <x v="541"/>
    <x v="9"/>
    <x v="87"/>
    <x v="97"/>
    <x v="278"/>
    <x v="2"/>
    <x v="152"/>
    <x v="223"/>
    <x v="327"/>
    <x v="694"/>
  </r>
  <r>
    <x v="36"/>
    <x v="2"/>
    <x v="0"/>
    <x v="0"/>
    <x v="9"/>
    <x v="1"/>
    <x v="9"/>
    <x v="250"/>
    <x v="0"/>
    <x v="37"/>
    <x v="83"/>
    <x v="21"/>
    <x v="211"/>
    <x v="148"/>
    <x v="0"/>
    <x v="21"/>
    <x v="0"/>
    <x v="0"/>
    <x v="50"/>
    <x v="0"/>
    <x v="0"/>
    <x v="205"/>
    <x v="448"/>
    <x v="38"/>
    <x v="5"/>
    <x v="324"/>
    <x v="162"/>
    <x v="365"/>
    <x v="101"/>
    <x v="119"/>
    <x v="0"/>
    <x v="92"/>
    <x v="107"/>
    <x v="76"/>
    <x v="6"/>
    <x v="383"/>
    <x v="260"/>
    <x v="491"/>
    <x v="339"/>
  </r>
  <r>
    <x v="36"/>
    <x v="2"/>
    <x v="5"/>
    <x v="12"/>
    <x v="7"/>
    <x v="6"/>
    <x v="23"/>
    <x v="678"/>
    <x v="0"/>
    <x v="37"/>
    <x v="129"/>
    <x v="93"/>
    <x v="481"/>
    <x v="246"/>
    <x v="0"/>
    <x v="23"/>
    <x v="0"/>
    <x v="0"/>
    <x v="46"/>
    <x v="0"/>
    <x v="0"/>
    <x v="288"/>
    <x v="423"/>
    <x v="43"/>
    <x v="1"/>
    <x v="239"/>
    <x v="248"/>
    <x v="200"/>
    <x v="37"/>
    <x v="315"/>
    <x v="0"/>
    <x v="92"/>
    <x v="107"/>
    <x v="220"/>
    <x v="4"/>
    <x v="252"/>
    <x v="328"/>
    <x v="574"/>
    <x v="340"/>
  </r>
  <r>
    <x v="36"/>
    <x v="2"/>
    <x v="2"/>
    <x v="70"/>
    <x v="9"/>
    <x v="13"/>
    <x v="3"/>
    <x v="253"/>
    <x v="0"/>
    <x v="37"/>
    <x v="121"/>
    <x v="62"/>
    <x v="384"/>
    <x v="227"/>
    <x v="31"/>
    <x v="0"/>
    <x v="0"/>
    <x v="0"/>
    <x v="4"/>
    <x v="0"/>
    <x v="0"/>
    <x v="276"/>
    <x v="453"/>
    <x v="42"/>
    <x v="2"/>
    <x v="229"/>
    <x v="249"/>
    <x v="27"/>
    <x v="0"/>
    <x v="509"/>
    <x v="0"/>
    <x v="92"/>
    <x v="107"/>
    <x v="203"/>
    <x v="5"/>
    <x v="276"/>
    <x v="365"/>
    <x v="618"/>
    <x v="343"/>
  </r>
  <r>
    <x v="36"/>
    <x v="2"/>
    <x v="1"/>
    <x v="5"/>
    <x v="9"/>
    <x v="18"/>
    <x v="10"/>
    <x v="241"/>
    <x v="0"/>
    <x v="37"/>
    <x v="133"/>
    <x v="99"/>
    <x v="476"/>
    <x v="245"/>
    <x v="0"/>
    <x v="0"/>
    <x v="35"/>
    <x v="0"/>
    <x v="40"/>
    <x v="0"/>
    <x v="3"/>
    <x v="112"/>
    <x v="379"/>
    <x v="0"/>
    <x v="0"/>
    <x v="0"/>
    <x v="357"/>
    <x v="182"/>
    <x v="0"/>
    <x v="336"/>
    <x v="9"/>
    <x v="87"/>
    <x v="97"/>
    <x v="219"/>
    <x v="7"/>
    <x v="419"/>
    <x v="454"/>
    <x v="688"/>
    <x v="755"/>
  </r>
  <r>
    <x v="36"/>
    <x v="3"/>
    <x v="2"/>
    <x v="70"/>
    <x v="9"/>
    <x v="13"/>
    <x v="3"/>
    <x v="254"/>
    <x v="4"/>
    <x v="21"/>
    <x v="61"/>
    <x v="54"/>
    <x v="119"/>
    <x v="100"/>
    <x v="0"/>
    <x v="0"/>
    <x v="0"/>
    <x v="0"/>
    <x v="0"/>
    <x v="0"/>
    <x v="0"/>
    <x v="152"/>
    <x v="337"/>
    <x v="42"/>
    <x v="2"/>
    <x v="39"/>
    <x v="356"/>
    <x v="0"/>
    <x v="0"/>
    <x v="541"/>
    <x v="0"/>
    <x v="44"/>
    <x v="107"/>
    <x v="152"/>
    <x v="5"/>
    <x v="339"/>
    <x v="154"/>
    <x v="381"/>
    <x v="343"/>
  </r>
  <r>
    <x v="36"/>
    <x v="3"/>
    <x v="2"/>
    <x v="70"/>
    <x v="9"/>
    <x v="12"/>
    <x v="3"/>
    <x v="255"/>
    <x v="4"/>
    <x v="24"/>
    <x v="77"/>
    <x v="72"/>
    <x v="147"/>
    <x v="117"/>
    <x v="0"/>
    <x v="0"/>
    <x v="0"/>
    <x v="0"/>
    <x v="4"/>
    <x v="2"/>
    <x v="0"/>
    <x v="169"/>
    <x v="264"/>
    <x v="42"/>
    <x v="2"/>
    <x v="46"/>
    <x v="292"/>
    <x v="65"/>
    <x v="0"/>
    <x v="463"/>
    <x v="0"/>
    <x v="53"/>
    <x v="107"/>
    <x v="136"/>
    <x v="5"/>
    <x v="348"/>
    <x v="115"/>
    <x v="326"/>
    <x v="344"/>
  </r>
  <r>
    <x v="36"/>
    <x v="3"/>
    <x v="5"/>
    <x v="12"/>
    <x v="7"/>
    <x v="6"/>
    <x v="23"/>
    <x v="679"/>
    <x v="4"/>
    <x v="37"/>
    <x v="129"/>
    <x v="93"/>
    <x v="315"/>
    <x v="193"/>
    <x v="0"/>
    <x v="24"/>
    <x v="0"/>
    <x v="0"/>
    <x v="38"/>
    <x v="2"/>
    <x v="0"/>
    <x v="247"/>
    <x v="135"/>
    <x v="43"/>
    <x v="1"/>
    <x v="108"/>
    <x v="210"/>
    <x v="218"/>
    <x v="80"/>
    <x v="296"/>
    <x v="13"/>
    <x v="82"/>
    <x v="84"/>
    <x v="134"/>
    <x v="4"/>
    <x v="306"/>
    <x v="108"/>
    <x v="193"/>
    <x v="341"/>
  </r>
  <r>
    <x v="36"/>
    <x v="3"/>
    <x v="0"/>
    <x v="0"/>
    <x v="1"/>
    <x v="1"/>
    <x v="9"/>
    <x v="252"/>
    <x v="4"/>
    <x v="37"/>
    <x v="83"/>
    <x v="21"/>
    <x v="207"/>
    <x v="148"/>
    <x v="0"/>
    <x v="18"/>
    <x v="0"/>
    <x v="0"/>
    <x v="25"/>
    <x v="2"/>
    <x v="0"/>
    <x v="205"/>
    <x v="448"/>
    <x v="38"/>
    <x v="5"/>
    <x v="321"/>
    <x v="212"/>
    <x v="195"/>
    <x v="88"/>
    <x v="322"/>
    <x v="0"/>
    <x v="92"/>
    <x v="107"/>
    <x v="76"/>
    <x v="6"/>
    <x v="383"/>
    <x v="260"/>
    <x v="505"/>
    <x v="342"/>
  </r>
  <r>
    <x v="37"/>
    <x v="1"/>
    <x v="0"/>
    <x v="0"/>
    <x v="1"/>
    <x v="1"/>
    <x v="9"/>
    <x v="257"/>
    <x v="2"/>
    <x v="37"/>
    <x v="83"/>
    <x v="21"/>
    <x v="210"/>
    <x v="148"/>
    <x v="0"/>
    <x v="22"/>
    <x v="0"/>
    <x v="0"/>
    <x v="40"/>
    <x v="2"/>
    <x v="0"/>
    <x v="205"/>
    <x v="448"/>
    <x v="38"/>
    <x v="5"/>
    <x v="323"/>
    <x v="165"/>
    <x v="301"/>
    <x v="109"/>
    <x v="191"/>
    <x v="0"/>
    <x v="92"/>
    <x v="107"/>
    <x v="76"/>
    <x v="6"/>
    <x v="383"/>
    <x v="260"/>
    <x v="497"/>
    <x v="345"/>
  </r>
  <r>
    <x v="37"/>
    <x v="1"/>
    <x v="5"/>
    <x v="13"/>
    <x v="7"/>
    <x v="6"/>
    <x v="47"/>
    <x v="685"/>
    <x v="2"/>
    <x v="37"/>
    <x v="129"/>
    <x v="93"/>
    <x v="409"/>
    <x v="227"/>
    <x v="0"/>
    <x v="40"/>
    <x v="0"/>
    <x v="0"/>
    <x v="59"/>
    <x v="2"/>
    <x v="0"/>
    <x v="276"/>
    <x v="344"/>
    <x v="43"/>
    <x v="1"/>
    <x v="188"/>
    <x v="183"/>
    <x v="273"/>
    <x v="108"/>
    <x v="232"/>
    <x v="7"/>
    <x v="89"/>
    <x v="101"/>
    <x v="203"/>
    <x v="4"/>
    <x v="262"/>
    <x v="282"/>
    <x v="423"/>
    <x v="348"/>
  </r>
  <r>
    <x v="37"/>
    <x v="1"/>
    <x v="7"/>
    <x v="20"/>
    <x v="9"/>
    <x v="9"/>
    <x v="25"/>
    <x v="673"/>
    <x v="2"/>
    <x v="37"/>
    <x v="146"/>
    <x v="118"/>
    <x v="534"/>
    <x v="290"/>
    <x v="0"/>
    <x v="0"/>
    <x v="0"/>
    <x v="0"/>
    <x v="0"/>
    <x v="0"/>
    <x v="0"/>
    <x v="335"/>
    <x v="258"/>
    <x v="11"/>
    <x v="0"/>
    <x v="0"/>
    <x v="357"/>
    <x v="0"/>
    <x v="0"/>
    <x v="541"/>
    <x v="9"/>
    <x v="87"/>
    <x v="97"/>
    <x v="268"/>
    <x v="2"/>
    <x v="168"/>
    <x v="194"/>
    <x v="309"/>
    <x v="695"/>
  </r>
  <r>
    <x v="37"/>
    <x v="1"/>
    <x v="4"/>
    <x v="57"/>
    <x v="9"/>
    <x v="7"/>
    <x v="27"/>
    <x v="640"/>
    <x v="2"/>
    <x v="37"/>
    <x v="146"/>
    <x v="118"/>
    <x v="533"/>
    <x v="289"/>
    <x v="0"/>
    <x v="0"/>
    <x v="0"/>
    <x v="0"/>
    <x v="0"/>
    <x v="0"/>
    <x v="0"/>
    <x v="334"/>
    <x v="254"/>
    <x v="15"/>
    <x v="0"/>
    <x v="0"/>
    <x v="357"/>
    <x v="0"/>
    <x v="0"/>
    <x v="541"/>
    <x v="9"/>
    <x v="87"/>
    <x v="97"/>
    <x v="266"/>
    <x v="2"/>
    <x v="170"/>
    <x v="189"/>
    <x v="301"/>
    <x v="696"/>
  </r>
  <r>
    <x v="37"/>
    <x v="1"/>
    <x v="2"/>
    <x v="70"/>
    <x v="9"/>
    <x v="12"/>
    <x v="3"/>
    <x v="265"/>
    <x v="2"/>
    <x v="37"/>
    <x v="121"/>
    <x v="62"/>
    <x v="304"/>
    <x v="191"/>
    <x v="0"/>
    <x v="0"/>
    <x v="0"/>
    <x v="0"/>
    <x v="6"/>
    <x v="2"/>
    <x v="0"/>
    <x v="244"/>
    <x v="245"/>
    <x v="42"/>
    <x v="2"/>
    <x v="121"/>
    <x v="311"/>
    <x v="59"/>
    <x v="0"/>
    <x v="471"/>
    <x v="0"/>
    <x v="92"/>
    <x v="107"/>
    <x v="132"/>
    <x v="5"/>
    <x v="350"/>
    <x v="97"/>
    <x v="300"/>
    <x v="346"/>
  </r>
  <r>
    <x v="37"/>
    <x v="1"/>
    <x v="0"/>
    <x v="4"/>
    <x v="5"/>
    <x v="0"/>
    <x v="66"/>
    <x v="256"/>
    <x v="2"/>
    <x v="22"/>
    <x v="39"/>
    <x v="21"/>
    <x v="89"/>
    <x v="77"/>
    <x v="4"/>
    <x v="15"/>
    <x v="0"/>
    <x v="0"/>
    <x v="22"/>
    <x v="2"/>
    <x v="0"/>
    <x v="136"/>
    <x v="406"/>
    <x v="38"/>
    <x v="10"/>
    <x v="293"/>
    <x v="114"/>
    <x v="345"/>
    <x v="150"/>
    <x v="148"/>
    <x v="0"/>
    <x v="50"/>
    <x v="107"/>
    <x v="68"/>
    <x v="6"/>
    <x v="392"/>
    <x v="170"/>
    <x v="388"/>
    <x v="347"/>
  </r>
  <r>
    <x v="37"/>
    <x v="1"/>
    <x v="1"/>
    <x v="5"/>
    <x v="9"/>
    <x v="18"/>
    <x v="10"/>
    <x v="243"/>
    <x v="3"/>
    <x v="37"/>
    <x v="136"/>
    <x v="101"/>
    <x v="370"/>
    <x v="216"/>
    <x v="0"/>
    <x v="0"/>
    <x v="26"/>
    <x v="0"/>
    <x v="17"/>
    <x v="0"/>
    <x v="3"/>
    <x v="97"/>
    <x v="201"/>
    <x v="0"/>
    <x v="0"/>
    <x v="0"/>
    <x v="357"/>
    <x v="108"/>
    <x v="0"/>
    <x v="415"/>
    <x v="13"/>
    <x v="82"/>
    <x v="84"/>
    <x v="187"/>
    <x v="7"/>
    <x v="432"/>
    <x v="437"/>
    <x v="632"/>
    <x v="755"/>
  </r>
  <r>
    <x v="37"/>
    <x v="4"/>
    <x v="8"/>
    <x v="61"/>
    <x v="9"/>
    <x v="18"/>
    <x v="26"/>
    <x v="638"/>
    <x v="0"/>
    <x v="37"/>
    <x v="176"/>
    <x v="172"/>
    <x v="617"/>
    <x v="380"/>
    <x v="0"/>
    <x v="0"/>
    <x v="0"/>
    <x v="0"/>
    <x v="89"/>
    <x v="0"/>
    <x v="1"/>
    <x v="371"/>
    <x v="398"/>
    <x v="27"/>
    <x v="0"/>
    <x v="0"/>
    <x v="357"/>
    <x v="167"/>
    <x v="0"/>
    <x v="350"/>
    <x v="9"/>
    <x v="87"/>
    <x v="97"/>
    <x v="406"/>
    <x v="3"/>
    <x v="85"/>
    <x v="432"/>
    <x v="639"/>
    <x v="699"/>
  </r>
  <r>
    <x v="37"/>
    <x v="4"/>
    <x v="9"/>
    <x v="25"/>
    <x v="9"/>
    <x v="18"/>
    <x v="52"/>
    <x v="560"/>
    <x v="0"/>
    <x v="16"/>
    <x v="133"/>
    <x v="192"/>
    <x v="414"/>
    <x v="234"/>
    <x v="0"/>
    <x v="0"/>
    <x v="0"/>
    <x v="0"/>
    <x v="1"/>
    <x v="0"/>
    <x v="1"/>
    <x v="182"/>
    <x v="313"/>
    <x v="16"/>
    <x v="0"/>
    <x v="0"/>
    <x v="357"/>
    <x v="5"/>
    <x v="0"/>
    <x v="536"/>
    <x v="9"/>
    <x v="25"/>
    <x v="54"/>
    <x v="419"/>
    <x v="1"/>
    <x v="40"/>
    <x v="298"/>
    <x v="182"/>
    <x v="700"/>
  </r>
  <r>
    <x v="37"/>
    <x v="2"/>
    <x v="7"/>
    <x v="20"/>
    <x v="9"/>
    <x v="18"/>
    <x v="25"/>
    <x v="678"/>
    <x v="0"/>
    <x v="37"/>
    <x v="146"/>
    <x v="118"/>
    <x v="548"/>
    <x v="306"/>
    <x v="0"/>
    <x v="0"/>
    <x v="0"/>
    <x v="0"/>
    <x v="0"/>
    <x v="0"/>
    <x v="0"/>
    <x v="359"/>
    <x v="353"/>
    <x v="11"/>
    <x v="0"/>
    <x v="0"/>
    <x v="357"/>
    <x v="0"/>
    <x v="0"/>
    <x v="541"/>
    <x v="9"/>
    <x v="87"/>
    <x v="97"/>
    <x v="295"/>
    <x v="2"/>
    <x v="122"/>
    <x v="274"/>
    <x v="390"/>
    <x v="697"/>
  </r>
  <r>
    <x v="37"/>
    <x v="2"/>
    <x v="4"/>
    <x v="57"/>
    <x v="9"/>
    <x v="18"/>
    <x v="27"/>
    <x v="647"/>
    <x v="0"/>
    <x v="37"/>
    <x v="146"/>
    <x v="118"/>
    <x v="538"/>
    <x v="295"/>
    <x v="0"/>
    <x v="0"/>
    <x v="0"/>
    <x v="0"/>
    <x v="0"/>
    <x v="0"/>
    <x v="0"/>
    <x v="343"/>
    <x v="288"/>
    <x v="15"/>
    <x v="0"/>
    <x v="0"/>
    <x v="357"/>
    <x v="0"/>
    <x v="0"/>
    <x v="541"/>
    <x v="9"/>
    <x v="87"/>
    <x v="97"/>
    <x v="278"/>
    <x v="2"/>
    <x v="152"/>
    <x v="223"/>
    <x v="327"/>
    <x v="698"/>
  </r>
  <r>
    <x v="37"/>
    <x v="2"/>
    <x v="5"/>
    <x v="13"/>
    <x v="7"/>
    <x v="6"/>
    <x v="47"/>
    <x v="688"/>
    <x v="0"/>
    <x v="37"/>
    <x v="129"/>
    <x v="93"/>
    <x v="466"/>
    <x v="244"/>
    <x v="0"/>
    <x v="21"/>
    <x v="0"/>
    <x v="0"/>
    <x v="51"/>
    <x v="0"/>
    <x v="0"/>
    <x v="286"/>
    <x v="409"/>
    <x v="43"/>
    <x v="1"/>
    <x v="233"/>
    <x v="245"/>
    <x v="226"/>
    <x v="29"/>
    <x v="287"/>
    <x v="0"/>
    <x v="92"/>
    <x v="107"/>
    <x v="218"/>
    <x v="4"/>
    <x v="256"/>
    <x v="304"/>
    <x v="560"/>
    <x v="349"/>
  </r>
  <r>
    <x v="37"/>
    <x v="2"/>
    <x v="2"/>
    <x v="70"/>
    <x v="9"/>
    <x v="12"/>
    <x v="3"/>
    <x v="266"/>
    <x v="0"/>
    <x v="22"/>
    <x v="69"/>
    <x v="59"/>
    <x v="143"/>
    <x v="116"/>
    <x v="31"/>
    <x v="0"/>
    <x v="0"/>
    <x v="0"/>
    <x v="0"/>
    <x v="0"/>
    <x v="0"/>
    <x v="168"/>
    <x v="397"/>
    <x v="42"/>
    <x v="2"/>
    <x v="48"/>
    <x v="152"/>
    <x v="0"/>
    <x v="0"/>
    <x v="541"/>
    <x v="0"/>
    <x v="50"/>
    <x v="107"/>
    <x v="174"/>
    <x v="5"/>
    <x v="311"/>
    <x v="255"/>
    <x v="515"/>
    <x v="352"/>
  </r>
  <r>
    <x v="37"/>
    <x v="2"/>
    <x v="2"/>
    <x v="70"/>
    <x v="9"/>
    <x v="13"/>
    <x v="3"/>
    <x v="263"/>
    <x v="0"/>
    <x v="22"/>
    <x v="67"/>
    <x v="49"/>
    <x v="85"/>
    <x v="75"/>
    <x v="0"/>
    <x v="0"/>
    <x v="0"/>
    <x v="0"/>
    <x v="0"/>
    <x v="0"/>
    <x v="0"/>
    <x v="134"/>
    <x v="82"/>
    <x v="42"/>
    <x v="2"/>
    <x v="25"/>
    <x v="356"/>
    <x v="0"/>
    <x v="0"/>
    <x v="541"/>
    <x v="20"/>
    <x v="33"/>
    <x v="38"/>
    <x v="67"/>
    <x v="5"/>
    <x v="316"/>
    <x v="246"/>
    <x v="100"/>
    <x v="366"/>
  </r>
  <r>
    <x v="37"/>
    <x v="2"/>
    <x v="0"/>
    <x v="4"/>
    <x v="9"/>
    <x v="0"/>
    <x v="66"/>
    <x v="259"/>
    <x v="0"/>
    <x v="37"/>
    <x v="83"/>
    <x v="21"/>
    <x v="261"/>
    <x v="162"/>
    <x v="0"/>
    <x v="5"/>
    <x v="0"/>
    <x v="0"/>
    <x v="40"/>
    <x v="0"/>
    <x v="0"/>
    <x v="219"/>
    <x v="474"/>
    <x v="38"/>
    <x v="10"/>
    <x v="393"/>
    <x v="246"/>
    <x v="268"/>
    <x v="10"/>
    <x v="231"/>
    <x v="0"/>
    <x v="92"/>
    <x v="107"/>
    <x v="95"/>
    <x v="6"/>
    <x v="363"/>
    <x v="369"/>
    <x v="614"/>
    <x v="351"/>
  </r>
  <r>
    <x v="37"/>
    <x v="2"/>
    <x v="0"/>
    <x v="0"/>
    <x v="9"/>
    <x v="1"/>
    <x v="9"/>
    <x v="260"/>
    <x v="0"/>
    <x v="37"/>
    <x v="83"/>
    <x v="21"/>
    <x v="251"/>
    <x v="154"/>
    <x v="20"/>
    <x v="29"/>
    <x v="0"/>
    <x v="0"/>
    <x v="59"/>
    <x v="0"/>
    <x v="0"/>
    <x v="212"/>
    <x v="464"/>
    <x v="38"/>
    <x v="5"/>
    <x v="342"/>
    <x v="133"/>
    <x v="376"/>
    <x v="121"/>
    <x v="104"/>
    <x v="0"/>
    <x v="92"/>
    <x v="107"/>
    <x v="86"/>
    <x v="6"/>
    <x v="367"/>
    <x v="337"/>
    <x v="575"/>
    <x v="350"/>
  </r>
  <r>
    <x v="37"/>
    <x v="2"/>
    <x v="1"/>
    <x v="9"/>
    <x v="9"/>
    <x v="18"/>
    <x v="67"/>
    <x v="17"/>
    <x v="0"/>
    <x v="37"/>
    <x v="138"/>
    <x v="107"/>
    <x v="497"/>
    <x v="255"/>
    <x v="0"/>
    <x v="0"/>
    <x v="41"/>
    <x v="0"/>
    <x v="31"/>
    <x v="0"/>
    <x v="3"/>
    <x v="118"/>
    <x v="308"/>
    <x v="4"/>
    <x v="0"/>
    <x v="0"/>
    <x v="357"/>
    <x v="149"/>
    <x v="0"/>
    <x v="371"/>
    <x v="9"/>
    <x v="87"/>
    <x v="97"/>
    <x v="230"/>
    <x v="7"/>
    <x v="417"/>
    <x v="458"/>
    <x v="695"/>
    <x v="755"/>
  </r>
  <r>
    <x v="37"/>
    <x v="3"/>
    <x v="0"/>
    <x v="0"/>
    <x v="1"/>
    <x v="1"/>
    <x v="9"/>
    <x v="262"/>
    <x v="4"/>
    <x v="37"/>
    <x v="83"/>
    <x v="21"/>
    <x v="248"/>
    <x v="154"/>
    <x v="12"/>
    <x v="11"/>
    <x v="0"/>
    <x v="0"/>
    <x v="40"/>
    <x v="2"/>
    <x v="0"/>
    <x v="212"/>
    <x v="464"/>
    <x v="38"/>
    <x v="5"/>
    <x v="340"/>
    <x v="181"/>
    <x v="282"/>
    <x v="39"/>
    <x v="214"/>
    <x v="0"/>
    <x v="92"/>
    <x v="107"/>
    <x v="86"/>
    <x v="6"/>
    <x v="367"/>
    <x v="337"/>
    <x v="585"/>
    <x v="353"/>
  </r>
  <r>
    <x v="37"/>
    <x v="3"/>
    <x v="0"/>
    <x v="4"/>
    <x v="5"/>
    <x v="0"/>
    <x v="66"/>
    <x v="261"/>
    <x v="4"/>
    <x v="37"/>
    <x v="83"/>
    <x v="21"/>
    <x v="245"/>
    <x v="154"/>
    <x v="20"/>
    <x v="9"/>
    <x v="0"/>
    <x v="0"/>
    <x v="36"/>
    <x v="2"/>
    <x v="0"/>
    <x v="212"/>
    <x v="464"/>
    <x v="38"/>
    <x v="10"/>
    <x v="391"/>
    <x v="193"/>
    <x v="255"/>
    <x v="28"/>
    <x v="250"/>
    <x v="0"/>
    <x v="92"/>
    <x v="107"/>
    <x v="86"/>
    <x v="6"/>
    <x v="367"/>
    <x v="337"/>
    <x v="589"/>
    <x v="354"/>
  </r>
  <r>
    <x v="37"/>
    <x v="3"/>
    <x v="5"/>
    <x v="13"/>
    <x v="7"/>
    <x v="6"/>
    <x v="47"/>
    <x v="689"/>
    <x v="4"/>
    <x v="37"/>
    <x v="129"/>
    <x v="93"/>
    <x v="430"/>
    <x v="238"/>
    <x v="0"/>
    <x v="24"/>
    <x v="0"/>
    <x v="0"/>
    <x v="61"/>
    <x v="2"/>
    <x v="0"/>
    <x v="282"/>
    <x v="383"/>
    <x v="43"/>
    <x v="1"/>
    <x v="202"/>
    <x v="206"/>
    <x v="269"/>
    <x v="46"/>
    <x v="234"/>
    <x v="0"/>
    <x v="92"/>
    <x v="107"/>
    <x v="211"/>
    <x v="4"/>
    <x v="266"/>
    <x v="248"/>
    <x v="481"/>
    <x v="355"/>
  </r>
  <r>
    <x v="37"/>
    <x v="3"/>
    <x v="2"/>
    <x v="70"/>
    <x v="9"/>
    <x v="13"/>
    <x v="3"/>
    <x v="264"/>
    <x v="4"/>
    <x v="37"/>
    <x v="121"/>
    <x v="62"/>
    <x v="329"/>
    <x v="198"/>
    <x v="0"/>
    <x v="0"/>
    <x v="0"/>
    <x v="0"/>
    <x v="5"/>
    <x v="2"/>
    <x v="0"/>
    <x v="252"/>
    <x v="312"/>
    <x v="42"/>
    <x v="2"/>
    <x v="142"/>
    <x v="318"/>
    <x v="48"/>
    <x v="0"/>
    <x v="485"/>
    <x v="0"/>
    <x v="92"/>
    <x v="107"/>
    <x v="147"/>
    <x v="5"/>
    <x v="343"/>
    <x v="140"/>
    <x v="363"/>
    <x v="367"/>
  </r>
  <r>
    <x v="38"/>
    <x v="1"/>
    <x v="0"/>
    <x v="0"/>
    <x v="1"/>
    <x v="1"/>
    <x v="9"/>
    <x v="267"/>
    <x v="2"/>
    <x v="37"/>
    <x v="83"/>
    <x v="21"/>
    <x v="227"/>
    <x v="149"/>
    <x v="0"/>
    <x v="15"/>
    <x v="0"/>
    <x v="0"/>
    <x v="49"/>
    <x v="2"/>
    <x v="0"/>
    <x v="206"/>
    <x v="454"/>
    <x v="38"/>
    <x v="5"/>
    <x v="331"/>
    <x v="164"/>
    <x v="358"/>
    <x v="62"/>
    <x v="129"/>
    <x v="0"/>
    <x v="92"/>
    <x v="107"/>
    <x v="79"/>
    <x v="6"/>
    <x v="378"/>
    <x v="292"/>
    <x v="545"/>
    <x v="701"/>
  </r>
  <r>
    <x v="38"/>
    <x v="1"/>
    <x v="5"/>
    <x v="13"/>
    <x v="7"/>
    <x v="6"/>
    <x v="47"/>
    <x v="693"/>
    <x v="2"/>
    <x v="37"/>
    <x v="129"/>
    <x v="93"/>
    <x v="425"/>
    <x v="238"/>
    <x v="0"/>
    <x v="19"/>
    <x v="0"/>
    <x v="0"/>
    <x v="51"/>
    <x v="2"/>
    <x v="0"/>
    <x v="282"/>
    <x v="383"/>
    <x v="43"/>
    <x v="1"/>
    <x v="198"/>
    <x v="232"/>
    <x v="232"/>
    <x v="25"/>
    <x v="278"/>
    <x v="0"/>
    <x v="92"/>
    <x v="107"/>
    <x v="211"/>
    <x v="4"/>
    <x v="266"/>
    <x v="248"/>
    <x v="486"/>
    <x v="702"/>
  </r>
  <r>
    <x v="38"/>
    <x v="1"/>
    <x v="2"/>
    <x v="70"/>
    <x v="9"/>
    <x v="13"/>
    <x v="3"/>
    <x v="271"/>
    <x v="2"/>
    <x v="19"/>
    <x v="44"/>
    <x v="40"/>
    <x v="68"/>
    <x v="64"/>
    <x v="0"/>
    <x v="0"/>
    <x v="0"/>
    <x v="0"/>
    <x v="0"/>
    <x v="0"/>
    <x v="0"/>
    <x v="124"/>
    <x v="190"/>
    <x v="42"/>
    <x v="2"/>
    <x v="20"/>
    <x v="356"/>
    <x v="0"/>
    <x v="0"/>
    <x v="541"/>
    <x v="10"/>
    <x v="29"/>
    <x v="57"/>
    <x v="88"/>
    <x v="5"/>
    <x v="331"/>
    <x v="197"/>
    <x v="158"/>
    <x v="356"/>
  </r>
  <r>
    <x v="38"/>
    <x v="1"/>
    <x v="2"/>
    <x v="70"/>
    <x v="9"/>
    <x v="12"/>
    <x v="3"/>
    <x v="274"/>
    <x v="2"/>
    <x v="25"/>
    <x v="89"/>
    <x v="85"/>
    <x v="176"/>
    <x v="135"/>
    <x v="0"/>
    <x v="0"/>
    <x v="0"/>
    <x v="0"/>
    <x v="4"/>
    <x v="2"/>
    <x v="0"/>
    <x v="190"/>
    <x v="288"/>
    <x v="42"/>
    <x v="2"/>
    <x v="57"/>
    <x v="301"/>
    <x v="57"/>
    <x v="0"/>
    <x v="474"/>
    <x v="0"/>
    <x v="57"/>
    <x v="107"/>
    <x v="166"/>
    <x v="5"/>
    <x v="321"/>
    <x v="227"/>
    <x v="467"/>
    <x v="705"/>
  </r>
  <r>
    <x v="38"/>
    <x v="1"/>
    <x v="4"/>
    <x v="57"/>
    <x v="9"/>
    <x v="7"/>
    <x v="27"/>
    <x v="648"/>
    <x v="2"/>
    <x v="37"/>
    <x v="146"/>
    <x v="118"/>
    <x v="548"/>
    <x v="306"/>
    <x v="0"/>
    <x v="0"/>
    <x v="0"/>
    <x v="0"/>
    <x v="0"/>
    <x v="0"/>
    <x v="0"/>
    <x v="359"/>
    <x v="353"/>
    <x v="15"/>
    <x v="0"/>
    <x v="0"/>
    <x v="357"/>
    <x v="0"/>
    <x v="0"/>
    <x v="541"/>
    <x v="9"/>
    <x v="87"/>
    <x v="97"/>
    <x v="295"/>
    <x v="2"/>
    <x v="122"/>
    <x v="274"/>
    <x v="390"/>
    <x v="703"/>
  </r>
  <r>
    <x v="38"/>
    <x v="1"/>
    <x v="7"/>
    <x v="20"/>
    <x v="9"/>
    <x v="9"/>
    <x v="25"/>
    <x v="680"/>
    <x v="2"/>
    <x v="37"/>
    <x v="146"/>
    <x v="118"/>
    <x v="538"/>
    <x v="295"/>
    <x v="0"/>
    <x v="0"/>
    <x v="0"/>
    <x v="0"/>
    <x v="0"/>
    <x v="0"/>
    <x v="0"/>
    <x v="343"/>
    <x v="288"/>
    <x v="11"/>
    <x v="0"/>
    <x v="0"/>
    <x v="357"/>
    <x v="0"/>
    <x v="0"/>
    <x v="541"/>
    <x v="9"/>
    <x v="87"/>
    <x v="97"/>
    <x v="278"/>
    <x v="2"/>
    <x v="152"/>
    <x v="223"/>
    <x v="327"/>
    <x v="704"/>
  </r>
  <r>
    <x v="38"/>
    <x v="1"/>
    <x v="1"/>
    <x v="9"/>
    <x v="9"/>
    <x v="9"/>
    <x v="67"/>
    <x v="680"/>
    <x v="2"/>
    <x v="37"/>
    <x v="136"/>
    <x v="101"/>
    <x v="499"/>
    <x v="254"/>
    <x v="0"/>
    <x v="0"/>
    <x v="28"/>
    <x v="0"/>
    <x v="86"/>
    <x v="0"/>
    <x v="0"/>
    <x v="300"/>
    <x v="420"/>
    <x v="4"/>
    <x v="0"/>
    <x v="0"/>
    <x v="357"/>
    <x v="355"/>
    <x v="0"/>
    <x v="131"/>
    <x v="0"/>
    <x v="92"/>
    <x v="107"/>
    <x v="229"/>
    <x v="7"/>
    <x v="237"/>
    <x v="491"/>
    <x v="721"/>
    <x v="755"/>
  </r>
  <r>
    <x v="38"/>
    <x v="4"/>
    <x v="8"/>
    <x v="61"/>
    <x v="9"/>
    <x v="18"/>
    <x v="26"/>
    <x v="369"/>
    <x v="0"/>
    <x v="37"/>
    <x v="176"/>
    <x v="172"/>
    <x v="606"/>
    <x v="369"/>
    <x v="0"/>
    <x v="0"/>
    <x v="0"/>
    <x v="0"/>
    <x v="71"/>
    <x v="0"/>
    <x v="1"/>
    <x v="347"/>
    <x v="292"/>
    <x v="27"/>
    <x v="0"/>
    <x v="0"/>
    <x v="357"/>
    <x v="144"/>
    <x v="0"/>
    <x v="376"/>
    <x v="9"/>
    <x v="87"/>
    <x v="97"/>
    <x v="386"/>
    <x v="3"/>
    <x v="142"/>
    <x v="388"/>
    <x v="568"/>
    <x v="706"/>
  </r>
  <r>
    <x v="38"/>
    <x v="2"/>
    <x v="5"/>
    <x v="13"/>
    <x v="7"/>
    <x v="6"/>
    <x v="47"/>
    <x v="695"/>
    <x v="0"/>
    <x v="29"/>
    <x v="110"/>
    <x v="94"/>
    <x v="311"/>
    <x v="192"/>
    <x v="0"/>
    <x v="0"/>
    <x v="0"/>
    <x v="0"/>
    <x v="54"/>
    <x v="0"/>
    <x v="0"/>
    <x v="246"/>
    <x v="405"/>
    <x v="43"/>
    <x v="1"/>
    <x v="105"/>
    <x v="256"/>
    <x v="313"/>
    <x v="0"/>
    <x v="173"/>
    <x v="0"/>
    <x v="69"/>
    <x v="107"/>
    <x v="217"/>
    <x v="4"/>
    <x v="258"/>
    <x v="300"/>
    <x v="551"/>
    <x v="357"/>
  </r>
  <r>
    <x v="38"/>
    <x v="2"/>
    <x v="2"/>
    <x v="70"/>
    <x v="9"/>
    <x v="12"/>
    <x v="3"/>
    <x v="275"/>
    <x v="0"/>
    <x v="19"/>
    <x v="52"/>
    <x v="61"/>
    <x v="97"/>
    <x v="84"/>
    <x v="0"/>
    <x v="0"/>
    <x v="0"/>
    <x v="0"/>
    <x v="0"/>
    <x v="0"/>
    <x v="0"/>
    <x v="141"/>
    <x v="303"/>
    <x v="42"/>
    <x v="2"/>
    <x v="30"/>
    <x v="356"/>
    <x v="0"/>
    <x v="0"/>
    <x v="541"/>
    <x v="0"/>
    <x v="39"/>
    <x v="107"/>
    <x v="145"/>
    <x v="5"/>
    <x v="344"/>
    <x v="133"/>
    <x v="355"/>
    <x v="358"/>
  </r>
  <r>
    <x v="38"/>
    <x v="2"/>
    <x v="7"/>
    <x v="21"/>
    <x v="9"/>
    <x v="18"/>
    <x v="49"/>
    <x v="686"/>
    <x v="0"/>
    <x v="22"/>
    <x v="105"/>
    <x v="118"/>
    <x v="276"/>
    <x v="176"/>
    <x v="0"/>
    <x v="0"/>
    <x v="0"/>
    <x v="0"/>
    <x v="0"/>
    <x v="0"/>
    <x v="0"/>
    <x v="231"/>
    <x v="350"/>
    <x v="12"/>
    <x v="0"/>
    <x v="0"/>
    <x v="357"/>
    <x v="0"/>
    <x v="0"/>
    <x v="541"/>
    <x v="9"/>
    <x v="43"/>
    <x v="72"/>
    <x v="291"/>
    <x v="2"/>
    <x v="81"/>
    <x v="380"/>
    <x v="379"/>
    <x v="359"/>
  </r>
  <r>
    <x v="38"/>
    <x v="2"/>
    <x v="7"/>
    <x v="20"/>
    <x v="9"/>
    <x v="18"/>
    <x v="25"/>
    <x v="681"/>
    <x v="0"/>
    <x v="22"/>
    <x v="105"/>
    <x v="118"/>
    <x v="129"/>
    <x v="107"/>
    <x v="0"/>
    <x v="0"/>
    <x v="0"/>
    <x v="0"/>
    <x v="0"/>
    <x v="0"/>
    <x v="0"/>
    <x v="159"/>
    <x v="41"/>
    <x v="11"/>
    <x v="0"/>
    <x v="0"/>
    <x v="357"/>
    <x v="0"/>
    <x v="0"/>
    <x v="541"/>
    <x v="24"/>
    <x v="27"/>
    <x v="24"/>
    <x v="138"/>
    <x v="2"/>
    <x v="98"/>
    <x v="323"/>
    <x v="68"/>
    <x v="360"/>
  </r>
  <r>
    <x v="38"/>
    <x v="2"/>
    <x v="4"/>
    <x v="57"/>
    <x v="9"/>
    <x v="18"/>
    <x v="27"/>
    <x v="648"/>
    <x v="0"/>
    <x v="37"/>
    <x v="146"/>
    <x v="118"/>
    <x v="547"/>
    <x v="304"/>
    <x v="0"/>
    <x v="0"/>
    <x v="0"/>
    <x v="0"/>
    <x v="0"/>
    <x v="0"/>
    <x v="0"/>
    <x v="357"/>
    <x v="352"/>
    <x v="15"/>
    <x v="0"/>
    <x v="0"/>
    <x v="357"/>
    <x v="0"/>
    <x v="0"/>
    <x v="541"/>
    <x v="0"/>
    <x v="92"/>
    <x v="107"/>
    <x v="292"/>
    <x v="2"/>
    <x v="183"/>
    <x v="153"/>
    <x v="380"/>
    <x v="707"/>
  </r>
  <r>
    <x v="38"/>
    <x v="2"/>
    <x v="0"/>
    <x v="0"/>
    <x v="9"/>
    <x v="1"/>
    <x v="9"/>
    <x v="268"/>
    <x v="0"/>
    <x v="37"/>
    <x v="83"/>
    <x v="21"/>
    <x v="214"/>
    <x v="148"/>
    <x v="2"/>
    <x v="25"/>
    <x v="0"/>
    <x v="0"/>
    <x v="64"/>
    <x v="0"/>
    <x v="0"/>
    <x v="205"/>
    <x v="448"/>
    <x v="38"/>
    <x v="5"/>
    <x v="326"/>
    <x v="136"/>
    <x v="392"/>
    <x v="117"/>
    <x v="83"/>
    <x v="0"/>
    <x v="92"/>
    <x v="107"/>
    <x v="76"/>
    <x v="6"/>
    <x v="383"/>
    <x v="260"/>
    <x v="477"/>
    <x v="361"/>
  </r>
  <r>
    <x v="38"/>
    <x v="2"/>
    <x v="2"/>
    <x v="70"/>
    <x v="9"/>
    <x v="13"/>
    <x v="3"/>
    <x v="272"/>
    <x v="0"/>
    <x v="25"/>
    <x v="86"/>
    <x v="65"/>
    <x v="193"/>
    <x v="145"/>
    <x v="0"/>
    <x v="0"/>
    <x v="0"/>
    <x v="0"/>
    <x v="4"/>
    <x v="0"/>
    <x v="0"/>
    <x v="201"/>
    <x v="431"/>
    <x v="42"/>
    <x v="2"/>
    <x v="67"/>
    <x v="344"/>
    <x v="56"/>
    <x v="0"/>
    <x v="475"/>
    <x v="0"/>
    <x v="57"/>
    <x v="107"/>
    <x v="188"/>
    <x v="5"/>
    <x v="289"/>
    <x v="325"/>
    <x v="580"/>
    <x v="368"/>
  </r>
  <r>
    <x v="38"/>
    <x v="2"/>
    <x v="1"/>
    <x v="44"/>
    <x v="9"/>
    <x v="18"/>
    <x v="64"/>
    <x v="774"/>
    <x v="0"/>
    <x v="29"/>
    <x v="63"/>
    <x v="15"/>
    <x v="119"/>
    <x v="97"/>
    <x v="0"/>
    <x v="0"/>
    <x v="26"/>
    <x v="0"/>
    <x v="22"/>
    <x v="0"/>
    <x v="3"/>
    <x v="55"/>
    <x v="271"/>
    <x v="20"/>
    <x v="0"/>
    <x v="0"/>
    <x v="357"/>
    <x v="271"/>
    <x v="0"/>
    <x v="225"/>
    <x v="30"/>
    <x v="43"/>
    <x v="28"/>
    <x v="51"/>
    <x v="7"/>
    <x v="467"/>
    <x v="314"/>
    <x v="85"/>
    <x v="362"/>
  </r>
  <r>
    <x v="38"/>
    <x v="2"/>
    <x v="1"/>
    <x v="46"/>
    <x v="9"/>
    <x v="18"/>
    <x v="59"/>
    <x v="159"/>
    <x v="0"/>
    <x v="14"/>
    <x v="24"/>
    <x v="55"/>
    <x v="48"/>
    <x v="47"/>
    <x v="0"/>
    <x v="0"/>
    <x v="11"/>
    <x v="0"/>
    <x v="11"/>
    <x v="0"/>
    <x v="3"/>
    <x v="32"/>
    <x v="273"/>
    <x v="22"/>
    <x v="0"/>
    <x v="0"/>
    <x v="357"/>
    <x v="247"/>
    <x v="0"/>
    <x v="257"/>
    <x v="0"/>
    <x v="27"/>
    <x v="107"/>
    <x v="135"/>
    <x v="7"/>
    <x v="478"/>
    <x v="204"/>
    <x v="439"/>
    <x v="755"/>
  </r>
  <r>
    <x v="38"/>
    <x v="3"/>
    <x v="5"/>
    <x v="10"/>
    <x v="7"/>
    <x v="6"/>
    <x v="41"/>
    <x v="697"/>
    <x v="4"/>
    <x v="37"/>
    <x v="108"/>
    <x v="42"/>
    <x v="174"/>
    <x v="133"/>
    <x v="58"/>
    <x v="33"/>
    <x v="0"/>
    <x v="0"/>
    <x v="37"/>
    <x v="3"/>
    <x v="0"/>
    <x v="188"/>
    <x v="96"/>
    <x v="43"/>
    <x v="1"/>
    <x v="84"/>
    <x v="9"/>
    <x v="315"/>
    <x v="148"/>
    <x v="177"/>
    <x v="33"/>
    <x v="57"/>
    <x v="38"/>
    <x v="61"/>
    <x v="4"/>
    <x v="335"/>
    <x v="53"/>
    <x v="62"/>
    <x v="364"/>
  </r>
  <r>
    <x v="38"/>
    <x v="3"/>
    <x v="0"/>
    <x v="0"/>
    <x v="1"/>
    <x v="1"/>
    <x v="9"/>
    <x v="270"/>
    <x v="4"/>
    <x v="37"/>
    <x v="83"/>
    <x v="21"/>
    <x v="208"/>
    <x v="148"/>
    <x v="13"/>
    <x v="9"/>
    <x v="0"/>
    <x v="0"/>
    <x v="37"/>
    <x v="2"/>
    <x v="0"/>
    <x v="205"/>
    <x v="448"/>
    <x v="38"/>
    <x v="5"/>
    <x v="322"/>
    <x v="184"/>
    <x v="275"/>
    <x v="33"/>
    <x v="222"/>
    <x v="0"/>
    <x v="92"/>
    <x v="107"/>
    <x v="76"/>
    <x v="6"/>
    <x v="383"/>
    <x v="260"/>
    <x v="499"/>
    <x v="363"/>
  </r>
  <r>
    <x v="38"/>
    <x v="3"/>
    <x v="2"/>
    <x v="70"/>
    <x v="9"/>
    <x v="12"/>
    <x v="3"/>
    <x v="276"/>
    <x v="4"/>
    <x v="6"/>
    <x v="10"/>
    <x v="49"/>
    <x v="18"/>
    <x v="18"/>
    <x v="0"/>
    <x v="0"/>
    <x v="0"/>
    <x v="0"/>
    <x v="0"/>
    <x v="0"/>
    <x v="0"/>
    <x v="65"/>
    <x v="288"/>
    <x v="42"/>
    <x v="2"/>
    <x v="2"/>
    <x v="356"/>
    <x v="0"/>
    <x v="0"/>
    <x v="541"/>
    <x v="0"/>
    <x v="14"/>
    <x v="107"/>
    <x v="132"/>
    <x v="5"/>
    <x v="350"/>
    <x v="97"/>
    <x v="308"/>
    <x v="365"/>
  </r>
  <r>
    <x v="38"/>
    <x v="3"/>
    <x v="2"/>
    <x v="70"/>
    <x v="9"/>
    <x v="13"/>
    <x v="3"/>
    <x v="273"/>
    <x v="4"/>
    <x v="33"/>
    <x v="114"/>
    <x v="73"/>
    <x v="303"/>
    <x v="191"/>
    <x v="0"/>
    <x v="0"/>
    <x v="0"/>
    <x v="0"/>
    <x v="5"/>
    <x v="2"/>
    <x v="0"/>
    <x v="244"/>
    <x v="391"/>
    <x v="42"/>
    <x v="2"/>
    <x v="120"/>
    <x v="316"/>
    <x v="52"/>
    <x v="0"/>
    <x v="481"/>
    <x v="0"/>
    <x v="82"/>
    <x v="107"/>
    <x v="173"/>
    <x v="5"/>
    <x v="312"/>
    <x v="253"/>
    <x v="508"/>
    <x v="369"/>
  </r>
  <r>
    <x v="39"/>
    <x v="1"/>
    <x v="2"/>
    <x v="70"/>
    <x v="9"/>
    <x v="13"/>
    <x v="3"/>
    <x v="280"/>
    <x v="2"/>
    <x v="33"/>
    <x v="99"/>
    <x v="41"/>
    <x v="270"/>
    <x v="171"/>
    <x v="0"/>
    <x v="0"/>
    <x v="0"/>
    <x v="0"/>
    <x v="0"/>
    <x v="0"/>
    <x v="0"/>
    <x v="227"/>
    <x v="422"/>
    <x v="42"/>
    <x v="2"/>
    <x v="94"/>
    <x v="356"/>
    <x v="0"/>
    <x v="0"/>
    <x v="541"/>
    <x v="0"/>
    <x v="82"/>
    <x v="107"/>
    <x v="137"/>
    <x v="5"/>
    <x v="347"/>
    <x v="116"/>
    <x v="330"/>
    <x v="373"/>
  </r>
  <r>
    <x v="39"/>
    <x v="1"/>
    <x v="2"/>
    <x v="70"/>
    <x v="9"/>
    <x v="12"/>
    <x v="3"/>
    <x v="283"/>
    <x v="2"/>
    <x v="6"/>
    <x v="23"/>
    <x v="131"/>
    <x v="45"/>
    <x v="46"/>
    <x v="0"/>
    <x v="0"/>
    <x v="0"/>
    <x v="0"/>
    <x v="8"/>
    <x v="0"/>
    <x v="0"/>
    <x v="104"/>
    <x v="288"/>
    <x v="42"/>
    <x v="2"/>
    <x v="10"/>
    <x v="284"/>
    <x v="192"/>
    <x v="0"/>
    <x v="324"/>
    <x v="0"/>
    <x v="14"/>
    <x v="107"/>
    <x v="313"/>
    <x v="5"/>
    <x v="119"/>
    <x v="472"/>
    <x v="711"/>
    <x v="374"/>
  </r>
  <r>
    <x v="39"/>
    <x v="1"/>
    <x v="5"/>
    <x v="10"/>
    <x v="7"/>
    <x v="6"/>
    <x v="41"/>
    <x v="701"/>
    <x v="2"/>
    <x v="37"/>
    <x v="129"/>
    <x v="93"/>
    <x v="348"/>
    <x v="205"/>
    <x v="0"/>
    <x v="37"/>
    <x v="0"/>
    <x v="0"/>
    <x v="53"/>
    <x v="2"/>
    <x v="0"/>
    <x v="258"/>
    <x v="166"/>
    <x v="43"/>
    <x v="1"/>
    <x v="134"/>
    <x v="169"/>
    <x v="289"/>
    <x v="115"/>
    <x v="206"/>
    <x v="7"/>
    <x v="89"/>
    <x v="101"/>
    <x v="156"/>
    <x v="4"/>
    <x v="309"/>
    <x v="99"/>
    <x v="228"/>
    <x v="376"/>
  </r>
  <r>
    <x v="39"/>
    <x v="1"/>
    <x v="7"/>
    <x v="21"/>
    <x v="9"/>
    <x v="9"/>
    <x v="49"/>
    <x v="687"/>
    <x v="2"/>
    <x v="33"/>
    <x v="144"/>
    <x v="125"/>
    <x v="519"/>
    <x v="273"/>
    <x v="0"/>
    <x v="0"/>
    <x v="0"/>
    <x v="0"/>
    <x v="0"/>
    <x v="0"/>
    <x v="0"/>
    <x v="317"/>
    <x v="314"/>
    <x v="12"/>
    <x v="0"/>
    <x v="0"/>
    <x v="357"/>
    <x v="0"/>
    <x v="0"/>
    <x v="541"/>
    <x v="9"/>
    <x v="72"/>
    <x v="92"/>
    <x v="296"/>
    <x v="2"/>
    <x v="109"/>
    <x v="302"/>
    <x v="393"/>
    <x v="371"/>
  </r>
  <r>
    <x v="39"/>
    <x v="1"/>
    <x v="7"/>
    <x v="18"/>
    <x v="9"/>
    <x v="9"/>
    <x v="43"/>
    <x v="698"/>
    <x v="2"/>
    <x v="6"/>
    <x v="19"/>
    <x v="106"/>
    <x v="27"/>
    <x v="28"/>
    <x v="0"/>
    <x v="0"/>
    <x v="0"/>
    <x v="0"/>
    <x v="0"/>
    <x v="0"/>
    <x v="0"/>
    <x v="78"/>
    <x v="288"/>
    <x v="9"/>
    <x v="0"/>
    <x v="0"/>
    <x v="357"/>
    <x v="0"/>
    <x v="0"/>
    <x v="541"/>
    <x v="4"/>
    <x v="10"/>
    <x v="57"/>
    <x v="224"/>
    <x v="2"/>
    <x v="171"/>
    <x v="188"/>
    <x v="154"/>
    <x v="372"/>
  </r>
  <r>
    <x v="39"/>
    <x v="1"/>
    <x v="4"/>
    <x v="57"/>
    <x v="9"/>
    <x v="7"/>
    <x v="27"/>
    <x v="658"/>
    <x v="2"/>
    <x v="37"/>
    <x v="146"/>
    <x v="118"/>
    <x v="500"/>
    <x v="257"/>
    <x v="0"/>
    <x v="0"/>
    <x v="0"/>
    <x v="0"/>
    <x v="0"/>
    <x v="0"/>
    <x v="0"/>
    <x v="301"/>
    <x v="141"/>
    <x v="15"/>
    <x v="0"/>
    <x v="0"/>
    <x v="357"/>
    <x v="0"/>
    <x v="0"/>
    <x v="541"/>
    <x v="15"/>
    <x v="80"/>
    <x v="77"/>
    <x v="234"/>
    <x v="2"/>
    <x v="198"/>
    <x v="118"/>
    <x v="192"/>
    <x v="708"/>
  </r>
  <r>
    <x v="39"/>
    <x v="1"/>
    <x v="0"/>
    <x v="0"/>
    <x v="1"/>
    <x v="1"/>
    <x v="9"/>
    <x v="277"/>
    <x v="2"/>
    <x v="37"/>
    <x v="83"/>
    <x v="21"/>
    <x v="189"/>
    <x v="140"/>
    <x v="0"/>
    <x v="25"/>
    <x v="0"/>
    <x v="0"/>
    <x v="46"/>
    <x v="2"/>
    <x v="0"/>
    <x v="196"/>
    <x v="406"/>
    <x v="38"/>
    <x v="5"/>
    <x v="314"/>
    <x v="148"/>
    <x v="361"/>
    <x v="120"/>
    <x v="127"/>
    <x v="0"/>
    <x v="92"/>
    <x v="107"/>
    <x v="68"/>
    <x v="6"/>
    <x v="392"/>
    <x v="170"/>
    <x v="382"/>
    <x v="375"/>
  </r>
  <r>
    <x v="39"/>
    <x v="1"/>
    <x v="5"/>
    <x v="10"/>
    <x v="6"/>
    <x v="5"/>
    <x v="41"/>
    <x v="701"/>
    <x v="1"/>
    <x v="22"/>
    <x v="33"/>
    <x v="14"/>
    <x v="81"/>
    <x v="22"/>
    <x v="56"/>
    <x v="76"/>
    <x v="0"/>
    <x v="0"/>
    <x v="106"/>
    <x v="0"/>
    <x v="0"/>
    <x v="69"/>
    <x v="29"/>
    <x v="43"/>
    <x v="1"/>
    <x v="38"/>
    <x v="0"/>
    <x v="471"/>
    <x v="248"/>
    <x v="0"/>
    <x v="0"/>
    <x v="50"/>
    <x v="107"/>
    <x v="12"/>
    <x v="4"/>
    <x v="420"/>
    <x v="3"/>
    <x v="3"/>
    <x v="422"/>
  </r>
  <r>
    <x v="39"/>
    <x v="4"/>
    <x v="1"/>
    <x v="46"/>
    <x v="9"/>
    <x v="18"/>
    <x v="59"/>
    <x v="160"/>
    <x v="3"/>
    <x v="6"/>
    <x v="8"/>
    <x v="31"/>
    <x v="17"/>
    <x v="17"/>
    <x v="0"/>
    <x v="0"/>
    <x v="2"/>
    <x v="0"/>
    <x v="8"/>
    <x v="0"/>
    <x v="3"/>
    <x v="17"/>
    <x v="456"/>
    <x v="22"/>
    <x v="0"/>
    <x v="0"/>
    <x v="357"/>
    <x v="362"/>
    <x v="0"/>
    <x v="123"/>
    <x v="0"/>
    <x v="14"/>
    <x v="107"/>
    <x v="128"/>
    <x v="7"/>
    <x v="483"/>
    <x v="144"/>
    <x v="344"/>
    <x v="370"/>
  </r>
  <r>
    <x v="39"/>
    <x v="4"/>
    <x v="1"/>
    <x v="47"/>
    <x v="9"/>
    <x v="18"/>
    <x v="72"/>
    <x v="180"/>
    <x v="3"/>
    <x v="22"/>
    <x v="57"/>
    <x v="36"/>
    <x v="87"/>
    <x v="77"/>
    <x v="0"/>
    <x v="0"/>
    <x v="19"/>
    <x v="0"/>
    <x v="13"/>
    <x v="0"/>
    <x v="3"/>
    <x v="47"/>
    <x v="138"/>
    <x v="23"/>
    <x v="0"/>
    <x v="0"/>
    <x v="357"/>
    <x v="210"/>
    <x v="0"/>
    <x v="303"/>
    <x v="11"/>
    <x v="41"/>
    <x v="63"/>
    <x v="68"/>
    <x v="7"/>
    <x v="496"/>
    <x v="79"/>
    <x v="121"/>
    <x v="709"/>
  </r>
  <r>
    <x v="39"/>
    <x v="4"/>
    <x v="1"/>
    <x v="45"/>
    <x v="9"/>
    <x v="18"/>
    <x v="77"/>
    <x v="132"/>
    <x v="3"/>
    <x v="19"/>
    <x v="42"/>
    <x v="37"/>
    <x v="100"/>
    <x v="83"/>
    <x v="0"/>
    <x v="0"/>
    <x v="15"/>
    <x v="0"/>
    <x v="22"/>
    <x v="0"/>
    <x v="3"/>
    <x v="50"/>
    <x v="451"/>
    <x v="24"/>
    <x v="0"/>
    <x v="0"/>
    <x v="357"/>
    <x v="324"/>
    <x v="0"/>
    <x v="163"/>
    <x v="0"/>
    <x v="39"/>
    <x v="107"/>
    <x v="142"/>
    <x v="7"/>
    <x v="475"/>
    <x v="230"/>
    <x v="452"/>
    <x v="755"/>
  </r>
  <r>
    <x v="39"/>
    <x v="4"/>
    <x v="9"/>
    <x v="24"/>
    <x v="9"/>
    <x v="18"/>
    <x v="28"/>
    <x v="735"/>
    <x v="0"/>
    <x v="33"/>
    <x v="172"/>
    <x v="185"/>
    <x v="599"/>
    <x v="361"/>
    <x v="0"/>
    <x v="0"/>
    <x v="0"/>
    <x v="0"/>
    <x v="12"/>
    <x v="0"/>
    <x v="1"/>
    <x v="318"/>
    <x v="198"/>
    <x v="15"/>
    <x v="0"/>
    <x v="0"/>
    <x v="357"/>
    <x v="38"/>
    <x v="0"/>
    <x v="498"/>
    <x v="11"/>
    <x v="70"/>
    <x v="85"/>
    <x v="393"/>
    <x v="1"/>
    <x v="96"/>
    <x v="27"/>
    <x v="116"/>
    <x v="715"/>
  </r>
  <r>
    <x v="39"/>
    <x v="4"/>
    <x v="8"/>
    <x v="61"/>
    <x v="9"/>
    <x v="18"/>
    <x v="26"/>
    <x v="655"/>
    <x v="0"/>
    <x v="33"/>
    <x v="167"/>
    <x v="171"/>
    <x v="583"/>
    <x v="342"/>
    <x v="0"/>
    <x v="0"/>
    <x v="0"/>
    <x v="0"/>
    <x v="34"/>
    <x v="0"/>
    <x v="0"/>
    <x v="402"/>
    <x v="179"/>
    <x v="27"/>
    <x v="0"/>
    <x v="0"/>
    <x v="357"/>
    <x v="99"/>
    <x v="0"/>
    <x v="425"/>
    <x v="11"/>
    <x v="70"/>
    <x v="85"/>
    <x v="372"/>
    <x v="3"/>
    <x v="9"/>
    <x v="485"/>
    <x v="716"/>
    <x v="710"/>
  </r>
  <r>
    <x v="39"/>
    <x v="4"/>
    <x v="8"/>
    <x v="62"/>
    <x v="9"/>
    <x v="18"/>
    <x v="50"/>
    <x v="682"/>
    <x v="0"/>
    <x v="6"/>
    <x v="60"/>
    <x v="173"/>
    <x v="125"/>
    <x v="102"/>
    <x v="0"/>
    <x v="0"/>
    <x v="0"/>
    <x v="0"/>
    <x v="17"/>
    <x v="0"/>
    <x v="0"/>
    <x v="156"/>
    <x v="404"/>
    <x v="28"/>
    <x v="0"/>
    <x v="0"/>
    <x v="357"/>
    <x v="201"/>
    <x v="0"/>
    <x v="314"/>
    <x v="0"/>
    <x v="14"/>
    <x v="107"/>
    <x v="409"/>
    <x v="3"/>
    <x v="7"/>
    <x v="487"/>
    <x v="718"/>
    <x v="379"/>
  </r>
  <r>
    <x v="39"/>
    <x v="2"/>
    <x v="7"/>
    <x v="18"/>
    <x v="9"/>
    <x v="18"/>
    <x v="43"/>
    <x v="702"/>
    <x v="0"/>
    <x v="37"/>
    <x v="146"/>
    <x v="118"/>
    <x v="512"/>
    <x v="267"/>
    <x v="0"/>
    <x v="0"/>
    <x v="0"/>
    <x v="0"/>
    <x v="0"/>
    <x v="0"/>
    <x v="0"/>
    <x v="312"/>
    <x v="172"/>
    <x v="9"/>
    <x v="0"/>
    <x v="0"/>
    <x v="357"/>
    <x v="0"/>
    <x v="0"/>
    <x v="541"/>
    <x v="0"/>
    <x v="92"/>
    <x v="107"/>
    <x v="242"/>
    <x v="2"/>
    <x v="231"/>
    <x v="39"/>
    <x v="218"/>
    <x v="711"/>
  </r>
  <r>
    <x v="39"/>
    <x v="2"/>
    <x v="5"/>
    <x v="10"/>
    <x v="7"/>
    <x v="6"/>
    <x v="41"/>
    <x v="704"/>
    <x v="0"/>
    <x v="37"/>
    <x v="129"/>
    <x v="93"/>
    <x v="467"/>
    <x v="244"/>
    <x v="0"/>
    <x v="39"/>
    <x v="0"/>
    <x v="0"/>
    <x v="35"/>
    <x v="0"/>
    <x v="0"/>
    <x v="286"/>
    <x v="409"/>
    <x v="43"/>
    <x v="1"/>
    <x v="234"/>
    <x v="238"/>
    <x v="166"/>
    <x v="93"/>
    <x v="355"/>
    <x v="0"/>
    <x v="92"/>
    <x v="107"/>
    <x v="218"/>
    <x v="4"/>
    <x v="256"/>
    <x v="304"/>
    <x v="562"/>
    <x v="377"/>
  </r>
  <r>
    <x v="39"/>
    <x v="2"/>
    <x v="2"/>
    <x v="70"/>
    <x v="9"/>
    <x v="12"/>
    <x v="3"/>
    <x v="284"/>
    <x v="0"/>
    <x v="29"/>
    <x v="98"/>
    <x v="68"/>
    <x v="250"/>
    <x v="159"/>
    <x v="0"/>
    <x v="0"/>
    <x v="0"/>
    <x v="0"/>
    <x v="0"/>
    <x v="0"/>
    <x v="0"/>
    <x v="217"/>
    <x v="378"/>
    <x v="42"/>
    <x v="2"/>
    <x v="81"/>
    <x v="356"/>
    <x v="0"/>
    <x v="0"/>
    <x v="541"/>
    <x v="0"/>
    <x v="69"/>
    <x v="107"/>
    <x v="164"/>
    <x v="5"/>
    <x v="323"/>
    <x v="220"/>
    <x v="457"/>
    <x v="387"/>
  </r>
  <r>
    <x v="39"/>
    <x v="2"/>
    <x v="0"/>
    <x v="0"/>
    <x v="9"/>
    <x v="1"/>
    <x v="9"/>
    <x v="278"/>
    <x v="0"/>
    <x v="37"/>
    <x v="83"/>
    <x v="21"/>
    <x v="204"/>
    <x v="148"/>
    <x v="7"/>
    <x v="10"/>
    <x v="0"/>
    <x v="0"/>
    <x v="30"/>
    <x v="0"/>
    <x v="0"/>
    <x v="205"/>
    <x v="448"/>
    <x v="38"/>
    <x v="5"/>
    <x v="320"/>
    <x v="223"/>
    <x v="228"/>
    <x v="44"/>
    <x v="282"/>
    <x v="0"/>
    <x v="92"/>
    <x v="107"/>
    <x v="76"/>
    <x v="6"/>
    <x v="383"/>
    <x v="260"/>
    <x v="503"/>
    <x v="378"/>
  </r>
  <r>
    <x v="39"/>
    <x v="2"/>
    <x v="4"/>
    <x v="58"/>
    <x v="9"/>
    <x v="18"/>
    <x v="51"/>
    <x v="682"/>
    <x v="0"/>
    <x v="37"/>
    <x v="146"/>
    <x v="118"/>
    <x v="528"/>
    <x v="282"/>
    <x v="0"/>
    <x v="0"/>
    <x v="0"/>
    <x v="0"/>
    <x v="0"/>
    <x v="0"/>
    <x v="0"/>
    <x v="327"/>
    <x v="224"/>
    <x v="16"/>
    <x v="0"/>
    <x v="0"/>
    <x v="357"/>
    <x v="0"/>
    <x v="0"/>
    <x v="541"/>
    <x v="9"/>
    <x v="87"/>
    <x v="97"/>
    <x v="255"/>
    <x v="2"/>
    <x v="188"/>
    <x v="147"/>
    <x v="263"/>
    <x v="712"/>
  </r>
  <r>
    <x v="39"/>
    <x v="2"/>
    <x v="2"/>
    <x v="70"/>
    <x v="9"/>
    <x v="13"/>
    <x v="3"/>
    <x v="281"/>
    <x v="0"/>
    <x v="14"/>
    <x v="26"/>
    <x v="68"/>
    <x v="67"/>
    <x v="63"/>
    <x v="0"/>
    <x v="0"/>
    <x v="0"/>
    <x v="0"/>
    <x v="0"/>
    <x v="0"/>
    <x v="0"/>
    <x v="122"/>
    <x v="430"/>
    <x v="42"/>
    <x v="2"/>
    <x v="18"/>
    <x v="356"/>
    <x v="0"/>
    <x v="0"/>
    <x v="541"/>
    <x v="0"/>
    <x v="27"/>
    <x v="107"/>
    <x v="188"/>
    <x v="5"/>
    <x v="289"/>
    <x v="325"/>
    <x v="583"/>
    <x v="388"/>
  </r>
  <r>
    <x v="39"/>
    <x v="3"/>
    <x v="2"/>
    <x v="70"/>
    <x v="9"/>
    <x v="13"/>
    <x v="3"/>
    <x v="282"/>
    <x v="4"/>
    <x v="22"/>
    <x v="67"/>
    <x v="49"/>
    <x v="125"/>
    <x v="105"/>
    <x v="0"/>
    <x v="0"/>
    <x v="0"/>
    <x v="0"/>
    <x v="0"/>
    <x v="0"/>
    <x v="0"/>
    <x v="157"/>
    <x v="288"/>
    <x v="42"/>
    <x v="2"/>
    <x v="40"/>
    <x v="356"/>
    <x v="0"/>
    <x v="0"/>
    <x v="541"/>
    <x v="0"/>
    <x v="50"/>
    <x v="107"/>
    <x v="132"/>
    <x v="5"/>
    <x v="350"/>
    <x v="97"/>
    <x v="308"/>
    <x v="389"/>
  </r>
  <r>
    <x v="39"/>
    <x v="3"/>
    <x v="2"/>
    <x v="70"/>
    <x v="9"/>
    <x v="12"/>
    <x v="3"/>
    <x v="285"/>
    <x v="4"/>
    <x v="22"/>
    <x v="75"/>
    <x v="81"/>
    <x v="158"/>
    <x v="126"/>
    <x v="0"/>
    <x v="0"/>
    <x v="0"/>
    <x v="0"/>
    <x v="3"/>
    <x v="2"/>
    <x v="0"/>
    <x v="177"/>
    <x v="437"/>
    <x v="42"/>
    <x v="2"/>
    <x v="51"/>
    <x v="299"/>
    <x v="49"/>
    <x v="0"/>
    <x v="484"/>
    <x v="0"/>
    <x v="50"/>
    <x v="107"/>
    <x v="203"/>
    <x v="5"/>
    <x v="276"/>
    <x v="365"/>
    <x v="617"/>
    <x v="390"/>
  </r>
  <r>
    <x v="39"/>
    <x v="3"/>
    <x v="5"/>
    <x v="10"/>
    <x v="7"/>
    <x v="6"/>
    <x v="41"/>
    <x v="706"/>
    <x v="4"/>
    <x v="37"/>
    <x v="129"/>
    <x v="93"/>
    <x v="455"/>
    <x v="242"/>
    <x v="0"/>
    <x v="22"/>
    <x v="0"/>
    <x v="0"/>
    <x v="70"/>
    <x v="2"/>
    <x v="0"/>
    <x v="284"/>
    <x v="393"/>
    <x v="43"/>
    <x v="1"/>
    <x v="223"/>
    <x v="200"/>
    <x v="310"/>
    <x v="36"/>
    <x v="179"/>
    <x v="0"/>
    <x v="92"/>
    <x v="107"/>
    <x v="214"/>
    <x v="4"/>
    <x v="264"/>
    <x v="270"/>
    <x v="511"/>
    <x v="380"/>
  </r>
  <r>
    <x v="39"/>
    <x v="3"/>
    <x v="0"/>
    <x v="0"/>
    <x v="1"/>
    <x v="1"/>
    <x v="9"/>
    <x v="279"/>
    <x v="4"/>
    <x v="37"/>
    <x v="83"/>
    <x v="21"/>
    <x v="188"/>
    <x v="140"/>
    <x v="11"/>
    <x v="16"/>
    <x v="0"/>
    <x v="0"/>
    <x v="38"/>
    <x v="2"/>
    <x v="0"/>
    <x v="196"/>
    <x v="406"/>
    <x v="38"/>
    <x v="5"/>
    <x v="313"/>
    <x v="157"/>
    <x v="304"/>
    <x v="84"/>
    <x v="189"/>
    <x v="0"/>
    <x v="92"/>
    <x v="107"/>
    <x v="68"/>
    <x v="6"/>
    <x v="392"/>
    <x v="170"/>
    <x v="391"/>
    <x v="381"/>
  </r>
  <r>
    <x v="40"/>
    <x v="1"/>
    <x v="7"/>
    <x v="18"/>
    <x v="9"/>
    <x v="9"/>
    <x v="43"/>
    <x v="705"/>
    <x v="2"/>
    <x v="37"/>
    <x v="146"/>
    <x v="118"/>
    <x v="552"/>
    <x v="310"/>
    <x v="0"/>
    <x v="0"/>
    <x v="0"/>
    <x v="0"/>
    <x v="0"/>
    <x v="0"/>
    <x v="0"/>
    <x v="363"/>
    <x v="366"/>
    <x v="9"/>
    <x v="0"/>
    <x v="0"/>
    <x v="357"/>
    <x v="0"/>
    <x v="0"/>
    <x v="541"/>
    <x v="0"/>
    <x v="92"/>
    <x v="107"/>
    <x v="302"/>
    <x v="2"/>
    <x v="175"/>
    <x v="169"/>
    <x v="413"/>
    <x v="713"/>
  </r>
  <r>
    <x v="40"/>
    <x v="1"/>
    <x v="4"/>
    <x v="58"/>
    <x v="9"/>
    <x v="7"/>
    <x v="51"/>
    <x v="683"/>
    <x v="2"/>
    <x v="22"/>
    <x v="105"/>
    <x v="118"/>
    <x v="258"/>
    <x v="165"/>
    <x v="0"/>
    <x v="0"/>
    <x v="0"/>
    <x v="0"/>
    <x v="0"/>
    <x v="0"/>
    <x v="0"/>
    <x v="222"/>
    <x v="248"/>
    <x v="16"/>
    <x v="0"/>
    <x v="0"/>
    <x v="357"/>
    <x v="0"/>
    <x v="0"/>
    <x v="541"/>
    <x v="9"/>
    <x v="43"/>
    <x v="72"/>
    <x v="262"/>
    <x v="2"/>
    <x v="102"/>
    <x v="313"/>
    <x v="288"/>
    <x v="383"/>
  </r>
  <r>
    <x v="40"/>
    <x v="1"/>
    <x v="4"/>
    <x v="55"/>
    <x v="9"/>
    <x v="7"/>
    <x v="45"/>
    <x v="692"/>
    <x v="2"/>
    <x v="22"/>
    <x v="105"/>
    <x v="118"/>
    <x v="280"/>
    <x v="179"/>
    <x v="0"/>
    <x v="0"/>
    <x v="0"/>
    <x v="0"/>
    <x v="0"/>
    <x v="0"/>
    <x v="0"/>
    <x v="234"/>
    <x v="366"/>
    <x v="13"/>
    <x v="0"/>
    <x v="0"/>
    <x v="357"/>
    <x v="0"/>
    <x v="0"/>
    <x v="541"/>
    <x v="0"/>
    <x v="50"/>
    <x v="107"/>
    <x v="302"/>
    <x v="2"/>
    <x v="175"/>
    <x v="169"/>
    <x v="413"/>
    <x v="382"/>
  </r>
  <r>
    <x v="40"/>
    <x v="1"/>
    <x v="5"/>
    <x v="10"/>
    <x v="7"/>
    <x v="6"/>
    <x v="41"/>
    <x v="711"/>
    <x v="2"/>
    <x v="37"/>
    <x v="129"/>
    <x v="93"/>
    <x v="381"/>
    <x v="221"/>
    <x v="0"/>
    <x v="28"/>
    <x v="0"/>
    <x v="0"/>
    <x v="72"/>
    <x v="2"/>
    <x v="0"/>
    <x v="271"/>
    <x v="302"/>
    <x v="43"/>
    <x v="1"/>
    <x v="168"/>
    <x v="176"/>
    <x v="344"/>
    <x v="68"/>
    <x v="145"/>
    <x v="7"/>
    <x v="89"/>
    <x v="101"/>
    <x v="191"/>
    <x v="4"/>
    <x v="268"/>
    <x v="238"/>
    <x v="356"/>
    <x v="327"/>
  </r>
  <r>
    <x v="40"/>
    <x v="1"/>
    <x v="2"/>
    <x v="70"/>
    <x v="9"/>
    <x v="12"/>
    <x v="3"/>
    <x v="291"/>
    <x v="2"/>
    <x v="37"/>
    <x v="121"/>
    <x v="62"/>
    <x v="386"/>
    <x v="227"/>
    <x v="0"/>
    <x v="0"/>
    <x v="0"/>
    <x v="0"/>
    <x v="2"/>
    <x v="2"/>
    <x v="0"/>
    <x v="276"/>
    <x v="453"/>
    <x v="42"/>
    <x v="2"/>
    <x v="215"/>
    <x v="337"/>
    <x v="11"/>
    <x v="0"/>
    <x v="528"/>
    <x v="0"/>
    <x v="92"/>
    <x v="107"/>
    <x v="203"/>
    <x v="5"/>
    <x v="276"/>
    <x v="365"/>
    <x v="620"/>
    <x v="391"/>
  </r>
  <r>
    <x v="40"/>
    <x v="1"/>
    <x v="0"/>
    <x v="4"/>
    <x v="5"/>
    <x v="0"/>
    <x v="66"/>
    <x v="286"/>
    <x v="2"/>
    <x v="37"/>
    <x v="83"/>
    <x v="21"/>
    <x v="50"/>
    <x v="41"/>
    <x v="4"/>
    <x v="35"/>
    <x v="0"/>
    <x v="0"/>
    <x v="28"/>
    <x v="2"/>
    <x v="0"/>
    <x v="98"/>
    <x v="10"/>
    <x v="38"/>
    <x v="10"/>
    <x v="164"/>
    <x v="46"/>
    <x v="438"/>
    <x v="229"/>
    <x v="38"/>
    <x v="49"/>
    <x v="31"/>
    <x v="7"/>
    <x v="10"/>
    <x v="6"/>
    <x v="365"/>
    <x v="349"/>
    <x v="18"/>
    <x v="412"/>
  </r>
  <r>
    <x v="40"/>
    <x v="4"/>
    <x v="1"/>
    <x v="45"/>
    <x v="9"/>
    <x v="18"/>
    <x v="77"/>
    <x v="318"/>
    <x v="3"/>
    <x v="7"/>
    <x v="10"/>
    <x v="33"/>
    <x v="21"/>
    <x v="20"/>
    <x v="0"/>
    <x v="0"/>
    <x v="8"/>
    <x v="0"/>
    <x v="8"/>
    <x v="0"/>
    <x v="4"/>
    <x v="15"/>
    <x v="387"/>
    <x v="24"/>
    <x v="0"/>
    <x v="0"/>
    <x v="357"/>
    <x v="336"/>
    <x v="0"/>
    <x v="151"/>
    <x v="8"/>
    <x v="8"/>
    <x v="25"/>
    <x v="107"/>
    <x v="7"/>
    <x v="421"/>
    <x v="449"/>
    <x v="146"/>
    <x v="755"/>
  </r>
  <r>
    <x v="40"/>
    <x v="4"/>
    <x v="1"/>
    <x v="50"/>
    <x v="9"/>
    <x v="18"/>
    <x v="70"/>
    <x v="322"/>
    <x v="3"/>
    <x v="19"/>
    <x v="38"/>
    <x v="36"/>
    <x v="32"/>
    <x v="34"/>
    <x v="0"/>
    <x v="0"/>
    <x v="9"/>
    <x v="0"/>
    <x v="14"/>
    <x v="0"/>
    <x v="4"/>
    <x v="23"/>
    <x v="61"/>
    <x v="23"/>
    <x v="0"/>
    <x v="0"/>
    <x v="357"/>
    <x v="370"/>
    <x v="0"/>
    <x v="111"/>
    <x v="20"/>
    <x v="20"/>
    <x v="24"/>
    <x v="39"/>
    <x v="7"/>
    <x v="501"/>
    <x v="64"/>
    <x v="32"/>
    <x v="755"/>
  </r>
  <r>
    <x v="40"/>
    <x v="4"/>
    <x v="1"/>
    <x v="49"/>
    <x v="9"/>
    <x v="18"/>
    <x v="56"/>
    <x v="161"/>
    <x v="3"/>
    <x v="18"/>
    <x v="33"/>
    <x v="32"/>
    <x v="86"/>
    <x v="74"/>
    <x v="0"/>
    <x v="0"/>
    <x v="14"/>
    <x v="0"/>
    <x v="23"/>
    <x v="0"/>
    <x v="4"/>
    <x v="39"/>
    <x v="436"/>
    <x v="22"/>
    <x v="0"/>
    <x v="0"/>
    <x v="357"/>
    <x v="363"/>
    <x v="0"/>
    <x v="122"/>
    <x v="7"/>
    <x v="32"/>
    <x v="71"/>
    <x v="124"/>
    <x v="7"/>
    <x v="485"/>
    <x v="142"/>
    <x v="176"/>
    <x v="755"/>
  </r>
  <r>
    <x v="40"/>
    <x v="4"/>
    <x v="1"/>
    <x v="48"/>
    <x v="9"/>
    <x v="18"/>
    <x v="57"/>
    <x v="150"/>
    <x v="3"/>
    <x v="9"/>
    <x v="18"/>
    <x v="44"/>
    <x v="30"/>
    <x v="31"/>
    <x v="0"/>
    <x v="0"/>
    <x v="12"/>
    <x v="0"/>
    <x v="21"/>
    <x v="0"/>
    <x v="4"/>
    <x v="22"/>
    <x v="445"/>
    <x v="20"/>
    <x v="0"/>
    <x v="0"/>
    <x v="357"/>
    <x v="430"/>
    <x v="0"/>
    <x v="41"/>
    <x v="0"/>
    <x v="19"/>
    <x v="107"/>
    <x v="161"/>
    <x v="7"/>
    <x v="494"/>
    <x v="88"/>
    <x v="255"/>
    <x v="755"/>
  </r>
  <r>
    <x v="40"/>
    <x v="2"/>
    <x v="2"/>
    <x v="70"/>
    <x v="9"/>
    <x v="12"/>
    <x v="3"/>
    <x v="292"/>
    <x v="0"/>
    <x v="14"/>
    <x v="25"/>
    <x v="61"/>
    <x v="88"/>
    <x v="78"/>
    <x v="33"/>
    <x v="0"/>
    <x v="0"/>
    <x v="0"/>
    <x v="6"/>
    <x v="0"/>
    <x v="0"/>
    <x v="137"/>
    <x v="485"/>
    <x v="42"/>
    <x v="2"/>
    <x v="29"/>
    <x v="67"/>
    <x v="121"/>
    <x v="0"/>
    <x v="399"/>
    <x v="0"/>
    <x v="27"/>
    <x v="107"/>
    <x v="228"/>
    <x v="5"/>
    <x v="238"/>
    <x v="434"/>
    <x v="681"/>
    <x v="384"/>
  </r>
  <r>
    <x v="40"/>
    <x v="4"/>
    <x v="8"/>
    <x v="62"/>
    <x v="9"/>
    <x v="18"/>
    <x v="50"/>
    <x v="632"/>
    <x v="0"/>
    <x v="25"/>
    <x v="154"/>
    <x v="158"/>
    <x v="560"/>
    <x v="318"/>
    <x v="0"/>
    <x v="0"/>
    <x v="0"/>
    <x v="0"/>
    <x v="39"/>
    <x v="0"/>
    <x v="1"/>
    <x v="245"/>
    <x v="278"/>
    <x v="28"/>
    <x v="0"/>
    <x v="0"/>
    <x v="357"/>
    <x v="136"/>
    <x v="0"/>
    <x v="384"/>
    <x v="0"/>
    <x v="57"/>
    <x v="107"/>
    <x v="369"/>
    <x v="3"/>
    <x v="225"/>
    <x v="161"/>
    <x v="378"/>
    <x v="714"/>
  </r>
  <r>
    <x v="40"/>
    <x v="4"/>
    <x v="8"/>
    <x v="59"/>
    <x v="9"/>
    <x v="18"/>
    <x v="44"/>
    <x v="700"/>
    <x v="0"/>
    <x v="19"/>
    <x v="142"/>
    <x v="193"/>
    <x v="491"/>
    <x v="251"/>
    <x v="0"/>
    <x v="0"/>
    <x v="0"/>
    <x v="0"/>
    <x v="17"/>
    <x v="0"/>
    <x v="1"/>
    <x v="195"/>
    <x v="199"/>
    <x v="25"/>
    <x v="0"/>
    <x v="0"/>
    <x v="357"/>
    <x v="97"/>
    <x v="0"/>
    <x v="427"/>
    <x v="11"/>
    <x v="28"/>
    <x v="52"/>
    <x v="398"/>
    <x v="3"/>
    <x v="52"/>
    <x v="460"/>
    <x v="627"/>
    <x v="719"/>
  </r>
  <r>
    <x v="40"/>
    <x v="4"/>
    <x v="9"/>
    <x v="24"/>
    <x v="9"/>
    <x v="18"/>
    <x v="28"/>
    <x v="638"/>
    <x v="0"/>
    <x v="37"/>
    <x v="178"/>
    <x v="188"/>
    <x v="613"/>
    <x v="376"/>
    <x v="0"/>
    <x v="0"/>
    <x v="0"/>
    <x v="0"/>
    <x v="2"/>
    <x v="0"/>
    <x v="1"/>
    <x v="366"/>
    <x v="213"/>
    <x v="15"/>
    <x v="0"/>
    <x v="0"/>
    <x v="357"/>
    <x v="3"/>
    <x v="0"/>
    <x v="538"/>
    <x v="11"/>
    <x v="85"/>
    <x v="89"/>
    <x v="399"/>
    <x v="1"/>
    <x v="89"/>
    <x v="30"/>
    <x v="131"/>
    <x v="716"/>
  </r>
  <r>
    <x v="40"/>
    <x v="2"/>
    <x v="5"/>
    <x v="10"/>
    <x v="7"/>
    <x v="6"/>
    <x v="41"/>
    <x v="713"/>
    <x v="0"/>
    <x v="37"/>
    <x v="129"/>
    <x v="93"/>
    <x v="406"/>
    <x v="227"/>
    <x v="0"/>
    <x v="38"/>
    <x v="0"/>
    <x v="0"/>
    <x v="59"/>
    <x v="0"/>
    <x v="0"/>
    <x v="276"/>
    <x v="344"/>
    <x v="43"/>
    <x v="1"/>
    <x v="184"/>
    <x v="194"/>
    <x v="273"/>
    <x v="104"/>
    <x v="230"/>
    <x v="0"/>
    <x v="92"/>
    <x v="107"/>
    <x v="203"/>
    <x v="4"/>
    <x v="276"/>
    <x v="199"/>
    <x v="422"/>
    <x v="385"/>
  </r>
  <r>
    <x v="40"/>
    <x v="2"/>
    <x v="0"/>
    <x v="4"/>
    <x v="5"/>
    <x v="0"/>
    <x v="66"/>
    <x v="288"/>
    <x v="0"/>
    <x v="37"/>
    <x v="83"/>
    <x v="21"/>
    <x v="170"/>
    <x v="132"/>
    <x v="0"/>
    <x v="27"/>
    <x v="0"/>
    <x v="0"/>
    <x v="61"/>
    <x v="0"/>
    <x v="0"/>
    <x v="187"/>
    <x v="325"/>
    <x v="38"/>
    <x v="10"/>
    <x v="361"/>
    <x v="119"/>
    <x v="414"/>
    <x v="134"/>
    <x v="60"/>
    <x v="0"/>
    <x v="92"/>
    <x v="107"/>
    <x v="60"/>
    <x v="6"/>
    <x v="404"/>
    <x v="88"/>
    <x v="260"/>
    <x v="413"/>
  </r>
  <r>
    <x v="40"/>
    <x v="2"/>
    <x v="7"/>
    <x v="18"/>
    <x v="9"/>
    <x v="18"/>
    <x v="43"/>
    <x v="715"/>
    <x v="0"/>
    <x v="37"/>
    <x v="146"/>
    <x v="118"/>
    <x v="548"/>
    <x v="306"/>
    <x v="0"/>
    <x v="0"/>
    <x v="0"/>
    <x v="0"/>
    <x v="0"/>
    <x v="0"/>
    <x v="0"/>
    <x v="359"/>
    <x v="353"/>
    <x v="9"/>
    <x v="0"/>
    <x v="0"/>
    <x v="357"/>
    <x v="0"/>
    <x v="0"/>
    <x v="541"/>
    <x v="0"/>
    <x v="92"/>
    <x v="107"/>
    <x v="295"/>
    <x v="2"/>
    <x v="181"/>
    <x v="157"/>
    <x v="390"/>
    <x v="717"/>
  </r>
  <r>
    <x v="40"/>
    <x v="2"/>
    <x v="4"/>
    <x v="55"/>
    <x v="9"/>
    <x v="18"/>
    <x v="45"/>
    <x v="774"/>
    <x v="0"/>
    <x v="37"/>
    <x v="146"/>
    <x v="118"/>
    <x v="548"/>
    <x v="306"/>
    <x v="0"/>
    <x v="0"/>
    <x v="0"/>
    <x v="0"/>
    <x v="0"/>
    <x v="0"/>
    <x v="0"/>
    <x v="359"/>
    <x v="353"/>
    <x v="13"/>
    <x v="0"/>
    <x v="0"/>
    <x v="357"/>
    <x v="0"/>
    <x v="0"/>
    <x v="541"/>
    <x v="0"/>
    <x v="92"/>
    <x v="107"/>
    <x v="295"/>
    <x v="2"/>
    <x v="181"/>
    <x v="157"/>
    <x v="390"/>
    <x v="718"/>
  </r>
  <r>
    <x v="40"/>
    <x v="2"/>
    <x v="2"/>
    <x v="71"/>
    <x v="9"/>
    <x v="13"/>
    <x v="1"/>
    <x v="289"/>
    <x v="0"/>
    <x v="29"/>
    <x v="100"/>
    <x v="80"/>
    <x v="192"/>
    <x v="145"/>
    <x v="0"/>
    <x v="0"/>
    <x v="0"/>
    <x v="0"/>
    <x v="0"/>
    <x v="0"/>
    <x v="0"/>
    <x v="201"/>
    <x v="211"/>
    <x v="40"/>
    <x v="2"/>
    <x v="66"/>
    <x v="356"/>
    <x v="0"/>
    <x v="0"/>
    <x v="541"/>
    <x v="0"/>
    <x v="69"/>
    <x v="107"/>
    <x v="132"/>
    <x v="5"/>
    <x v="350"/>
    <x v="97"/>
    <x v="308"/>
    <x v="431"/>
  </r>
  <r>
    <x v="40"/>
    <x v="3"/>
    <x v="2"/>
    <x v="71"/>
    <x v="9"/>
    <x v="13"/>
    <x v="1"/>
    <x v="290"/>
    <x v="4"/>
    <x v="29"/>
    <x v="99"/>
    <x v="77"/>
    <x v="282"/>
    <x v="180"/>
    <x v="0"/>
    <x v="0"/>
    <x v="0"/>
    <x v="0"/>
    <x v="0"/>
    <x v="0"/>
    <x v="0"/>
    <x v="235"/>
    <x v="449"/>
    <x v="40"/>
    <x v="2"/>
    <x v="101"/>
    <x v="356"/>
    <x v="0"/>
    <x v="0"/>
    <x v="541"/>
    <x v="0"/>
    <x v="69"/>
    <x v="107"/>
    <x v="203"/>
    <x v="5"/>
    <x v="276"/>
    <x v="365"/>
    <x v="622"/>
    <x v="433"/>
  </r>
  <r>
    <x v="40"/>
    <x v="3"/>
    <x v="2"/>
    <x v="71"/>
    <x v="9"/>
    <x v="12"/>
    <x v="1"/>
    <x v="293"/>
    <x v="4"/>
    <x v="14"/>
    <x v="23"/>
    <x v="49"/>
    <x v="44"/>
    <x v="46"/>
    <x v="0"/>
    <x v="0"/>
    <x v="0"/>
    <x v="0"/>
    <x v="5"/>
    <x v="0"/>
    <x v="0"/>
    <x v="104"/>
    <x v="288"/>
    <x v="40"/>
    <x v="2"/>
    <x v="9"/>
    <x v="293"/>
    <x v="143"/>
    <x v="0"/>
    <x v="377"/>
    <x v="0"/>
    <x v="27"/>
    <x v="107"/>
    <x v="132"/>
    <x v="5"/>
    <x v="350"/>
    <x v="97"/>
    <x v="293"/>
    <x v="432"/>
  </r>
  <r>
    <x v="40"/>
    <x v="3"/>
    <x v="5"/>
    <x v="10"/>
    <x v="7"/>
    <x v="6"/>
    <x v="41"/>
    <x v="714"/>
    <x v="4"/>
    <x v="37"/>
    <x v="129"/>
    <x v="93"/>
    <x v="456"/>
    <x v="242"/>
    <x v="0"/>
    <x v="27"/>
    <x v="0"/>
    <x v="0"/>
    <x v="67"/>
    <x v="2"/>
    <x v="0"/>
    <x v="284"/>
    <x v="393"/>
    <x v="43"/>
    <x v="1"/>
    <x v="224"/>
    <x v="199"/>
    <x v="298"/>
    <x v="52"/>
    <x v="194"/>
    <x v="0"/>
    <x v="92"/>
    <x v="107"/>
    <x v="214"/>
    <x v="4"/>
    <x v="264"/>
    <x v="270"/>
    <x v="514"/>
    <x v="386"/>
  </r>
  <r>
    <x v="41"/>
    <x v="1"/>
    <x v="5"/>
    <x v="10"/>
    <x v="7"/>
    <x v="6"/>
    <x v="41"/>
    <x v="720"/>
    <x v="2"/>
    <x v="37"/>
    <x v="129"/>
    <x v="93"/>
    <x v="338"/>
    <x v="198"/>
    <x v="0"/>
    <x v="29"/>
    <x v="0"/>
    <x v="0"/>
    <x v="59"/>
    <x v="2"/>
    <x v="0"/>
    <x v="252"/>
    <x v="151"/>
    <x v="43"/>
    <x v="1"/>
    <x v="119"/>
    <x v="167"/>
    <x v="328"/>
    <x v="92"/>
    <x v="162"/>
    <x v="23"/>
    <x v="70"/>
    <x v="59"/>
    <x v="147"/>
    <x v="4"/>
    <x v="254"/>
    <x v="319"/>
    <x v="209"/>
    <x v="394"/>
  </r>
  <r>
    <x v="41"/>
    <x v="1"/>
    <x v="7"/>
    <x v="18"/>
    <x v="9"/>
    <x v="9"/>
    <x v="43"/>
    <x v="716"/>
    <x v="2"/>
    <x v="37"/>
    <x v="146"/>
    <x v="118"/>
    <x v="542"/>
    <x v="299"/>
    <x v="0"/>
    <x v="0"/>
    <x v="0"/>
    <x v="0"/>
    <x v="0"/>
    <x v="0"/>
    <x v="0"/>
    <x v="348"/>
    <x v="318"/>
    <x v="9"/>
    <x v="0"/>
    <x v="0"/>
    <x v="357"/>
    <x v="0"/>
    <x v="0"/>
    <x v="541"/>
    <x v="9"/>
    <x v="87"/>
    <x v="97"/>
    <x v="286"/>
    <x v="2"/>
    <x v="137"/>
    <x v="248"/>
    <x v="353"/>
    <x v="720"/>
  </r>
  <r>
    <x v="41"/>
    <x v="1"/>
    <x v="4"/>
    <x v="55"/>
    <x v="9"/>
    <x v="7"/>
    <x v="45"/>
    <x v="774"/>
    <x v="2"/>
    <x v="37"/>
    <x v="146"/>
    <x v="118"/>
    <x v="529"/>
    <x v="283"/>
    <x v="0"/>
    <x v="0"/>
    <x v="0"/>
    <x v="0"/>
    <x v="0"/>
    <x v="0"/>
    <x v="0"/>
    <x v="329"/>
    <x v="234"/>
    <x v="13"/>
    <x v="0"/>
    <x v="0"/>
    <x v="357"/>
    <x v="0"/>
    <x v="0"/>
    <x v="541"/>
    <x v="9"/>
    <x v="87"/>
    <x v="97"/>
    <x v="258"/>
    <x v="2"/>
    <x v="179"/>
    <x v="158"/>
    <x v="275"/>
    <x v="721"/>
  </r>
  <r>
    <x v="41"/>
    <x v="1"/>
    <x v="0"/>
    <x v="28"/>
    <x v="1"/>
    <x v="1"/>
    <x v="18"/>
    <x v="294"/>
    <x v="2"/>
    <x v="25"/>
    <x v="54"/>
    <x v="18"/>
    <x v="95"/>
    <x v="77"/>
    <x v="47"/>
    <x v="33"/>
    <x v="0"/>
    <x v="0"/>
    <x v="32"/>
    <x v="2"/>
    <x v="0"/>
    <x v="136"/>
    <x v="186"/>
    <x v="44"/>
    <x v="6"/>
    <x v="199"/>
    <x v="35"/>
    <x v="404"/>
    <x v="209"/>
    <x v="79"/>
    <x v="13"/>
    <x v="50"/>
    <x v="64"/>
    <x v="46"/>
    <x v="6"/>
    <x v="392"/>
    <x v="170"/>
    <x v="171"/>
    <x v="392"/>
  </r>
  <r>
    <x v="41"/>
    <x v="1"/>
    <x v="2"/>
    <x v="71"/>
    <x v="9"/>
    <x v="12"/>
    <x v="1"/>
    <x v="297"/>
    <x v="2"/>
    <x v="37"/>
    <x v="121"/>
    <x v="62"/>
    <x v="335"/>
    <x v="205"/>
    <x v="0"/>
    <x v="0"/>
    <x v="0"/>
    <x v="0"/>
    <x v="0"/>
    <x v="0"/>
    <x v="0"/>
    <x v="258"/>
    <x v="347"/>
    <x v="40"/>
    <x v="2"/>
    <x v="150"/>
    <x v="356"/>
    <x v="0"/>
    <x v="0"/>
    <x v="541"/>
    <x v="0"/>
    <x v="92"/>
    <x v="107"/>
    <x v="156"/>
    <x v="5"/>
    <x v="336"/>
    <x v="165"/>
    <x v="406"/>
    <x v="393"/>
  </r>
  <r>
    <x v="41"/>
    <x v="4"/>
    <x v="1"/>
    <x v="51"/>
    <x v="9"/>
    <x v="18"/>
    <x v="62"/>
    <x v="156"/>
    <x v="3"/>
    <x v="19"/>
    <x v="42"/>
    <x v="37"/>
    <x v="66"/>
    <x v="60"/>
    <x v="0"/>
    <x v="0"/>
    <x v="18"/>
    <x v="0"/>
    <x v="18"/>
    <x v="0"/>
    <x v="3"/>
    <x v="40"/>
    <x v="173"/>
    <x v="20"/>
    <x v="0"/>
    <x v="0"/>
    <x v="357"/>
    <x v="346"/>
    <x v="0"/>
    <x v="140"/>
    <x v="9"/>
    <x v="31"/>
    <x v="60"/>
    <x v="80"/>
    <x v="7"/>
    <x v="481"/>
    <x v="185"/>
    <x v="163"/>
    <x v="755"/>
  </r>
  <r>
    <x v="41"/>
    <x v="4"/>
    <x v="1"/>
    <x v="52"/>
    <x v="9"/>
    <x v="18"/>
    <x v="75"/>
    <x v="172"/>
    <x v="3"/>
    <x v="16"/>
    <x v="29"/>
    <x v="34"/>
    <x v="36"/>
    <x v="39"/>
    <x v="0"/>
    <x v="0"/>
    <x v="1"/>
    <x v="0"/>
    <x v="11"/>
    <x v="0"/>
    <x v="3"/>
    <x v="28"/>
    <x v="143"/>
    <x v="21"/>
    <x v="0"/>
    <x v="0"/>
    <x v="357"/>
    <x v="278"/>
    <x v="0"/>
    <x v="215"/>
    <x v="7"/>
    <x v="27"/>
    <x v="64"/>
    <x v="69"/>
    <x v="7"/>
    <x v="498"/>
    <x v="72"/>
    <x v="120"/>
    <x v="755"/>
  </r>
  <r>
    <x v="41"/>
    <x v="4"/>
    <x v="1"/>
    <x v="54"/>
    <x v="9"/>
    <x v="18"/>
    <x v="74"/>
    <x v="774"/>
    <x v="3"/>
    <x v="19"/>
    <x v="42"/>
    <x v="37"/>
    <x v="40"/>
    <x v="42"/>
    <x v="0"/>
    <x v="0"/>
    <x v="16"/>
    <x v="0"/>
    <x v="16"/>
    <x v="0"/>
    <x v="3"/>
    <x v="30"/>
    <x v="95"/>
    <x v="23"/>
    <x v="0"/>
    <x v="0"/>
    <x v="357"/>
    <x v="364"/>
    <x v="0"/>
    <x v="120"/>
    <x v="11"/>
    <x v="28"/>
    <x v="52"/>
    <x v="57"/>
    <x v="7"/>
    <x v="500"/>
    <x v="66"/>
    <x v="96"/>
    <x v="755"/>
  </r>
  <r>
    <x v="41"/>
    <x v="4"/>
    <x v="8"/>
    <x v="59"/>
    <x v="9"/>
    <x v="18"/>
    <x v="44"/>
    <x v="700"/>
    <x v="0"/>
    <x v="37"/>
    <x v="176"/>
    <x v="172"/>
    <x v="605"/>
    <x v="366"/>
    <x v="0"/>
    <x v="0"/>
    <x v="0"/>
    <x v="0"/>
    <x v="103"/>
    <x v="0"/>
    <x v="1"/>
    <x v="338"/>
    <x v="250"/>
    <x v="25"/>
    <x v="0"/>
    <x v="0"/>
    <x v="357"/>
    <x v="308"/>
    <x v="0"/>
    <x v="178"/>
    <x v="11"/>
    <x v="85"/>
    <x v="89"/>
    <x v="380"/>
    <x v="3"/>
    <x v="147"/>
    <x v="386"/>
    <x v="502"/>
    <x v="722"/>
  </r>
  <r>
    <x v="41"/>
    <x v="4"/>
    <x v="9"/>
    <x v="25"/>
    <x v="9"/>
    <x v="18"/>
    <x v="52"/>
    <x v="682"/>
    <x v="0"/>
    <x v="14"/>
    <x v="119"/>
    <x v="189"/>
    <x v="517"/>
    <x v="271"/>
    <x v="0"/>
    <x v="0"/>
    <x v="0"/>
    <x v="0"/>
    <x v="0"/>
    <x v="0"/>
    <x v="1"/>
    <x v="208"/>
    <x v="499"/>
    <x v="16"/>
    <x v="0"/>
    <x v="0"/>
    <x v="357"/>
    <x v="0"/>
    <x v="0"/>
    <x v="541"/>
    <x v="11"/>
    <x v="16"/>
    <x v="31"/>
    <x v="430"/>
    <x v="1"/>
    <x v="1"/>
    <x v="482"/>
    <x v="656"/>
    <x v="723"/>
  </r>
  <r>
    <x v="41"/>
    <x v="4"/>
    <x v="9"/>
    <x v="24"/>
    <x v="9"/>
    <x v="18"/>
    <x v="28"/>
    <x v="639"/>
    <x v="0"/>
    <x v="29"/>
    <x v="166"/>
    <x v="190"/>
    <x v="589"/>
    <x v="348"/>
    <x v="0"/>
    <x v="0"/>
    <x v="0"/>
    <x v="0"/>
    <x v="10"/>
    <x v="0"/>
    <x v="1"/>
    <x v="296"/>
    <x v="231"/>
    <x v="15"/>
    <x v="0"/>
    <x v="0"/>
    <x v="357"/>
    <x v="33"/>
    <x v="0"/>
    <x v="503"/>
    <x v="0"/>
    <x v="69"/>
    <x v="107"/>
    <x v="405"/>
    <x v="1"/>
    <x v="146"/>
    <x v="13"/>
    <x v="149"/>
    <x v="724"/>
  </r>
  <r>
    <x v="41"/>
    <x v="2"/>
    <x v="0"/>
    <x v="28"/>
    <x v="9"/>
    <x v="1"/>
    <x v="18"/>
    <x v="295"/>
    <x v="0"/>
    <x v="22"/>
    <x v="37"/>
    <x v="18"/>
    <x v="39"/>
    <x v="35"/>
    <x v="0"/>
    <x v="61"/>
    <x v="0"/>
    <x v="0"/>
    <x v="49"/>
    <x v="0"/>
    <x v="0"/>
    <x v="88"/>
    <x v="64"/>
    <x v="44"/>
    <x v="6"/>
    <x v="63"/>
    <x v="19"/>
    <x v="466"/>
    <x v="246"/>
    <x v="5"/>
    <x v="24"/>
    <x v="27"/>
    <x v="24"/>
    <x v="25"/>
    <x v="6"/>
    <x v="368"/>
    <x v="336"/>
    <x v="58"/>
    <x v="395"/>
  </r>
  <r>
    <x v="41"/>
    <x v="2"/>
    <x v="2"/>
    <x v="71"/>
    <x v="9"/>
    <x v="12"/>
    <x v="1"/>
    <x v="298"/>
    <x v="0"/>
    <x v="33"/>
    <x v="111"/>
    <x v="61"/>
    <x v="230"/>
    <x v="153"/>
    <x v="54"/>
    <x v="0"/>
    <x v="0"/>
    <x v="0"/>
    <x v="0"/>
    <x v="0"/>
    <x v="0"/>
    <x v="211"/>
    <x v="167"/>
    <x v="40"/>
    <x v="2"/>
    <x v="93"/>
    <x v="38"/>
    <x v="0"/>
    <x v="0"/>
    <x v="541"/>
    <x v="0"/>
    <x v="82"/>
    <x v="107"/>
    <x v="113"/>
    <x v="5"/>
    <x v="356"/>
    <x v="42"/>
    <x v="222"/>
    <x v="396"/>
  </r>
  <r>
    <x v="41"/>
    <x v="2"/>
    <x v="5"/>
    <x v="10"/>
    <x v="7"/>
    <x v="6"/>
    <x v="41"/>
    <x v="722"/>
    <x v="0"/>
    <x v="37"/>
    <x v="129"/>
    <x v="93"/>
    <x v="427"/>
    <x v="238"/>
    <x v="0"/>
    <x v="34"/>
    <x v="0"/>
    <x v="0"/>
    <x v="52"/>
    <x v="0"/>
    <x v="0"/>
    <x v="282"/>
    <x v="383"/>
    <x v="43"/>
    <x v="1"/>
    <x v="201"/>
    <x v="219"/>
    <x v="238"/>
    <x v="85"/>
    <x v="274"/>
    <x v="0"/>
    <x v="92"/>
    <x v="107"/>
    <x v="211"/>
    <x v="4"/>
    <x v="266"/>
    <x v="248"/>
    <x v="485"/>
    <x v="397"/>
  </r>
  <r>
    <x v="41"/>
    <x v="2"/>
    <x v="7"/>
    <x v="18"/>
    <x v="9"/>
    <x v="18"/>
    <x v="43"/>
    <x v="717"/>
    <x v="0"/>
    <x v="37"/>
    <x v="146"/>
    <x v="118"/>
    <x v="538"/>
    <x v="295"/>
    <x v="0"/>
    <x v="0"/>
    <x v="0"/>
    <x v="0"/>
    <x v="0"/>
    <x v="0"/>
    <x v="0"/>
    <x v="343"/>
    <x v="288"/>
    <x v="9"/>
    <x v="0"/>
    <x v="0"/>
    <x v="357"/>
    <x v="0"/>
    <x v="0"/>
    <x v="541"/>
    <x v="9"/>
    <x v="87"/>
    <x v="97"/>
    <x v="278"/>
    <x v="2"/>
    <x v="152"/>
    <x v="223"/>
    <x v="327"/>
    <x v="725"/>
  </r>
  <r>
    <x v="41"/>
    <x v="2"/>
    <x v="4"/>
    <x v="55"/>
    <x v="9"/>
    <x v="18"/>
    <x v="45"/>
    <x v="707"/>
    <x v="0"/>
    <x v="37"/>
    <x v="146"/>
    <x v="118"/>
    <x v="531"/>
    <x v="286"/>
    <x v="0"/>
    <x v="0"/>
    <x v="0"/>
    <x v="0"/>
    <x v="0"/>
    <x v="0"/>
    <x v="0"/>
    <x v="332"/>
    <x v="248"/>
    <x v="13"/>
    <x v="0"/>
    <x v="0"/>
    <x v="357"/>
    <x v="0"/>
    <x v="0"/>
    <x v="541"/>
    <x v="9"/>
    <x v="87"/>
    <x v="97"/>
    <x v="262"/>
    <x v="2"/>
    <x v="173"/>
    <x v="172"/>
    <x v="288"/>
    <x v="726"/>
  </r>
  <r>
    <x v="41"/>
    <x v="3"/>
    <x v="5"/>
    <x v="10"/>
    <x v="7"/>
    <x v="6"/>
    <x v="41"/>
    <x v="724"/>
    <x v="4"/>
    <x v="37"/>
    <x v="129"/>
    <x v="93"/>
    <x v="313"/>
    <x v="191"/>
    <x v="37"/>
    <x v="28"/>
    <x v="0"/>
    <x v="0"/>
    <x v="61"/>
    <x v="2"/>
    <x v="0"/>
    <x v="244"/>
    <x v="128"/>
    <x v="43"/>
    <x v="1"/>
    <x v="111"/>
    <x v="79"/>
    <x v="350"/>
    <x v="91"/>
    <x v="139"/>
    <x v="13"/>
    <x v="82"/>
    <x v="84"/>
    <x v="132"/>
    <x v="4"/>
    <x v="312"/>
    <x v="97"/>
    <x v="180"/>
    <x v="398"/>
  </r>
  <r>
    <x v="41"/>
    <x v="3"/>
    <x v="2"/>
    <x v="71"/>
    <x v="9"/>
    <x v="13"/>
    <x v="1"/>
    <x v="296"/>
    <x v="4"/>
    <x v="29"/>
    <x v="96"/>
    <x v="61"/>
    <x v="219"/>
    <x v="150"/>
    <x v="0"/>
    <x v="0"/>
    <x v="0"/>
    <x v="0"/>
    <x v="0"/>
    <x v="0"/>
    <x v="0"/>
    <x v="207"/>
    <x v="324"/>
    <x v="40"/>
    <x v="2"/>
    <x v="71"/>
    <x v="356"/>
    <x v="0"/>
    <x v="0"/>
    <x v="541"/>
    <x v="0"/>
    <x v="69"/>
    <x v="107"/>
    <x v="151"/>
    <x v="5"/>
    <x v="340"/>
    <x v="150"/>
    <x v="376"/>
    <x v="434"/>
  </r>
  <r>
    <x v="41"/>
    <x v="3"/>
    <x v="2"/>
    <x v="71"/>
    <x v="9"/>
    <x v="12"/>
    <x v="1"/>
    <x v="299"/>
    <x v="4"/>
    <x v="14"/>
    <x v="25"/>
    <x v="61"/>
    <x v="79"/>
    <x v="71"/>
    <x v="0"/>
    <x v="0"/>
    <x v="0"/>
    <x v="0"/>
    <x v="6"/>
    <x v="0"/>
    <x v="0"/>
    <x v="130"/>
    <x v="467"/>
    <x v="40"/>
    <x v="2"/>
    <x v="23"/>
    <x v="298"/>
    <x v="132"/>
    <x v="0"/>
    <x v="388"/>
    <x v="0"/>
    <x v="27"/>
    <x v="107"/>
    <x v="212"/>
    <x v="5"/>
    <x v="265"/>
    <x v="398"/>
    <x v="641"/>
    <x v="435"/>
  </r>
  <r>
    <x v="42"/>
    <x v="1"/>
    <x v="7"/>
    <x v="18"/>
    <x v="9"/>
    <x v="18"/>
    <x v="43"/>
    <x v="723"/>
    <x v="0"/>
    <x v="37"/>
    <x v="146"/>
    <x v="118"/>
    <x v="519"/>
    <x v="273"/>
    <x v="0"/>
    <x v="0"/>
    <x v="0"/>
    <x v="0"/>
    <x v="0"/>
    <x v="0"/>
    <x v="0"/>
    <x v="317"/>
    <x v="186"/>
    <x v="9"/>
    <x v="0"/>
    <x v="0"/>
    <x v="357"/>
    <x v="0"/>
    <x v="0"/>
    <x v="541"/>
    <x v="9"/>
    <x v="87"/>
    <x v="97"/>
    <x v="246"/>
    <x v="2"/>
    <x v="203"/>
    <x v="110"/>
    <x v="232"/>
    <x v="728"/>
  </r>
  <r>
    <x v="42"/>
    <x v="1"/>
    <x v="4"/>
    <x v="55"/>
    <x v="9"/>
    <x v="18"/>
    <x v="45"/>
    <x v="708"/>
    <x v="0"/>
    <x v="37"/>
    <x v="146"/>
    <x v="118"/>
    <x v="515"/>
    <x v="270"/>
    <x v="0"/>
    <x v="0"/>
    <x v="0"/>
    <x v="0"/>
    <x v="0"/>
    <x v="0"/>
    <x v="0"/>
    <x v="314"/>
    <x v="180"/>
    <x v="13"/>
    <x v="0"/>
    <x v="0"/>
    <x v="357"/>
    <x v="0"/>
    <x v="0"/>
    <x v="541"/>
    <x v="9"/>
    <x v="87"/>
    <x v="97"/>
    <x v="245"/>
    <x v="2"/>
    <x v="204"/>
    <x v="107"/>
    <x v="225"/>
    <x v="727"/>
  </r>
  <r>
    <x v="42"/>
    <x v="1"/>
    <x v="0"/>
    <x v="4"/>
    <x v="9"/>
    <x v="0"/>
    <x v="66"/>
    <x v="300"/>
    <x v="0"/>
    <x v="37"/>
    <x v="64"/>
    <x v="9"/>
    <x v="109"/>
    <x v="83"/>
    <x v="0"/>
    <x v="64"/>
    <x v="0"/>
    <x v="0"/>
    <x v="72"/>
    <x v="2"/>
    <x v="0"/>
    <x v="140"/>
    <x v="121"/>
    <x v="38"/>
    <x v="10"/>
    <x v="304"/>
    <x v="30"/>
    <x v="460"/>
    <x v="232"/>
    <x v="11"/>
    <x v="36"/>
    <x v="53"/>
    <x v="30"/>
    <x v="22"/>
    <x v="6"/>
    <x v="395"/>
    <x v="129"/>
    <x v="54"/>
    <x v="414"/>
  </r>
  <r>
    <x v="42"/>
    <x v="1"/>
    <x v="2"/>
    <x v="71"/>
    <x v="9"/>
    <x v="12"/>
    <x v="1"/>
    <x v="305"/>
    <x v="0"/>
    <x v="37"/>
    <x v="121"/>
    <x v="62"/>
    <x v="177"/>
    <x v="137"/>
    <x v="64"/>
    <x v="0"/>
    <x v="0"/>
    <x v="0"/>
    <x v="3"/>
    <x v="0"/>
    <x v="0"/>
    <x v="192"/>
    <x v="76"/>
    <x v="40"/>
    <x v="2"/>
    <x v="0"/>
    <x v="357"/>
    <x v="43"/>
    <x v="0"/>
    <x v="491"/>
    <x v="33"/>
    <x v="57"/>
    <x v="38"/>
    <x v="65"/>
    <x v="5"/>
    <x v="318"/>
    <x v="235"/>
    <x v="99"/>
    <x v="399"/>
  </r>
  <r>
    <x v="42"/>
    <x v="1"/>
    <x v="5"/>
    <x v="74"/>
    <x v="7"/>
    <x v="6"/>
    <x v="29"/>
    <x v="728"/>
    <x v="0"/>
    <x v="37"/>
    <x v="109"/>
    <x v="43"/>
    <x v="341"/>
    <x v="191"/>
    <x v="0"/>
    <x v="79"/>
    <x v="0"/>
    <x v="0"/>
    <x v="98"/>
    <x v="2"/>
    <x v="0"/>
    <x v="244"/>
    <x v="396"/>
    <x v="32"/>
    <x v="1"/>
    <x v="124"/>
    <x v="51"/>
    <x v="454"/>
    <x v="224"/>
    <x v="18"/>
    <x v="20"/>
    <x v="73"/>
    <x v="65"/>
    <x v="132"/>
    <x v="4"/>
    <x v="282"/>
    <x v="168"/>
    <x v="170"/>
    <x v="400"/>
  </r>
  <r>
    <x v="42"/>
    <x v="1"/>
    <x v="5"/>
    <x v="10"/>
    <x v="6"/>
    <x v="5"/>
    <x v="41"/>
    <x v="728"/>
    <x v="1"/>
    <x v="22"/>
    <x v="33"/>
    <x v="14"/>
    <x v="57"/>
    <x v="32"/>
    <x v="33"/>
    <x v="87"/>
    <x v="0"/>
    <x v="0"/>
    <x v="42"/>
    <x v="0"/>
    <x v="0"/>
    <x v="84"/>
    <x v="68"/>
    <x v="43"/>
    <x v="1"/>
    <x v="15"/>
    <x v="8"/>
    <x v="462"/>
    <x v="251"/>
    <x v="14"/>
    <x v="0"/>
    <x v="50"/>
    <x v="107"/>
    <x v="23"/>
    <x v="4"/>
    <x v="410"/>
    <x v="4"/>
    <x v="12"/>
    <x v="421"/>
  </r>
  <r>
    <x v="42"/>
    <x v="1"/>
    <x v="1"/>
    <x v="7"/>
    <x v="9"/>
    <x v="18"/>
    <x v="17"/>
    <x v="231"/>
    <x v="3"/>
    <x v="38"/>
    <x v="133"/>
    <x v="91"/>
    <x v="269"/>
    <x v="170"/>
    <x v="0"/>
    <x v="0"/>
    <x v="29"/>
    <x v="0"/>
    <x v="12"/>
    <x v="0"/>
    <x v="4"/>
    <x v="70"/>
    <x v="79"/>
    <x v="2"/>
    <x v="0"/>
    <x v="0"/>
    <x v="357"/>
    <x v="105"/>
    <x v="0"/>
    <x v="418"/>
    <x v="36"/>
    <x v="57"/>
    <x v="32"/>
    <x v="93"/>
    <x v="7"/>
    <x v="445"/>
    <x v="385"/>
    <x v="112"/>
    <x v="755"/>
  </r>
  <r>
    <x v="42"/>
    <x v="4"/>
    <x v="8"/>
    <x v="59"/>
    <x v="9"/>
    <x v="18"/>
    <x v="44"/>
    <x v="712"/>
    <x v="4"/>
    <x v="35"/>
    <x v="169"/>
    <x v="162"/>
    <x v="594"/>
    <x v="353"/>
    <x v="0"/>
    <x v="0"/>
    <x v="0"/>
    <x v="0"/>
    <x v="93"/>
    <x v="0"/>
    <x v="0"/>
    <x v="407"/>
    <x v="240"/>
    <x v="25"/>
    <x v="0"/>
    <x v="0"/>
    <x v="357"/>
    <x v="234"/>
    <x v="0"/>
    <x v="273"/>
    <x v="11"/>
    <x v="75"/>
    <x v="87"/>
    <x v="370"/>
    <x v="3"/>
    <x v="10"/>
    <x v="484"/>
    <x v="714"/>
    <x v="730"/>
  </r>
  <r>
    <x v="42"/>
    <x v="4"/>
    <x v="9"/>
    <x v="24"/>
    <x v="9"/>
    <x v="16"/>
    <x v="28"/>
    <x v="659"/>
    <x v="4"/>
    <x v="38"/>
    <x v="178"/>
    <x v="182"/>
    <x v="625"/>
    <x v="388"/>
    <x v="0"/>
    <x v="0"/>
    <x v="0"/>
    <x v="0"/>
    <x v="14"/>
    <x v="0"/>
    <x v="1"/>
    <x v="381"/>
    <x v="373"/>
    <x v="15"/>
    <x v="0"/>
    <x v="0"/>
    <x v="357"/>
    <x v="29"/>
    <x v="0"/>
    <x v="507"/>
    <x v="0"/>
    <x v="93"/>
    <x v="107"/>
    <x v="412"/>
    <x v="1"/>
    <x v="107"/>
    <x v="21"/>
    <x v="167"/>
    <x v="731"/>
  </r>
  <r>
    <x v="42"/>
    <x v="4"/>
    <x v="8"/>
    <x v="61"/>
    <x v="9"/>
    <x v="18"/>
    <x v="26"/>
    <x v="665"/>
    <x v="4"/>
    <x v="6"/>
    <x v="56"/>
    <x v="164"/>
    <x v="43"/>
    <x v="44"/>
    <x v="0"/>
    <x v="0"/>
    <x v="0"/>
    <x v="0"/>
    <x v="7"/>
    <x v="0"/>
    <x v="0"/>
    <x v="101"/>
    <x v="43"/>
    <x v="27"/>
    <x v="0"/>
    <x v="0"/>
    <x v="357"/>
    <x v="179"/>
    <x v="0"/>
    <x v="339"/>
    <x v="7"/>
    <x v="6"/>
    <x v="24"/>
    <x v="310"/>
    <x v="3"/>
    <x v="6"/>
    <x v="488"/>
    <x v="642"/>
    <x v="402"/>
  </r>
  <r>
    <x v="42"/>
    <x v="2"/>
    <x v="4"/>
    <x v="55"/>
    <x v="9"/>
    <x v="7"/>
    <x v="45"/>
    <x v="709"/>
    <x v="4"/>
    <x v="7"/>
    <x v="23"/>
    <x v="113"/>
    <x v="43"/>
    <x v="46"/>
    <x v="0"/>
    <x v="0"/>
    <x v="0"/>
    <x v="0"/>
    <x v="0"/>
    <x v="0"/>
    <x v="0"/>
    <x v="104"/>
    <x v="288"/>
    <x v="13"/>
    <x v="0"/>
    <x v="0"/>
    <x v="357"/>
    <x v="0"/>
    <x v="0"/>
    <x v="541"/>
    <x v="2"/>
    <x v="15"/>
    <x v="79"/>
    <x v="256"/>
    <x v="2"/>
    <x v="144"/>
    <x v="233"/>
    <x v="266"/>
    <x v="401"/>
  </r>
  <r>
    <x v="42"/>
    <x v="2"/>
    <x v="4"/>
    <x v="57"/>
    <x v="9"/>
    <x v="7"/>
    <x v="27"/>
    <x v="657"/>
    <x v="4"/>
    <x v="32"/>
    <x v="139"/>
    <x v="121"/>
    <x v="508"/>
    <x v="263"/>
    <x v="0"/>
    <x v="0"/>
    <x v="0"/>
    <x v="0"/>
    <x v="0"/>
    <x v="0"/>
    <x v="0"/>
    <x v="306"/>
    <x v="337"/>
    <x v="15"/>
    <x v="0"/>
    <x v="0"/>
    <x v="357"/>
    <x v="0"/>
    <x v="0"/>
    <x v="541"/>
    <x v="0"/>
    <x v="79"/>
    <x v="107"/>
    <x v="293"/>
    <x v="2"/>
    <x v="182"/>
    <x v="155"/>
    <x v="384"/>
    <x v="729"/>
  </r>
  <r>
    <x v="42"/>
    <x v="2"/>
    <x v="0"/>
    <x v="4"/>
    <x v="5"/>
    <x v="0"/>
    <x v="66"/>
    <x v="302"/>
    <x v="4"/>
    <x v="37"/>
    <x v="83"/>
    <x v="21"/>
    <x v="106"/>
    <x v="83"/>
    <x v="20"/>
    <x v="17"/>
    <x v="0"/>
    <x v="0"/>
    <x v="31"/>
    <x v="2"/>
    <x v="0"/>
    <x v="140"/>
    <x v="51"/>
    <x v="38"/>
    <x v="10"/>
    <x v="303"/>
    <x v="92"/>
    <x v="386"/>
    <x v="149"/>
    <x v="98"/>
    <x v="33"/>
    <x v="57"/>
    <x v="38"/>
    <x v="22"/>
    <x v="6"/>
    <x v="409"/>
    <x v="46"/>
    <x v="59"/>
    <x v="415"/>
  </r>
  <r>
    <x v="42"/>
    <x v="2"/>
    <x v="5"/>
    <x v="74"/>
    <x v="7"/>
    <x v="6"/>
    <x v="29"/>
    <x v="730"/>
    <x v="4"/>
    <x v="37"/>
    <x v="129"/>
    <x v="93"/>
    <x v="316"/>
    <x v="192"/>
    <x v="59"/>
    <x v="25"/>
    <x v="0"/>
    <x v="0"/>
    <x v="56"/>
    <x v="0"/>
    <x v="0"/>
    <x v="246"/>
    <x v="133"/>
    <x v="32"/>
    <x v="1"/>
    <x v="169"/>
    <x v="13"/>
    <x v="325"/>
    <x v="83"/>
    <x v="166"/>
    <x v="20"/>
    <x v="73"/>
    <x v="65"/>
    <x v="133"/>
    <x v="4"/>
    <x v="278"/>
    <x v="184"/>
    <x v="187"/>
    <x v="405"/>
  </r>
  <r>
    <x v="42"/>
    <x v="2"/>
    <x v="7"/>
    <x v="18"/>
    <x v="9"/>
    <x v="9"/>
    <x v="43"/>
    <x v="725"/>
    <x v="4"/>
    <x v="24"/>
    <x v="118"/>
    <x v="123"/>
    <x v="297"/>
    <x v="191"/>
    <x v="0"/>
    <x v="0"/>
    <x v="0"/>
    <x v="0"/>
    <x v="0"/>
    <x v="0"/>
    <x v="0"/>
    <x v="244"/>
    <x v="288"/>
    <x v="9"/>
    <x v="0"/>
    <x v="0"/>
    <x v="357"/>
    <x v="0"/>
    <x v="0"/>
    <x v="541"/>
    <x v="0"/>
    <x v="53"/>
    <x v="107"/>
    <x v="284"/>
    <x v="2"/>
    <x v="193"/>
    <x v="127"/>
    <x v="343"/>
    <x v="403"/>
  </r>
  <r>
    <x v="42"/>
    <x v="2"/>
    <x v="7"/>
    <x v="76"/>
    <x v="9"/>
    <x v="9"/>
    <x v="33"/>
    <x v="729"/>
    <x v="4"/>
    <x v="21"/>
    <x v="94"/>
    <x v="116"/>
    <x v="192"/>
    <x v="145"/>
    <x v="0"/>
    <x v="0"/>
    <x v="0"/>
    <x v="0"/>
    <x v="0"/>
    <x v="0"/>
    <x v="0"/>
    <x v="201"/>
    <x v="288"/>
    <x v="34"/>
    <x v="0"/>
    <x v="0"/>
    <x v="357"/>
    <x v="0"/>
    <x v="0"/>
    <x v="541"/>
    <x v="0"/>
    <x v="44"/>
    <x v="107"/>
    <x v="267"/>
    <x v="2"/>
    <x v="209"/>
    <x v="97"/>
    <x v="308"/>
    <x v="404"/>
  </r>
  <r>
    <x v="42"/>
    <x v="2"/>
    <x v="2"/>
    <x v="71"/>
    <x v="9"/>
    <x v="13"/>
    <x v="1"/>
    <x v="303"/>
    <x v="4"/>
    <x v="37"/>
    <x v="121"/>
    <x v="62"/>
    <x v="349"/>
    <x v="210"/>
    <x v="0"/>
    <x v="0"/>
    <x v="0"/>
    <x v="0"/>
    <x v="4"/>
    <x v="0"/>
    <x v="0"/>
    <x v="263"/>
    <x v="389"/>
    <x v="40"/>
    <x v="2"/>
    <x v="160"/>
    <x v="350"/>
    <x v="35"/>
    <x v="0"/>
    <x v="501"/>
    <x v="0"/>
    <x v="92"/>
    <x v="107"/>
    <x v="168"/>
    <x v="5"/>
    <x v="319"/>
    <x v="231"/>
    <x v="478"/>
    <x v="436"/>
  </r>
  <r>
    <x v="42"/>
    <x v="3"/>
    <x v="5"/>
    <x v="74"/>
    <x v="7"/>
    <x v="6"/>
    <x v="29"/>
    <x v="732"/>
    <x v="2"/>
    <x v="37"/>
    <x v="129"/>
    <x v="93"/>
    <x v="130"/>
    <x v="105"/>
    <x v="40"/>
    <x v="56"/>
    <x v="0"/>
    <x v="0"/>
    <x v="26"/>
    <x v="2"/>
    <x v="0"/>
    <x v="157"/>
    <x v="17"/>
    <x v="32"/>
    <x v="1"/>
    <x v="42"/>
    <x v="26"/>
    <x v="300"/>
    <x v="216"/>
    <x v="204"/>
    <x v="45"/>
    <x v="39"/>
    <x v="12"/>
    <x v="34"/>
    <x v="4"/>
    <x v="262"/>
    <x v="282"/>
    <x v="27"/>
    <x v="407"/>
  </r>
  <r>
    <x v="42"/>
    <x v="3"/>
    <x v="2"/>
    <x v="71"/>
    <x v="9"/>
    <x v="13"/>
    <x v="1"/>
    <x v="304"/>
    <x v="2"/>
    <x v="29"/>
    <x v="94"/>
    <x v="49"/>
    <x v="183"/>
    <x v="141"/>
    <x v="0"/>
    <x v="0"/>
    <x v="0"/>
    <x v="0"/>
    <x v="0"/>
    <x v="2"/>
    <x v="0"/>
    <x v="197"/>
    <x v="238"/>
    <x v="40"/>
    <x v="2"/>
    <x v="62"/>
    <x v="325"/>
    <x v="0"/>
    <x v="0"/>
    <x v="541"/>
    <x v="0"/>
    <x v="69"/>
    <x v="107"/>
    <x v="123"/>
    <x v="5"/>
    <x v="352"/>
    <x v="63"/>
    <x v="253"/>
    <x v="406"/>
  </r>
  <r>
    <x v="42"/>
    <x v="3"/>
    <x v="2"/>
    <x v="71"/>
    <x v="9"/>
    <x v="12"/>
    <x v="1"/>
    <x v="306"/>
    <x v="2"/>
    <x v="14"/>
    <x v="32"/>
    <x v="87"/>
    <x v="94"/>
    <x v="80"/>
    <x v="0"/>
    <x v="0"/>
    <x v="0"/>
    <x v="0"/>
    <x v="15"/>
    <x v="0"/>
    <x v="0"/>
    <x v="138"/>
    <x v="477"/>
    <x v="40"/>
    <x v="2"/>
    <x v="28"/>
    <x v="274"/>
    <x v="232"/>
    <x v="0"/>
    <x v="276"/>
    <x v="0"/>
    <x v="27"/>
    <x v="107"/>
    <x v="234"/>
    <x v="5"/>
    <x v="234"/>
    <x v="444"/>
    <x v="690"/>
    <x v="408"/>
  </r>
  <r>
    <x v="42"/>
    <x v="3"/>
    <x v="4"/>
    <x v="57"/>
    <x v="9"/>
    <x v="7"/>
    <x v="27"/>
    <x v="666"/>
    <x v="2"/>
    <x v="37"/>
    <x v="146"/>
    <x v="118"/>
    <x v="548"/>
    <x v="306"/>
    <x v="0"/>
    <x v="0"/>
    <x v="0"/>
    <x v="0"/>
    <x v="0"/>
    <x v="0"/>
    <x v="0"/>
    <x v="359"/>
    <x v="353"/>
    <x v="15"/>
    <x v="0"/>
    <x v="0"/>
    <x v="357"/>
    <x v="0"/>
    <x v="0"/>
    <x v="541"/>
    <x v="5"/>
    <x v="90"/>
    <x v="105"/>
    <x v="295"/>
    <x v="2"/>
    <x v="155"/>
    <x v="218"/>
    <x v="390"/>
    <x v="732"/>
  </r>
  <r>
    <x v="42"/>
    <x v="3"/>
    <x v="0"/>
    <x v="4"/>
    <x v="5"/>
    <x v="0"/>
    <x v="66"/>
    <x v="302"/>
    <x v="2"/>
    <x v="29"/>
    <x v="47"/>
    <x v="8"/>
    <x v="126"/>
    <x v="101"/>
    <x v="4"/>
    <x v="33"/>
    <x v="0"/>
    <x v="0"/>
    <x v="32"/>
    <x v="2"/>
    <x v="0"/>
    <x v="154"/>
    <x v="482"/>
    <x v="38"/>
    <x v="10"/>
    <x v="316"/>
    <x v="98"/>
    <x v="365"/>
    <x v="182"/>
    <x v="125"/>
    <x v="0"/>
    <x v="69"/>
    <x v="107"/>
    <x v="55"/>
    <x v="6"/>
    <x v="407"/>
    <x v="61"/>
    <x v="239"/>
    <x v="416"/>
  </r>
  <r>
    <x v="43"/>
    <x v="0"/>
    <x v="0"/>
    <x v="4"/>
    <x v="9"/>
    <x v="0"/>
    <x v="66"/>
    <x v="307"/>
    <x v="0"/>
    <x v="37"/>
    <x v="83"/>
    <x v="21"/>
    <x v="142"/>
    <x v="110"/>
    <x v="20"/>
    <x v="39"/>
    <x v="0"/>
    <x v="0"/>
    <x v="68"/>
    <x v="2"/>
    <x v="0"/>
    <x v="162"/>
    <x v="134"/>
    <x v="38"/>
    <x v="10"/>
    <x v="346"/>
    <x v="64"/>
    <x v="446"/>
    <x v="183"/>
    <x v="23"/>
    <x v="20"/>
    <x v="73"/>
    <x v="65"/>
    <x v="41"/>
    <x v="6"/>
    <x v="403"/>
    <x v="94"/>
    <x v="128"/>
    <x v="417"/>
  </r>
  <r>
    <x v="43"/>
    <x v="0"/>
    <x v="7"/>
    <x v="76"/>
    <x v="9"/>
    <x v="18"/>
    <x v="33"/>
    <x v="731"/>
    <x v="0"/>
    <x v="37"/>
    <x v="146"/>
    <x v="118"/>
    <x v="539"/>
    <x v="296"/>
    <x v="0"/>
    <x v="0"/>
    <x v="0"/>
    <x v="0"/>
    <x v="0"/>
    <x v="0"/>
    <x v="0"/>
    <x v="344"/>
    <x v="297"/>
    <x v="34"/>
    <x v="0"/>
    <x v="0"/>
    <x v="357"/>
    <x v="0"/>
    <x v="0"/>
    <x v="541"/>
    <x v="9"/>
    <x v="87"/>
    <x v="97"/>
    <x v="279"/>
    <x v="2"/>
    <x v="151"/>
    <x v="227"/>
    <x v="333"/>
    <x v="733"/>
  </r>
  <r>
    <x v="43"/>
    <x v="0"/>
    <x v="4"/>
    <x v="57"/>
    <x v="9"/>
    <x v="18"/>
    <x v="27"/>
    <x v="774"/>
    <x v="0"/>
    <x v="37"/>
    <x v="146"/>
    <x v="118"/>
    <x v="533"/>
    <x v="289"/>
    <x v="0"/>
    <x v="0"/>
    <x v="0"/>
    <x v="0"/>
    <x v="0"/>
    <x v="0"/>
    <x v="0"/>
    <x v="334"/>
    <x v="254"/>
    <x v="15"/>
    <x v="0"/>
    <x v="0"/>
    <x v="357"/>
    <x v="0"/>
    <x v="0"/>
    <x v="541"/>
    <x v="9"/>
    <x v="87"/>
    <x v="97"/>
    <x v="266"/>
    <x v="2"/>
    <x v="170"/>
    <x v="189"/>
    <x v="301"/>
    <x v="734"/>
  </r>
  <r>
    <x v="43"/>
    <x v="0"/>
    <x v="2"/>
    <x v="71"/>
    <x v="9"/>
    <x v="12"/>
    <x v="1"/>
    <x v="313"/>
    <x v="0"/>
    <x v="22"/>
    <x v="72"/>
    <x v="69"/>
    <x v="166"/>
    <x v="132"/>
    <x v="0"/>
    <x v="0"/>
    <x v="0"/>
    <x v="0"/>
    <x v="0"/>
    <x v="0"/>
    <x v="0"/>
    <x v="187"/>
    <x v="466"/>
    <x v="40"/>
    <x v="2"/>
    <x v="55"/>
    <x v="356"/>
    <x v="0"/>
    <x v="0"/>
    <x v="541"/>
    <x v="0"/>
    <x v="50"/>
    <x v="107"/>
    <x v="212"/>
    <x v="5"/>
    <x v="265"/>
    <x v="398"/>
    <x v="645"/>
    <x v="409"/>
  </r>
  <r>
    <x v="43"/>
    <x v="0"/>
    <x v="2"/>
    <x v="71"/>
    <x v="9"/>
    <x v="13"/>
    <x v="1"/>
    <x v="310"/>
    <x v="0"/>
    <x v="22"/>
    <x v="72"/>
    <x v="69"/>
    <x v="77"/>
    <x v="70"/>
    <x v="0"/>
    <x v="0"/>
    <x v="0"/>
    <x v="0"/>
    <x v="4"/>
    <x v="2"/>
    <x v="0"/>
    <x v="129"/>
    <x v="59"/>
    <x v="40"/>
    <x v="2"/>
    <x v="22"/>
    <x v="277"/>
    <x v="100"/>
    <x v="0"/>
    <x v="424"/>
    <x v="21"/>
    <x v="31"/>
    <x v="31"/>
    <x v="58"/>
    <x v="5"/>
    <x v="322"/>
    <x v="224"/>
    <x v="83"/>
    <x v="410"/>
  </r>
  <r>
    <x v="43"/>
    <x v="0"/>
    <x v="5"/>
    <x v="74"/>
    <x v="7"/>
    <x v="6"/>
    <x v="29"/>
    <x v="733"/>
    <x v="0"/>
    <x v="6"/>
    <x v="34"/>
    <x v="142"/>
    <x v="76"/>
    <x v="18"/>
    <x v="0"/>
    <x v="92"/>
    <x v="0"/>
    <x v="0"/>
    <x v="91"/>
    <x v="0"/>
    <x v="0"/>
    <x v="65"/>
    <x v="16"/>
    <x v="32"/>
    <x v="1"/>
    <x v="19"/>
    <x v="2"/>
    <x v="470"/>
    <x v="255"/>
    <x v="2"/>
    <x v="4"/>
    <x v="10"/>
    <x v="57"/>
    <x v="132"/>
    <x v="4"/>
    <x v="262"/>
    <x v="282"/>
    <x v="147"/>
    <x v="411"/>
  </r>
  <r>
    <x v="43"/>
    <x v="4"/>
    <x v="8"/>
    <x v="61"/>
    <x v="9"/>
    <x v="18"/>
    <x v="26"/>
    <x v="665"/>
    <x v="4"/>
    <x v="38"/>
    <x v="176"/>
    <x v="163"/>
    <x v="631"/>
    <x v="394"/>
    <x v="0"/>
    <x v="0"/>
    <x v="0"/>
    <x v="0"/>
    <x v="104"/>
    <x v="0"/>
    <x v="1"/>
    <x v="401"/>
    <x v="498"/>
    <x v="27"/>
    <x v="0"/>
    <x v="0"/>
    <x v="357"/>
    <x v="250"/>
    <x v="0"/>
    <x v="254"/>
    <x v="11"/>
    <x v="90"/>
    <x v="91"/>
    <x v="428"/>
    <x v="3"/>
    <x v="36"/>
    <x v="470"/>
    <x v="699"/>
    <x v="736"/>
  </r>
  <r>
    <x v="43"/>
    <x v="4"/>
    <x v="9"/>
    <x v="22"/>
    <x v="9"/>
    <x v="16"/>
    <x v="46"/>
    <x v="710"/>
    <x v="4"/>
    <x v="22"/>
    <x v="155"/>
    <x v="191"/>
    <x v="563"/>
    <x v="320"/>
    <x v="0"/>
    <x v="0"/>
    <x v="0"/>
    <x v="0"/>
    <x v="0"/>
    <x v="0"/>
    <x v="1"/>
    <x v="249"/>
    <x v="321"/>
    <x v="29"/>
    <x v="0"/>
    <x v="0"/>
    <x v="357"/>
    <x v="0"/>
    <x v="0"/>
    <x v="541"/>
    <x v="0"/>
    <x v="50"/>
    <x v="107"/>
    <x v="418"/>
    <x v="1"/>
    <x v="97"/>
    <x v="25"/>
    <x v="181"/>
    <x v="737"/>
  </r>
  <r>
    <x v="43"/>
    <x v="4"/>
    <x v="9"/>
    <x v="24"/>
    <x v="9"/>
    <x v="17"/>
    <x v="28"/>
    <x v="656"/>
    <x v="4"/>
    <x v="2"/>
    <x v="23"/>
    <x v="186"/>
    <x v="42"/>
    <x v="43"/>
    <x v="0"/>
    <x v="0"/>
    <x v="0"/>
    <x v="0"/>
    <x v="8"/>
    <x v="0"/>
    <x v="1"/>
    <x v="63"/>
    <x v="274"/>
    <x v="15"/>
    <x v="0"/>
    <x v="0"/>
    <x v="357"/>
    <x v="194"/>
    <x v="0"/>
    <x v="321"/>
    <x v="0"/>
    <x v="6"/>
    <x v="107"/>
    <x v="408"/>
    <x v="1"/>
    <x v="129"/>
    <x v="15"/>
    <x v="156"/>
    <x v="419"/>
  </r>
  <r>
    <x v="43"/>
    <x v="4"/>
    <x v="1"/>
    <x v="7"/>
    <x v="9"/>
    <x v="11"/>
    <x v="17"/>
    <x v="234"/>
    <x v="4"/>
    <x v="38"/>
    <x v="133"/>
    <x v="91"/>
    <x v="478"/>
    <x v="247"/>
    <x v="0"/>
    <x v="0"/>
    <x v="45"/>
    <x v="0"/>
    <x v="26"/>
    <x v="0"/>
    <x v="3"/>
    <x v="114"/>
    <x v="384"/>
    <x v="2"/>
    <x v="0"/>
    <x v="0"/>
    <x v="357"/>
    <x v="133"/>
    <x v="0"/>
    <x v="387"/>
    <x v="11"/>
    <x v="90"/>
    <x v="91"/>
    <x v="210"/>
    <x v="7"/>
    <x v="423"/>
    <x v="447"/>
    <x v="676"/>
    <x v="755"/>
  </r>
  <r>
    <x v="43"/>
    <x v="2"/>
    <x v="4"/>
    <x v="57"/>
    <x v="9"/>
    <x v="7"/>
    <x v="27"/>
    <x v="674"/>
    <x v="4"/>
    <x v="37"/>
    <x v="146"/>
    <x v="118"/>
    <x v="548"/>
    <x v="306"/>
    <x v="0"/>
    <x v="0"/>
    <x v="0"/>
    <x v="0"/>
    <x v="0"/>
    <x v="0"/>
    <x v="0"/>
    <x v="359"/>
    <x v="353"/>
    <x v="15"/>
    <x v="0"/>
    <x v="0"/>
    <x v="357"/>
    <x v="0"/>
    <x v="0"/>
    <x v="541"/>
    <x v="9"/>
    <x v="87"/>
    <x v="97"/>
    <x v="295"/>
    <x v="2"/>
    <x v="122"/>
    <x v="274"/>
    <x v="390"/>
    <x v="735"/>
  </r>
  <r>
    <x v="43"/>
    <x v="2"/>
    <x v="0"/>
    <x v="4"/>
    <x v="5"/>
    <x v="0"/>
    <x v="66"/>
    <x v="308"/>
    <x v="4"/>
    <x v="25"/>
    <x v="50"/>
    <x v="14"/>
    <x v="93"/>
    <x v="77"/>
    <x v="12"/>
    <x v="19"/>
    <x v="0"/>
    <x v="0"/>
    <x v="42"/>
    <x v="0"/>
    <x v="0"/>
    <x v="136"/>
    <x v="237"/>
    <x v="38"/>
    <x v="10"/>
    <x v="296"/>
    <x v="78"/>
    <x v="438"/>
    <x v="165"/>
    <x v="34"/>
    <x v="20"/>
    <x v="44"/>
    <x v="49"/>
    <x v="46"/>
    <x v="6"/>
    <x v="365"/>
    <x v="349"/>
    <x v="166"/>
    <x v="418"/>
  </r>
  <r>
    <x v="43"/>
    <x v="2"/>
    <x v="7"/>
    <x v="21"/>
    <x v="9"/>
    <x v="9"/>
    <x v="49"/>
    <x v="365"/>
    <x v="4"/>
    <x v="34"/>
    <x v="145"/>
    <x v="119"/>
    <x v="518"/>
    <x v="272"/>
    <x v="0"/>
    <x v="0"/>
    <x v="0"/>
    <x v="0"/>
    <x v="0"/>
    <x v="0"/>
    <x v="0"/>
    <x v="316"/>
    <x v="263"/>
    <x v="12"/>
    <x v="0"/>
    <x v="0"/>
    <x v="357"/>
    <x v="0"/>
    <x v="0"/>
    <x v="541"/>
    <x v="9"/>
    <x v="77"/>
    <x v="95"/>
    <x v="272"/>
    <x v="2"/>
    <x v="159"/>
    <x v="209"/>
    <x v="314"/>
    <x v="738"/>
  </r>
  <r>
    <x v="43"/>
    <x v="2"/>
    <x v="7"/>
    <x v="76"/>
    <x v="9"/>
    <x v="9"/>
    <x v="33"/>
    <x v="366"/>
    <x v="4"/>
    <x v="3"/>
    <x v="10"/>
    <x v="113"/>
    <x v="18"/>
    <x v="18"/>
    <x v="0"/>
    <x v="0"/>
    <x v="0"/>
    <x v="0"/>
    <x v="0"/>
    <x v="0"/>
    <x v="0"/>
    <x v="65"/>
    <x v="288"/>
    <x v="34"/>
    <x v="0"/>
    <x v="0"/>
    <x v="357"/>
    <x v="0"/>
    <x v="0"/>
    <x v="541"/>
    <x v="0"/>
    <x v="7"/>
    <x v="107"/>
    <x v="256"/>
    <x v="2"/>
    <x v="213"/>
    <x v="69"/>
    <x v="266"/>
    <x v="420"/>
  </r>
  <r>
    <x v="43"/>
    <x v="2"/>
    <x v="2"/>
    <x v="71"/>
    <x v="9"/>
    <x v="13"/>
    <x v="1"/>
    <x v="311"/>
    <x v="4"/>
    <x v="37"/>
    <x v="121"/>
    <x v="62"/>
    <x v="299"/>
    <x v="191"/>
    <x v="0"/>
    <x v="0"/>
    <x v="0"/>
    <x v="0"/>
    <x v="4"/>
    <x v="0"/>
    <x v="0"/>
    <x v="244"/>
    <x v="245"/>
    <x v="40"/>
    <x v="2"/>
    <x v="115"/>
    <x v="348"/>
    <x v="40"/>
    <x v="0"/>
    <x v="494"/>
    <x v="0"/>
    <x v="92"/>
    <x v="107"/>
    <x v="132"/>
    <x v="5"/>
    <x v="350"/>
    <x v="97"/>
    <x v="302"/>
    <x v="423"/>
  </r>
  <r>
    <x v="43"/>
    <x v="3"/>
    <x v="2"/>
    <x v="71"/>
    <x v="9"/>
    <x v="13"/>
    <x v="1"/>
    <x v="312"/>
    <x v="2"/>
    <x v="19"/>
    <x v="55"/>
    <x v="80"/>
    <x v="102"/>
    <x v="86"/>
    <x v="0"/>
    <x v="0"/>
    <x v="0"/>
    <x v="0"/>
    <x v="0"/>
    <x v="2"/>
    <x v="0"/>
    <x v="143"/>
    <x v="288"/>
    <x v="40"/>
    <x v="2"/>
    <x v="33"/>
    <x v="293"/>
    <x v="0"/>
    <x v="0"/>
    <x v="541"/>
    <x v="0"/>
    <x v="39"/>
    <x v="107"/>
    <x v="154"/>
    <x v="5"/>
    <x v="338"/>
    <x v="160"/>
    <x v="393"/>
    <x v="424"/>
  </r>
  <r>
    <x v="43"/>
    <x v="3"/>
    <x v="2"/>
    <x v="69"/>
    <x v="9"/>
    <x v="12"/>
    <x v="4"/>
    <x v="314"/>
    <x v="2"/>
    <x v="25"/>
    <x v="81"/>
    <x v="50"/>
    <x v="159"/>
    <x v="126"/>
    <x v="0"/>
    <x v="2"/>
    <x v="0"/>
    <x v="0"/>
    <x v="0"/>
    <x v="2"/>
    <x v="0"/>
    <x v="177"/>
    <x v="265"/>
    <x v="37"/>
    <x v="2"/>
    <x v="52"/>
    <x v="294"/>
    <x v="0"/>
    <x v="5"/>
    <x v="541"/>
    <x v="7"/>
    <x v="53"/>
    <x v="90"/>
    <x v="132"/>
    <x v="5"/>
    <x v="324"/>
    <x v="219"/>
    <x v="308"/>
    <x v="430"/>
  </r>
  <r>
    <x v="43"/>
    <x v="3"/>
    <x v="4"/>
    <x v="57"/>
    <x v="9"/>
    <x v="7"/>
    <x v="27"/>
    <x v="675"/>
    <x v="2"/>
    <x v="33"/>
    <x v="143"/>
    <x v="118"/>
    <x v="504"/>
    <x v="259"/>
    <x v="0"/>
    <x v="0"/>
    <x v="0"/>
    <x v="0"/>
    <x v="0"/>
    <x v="0"/>
    <x v="0"/>
    <x v="302"/>
    <x v="275"/>
    <x v="15"/>
    <x v="0"/>
    <x v="0"/>
    <x v="357"/>
    <x v="0"/>
    <x v="0"/>
    <x v="541"/>
    <x v="5"/>
    <x v="75"/>
    <x v="103"/>
    <x v="273"/>
    <x v="2"/>
    <x v="184"/>
    <x v="152"/>
    <x v="316"/>
    <x v="739"/>
  </r>
  <r>
    <x v="43"/>
    <x v="3"/>
    <x v="4"/>
    <x v="77"/>
    <x v="9"/>
    <x v="7"/>
    <x v="31"/>
    <x v="666"/>
    <x v="2"/>
    <x v="6"/>
    <x v="21"/>
    <x v="118"/>
    <x v="43"/>
    <x v="46"/>
    <x v="0"/>
    <x v="0"/>
    <x v="0"/>
    <x v="0"/>
    <x v="0"/>
    <x v="0"/>
    <x v="0"/>
    <x v="104"/>
    <x v="424"/>
    <x v="35"/>
    <x v="0"/>
    <x v="0"/>
    <x v="357"/>
    <x v="0"/>
    <x v="0"/>
    <x v="541"/>
    <x v="2"/>
    <x v="12"/>
    <x v="72"/>
    <x v="313"/>
    <x v="2"/>
    <x v="69"/>
    <x v="430"/>
    <x v="556"/>
    <x v="425"/>
  </r>
  <r>
    <x v="44"/>
    <x v="1"/>
    <x v="7"/>
    <x v="21"/>
    <x v="9"/>
    <x v="9"/>
    <x v="49"/>
    <x v="694"/>
    <x v="0"/>
    <x v="37"/>
    <x v="146"/>
    <x v="118"/>
    <x v="539"/>
    <x v="296"/>
    <x v="0"/>
    <x v="0"/>
    <x v="0"/>
    <x v="0"/>
    <x v="0"/>
    <x v="0"/>
    <x v="0"/>
    <x v="344"/>
    <x v="297"/>
    <x v="12"/>
    <x v="0"/>
    <x v="0"/>
    <x v="357"/>
    <x v="0"/>
    <x v="0"/>
    <x v="541"/>
    <x v="9"/>
    <x v="87"/>
    <x v="97"/>
    <x v="279"/>
    <x v="2"/>
    <x v="151"/>
    <x v="227"/>
    <x v="333"/>
    <x v="740"/>
  </r>
  <r>
    <x v="44"/>
    <x v="1"/>
    <x v="4"/>
    <x v="77"/>
    <x v="9"/>
    <x v="7"/>
    <x v="31"/>
    <x v="726"/>
    <x v="0"/>
    <x v="37"/>
    <x v="146"/>
    <x v="118"/>
    <x v="539"/>
    <x v="296"/>
    <x v="0"/>
    <x v="0"/>
    <x v="0"/>
    <x v="0"/>
    <x v="0"/>
    <x v="0"/>
    <x v="0"/>
    <x v="344"/>
    <x v="297"/>
    <x v="35"/>
    <x v="0"/>
    <x v="0"/>
    <x v="357"/>
    <x v="0"/>
    <x v="0"/>
    <x v="541"/>
    <x v="9"/>
    <x v="87"/>
    <x v="97"/>
    <x v="279"/>
    <x v="2"/>
    <x v="151"/>
    <x v="227"/>
    <x v="333"/>
    <x v="741"/>
  </r>
  <r>
    <x v="44"/>
    <x v="1"/>
    <x v="2"/>
    <x v="69"/>
    <x v="9"/>
    <x v="12"/>
    <x v="4"/>
    <x v="315"/>
    <x v="0"/>
    <x v="37"/>
    <x v="121"/>
    <x v="62"/>
    <x v="302"/>
    <x v="191"/>
    <x v="0"/>
    <x v="0"/>
    <x v="0"/>
    <x v="0"/>
    <x v="4"/>
    <x v="2"/>
    <x v="0"/>
    <x v="244"/>
    <x v="245"/>
    <x v="37"/>
    <x v="2"/>
    <x v="118"/>
    <x v="322"/>
    <x v="40"/>
    <x v="0"/>
    <x v="495"/>
    <x v="0"/>
    <x v="92"/>
    <x v="107"/>
    <x v="132"/>
    <x v="5"/>
    <x v="350"/>
    <x v="97"/>
    <x v="303"/>
    <x v="742"/>
  </r>
  <r>
    <x v="44"/>
    <x v="4"/>
    <x v="8"/>
    <x v="78"/>
    <x v="9"/>
    <x v="18"/>
    <x v="30"/>
    <x v="729"/>
    <x v="4"/>
    <x v="24"/>
    <x v="151"/>
    <x v="155"/>
    <x v="576"/>
    <x v="335"/>
    <x v="0"/>
    <x v="0"/>
    <x v="0"/>
    <x v="0"/>
    <x v="62"/>
    <x v="0"/>
    <x v="1"/>
    <x v="275"/>
    <x v="484"/>
    <x v="36"/>
    <x v="0"/>
    <x v="0"/>
    <x v="357"/>
    <x v="162"/>
    <x v="0"/>
    <x v="358"/>
    <x v="9"/>
    <x v="48"/>
    <x v="76"/>
    <x v="423"/>
    <x v="3"/>
    <x v="54"/>
    <x v="459"/>
    <x v="687"/>
    <x v="743"/>
  </r>
  <r>
    <x v="44"/>
    <x v="4"/>
    <x v="8"/>
    <x v="61"/>
    <x v="9"/>
    <x v="18"/>
    <x v="26"/>
    <x v="677"/>
    <x v="4"/>
    <x v="22"/>
    <x v="146"/>
    <x v="166"/>
    <x v="579"/>
    <x v="338"/>
    <x v="0"/>
    <x v="0"/>
    <x v="0"/>
    <x v="0"/>
    <x v="20"/>
    <x v="0"/>
    <x v="1"/>
    <x v="281"/>
    <x v="496"/>
    <x v="27"/>
    <x v="0"/>
    <x v="0"/>
    <x v="357"/>
    <x v="69"/>
    <x v="0"/>
    <x v="458"/>
    <x v="2"/>
    <x v="48"/>
    <x v="105"/>
    <x v="427"/>
    <x v="3"/>
    <x v="50"/>
    <x v="462"/>
    <x v="700"/>
    <x v="746"/>
  </r>
  <r>
    <x v="44"/>
    <x v="4"/>
    <x v="1"/>
    <x v="7"/>
    <x v="9"/>
    <x v="18"/>
    <x v="17"/>
    <x v="239"/>
    <x v="4"/>
    <x v="38"/>
    <x v="133"/>
    <x v="91"/>
    <x v="328"/>
    <x v="197"/>
    <x v="0"/>
    <x v="0"/>
    <x v="40"/>
    <x v="0"/>
    <x v="41"/>
    <x v="0"/>
    <x v="3"/>
    <x v="90"/>
    <x v="123"/>
    <x v="2"/>
    <x v="0"/>
    <x v="0"/>
    <x v="357"/>
    <x v="230"/>
    <x v="0"/>
    <x v="280"/>
    <x v="11"/>
    <x v="90"/>
    <x v="91"/>
    <x v="129"/>
    <x v="7"/>
    <x v="471"/>
    <x v="293"/>
    <x v="365"/>
    <x v="755"/>
  </r>
  <r>
    <x v="44"/>
    <x v="2"/>
    <x v="4"/>
    <x v="77"/>
    <x v="9"/>
    <x v="7"/>
    <x v="31"/>
    <x v="727"/>
    <x v="4"/>
    <x v="19"/>
    <x v="79"/>
    <x v="113"/>
    <x v="157"/>
    <x v="126"/>
    <x v="0"/>
    <x v="0"/>
    <x v="0"/>
    <x v="0"/>
    <x v="0"/>
    <x v="0"/>
    <x v="0"/>
    <x v="177"/>
    <x v="288"/>
    <x v="35"/>
    <x v="0"/>
    <x v="0"/>
    <x v="357"/>
    <x v="0"/>
    <x v="0"/>
    <x v="541"/>
    <x v="9"/>
    <x v="31"/>
    <x v="60"/>
    <x v="256"/>
    <x v="2"/>
    <x v="86"/>
    <x v="365"/>
    <x v="266"/>
    <x v="744"/>
  </r>
  <r>
    <x v="44"/>
    <x v="2"/>
    <x v="4"/>
    <x v="58"/>
    <x v="9"/>
    <x v="7"/>
    <x v="51"/>
    <x v="774"/>
    <x v="4"/>
    <x v="25"/>
    <x v="126"/>
    <x v="125"/>
    <x v="297"/>
    <x v="191"/>
    <x v="0"/>
    <x v="0"/>
    <x v="0"/>
    <x v="0"/>
    <x v="0"/>
    <x v="0"/>
    <x v="0"/>
    <x v="244"/>
    <x v="162"/>
    <x v="16"/>
    <x v="0"/>
    <x v="0"/>
    <x v="357"/>
    <x v="0"/>
    <x v="0"/>
    <x v="541"/>
    <x v="9"/>
    <x v="52"/>
    <x v="82"/>
    <x v="246"/>
    <x v="2"/>
    <x v="176"/>
    <x v="168"/>
    <x v="232"/>
    <x v="427"/>
  </r>
  <r>
    <x v="44"/>
    <x v="2"/>
    <x v="7"/>
    <x v="21"/>
    <x v="9"/>
    <x v="9"/>
    <x v="49"/>
    <x v="696"/>
    <x v="4"/>
    <x v="7"/>
    <x v="23"/>
    <x v="113"/>
    <x v="43"/>
    <x v="46"/>
    <x v="0"/>
    <x v="0"/>
    <x v="0"/>
    <x v="0"/>
    <x v="0"/>
    <x v="0"/>
    <x v="0"/>
    <x v="104"/>
    <x v="288"/>
    <x v="12"/>
    <x v="0"/>
    <x v="0"/>
    <x v="357"/>
    <x v="0"/>
    <x v="0"/>
    <x v="541"/>
    <x v="0"/>
    <x v="17"/>
    <x v="107"/>
    <x v="256"/>
    <x v="2"/>
    <x v="213"/>
    <x v="69"/>
    <x v="266"/>
    <x v="426"/>
  </r>
  <r>
    <x v="44"/>
    <x v="2"/>
    <x v="7"/>
    <x v="18"/>
    <x v="9"/>
    <x v="9"/>
    <x v="43"/>
    <x v="703"/>
    <x v="4"/>
    <x v="11"/>
    <x v="46"/>
    <x v="118"/>
    <x v="82"/>
    <x v="73"/>
    <x v="0"/>
    <x v="0"/>
    <x v="0"/>
    <x v="0"/>
    <x v="0"/>
    <x v="0"/>
    <x v="0"/>
    <x v="133"/>
    <x v="268"/>
    <x v="9"/>
    <x v="0"/>
    <x v="0"/>
    <x v="357"/>
    <x v="0"/>
    <x v="0"/>
    <x v="541"/>
    <x v="0"/>
    <x v="22"/>
    <x v="107"/>
    <x v="271"/>
    <x v="2"/>
    <x v="206"/>
    <x v="103"/>
    <x v="313"/>
    <x v="745"/>
  </r>
  <r>
    <x v="44"/>
    <x v="2"/>
    <x v="2"/>
    <x v="69"/>
    <x v="9"/>
    <x v="12"/>
    <x v="4"/>
    <x v="316"/>
    <x v="4"/>
    <x v="37"/>
    <x v="121"/>
    <x v="62"/>
    <x v="300"/>
    <x v="191"/>
    <x v="0"/>
    <x v="0"/>
    <x v="0"/>
    <x v="0"/>
    <x v="6"/>
    <x v="0"/>
    <x v="0"/>
    <x v="244"/>
    <x v="245"/>
    <x v="37"/>
    <x v="2"/>
    <x v="116"/>
    <x v="341"/>
    <x v="59"/>
    <x v="0"/>
    <x v="470"/>
    <x v="0"/>
    <x v="92"/>
    <x v="107"/>
    <x v="132"/>
    <x v="5"/>
    <x v="350"/>
    <x v="97"/>
    <x v="299"/>
    <x v="429"/>
  </r>
  <r>
    <x v="44"/>
    <x v="3"/>
    <x v="2"/>
    <x v="69"/>
    <x v="9"/>
    <x v="12"/>
    <x v="4"/>
    <x v="317"/>
    <x v="2"/>
    <x v="37"/>
    <x v="121"/>
    <x v="62"/>
    <x v="326"/>
    <x v="198"/>
    <x v="0"/>
    <x v="0"/>
    <x v="0"/>
    <x v="0"/>
    <x v="0"/>
    <x v="2"/>
    <x v="0"/>
    <x v="252"/>
    <x v="312"/>
    <x v="37"/>
    <x v="2"/>
    <x v="138"/>
    <x v="338"/>
    <x v="0"/>
    <x v="0"/>
    <x v="541"/>
    <x v="0"/>
    <x v="92"/>
    <x v="107"/>
    <x v="147"/>
    <x v="5"/>
    <x v="343"/>
    <x v="140"/>
    <x v="368"/>
    <x v="428"/>
  </r>
  <r>
    <x v="44"/>
    <x v="3"/>
    <x v="4"/>
    <x v="58"/>
    <x v="9"/>
    <x v="7"/>
    <x v="51"/>
    <x v="691"/>
    <x v="2"/>
    <x v="37"/>
    <x v="146"/>
    <x v="118"/>
    <x v="551"/>
    <x v="309"/>
    <x v="0"/>
    <x v="0"/>
    <x v="0"/>
    <x v="0"/>
    <x v="0"/>
    <x v="0"/>
    <x v="0"/>
    <x v="362"/>
    <x v="365"/>
    <x v="16"/>
    <x v="0"/>
    <x v="0"/>
    <x v="357"/>
    <x v="0"/>
    <x v="0"/>
    <x v="541"/>
    <x v="9"/>
    <x v="87"/>
    <x v="97"/>
    <x v="301"/>
    <x v="2"/>
    <x v="112"/>
    <x v="295"/>
    <x v="410"/>
    <x v="747"/>
  </r>
  <r>
    <x v="45"/>
    <x v="1"/>
    <x v="2"/>
    <x v="69"/>
    <x v="9"/>
    <x v="12"/>
    <x v="4"/>
    <x v="321"/>
    <x v="2"/>
    <x v="25"/>
    <x v="85"/>
    <x v="61"/>
    <x v="152"/>
    <x v="122"/>
    <x v="0"/>
    <x v="0"/>
    <x v="0"/>
    <x v="0"/>
    <x v="0"/>
    <x v="0"/>
    <x v="0"/>
    <x v="173"/>
    <x v="219"/>
    <x v="37"/>
    <x v="2"/>
    <x v="50"/>
    <x v="356"/>
    <x v="0"/>
    <x v="0"/>
    <x v="541"/>
    <x v="0"/>
    <x v="57"/>
    <x v="107"/>
    <x v="128"/>
    <x v="5"/>
    <x v="351"/>
    <x v="76"/>
    <x v="274"/>
    <x v="437"/>
  </r>
  <r>
    <x v="45"/>
    <x v="1"/>
    <x v="2"/>
    <x v="69"/>
    <x v="9"/>
    <x v="13"/>
    <x v="4"/>
    <x v="319"/>
    <x v="2"/>
    <x v="19"/>
    <x v="52"/>
    <x v="61"/>
    <x v="103"/>
    <x v="86"/>
    <x v="0"/>
    <x v="0"/>
    <x v="0"/>
    <x v="0"/>
    <x v="4"/>
    <x v="2"/>
    <x v="0"/>
    <x v="143"/>
    <x v="334"/>
    <x v="37"/>
    <x v="2"/>
    <x v="34"/>
    <x v="288"/>
    <x v="84"/>
    <x v="0"/>
    <x v="441"/>
    <x v="5"/>
    <x v="34"/>
    <x v="87"/>
    <x v="154"/>
    <x v="5"/>
    <x v="289"/>
    <x v="325"/>
    <x v="387"/>
    <x v="438"/>
  </r>
  <r>
    <x v="45"/>
    <x v="1"/>
    <x v="4"/>
    <x v="58"/>
    <x v="9"/>
    <x v="7"/>
    <x v="51"/>
    <x v="718"/>
    <x v="2"/>
    <x v="21"/>
    <x v="94"/>
    <x v="116"/>
    <x v="200"/>
    <x v="147"/>
    <x v="0"/>
    <x v="0"/>
    <x v="0"/>
    <x v="0"/>
    <x v="0"/>
    <x v="0"/>
    <x v="0"/>
    <x v="203"/>
    <x v="307"/>
    <x v="16"/>
    <x v="0"/>
    <x v="0"/>
    <x v="357"/>
    <x v="0"/>
    <x v="0"/>
    <x v="541"/>
    <x v="7"/>
    <x v="39"/>
    <x v="78"/>
    <x v="274"/>
    <x v="2"/>
    <x v="106"/>
    <x v="305"/>
    <x v="321"/>
    <x v="748"/>
  </r>
  <r>
    <x v="45"/>
    <x v="1"/>
    <x v="4"/>
    <x v="55"/>
    <x v="9"/>
    <x v="7"/>
    <x v="45"/>
    <x v="774"/>
    <x v="2"/>
    <x v="24"/>
    <x v="118"/>
    <x v="123"/>
    <x v="297"/>
    <x v="191"/>
    <x v="0"/>
    <x v="0"/>
    <x v="0"/>
    <x v="0"/>
    <x v="0"/>
    <x v="0"/>
    <x v="0"/>
    <x v="244"/>
    <x v="288"/>
    <x v="13"/>
    <x v="0"/>
    <x v="0"/>
    <x v="357"/>
    <x v="0"/>
    <x v="0"/>
    <x v="541"/>
    <x v="2"/>
    <x v="52"/>
    <x v="106"/>
    <x v="284"/>
    <x v="2"/>
    <x v="176"/>
    <x v="168"/>
    <x v="343"/>
    <x v="749"/>
  </r>
  <r>
    <x v="45"/>
    <x v="4"/>
    <x v="8"/>
    <x v="62"/>
    <x v="9"/>
    <x v="18"/>
    <x v="50"/>
    <x v="690"/>
    <x v="4"/>
    <x v="29"/>
    <x v="162"/>
    <x v="176"/>
    <x v="609"/>
    <x v="372"/>
    <x v="0"/>
    <x v="0"/>
    <x v="0"/>
    <x v="0"/>
    <x v="36"/>
    <x v="0"/>
    <x v="1"/>
    <x v="352"/>
    <x v="476"/>
    <x v="28"/>
    <x v="0"/>
    <x v="0"/>
    <x v="357"/>
    <x v="85"/>
    <x v="0"/>
    <x v="440"/>
    <x v="9"/>
    <x v="61"/>
    <x v="87"/>
    <x v="426"/>
    <x v="3"/>
    <x v="48"/>
    <x v="464"/>
    <x v="696"/>
    <x v="751"/>
  </r>
  <r>
    <x v="45"/>
    <x v="4"/>
    <x v="8"/>
    <x v="59"/>
    <x v="9"/>
    <x v="18"/>
    <x v="44"/>
    <x v="721"/>
    <x v="4"/>
    <x v="12"/>
    <x v="89"/>
    <x v="159"/>
    <x v="416"/>
    <x v="233"/>
    <x v="0"/>
    <x v="0"/>
    <x v="0"/>
    <x v="0"/>
    <x v="21"/>
    <x v="0"/>
    <x v="1"/>
    <x v="181"/>
    <x v="503"/>
    <x v="25"/>
    <x v="0"/>
    <x v="0"/>
    <x v="357"/>
    <x v="120"/>
    <x v="0"/>
    <x v="400"/>
    <x v="2"/>
    <x v="21"/>
    <x v="91"/>
    <x v="429"/>
    <x v="3"/>
    <x v="18"/>
    <x v="481"/>
    <x v="713"/>
    <x v="752"/>
  </r>
  <r>
    <x v="45"/>
    <x v="4"/>
    <x v="8"/>
    <x v="78"/>
    <x v="9"/>
    <x v="18"/>
    <x v="30"/>
    <x v="734"/>
    <x v="4"/>
    <x v="1"/>
    <x v="7"/>
    <x v="137"/>
    <x v="18"/>
    <x v="17"/>
    <x v="0"/>
    <x v="0"/>
    <x v="0"/>
    <x v="0"/>
    <x v="12"/>
    <x v="0"/>
    <x v="1"/>
    <x v="41"/>
    <x v="494"/>
    <x v="36"/>
    <x v="0"/>
    <x v="0"/>
    <x v="357"/>
    <x v="420"/>
    <x v="0"/>
    <x v="50"/>
    <x v="0"/>
    <x v="4"/>
    <x v="107"/>
    <x v="373"/>
    <x v="3"/>
    <x v="220"/>
    <x v="179"/>
    <x v="375"/>
    <x v="439"/>
  </r>
  <r>
    <x v="45"/>
    <x v="2"/>
    <x v="4"/>
    <x v="55"/>
    <x v="9"/>
    <x v="7"/>
    <x v="45"/>
    <x v="718"/>
    <x v="4"/>
    <x v="37"/>
    <x v="146"/>
    <x v="118"/>
    <x v="508"/>
    <x v="263"/>
    <x v="0"/>
    <x v="0"/>
    <x v="0"/>
    <x v="0"/>
    <x v="0"/>
    <x v="0"/>
    <x v="0"/>
    <x v="306"/>
    <x v="159"/>
    <x v="13"/>
    <x v="0"/>
    <x v="0"/>
    <x v="357"/>
    <x v="0"/>
    <x v="0"/>
    <x v="541"/>
    <x v="21"/>
    <x v="72"/>
    <x v="63"/>
    <x v="240"/>
    <x v="2"/>
    <x v="134"/>
    <x v="252"/>
    <x v="208"/>
    <x v="753"/>
  </r>
  <r>
    <x v="45"/>
    <x v="2"/>
    <x v="2"/>
    <x v="69"/>
    <x v="9"/>
    <x v="13"/>
    <x v="4"/>
    <x v="320"/>
    <x v="4"/>
    <x v="37"/>
    <x v="121"/>
    <x v="62"/>
    <x v="330"/>
    <x v="201"/>
    <x v="0"/>
    <x v="0"/>
    <x v="0"/>
    <x v="0"/>
    <x v="0"/>
    <x v="0"/>
    <x v="0"/>
    <x v="255"/>
    <x v="317"/>
    <x v="37"/>
    <x v="2"/>
    <x v="143"/>
    <x v="356"/>
    <x v="0"/>
    <x v="0"/>
    <x v="541"/>
    <x v="0"/>
    <x v="92"/>
    <x v="107"/>
    <x v="150"/>
    <x v="5"/>
    <x v="342"/>
    <x v="146"/>
    <x v="373"/>
    <x v="754"/>
  </r>
  <r>
    <x v="45"/>
    <x v="4"/>
    <x v="1"/>
    <x v="26"/>
    <x v="9"/>
    <x v="18"/>
    <x v="8"/>
    <x v="774"/>
    <x v="3"/>
    <x v="38"/>
    <x v="133"/>
    <x v="91"/>
    <x v="131"/>
    <x v="109"/>
    <x v="0"/>
    <x v="0"/>
    <x v="0"/>
    <x v="0"/>
    <x v="24"/>
    <x v="0"/>
    <x v="3"/>
    <x v="58"/>
    <x v="15"/>
    <x v="17"/>
    <x v="0"/>
    <x v="0"/>
    <x v="357"/>
    <x v="261"/>
    <x v="0"/>
    <x v="239"/>
    <x v="44"/>
    <x v="45"/>
    <x v="17"/>
    <x v="33"/>
    <x v="7"/>
    <x v="456"/>
    <x v="354"/>
    <x v="44"/>
    <x v="750"/>
  </r>
  <r>
    <x v="46"/>
    <x v="1"/>
    <x v="2"/>
    <x v="69"/>
    <x v="9"/>
    <x v="14"/>
    <x v="4"/>
    <x v="328"/>
    <x v="2"/>
    <x v="19"/>
    <x v="52"/>
    <x v="61"/>
    <x v="31"/>
    <x v="33"/>
    <x v="11"/>
    <x v="0"/>
    <x v="0"/>
    <x v="0"/>
    <x v="0"/>
    <x v="0"/>
    <x v="0"/>
    <x v="87"/>
    <x v="31"/>
    <x v="37"/>
    <x v="2"/>
    <x v="6"/>
    <x v="135"/>
    <x v="0"/>
    <x v="0"/>
    <x v="541"/>
    <x v="21"/>
    <x v="18"/>
    <x v="19"/>
    <x v="38"/>
    <x v="5"/>
    <x v="289"/>
    <x v="325"/>
    <x v="46"/>
    <x v="4"/>
  </r>
  <r>
    <x v="46"/>
    <x v="1"/>
    <x v="2"/>
    <x v="69"/>
    <x v="9"/>
    <x v="12"/>
    <x v="4"/>
    <x v="330"/>
    <x v="2"/>
    <x v="25"/>
    <x v="86"/>
    <x v="65"/>
    <x v="176"/>
    <x v="135"/>
    <x v="0"/>
    <x v="0"/>
    <x v="0"/>
    <x v="0"/>
    <x v="4"/>
    <x v="2"/>
    <x v="0"/>
    <x v="190"/>
    <x v="386"/>
    <x v="37"/>
    <x v="2"/>
    <x v="57"/>
    <x v="301"/>
    <x v="57"/>
    <x v="0"/>
    <x v="474"/>
    <x v="0"/>
    <x v="57"/>
    <x v="107"/>
    <x v="166"/>
    <x v="5"/>
    <x v="321"/>
    <x v="227"/>
    <x v="467"/>
    <x v="54"/>
  </r>
  <r>
    <x v="46"/>
    <x v="1"/>
    <x v="0"/>
    <x v="3"/>
    <x v="4"/>
    <x v="1"/>
    <x v="53"/>
    <x v="323"/>
    <x v="2"/>
    <x v="37"/>
    <x v="83"/>
    <x v="21"/>
    <x v="139"/>
    <x v="110"/>
    <x v="23"/>
    <x v="44"/>
    <x v="0"/>
    <x v="0"/>
    <x v="32"/>
    <x v="2"/>
    <x v="0"/>
    <x v="162"/>
    <x v="134"/>
    <x v="38"/>
    <x v="5"/>
    <x v="295"/>
    <x v="82"/>
    <x v="337"/>
    <x v="198"/>
    <x v="156"/>
    <x v="28"/>
    <x v="64"/>
    <x v="48"/>
    <x v="41"/>
    <x v="6"/>
    <x v="380"/>
    <x v="272"/>
    <x v="142"/>
    <x v="17"/>
  </r>
  <r>
    <x v="46"/>
    <x v="1"/>
    <x v="4"/>
    <x v="55"/>
    <x v="9"/>
    <x v="7"/>
    <x v="45"/>
    <x v="719"/>
    <x v="2"/>
    <x v="37"/>
    <x v="146"/>
    <x v="118"/>
    <x v="482"/>
    <x v="248"/>
    <x v="0"/>
    <x v="0"/>
    <x v="0"/>
    <x v="0"/>
    <x v="13"/>
    <x v="0"/>
    <x v="0"/>
    <x v="289"/>
    <x v="115"/>
    <x v="13"/>
    <x v="0"/>
    <x v="0"/>
    <x v="357"/>
    <x v="80"/>
    <x v="0"/>
    <x v="447"/>
    <x v="21"/>
    <x v="72"/>
    <x v="63"/>
    <x v="223"/>
    <x v="2"/>
    <x v="197"/>
    <x v="119"/>
    <x v="150"/>
    <x v="20"/>
  </r>
  <r>
    <x v="46"/>
    <x v="1"/>
    <x v="1"/>
    <x v="9"/>
    <x v="9"/>
    <x v="11"/>
    <x v="67"/>
    <x v="287"/>
    <x v="3"/>
    <x v="37"/>
    <x v="138"/>
    <x v="107"/>
    <x v="393"/>
    <x v="230"/>
    <x v="0"/>
    <x v="0"/>
    <x v="29"/>
    <x v="0"/>
    <x v="14"/>
    <x v="0"/>
    <x v="3"/>
    <x v="105"/>
    <x v="149"/>
    <x v="4"/>
    <x v="0"/>
    <x v="0"/>
    <x v="357"/>
    <x v="94"/>
    <x v="0"/>
    <x v="430"/>
    <x v="9"/>
    <x v="87"/>
    <x v="97"/>
    <x v="205"/>
    <x v="7"/>
    <x v="428"/>
    <x v="441"/>
    <x v="664"/>
    <x v="78"/>
  </r>
  <r>
    <x v="46"/>
    <x v="1"/>
    <x v="5"/>
    <x v="74"/>
    <x v="7"/>
    <x v="6"/>
    <x v="29"/>
    <x v="770"/>
    <x v="2"/>
    <x v="37"/>
    <x v="108"/>
    <x v="42"/>
    <x v="70"/>
    <x v="24"/>
    <x v="0"/>
    <x v="91"/>
    <x v="0"/>
    <x v="0"/>
    <x v="8"/>
    <x v="2"/>
    <x v="0"/>
    <x v="71"/>
    <x v="1"/>
    <x v="32"/>
    <x v="1"/>
    <x v="16"/>
    <x v="3"/>
    <x v="309"/>
    <x v="254"/>
    <x v="352"/>
    <x v="52"/>
    <x v="12"/>
    <x v="0"/>
    <x v="5"/>
    <x v="4"/>
    <x v="239"/>
    <x v="370"/>
    <x v="2"/>
    <x v="0"/>
  </r>
  <r>
    <x v="46"/>
    <x v="4"/>
    <x v="8"/>
    <x v="59"/>
    <x v="9"/>
    <x v="18"/>
    <x v="44"/>
    <x v="723"/>
    <x v="6"/>
    <x v="37"/>
    <x v="175"/>
    <x v="168"/>
    <x v="570"/>
    <x v="328"/>
    <x v="0"/>
    <x v="0"/>
    <x v="0"/>
    <x v="0"/>
    <x v="19"/>
    <x v="0"/>
    <x v="0"/>
    <x v="391"/>
    <x v="65"/>
    <x v="25"/>
    <x v="0"/>
    <x v="0"/>
    <x v="357"/>
    <x v="73"/>
    <x v="0"/>
    <x v="454"/>
    <x v="11"/>
    <x v="85"/>
    <x v="89"/>
    <x v="324"/>
    <x v="3"/>
    <x v="61"/>
    <x v="456"/>
    <x v="693"/>
    <x v="84"/>
  </r>
  <r>
    <x v="46"/>
    <x v="2"/>
    <x v="5"/>
    <x v="74"/>
    <x v="7"/>
    <x v="6"/>
    <x v="29"/>
    <x v="741"/>
    <x v="4"/>
    <x v="37"/>
    <x v="129"/>
    <x v="93"/>
    <x v="271"/>
    <x v="151"/>
    <x v="0"/>
    <x v="88"/>
    <x v="0"/>
    <x v="0"/>
    <x v="59"/>
    <x v="0"/>
    <x v="0"/>
    <x v="209"/>
    <x v="71"/>
    <x v="32"/>
    <x v="1"/>
    <x v="83"/>
    <x v="24"/>
    <x v="377"/>
    <x v="247"/>
    <x v="115"/>
    <x v="29"/>
    <x v="63"/>
    <x v="46"/>
    <x v="83"/>
    <x v="4"/>
    <x v="304"/>
    <x v="110"/>
    <x v="95"/>
    <x v="12"/>
  </r>
  <r>
    <x v="46"/>
    <x v="2"/>
    <x v="0"/>
    <x v="3"/>
    <x v="4"/>
    <x v="1"/>
    <x v="53"/>
    <x v="325"/>
    <x v="4"/>
    <x v="37"/>
    <x v="83"/>
    <x v="21"/>
    <x v="240"/>
    <x v="154"/>
    <x v="11"/>
    <x v="0"/>
    <x v="0"/>
    <x v="0"/>
    <x v="40"/>
    <x v="0"/>
    <x v="0"/>
    <x v="212"/>
    <x v="464"/>
    <x v="38"/>
    <x v="5"/>
    <x v="334"/>
    <x v="243"/>
    <x v="282"/>
    <x v="0"/>
    <x v="208"/>
    <x v="0"/>
    <x v="92"/>
    <x v="107"/>
    <x v="86"/>
    <x v="6"/>
    <x v="367"/>
    <x v="337"/>
    <x v="584"/>
    <x v="71"/>
  </r>
  <r>
    <x v="46"/>
    <x v="2"/>
    <x v="2"/>
    <x v="69"/>
    <x v="9"/>
    <x v="12"/>
    <x v="4"/>
    <x v="364"/>
    <x v="4"/>
    <x v="37"/>
    <x v="121"/>
    <x v="62"/>
    <x v="312"/>
    <x v="194"/>
    <x v="0"/>
    <x v="0"/>
    <x v="0"/>
    <x v="0"/>
    <x v="0"/>
    <x v="0"/>
    <x v="0"/>
    <x v="248"/>
    <x v="276"/>
    <x v="37"/>
    <x v="2"/>
    <x v="133"/>
    <x v="356"/>
    <x v="0"/>
    <x v="0"/>
    <x v="541"/>
    <x v="13"/>
    <x v="82"/>
    <x v="84"/>
    <x v="138"/>
    <x v="5"/>
    <x v="298"/>
    <x v="290"/>
    <x v="331"/>
    <x v="37"/>
  </r>
  <r>
    <x v="46"/>
    <x v="2"/>
    <x v="1"/>
    <x v="9"/>
    <x v="9"/>
    <x v="11"/>
    <x v="67"/>
    <x v="301"/>
    <x v="3"/>
    <x v="37"/>
    <x v="138"/>
    <x v="107"/>
    <x v="502"/>
    <x v="257"/>
    <x v="0"/>
    <x v="0"/>
    <x v="36"/>
    <x v="0"/>
    <x v="41"/>
    <x v="0"/>
    <x v="4"/>
    <x v="104"/>
    <x v="338"/>
    <x v="4"/>
    <x v="0"/>
    <x v="0"/>
    <x v="357"/>
    <x v="170"/>
    <x v="0"/>
    <x v="348"/>
    <x v="9"/>
    <x v="87"/>
    <x v="97"/>
    <x v="234"/>
    <x v="7"/>
    <x v="431"/>
    <x v="438"/>
    <x v="660"/>
    <x v="77"/>
  </r>
  <r>
    <x v="46"/>
    <x v="3"/>
    <x v="2"/>
    <x v="69"/>
    <x v="9"/>
    <x v="12"/>
    <x v="4"/>
    <x v="331"/>
    <x v="0"/>
    <x v="19"/>
    <x v="52"/>
    <x v="61"/>
    <x v="114"/>
    <x v="95"/>
    <x v="0"/>
    <x v="0"/>
    <x v="0"/>
    <x v="0"/>
    <x v="0"/>
    <x v="0"/>
    <x v="0"/>
    <x v="148"/>
    <x v="433"/>
    <x v="37"/>
    <x v="2"/>
    <x v="37"/>
    <x v="356"/>
    <x v="0"/>
    <x v="0"/>
    <x v="541"/>
    <x v="0"/>
    <x v="39"/>
    <x v="107"/>
    <x v="188"/>
    <x v="5"/>
    <x v="289"/>
    <x v="325"/>
    <x v="583"/>
    <x v="70"/>
  </r>
  <r>
    <x v="46"/>
    <x v="3"/>
    <x v="2"/>
    <x v="69"/>
    <x v="9"/>
    <x v="14"/>
    <x v="4"/>
    <x v="329"/>
    <x v="0"/>
    <x v="25"/>
    <x v="85"/>
    <x v="61"/>
    <x v="145"/>
    <x v="117"/>
    <x v="33"/>
    <x v="0"/>
    <x v="0"/>
    <x v="0"/>
    <x v="4"/>
    <x v="0"/>
    <x v="0"/>
    <x v="169"/>
    <x v="164"/>
    <x v="37"/>
    <x v="2"/>
    <x v="49"/>
    <x v="120"/>
    <x v="65"/>
    <x v="0"/>
    <x v="462"/>
    <x v="13"/>
    <x v="50"/>
    <x v="64"/>
    <x v="112"/>
    <x v="5"/>
    <x v="307"/>
    <x v="262"/>
    <x v="217"/>
    <x v="26"/>
  </r>
  <r>
    <x v="46"/>
    <x v="3"/>
    <x v="0"/>
    <x v="3"/>
    <x v="4"/>
    <x v="1"/>
    <x v="53"/>
    <x v="327"/>
    <x v="0"/>
    <x v="37"/>
    <x v="83"/>
    <x v="21"/>
    <x v="239"/>
    <x v="154"/>
    <x v="3"/>
    <x v="0"/>
    <x v="0"/>
    <x v="0"/>
    <x v="39"/>
    <x v="0"/>
    <x v="0"/>
    <x v="212"/>
    <x v="464"/>
    <x v="38"/>
    <x v="5"/>
    <x v="333"/>
    <x v="254"/>
    <x v="274"/>
    <x v="0"/>
    <x v="219"/>
    <x v="0"/>
    <x v="92"/>
    <x v="107"/>
    <x v="86"/>
    <x v="6"/>
    <x v="367"/>
    <x v="337"/>
    <x v="586"/>
    <x v="72"/>
  </r>
  <r>
    <x v="46"/>
    <x v="3"/>
    <x v="5"/>
    <x v="74"/>
    <x v="7"/>
    <x v="6"/>
    <x v="29"/>
    <x v="742"/>
    <x v="0"/>
    <x v="14"/>
    <x v="17"/>
    <x v="22"/>
    <x v="29"/>
    <x v="24"/>
    <x v="0"/>
    <x v="68"/>
    <x v="0"/>
    <x v="0"/>
    <x v="54"/>
    <x v="0"/>
    <x v="0"/>
    <x v="71"/>
    <x v="205"/>
    <x v="32"/>
    <x v="1"/>
    <x v="4"/>
    <x v="11"/>
    <x v="468"/>
    <x v="249"/>
    <x v="3"/>
    <x v="15"/>
    <x v="12"/>
    <x v="16"/>
    <x v="49"/>
    <x v="4"/>
    <x v="239"/>
    <x v="370"/>
    <x v="39"/>
    <x v="3"/>
  </r>
  <r>
    <x v="47"/>
    <x v="1"/>
    <x v="0"/>
    <x v="3"/>
    <x v="4"/>
    <x v="1"/>
    <x v="53"/>
    <x v="332"/>
    <x v="2"/>
    <x v="37"/>
    <x v="83"/>
    <x v="21"/>
    <x v="244"/>
    <x v="154"/>
    <x v="0"/>
    <x v="11"/>
    <x v="0"/>
    <x v="0"/>
    <x v="32"/>
    <x v="2"/>
    <x v="0"/>
    <x v="212"/>
    <x v="464"/>
    <x v="38"/>
    <x v="5"/>
    <x v="336"/>
    <x v="220"/>
    <x v="231"/>
    <x v="42"/>
    <x v="281"/>
    <x v="0"/>
    <x v="92"/>
    <x v="107"/>
    <x v="86"/>
    <x v="6"/>
    <x v="367"/>
    <x v="337"/>
    <x v="591"/>
    <x v="74"/>
  </r>
  <r>
    <x v="47"/>
    <x v="1"/>
    <x v="2"/>
    <x v="69"/>
    <x v="9"/>
    <x v="14"/>
    <x v="4"/>
    <x v="337"/>
    <x v="2"/>
    <x v="16"/>
    <x v="41"/>
    <x v="60"/>
    <x v="54"/>
    <x v="55"/>
    <x v="0"/>
    <x v="0"/>
    <x v="0"/>
    <x v="0"/>
    <x v="0"/>
    <x v="0"/>
    <x v="0"/>
    <x v="116"/>
    <x v="154"/>
    <x v="37"/>
    <x v="2"/>
    <x v="14"/>
    <x v="356"/>
    <x v="0"/>
    <x v="0"/>
    <x v="541"/>
    <x v="11"/>
    <x v="23"/>
    <x v="45"/>
    <x v="108"/>
    <x v="5"/>
    <x v="255"/>
    <x v="420"/>
    <x v="207"/>
    <x v="24"/>
  </r>
  <r>
    <x v="47"/>
    <x v="1"/>
    <x v="2"/>
    <x v="69"/>
    <x v="9"/>
    <x v="12"/>
    <x v="4"/>
    <x v="339"/>
    <x v="2"/>
    <x v="27"/>
    <x v="90"/>
    <x v="66"/>
    <x v="226"/>
    <x v="151"/>
    <x v="0"/>
    <x v="0"/>
    <x v="0"/>
    <x v="0"/>
    <x v="0"/>
    <x v="2"/>
    <x v="0"/>
    <x v="209"/>
    <x v="411"/>
    <x v="37"/>
    <x v="2"/>
    <x v="73"/>
    <x v="328"/>
    <x v="0"/>
    <x v="0"/>
    <x v="541"/>
    <x v="0"/>
    <x v="63"/>
    <x v="107"/>
    <x v="179"/>
    <x v="5"/>
    <x v="304"/>
    <x v="277"/>
    <x v="553"/>
    <x v="64"/>
  </r>
  <r>
    <x v="47"/>
    <x v="1"/>
    <x v="7"/>
    <x v="76"/>
    <x v="9"/>
    <x v="18"/>
    <x v="33"/>
    <x v="740"/>
    <x v="2"/>
    <x v="37"/>
    <x v="146"/>
    <x v="118"/>
    <x v="347"/>
    <x v="209"/>
    <x v="0"/>
    <x v="0"/>
    <x v="0"/>
    <x v="0"/>
    <x v="0"/>
    <x v="0"/>
    <x v="0"/>
    <x v="262"/>
    <x v="60"/>
    <x v="34"/>
    <x v="0"/>
    <x v="0"/>
    <x v="357"/>
    <x v="0"/>
    <x v="0"/>
    <x v="541"/>
    <x v="30"/>
    <x v="61"/>
    <x v="45"/>
    <x v="161"/>
    <x v="2"/>
    <x v="215"/>
    <x v="65"/>
    <x v="80"/>
    <x v="10"/>
  </r>
  <r>
    <x v="47"/>
    <x v="1"/>
    <x v="4"/>
    <x v="77"/>
    <x v="9"/>
    <x v="7"/>
    <x v="31"/>
    <x v="739"/>
    <x v="2"/>
    <x v="37"/>
    <x v="146"/>
    <x v="118"/>
    <x v="285"/>
    <x v="184"/>
    <x v="0"/>
    <x v="0"/>
    <x v="0"/>
    <x v="0"/>
    <x v="0"/>
    <x v="0"/>
    <x v="0"/>
    <x v="238"/>
    <x v="35"/>
    <x v="35"/>
    <x v="0"/>
    <x v="0"/>
    <x v="357"/>
    <x v="0"/>
    <x v="0"/>
    <x v="541"/>
    <x v="37"/>
    <x v="52"/>
    <x v="27"/>
    <x v="120"/>
    <x v="2"/>
    <x v="199"/>
    <x v="117"/>
    <x v="50"/>
    <x v="6"/>
  </r>
  <r>
    <x v="47"/>
    <x v="1"/>
    <x v="5"/>
    <x v="74"/>
    <x v="7"/>
    <x v="6"/>
    <x v="29"/>
    <x v="744"/>
    <x v="2"/>
    <x v="37"/>
    <x v="129"/>
    <x v="93"/>
    <x v="260"/>
    <x v="133"/>
    <x v="46"/>
    <x v="91"/>
    <x v="0"/>
    <x v="0"/>
    <x v="69"/>
    <x v="2"/>
    <x v="0"/>
    <x v="188"/>
    <x v="36"/>
    <x v="32"/>
    <x v="1"/>
    <x v="82"/>
    <x v="10"/>
    <x v="425"/>
    <x v="250"/>
    <x v="84"/>
    <x v="37"/>
    <x v="52"/>
    <x v="27"/>
    <x v="61"/>
    <x v="4"/>
    <x v="277"/>
    <x v="190"/>
    <x v="61"/>
    <x v="8"/>
  </r>
  <r>
    <x v="47"/>
    <x v="1"/>
    <x v="1"/>
    <x v="9"/>
    <x v="9"/>
    <x v="18"/>
    <x v="67"/>
    <x v="309"/>
    <x v="3"/>
    <x v="14"/>
    <x v="49"/>
    <x v="107"/>
    <x v="59"/>
    <x v="56"/>
    <x v="0"/>
    <x v="0"/>
    <x v="8"/>
    <x v="0"/>
    <x v="8"/>
    <x v="0"/>
    <x v="3"/>
    <x v="37"/>
    <x v="107"/>
    <x v="4"/>
    <x v="0"/>
    <x v="0"/>
    <x v="357"/>
    <x v="177"/>
    <x v="0"/>
    <x v="341"/>
    <x v="11"/>
    <x v="16"/>
    <x v="31"/>
    <x v="171"/>
    <x v="7"/>
    <x v="412"/>
    <x v="477"/>
    <x v="599"/>
    <x v="76"/>
  </r>
  <r>
    <x v="47"/>
    <x v="1"/>
    <x v="1"/>
    <x v="8"/>
    <x v="9"/>
    <x v="18"/>
    <x v="54"/>
    <x v="324"/>
    <x v="3"/>
    <x v="29"/>
    <x v="123"/>
    <x v="107"/>
    <x v="320"/>
    <x v="195"/>
    <x v="0"/>
    <x v="0"/>
    <x v="19"/>
    <x v="0"/>
    <x v="16"/>
    <x v="0"/>
    <x v="3"/>
    <x v="89"/>
    <x v="225"/>
    <x v="3"/>
    <x v="0"/>
    <x v="0"/>
    <x v="357"/>
    <x v="114"/>
    <x v="0"/>
    <x v="409"/>
    <x v="7"/>
    <x v="63"/>
    <x v="97"/>
    <x v="221"/>
    <x v="7"/>
    <x v="418"/>
    <x v="455"/>
    <x v="689"/>
    <x v="82"/>
  </r>
  <r>
    <x v="47"/>
    <x v="4"/>
    <x v="8"/>
    <x v="59"/>
    <x v="9"/>
    <x v="18"/>
    <x v="44"/>
    <x v="699"/>
    <x v="6"/>
    <x v="6"/>
    <x v="33"/>
    <x v="141"/>
    <x v="69"/>
    <x v="62"/>
    <x v="0"/>
    <x v="0"/>
    <x v="0"/>
    <x v="0"/>
    <x v="35"/>
    <x v="0"/>
    <x v="0"/>
    <x v="121"/>
    <x v="286"/>
    <x v="25"/>
    <x v="0"/>
    <x v="0"/>
    <x v="357"/>
    <x v="439"/>
    <x v="0"/>
    <x v="29"/>
    <x v="11"/>
    <x v="2"/>
    <x v="1"/>
    <x v="330"/>
    <x v="3"/>
    <x v="0"/>
    <x v="492"/>
    <x v="694"/>
    <x v="85"/>
  </r>
  <r>
    <x v="47"/>
    <x v="4"/>
    <x v="8"/>
    <x v="78"/>
    <x v="9"/>
    <x v="18"/>
    <x v="30"/>
    <x v="737"/>
    <x v="6"/>
    <x v="33"/>
    <x v="168"/>
    <x v="173"/>
    <x v="401"/>
    <x v="229"/>
    <x v="0"/>
    <x v="0"/>
    <x v="0"/>
    <x v="0"/>
    <x v="77"/>
    <x v="0"/>
    <x v="0"/>
    <x v="278"/>
    <x v="14"/>
    <x v="36"/>
    <x v="0"/>
    <x v="0"/>
    <x v="357"/>
    <x v="357"/>
    <x v="0"/>
    <x v="128"/>
    <x v="0"/>
    <x v="82"/>
    <x v="107"/>
    <x v="226"/>
    <x v="3"/>
    <x v="242"/>
    <x v="58"/>
    <x v="235"/>
    <x v="29"/>
  </r>
  <r>
    <x v="47"/>
    <x v="4"/>
    <x v="9"/>
    <x v="25"/>
    <x v="9"/>
    <x v="16"/>
    <x v="52"/>
    <x v="684"/>
    <x v="6"/>
    <x v="17"/>
    <x v="131"/>
    <x v="179"/>
    <x v="415"/>
    <x v="237"/>
    <x v="0"/>
    <x v="0"/>
    <x v="0"/>
    <x v="0"/>
    <x v="0"/>
    <x v="0"/>
    <x v="1"/>
    <x v="185"/>
    <x v="342"/>
    <x v="16"/>
    <x v="0"/>
    <x v="0"/>
    <x v="357"/>
    <x v="0"/>
    <x v="0"/>
    <x v="541"/>
    <x v="0"/>
    <x v="35"/>
    <x v="107"/>
    <x v="403"/>
    <x v="1"/>
    <x v="150"/>
    <x v="12"/>
    <x v="145"/>
    <x v="18"/>
  </r>
  <r>
    <x v="47"/>
    <x v="4"/>
    <x v="9"/>
    <x v="68"/>
    <x v="9"/>
    <x v="16"/>
    <x v="34"/>
    <x v="726"/>
    <x v="6"/>
    <x v="28"/>
    <x v="163"/>
    <x v="184"/>
    <x v="574"/>
    <x v="333"/>
    <x v="0"/>
    <x v="0"/>
    <x v="0"/>
    <x v="0"/>
    <x v="0"/>
    <x v="0"/>
    <x v="1"/>
    <x v="267"/>
    <x v="142"/>
    <x v="31"/>
    <x v="0"/>
    <x v="0"/>
    <x v="357"/>
    <x v="0"/>
    <x v="0"/>
    <x v="541"/>
    <x v="24"/>
    <x v="47"/>
    <x v="44"/>
    <x v="375"/>
    <x v="1"/>
    <x v="64"/>
    <x v="136"/>
    <x v="91"/>
    <x v="11"/>
  </r>
  <r>
    <x v="47"/>
    <x v="2"/>
    <x v="0"/>
    <x v="3"/>
    <x v="4"/>
    <x v="1"/>
    <x v="53"/>
    <x v="333"/>
    <x v="0"/>
    <x v="37"/>
    <x v="83"/>
    <x v="21"/>
    <x v="212"/>
    <x v="148"/>
    <x v="11"/>
    <x v="29"/>
    <x v="0"/>
    <x v="0"/>
    <x v="43"/>
    <x v="0"/>
    <x v="0"/>
    <x v="205"/>
    <x v="448"/>
    <x v="38"/>
    <x v="5"/>
    <x v="325"/>
    <x v="151"/>
    <x v="321"/>
    <x v="127"/>
    <x v="169"/>
    <x v="0"/>
    <x v="92"/>
    <x v="107"/>
    <x v="76"/>
    <x v="6"/>
    <x v="383"/>
    <x v="260"/>
    <x v="493"/>
    <x v="56"/>
  </r>
  <r>
    <x v="47"/>
    <x v="2"/>
    <x v="5"/>
    <x v="74"/>
    <x v="7"/>
    <x v="6"/>
    <x v="29"/>
    <x v="774"/>
    <x v="0"/>
    <x v="37"/>
    <x v="129"/>
    <x v="93"/>
    <x v="285"/>
    <x v="165"/>
    <x v="0"/>
    <x v="84"/>
    <x v="0"/>
    <x v="0"/>
    <x v="94"/>
    <x v="0"/>
    <x v="0"/>
    <x v="222"/>
    <x v="81"/>
    <x v="32"/>
    <x v="1"/>
    <x v="92"/>
    <x v="25"/>
    <x v="456"/>
    <x v="240"/>
    <x v="16"/>
    <x v="24"/>
    <x v="69"/>
    <x v="57"/>
    <x v="96"/>
    <x v="4"/>
    <x v="317"/>
    <x v="90"/>
    <x v="102"/>
    <x v="13"/>
  </r>
  <r>
    <x v="47"/>
    <x v="2"/>
    <x v="2"/>
    <x v="69"/>
    <x v="9"/>
    <x v="12"/>
    <x v="4"/>
    <x v="340"/>
    <x v="0"/>
    <x v="14"/>
    <x v="25"/>
    <x v="61"/>
    <x v="43"/>
    <x v="46"/>
    <x v="0"/>
    <x v="0"/>
    <x v="0"/>
    <x v="0"/>
    <x v="0"/>
    <x v="0"/>
    <x v="0"/>
    <x v="104"/>
    <x v="246"/>
    <x v="37"/>
    <x v="2"/>
    <x v="8"/>
    <x v="356"/>
    <x v="0"/>
    <x v="0"/>
    <x v="541"/>
    <x v="7"/>
    <x v="20"/>
    <x v="57"/>
    <x v="132"/>
    <x v="5"/>
    <x v="262"/>
    <x v="406"/>
    <x v="308"/>
    <x v="35"/>
  </r>
  <r>
    <x v="47"/>
    <x v="2"/>
    <x v="2"/>
    <x v="69"/>
    <x v="9"/>
    <x v="14"/>
    <x v="4"/>
    <x v="338"/>
    <x v="0"/>
    <x v="29"/>
    <x v="96"/>
    <x v="61"/>
    <x v="248"/>
    <x v="158"/>
    <x v="0"/>
    <x v="0"/>
    <x v="0"/>
    <x v="0"/>
    <x v="4"/>
    <x v="0"/>
    <x v="0"/>
    <x v="216"/>
    <x v="371"/>
    <x v="37"/>
    <x v="2"/>
    <x v="79"/>
    <x v="346"/>
    <x v="50"/>
    <x v="0"/>
    <x v="483"/>
    <x v="0"/>
    <x v="69"/>
    <x v="107"/>
    <x v="162"/>
    <x v="5"/>
    <x v="329"/>
    <x v="203"/>
    <x v="444"/>
    <x v="52"/>
  </r>
  <r>
    <x v="47"/>
    <x v="2"/>
    <x v="7"/>
    <x v="76"/>
    <x v="9"/>
    <x v="18"/>
    <x v="33"/>
    <x v="588"/>
    <x v="0"/>
    <x v="37"/>
    <x v="146"/>
    <x v="118"/>
    <x v="279"/>
    <x v="178"/>
    <x v="0"/>
    <x v="0"/>
    <x v="0"/>
    <x v="0"/>
    <x v="0"/>
    <x v="0"/>
    <x v="0"/>
    <x v="233"/>
    <x v="32"/>
    <x v="34"/>
    <x v="0"/>
    <x v="0"/>
    <x v="357"/>
    <x v="0"/>
    <x v="0"/>
    <x v="541"/>
    <x v="30"/>
    <x v="61"/>
    <x v="45"/>
    <x v="114"/>
    <x v="2"/>
    <x v="249"/>
    <x v="14"/>
    <x v="48"/>
    <x v="5"/>
  </r>
  <r>
    <x v="47"/>
    <x v="2"/>
    <x v="4"/>
    <x v="77"/>
    <x v="9"/>
    <x v="7"/>
    <x v="31"/>
    <x v="738"/>
    <x v="0"/>
    <x v="37"/>
    <x v="146"/>
    <x v="118"/>
    <x v="334"/>
    <x v="204"/>
    <x v="0"/>
    <x v="0"/>
    <x v="0"/>
    <x v="0"/>
    <x v="0"/>
    <x v="0"/>
    <x v="0"/>
    <x v="257"/>
    <x v="52"/>
    <x v="35"/>
    <x v="0"/>
    <x v="0"/>
    <x v="357"/>
    <x v="0"/>
    <x v="0"/>
    <x v="541"/>
    <x v="30"/>
    <x v="61"/>
    <x v="45"/>
    <x v="155"/>
    <x v="2"/>
    <x v="224"/>
    <x v="49"/>
    <x v="75"/>
    <x v="9"/>
  </r>
  <r>
    <x v="47"/>
    <x v="2"/>
    <x v="1"/>
    <x v="8"/>
    <x v="9"/>
    <x v="18"/>
    <x v="54"/>
    <x v="326"/>
    <x v="3"/>
    <x v="37"/>
    <x v="138"/>
    <x v="107"/>
    <x v="546"/>
    <x v="301"/>
    <x v="0"/>
    <x v="0"/>
    <x v="0"/>
    <x v="0"/>
    <x v="31"/>
    <x v="0"/>
    <x v="3"/>
    <x v="136"/>
    <x v="459"/>
    <x v="3"/>
    <x v="0"/>
    <x v="0"/>
    <x v="357"/>
    <x v="127"/>
    <x v="0"/>
    <x v="393"/>
    <x v="9"/>
    <x v="87"/>
    <x v="97"/>
    <x v="289"/>
    <x v="7"/>
    <x v="411"/>
    <x v="478"/>
    <x v="710"/>
    <x v="89"/>
  </r>
  <r>
    <x v="47"/>
    <x v="3"/>
    <x v="5"/>
    <x v="74"/>
    <x v="7"/>
    <x v="6"/>
    <x v="29"/>
    <x v="745"/>
    <x v="4"/>
    <x v="37"/>
    <x v="129"/>
    <x v="93"/>
    <x v="448"/>
    <x v="242"/>
    <x v="0"/>
    <x v="0"/>
    <x v="0"/>
    <x v="0"/>
    <x v="69"/>
    <x v="2"/>
    <x v="0"/>
    <x v="284"/>
    <x v="393"/>
    <x v="32"/>
    <x v="1"/>
    <x v="214"/>
    <x v="247"/>
    <x v="306"/>
    <x v="0"/>
    <x v="183"/>
    <x v="0"/>
    <x v="92"/>
    <x v="107"/>
    <x v="214"/>
    <x v="4"/>
    <x v="264"/>
    <x v="270"/>
    <x v="512"/>
    <x v="58"/>
  </r>
  <r>
    <x v="47"/>
    <x v="3"/>
    <x v="2"/>
    <x v="69"/>
    <x v="9"/>
    <x v="12"/>
    <x v="4"/>
    <x v="341"/>
    <x v="4"/>
    <x v="37"/>
    <x v="121"/>
    <x v="62"/>
    <x v="237"/>
    <x v="151"/>
    <x v="8"/>
    <x v="35"/>
    <x v="0"/>
    <x v="0"/>
    <x v="21"/>
    <x v="2"/>
    <x v="0"/>
    <x v="209"/>
    <x v="104"/>
    <x v="37"/>
    <x v="2"/>
    <x v="77"/>
    <x v="149"/>
    <x v="168"/>
    <x v="138"/>
    <x v="353"/>
    <x v="24"/>
    <x v="69"/>
    <x v="57"/>
    <x v="83"/>
    <x v="5"/>
    <x v="338"/>
    <x v="160"/>
    <x v="137"/>
    <x v="16"/>
  </r>
  <r>
    <x v="47"/>
    <x v="3"/>
    <x v="0"/>
    <x v="3"/>
    <x v="4"/>
    <x v="1"/>
    <x v="53"/>
    <x v="335"/>
    <x v="4"/>
    <x v="37"/>
    <x v="83"/>
    <x v="21"/>
    <x v="203"/>
    <x v="148"/>
    <x v="11"/>
    <x v="0"/>
    <x v="0"/>
    <x v="0"/>
    <x v="35"/>
    <x v="2"/>
    <x v="0"/>
    <x v="205"/>
    <x v="448"/>
    <x v="38"/>
    <x v="5"/>
    <x v="319"/>
    <x v="229"/>
    <x v="263"/>
    <x v="0"/>
    <x v="240"/>
    <x v="0"/>
    <x v="92"/>
    <x v="107"/>
    <x v="76"/>
    <x v="6"/>
    <x v="383"/>
    <x v="260"/>
    <x v="500"/>
    <x v="57"/>
  </r>
  <r>
    <x v="48"/>
    <x v="1"/>
    <x v="0"/>
    <x v="3"/>
    <x v="4"/>
    <x v="1"/>
    <x v="53"/>
    <x v="342"/>
    <x v="2"/>
    <x v="37"/>
    <x v="83"/>
    <x v="21"/>
    <x v="244"/>
    <x v="154"/>
    <x v="18"/>
    <x v="8"/>
    <x v="0"/>
    <x v="0"/>
    <x v="36"/>
    <x v="2"/>
    <x v="0"/>
    <x v="212"/>
    <x v="464"/>
    <x v="38"/>
    <x v="5"/>
    <x v="339"/>
    <x v="189"/>
    <x v="255"/>
    <x v="20"/>
    <x v="249"/>
    <x v="5"/>
    <x v="90"/>
    <x v="105"/>
    <x v="86"/>
    <x v="6"/>
    <x v="362"/>
    <x v="374"/>
    <x v="588"/>
    <x v="73"/>
  </r>
  <r>
    <x v="48"/>
    <x v="1"/>
    <x v="5"/>
    <x v="74"/>
    <x v="7"/>
    <x v="6"/>
    <x v="29"/>
    <x v="750"/>
    <x v="2"/>
    <x v="37"/>
    <x v="129"/>
    <x v="93"/>
    <x v="404"/>
    <x v="227"/>
    <x v="0"/>
    <x v="29"/>
    <x v="0"/>
    <x v="0"/>
    <x v="59"/>
    <x v="2"/>
    <x v="0"/>
    <x v="276"/>
    <x v="344"/>
    <x v="32"/>
    <x v="1"/>
    <x v="182"/>
    <x v="198"/>
    <x v="273"/>
    <x v="70"/>
    <x v="229"/>
    <x v="0"/>
    <x v="92"/>
    <x v="107"/>
    <x v="203"/>
    <x v="4"/>
    <x v="276"/>
    <x v="199"/>
    <x v="421"/>
    <x v="50"/>
  </r>
  <r>
    <x v="48"/>
    <x v="1"/>
    <x v="7"/>
    <x v="76"/>
    <x v="9"/>
    <x v="18"/>
    <x v="33"/>
    <x v="746"/>
    <x v="2"/>
    <x v="37"/>
    <x v="146"/>
    <x v="118"/>
    <x v="552"/>
    <x v="310"/>
    <x v="0"/>
    <x v="0"/>
    <x v="0"/>
    <x v="0"/>
    <x v="0"/>
    <x v="0"/>
    <x v="0"/>
    <x v="363"/>
    <x v="366"/>
    <x v="34"/>
    <x v="0"/>
    <x v="0"/>
    <x v="357"/>
    <x v="0"/>
    <x v="0"/>
    <x v="541"/>
    <x v="9"/>
    <x v="87"/>
    <x v="97"/>
    <x v="302"/>
    <x v="2"/>
    <x v="111"/>
    <x v="298"/>
    <x v="413"/>
    <x v="47"/>
  </r>
  <r>
    <x v="48"/>
    <x v="1"/>
    <x v="4"/>
    <x v="77"/>
    <x v="9"/>
    <x v="7"/>
    <x v="31"/>
    <x v="587"/>
    <x v="2"/>
    <x v="37"/>
    <x v="146"/>
    <x v="118"/>
    <x v="519"/>
    <x v="273"/>
    <x v="0"/>
    <x v="0"/>
    <x v="0"/>
    <x v="0"/>
    <x v="0"/>
    <x v="0"/>
    <x v="0"/>
    <x v="317"/>
    <x v="186"/>
    <x v="35"/>
    <x v="0"/>
    <x v="0"/>
    <x v="357"/>
    <x v="0"/>
    <x v="0"/>
    <x v="541"/>
    <x v="21"/>
    <x v="72"/>
    <x v="63"/>
    <x v="246"/>
    <x v="2"/>
    <x v="109"/>
    <x v="302"/>
    <x v="232"/>
    <x v="28"/>
  </r>
  <r>
    <x v="48"/>
    <x v="1"/>
    <x v="2"/>
    <x v="69"/>
    <x v="9"/>
    <x v="12"/>
    <x v="4"/>
    <x v="347"/>
    <x v="2"/>
    <x v="14"/>
    <x v="25"/>
    <x v="61"/>
    <x v="34"/>
    <x v="38"/>
    <x v="0"/>
    <x v="0"/>
    <x v="0"/>
    <x v="0"/>
    <x v="0"/>
    <x v="0"/>
    <x v="0"/>
    <x v="92"/>
    <x v="124"/>
    <x v="37"/>
    <x v="2"/>
    <x v="7"/>
    <x v="356"/>
    <x v="0"/>
    <x v="0"/>
    <x v="541"/>
    <x v="7"/>
    <x v="20"/>
    <x v="57"/>
    <x v="96"/>
    <x v="5"/>
    <x v="317"/>
    <x v="240"/>
    <x v="172"/>
    <x v="22"/>
  </r>
  <r>
    <x v="48"/>
    <x v="1"/>
    <x v="2"/>
    <x v="69"/>
    <x v="9"/>
    <x v="14"/>
    <x v="4"/>
    <x v="344"/>
    <x v="2"/>
    <x v="29"/>
    <x v="97"/>
    <x v="64"/>
    <x v="146"/>
    <x v="117"/>
    <x v="2"/>
    <x v="0"/>
    <x v="0"/>
    <x v="0"/>
    <x v="0"/>
    <x v="2"/>
    <x v="0"/>
    <x v="169"/>
    <x v="93"/>
    <x v="37"/>
    <x v="2"/>
    <x v="47"/>
    <x v="275"/>
    <x v="0"/>
    <x v="0"/>
    <x v="541"/>
    <x v="24"/>
    <x v="50"/>
    <x v="45"/>
    <x v="77"/>
    <x v="5"/>
    <x v="307"/>
    <x v="262"/>
    <x v="117"/>
    <x v="15"/>
  </r>
  <r>
    <x v="48"/>
    <x v="4"/>
    <x v="8"/>
    <x v="78"/>
    <x v="9"/>
    <x v="18"/>
    <x v="30"/>
    <x v="769"/>
    <x v="6"/>
    <x v="37"/>
    <x v="175"/>
    <x v="168"/>
    <x v="590"/>
    <x v="350"/>
    <x v="0"/>
    <x v="0"/>
    <x v="0"/>
    <x v="0"/>
    <x v="48"/>
    <x v="0"/>
    <x v="1"/>
    <x v="298"/>
    <x v="126"/>
    <x v="36"/>
    <x v="0"/>
    <x v="0"/>
    <x v="357"/>
    <x v="125"/>
    <x v="0"/>
    <x v="394"/>
    <x v="11"/>
    <x v="85"/>
    <x v="89"/>
    <x v="356"/>
    <x v="3"/>
    <x v="221"/>
    <x v="178"/>
    <x v="258"/>
    <x v="32"/>
  </r>
  <r>
    <x v="48"/>
    <x v="4"/>
    <x v="9"/>
    <x v="68"/>
    <x v="9"/>
    <x v="16"/>
    <x v="34"/>
    <x v="747"/>
    <x v="6"/>
    <x v="37"/>
    <x v="178"/>
    <x v="188"/>
    <x v="616"/>
    <x v="379"/>
    <x v="0"/>
    <x v="0"/>
    <x v="0"/>
    <x v="0"/>
    <x v="11"/>
    <x v="0"/>
    <x v="1"/>
    <x v="370"/>
    <x v="229"/>
    <x v="31"/>
    <x v="0"/>
    <x v="0"/>
    <x v="357"/>
    <x v="22"/>
    <x v="0"/>
    <x v="515"/>
    <x v="11"/>
    <x v="85"/>
    <x v="89"/>
    <x v="404"/>
    <x v="1"/>
    <x v="84"/>
    <x v="34"/>
    <x v="148"/>
    <x v="19"/>
  </r>
  <r>
    <x v="48"/>
    <x v="2"/>
    <x v="7"/>
    <x v="76"/>
    <x v="9"/>
    <x v="18"/>
    <x v="33"/>
    <x v="751"/>
    <x v="0"/>
    <x v="37"/>
    <x v="146"/>
    <x v="118"/>
    <x v="512"/>
    <x v="267"/>
    <x v="0"/>
    <x v="0"/>
    <x v="0"/>
    <x v="0"/>
    <x v="0"/>
    <x v="0"/>
    <x v="0"/>
    <x v="312"/>
    <x v="172"/>
    <x v="34"/>
    <x v="0"/>
    <x v="0"/>
    <x v="357"/>
    <x v="0"/>
    <x v="0"/>
    <x v="541"/>
    <x v="9"/>
    <x v="87"/>
    <x v="97"/>
    <x v="242"/>
    <x v="2"/>
    <x v="207"/>
    <x v="98"/>
    <x v="218"/>
    <x v="27"/>
  </r>
  <r>
    <x v="48"/>
    <x v="2"/>
    <x v="4"/>
    <x v="77"/>
    <x v="9"/>
    <x v="7"/>
    <x v="31"/>
    <x v="743"/>
    <x v="0"/>
    <x v="37"/>
    <x v="146"/>
    <x v="118"/>
    <x v="512"/>
    <x v="267"/>
    <x v="0"/>
    <x v="0"/>
    <x v="0"/>
    <x v="0"/>
    <x v="0"/>
    <x v="0"/>
    <x v="0"/>
    <x v="312"/>
    <x v="172"/>
    <x v="35"/>
    <x v="0"/>
    <x v="0"/>
    <x v="357"/>
    <x v="0"/>
    <x v="0"/>
    <x v="541"/>
    <x v="9"/>
    <x v="87"/>
    <x v="97"/>
    <x v="242"/>
    <x v="2"/>
    <x v="207"/>
    <x v="98"/>
    <x v="218"/>
    <x v="27"/>
  </r>
  <r>
    <x v="48"/>
    <x v="2"/>
    <x v="5"/>
    <x v="74"/>
    <x v="7"/>
    <x v="6"/>
    <x v="29"/>
    <x v="752"/>
    <x v="0"/>
    <x v="37"/>
    <x v="129"/>
    <x v="93"/>
    <x v="450"/>
    <x v="242"/>
    <x v="0"/>
    <x v="18"/>
    <x v="0"/>
    <x v="0"/>
    <x v="62"/>
    <x v="0"/>
    <x v="0"/>
    <x v="284"/>
    <x v="393"/>
    <x v="32"/>
    <x v="1"/>
    <x v="217"/>
    <x v="231"/>
    <x v="267"/>
    <x v="21"/>
    <x v="235"/>
    <x v="0"/>
    <x v="92"/>
    <x v="107"/>
    <x v="214"/>
    <x v="4"/>
    <x v="264"/>
    <x v="270"/>
    <x v="520"/>
    <x v="60"/>
  </r>
  <r>
    <x v="48"/>
    <x v="2"/>
    <x v="0"/>
    <x v="3"/>
    <x v="4"/>
    <x v="1"/>
    <x v="53"/>
    <x v="343"/>
    <x v="0"/>
    <x v="37"/>
    <x v="83"/>
    <x v="21"/>
    <x v="179"/>
    <x v="134"/>
    <x v="11"/>
    <x v="37"/>
    <x v="0"/>
    <x v="0"/>
    <x v="44"/>
    <x v="0"/>
    <x v="0"/>
    <x v="189"/>
    <x v="369"/>
    <x v="38"/>
    <x v="5"/>
    <x v="309"/>
    <x v="122"/>
    <x v="359"/>
    <x v="155"/>
    <x v="130"/>
    <x v="0"/>
    <x v="92"/>
    <x v="107"/>
    <x v="62"/>
    <x v="6"/>
    <x v="397"/>
    <x v="121"/>
    <x v="318"/>
    <x v="36"/>
  </r>
  <r>
    <x v="48"/>
    <x v="2"/>
    <x v="2"/>
    <x v="69"/>
    <x v="9"/>
    <x v="14"/>
    <x v="4"/>
    <x v="345"/>
    <x v="0"/>
    <x v="6"/>
    <x v="11"/>
    <x v="61"/>
    <x v="28"/>
    <x v="29"/>
    <x v="0"/>
    <x v="0"/>
    <x v="0"/>
    <x v="0"/>
    <x v="0"/>
    <x v="0"/>
    <x v="0"/>
    <x v="81"/>
    <x v="490"/>
    <x v="37"/>
    <x v="2"/>
    <x v="5"/>
    <x v="356"/>
    <x v="0"/>
    <x v="0"/>
    <x v="541"/>
    <x v="0"/>
    <x v="14"/>
    <x v="107"/>
    <x v="234"/>
    <x v="5"/>
    <x v="234"/>
    <x v="444"/>
    <x v="692"/>
    <x v="83"/>
  </r>
  <r>
    <x v="48"/>
    <x v="2"/>
    <x v="2"/>
    <x v="69"/>
    <x v="9"/>
    <x v="12"/>
    <x v="4"/>
    <x v="348"/>
    <x v="0"/>
    <x v="33"/>
    <x v="112"/>
    <x v="63"/>
    <x v="246"/>
    <x v="157"/>
    <x v="0"/>
    <x v="0"/>
    <x v="0"/>
    <x v="0"/>
    <x v="4"/>
    <x v="0"/>
    <x v="0"/>
    <x v="215"/>
    <x v="183"/>
    <x v="37"/>
    <x v="2"/>
    <x v="78"/>
    <x v="345"/>
    <x v="51"/>
    <x v="0"/>
    <x v="482"/>
    <x v="16"/>
    <x v="66"/>
    <x v="67"/>
    <x v="117"/>
    <x v="5"/>
    <x v="308"/>
    <x v="261"/>
    <x v="236"/>
    <x v="30"/>
  </r>
  <r>
    <x v="48"/>
    <x v="1"/>
    <x v="1"/>
    <x v="8"/>
    <x v="9"/>
    <x v="18"/>
    <x v="54"/>
    <x v="334"/>
    <x v="3"/>
    <x v="37"/>
    <x v="138"/>
    <x v="107"/>
    <x v="374"/>
    <x v="222"/>
    <x v="0"/>
    <x v="0"/>
    <x v="24"/>
    <x v="0"/>
    <x v="18"/>
    <x v="0"/>
    <x v="2"/>
    <x v="123"/>
    <x v="132"/>
    <x v="3"/>
    <x v="0"/>
    <x v="0"/>
    <x v="357"/>
    <x v="113"/>
    <x v="0"/>
    <x v="410"/>
    <x v="11"/>
    <x v="85"/>
    <x v="89"/>
    <x v="192"/>
    <x v="7"/>
    <x v="416"/>
    <x v="466"/>
    <x v="697"/>
    <x v="86"/>
  </r>
  <r>
    <x v="48"/>
    <x v="2"/>
    <x v="1"/>
    <x v="8"/>
    <x v="9"/>
    <x v="18"/>
    <x v="54"/>
    <x v="336"/>
    <x v="3"/>
    <x v="37"/>
    <x v="138"/>
    <x v="107"/>
    <x v="520"/>
    <x v="274"/>
    <x v="0"/>
    <x v="0"/>
    <x v="29"/>
    <x v="0"/>
    <x v="14"/>
    <x v="0"/>
    <x v="3"/>
    <x v="127"/>
    <x v="394"/>
    <x v="3"/>
    <x v="0"/>
    <x v="0"/>
    <x v="357"/>
    <x v="77"/>
    <x v="0"/>
    <x v="450"/>
    <x v="9"/>
    <x v="87"/>
    <x v="97"/>
    <x v="247"/>
    <x v="7"/>
    <x v="415"/>
    <x v="467"/>
    <x v="702"/>
    <x v="88"/>
  </r>
  <r>
    <x v="48"/>
    <x v="3"/>
    <x v="5"/>
    <x v="74"/>
    <x v="7"/>
    <x v="6"/>
    <x v="29"/>
    <x v="753"/>
    <x v="4"/>
    <x v="37"/>
    <x v="129"/>
    <x v="93"/>
    <x v="454"/>
    <x v="242"/>
    <x v="0"/>
    <x v="22"/>
    <x v="0"/>
    <x v="0"/>
    <x v="65"/>
    <x v="2"/>
    <x v="0"/>
    <x v="284"/>
    <x v="393"/>
    <x v="32"/>
    <x v="1"/>
    <x v="222"/>
    <x v="206"/>
    <x v="286"/>
    <x v="38"/>
    <x v="207"/>
    <x v="0"/>
    <x v="92"/>
    <x v="107"/>
    <x v="214"/>
    <x v="4"/>
    <x v="264"/>
    <x v="270"/>
    <x v="517"/>
    <x v="59"/>
  </r>
  <r>
    <x v="48"/>
    <x v="3"/>
    <x v="2"/>
    <x v="69"/>
    <x v="9"/>
    <x v="14"/>
    <x v="4"/>
    <x v="346"/>
    <x v="4"/>
    <x v="30"/>
    <x v="100"/>
    <x v="57"/>
    <x v="225"/>
    <x v="151"/>
    <x v="0"/>
    <x v="0"/>
    <x v="0"/>
    <x v="0"/>
    <x v="3"/>
    <x v="0"/>
    <x v="0"/>
    <x v="209"/>
    <x v="288"/>
    <x v="37"/>
    <x v="2"/>
    <x v="72"/>
    <x v="349"/>
    <x v="39"/>
    <x v="0"/>
    <x v="497"/>
    <x v="11"/>
    <x v="62"/>
    <x v="81"/>
    <x v="140"/>
    <x v="5"/>
    <x v="290"/>
    <x v="320"/>
    <x v="339"/>
    <x v="40"/>
  </r>
  <r>
    <x v="48"/>
    <x v="3"/>
    <x v="2"/>
    <x v="69"/>
    <x v="9"/>
    <x v="12"/>
    <x v="4"/>
    <x v="349"/>
    <x v="4"/>
    <x v="13"/>
    <x v="22"/>
    <x v="75"/>
    <x v="43"/>
    <x v="46"/>
    <x v="0"/>
    <x v="0"/>
    <x v="0"/>
    <x v="0"/>
    <x v="0"/>
    <x v="0"/>
    <x v="0"/>
    <x v="104"/>
    <x v="375"/>
    <x v="37"/>
    <x v="2"/>
    <x v="8"/>
    <x v="356"/>
    <x v="0"/>
    <x v="0"/>
    <x v="541"/>
    <x v="0"/>
    <x v="24"/>
    <x v="107"/>
    <x v="163"/>
    <x v="5"/>
    <x v="324"/>
    <x v="219"/>
    <x v="456"/>
    <x v="53"/>
  </r>
  <r>
    <x v="49"/>
    <x v="1"/>
    <x v="0"/>
    <x v="4"/>
    <x v="5"/>
    <x v="0"/>
    <x v="66"/>
    <x v="350"/>
    <x v="2"/>
    <x v="37"/>
    <x v="83"/>
    <x v="21"/>
    <x v="84"/>
    <x v="71"/>
    <x v="20"/>
    <x v="22"/>
    <x v="0"/>
    <x v="0"/>
    <x v="40"/>
    <x v="2"/>
    <x v="0"/>
    <x v="130"/>
    <x v="30"/>
    <x v="38"/>
    <x v="10"/>
    <x v="270"/>
    <x v="61"/>
    <x v="443"/>
    <x v="189"/>
    <x v="28"/>
    <x v="48"/>
    <x v="33"/>
    <x v="8"/>
    <x v="15"/>
    <x v="6"/>
    <x v="341"/>
    <x v="450"/>
    <x v="34"/>
    <x v="2"/>
  </r>
  <r>
    <x v="49"/>
    <x v="1"/>
    <x v="5"/>
    <x v="74"/>
    <x v="7"/>
    <x v="6"/>
    <x v="29"/>
    <x v="756"/>
    <x v="2"/>
    <x v="37"/>
    <x v="129"/>
    <x v="93"/>
    <x v="473"/>
    <x v="244"/>
    <x v="0"/>
    <x v="44"/>
    <x v="0"/>
    <x v="0"/>
    <x v="52"/>
    <x v="2"/>
    <x v="0"/>
    <x v="286"/>
    <x v="409"/>
    <x v="32"/>
    <x v="1"/>
    <x v="235"/>
    <x v="197"/>
    <x v="229"/>
    <x v="107"/>
    <x v="284"/>
    <x v="7"/>
    <x v="89"/>
    <x v="101"/>
    <x v="218"/>
    <x v="4"/>
    <x v="240"/>
    <x v="369"/>
    <x v="559"/>
    <x v="66"/>
  </r>
  <r>
    <x v="49"/>
    <x v="1"/>
    <x v="7"/>
    <x v="76"/>
    <x v="9"/>
    <x v="9"/>
    <x v="33"/>
    <x v="749"/>
    <x v="2"/>
    <x v="37"/>
    <x v="146"/>
    <x v="118"/>
    <x v="548"/>
    <x v="306"/>
    <x v="0"/>
    <x v="0"/>
    <x v="0"/>
    <x v="0"/>
    <x v="0"/>
    <x v="0"/>
    <x v="0"/>
    <x v="359"/>
    <x v="353"/>
    <x v="34"/>
    <x v="0"/>
    <x v="0"/>
    <x v="357"/>
    <x v="0"/>
    <x v="0"/>
    <x v="541"/>
    <x v="9"/>
    <x v="87"/>
    <x v="97"/>
    <x v="295"/>
    <x v="2"/>
    <x v="122"/>
    <x v="274"/>
    <x v="390"/>
    <x v="46"/>
  </r>
  <r>
    <x v="49"/>
    <x v="1"/>
    <x v="4"/>
    <x v="77"/>
    <x v="9"/>
    <x v="7"/>
    <x v="31"/>
    <x v="748"/>
    <x v="2"/>
    <x v="37"/>
    <x v="146"/>
    <x v="118"/>
    <x v="548"/>
    <x v="306"/>
    <x v="0"/>
    <x v="0"/>
    <x v="0"/>
    <x v="0"/>
    <x v="0"/>
    <x v="0"/>
    <x v="0"/>
    <x v="359"/>
    <x v="353"/>
    <x v="35"/>
    <x v="0"/>
    <x v="0"/>
    <x v="357"/>
    <x v="0"/>
    <x v="0"/>
    <x v="541"/>
    <x v="9"/>
    <x v="87"/>
    <x v="97"/>
    <x v="295"/>
    <x v="2"/>
    <x v="122"/>
    <x v="274"/>
    <x v="390"/>
    <x v="46"/>
  </r>
  <r>
    <x v="49"/>
    <x v="1"/>
    <x v="2"/>
    <x v="69"/>
    <x v="9"/>
    <x v="14"/>
    <x v="4"/>
    <x v="352"/>
    <x v="2"/>
    <x v="37"/>
    <x v="121"/>
    <x v="62"/>
    <x v="304"/>
    <x v="191"/>
    <x v="0"/>
    <x v="0"/>
    <x v="0"/>
    <x v="0"/>
    <x v="6"/>
    <x v="2"/>
    <x v="0"/>
    <x v="244"/>
    <x v="245"/>
    <x v="37"/>
    <x v="2"/>
    <x v="121"/>
    <x v="311"/>
    <x v="59"/>
    <x v="0"/>
    <x v="471"/>
    <x v="13"/>
    <x v="82"/>
    <x v="84"/>
    <x v="132"/>
    <x v="5"/>
    <x v="312"/>
    <x v="253"/>
    <x v="300"/>
    <x v="33"/>
  </r>
  <r>
    <x v="49"/>
    <x v="4"/>
    <x v="8"/>
    <x v="78"/>
    <x v="9"/>
    <x v="18"/>
    <x v="30"/>
    <x v="747"/>
    <x v="0"/>
    <x v="37"/>
    <x v="175"/>
    <x v="168"/>
    <x v="610"/>
    <x v="373"/>
    <x v="0"/>
    <x v="0"/>
    <x v="0"/>
    <x v="0"/>
    <x v="69"/>
    <x v="0"/>
    <x v="1"/>
    <x v="356"/>
    <x v="330"/>
    <x v="36"/>
    <x v="0"/>
    <x v="0"/>
    <x v="357"/>
    <x v="135"/>
    <x v="0"/>
    <x v="385"/>
    <x v="11"/>
    <x v="85"/>
    <x v="89"/>
    <x v="391"/>
    <x v="3"/>
    <x v="105"/>
    <x v="418"/>
    <x v="593"/>
    <x v="75"/>
  </r>
  <r>
    <x v="49"/>
    <x v="2"/>
    <x v="7"/>
    <x v="76"/>
    <x v="9"/>
    <x v="18"/>
    <x v="33"/>
    <x v="757"/>
    <x v="0"/>
    <x v="37"/>
    <x v="146"/>
    <x v="118"/>
    <x v="548"/>
    <x v="306"/>
    <x v="0"/>
    <x v="0"/>
    <x v="0"/>
    <x v="0"/>
    <x v="0"/>
    <x v="0"/>
    <x v="0"/>
    <x v="359"/>
    <x v="353"/>
    <x v="34"/>
    <x v="0"/>
    <x v="0"/>
    <x v="357"/>
    <x v="0"/>
    <x v="0"/>
    <x v="541"/>
    <x v="9"/>
    <x v="87"/>
    <x v="97"/>
    <x v="295"/>
    <x v="2"/>
    <x v="122"/>
    <x v="274"/>
    <x v="390"/>
    <x v="46"/>
  </r>
  <r>
    <x v="49"/>
    <x v="2"/>
    <x v="4"/>
    <x v="77"/>
    <x v="9"/>
    <x v="7"/>
    <x v="31"/>
    <x v="774"/>
    <x v="0"/>
    <x v="37"/>
    <x v="146"/>
    <x v="118"/>
    <x v="548"/>
    <x v="306"/>
    <x v="0"/>
    <x v="0"/>
    <x v="0"/>
    <x v="0"/>
    <x v="0"/>
    <x v="0"/>
    <x v="0"/>
    <x v="359"/>
    <x v="353"/>
    <x v="35"/>
    <x v="0"/>
    <x v="0"/>
    <x v="357"/>
    <x v="0"/>
    <x v="0"/>
    <x v="541"/>
    <x v="9"/>
    <x v="87"/>
    <x v="97"/>
    <x v="295"/>
    <x v="2"/>
    <x v="122"/>
    <x v="274"/>
    <x v="390"/>
    <x v="46"/>
  </r>
  <r>
    <x v="49"/>
    <x v="2"/>
    <x v="2"/>
    <x v="69"/>
    <x v="9"/>
    <x v="12"/>
    <x v="4"/>
    <x v="353"/>
    <x v="0"/>
    <x v="37"/>
    <x v="121"/>
    <x v="62"/>
    <x v="324"/>
    <x v="198"/>
    <x v="6"/>
    <x v="0"/>
    <x v="0"/>
    <x v="0"/>
    <x v="0"/>
    <x v="0"/>
    <x v="0"/>
    <x v="252"/>
    <x v="312"/>
    <x v="37"/>
    <x v="2"/>
    <x v="144"/>
    <x v="295"/>
    <x v="0"/>
    <x v="0"/>
    <x v="541"/>
    <x v="11"/>
    <x v="85"/>
    <x v="89"/>
    <x v="147"/>
    <x v="5"/>
    <x v="297"/>
    <x v="291"/>
    <x v="368"/>
    <x v="44"/>
  </r>
  <r>
    <x v="49"/>
    <x v="2"/>
    <x v="5"/>
    <x v="74"/>
    <x v="7"/>
    <x v="6"/>
    <x v="29"/>
    <x v="758"/>
    <x v="0"/>
    <x v="37"/>
    <x v="128"/>
    <x v="92"/>
    <x v="403"/>
    <x v="227"/>
    <x v="0"/>
    <x v="31"/>
    <x v="0"/>
    <x v="0"/>
    <x v="61"/>
    <x v="0"/>
    <x v="0"/>
    <x v="276"/>
    <x v="345"/>
    <x v="32"/>
    <x v="1"/>
    <x v="181"/>
    <x v="201"/>
    <x v="285"/>
    <x v="79"/>
    <x v="209"/>
    <x v="0"/>
    <x v="92"/>
    <x v="107"/>
    <x v="203"/>
    <x v="4"/>
    <x v="276"/>
    <x v="199"/>
    <x v="419"/>
    <x v="49"/>
  </r>
  <r>
    <x v="49"/>
    <x v="3"/>
    <x v="0"/>
    <x v="1"/>
    <x v="8"/>
    <x v="1"/>
    <x v="12"/>
    <x v="351"/>
    <x v="4"/>
    <x v="37"/>
    <x v="83"/>
    <x v="21"/>
    <x v="104"/>
    <x v="81"/>
    <x v="20"/>
    <x v="39"/>
    <x v="0"/>
    <x v="0"/>
    <x v="21"/>
    <x v="5"/>
    <x v="0"/>
    <x v="139"/>
    <x v="42"/>
    <x v="38"/>
    <x v="7"/>
    <x v="272"/>
    <x v="57"/>
    <x v="318"/>
    <x v="212"/>
    <x v="184"/>
    <x v="41"/>
    <x v="46"/>
    <x v="21"/>
    <x v="17"/>
    <x v="6"/>
    <x v="369"/>
    <x v="333"/>
    <x v="52"/>
    <x v="7"/>
  </r>
  <r>
    <x v="49"/>
    <x v="3"/>
    <x v="5"/>
    <x v="74"/>
    <x v="7"/>
    <x v="6"/>
    <x v="29"/>
    <x v="759"/>
    <x v="4"/>
    <x v="37"/>
    <x v="129"/>
    <x v="93"/>
    <x v="344"/>
    <x v="198"/>
    <x v="0"/>
    <x v="58"/>
    <x v="0"/>
    <x v="0"/>
    <x v="58"/>
    <x v="2"/>
    <x v="0"/>
    <x v="252"/>
    <x v="151"/>
    <x v="32"/>
    <x v="1"/>
    <x v="128"/>
    <x v="137"/>
    <x v="320"/>
    <x v="156"/>
    <x v="170"/>
    <x v="20"/>
    <x v="73"/>
    <x v="65"/>
    <x v="147"/>
    <x v="4"/>
    <x v="269"/>
    <x v="237"/>
    <x v="210"/>
    <x v="25"/>
  </r>
  <r>
    <x v="49"/>
    <x v="3"/>
    <x v="2"/>
    <x v="69"/>
    <x v="9"/>
    <x v="12"/>
    <x v="4"/>
    <x v="354"/>
    <x v="4"/>
    <x v="37"/>
    <x v="121"/>
    <x v="62"/>
    <x v="301"/>
    <x v="191"/>
    <x v="0"/>
    <x v="0"/>
    <x v="0"/>
    <x v="0"/>
    <x v="2"/>
    <x v="2"/>
    <x v="0"/>
    <x v="244"/>
    <x v="245"/>
    <x v="37"/>
    <x v="2"/>
    <x v="117"/>
    <x v="328"/>
    <x v="16"/>
    <x v="0"/>
    <x v="522"/>
    <x v="18"/>
    <x v="75"/>
    <x v="72"/>
    <x v="132"/>
    <x v="5"/>
    <x v="289"/>
    <x v="325"/>
    <x v="306"/>
    <x v="34"/>
  </r>
  <r>
    <x v="49"/>
    <x v="1"/>
    <x v="1"/>
    <x v="5"/>
    <x v="9"/>
    <x v="18"/>
    <x v="10"/>
    <x v="249"/>
    <x v="3"/>
    <x v="37"/>
    <x v="134"/>
    <x v="100"/>
    <x v="295"/>
    <x v="189"/>
    <x v="0"/>
    <x v="0"/>
    <x v="22"/>
    <x v="0"/>
    <x v="18"/>
    <x v="0"/>
    <x v="3"/>
    <x v="85"/>
    <x v="103"/>
    <x v="0"/>
    <x v="0"/>
    <x v="0"/>
    <x v="357"/>
    <x v="132"/>
    <x v="0"/>
    <x v="388"/>
    <x v="23"/>
    <x v="70"/>
    <x v="59"/>
    <x v="130"/>
    <x v="7"/>
    <x v="435"/>
    <x v="427"/>
    <x v="389"/>
    <x v="45"/>
  </r>
  <r>
    <x v="49"/>
    <x v="2"/>
    <x v="1"/>
    <x v="5"/>
    <x v="9"/>
    <x v="18"/>
    <x v="10"/>
    <x v="251"/>
    <x v="3"/>
    <x v="37"/>
    <x v="134"/>
    <x v="100"/>
    <x v="459"/>
    <x v="244"/>
    <x v="0"/>
    <x v="0"/>
    <x v="48"/>
    <x v="0"/>
    <x v="32"/>
    <x v="0"/>
    <x v="3"/>
    <x v="111"/>
    <x v="362"/>
    <x v="0"/>
    <x v="0"/>
    <x v="0"/>
    <x v="357"/>
    <x v="155"/>
    <x v="0"/>
    <x v="365"/>
    <x v="0"/>
    <x v="92"/>
    <x v="107"/>
    <x v="218"/>
    <x v="7"/>
    <x v="433"/>
    <x v="436"/>
    <x v="684"/>
    <x v="81"/>
  </r>
  <r>
    <x v="50"/>
    <x v="1"/>
    <x v="0"/>
    <x v="1"/>
    <x v="2"/>
    <x v="1"/>
    <x v="12"/>
    <x v="355"/>
    <x v="1"/>
    <x v="37"/>
    <x v="83"/>
    <x v="21"/>
    <x v="221"/>
    <x v="149"/>
    <x v="0"/>
    <x v="15"/>
    <x v="0"/>
    <x v="0"/>
    <x v="30"/>
    <x v="2"/>
    <x v="0"/>
    <x v="206"/>
    <x v="454"/>
    <x v="38"/>
    <x v="7"/>
    <x v="365"/>
    <x v="209"/>
    <x v="224"/>
    <x v="63"/>
    <x v="289"/>
    <x v="0"/>
    <x v="92"/>
    <x v="107"/>
    <x v="79"/>
    <x v="6"/>
    <x v="378"/>
    <x v="292"/>
    <x v="552"/>
    <x v="63"/>
  </r>
  <r>
    <x v="50"/>
    <x v="1"/>
    <x v="5"/>
    <x v="74"/>
    <x v="7"/>
    <x v="6"/>
    <x v="29"/>
    <x v="763"/>
    <x v="1"/>
    <x v="37"/>
    <x v="129"/>
    <x v="93"/>
    <x v="122"/>
    <x v="99"/>
    <x v="0"/>
    <x v="11"/>
    <x v="0"/>
    <x v="0"/>
    <x v="21"/>
    <x v="2"/>
    <x v="0"/>
    <x v="151"/>
    <x v="12"/>
    <x v="32"/>
    <x v="1"/>
    <x v="36"/>
    <x v="161"/>
    <x v="258"/>
    <x v="112"/>
    <x v="248"/>
    <x v="47"/>
    <x v="36"/>
    <x v="10"/>
    <x v="32"/>
    <x v="4"/>
    <x v="259"/>
    <x v="296"/>
    <x v="22"/>
    <x v="1"/>
  </r>
  <r>
    <x v="50"/>
    <x v="1"/>
    <x v="7"/>
    <x v="76"/>
    <x v="9"/>
    <x v="9"/>
    <x v="33"/>
    <x v="774"/>
    <x v="1"/>
    <x v="37"/>
    <x v="146"/>
    <x v="118"/>
    <x v="552"/>
    <x v="310"/>
    <x v="0"/>
    <x v="0"/>
    <x v="0"/>
    <x v="0"/>
    <x v="0"/>
    <x v="0"/>
    <x v="0"/>
    <x v="363"/>
    <x v="366"/>
    <x v="34"/>
    <x v="0"/>
    <x v="0"/>
    <x v="357"/>
    <x v="0"/>
    <x v="0"/>
    <x v="541"/>
    <x v="0"/>
    <x v="92"/>
    <x v="107"/>
    <x v="302"/>
    <x v="2"/>
    <x v="175"/>
    <x v="169"/>
    <x v="413"/>
    <x v="47"/>
  </r>
  <r>
    <x v="50"/>
    <x v="1"/>
    <x v="2"/>
    <x v="69"/>
    <x v="9"/>
    <x v="12"/>
    <x v="4"/>
    <x v="361"/>
    <x v="1"/>
    <x v="6"/>
    <x v="9"/>
    <x v="48"/>
    <x v="13"/>
    <x v="13"/>
    <x v="0"/>
    <x v="0"/>
    <x v="0"/>
    <x v="0"/>
    <x v="0"/>
    <x v="2"/>
    <x v="0"/>
    <x v="59"/>
    <x v="170"/>
    <x v="37"/>
    <x v="2"/>
    <x v="1"/>
    <x v="224"/>
    <x v="0"/>
    <x v="0"/>
    <x v="541"/>
    <x v="4"/>
    <x v="10"/>
    <x v="57"/>
    <x v="102"/>
    <x v="5"/>
    <x v="302"/>
    <x v="280"/>
    <x v="191"/>
    <x v="23"/>
  </r>
  <r>
    <x v="50"/>
    <x v="1"/>
    <x v="2"/>
    <x v="69"/>
    <x v="9"/>
    <x v="15"/>
    <x v="4"/>
    <x v="358"/>
    <x v="1"/>
    <x v="33"/>
    <x v="115"/>
    <x v="76"/>
    <x v="277"/>
    <x v="177"/>
    <x v="0"/>
    <x v="0"/>
    <x v="0"/>
    <x v="0"/>
    <x v="0"/>
    <x v="0"/>
    <x v="0"/>
    <x v="232"/>
    <x v="288"/>
    <x v="37"/>
    <x v="2"/>
    <x v="98"/>
    <x v="356"/>
    <x v="0"/>
    <x v="0"/>
    <x v="541"/>
    <x v="11"/>
    <x v="70"/>
    <x v="85"/>
    <x v="144"/>
    <x v="5"/>
    <x v="295"/>
    <x v="308"/>
    <x v="354"/>
    <x v="41"/>
  </r>
  <r>
    <x v="50"/>
    <x v="1"/>
    <x v="4"/>
    <x v="77"/>
    <x v="9"/>
    <x v="7"/>
    <x v="31"/>
    <x v="754"/>
    <x v="1"/>
    <x v="37"/>
    <x v="146"/>
    <x v="118"/>
    <x v="552"/>
    <x v="310"/>
    <x v="0"/>
    <x v="0"/>
    <x v="0"/>
    <x v="0"/>
    <x v="0"/>
    <x v="0"/>
    <x v="0"/>
    <x v="363"/>
    <x v="366"/>
    <x v="35"/>
    <x v="0"/>
    <x v="0"/>
    <x v="357"/>
    <x v="0"/>
    <x v="0"/>
    <x v="541"/>
    <x v="0"/>
    <x v="92"/>
    <x v="107"/>
    <x v="302"/>
    <x v="2"/>
    <x v="175"/>
    <x v="169"/>
    <x v="413"/>
    <x v="47"/>
  </r>
  <r>
    <x v="50"/>
    <x v="1"/>
    <x v="1"/>
    <x v="5"/>
    <x v="9"/>
    <x v="18"/>
    <x v="10"/>
    <x v="258"/>
    <x v="3"/>
    <x v="37"/>
    <x v="136"/>
    <x v="101"/>
    <x v="342"/>
    <x v="206"/>
    <x v="0"/>
    <x v="0"/>
    <x v="30"/>
    <x v="0"/>
    <x v="18"/>
    <x v="0"/>
    <x v="3"/>
    <x v="93"/>
    <x v="136"/>
    <x v="0"/>
    <x v="0"/>
    <x v="0"/>
    <x v="357"/>
    <x v="123"/>
    <x v="0"/>
    <x v="397"/>
    <x v="15"/>
    <x v="80"/>
    <x v="77"/>
    <x v="157"/>
    <x v="7"/>
    <x v="437"/>
    <x v="423"/>
    <x v="549"/>
    <x v="62"/>
  </r>
  <r>
    <x v="50"/>
    <x v="4"/>
    <x v="8"/>
    <x v="78"/>
    <x v="9"/>
    <x v="18"/>
    <x v="30"/>
    <x v="754"/>
    <x v="6"/>
    <x v="37"/>
    <x v="175"/>
    <x v="168"/>
    <x v="607"/>
    <x v="370"/>
    <x v="0"/>
    <x v="0"/>
    <x v="0"/>
    <x v="0"/>
    <x v="36"/>
    <x v="0"/>
    <x v="1"/>
    <x v="350"/>
    <x v="315"/>
    <x v="36"/>
    <x v="0"/>
    <x v="0"/>
    <x v="357"/>
    <x v="86"/>
    <x v="0"/>
    <x v="439"/>
    <x v="11"/>
    <x v="85"/>
    <x v="89"/>
    <x v="389"/>
    <x v="3"/>
    <x v="116"/>
    <x v="409"/>
    <x v="576"/>
    <x v="68"/>
  </r>
  <r>
    <x v="50"/>
    <x v="2"/>
    <x v="7"/>
    <x v="76"/>
    <x v="9"/>
    <x v="9"/>
    <x v="33"/>
    <x v="760"/>
    <x v="0"/>
    <x v="25"/>
    <x v="124"/>
    <x v="118"/>
    <x v="310"/>
    <x v="193"/>
    <x v="0"/>
    <x v="0"/>
    <x v="0"/>
    <x v="0"/>
    <x v="0"/>
    <x v="0"/>
    <x v="0"/>
    <x v="247"/>
    <x v="197"/>
    <x v="34"/>
    <x v="0"/>
    <x v="0"/>
    <x v="357"/>
    <x v="0"/>
    <x v="0"/>
    <x v="541"/>
    <x v="9"/>
    <x v="52"/>
    <x v="82"/>
    <x v="249"/>
    <x v="2"/>
    <x v="169"/>
    <x v="190"/>
    <x v="240"/>
    <x v="31"/>
  </r>
  <r>
    <x v="50"/>
    <x v="2"/>
    <x v="4"/>
    <x v="77"/>
    <x v="9"/>
    <x v="7"/>
    <x v="31"/>
    <x v="755"/>
    <x v="0"/>
    <x v="25"/>
    <x v="124"/>
    <x v="118"/>
    <x v="392"/>
    <x v="231"/>
    <x v="0"/>
    <x v="0"/>
    <x v="0"/>
    <x v="0"/>
    <x v="0"/>
    <x v="0"/>
    <x v="0"/>
    <x v="279"/>
    <x v="427"/>
    <x v="35"/>
    <x v="0"/>
    <x v="0"/>
    <x v="357"/>
    <x v="0"/>
    <x v="0"/>
    <x v="541"/>
    <x v="9"/>
    <x v="52"/>
    <x v="82"/>
    <x v="314"/>
    <x v="2"/>
    <x v="71"/>
    <x v="421"/>
    <x v="566"/>
    <x v="67"/>
  </r>
  <r>
    <x v="50"/>
    <x v="2"/>
    <x v="7"/>
    <x v="20"/>
    <x v="9"/>
    <x v="9"/>
    <x v="25"/>
    <x v="765"/>
    <x v="0"/>
    <x v="14"/>
    <x v="58"/>
    <x v="118"/>
    <x v="125"/>
    <x v="105"/>
    <x v="0"/>
    <x v="0"/>
    <x v="0"/>
    <x v="0"/>
    <x v="0"/>
    <x v="0"/>
    <x v="0"/>
    <x v="157"/>
    <x v="424"/>
    <x v="11"/>
    <x v="0"/>
    <x v="0"/>
    <x v="357"/>
    <x v="0"/>
    <x v="0"/>
    <x v="541"/>
    <x v="0"/>
    <x v="27"/>
    <x v="107"/>
    <x v="313"/>
    <x v="2"/>
    <x v="119"/>
    <x v="282"/>
    <x v="556"/>
    <x v="65"/>
  </r>
  <r>
    <x v="50"/>
    <x v="2"/>
    <x v="4"/>
    <x v="57"/>
    <x v="9"/>
    <x v="7"/>
    <x v="27"/>
    <x v="761"/>
    <x v="0"/>
    <x v="6"/>
    <x v="21"/>
    <x v="118"/>
    <x v="43"/>
    <x v="46"/>
    <x v="0"/>
    <x v="0"/>
    <x v="0"/>
    <x v="0"/>
    <x v="0"/>
    <x v="0"/>
    <x v="0"/>
    <x v="104"/>
    <x v="424"/>
    <x v="15"/>
    <x v="0"/>
    <x v="0"/>
    <x v="357"/>
    <x v="0"/>
    <x v="0"/>
    <x v="541"/>
    <x v="0"/>
    <x v="14"/>
    <x v="107"/>
    <x v="313"/>
    <x v="2"/>
    <x v="119"/>
    <x v="282"/>
    <x v="556"/>
    <x v="65"/>
  </r>
  <r>
    <x v="50"/>
    <x v="2"/>
    <x v="2"/>
    <x v="69"/>
    <x v="9"/>
    <x v="14"/>
    <x v="4"/>
    <x v="359"/>
    <x v="0"/>
    <x v="37"/>
    <x v="121"/>
    <x v="62"/>
    <x v="232"/>
    <x v="155"/>
    <x v="33"/>
    <x v="0"/>
    <x v="0"/>
    <x v="0"/>
    <x v="0"/>
    <x v="0"/>
    <x v="0"/>
    <x v="213"/>
    <x v="108"/>
    <x v="37"/>
    <x v="2"/>
    <x v="80"/>
    <x v="172"/>
    <x v="0"/>
    <x v="0"/>
    <x v="541"/>
    <x v="27"/>
    <x v="65"/>
    <x v="51"/>
    <x v="87"/>
    <x v="5"/>
    <x v="310"/>
    <x v="258"/>
    <x v="151"/>
    <x v="21"/>
  </r>
  <r>
    <x v="50"/>
    <x v="2"/>
    <x v="5"/>
    <x v="12"/>
    <x v="7"/>
    <x v="6"/>
    <x v="23"/>
    <x v="764"/>
    <x v="0"/>
    <x v="37"/>
    <x v="129"/>
    <x v="93"/>
    <x v="446"/>
    <x v="238"/>
    <x v="0"/>
    <x v="63"/>
    <x v="0"/>
    <x v="0"/>
    <x v="76"/>
    <x v="0"/>
    <x v="0"/>
    <x v="282"/>
    <x v="383"/>
    <x v="43"/>
    <x v="1"/>
    <x v="211"/>
    <x v="143"/>
    <x v="341"/>
    <x v="154"/>
    <x v="149"/>
    <x v="0"/>
    <x v="92"/>
    <x v="107"/>
    <x v="211"/>
    <x v="4"/>
    <x v="266"/>
    <x v="248"/>
    <x v="469"/>
    <x v="55"/>
  </r>
  <r>
    <x v="50"/>
    <x v="2"/>
    <x v="0"/>
    <x v="1"/>
    <x v="2"/>
    <x v="1"/>
    <x v="12"/>
    <x v="356"/>
    <x v="0"/>
    <x v="37"/>
    <x v="83"/>
    <x v="21"/>
    <x v="185"/>
    <x v="136"/>
    <x v="0"/>
    <x v="28"/>
    <x v="0"/>
    <x v="0"/>
    <x v="61"/>
    <x v="0"/>
    <x v="0"/>
    <x v="191"/>
    <x v="390"/>
    <x v="38"/>
    <x v="7"/>
    <x v="351"/>
    <x v="130"/>
    <x v="403"/>
    <x v="129"/>
    <x v="72"/>
    <x v="0"/>
    <x v="92"/>
    <x v="107"/>
    <x v="63"/>
    <x v="6"/>
    <x v="393"/>
    <x v="143"/>
    <x v="338"/>
    <x v="39"/>
  </r>
  <r>
    <x v="50"/>
    <x v="2"/>
    <x v="1"/>
    <x v="5"/>
    <x v="9"/>
    <x v="11"/>
    <x v="10"/>
    <x v="251"/>
    <x v="3"/>
    <x v="37"/>
    <x v="134"/>
    <x v="100"/>
    <x v="460"/>
    <x v="244"/>
    <x v="0"/>
    <x v="0"/>
    <x v="38"/>
    <x v="0"/>
    <x v="38"/>
    <x v="0"/>
    <x v="3"/>
    <x v="111"/>
    <x v="362"/>
    <x v="0"/>
    <x v="0"/>
    <x v="0"/>
    <x v="357"/>
    <x v="178"/>
    <x v="0"/>
    <x v="340"/>
    <x v="0"/>
    <x v="92"/>
    <x v="107"/>
    <x v="218"/>
    <x v="7"/>
    <x v="433"/>
    <x v="436"/>
    <x v="683"/>
    <x v="80"/>
  </r>
  <r>
    <x v="50"/>
    <x v="3"/>
    <x v="2"/>
    <x v="71"/>
    <x v="9"/>
    <x v="14"/>
    <x v="1"/>
    <x v="360"/>
    <x v="2"/>
    <x v="37"/>
    <x v="121"/>
    <x v="62"/>
    <x v="361"/>
    <x v="211"/>
    <x v="0"/>
    <x v="0"/>
    <x v="0"/>
    <x v="0"/>
    <x v="2"/>
    <x v="2"/>
    <x v="0"/>
    <x v="264"/>
    <x v="401"/>
    <x v="40"/>
    <x v="2"/>
    <x v="165"/>
    <x v="335"/>
    <x v="12"/>
    <x v="0"/>
    <x v="527"/>
    <x v="0"/>
    <x v="92"/>
    <x v="107"/>
    <x v="175"/>
    <x v="5"/>
    <x v="307"/>
    <x v="262"/>
    <x v="532"/>
    <x v="61"/>
  </r>
  <r>
    <x v="50"/>
    <x v="3"/>
    <x v="5"/>
    <x v="12"/>
    <x v="7"/>
    <x v="6"/>
    <x v="23"/>
    <x v="766"/>
    <x v="2"/>
    <x v="37"/>
    <x v="129"/>
    <x v="93"/>
    <x v="378"/>
    <x v="221"/>
    <x v="0"/>
    <x v="29"/>
    <x v="0"/>
    <x v="0"/>
    <x v="59"/>
    <x v="0"/>
    <x v="0"/>
    <x v="271"/>
    <x v="302"/>
    <x v="43"/>
    <x v="1"/>
    <x v="166"/>
    <x v="203"/>
    <x v="284"/>
    <x v="77"/>
    <x v="210"/>
    <x v="0"/>
    <x v="92"/>
    <x v="107"/>
    <x v="191"/>
    <x v="4"/>
    <x v="287"/>
    <x v="151"/>
    <x v="362"/>
    <x v="42"/>
  </r>
  <r>
    <x v="50"/>
    <x v="3"/>
    <x v="0"/>
    <x v="1"/>
    <x v="2"/>
    <x v="1"/>
    <x v="12"/>
    <x v="357"/>
    <x v="2"/>
    <x v="37"/>
    <x v="83"/>
    <x v="21"/>
    <x v="193"/>
    <x v="142"/>
    <x v="2"/>
    <x v="33"/>
    <x v="0"/>
    <x v="0"/>
    <x v="36"/>
    <x v="2"/>
    <x v="0"/>
    <x v="198"/>
    <x v="417"/>
    <x v="38"/>
    <x v="7"/>
    <x v="354"/>
    <x v="147"/>
    <x v="282"/>
    <x v="144"/>
    <x v="218"/>
    <x v="0"/>
    <x v="92"/>
    <x v="107"/>
    <x v="70"/>
    <x v="6"/>
    <x v="390"/>
    <x v="198"/>
    <x v="418"/>
    <x v="48"/>
  </r>
  <r>
    <x v="51"/>
    <x v="1"/>
    <x v="0"/>
    <x v="1"/>
    <x v="2"/>
    <x v="1"/>
    <x v="12"/>
    <x v="362"/>
    <x v="1"/>
    <x v="37"/>
    <x v="83"/>
    <x v="21"/>
    <x v="249"/>
    <x v="154"/>
    <x v="0"/>
    <x v="16"/>
    <x v="0"/>
    <x v="0"/>
    <x v="41"/>
    <x v="2"/>
    <x v="0"/>
    <x v="212"/>
    <x v="464"/>
    <x v="38"/>
    <x v="7"/>
    <x v="369"/>
    <x v="188"/>
    <x v="291"/>
    <x v="64"/>
    <x v="202"/>
    <x v="0"/>
    <x v="92"/>
    <x v="107"/>
    <x v="86"/>
    <x v="6"/>
    <x v="367"/>
    <x v="337"/>
    <x v="582"/>
    <x v="69"/>
  </r>
  <r>
    <x v="51"/>
    <x v="1"/>
    <x v="5"/>
    <x v="12"/>
    <x v="7"/>
    <x v="6"/>
    <x v="23"/>
    <x v="768"/>
    <x v="1"/>
    <x v="37"/>
    <x v="129"/>
    <x v="93"/>
    <x v="397"/>
    <x v="227"/>
    <x v="0"/>
    <x v="21"/>
    <x v="0"/>
    <x v="0"/>
    <x v="46"/>
    <x v="2"/>
    <x v="0"/>
    <x v="276"/>
    <x v="344"/>
    <x v="43"/>
    <x v="1"/>
    <x v="175"/>
    <x v="230"/>
    <x v="219"/>
    <x v="35"/>
    <x v="294"/>
    <x v="0"/>
    <x v="92"/>
    <x v="107"/>
    <x v="203"/>
    <x v="4"/>
    <x v="276"/>
    <x v="199"/>
    <x v="432"/>
    <x v="51"/>
  </r>
  <r>
    <x v="51"/>
    <x v="1"/>
    <x v="2"/>
    <x v="71"/>
    <x v="9"/>
    <x v="15"/>
    <x v="1"/>
    <x v="363"/>
    <x v="1"/>
    <x v="37"/>
    <x v="121"/>
    <x v="62"/>
    <x v="327"/>
    <x v="198"/>
    <x v="0"/>
    <x v="0"/>
    <x v="0"/>
    <x v="0"/>
    <x v="2"/>
    <x v="2"/>
    <x v="0"/>
    <x v="252"/>
    <x v="312"/>
    <x v="40"/>
    <x v="2"/>
    <x v="139"/>
    <x v="331"/>
    <x v="15"/>
    <x v="0"/>
    <x v="524"/>
    <x v="10"/>
    <x v="86"/>
    <x v="93"/>
    <x v="147"/>
    <x v="5"/>
    <x v="305"/>
    <x v="269"/>
    <x v="366"/>
    <x v="43"/>
  </r>
  <r>
    <x v="51"/>
    <x v="1"/>
    <x v="7"/>
    <x v="20"/>
    <x v="9"/>
    <x v="9"/>
    <x v="25"/>
    <x v="767"/>
    <x v="1"/>
    <x v="37"/>
    <x v="146"/>
    <x v="118"/>
    <x v="540"/>
    <x v="297"/>
    <x v="0"/>
    <x v="0"/>
    <x v="0"/>
    <x v="0"/>
    <x v="0"/>
    <x v="0"/>
    <x v="0"/>
    <x v="345"/>
    <x v="300"/>
    <x v="11"/>
    <x v="0"/>
    <x v="0"/>
    <x v="357"/>
    <x v="0"/>
    <x v="0"/>
    <x v="541"/>
    <x v="10"/>
    <x v="86"/>
    <x v="93"/>
    <x v="280"/>
    <x v="2"/>
    <x v="139"/>
    <x v="243"/>
    <x v="334"/>
    <x v="38"/>
  </r>
  <r>
    <x v="51"/>
    <x v="1"/>
    <x v="4"/>
    <x v="57"/>
    <x v="9"/>
    <x v="7"/>
    <x v="27"/>
    <x v="774"/>
    <x v="1"/>
    <x v="37"/>
    <x v="146"/>
    <x v="118"/>
    <x v="540"/>
    <x v="297"/>
    <x v="0"/>
    <x v="0"/>
    <x v="0"/>
    <x v="0"/>
    <x v="0"/>
    <x v="0"/>
    <x v="0"/>
    <x v="345"/>
    <x v="300"/>
    <x v="15"/>
    <x v="0"/>
    <x v="0"/>
    <x v="357"/>
    <x v="0"/>
    <x v="0"/>
    <x v="541"/>
    <x v="10"/>
    <x v="86"/>
    <x v="93"/>
    <x v="280"/>
    <x v="2"/>
    <x v="139"/>
    <x v="243"/>
    <x v="334"/>
    <x v="38"/>
  </r>
  <r>
    <x v="51"/>
    <x v="1"/>
    <x v="1"/>
    <x v="5"/>
    <x v="9"/>
    <x v="11"/>
    <x v="10"/>
    <x v="269"/>
    <x v="0"/>
    <x v="37"/>
    <x v="133"/>
    <x v="99"/>
    <x v="434"/>
    <x v="241"/>
    <x v="0"/>
    <x v="0"/>
    <x v="33"/>
    <x v="0"/>
    <x v="24"/>
    <x v="0"/>
    <x v="3"/>
    <x v="110"/>
    <x v="341"/>
    <x v="0"/>
    <x v="0"/>
    <x v="0"/>
    <x v="357"/>
    <x v="130"/>
    <x v="0"/>
    <x v="390"/>
    <x v="9"/>
    <x v="87"/>
    <x v="97"/>
    <x v="213"/>
    <x v="7"/>
    <x v="422"/>
    <x v="448"/>
    <x v="680"/>
    <x v="79"/>
  </r>
  <r>
    <x v="51"/>
    <x v="4"/>
    <x v="8"/>
    <x v="78"/>
    <x v="9"/>
    <x v="18"/>
    <x v="30"/>
    <x v="755"/>
    <x v="6"/>
    <x v="6"/>
    <x v="59"/>
    <x v="169"/>
    <x v="129"/>
    <x v="106"/>
    <x v="0"/>
    <x v="0"/>
    <x v="0"/>
    <x v="0"/>
    <x v="10"/>
    <x v="0"/>
    <x v="0"/>
    <x v="158"/>
    <x v="428"/>
    <x v="36"/>
    <x v="0"/>
    <x v="0"/>
    <x v="357"/>
    <x v="137"/>
    <x v="0"/>
    <x v="383"/>
    <x v="0"/>
    <x v="14"/>
    <x v="107"/>
    <x v="414"/>
    <x v="3"/>
    <x v="5"/>
    <x v="489"/>
    <x v="719"/>
    <x v="90"/>
  </r>
  <r>
    <x v="51"/>
    <x v="4"/>
    <x v="8"/>
    <x v="61"/>
    <x v="9"/>
    <x v="18"/>
    <x v="26"/>
    <x v="762"/>
    <x v="6"/>
    <x v="33"/>
    <x v="161"/>
    <x v="153"/>
    <x v="568"/>
    <x v="324"/>
    <x v="0"/>
    <x v="0"/>
    <x v="0"/>
    <x v="0"/>
    <x v="77"/>
    <x v="0"/>
    <x v="0"/>
    <x v="386"/>
    <x v="137"/>
    <x v="27"/>
    <x v="0"/>
    <x v="0"/>
    <x v="357"/>
    <x v="206"/>
    <x v="0"/>
    <x v="307"/>
    <x v="11"/>
    <x v="70"/>
    <x v="85"/>
    <x v="336"/>
    <x v="3"/>
    <x v="33"/>
    <x v="471"/>
    <x v="698"/>
    <x v="87"/>
  </r>
  <r>
    <x v="51"/>
    <x v="4"/>
    <x v="9"/>
    <x v="24"/>
    <x v="9"/>
    <x v="16"/>
    <x v="28"/>
    <x v="667"/>
    <x v="6"/>
    <x v="37"/>
    <x v="178"/>
    <x v="188"/>
    <x v="608"/>
    <x v="371"/>
    <x v="0"/>
    <x v="0"/>
    <x v="0"/>
    <x v="0"/>
    <x v="18"/>
    <x v="0"/>
    <x v="1"/>
    <x v="351"/>
    <x v="165"/>
    <x v="15"/>
    <x v="0"/>
    <x v="0"/>
    <x v="357"/>
    <x v="53"/>
    <x v="0"/>
    <x v="480"/>
    <x v="11"/>
    <x v="85"/>
    <x v="89"/>
    <x v="390"/>
    <x v="1"/>
    <x v="113"/>
    <x v="20"/>
    <x v="111"/>
    <x v="14"/>
  </r>
</pivotCacheRecords>
</file>

<file path=xl/pivotCache/pivotCacheRecords3.xml><?xml version="1.0" encoding="utf-8"?>
<pivotCacheRecords xmlns="http://schemas.openxmlformats.org/spreadsheetml/2006/main" xmlns:r="http://schemas.openxmlformats.org/officeDocument/2006/relationships" count="350">
  <r>
    <x v="0"/>
    <x v="1"/>
    <x v="5"/>
    <x v="11"/>
    <x v="6"/>
    <x v="5"/>
    <x v="30"/>
    <x v="148"/>
    <x v="3"/>
    <x v="23"/>
    <x v="61"/>
    <x v="46"/>
    <x v="231"/>
    <x v="99"/>
    <x v="26"/>
    <x v="65"/>
    <x v="0"/>
    <x v="0"/>
    <x v="77"/>
    <x v="3"/>
    <x v="0"/>
    <x v="114"/>
    <x v="66"/>
    <x v="38"/>
    <x v="1"/>
    <x v="117"/>
    <x v="3"/>
    <x v="203"/>
    <x v="115"/>
    <x v="48"/>
    <x v="11"/>
    <x v="51"/>
    <x v="40"/>
    <x v="70"/>
    <x v="4"/>
    <x v="137"/>
    <x v="92"/>
    <x v="85"/>
    <x v="142"/>
    <x v="57"/>
    <x v="0"/>
    <x v="0"/>
    <x v="0"/>
    <x v="0"/>
    <x v="0"/>
    <x v="0"/>
    <x v="0"/>
    <x v="7"/>
    <x v="0"/>
    <x v="0"/>
    <x v="0"/>
    <x v="0"/>
    <x v="0"/>
    <x v="0"/>
    <x v="0"/>
    <x v="0"/>
    <x v="0"/>
    <x v="0"/>
    <x v="0"/>
    <x v="0"/>
    <x v="0"/>
    <x v="0"/>
    <x v="0"/>
    <x v="0"/>
    <x v="0"/>
    <x v="0"/>
    <x v="0"/>
    <x v="0"/>
    <x v="11"/>
    <x v="11"/>
  </r>
  <r>
    <x v="0"/>
    <x v="1"/>
    <x v="0"/>
    <x v="3"/>
    <x v="1"/>
    <x v="0"/>
    <x v="41"/>
    <x v="12"/>
    <x v="3"/>
    <x v="23"/>
    <x v="39"/>
    <x v="10"/>
    <x v="56"/>
    <x v="47"/>
    <x v="9"/>
    <x v="57"/>
    <x v="0"/>
    <x v="0"/>
    <x v="35"/>
    <x v="2"/>
    <x v="0"/>
    <x v="61"/>
    <x v="49"/>
    <x v="33"/>
    <x v="5"/>
    <x v="126"/>
    <x v="13"/>
    <x v="158"/>
    <x v="110"/>
    <x v="65"/>
    <x v="22"/>
    <x v="39"/>
    <x v="20"/>
    <x v="16"/>
    <x v="6"/>
    <x v="187"/>
    <x v="159"/>
    <x v="49"/>
    <x v="141"/>
    <x v="19"/>
    <x v="0"/>
    <x v="0"/>
    <x v="4"/>
    <x v="0"/>
    <x v="0"/>
    <x v="0"/>
    <x v="0"/>
    <x v="4"/>
    <x v="0"/>
    <x v="0"/>
    <x v="0"/>
    <x v="0"/>
    <x v="0"/>
    <x v="0"/>
    <x v="0"/>
    <x v="0"/>
    <x v="0"/>
    <x v="0"/>
    <x v="0"/>
    <x v="0"/>
    <x v="0"/>
    <x v="0"/>
    <x v="0"/>
    <x v="0"/>
    <x v="0"/>
    <x v="0"/>
    <x v="0"/>
    <x v="0"/>
    <x v="22"/>
    <x v="22"/>
  </r>
  <r>
    <x v="0"/>
    <x v="1"/>
    <x v="6"/>
    <x v="14"/>
    <x v="7"/>
    <x v="9"/>
    <x v="31"/>
    <x v="149"/>
    <x v="3"/>
    <x v="10"/>
    <x v="46"/>
    <x v="66"/>
    <x v="68"/>
    <x v="60"/>
    <x v="0"/>
    <x v="0"/>
    <x v="0"/>
    <x v="0"/>
    <x v="0"/>
    <x v="0"/>
    <x v="0"/>
    <x v="74"/>
    <x v="90"/>
    <x v="6"/>
    <x v="0"/>
    <x v="0"/>
    <x v="160"/>
    <x v="0"/>
    <x v="0"/>
    <x v="233"/>
    <x v="11"/>
    <x v="12"/>
    <x v="19"/>
    <x v="146"/>
    <x v="0"/>
    <x v="19"/>
    <x v="96"/>
    <x v="31"/>
    <x v="143"/>
    <x v="99"/>
    <x v="0"/>
    <x v="0"/>
    <x v="0"/>
    <x v="3"/>
    <x v="0"/>
    <x v="0"/>
    <x v="0"/>
    <x v="0"/>
    <x v="0"/>
    <x v="0"/>
    <x v="0"/>
    <x v="0"/>
    <x v="0"/>
    <x v="0"/>
    <x v="0"/>
    <x v="0"/>
    <x v="0"/>
    <x v="0"/>
    <x v="0"/>
    <x v="0"/>
    <x v="0"/>
    <x v="0"/>
    <x v="0"/>
    <x v="0"/>
    <x v="0"/>
    <x v="0"/>
    <x v="0"/>
    <x v="0"/>
    <x v="11"/>
    <x v="11"/>
  </r>
  <r>
    <x v="0"/>
    <x v="2"/>
    <x v="5"/>
    <x v="11"/>
    <x v="6"/>
    <x v="5"/>
    <x v="30"/>
    <x v="151"/>
    <x v="0"/>
    <x v="23"/>
    <x v="61"/>
    <x v="46"/>
    <x v="163"/>
    <x v="102"/>
    <x v="36"/>
    <x v="35"/>
    <x v="0"/>
    <x v="0"/>
    <x v="66"/>
    <x v="2"/>
    <x v="0"/>
    <x v="117"/>
    <x v="106"/>
    <x v="38"/>
    <x v="1"/>
    <x v="111"/>
    <x v="4"/>
    <x v="154"/>
    <x v="49"/>
    <x v="66"/>
    <x v="8"/>
    <x v="53"/>
    <x v="47"/>
    <x v="84"/>
    <x v="4"/>
    <x v="130"/>
    <x v="128"/>
    <x v="142"/>
    <x v="0"/>
    <x v="20"/>
    <x v="0"/>
    <x v="0"/>
    <x v="0"/>
    <x v="0"/>
    <x v="0"/>
    <x v="0"/>
    <x v="0"/>
    <x v="0"/>
    <x v="2"/>
    <x v="0"/>
    <x v="0"/>
    <x v="0"/>
    <x v="0"/>
    <x v="0"/>
    <x v="0"/>
    <x v="0"/>
    <x v="0"/>
    <x v="0"/>
    <x v="0"/>
    <x v="0"/>
    <x v="0"/>
    <x v="0"/>
    <x v="0"/>
    <x v="0"/>
    <x v="0"/>
    <x v="0"/>
    <x v="0"/>
    <x v="0"/>
    <x v="8"/>
    <x v="8"/>
  </r>
  <r>
    <x v="0"/>
    <x v="2"/>
    <x v="0"/>
    <x v="3"/>
    <x v="1"/>
    <x v="0"/>
    <x v="41"/>
    <x v="13"/>
    <x v="0"/>
    <x v="23"/>
    <x v="37"/>
    <x v="7"/>
    <x v="101"/>
    <x v="71"/>
    <x v="0"/>
    <x v="5"/>
    <x v="0"/>
    <x v="0"/>
    <x v="32"/>
    <x v="2"/>
    <x v="0"/>
    <x v="86"/>
    <x v="218"/>
    <x v="33"/>
    <x v="5"/>
    <x v="138"/>
    <x v="99"/>
    <x v="110"/>
    <x v="15"/>
    <x v="112"/>
    <x v="3"/>
    <x v="57"/>
    <x v="56"/>
    <x v="39"/>
    <x v="6"/>
    <x v="178"/>
    <x v="200"/>
    <x v="275"/>
    <x v="144"/>
    <x v="99"/>
    <x v="0"/>
    <x v="0"/>
    <x v="0"/>
    <x v="0"/>
    <x v="0"/>
    <x v="0"/>
    <x v="2"/>
    <x v="0"/>
    <x v="0"/>
    <x v="0"/>
    <x v="0"/>
    <x v="0"/>
    <x v="0"/>
    <x v="0"/>
    <x v="0"/>
    <x v="0"/>
    <x v="0"/>
    <x v="0"/>
    <x v="0"/>
    <x v="0"/>
    <x v="0"/>
    <x v="0"/>
    <x v="0"/>
    <x v="0"/>
    <x v="0"/>
    <x v="0"/>
    <x v="0"/>
    <x v="0"/>
    <x v="3"/>
    <x v="3"/>
  </r>
  <r>
    <x v="1"/>
    <x v="0"/>
    <x v="7"/>
    <x v="17"/>
    <x v="7"/>
    <x v="9"/>
    <x v="32"/>
    <x v="150"/>
    <x v="1"/>
    <x v="23"/>
    <x v="69"/>
    <x v="59"/>
    <x v="68"/>
    <x v="59"/>
    <x v="0"/>
    <x v="0"/>
    <x v="0"/>
    <x v="0"/>
    <x v="2"/>
    <x v="0"/>
    <x v="0"/>
    <x v="73"/>
    <x v="6"/>
    <x v="9"/>
    <x v="0"/>
    <x v="0"/>
    <x v="160"/>
    <x v="20"/>
    <x v="0"/>
    <x v="212"/>
    <x v="30"/>
    <x v="26"/>
    <x v="7"/>
    <x v="26"/>
    <x v="2"/>
    <x v="105"/>
    <x v="24"/>
    <x v="8"/>
    <x v="1"/>
    <x v="50"/>
    <x v="4"/>
    <x v="0"/>
    <x v="0"/>
    <x v="6"/>
    <x v="0"/>
    <x v="0"/>
    <x v="0"/>
    <x v="9"/>
    <x v="0"/>
    <x v="0"/>
    <x v="0"/>
    <x v="0"/>
    <x v="0"/>
    <x v="0"/>
    <x v="0"/>
    <x v="0"/>
    <x v="0"/>
    <x v="0"/>
    <x v="0"/>
    <x v="0"/>
    <x v="0"/>
    <x v="0"/>
    <x v="0"/>
    <x v="0"/>
    <x v="0"/>
    <x v="0"/>
    <x v="0"/>
    <x v="2"/>
    <x v="30"/>
    <x v="30"/>
  </r>
  <r>
    <x v="1"/>
    <x v="0"/>
    <x v="0"/>
    <x v="3"/>
    <x v="1"/>
    <x v="0"/>
    <x v="41"/>
    <x v="15"/>
    <x v="1"/>
    <x v="23"/>
    <x v="39"/>
    <x v="10"/>
    <x v="85"/>
    <x v="67"/>
    <x v="14"/>
    <x v="33"/>
    <x v="0"/>
    <x v="0"/>
    <x v="45"/>
    <x v="2"/>
    <x v="0"/>
    <x v="82"/>
    <x v="204"/>
    <x v="33"/>
    <x v="5"/>
    <x v="135"/>
    <x v="52"/>
    <x v="153"/>
    <x v="67"/>
    <x v="67"/>
    <x v="0"/>
    <x v="59"/>
    <x v="57"/>
    <x v="34"/>
    <x v="6"/>
    <x v="190"/>
    <x v="140"/>
    <x v="228"/>
    <x v="6"/>
    <x v="22"/>
    <x v="0"/>
    <x v="0"/>
    <x v="0"/>
    <x v="0"/>
    <x v="0"/>
    <x v="0"/>
    <x v="0"/>
    <x v="0"/>
    <x v="0"/>
    <x v="0"/>
    <x v="0"/>
    <x v="0"/>
    <x v="0"/>
    <x v="0"/>
    <x v="0"/>
    <x v="0"/>
    <x v="0"/>
    <x v="0"/>
    <x v="0"/>
    <x v="0"/>
    <x v="0"/>
    <x v="0"/>
    <x v="0"/>
    <x v="0"/>
    <x v="0"/>
    <x v="0"/>
    <x v="0"/>
    <x v="0"/>
    <x v="0"/>
    <x v="0"/>
  </r>
  <r>
    <x v="1"/>
    <x v="0"/>
    <x v="5"/>
    <x v="11"/>
    <x v="6"/>
    <x v="5"/>
    <x v="30"/>
    <x v="148"/>
    <x v="1"/>
    <x v="23"/>
    <x v="61"/>
    <x v="46"/>
    <x v="157"/>
    <x v="100"/>
    <x v="0"/>
    <x v="46"/>
    <x v="0"/>
    <x v="0"/>
    <x v="51"/>
    <x v="2"/>
    <x v="0"/>
    <x v="115"/>
    <x v="84"/>
    <x v="38"/>
    <x v="1"/>
    <x v="64"/>
    <x v="64"/>
    <x v="133"/>
    <x v="71"/>
    <x v="88"/>
    <x v="11"/>
    <x v="51"/>
    <x v="40"/>
    <x v="74"/>
    <x v="4"/>
    <x v="131"/>
    <x v="122"/>
    <x v="109"/>
    <x v="2"/>
    <x v="4"/>
    <x v="0"/>
    <x v="0"/>
    <x v="0"/>
    <x v="0"/>
    <x v="0"/>
    <x v="6"/>
    <x v="0"/>
    <x v="0"/>
    <x v="0"/>
    <x v="0"/>
    <x v="0"/>
    <x v="0"/>
    <x v="0"/>
    <x v="0"/>
    <x v="0"/>
    <x v="0"/>
    <x v="0"/>
    <x v="0"/>
    <x v="0"/>
    <x v="0"/>
    <x v="0"/>
    <x v="0"/>
    <x v="0"/>
    <x v="0"/>
    <x v="0"/>
    <x v="0"/>
    <x v="0"/>
    <x v="0"/>
    <x v="11"/>
    <x v="11"/>
  </r>
  <r>
    <x v="1"/>
    <x v="1"/>
    <x v="6"/>
    <x v="14"/>
    <x v="7"/>
    <x v="9"/>
    <x v="31"/>
    <x v="153"/>
    <x v="3"/>
    <x v="23"/>
    <x v="81"/>
    <x v="85"/>
    <x v="271"/>
    <x v="182"/>
    <x v="0"/>
    <x v="0"/>
    <x v="0"/>
    <x v="0"/>
    <x v="0"/>
    <x v="0"/>
    <x v="0"/>
    <x v="196"/>
    <x v="125"/>
    <x v="6"/>
    <x v="0"/>
    <x v="0"/>
    <x v="160"/>
    <x v="0"/>
    <x v="0"/>
    <x v="233"/>
    <x v="7"/>
    <x v="54"/>
    <x v="49"/>
    <x v="188"/>
    <x v="0"/>
    <x v="7"/>
    <x v="213"/>
    <x v="280"/>
    <x v="145"/>
    <x v="99"/>
    <x v="4"/>
    <x v="0"/>
    <x v="0"/>
    <x v="0"/>
    <x v="0"/>
    <x v="0"/>
    <x v="0"/>
    <x v="0"/>
    <x v="0"/>
    <x v="0"/>
    <x v="0"/>
    <x v="0"/>
    <x v="0"/>
    <x v="0"/>
    <x v="0"/>
    <x v="0"/>
    <x v="0"/>
    <x v="0"/>
    <x v="0"/>
    <x v="0"/>
    <x v="0"/>
    <x v="0"/>
    <x v="0"/>
    <x v="0"/>
    <x v="0"/>
    <x v="0"/>
    <x v="0"/>
    <x v="0"/>
    <x v="7"/>
    <x v="7"/>
  </r>
  <r>
    <x v="1"/>
    <x v="1"/>
    <x v="5"/>
    <x v="11"/>
    <x v="6"/>
    <x v="5"/>
    <x v="30"/>
    <x v="155"/>
    <x v="3"/>
    <x v="23"/>
    <x v="61"/>
    <x v="46"/>
    <x v="180"/>
    <x v="109"/>
    <x v="9"/>
    <x v="36"/>
    <x v="0"/>
    <x v="0"/>
    <x v="49"/>
    <x v="0"/>
    <x v="0"/>
    <x v="122"/>
    <x v="148"/>
    <x v="38"/>
    <x v="1"/>
    <x v="84"/>
    <x v="76"/>
    <x v="114"/>
    <x v="48"/>
    <x v="108"/>
    <x v="0"/>
    <x v="59"/>
    <x v="57"/>
    <x v="94"/>
    <x v="4"/>
    <x v="135"/>
    <x v="102"/>
    <x v="190"/>
    <x v="3"/>
    <x v="99"/>
    <x v="0"/>
    <x v="0"/>
    <x v="0"/>
    <x v="0"/>
    <x v="0"/>
    <x v="0"/>
    <x v="0"/>
    <x v="0"/>
    <x v="0"/>
    <x v="0"/>
    <x v="0"/>
    <x v="0"/>
    <x v="0"/>
    <x v="0"/>
    <x v="0"/>
    <x v="0"/>
    <x v="0"/>
    <x v="0"/>
    <x v="0"/>
    <x v="0"/>
    <x v="0"/>
    <x v="0"/>
    <x v="0"/>
    <x v="0"/>
    <x v="0"/>
    <x v="0"/>
    <x v="0"/>
    <x v="0"/>
    <x v="0"/>
    <x v="0"/>
  </r>
  <r>
    <x v="1"/>
    <x v="1"/>
    <x v="0"/>
    <x v="3"/>
    <x v="4"/>
    <x v="0"/>
    <x v="41"/>
    <x v="17"/>
    <x v="3"/>
    <x v="23"/>
    <x v="39"/>
    <x v="10"/>
    <x v="66"/>
    <x v="57"/>
    <x v="12"/>
    <x v="19"/>
    <x v="0"/>
    <x v="0"/>
    <x v="44"/>
    <x v="0"/>
    <x v="0"/>
    <x v="71"/>
    <x v="156"/>
    <x v="33"/>
    <x v="5"/>
    <x v="129"/>
    <x v="62"/>
    <x v="160"/>
    <x v="51"/>
    <x v="57"/>
    <x v="0"/>
    <x v="59"/>
    <x v="57"/>
    <x v="24"/>
    <x v="6"/>
    <x v="203"/>
    <x v="53"/>
    <x v="127"/>
    <x v="7"/>
    <x v="51"/>
    <x v="0"/>
    <x v="0"/>
    <x v="0"/>
    <x v="0"/>
    <x v="0"/>
    <x v="0"/>
    <x v="0"/>
    <x v="0"/>
    <x v="0"/>
    <x v="0"/>
    <x v="0"/>
    <x v="0"/>
    <x v="0"/>
    <x v="0"/>
    <x v="0"/>
    <x v="0"/>
    <x v="0"/>
    <x v="0"/>
    <x v="0"/>
    <x v="0"/>
    <x v="0"/>
    <x v="0"/>
    <x v="0"/>
    <x v="0"/>
    <x v="0"/>
    <x v="0"/>
    <x v="0"/>
    <x v="0"/>
    <x v="0"/>
    <x v="0"/>
  </r>
  <r>
    <x v="1"/>
    <x v="1"/>
    <x v="7"/>
    <x v="17"/>
    <x v="7"/>
    <x v="8"/>
    <x v="32"/>
    <x v="152"/>
    <x v="3"/>
    <x v="13"/>
    <x v="50"/>
    <x v="59"/>
    <x v="88"/>
    <x v="69"/>
    <x v="0"/>
    <x v="0"/>
    <x v="0"/>
    <x v="0"/>
    <x v="0"/>
    <x v="0"/>
    <x v="0"/>
    <x v="84"/>
    <x v="71"/>
    <x v="9"/>
    <x v="0"/>
    <x v="0"/>
    <x v="160"/>
    <x v="0"/>
    <x v="0"/>
    <x v="233"/>
    <x v="7"/>
    <x v="25"/>
    <x v="33"/>
    <x v="117"/>
    <x v="2"/>
    <x v="74"/>
    <x v="119"/>
    <x v="90"/>
    <x v="146"/>
    <x v="99"/>
    <x v="4"/>
    <x v="0"/>
    <x v="0"/>
    <x v="0"/>
    <x v="0"/>
    <x v="0"/>
    <x v="0"/>
    <x v="0"/>
    <x v="0"/>
    <x v="0"/>
    <x v="0"/>
    <x v="0"/>
    <x v="0"/>
    <x v="0"/>
    <x v="0"/>
    <x v="0"/>
    <x v="0"/>
    <x v="0"/>
    <x v="0"/>
    <x v="0"/>
    <x v="0"/>
    <x v="0"/>
    <x v="0"/>
    <x v="0"/>
    <x v="0"/>
    <x v="0"/>
    <x v="0"/>
    <x v="0"/>
    <x v="7"/>
    <x v="7"/>
  </r>
  <r>
    <x v="1"/>
    <x v="2"/>
    <x v="0"/>
    <x v="3"/>
    <x v="4"/>
    <x v="0"/>
    <x v="41"/>
    <x v="18"/>
    <x v="0"/>
    <x v="23"/>
    <x v="39"/>
    <x v="10"/>
    <x v="99"/>
    <x v="71"/>
    <x v="0"/>
    <x v="5"/>
    <x v="0"/>
    <x v="0"/>
    <x v="25"/>
    <x v="2"/>
    <x v="0"/>
    <x v="86"/>
    <x v="213"/>
    <x v="33"/>
    <x v="5"/>
    <x v="137"/>
    <x v="106"/>
    <x v="88"/>
    <x v="16"/>
    <x v="138"/>
    <x v="0"/>
    <x v="59"/>
    <x v="57"/>
    <x v="39"/>
    <x v="6"/>
    <x v="181"/>
    <x v="177"/>
    <x v="276"/>
    <x v="8"/>
    <x v="25"/>
    <x v="0"/>
    <x v="0"/>
    <x v="0"/>
    <x v="0"/>
    <x v="0"/>
    <x v="0"/>
    <x v="0"/>
    <x v="0"/>
    <x v="0"/>
    <x v="0"/>
    <x v="0"/>
    <x v="0"/>
    <x v="0"/>
    <x v="0"/>
    <x v="0"/>
    <x v="0"/>
    <x v="0"/>
    <x v="0"/>
    <x v="0"/>
    <x v="0"/>
    <x v="0"/>
    <x v="0"/>
    <x v="0"/>
    <x v="0"/>
    <x v="0"/>
    <x v="0"/>
    <x v="0"/>
    <x v="0"/>
    <x v="0"/>
    <x v="0"/>
  </r>
  <r>
    <x v="1"/>
    <x v="2"/>
    <x v="5"/>
    <x v="11"/>
    <x v="6"/>
    <x v="5"/>
    <x v="30"/>
    <x v="158"/>
    <x v="0"/>
    <x v="23"/>
    <x v="61"/>
    <x v="46"/>
    <x v="201"/>
    <x v="116"/>
    <x v="0"/>
    <x v="7"/>
    <x v="0"/>
    <x v="0"/>
    <x v="44"/>
    <x v="2"/>
    <x v="0"/>
    <x v="126"/>
    <x v="184"/>
    <x v="38"/>
    <x v="1"/>
    <x v="99"/>
    <x v="115"/>
    <x v="94"/>
    <x v="6"/>
    <x v="132"/>
    <x v="0"/>
    <x v="59"/>
    <x v="57"/>
    <x v="100"/>
    <x v="4"/>
    <x v="123"/>
    <x v="161"/>
    <x v="263"/>
    <x v="147"/>
    <x v="99"/>
    <x v="0"/>
    <x v="0"/>
    <x v="0"/>
    <x v="0"/>
    <x v="0"/>
    <x v="0"/>
    <x v="0"/>
    <x v="0"/>
    <x v="0"/>
    <x v="0"/>
    <x v="0"/>
    <x v="0"/>
    <x v="0"/>
    <x v="0"/>
    <x v="0"/>
    <x v="0"/>
    <x v="0"/>
    <x v="0"/>
    <x v="0"/>
    <x v="0"/>
    <x v="0"/>
    <x v="0"/>
    <x v="0"/>
    <x v="0"/>
    <x v="0"/>
    <x v="0"/>
    <x v="0"/>
    <x v="0"/>
    <x v="0"/>
    <x v="0"/>
  </r>
  <r>
    <x v="2"/>
    <x v="0"/>
    <x v="7"/>
    <x v="17"/>
    <x v="7"/>
    <x v="9"/>
    <x v="32"/>
    <x v="154"/>
    <x v="1"/>
    <x v="23"/>
    <x v="69"/>
    <x v="59"/>
    <x v="227"/>
    <x v="132"/>
    <x v="0"/>
    <x v="0"/>
    <x v="0"/>
    <x v="0"/>
    <x v="3"/>
    <x v="0"/>
    <x v="0"/>
    <x v="145"/>
    <x v="77"/>
    <x v="9"/>
    <x v="0"/>
    <x v="0"/>
    <x v="160"/>
    <x v="10"/>
    <x v="0"/>
    <x v="222"/>
    <x v="12"/>
    <x v="50"/>
    <x v="37"/>
    <x v="119"/>
    <x v="2"/>
    <x v="77"/>
    <x v="113"/>
    <x v="97"/>
    <x v="148"/>
    <x v="36"/>
    <x v="4"/>
    <x v="0"/>
    <x v="0"/>
    <x v="0"/>
    <x v="0"/>
    <x v="0"/>
    <x v="0"/>
    <x v="0"/>
    <x v="0"/>
    <x v="0"/>
    <x v="0"/>
    <x v="0"/>
    <x v="0"/>
    <x v="0"/>
    <x v="0"/>
    <x v="0"/>
    <x v="0"/>
    <x v="0"/>
    <x v="0"/>
    <x v="0"/>
    <x v="0"/>
    <x v="0"/>
    <x v="0"/>
    <x v="0"/>
    <x v="0"/>
    <x v="0"/>
    <x v="0"/>
    <x v="2"/>
    <x v="12"/>
    <x v="12"/>
  </r>
  <r>
    <x v="2"/>
    <x v="0"/>
    <x v="0"/>
    <x v="3"/>
    <x v="1"/>
    <x v="0"/>
    <x v="41"/>
    <x v="19"/>
    <x v="1"/>
    <x v="23"/>
    <x v="39"/>
    <x v="10"/>
    <x v="67"/>
    <x v="57"/>
    <x v="0"/>
    <x v="22"/>
    <x v="0"/>
    <x v="0"/>
    <x v="50"/>
    <x v="2"/>
    <x v="0"/>
    <x v="71"/>
    <x v="156"/>
    <x v="33"/>
    <x v="5"/>
    <x v="130"/>
    <x v="58"/>
    <x v="172"/>
    <x v="59"/>
    <x v="43"/>
    <x v="5"/>
    <x v="56"/>
    <x v="53"/>
    <x v="24"/>
    <x v="6"/>
    <x v="197"/>
    <x v="87"/>
    <x v="124"/>
    <x v="4"/>
    <x v="96"/>
    <x v="0"/>
    <x v="0"/>
    <x v="0"/>
    <x v="0"/>
    <x v="0"/>
    <x v="0"/>
    <x v="0"/>
    <x v="4"/>
    <x v="0"/>
    <x v="0"/>
    <x v="0"/>
    <x v="0"/>
    <x v="0"/>
    <x v="0"/>
    <x v="0"/>
    <x v="0"/>
    <x v="0"/>
    <x v="0"/>
    <x v="0"/>
    <x v="0"/>
    <x v="0"/>
    <x v="0"/>
    <x v="0"/>
    <x v="0"/>
    <x v="0"/>
    <x v="0"/>
    <x v="0"/>
    <x v="0"/>
    <x v="5"/>
    <x v="5"/>
  </r>
  <r>
    <x v="2"/>
    <x v="0"/>
    <x v="5"/>
    <x v="11"/>
    <x v="6"/>
    <x v="5"/>
    <x v="30"/>
    <x v="160"/>
    <x v="1"/>
    <x v="23"/>
    <x v="61"/>
    <x v="46"/>
    <x v="213"/>
    <x v="119"/>
    <x v="0"/>
    <x v="13"/>
    <x v="0"/>
    <x v="0"/>
    <x v="37"/>
    <x v="2"/>
    <x v="0"/>
    <x v="129"/>
    <x v="197"/>
    <x v="38"/>
    <x v="1"/>
    <x v="104"/>
    <x v="116"/>
    <x v="79"/>
    <x v="8"/>
    <x v="148"/>
    <x v="0"/>
    <x v="59"/>
    <x v="57"/>
    <x v="103"/>
    <x v="4"/>
    <x v="118"/>
    <x v="181"/>
    <x v="279"/>
    <x v="5"/>
    <x v="99"/>
    <x v="0"/>
    <x v="0"/>
    <x v="0"/>
    <x v="0"/>
    <x v="0"/>
    <x v="0"/>
    <x v="0"/>
    <x v="0"/>
    <x v="0"/>
    <x v="0"/>
    <x v="0"/>
    <x v="0"/>
    <x v="0"/>
    <x v="0"/>
    <x v="0"/>
    <x v="0"/>
    <x v="0"/>
    <x v="0"/>
    <x v="0"/>
    <x v="0"/>
    <x v="0"/>
    <x v="0"/>
    <x v="0"/>
    <x v="0"/>
    <x v="0"/>
    <x v="0"/>
    <x v="0"/>
    <x v="0"/>
    <x v="0"/>
    <x v="0"/>
  </r>
  <r>
    <x v="2"/>
    <x v="3"/>
    <x v="8"/>
    <x v="42"/>
    <x v="7"/>
    <x v="12"/>
    <x v="33"/>
    <x v="150"/>
    <x v="4"/>
    <x v="24"/>
    <x v="75"/>
    <x v="70"/>
    <x v="254"/>
    <x v="163"/>
    <x v="0"/>
    <x v="0"/>
    <x v="0"/>
    <x v="0"/>
    <x v="29"/>
    <x v="0"/>
    <x v="0"/>
    <x v="181"/>
    <x v="124"/>
    <x v="22"/>
    <x v="0"/>
    <x v="0"/>
    <x v="160"/>
    <x v="52"/>
    <x v="0"/>
    <x v="175"/>
    <x v="19"/>
    <x v="47"/>
    <x v="27"/>
    <x v="153"/>
    <x v="3"/>
    <x v="26"/>
    <x v="233"/>
    <x v="310"/>
    <x v="149"/>
    <x v="53"/>
    <x v="5"/>
    <x v="0"/>
    <x v="0"/>
    <x v="3"/>
    <x v="0"/>
    <x v="0"/>
    <x v="0"/>
    <x v="0"/>
    <x v="0"/>
    <x v="0"/>
    <x v="0"/>
    <x v="0"/>
    <x v="0"/>
    <x v="0"/>
    <x v="0"/>
    <x v="0"/>
    <x v="0"/>
    <x v="0"/>
    <x v="0"/>
    <x v="0"/>
    <x v="0"/>
    <x v="0"/>
    <x v="0"/>
    <x v="0"/>
    <x v="0"/>
    <x v="0"/>
    <x v="0"/>
    <x v="0"/>
    <x v="19"/>
    <x v="19"/>
  </r>
  <r>
    <x v="2"/>
    <x v="1"/>
    <x v="0"/>
    <x v="3"/>
    <x v="4"/>
    <x v="0"/>
    <x v="41"/>
    <x v="20"/>
    <x v="3"/>
    <x v="10"/>
    <x v="26"/>
    <x v="38"/>
    <x v="29"/>
    <x v="22"/>
    <x v="15"/>
    <x v="41"/>
    <x v="0"/>
    <x v="0"/>
    <x v="30"/>
    <x v="0"/>
    <x v="0"/>
    <x v="42"/>
    <x v="23"/>
    <x v="33"/>
    <x v="5"/>
    <x v="31"/>
    <x v="12"/>
    <x v="204"/>
    <x v="107"/>
    <x v="12"/>
    <x v="0"/>
    <x v="21"/>
    <x v="57"/>
    <x v="27"/>
    <x v="6"/>
    <x v="197"/>
    <x v="87"/>
    <x v="163"/>
    <x v="9"/>
    <x v="97"/>
    <x v="6"/>
    <x v="0"/>
    <x v="0"/>
    <x v="0"/>
    <x v="0"/>
    <x v="0"/>
    <x v="0"/>
    <x v="0"/>
    <x v="0"/>
    <x v="0"/>
    <x v="0"/>
    <x v="0"/>
    <x v="0"/>
    <x v="0"/>
    <x v="0"/>
    <x v="0"/>
    <x v="0"/>
    <x v="0"/>
    <x v="0"/>
    <x v="0"/>
    <x v="0"/>
    <x v="0"/>
    <x v="0"/>
    <x v="0"/>
    <x v="0"/>
    <x v="0"/>
    <x v="0"/>
    <x v="0"/>
    <x v="0"/>
    <x v="0"/>
  </r>
  <r>
    <x v="2"/>
    <x v="1"/>
    <x v="7"/>
    <x v="17"/>
    <x v="7"/>
    <x v="8"/>
    <x v="32"/>
    <x v="157"/>
    <x v="3"/>
    <x v="23"/>
    <x v="69"/>
    <x v="59"/>
    <x v="245"/>
    <x v="154"/>
    <x v="0"/>
    <x v="0"/>
    <x v="0"/>
    <x v="0"/>
    <x v="16"/>
    <x v="0"/>
    <x v="0"/>
    <x v="169"/>
    <x v="158"/>
    <x v="9"/>
    <x v="0"/>
    <x v="0"/>
    <x v="160"/>
    <x v="44"/>
    <x v="0"/>
    <x v="184"/>
    <x v="7"/>
    <x v="54"/>
    <x v="49"/>
    <x v="143"/>
    <x v="2"/>
    <x v="52"/>
    <x v="158"/>
    <x v="182"/>
    <x v="151"/>
    <x v="99"/>
    <x v="4"/>
    <x v="0"/>
    <x v="0"/>
    <x v="0"/>
    <x v="0"/>
    <x v="0"/>
    <x v="0"/>
    <x v="0"/>
    <x v="0"/>
    <x v="0"/>
    <x v="0"/>
    <x v="0"/>
    <x v="0"/>
    <x v="0"/>
    <x v="0"/>
    <x v="0"/>
    <x v="0"/>
    <x v="0"/>
    <x v="0"/>
    <x v="0"/>
    <x v="0"/>
    <x v="0"/>
    <x v="0"/>
    <x v="0"/>
    <x v="0"/>
    <x v="0"/>
    <x v="0"/>
    <x v="0"/>
    <x v="7"/>
    <x v="7"/>
  </r>
  <r>
    <x v="2"/>
    <x v="1"/>
    <x v="6"/>
    <x v="14"/>
    <x v="7"/>
    <x v="9"/>
    <x v="31"/>
    <x v="156"/>
    <x v="3"/>
    <x v="23"/>
    <x v="82"/>
    <x v="91"/>
    <x v="275"/>
    <x v="187"/>
    <x v="0"/>
    <x v="0"/>
    <x v="0"/>
    <x v="0"/>
    <x v="0"/>
    <x v="0"/>
    <x v="0"/>
    <x v="197"/>
    <x v="125"/>
    <x v="6"/>
    <x v="0"/>
    <x v="0"/>
    <x v="160"/>
    <x v="0"/>
    <x v="0"/>
    <x v="233"/>
    <x v="0"/>
    <x v="59"/>
    <x v="57"/>
    <x v="197"/>
    <x v="0"/>
    <x v="3"/>
    <x v="218"/>
    <x v="303"/>
    <x v="150"/>
    <x v="99"/>
    <x v="6"/>
    <x v="0"/>
    <x v="0"/>
    <x v="0"/>
    <x v="0"/>
    <x v="0"/>
    <x v="0"/>
    <x v="0"/>
    <x v="0"/>
    <x v="0"/>
    <x v="0"/>
    <x v="0"/>
    <x v="0"/>
    <x v="0"/>
    <x v="0"/>
    <x v="0"/>
    <x v="0"/>
    <x v="0"/>
    <x v="0"/>
    <x v="0"/>
    <x v="0"/>
    <x v="0"/>
    <x v="0"/>
    <x v="0"/>
    <x v="0"/>
    <x v="0"/>
    <x v="0"/>
    <x v="0"/>
    <x v="0"/>
    <x v="0"/>
  </r>
  <r>
    <x v="2"/>
    <x v="1"/>
    <x v="5"/>
    <x v="11"/>
    <x v="6"/>
    <x v="5"/>
    <x v="30"/>
    <x v="163"/>
    <x v="3"/>
    <x v="23"/>
    <x v="61"/>
    <x v="46"/>
    <x v="214"/>
    <x v="120"/>
    <x v="0"/>
    <x v="13"/>
    <x v="0"/>
    <x v="0"/>
    <x v="51"/>
    <x v="0"/>
    <x v="0"/>
    <x v="131"/>
    <x v="201"/>
    <x v="38"/>
    <x v="1"/>
    <x v="107"/>
    <x v="113"/>
    <x v="104"/>
    <x v="7"/>
    <x v="118"/>
    <x v="0"/>
    <x v="59"/>
    <x v="57"/>
    <x v="104"/>
    <x v="4"/>
    <x v="116"/>
    <x v="190"/>
    <x v="285"/>
    <x v="10"/>
    <x v="99"/>
    <x v="0"/>
    <x v="0"/>
    <x v="0"/>
    <x v="0"/>
    <x v="0"/>
    <x v="0"/>
    <x v="0"/>
    <x v="0"/>
    <x v="0"/>
    <x v="0"/>
    <x v="0"/>
    <x v="0"/>
    <x v="0"/>
    <x v="0"/>
    <x v="0"/>
    <x v="0"/>
    <x v="0"/>
    <x v="0"/>
    <x v="0"/>
    <x v="0"/>
    <x v="0"/>
    <x v="0"/>
    <x v="0"/>
    <x v="0"/>
    <x v="0"/>
    <x v="0"/>
    <x v="0"/>
    <x v="0"/>
    <x v="0"/>
    <x v="0"/>
  </r>
  <r>
    <x v="2"/>
    <x v="2"/>
    <x v="0"/>
    <x v="3"/>
    <x v="4"/>
    <x v="0"/>
    <x v="41"/>
    <x v="21"/>
    <x v="0"/>
    <x v="19"/>
    <x v="29"/>
    <x v="13"/>
    <x v="54"/>
    <x v="47"/>
    <x v="18"/>
    <x v="37"/>
    <x v="0"/>
    <x v="0"/>
    <x v="37"/>
    <x v="2"/>
    <x v="0"/>
    <x v="61"/>
    <x v="170"/>
    <x v="33"/>
    <x v="5"/>
    <x v="124"/>
    <x v="32"/>
    <x v="164"/>
    <x v="91"/>
    <x v="55"/>
    <x v="5"/>
    <x v="39"/>
    <x v="49"/>
    <x v="27"/>
    <x v="6"/>
    <x v="187"/>
    <x v="159"/>
    <x v="168"/>
    <x v="11"/>
    <x v="55"/>
    <x v="0"/>
    <x v="0"/>
    <x v="0"/>
    <x v="0"/>
    <x v="0"/>
    <x v="0"/>
    <x v="0"/>
    <x v="4"/>
    <x v="0"/>
    <x v="0"/>
    <x v="0"/>
    <x v="0"/>
    <x v="0"/>
    <x v="0"/>
    <x v="0"/>
    <x v="0"/>
    <x v="0"/>
    <x v="0"/>
    <x v="0"/>
    <x v="0"/>
    <x v="0"/>
    <x v="0"/>
    <x v="0"/>
    <x v="0"/>
    <x v="0"/>
    <x v="0"/>
    <x v="0"/>
    <x v="0"/>
    <x v="5"/>
    <x v="5"/>
  </r>
  <r>
    <x v="2"/>
    <x v="2"/>
    <x v="5"/>
    <x v="11"/>
    <x v="6"/>
    <x v="5"/>
    <x v="30"/>
    <x v="167"/>
    <x v="0"/>
    <x v="23"/>
    <x v="61"/>
    <x v="46"/>
    <x v="215"/>
    <x v="121"/>
    <x v="0"/>
    <x v="3"/>
    <x v="0"/>
    <x v="0"/>
    <x v="50"/>
    <x v="2"/>
    <x v="0"/>
    <x v="134"/>
    <x v="205"/>
    <x v="38"/>
    <x v="1"/>
    <x v="110"/>
    <x v="117"/>
    <x v="96"/>
    <x v="2"/>
    <x v="128"/>
    <x v="0"/>
    <x v="59"/>
    <x v="57"/>
    <x v="106"/>
    <x v="4"/>
    <x v="112"/>
    <x v="201"/>
    <x v="294"/>
    <x v="12"/>
    <x v="99"/>
    <x v="0"/>
    <x v="0"/>
    <x v="0"/>
    <x v="0"/>
    <x v="0"/>
    <x v="0"/>
    <x v="0"/>
    <x v="0"/>
    <x v="0"/>
    <x v="0"/>
    <x v="0"/>
    <x v="0"/>
    <x v="0"/>
    <x v="0"/>
    <x v="0"/>
    <x v="0"/>
    <x v="0"/>
    <x v="0"/>
    <x v="0"/>
    <x v="0"/>
    <x v="0"/>
    <x v="0"/>
    <x v="0"/>
    <x v="0"/>
    <x v="0"/>
    <x v="0"/>
    <x v="0"/>
    <x v="0"/>
    <x v="0"/>
    <x v="0"/>
  </r>
  <r>
    <x v="3"/>
    <x v="0"/>
    <x v="5"/>
    <x v="11"/>
    <x v="6"/>
    <x v="5"/>
    <x v="30"/>
    <x v="169"/>
    <x v="1"/>
    <x v="23"/>
    <x v="61"/>
    <x v="46"/>
    <x v="212"/>
    <x v="119"/>
    <x v="0"/>
    <x v="0"/>
    <x v="0"/>
    <x v="0"/>
    <x v="45"/>
    <x v="2"/>
    <x v="0"/>
    <x v="129"/>
    <x v="197"/>
    <x v="38"/>
    <x v="1"/>
    <x v="103"/>
    <x v="129"/>
    <x v="91"/>
    <x v="0"/>
    <x v="134"/>
    <x v="0"/>
    <x v="59"/>
    <x v="57"/>
    <x v="103"/>
    <x v="4"/>
    <x v="118"/>
    <x v="181"/>
    <x v="278"/>
    <x v="14"/>
    <x v="99"/>
    <x v="0"/>
    <x v="0"/>
    <x v="0"/>
    <x v="0"/>
    <x v="0"/>
    <x v="0"/>
    <x v="0"/>
    <x v="0"/>
    <x v="0"/>
    <x v="0"/>
    <x v="0"/>
    <x v="0"/>
    <x v="0"/>
    <x v="0"/>
    <x v="0"/>
    <x v="0"/>
    <x v="0"/>
    <x v="0"/>
    <x v="0"/>
    <x v="0"/>
    <x v="0"/>
    <x v="0"/>
    <x v="0"/>
    <x v="0"/>
    <x v="0"/>
    <x v="0"/>
    <x v="0"/>
    <x v="0"/>
    <x v="0"/>
    <x v="0"/>
  </r>
  <r>
    <x v="3"/>
    <x v="0"/>
    <x v="6"/>
    <x v="14"/>
    <x v="7"/>
    <x v="9"/>
    <x v="31"/>
    <x v="164"/>
    <x v="1"/>
    <x v="9"/>
    <x v="55"/>
    <x v="86"/>
    <x v="116"/>
    <x v="82"/>
    <x v="0"/>
    <x v="0"/>
    <x v="0"/>
    <x v="0"/>
    <x v="0"/>
    <x v="0"/>
    <x v="0"/>
    <x v="97"/>
    <x v="80"/>
    <x v="6"/>
    <x v="0"/>
    <x v="0"/>
    <x v="160"/>
    <x v="0"/>
    <x v="0"/>
    <x v="233"/>
    <x v="0"/>
    <x v="17"/>
    <x v="57"/>
    <x v="183"/>
    <x v="0"/>
    <x v="15"/>
    <x v="129"/>
    <x v="232"/>
    <x v="13"/>
    <x v="99"/>
    <x v="0"/>
    <x v="0"/>
    <x v="0"/>
    <x v="0"/>
    <x v="0"/>
    <x v="0"/>
    <x v="0"/>
    <x v="0"/>
    <x v="0"/>
    <x v="0"/>
    <x v="0"/>
    <x v="0"/>
    <x v="0"/>
    <x v="0"/>
    <x v="0"/>
    <x v="0"/>
    <x v="0"/>
    <x v="0"/>
    <x v="0"/>
    <x v="0"/>
    <x v="0"/>
    <x v="0"/>
    <x v="0"/>
    <x v="0"/>
    <x v="0"/>
    <x v="0"/>
    <x v="0"/>
    <x v="0"/>
    <x v="0"/>
    <x v="0"/>
  </r>
  <r>
    <x v="3"/>
    <x v="0"/>
    <x v="7"/>
    <x v="17"/>
    <x v="7"/>
    <x v="8"/>
    <x v="32"/>
    <x v="161"/>
    <x v="1"/>
    <x v="23"/>
    <x v="69"/>
    <x v="59"/>
    <x v="238"/>
    <x v="144"/>
    <x v="0"/>
    <x v="0"/>
    <x v="0"/>
    <x v="0"/>
    <x v="1"/>
    <x v="0"/>
    <x v="0"/>
    <x v="159"/>
    <x v="121"/>
    <x v="9"/>
    <x v="0"/>
    <x v="0"/>
    <x v="160"/>
    <x v="4"/>
    <x v="0"/>
    <x v="229"/>
    <x v="7"/>
    <x v="54"/>
    <x v="49"/>
    <x v="133"/>
    <x v="2"/>
    <x v="76"/>
    <x v="116"/>
    <x v="147"/>
    <x v="152"/>
    <x v="99"/>
    <x v="4"/>
    <x v="0"/>
    <x v="0"/>
    <x v="0"/>
    <x v="0"/>
    <x v="0"/>
    <x v="0"/>
    <x v="0"/>
    <x v="0"/>
    <x v="0"/>
    <x v="0"/>
    <x v="0"/>
    <x v="0"/>
    <x v="0"/>
    <x v="0"/>
    <x v="0"/>
    <x v="0"/>
    <x v="0"/>
    <x v="0"/>
    <x v="0"/>
    <x v="0"/>
    <x v="0"/>
    <x v="0"/>
    <x v="0"/>
    <x v="0"/>
    <x v="0"/>
    <x v="0"/>
    <x v="0"/>
    <x v="7"/>
    <x v="7"/>
  </r>
  <r>
    <x v="3"/>
    <x v="0"/>
    <x v="2"/>
    <x v="50"/>
    <x v="7"/>
    <x v="3"/>
    <x v="4"/>
    <x v="26"/>
    <x v="1"/>
    <x v="7"/>
    <x v="16"/>
    <x v="42"/>
    <x v="25"/>
    <x v="25"/>
    <x v="0"/>
    <x v="0"/>
    <x v="0"/>
    <x v="0"/>
    <x v="0"/>
    <x v="0"/>
    <x v="0"/>
    <x v="44"/>
    <x v="136"/>
    <x v="32"/>
    <x v="2"/>
    <x v="5"/>
    <x v="159"/>
    <x v="0"/>
    <x v="0"/>
    <x v="233"/>
    <x v="0"/>
    <x v="12"/>
    <x v="57"/>
    <x v="81"/>
    <x v="5"/>
    <x v="148"/>
    <x v="150"/>
    <x v="259"/>
    <x v="87"/>
    <x v="2"/>
    <x v="0"/>
    <x v="0"/>
    <x v="0"/>
    <x v="0"/>
    <x v="0"/>
    <x v="0"/>
    <x v="11"/>
    <x v="0"/>
    <x v="0"/>
    <x v="0"/>
    <x v="0"/>
    <x v="0"/>
    <x v="10"/>
    <x v="0"/>
    <x v="0"/>
    <x v="0"/>
    <x v="0"/>
    <x v="0"/>
    <x v="0"/>
    <x v="0"/>
    <x v="0"/>
    <x v="0"/>
    <x v="0"/>
    <x v="0"/>
    <x v="0"/>
    <x v="0"/>
    <x v="0"/>
    <x v="0"/>
    <x v="0"/>
    <x v="0"/>
  </r>
  <r>
    <x v="3"/>
    <x v="0"/>
    <x v="2"/>
    <x v="50"/>
    <x v="7"/>
    <x v="3"/>
    <x v="4"/>
    <x v="27"/>
    <x v="1"/>
    <x v="19"/>
    <x v="55"/>
    <x v="51"/>
    <x v="60"/>
    <x v="53"/>
    <x v="24"/>
    <x v="2"/>
    <x v="0"/>
    <x v="0"/>
    <x v="5"/>
    <x v="2"/>
    <x v="0"/>
    <x v="67"/>
    <x v="20"/>
    <x v="32"/>
    <x v="2"/>
    <x v="17"/>
    <x v="44"/>
    <x v="40"/>
    <x v="4"/>
    <x v="191"/>
    <x v="11"/>
    <x v="36"/>
    <x v="33"/>
    <x v="42"/>
    <x v="5"/>
    <x v="173"/>
    <x v="49"/>
    <x v="57"/>
    <x v="88"/>
    <x v="99"/>
    <x v="0"/>
    <x v="0"/>
    <x v="0"/>
    <x v="0"/>
    <x v="0"/>
    <x v="0"/>
    <x v="3"/>
    <x v="0"/>
    <x v="0"/>
    <x v="0"/>
    <x v="0"/>
    <x v="0"/>
    <x v="2"/>
    <x v="0"/>
    <x v="0"/>
    <x v="0"/>
    <x v="0"/>
    <x v="0"/>
    <x v="0"/>
    <x v="0"/>
    <x v="0"/>
    <x v="0"/>
    <x v="0"/>
    <x v="0"/>
    <x v="0"/>
    <x v="0"/>
    <x v="0"/>
    <x v="0"/>
    <x v="11"/>
    <x v="11"/>
  </r>
  <r>
    <x v="3"/>
    <x v="3"/>
    <x v="1"/>
    <x v="44"/>
    <x v="7"/>
    <x v="10"/>
    <x v="0"/>
    <x v="0"/>
    <x v="2"/>
    <x v="24"/>
    <x v="27"/>
    <x v="1"/>
    <x v="46"/>
    <x v="40"/>
    <x v="0"/>
    <x v="0"/>
    <x v="22"/>
    <x v="0"/>
    <x v="81"/>
    <x v="0"/>
    <x v="3"/>
    <x v="21"/>
    <x v="75"/>
    <x v="25"/>
    <x v="4"/>
    <x v="56"/>
    <x v="19"/>
    <x v="216"/>
    <x v="0"/>
    <x v="0"/>
    <x v="32"/>
    <x v="26"/>
    <x v="5"/>
    <x v="8"/>
    <x v="7"/>
    <x v="241"/>
    <x v="11"/>
    <x v="3"/>
    <x v="293"/>
    <x v="90"/>
    <x v="5"/>
    <x v="12"/>
    <x v="0"/>
    <x v="0"/>
    <x v="0"/>
    <x v="0"/>
    <x v="10"/>
    <x v="0"/>
    <x v="0"/>
    <x v="0"/>
    <x v="0"/>
    <x v="0"/>
    <x v="0"/>
    <x v="0"/>
    <x v="0"/>
    <x v="0"/>
    <x v="0"/>
    <x v="0"/>
    <x v="0"/>
    <x v="0"/>
    <x v="0"/>
    <x v="0"/>
    <x v="0"/>
    <x v="0"/>
    <x v="0"/>
    <x v="0"/>
    <x v="0"/>
    <x v="0"/>
    <x v="32"/>
    <x v="32"/>
  </r>
  <r>
    <x v="3"/>
    <x v="3"/>
    <x v="8"/>
    <x v="42"/>
    <x v="7"/>
    <x v="12"/>
    <x v="33"/>
    <x v="154"/>
    <x v="4"/>
    <x v="24"/>
    <x v="84"/>
    <x v="89"/>
    <x v="279"/>
    <x v="191"/>
    <x v="0"/>
    <x v="0"/>
    <x v="0"/>
    <x v="0"/>
    <x v="34"/>
    <x v="0"/>
    <x v="1"/>
    <x v="174"/>
    <x v="180"/>
    <x v="22"/>
    <x v="0"/>
    <x v="0"/>
    <x v="160"/>
    <x v="39"/>
    <x v="0"/>
    <x v="189"/>
    <x v="7"/>
    <x v="58"/>
    <x v="50"/>
    <x v="202"/>
    <x v="3"/>
    <x v="51"/>
    <x v="220"/>
    <x v="288"/>
    <x v="153"/>
    <x v="99"/>
    <x v="4"/>
    <x v="0"/>
    <x v="0"/>
    <x v="0"/>
    <x v="0"/>
    <x v="0"/>
    <x v="0"/>
    <x v="0"/>
    <x v="0"/>
    <x v="0"/>
    <x v="0"/>
    <x v="0"/>
    <x v="0"/>
    <x v="0"/>
    <x v="0"/>
    <x v="0"/>
    <x v="0"/>
    <x v="0"/>
    <x v="0"/>
    <x v="0"/>
    <x v="0"/>
    <x v="0"/>
    <x v="0"/>
    <x v="0"/>
    <x v="0"/>
    <x v="0"/>
    <x v="0"/>
    <x v="0"/>
    <x v="7"/>
    <x v="7"/>
  </r>
  <r>
    <x v="3"/>
    <x v="1"/>
    <x v="5"/>
    <x v="11"/>
    <x v="6"/>
    <x v="5"/>
    <x v="30"/>
    <x v="173"/>
    <x v="3"/>
    <x v="23"/>
    <x v="61"/>
    <x v="46"/>
    <x v="156"/>
    <x v="100"/>
    <x v="0"/>
    <x v="25"/>
    <x v="0"/>
    <x v="0"/>
    <x v="56"/>
    <x v="0"/>
    <x v="0"/>
    <x v="115"/>
    <x v="84"/>
    <x v="38"/>
    <x v="1"/>
    <x v="60"/>
    <x v="85"/>
    <x v="141"/>
    <x v="39"/>
    <x v="80"/>
    <x v="9"/>
    <x v="52"/>
    <x v="43"/>
    <x v="74"/>
    <x v="4"/>
    <x v="134"/>
    <x v="104"/>
    <x v="108"/>
    <x v="15"/>
    <x v="66"/>
    <x v="0"/>
    <x v="0"/>
    <x v="0"/>
    <x v="0"/>
    <x v="0"/>
    <x v="5"/>
    <x v="0"/>
    <x v="0"/>
    <x v="0"/>
    <x v="0"/>
    <x v="0"/>
    <x v="0"/>
    <x v="0"/>
    <x v="0"/>
    <x v="0"/>
    <x v="0"/>
    <x v="0"/>
    <x v="0"/>
    <x v="0"/>
    <x v="0"/>
    <x v="0"/>
    <x v="0"/>
    <x v="0"/>
    <x v="0"/>
    <x v="0"/>
    <x v="0"/>
    <x v="0"/>
    <x v="0"/>
    <x v="9"/>
    <x v="9"/>
  </r>
  <r>
    <x v="3"/>
    <x v="1"/>
    <x v="2"/>
    <x v="50"/>
    <x v="7"/>
    <x v="3"/>
    <x v="4"/>
    <x v="27"/>
    <x v="3"/>
    <x v="23"/>
    <x v="56"/>
    <x v="30"/>
    <x v="121"/>
    <x v="87"/>
    <x v="15"/>
    <x v="0"/>
    <x v="0"/>
    <x v="0"/>
    <x v="4"/>
    <x v="0"/>
    <x v="0"/>
    <x v="101"/>
    <x v="74"/>
    <x v="32"/>
    <x v="2"/>
    <x v="41"/>
    <x v="124"/>
    <x v="25"/>
    <x v="0"/>
    <x v="206"/>
    <x v="0"/>
    <x v="59"/>
    <x v="57"/>
    <x v="55"/>
    <x v="5"/>
    <x v="174"/>
    <x v="27"/>
    <x v="99"/>
    <x v="88"/>
    <x v="99"/>
    <x v="0"/>
    <x v="0"/>
    <x v="0"/>
    <x v="0"/>
    <x v="0"/>
    <x v="0"/>
    <x v="0"/>
    <x v="0"/>
    <x v="0"/>
    <x v="0"/>
    <x v="0"/>
    <x v="0"/>
    <x v="0"/>
    <x v="0"/>
    <x v="0"/>
    <x v="0"/>
    <x v="0"/>
    <x v="0"/>
    <x v="0"/>
    <x v="0"/>
    <x v="0"/>
    <x v="0"/>
    <x v="0"/>
    <x v="0"/>
    <x v="0"/>
    <x v="0"/>
    <x v="0"/>
    <x v="0"/>
    <x v="0"/>
    <x v="0"/>
  </r>
  <r>
    <x v="3"/>
    <x v="1"/>
    <x v="7"/>
    <x v="17"/>
    <x v="7"/>
    <x v="8"/>
    <x v="32"/>
    <x v="165"/>
    <x v="3"/>
    <x v="23"/>
    <x v="69"/>
    <x v="59"/>
    <x v="243"/>
    <x v="151"/>
    <x v="0"/>
    <x v="0"/>
    <x v="0"/>
    <x v="0"/>
    <x v="1"/>
    <x v="0"/>
    <x v="0"/>
    <x v="166"/>
    <x v="144"/>
    <x v="9"/>
    <x v="0"/>
    <x v="0"/>
    <x v="160"/>
    <x v="3"/>
    <x v="0"/>
    <x v="230"/>
    <x v="7"/>
    <x v="54"/>
    <x v="49"/>
    <x v="139"/>
    <x v="2"/>
    <x v="58"/>
    <x v="146"/>
    <x v="170"/>
    <x v="155"/>
    <x v="99"/>
    <x v="4"/>
    <x v="0"/>
    <x v="0"/>
    <x v="0"/>
    <x v="0"/>
    <x v="0"/>
    <x v="0"/>
    <x v="0"/>
    <x v="0"/>
    <x v="0"/>
    <x v="0"/>
    <x v="0"/>
    <x v="0"/>
    <x v="0"/>
    <x v="0"/>
    <x v="0"/>
    <x v="0"/>
    <x v="0"/>
    <x v="0"/>
    <x v="0"/>
    <x v="0"/>
    <x v="0"/>
    <x v="0"/>
    <x v="0"/>
    <x v="0"/>
    <x v="0"/>
    <x v="0"/>
    <x v="0"/>
    <x v="7"/>
    <x v="7"/>
  </r>
  <r>
    <x v="3"/>
    <x v="1"/>
    <x v="6"/>
    <x v="14"/>
    <x v="7"/>
    <x v="9"/>
    <x v="31"/>
    <x v="166"/>
    <x v="3"/>
    <x v="23"/>
    <x v="77"/>
    <x v="75"/>
    <x v="262"/>
    <x v="172"/>
    <x v="0"/>
    <x v="0"/>
    <x v="0"/>
    <x v="0"/>
    <x v="0"/>
    <x v="0"/>
    <x v="0"/>
    <x v="191"/>
    <x v="125"/>
    <x v="6"/>
    <x v="0"/>
    <x v="0"/>
    <x v="160"/>
    <x v="0"/>
    <x v="0"/>
    <x v="233"/>
    <x v="7"/>
    <x v="54"/>
    <x v="49"/>
    <x v="168"/>
    <x v="0"/>
    <x v="18"/>
    <x v="97"/>
    <x v="130"/>
    <x v="154"/>
    <x v="99"/>
    <x v="4"/>
    <x v="0"/>
    <x v="0"/>
    <x v="0"/>
    <x v="0"/>
    <x v="0"/>
    <x v="0"/>
    <x v="0"/>
    <x v="0"/>
    <x v="0"/>
    <x v="0"/>
    <x v="0"/>
    <x v="0"/>
    <x v="0"/>
    <x v="0"/>
    <x v="0"/>
    <x v="0"/>
    <x v="0"/>
    <x v="0"/>
    <x v="0"/>
    <x v="0"/>
    <x v="0"/>
    <x v="0"/>
    <x v="0"/>
    <x v="0"/>
    <x v="0"/>
    <x v="0"/>
    <x v="0"/>
    <x v="7"/>
    <x v="7"/>
  </r>
  <r>
    <x v="3"/>
    <x v="1"/>
    <x v="0"/>
    <x v="22"/>
    <x v="2"/>
    <x v="1"/>
    <x v="16"/>
    <x v="22"/>
    <x v="3"/>
    <x v="13"/>
    <x v="37"/>
    <x v="49"/>
    <x v="40"/>
    <x v="35"/>
    <x v="25"/>
    <x v="13"/>
    <x v="0"/>
    <x v="0"/>
    <x v="48"/>
    <x v="2"/>
    <x v="0"/>
    <x v="52"/>
    <x v="17"/>
    <x v="39"/>
    <x v="8"/>
    <x v="118"/>
    <x v="26"/>
    <x v="207"/>
    <x v="69"/>
    <x v="9"/>
    <x v="0"/>
    <x v="30"/>
    <x v="57"/>
    <x v="32"/>
    <x v="6"/>
    <x v="192"/>
    <x v="127"/>
    <x v="204"/>
    <x v="16"/>
    <x v="99"/>
    <x v="0"/>
    <x v="0"/>
    <x v="0"/>
    <x v="0"/>
    <x v="0"/>
    <x v="0"/>
    <x v="0"/>
    <x v="0"/>
    <x v="0"/>
    <x v="0"/>
    <x v="0"/>
    <x v="0"/>
    <x v="0"/>
    <x v="0"/>
    <x v="0"/>
    <x v="0"/>
    <x v="0"/>
    <x v="0"/>
    <x v="0"/>
    <x v="0"/>
    <x v="0"/>
    <x v="0"/>
    <x v="0"/>
    <x v="0"/>
    <x v="0"/>
    <x v="0"/>
    <x v="0"/>
    <x v="0"/>
    <x v="0"/>
    <x v="0"/>
  </r>
  <r>
    <x v="3"/>
    <x v="2"/>
    <x v="5"/>
    <x v="11"/>
    <x v="6"/>
    <x v="5"/>
    <x v="30"/>
    <x v="175"/>
    <x v="0"/>
    <x v="23"/>
    <x v="61"/>
    <x v="46"/>
    <x v="181"/>
    <x v="109"/>
    <x v="0"/>
    <x v="40"/>
    <x v="0"/>
    <x v="0"/>
    <x v="41"/>
    <x v="2"/>
    <x v="0"/>
    <x v="122"/>
    <x v="148"/>
    <x v="38"/>
    <x v="1"/>
    <x v="81"/>
    <x v="82"/>
    <x v="95"/>
    <x v="53"/>
    <x v="131"/>
    <x v="8"/>
    <x v="53"/>
    <x v="47"/>
    <x v="94"/>
    <x v="4"/>
    <x v="120"/>
    <x v="174"/>
    <x v="196"/>
    <x v="156"/>
    <x v="99"/>
    <x v="0"/>
    <x v="0"/>
    <x v="0"/>
    <x v="0"/>
    <x v="0"/>
    <x v="0"/>
    <x v="5"/>
    <x v="0"/>
    <x v="0"/>
    <x v="0"/>
    <x v="0"/>
    <x v="0"/>
    <x v="0"/>
    <x v="0"/>
    <x v="0"/>
    <x v="0"/>
    <x v="0"/>
    <x v="0"/>
    <x v="0"/>
    <x v="0"/>
    <x v="0"/>
    <x v="0"/>
    <x v="0"/>
    <x v="0"/>
    <x v="0"/>
    <x v="0"/>
    <x v="0"/>
    <x v="0"/>
    <x v="8"/>
    <x v="8"/>
  </r>
  <r>
    <x v="3"/>
    <x v="2"/>
    <x v="0"/>
    <x v="22"/>
    <x v="3"/>
    <x v="1"/>
    <x v="16"/>
    <x v="23"/>
    <x v="0"/>
    <x v="23"/>
    <x v="37"/>
    <x v="7"/>
    <x v="73"/>
    <x v="62"/>
    <x v="0"/>
    <x v="9"/>
    <x v="0"/>
    <x v="0"/>
    <x v="39"/>
    <x v="0"/>
    <x v="0"/>
    <x v="76"/>
    <x v="198"/>
    <x v="39"/>
    <x v="8"/>
    <x v="146"/>
    <x v="87"/>
    <x v="146"/>
    <x v="34"/>
    <x v="74"/>
    <x v="0"/>
    <x v="59"/>
    <x v="57"/>
    <x v="28"/>
    <x v="6"/>
    <x v="195"/>
    <x v="101"/>
    <x v="184"/>
    <x v="17"/>
    <x v="99"/>
    <x v="0"/>
    <x v="0"/>
    <x v="0"/>
    <x v="0"/>
    <x v="0"/>
    <x v="0"/>
    <x v="0"/>
    <x v="0"/>
    <x v="0"/>
    <x v="0"/>
    <x v="0"/>
    <x v="0"/>
    <x v="0"/>
    <x v="0"/>
    <x v="0"/>
    <x v="0"/>
    <x v="0"/>
    <x v="0"/>
    <x v="0"/>
    <x v="0"/>
    <x v="0"/>
    <x v="0"/>
    <x v="0"/>
    <x v="0"/>
    <x v="0"/>
    <x v="0"/>
    <x v="0"/>
    <x v="0"/>
    <x v="0"/>
    <x v="0"/>
  </r>
  <r>
    <x v="3"/>
    <x v="2"/>
    <x v="2"/>
    <x v="50"/>
    <x v="7"/>
    <x v="3"/>
    <x v="4"/>
    <x v="28"/>
    <x v="0"/>
    <x v="23"/>
    <x v="56"/>
    <x v="30"/>
    <x v="130"/>
    <x v="91"/>
    <x v="0"/>
    <x v="0"/>
    <x v="0"/>
    <x v="0"/>
    <x v="3"/>
    <x v="2"/>
    <x v="0"/>
    <x v="107"/>
    <x v="104"/>
    <x v="32"/>
    <x v="2"/>
    <x v="45"/>
    <x v="146"/>
    <x v="18"/>
    <x v="0"/>
    <x v="214"/>
    <x v="0"/>
    <x v="59"/>
    <x v="57"/>
    <x v="58"/>
    <x v="5"/>
    <x v="173"/>
    <x v="49"/>
    <x v="134"/>
    <x v="88"/>
    <x v="99"/>
    <x v="0"/>
    <x v="0"/>
    <x v="0"/>
    <x v="0"/>
    <x v="0"/>
    <x v="0"/>
    <x v="0"/>
    <x v="0"/>
    <x v="0"/>
    <x v="0"/>
    <x v="0"/>
    <x v="0"/>
    <x v="0"/>
    <x v="0"/>
    <x v="0"/>
    <x v="0"/>
    <x v="0"/>
    <x v="0"/>
    <x v="0"/>
    <x v="0"/>
    <x v="0"/>
    <x v="0"/>
    <x v="0"/>
    <x v="0"/>
    <x v="0"/>
    <x v="0"/>
    <x v="0"/>
    <x v="0"/>
    <x v="0"/>
    <x v="0"/>
  </r>
  <r>
    <x v="4"/>
    <x v="0"/>
    <x v="5"/>
    <x v="11"/>
    <x v="6"/>
    <x v="5"/>
    <x v="30"/>
    <x v="177"/>
    <x v="1"/>
    <x v="23"/>
    <x v="61"/>
    <x v="46"/>
    <x v="66"/>
    <x v="56"/>
    <x v="33"/>
    <x v="50"/>
    <x v="0"/>
    <x v="0"/>
    <x v="60"/>
    <x v="2"/>
    <x v="0"/>
    <x v="70"/>
    <x v="10"/>
    <x v="38"/>
    <x v="1"/>
    <x v="20"/>
    <x v="7"/>
    <x v="193"/>
    <x v="100"/>
    <x v="23"/>
    <x v="28"/>
    <x v="30"/>
    <x v="10"/>
    <x v="22"/>
    <x v="4"/>
    <x v="129"/>
    <x v="132"/>
    <x v="16"/>
    <x v="19"/>
    <x v="47"/>
    <x v="0"/>
    <x v="0"/>
    <x v="0"/>
    <x v="0"/>
    <x v="0"/>
    <x v="7"/>
    <x v="0"/>
    <x v="8"/>
    <x v="3"/>
    <x v="0"/>
    <x v="0"/>
    <x v="0"/>
    <x v="0"/>
    <x v="0"/>
    <x v="0"/>
    <x v="0"/>
    <x v="0"/>
    <x v="0"/>
    <x v="0"/>
    <x v="0"/>
    <x v="0"/>
    <x v="0"/>
    <x v="0"/>
    <x v="0"/>
    <x v="0"/>
    <x v="0"/>
    <x v="0"/>
    <x v="0"/>
    <x v="28"/>
    <x v="28"/>
  </r>
  <r>
    <x v="4"/>
    <x v="0"/>
    <x v="7"/>
    <x v="17"/>
    <x v="7"/>
    <x v="8"/>
    <x v="32"/>
    <x v="166"/>
    <x v="1"/>
    <x v="23"/>
    <x v="69"/>
    <x v="59"/>
    <x v="234"/>
    <x v="138"/>
    <x v="0"/>
    <x v="0"/>
    <x v="0"/>
    <x v="0"/>
    <x v="7"/>
    <x v="0"/>
    <x v="0"/>
    <x v="152"/>
    <x v="103"/>
    <x v="9"/>
    <x v="0"/>
    <x v="0"/>
    <x v="160"/>
    <x v="22"/>
    <x v="0"/>
    <x v="208"/>
    <x v="7"/>
    <x v="54"/>
    <x v="49"/>
    <x v="126"/>
    <x v="2"/>
    <x v="86"/>
    <x v="88"/>
    <x v="123"/>
    <x v="157"/>
    <x v="99"/>
    <x v="4"/>
    <x v="0"/>
    <x v="0"/>
    <x v="0"/>
    <x v="0"/>
    <x v="0"/>
    <x v="0"/>
    <x v="0"/>
    <x v="0"/>
    <x v="0"/>
    <x v="0"/>
    <x v="0"/>
    <x v="0"/>
    <x v="0"/>
    <x v="0"/>
    <x v="0"/>
    <x v="0"/>
    <x v="0"/>
    <x v="0"/>
    <x v="0"/>
    <x v="0"/>
    <x v="0"/>
    <x v="0"/>
    <x v="0"/>
    <x v="0"/>
    <x v="0"/>
    <x v="0"/>
    <x v="0"/>
    <x v="7"/>
    <x v="7"/>
  </r>
  <r>
    <x v="4"/>
    <x v="0"/>
    <x v="2"/>
    <x v="50"/>
    <x v="7"/>
    <x v="3"/>
    <x v="4"/>
    <x v="34"/>
    <x v="1"/>
    <x v="23"/>
    <x v="56"/>
    <x v="30"/>
    <x v="165"/>
    <x v="107"/>
    <x v="0"/>
    <x v="0"/>
    <x v="0"/>
    <x v="0"/>
    <x v="8"/>
    <x v="0"/>
    <x v="0"/>
    <x v="120"/>
    <x v="202"/>
    <x v="32"/>
    <x v="2"/>
    <x v="87"/>
    <x v="151"/>
    <x v="34"/>
    <x v="0"/>
    <x v="196"/>
    <x v="0"/>
    <x v="59"/>
    <x v="57"/>
    <x v="89"/>
    <x v="5"/>
    <x v="139"/>
    <x v="181"/>
    <x v="282"/>
    <x v="88"/>
    <x v="99"/>
    <x v="0"/>
    <x v="0"/>
    <x v="0"/>
    <x v="0"/>
    <x v="0"/>
    <x v="0"/>
    <x v="0"/>
    <x v="0"/>
    <x v="0"/>
    <x v="0"/>
    <x v="0"/>
    <x v="0"/>
    <x v="0"/>
    <x v="0"/>
    <x v="0"/>
    <x v="0"/>
    <x v="0"/>
    <x v="0"/>
    <x v="0"/>
    <x v="0"/>
    <x v="0"/>
    <x v="0"/>
    <x v="0"/>
    <x v="0"/>
    <x v="0"/>
    <x v="0"/>
    <x v="0"/>
    <x v="0"/>
    <x v="0"/>
    <x v="0"/>
  </r>
  <r>
    <x v="4"/>
    <x v="0"/>
    <x v="0"/>
    <x v="22"/>
    <x v="3"/>
    <x v="1"/>
    <x v="16"/>
    <x v="29"/>
    <x v="1"/>
    <x v="23"/>
    <x v="39"/>
    <x v="10"/>
    <x v="58"/>
    <x v="50"/>
    <x v="3"/>
    <x v="18"/>
    <x v="0"/>
    <x v="0"/>
    <x v="45"/>
    <x v="2"/>
    <x v="0"/>
    <x v="64"/>
    <x v="76"/>
    <x v="39"/>
    <x v="8"/>
    <x v="140"/>
    <x v="54"/>
    <x v="175"/>
    <x v="58"/>
    <x v="41"/>
    <x v="11"/>
    <x v="51"/>
    <x v="40"/>
    <x v="18"/>
    <x v="6"/>
    <x v="201"/>
    <x v="56"/>
    <x v="67"/>
    <x v="18"/>
    <x v="99"/>
    <x v="0"/>
    <x v="0"/>
    <x v="0"/>
    <x v="0"/>
    <x v="0"/>
    <x v="0"/>
    <x v="7"/>
    <x v="0"/>
    <x v="0"/>
    <x v="0"/>
    <x v="0"/>
    <x v="0"/>
    <x v="0"/>
    <x v="0"/>
    <x v="0"/>
    <x v="0"/>
    <x v="0"/>
    <x v="0"/>
    <x v="0"/>
    <x v="0"/>
    <x v="0"/>
    <x v="0"/>
    <x v="0"/>
    <x v="0"/>
    <x v="0"/>
    <x v="0"/>
    <x v="0"/>
    <x v="0"/>
    <x v="11"/>
    <x v="11"/>
  </r>
  <r>
    <x v="4"/>
    <x v="1"/>
    <x v="0"/>
    <x v="22"/>
    <x v="2"/>
    <x v="1"/>
    <x v="16"/>
    <x v="30"/>
    <x v="3"/>
    <x v="6"/>
    <x v="4"/>
    <x v="13"/>
    <x v="11"/>
    <x v="11"/>
    <x v="15"/>
    <x v="5"/>
    <x v="0"/>
    <x v="0"/>
    <x v="21"/>
    <x v="0"/>
    <x v="0"/>
    <x v="28"/>
    <x v="105"/>
    <x v="39"/>
    <x v="8"/>
    <x v="15"/>
    <x v="11"/>
    <x v="212"/>
    <x v="98"/>
    <x v="4"/>
    <x v="0"/>
    <x v="10"/>
    <x v="57"/>
    <x v="23"/>
    <x v="6"/>
    <x v="205"/>
    <x v="36"/>
    <x v="87"/>
    <x v="158"/>
    <x v="99"/>
    <x v="0"/>
    <x v="0"/>
    <x v="0"/>
    <x v="0"/>
    <x v="0"/>
    <x v="0"/>
    <x v="0"/>
    <x v="0"/>
    <x v="0"/>
    <x v="0"/>
    <x v="0"/>
    <x v="0"/>
    <x v="0"/>
    <x v="0"/>
    <x v="0"/>
    <x v="0"/>
    <x v="0"/>
    <x v="0"/>
    <x v="0"/>
    <x v="0"/>
    <x v="0"/>
    <x v="0"/>
    <x v="0"/>
    <x v="0"/>
    <x v="0"/>
    <x v="0"/>
    <x v="0"/>
    <x v="0"/>
    <x v="0"/>
    <x v="0"/>
  </r>
  <r>
    <x v="4"/>
    <x v="3"/>
    <x v="1"/>
    <x v="23"/>
    <x v="7"/>
    <x v="10"/>
    <x v="17"/>
    <x v="24"/>
    <x v="2"/>
    <x v="24"/>
    <x v="64"/>
    <x v="45"/>
    <x v="164"/>
    <x v="103"/>
    <x v="0"/>
    <x v="0"/>
    <x v="16"/>
    <x v="0"/>
    <x v="78"/>
    <x v="0"/>
    <x v="3"/>
    <x v="32"/>
    <x v="83"/>
    <x v="15"/>
    <x v="0"/>
    <x v="0"/>
    <x v="160"/>
    <x v="199"/>
    <x v="0"/>
    <x v="16"/>
    <x v="21"/>
    <x v="45"/>
    <x v="23"/>
    <x v="73"/>
    <x v="7"/>
    <x v="211"/>
    <x v="221"/>
    <x v="117"/>
    <x v="164"/>
    <x v="91"/>
    <x v="5"/>
    <x v="10"/>
    <x v="0"/>
    <x v="0"/>
    <x v="0"/>
    <x v="0"/>
    <x v="0"/>
    <x v="0"/>
    <x v="0"/>
    <x v="0"/>
    <x v="0"/>
    <x v="0"/>
    <x v="0"/>
    <x v="0"/>
    <x v="0"/>
    <x v="0"/>
    <x v="0"/>
    <x v="0"/>
    <x v="0"/>
    <x v="0"/>
    <x v="0"/>
    <x v="0"/>
    <x v="0"/>
    <x v="0"/>
    <x v="0"/>
    <x v="0"/>
    <x v="0"/>
    <x v="0"/>
    <x v="21"/>
    <x v="21"/>
  </r>
  <r>
    <x v="4"/>
    <x v="3"/>
    <x v="8"/>
    <x v="42"/>
    <x v="7"/>
    <x v="12"/>
    <x v="33"/>
    <x v="162"/>
    <x v="4"/>
    <x v="24"/>
    <x v="84"/>
    <x v="89"/>
    <x v="280"/>
    <x v="192"/>
    <x v="0"/>
    <x v="0"/>
    <x v="0"/>
    <x v="0"/>
    <x v="45"/>
    <x v="0"/>
    <x v="1"/>
    <x v="175"/>
    <x v="188"/>
    <x v="22"/>
    <x v="0"/>
    <x v="0"/>
    <x v="160"/>
    <x v="46"/>
    <x v="0"/>
    <x v="182"/>
    <x v="9"/>
    <x v="57"/>
    <x v="45"/>
    <x v="204"/>
    <x v="3"/>
    <x v="46"/>
    <x v="225"/>
    <x v="293"/>
    <x v="159"/>
    <x v="99"/>
    <x v="5"/>
    <x v="0"/>
    <x v="0"/>
    <x v="0"/>
    <x v="0"/>
    <x v="0"/>
    <x v="0"/>
    <x v="0"/>
    <x v="0"/>
    <x v="0"/>
    <x v="0"/>
    <x v="0"/>
    <x v="0"/>
    <x v="0"/>
    <x v="0"/>
    <x v="0"/>
    <x v="0"/>
    <x v="0"/>
    <x v="0"/>
    <x v="0"/>
    <x v="0"/>
    <x v="0"/>
    <x v="0"/>
    <x v="0"/>
    <x v="0"/>
    <x v="0"/>
    <x v="0"/>
    <x v="0"/>
    <x v="9"/>
    <x v="9"/>
  </r>
  <r>
    <x v="4"/>
    <x v="1"/>
    <x v="0"/>
    <x v="1"/>
    <x v="2"/>
    <x v="1"/>
    <x v="11"/>
    <x v="30"/>
    <x v="3"/>
    <x v="19"/>
    <x v="32"/>
    <x v="14"/>
    <x v="35"/>
    <x v="30"/>
    <x v="23"/>
    <x v="29"/>
    <x v="0"/>
    <x v="0"/>
    <x v="26"/>
    <x v="2"/>
    <x v="0"/>
    <x v="48"/>
    <x v="19"/>
    <x v="33"/>
    <x v="7"/>
    <x v="109"/>
    <x v="21"/>
    <x v="183"/>
    <x v="97"/>
    <x v="34"/>
    <x v="21"/>
    <x v="28"/>
    <x v="18"/>
    <x v="11"/>
    <x v="6"/>
    <x v="202"/>
    <x v="54"/>
    <x v="23"/>
    <x v="20"/>
    <x v="7"/>
    <x v="0"/>
    <x v="5"/>
    <x v="3"/>
    <x v="0"/>
    <x v="0"/>
    <x v="0"/>
    <x v="0"/>
    <x v="0"/>
    <x v="0"/>
    <x v="0"/>
    <x v="0"/>
    <x v="0"/>
    <x v="0"/>
    <x v="0"/>
    <x v="0"/>
    <x v="0"/>
    <x v="0"/>
    <x v="0"/>
    <x v="0"/>
    <x v="0"/>
    <x v="0"/>
    <x v="0"/>
    <x v="0"/>
    <x v="0"/>
    <x v="0"/>
    <x v="0"/>
    <x v="0"/>
    <x v="0"/>
    <x v="21"/>
    <x v="21"/>
  </r>
  <r>
    <x v="4"/>
    <x v="1"/>
    <x v="5"/>
    <x v="11"/>
    <x v="6"/>
    <x v="5"/>
    <x v="30"/>
    <x v="179"/>
    <x v="3"/>
    <x v="23"/>
    <x v="61"/>
    <x v="46"/>
    <x v="178"/>
    <x v="110"/>
    <x v="0"/>
    <x v="11"/>
    <x v="0"/>
    <x v="0"/>
    <x v="51"/>
    <x v="0"/>
    <x v="0"/>
    <x v="123"/>
    <x v="152"/>
    <x v="38"/>
    <x v="1"/>
    <x v="77"/>
    <x v="107"/>
    <x v="118"/>
    <x v="9"/>
    <x v="102"/>
    <x v="5"/>
    <x v="56"/>
    <x v="53"/>
    <x v="95"/>
    <x v="4"/>
    <x v="125"/>
    <x v="154"/>
    <x v="195"/>
    <x v="21"/>
    <x v="99"/>
    <x v="0"/>
    <x v="0"/>
    <x v="0"/>
    <x v="0"/>
    <x v="0"/>
    <x v="2"/>
    <x v="0"/>
    <x v="0"/>
    <x v="0"/>
    <x v="0"/>
    <x v="0"/>
    <x v="0"/>
    <x v="0"/>
    <x v="0"/>
    <x v="0"/>
    <x v="0"/>
    <x v="0"/>
    <x v="0"/>
    <x v="0"/>
    <x v="0"/>
    <x v="0"/>
    <x v="0"/>
    <x v="0"/>
    <x v="0"/>
    <x v="0"/>
    <x v="0"/>
    <x v="0"/>
    <x v="0"/>
    <x v="5"/>
    <x v="5"/>
  </r>
  <r>
    <x v="4"/>
    <x v="1"/>
    <x v="2"/>
    <x v="50"/>
    <x v="7"/>
    <x v="3"/>
    <x v="4"/>
    <x v="35"/>
    <x v="3"/>
    <x v="23"/>
    <x v="56"/>
    <x v="30"/>
    <x v="149"/>
    <x v="100"/>
    <x v="0"/>
    <x v="0"/>
    <x v="0"/>
    <x v="0"/>
    <x v="4"/>
    <x v="0"/>
    <x v="0"/>
    <x v="115"/>
    <x v="173"/>
    <x v="32"/>
    <x v="2"/>
    <x v="69"/>
    <x v="156"/>
    <x v="21"/>
    <x v="0"/>
    <x v="210"/>
    <x v="0"/>
    <x v="59"/>
    <x v="57"/>
    <x v="74"/>
    <x v="5"/>
    <x v="156"/>
    <x v="122"/>
    <x v="222"/>
    <x v="88"/>
    <x v="99"/>
    <x v="0"/>
    <x v="0"/>
    <x v="0"/>
    <x v="0"/>
    <x v="0"/>
    <x v="0"/>
    <x v="0"/>
    <x v="0"/>
    <x v="0"/>
    <x v="0"/>
    <x v="0"/>
    <x v="0"/>
    <x v="0"/>
    <x v="0"/>
    <x v="0"/>
    <x v="0"/>
    <x v="0"/>
    <x v="0"/>
    <x v="0"/>
    <x v="0"/>
    <x v="0"/>
    <x v="0"/>
    <x v="0"/>
    <x v="0"/>
    <x v="0"/>
    <x v="0"/>
    <x v="0"/>
    <x v="0"/>
    <x v="0"/>
    <x v="0"/>
  </r>
  <r>
    <x v="4"/>
    <x v="1"/>
    <x v="6"/>
    <x v="14"/>
    <x v="7"/>
    <x v="9"/>
    <x v="31"/>
    <x v="171"/>
    <x v="3"/>
    <x v="23"/>
    <x v="79"/>
    <x v="82"/>
    <x v="266"/>
    <x v="177"/>
    <x v="0"/>
    <x v="0"/>
    <x v="0"/>
    <x v="0"/>
    <x v="0"/>
    <x v="0"/>
    <x v="0"/>
    <x v="194"/>
    <x v="125"/>
    <x v="6"/>
    <x v="0"/>
    <x v="0"/>
    <x v="160"/>
    <x v="0"/>
    <x v="0"/>
    <x v="233"/>
    <x v="7"/>
    <x v="54"/>
    <x v="49"/>
    <x v="178"/>
    <x v="0"/>
    <x v="12"/>
    <x v="171"/>
    <x v="207"/>
    <x v="160"/>
    <x v="99"/>
    <x v="4"/>
    <x v="0"/>
    <x v="0"/>
    <x v="0"/>
    <x v="0"/>
    <x v="0"/>
    <x v="0"/>
    <x v="0"/>
    <x v="0"/>
    <x v="0"/>
    <x v="0"/>
    <x v="0"/>
    <x v="0"/>
    <x v="0"/>
    <x v="0"/>
    <x v="0"/>
    <x v="0"/>
    <x v="0"/>
    <x v="0"/>
    <x v="0"/>
    <x v="0"/>
    <x v="0"/>
    <x v="0"/>
    <x v="0"/>
    <x v="0"/>
    <x v="0"/>
    <x v="0"/>
    <x v="0"/>
    <x v="7"/>
    <x v="7"/>
  </r>
  <r>
    <x v="4"/>
    <x v="1"/>
    <x v="7"/>
    <x v="17"/>
    <x v="7"/>
    <x v="8"/>
    <x v="32"/>
    <x v="172"/>
    <x v="3"/>
    <x v="23"/>
    <x v="69"/>
    <x v="59"/>
    <x v="219"/>
    <x v="125"/>
    <x v="0"/>
    <x v="0"/>
    <x v="0"/>
    <x v="0"/>
    <x v="4"/>
    <x v="0"/>
    <x v="0"/>
    <x v="136"/>
    <x v="57"/>
    <x v="9"/>
    <x v="0"/>
    <x v="0"/>
    <x v="160"/>
    <x v="14"/>
    <x v="0"/>
    <x v="218"/>
    <x v="17"/>
    <x v="45"/>
    <x v="28"/>
    <x v="111"/>
    <x v="2"/>
    <x v="72"/>
    <x v="121"/>
    <x v="71"/>
    <x v="161"/>
    <x v="42"/>
    <x v="4"/>
    <x v="0"/>
    <x v="0"/>
    <x v="0"/>
    <x v="0"/>
    <x v="0"/>
    <x v="0"/>
    <x v="0"/>
    <x v="0"/>
    <x v="0"/>
    <x v="0"/>
    <x v="0"/>
    <x v="0"/>
    <x v="0"/>
    <x v="0"/>
    <x v="0"/>
    <x v="2"/>
    <x v="0"/>
    <x v="0"/>
    <x v="0"/>
    <x v="0"/>
    <x v="0"/>
    <x v="0"/>
    <x v="0"/>
    <x v="0"/>
    <x v="0"/>
    <x v="0"/>
    <x v="0"/>
    <x v="17"/>
    <x v="17"/>
  </r>
  <r>
    <x v="4"/>
    <x v="2"/>
    <x v="5"/>
    <x v="10"/>
    <x v="6"/>
    <x v="5"/>
    <x v="35"/>
    <x v="182"/>
    <x v="0"/>
    <x v="23"/>
    <x v="61"/>
    <x v="46"/>
    <x v="125"/>
    <x v="87"/>
    <x v="0"/>
    <x v="45"/>
    <x v="0"/>
    <x v="0"/>
    <x v="55"/>
    <x v="2"/>
    <x v="0"/>
    <x v="101"/>
    <x v="40"/>
    <x v="38"/>
    <x v="1"/>
    <x v="36"/>
    <x v="51"/>
    <x v="152"/>
    <x v="80"/>
    <x v="68"/>
    <x v="20"/>
    <x v="42"/>
    <x v="24"/>
    <x v="55"/>
    <x v="4"/>
    <x v="132"/>
    <x v="111"/>
    <x v="54"/>
    <x v="163"/>
    <x v="86"/>
    <x v="0"/>
    <x v="13"/>
    <x v="0"/>
    <x v="0"/>
    <x v="0"/>
    <x v="0"/>
    <x v="0"/>
    <x v="0"/>
    <x v="0"/>
    <x v="0"/>
    <x v="0"/>
    <x v="0"/>
    <x v="0"/>
    <x v="0"/>
    <x v="0"/>
    <x v="0"/>
    <x v="0"/>
    <x v="0"/>
    <x v="0"/>
    <x v="0"/>
    <x v="0"/>
    <x v="0"/>
    <x v="0"/>
    <x v="0"/>
    <x v="0"/>
    <x v="0"/>
    <x v="0"/>
    <x v="0"/>
    <x v="20"/>
    <x v="20"/>
  </r>
  <r>
    <x v="4"/>
    <x v="2"/>
    <x v="0"/>
    <x v="1"/>
    <x v="2"/>
    <x v="1"/>
    <x v="11"/>
    <x v="33"/>
    <x v="0"/>
    <x v="23"/>
    <x v="39"/>
    <x v="10"/>
    <x v="90"/>
    <x v="68"/>
    <x v="0"/>
    <x v="0"/>
    <x v="0"/>
    <x v="0"/>
    <x v="53"/>
    <x v="2"/>
    <x v="0"/>
    <x v="83"/>
    <x v="207"/>
    <x v="33"/>
    <x v="7"/>
    <x v="151"/>
    <x v="90"/>
    <x v="165"/>
    <x v="0"/>
    <x v="51"/>
    <x v="0"/>
    <x v="59"/>
    <x v="57"/>
    <x v="36"/>
    <x v="6"/>
    <x v="188"/>
    <x v="156"/>
    <x v="250"/>
    <x v="162"/>
    <x v="99"/>
    <x v="0"/>
    <x v="0"/>
    <x v="0"/>
    <x v="0"/>
    <x v="0"/>
    <x v="0"/>
    <x v="0"/>
    <x v="0"/>
    <x v="0"/>
    <x v="0"/>
    <x v="0"/>
    <x v="0"/>
    <x v="0"/>
    <x v="0"/>
    <x v="0"/>
    <x v="0"/>
    <x v="0"/>
    <x v="0"/>
    <x v="0"/>
    <x v="0"/>
    <x v="0"/>
    <x v="0"/>
    <x v="0"/>
    <x v="0"/>
    <x v="0"/>
    <x v="0"/>
    <x v="0"/>
    <x v="0"/>
    <x v="0"/>
    <x v="0"/>
  </r>
  <r>
    <x v="4"/>
    <x v="2"/>
    <x v="2"/>
    <x v="50"/>
    <x v="7"/>
    <x v="3"/>
    <x v="4"/>
    <x v="36"/>
    <x v="0"/>
    <x v="23"/>
    <x v="56"/>
    <x v="30"/>
    <x v="123"/>
    <x v="88"/>
    <x v="0"/>
    <x v="0"/>
    <x v="0"/>
    <x v="0"/>
    <x v="2"/>
    <x v="2"/>
    <x v="0"/>
    <x v="103"/>
    <x v="89"/>
    <x v="32"/>
    <x v="2"/>
    <x v="42"/>
    <x v="147"/>
    <x v="12"/>
    <x v="0"/>
    <x v="220"/>
    <x v="12"/>
    <x v="50"/>
    <x v="37"/>
    <x v="57"/>
    <x v="5"/>
    <x v="151"/>
    <x v="133"/>
    <x v="110"/>
    <x v="88"/>
    <x v="87"/>
    <x v="0"/>
    <x v="9"/>
    <x v="0"/>
    <x v="0"/>
    <x v="0"/>
    <x v="0"/>
    <x v="0"/>
    <x v="0"/>
    <x v="0"/>
    <x v="0"/>
    <x v="0"/>
    <x v="0"/>
    <x v="0"/>
    <x v="0"/>
    <x v="0"/>
    <x v="0"/>
    <x v="0"/>
    <x v="0"/>
    <x v="0"/>
    <x v="0"/>
    <x v="0"/>
    <x v="0"/>
    <x v="0"/>
    <x v="0"/>
    <x v="0"/>
    <x v="0"/>
    <x v="0"/>
    <x v="0"/>
    <x v="12"/>
    <x v="12"/>
  </r>
  <r>
    <x v="5"/>
    <x v="0"/>
    <x v="5"/>
    <x v="10"/>
    <x v="6"/>
    <x v="5"/>
    <x v="35"/>
    <x v="186"/>
    <x v="1"/>
    <x v="23"/>
    <x v="61"/>
    <x v="46"/>
    <x v="198"/>
    <x v="116"/>
    <x v="0"/>
    <x v="0"/>
    <x v="0"/>
    <x v="0"/>
    <x v="49"/>
    <x v="2"/>
    <x v="0"/>
    <x v="126"/>
    <x v="184"/>
    <x v="38"/>
    <x v="1"/>
    <x v="97"/>
    <x v="125"/>
    <x v="105"/>
    <x v="0"/>
    <x v="117"/>
    <x v="0"/>
    <x v="59"/>
    <x v="57"/>
    <x v="100"/>
    <x v="4"/>
    <x v="123"/>
    <x v="161"/>
    <x v="262"/>
    <x v="23"/>
    <x v="99"/>
    <x v="0"/>
    <x v="0"/>
    <x v="0"/>
    <x v="0"/>
    <x v="0"/>
    <x v="0"/>
    <x v="0"/>
    <x v="0"/>
    <x v="0"/>
    <x v="0"/>
    <x v="0"/>
    <x v="0"/>
    <x v="0"/>
    <x v="0"/>
    <x v="0"/>
    <x v="0"/>
    <x v="0"/>
    <x v="0"/>
    <x v="0"/>
    <x v="0"/>
    <x v="0"/>
    <x v="0"/>
    <x v="0"/>
    <x v="0"/>
    <x v="0"/>
    <x v="0"/>
    <x v="0"/>
    <x v="0"/>
    <x v="0"/>
    <x v="0"/>
  </r>
  <r>
    <x v="5"/>
    <x v="0"/>
    <x v="7"/>
    <x v="17"/>
    <x v="7"/>
    <x v="8"/>
    <x v="32"/>
    <x v="174"/>
    <x v="1"/>
    <x v="23"/>
    <x v="69"/>
    <x v="59"/>
    <x v="238"/>
    <x v="143"/>
    <x v="0"/>
    <x v="0"/>
    <x v="0"/>
    <x v="0"/>
    <x v="5"/>
    <x v="0"/>
    <x v="0"/>
    <x v="158"/>
    <x v="120"/>
    <x v="9"/>
    <x v="0"/>
    <x v="0"/>
    <x v="160"/>
    <x v="16"/>
    <x v="0"/>
    <x v="216"/>
    <x v="5"/>
    <x v="56"/>
    <x v="53"/>
    <x v="132"/>
    <x v="2"/>
    <x v="84"/>
    <x v="98"/>
    <x v="146"/>
    <x v="167"/>
    <x v="99"/>
    <x v="0"/>
    <x v="0"/>
    <x v="0"/>
    <x v="0"/>
    <x v="0"/>
    <x v="0"/>
    <x v="0"/>
    <x v="0"/>
    <x v="0"/>
    <x v="0"/>
    <x v="0"/>
    <x v="0"/>
    <x v="0"/>
    <x v="0"/>
    <x v="0"/>
    <x v="0"/>
    <x v="0"/>
    <x v="0"/>
    <x v="0"/>
    <x v="0"/>
    <x v="0"/>
    <x v="0"/>
    <x v="0"/>
    <x v="0"/>
    <x v="0"/>
    <x v="0"/>
    <x v="0"/>
    <x v="2"/>
    <x v="5"/>
    <x v="5"/>
  </r>
  <r>
    <x v="5"/>
    <x v="0"/>
    <x v="6"/>
    <x v="14"/>
    <x v="7"/>
    <x v="9"/>
    <x v="31"/>
    <x v="180"/>
    <x v="1"/>
    <x v="16"/>
    <x v="63"/>
    <x v="67"/>
    <x v="252"/>
    <x v="161"/>
    <x v="0"/>
    <x v="0"/>
    <x v="0"/>
    <x v="0"/>
    <x v="0"/>
    <x v="0"/>
    <x v="0"/>
    <x v="177"/>
    <x v="231"/>
    <x v="6"/>
    <x v="0"/>
    <x v="0"/>
    <x v="160"/>
    <x v="0"/>
    <x v="0"/>
    <x v="233"/>
    <x v="0"/>
    <x v="36"/>
    <x v="57"/>
    <x v="193"/>
    <x v="0"/>
    <x v="8"/>
    <x v="210"/>
    <x v="298"/>
    <x v="165"/>
    <x v="99"/>
    <x v="0"/>
    <x v="0"/>
    <x v="0"/>
    <x v="0"/>
    <x v="0"/>
    <x v="0"/>
    <x v="0"/>
    <x v="0"/>
    <x v="0"/>
    <x v="0"/>
    <x v="0"/>
    <x v="0"/>
    <x v="0"/>
    <x v="0"/>
    <x v="0"/>
    <x v="0"/>
    <x v="0"/>
    <x v="0"/>
    <x v="0"/>
    <x v="0"/>
    <x v="0"/>
    <x v="0"/>
    <x v="0"/>
    <x v="0"/>
    <x v="0"/>
    <x v="0"/>
    <x v="0"/>
    <x v="0"/>
    <x v="0"/>
    <x v="0"/>
  </r>
  <r>
    <x v="5"/>
    <x v="0"/>
    <x v="6"/>
    <x v="13"/>
    <x v="7"/>
    <x v="9"/>
    <x v="36"/>
    <x v="183"/>
    <x v="1"/>
    <x v="16"/>
    <x v="29"/>
    <x v="17"/>
    <x v="234"/>
    <x v="139"/>
    <x v="0"/>
    <x v="0"/>
    <x v="0"/>
    <x v="0"/>
    <x v="0"/>
    <x v="0"/>
    <x v="0"/>
    <x v="153"/>
    <x v="234"/>
    <x v="5"/>
    <x v="0"/>
    <x v="0"/>
    <x v="160"/>
    <x v="0"/>
    <x v="0"/>
    <x v="233"/>
    <x v="0"/>
    <x v="36"/>
    <x v="57"/>
    <x v="174"/>
    <x v="0"/>
    <x v="25"/>
    <x v="68"/>
    <x v="159"/>
    <x v="166"/>
    <x v="99"/>
    <x v="0"/>
    <x v="0"/>
    <x v="0"/>
    <x v="0"/>
    <x v="0"/>
    <x v="0"/>
    <x v="0"/>
    <x v="0"/>
    <x v="0"/>
    <x v="0"/>
    <x v="0"/>
    <x v="0"/>
    <x v="0"/>
    <x v="0"/>
    <x v="0"/>
    <x v="0"/>
    <x v="0"/>
    <x v="0"/>
    <x v="0"/>
    <x v="0"/>
    <x v="0"/>
    <x v="0"/>
    <x v="0"/>
    <x v="0"/>
    <x v="0"/>
    <x v="0"/>
    <x v="0"/>
    <x v="0"/>
    <x v="0"/>
    <x v="0"/>
  </r>
  <r>
    <x v="5"/>
    <x v="0"/>
    <x v="0"/>
    <x v="1"/>
    <x v="2"/>
    <x v="1"/>
    <x v="11"/>
    <x v="38"/>
    <x v="1"/>
    <x v="23"/>
    <x v="39"/>
    <x v="10"/>
    <x v="81"/>
    <x v="62"/>
    <x v="9"/>
    <x v="28"/>
    <x v="0"/>
    <x v="0"/>
    <x v="55"/>
    <x v="2"/>
    <x v="0"/>
    <x v="76"/>
    <x v="189"/>
    <x v="33"/>
    <x v="7"/>
    <x v="147"/>
    <x v="48"/>
    <x v="177"/>
    <x v="62"/>
    <x v="39"/>
    <x v="0"/>
    <x v="59"/>
    <x v="57"/>
    <x v="28"/>
    <x v="6"/>
    <x v="195"/>
    <x v="101"/>
    <x v="179"/>
    <x v="22"/>
    <x v="3"/>
    <x v="0"/>
    <x v="0"/>
    <x v="0"/>
    <x v="0"/>
    <x v="0"/>
    <x v="0"/>
    <x v="0"/>
    <x v="0"/>
    <x v="0"/>
    <x v="0"/>
    <x v="0"/>
    <x v="0"/>
    <x v="0"/>
    <x v="0"/>
    <x v="0"/>
    <x v="0"/>
    <x v="0"/>
    <x v="0"/>
    <x v="0"/>
    <x v="0"/>
    <x v="0"/>
    <x v="0"/>
    <x v="0"/>
    <x v="0"/>
    <x v="0"/>
    <x v="0"/>
    <x v="0"/>
    <x v="0"/>
    <x v="0"/>
    <x v="0"/>
  </r>
  <r>
    <x v="5"/>
    <x v="0"/>
    <x v="2"/>
    <x v="51"/>
    <x v="7"/>
    <x v="3"/>
    <x v="3"/>
    <x v="41"/>
    <x v="1"/>
    <x v="23"/>
    <x v="56"/>
    <x v="30"/>
    <x v="160"/>
    <x v="102"/>
    <x v="18"/>
    <x v="0"/>
    <x v="0"/>
    <x v="0"/>
    <x v="3"/>
    <x v="2"/>
    <x v="0"/>
    <x v="117"/>
    <x v="191"/>
    <x v="37"/>
    <x v="2"/>
    <x v="79"/>
    <x v="119"/>
    <x v="15"/>
    <x v="0"/>
    <x v="217"/>
    <x v="0"/>
    <x v="59"/>
    <x v="57"/>
    <x v="84"/>
    <x v="5"/>
    <x v="145"/>
    <x v="157"/>
    <x v="264"/>
    <x v="89"/>
    <x v="74"/>
    <x v="0"/>
    <x v="0"/>
    <x v="0"/>
    <x v="0"/>
    <x v="0"/>
    <x v="0"/>
    <x v="0"/>
    <x v="0"/>
    <x v="0"/>
    <x v="0"/>
    <x v="0"/>
    <x v="0"/>
    <x v="0"/>
    <x v="0"/>
    <x v="0"/>
    <x v="0"/>
    <x v="0"/>
    <x v="0"/>
    <x v="0"/>
    <x v="0"/>
    <x v="0"/>
    <x v="0"/>
    <x v="0"/>
    <x v="0"/>
    <x v="0"/>
    <x v="0"/>
    <x v="0"/>
    <x v="0"/>
    <x v="0"/>
    <x v="0"/>
  </r>
  <r>
    <x v="5"/>
    <x v="3"/>
    <x v="8"/>
    <x v="42"/>
    <x v="7"/>
    <x v="12"/>
    <x v="33"/>
    <x v="170"/>
    <x v="4"/>
    <x v="24"/>
    <x v="84"/>
    <x v="89"/>
    <x v="276"/>
    <x v="188"/>
    <x v="0"/>
    <x v="0"/>
    <x v="0"/>
    <x v="0"/>
    <x v="80"/>
    <x v="0"/>
    <x v="1"/>
    <x v="170"/>
    <x v="159"/>
    <x v="22"/>
    <x v="0"/>
    <x v="0"/>
    <x v="160"/>
    <x v="99"/>
    <x v="0"/>
    <x v="124"/>
    <x v="9"/>
    <x v="57"/>
    <x v="45"/>
    <x v="198"/>
    <x v="3"/>
    <x v="69"/>
    <x v="207"/>
    <x v="258"/>
    <x v="169"/>
    <x v="99"/>
    <x v="5"/>
    <x v="0"/>
    <x v="0"/>
    <x v="0"/>
    <x v="0"/>
    <x v="0"/>
    <x v="0"/>
    <x v="0"/>
    <x v="0"/>
    <x v="0"/>
    <x v="0"/>
    <x v="0"/>
    <x v="0"/>
    <x v="0"/>
    <x v="0"/>
    <x v="0"/>
    <x v="0"/>
    <x v="0"/>
    <x v="0"/>
    <x v="0"/>
    <x v="0"/>
    <x v="0"/>
    <x v="0"/>
    <x v="0"/>
    <x v="0"/>
    <x v="0"/>
    <x v="0"/>
    <x v="0"/>
    <x v="9"/>
    <x v="9"/>
  </r>
  <r>
    <x v="5"/>
    <x v="3"/>
    <x v="1"/>
    <x v="23"/>
    <x v="7"/>
    <x v="10"/>
    <x v="17"/>
    <x v="31"/>
    <x v="2"/>
    <x v="12"/>
    <x v="34"/>
    <x v="47"/>
    <x v="52"/>
    <x v="45"/>
    <x v="0"/>
    <x v="0"/>
    <x v="8"/>
    <x v="0"/>
    <x v="24"/>
    <x v="0"/>
    <x v="3"/>
    <x v="25"/>
    <x v="86"/>
    <x v="15"/>
    <x v="0"/>
    <x v="0"/>
    <x v="160"/>
    <x v="136"/>
    <x v="0"/>
    <x v="83"/>
    <x v="3"/>
    <x v="23"/>
    <x v="46"/>
    <x v="76"/>
    <x v="7"/>
    <x v="224"/>
    <x v="124"/>
    <x v="141"/>
    <x v="140"/>
    <x v="99"/>
    <x v="2"/>
    <x v="0"/>
    <x v="0"/>
    <x v="0"/>
    <x v="0"/>
    <x v="0"/>
    <x v="0"/>
    <x v="0"/>
    <x v="0"/>
    <x v="0"/>
    <x v="0"/>
    <x v="0"/>
    <x v="0"/>
    <x v="0"/>
    <x v="0"/>
    <x v="0"/>
    <x v="0"/>
    <x v="0"/>
    <x v="0"/>
    <x v="0"/>
    <x v="0"/>
    <x v="0"/>
    <x v="0"/>
    <x v="0"/>
    <x v="0"/>
    <x v="0"/>
    <x v="0"/>
    <x v="0"/>
    <x v="3"/>
    <x v="3"/>
  </r>
  <r>
    <x v="5"/>
    <x v="3"/>
    <x v="1"/>
    <x v="30"/>
    <x v="7"/>
    <x v="10"/>
    <x v="10"/>
    <x v="25"/>
    <x v="2"/>
    <x v="2"/>
    <x v="8"/>
    <x v="53"/>
    <x v="9"/>
    <x v="10"/>
    <x v="0"/>
    <x v="0"/>
    <x v="0"/>
    <x v="0"/>
    <x v="16"/>
    <x v="0"/>
    <x v="3"/>
    <x v="6"/>
    <x v="30"/>
    <x v="15"/>
    <x v="0"/>
    <x v="0"/>
    <x v="160"/>
    <x v="210"/>
    <x v="0"/>
    <x v="6"/>
    <x v="0"/>
    <x v="5"/>
    <x v="57"/>
    <x v="83"/>
    <x v="7"/>
    <x v="228"/>
    <x v="72"/>
    <x v="140"/>
    <x v="295"/>
    <x v="99"/>
    <x v="0"/>
    <x v="0"/>
    <x v="0"/>
    <x v="0"/>
    <x v="0"/>
    <x v="0"/>
    <x v="0"/>
    <x v="0"/>
    <x v="0"/>
    <x v="0"/>
    <x v="0"/>
    <x v="0"/>
    <x v="0"/>
    <x v="0"/>
    <x v="0"/>
    <x v="0"/>
    <x v="0"/>
    <x v="0"/>
    <x v="0"/>
    <x v="0"/>
    <x v="0"/>
    <x v="0"/>
    <x v="0"/>
    <x v="0"/>
    <x v="0"/>
    <x v="0"/>
    <x v="0"/>
    <x v="0"/>
    <x v="0"/>
    <x v="0"/>
  </r>
  <r>
    <x v="5"/>
    <x v="3"/>
    <x v="1"/>
    <x v="8"/>
    <x v="7"/>
    <x v="10"/>
    <x v="42"/>
    <x v="6"/>
    <x v="2"/>
    <x v="13"/>
    <x v="38"/>
    <x v="50"/>
    <x v="61"/>
    <x v="54"/>
    <x v="0"/>
    <x v="0"/>
    <x v="7"/>
    <x v="0"/>
    <x v="15"/>
    <x v="0"/>
    <x v="3"/>
    <x v="26"/>
    <x v="116"/>
    <x v="3"/>
    <x v="0"/>
    <x v="0"/>
    <x v="160"/>
    <x v="76"/>
    <x v="0"/>
    <x v="150"/>
    <x v="5"/>
    <x v="26"/>
    <x v="40"/>
    <x v="96"/>
    <x v="7"/>
    <x v="213"/>
    <x v="206"/>
    <x v="224"/>
    <x v="294"/>
    <x v="99"/>
    <x v="3"/>
    <x v="0"/>
    <x v="0"/>
    <x v="0"/>
    <x v="0"/>
    <x v="0"/>
    <x v="0"/>
    <x v="0"/>
    <x v="0"/>
    <x v="0"/>
    <x v="0"/>
    <x v="0"/>
    <x v="0"/>
    <x v="0"/>
    <x v="0"/>
    <x v="0"/>
    <x v="0"/>
    <x v="0"/>
    <x v="0"/>
    <x v="0"/>
    <x v="0"/>
    <x v="0"/>
    <x v="0"/>
    <x v="0"/>
    <x v="0"/>
    <x v="0"/>
    <x v="0"/>
    <x v="0"/>
    <x v="5"/>
    <x v="5"/>
  </r>
  <r>
    <x v="5"/>
    <x v="1"/>
    <x v="7"/>
    <x v="17"/>
    <x v="7"/>
    <x v="8"/>
    <x v="32"/>
    <x v="176"/>
    <x v="3"/>
    <x v="23"/>
    <x v="69"/>
    <x v="59"/>
    <x v="230"/>
    <x v="135"/>
    <x v="0"/>
    <x v="0"/>
    <x v="0"/>
    <x v="0"/>
    <x v="0"/>
    <x v="0"/>
    <x v="0"/>
    <x v="149"/>
    <x v="88"/>
    <x v="9"/>
    <x v="0"/>
    <x v="0"/>
    <x v="160"/>
    <x v="0"/>
    <x v="0"/>
    <x v="233"/>
    <x v="7"/>
    <x v="54"/>
    <x v="49"/>
    <x v="122"/>
    <x v="2"/>
    <x v="95"/>
    <x v="71"/>
    <x v="104"/>
    <x v="168"/>
    <x v="37"/>
    <x v="4"/>
    <x v="0"/>
    <x v="0"/>
    <x v="0"/>
    <x v="0"/>
    <x v="0"/>
    <x v="0"/>
    <x v="0"/>
    <x v="0"/>
    <x v="0"/>
    <x v="0"/>
    <x v="0"/>
    <x v="0"/>
    <x v="0"/>
    <x v="0"/>
    <x v="0"/>
    <x v="0"/>
    <x v="0"/>
    <x v="0"/>
    <x v="0"/>
    <x v="0"/>
    <x v="0"/>
    <x v="0"/>
    <x v="0"/>
    <x v="0"/>
    <x v="0"/>
    <x v="0"/>
    <x v="0"/>
    <x v="7"/>
    <x v="7"/>
  </r>
  <r>
    <x v="5"/>
    <x v="1"/>
    <x v="2"/>
    <x v="51"/>
    <x v="7"/>
    <x v="3"/>
    <x v="3"/>
    <x v="41"/>
    <x v="3"/>
    <x v="10"/>
    <x v="23"/>
    <x v="24"/>
    <x v="37"/>
    <x v="34"/>
    <x v="0"/>
    <x v="0"/>
    <x v="0"/>
    <x v="0"/>
    <x v="0"/>
    <x v="0"/>
    <x v="0"/>
    <x v="51"/>
    <x v="125"/>
    <x v="37"/>
    <x v="2"/>
    <x v="9"/>
    <x v="159"/>
    <x v="0"/>
    <x v="0"/>
    <x v="233"/>
    <x v="0"/>
    <x v="21"/>
    <x v="57"/>
    <x v="58"/>
    <x v="5"/>
    <x v="173"/>
    <x v="49"/>
    <x v="137"/>
    <x v="89"/>
    <x v="99"/>
    <x v="0"/>
    <x v="0"/>
    <x v="0"/>
    <x v="0"/>
    <x v="0"/>
    <x v="0"/>
    <x v="0"/>
    <x v="0"/>
    <x v="0"/>
    <x v="0"/>
    <x v="0"/>
    <x v="0"/>
    <x v="0"/>
    <x v="0"/>
    <x v="0"/>
    <x v="0"/>
    <x v="0"/>
    <x v="0"/>
    <x v="0"/>
    <x v="0"/>
    <x v="0"/>
    <x v="0"/>
    <x v="0"/>
    <x v="0"/>
    <x v="0"/>
    <x v="0"/>
    <x v="0"/>
    <x v="0"/>
    <x v="0"/>
    <x v="0"/>
  </r>
  <r>
    <x v="5"/>
    <x v="1"/>
    <x v="2"/>
    <x v="51"/>
    <x v="7"/>
    <x v="3"/>
    <x v="3"/>
    <x v="43"/>
    <x v="3"/>
    <x v="16"/>
    <x v="42"/>
    <x v="37"/>
    <x v="75"/>
    <x v="65"/>
    <x v="0"/>
    <x v="0"/>
    <x v="0"/>
    <x v="0"/>
    <x v="0"/>
    <x v="0"/>
    <x v="0"/>
    <x v="79"/>
    <x v="192"/>
    <x v="37"/>
    <x v="2"/>
    <x v="22"/>
    <x v="159"/>
    <x v="0"/>
    <x v="0"/>
    <x v="233"/>
    <x v="0"/>
    <x v="36"/>
    <x v="57"/>
    <x v="85"/>
    <x v="5"/>
    <x v="141"/>
    <x v="169"/>
    <x v="273"/>
    <x v="90"/>
    <x v="99"/>
    <x v="0"/>
    <x v="0"/>
    <x v="0"/>
    <x v="0"/>
    <x v="0"/>
    <x v="0"/>
    <x v="0"/>
    <x v="0"/>
    <x v="0"/>
    <x v="0"/>
    <x v="0"/>
    <x v="0"/>
    <x v="0"/>
    <x v="0"/>
    <x v="0"/>
    <x v="0"/>
    <x v="0"/>
    <x v="0"/>
    <x v="0"/>
    <x v="0"/>
    <x v="0"/>
    <x v="0"/>
    <x v="0"/>
    <x v="0"/>
    <x v="0"/>
    <x v="0"/>
    <x v="0"/>
    <x v="0"/>
    <x v="0"/>
    <x v="0"/>
  </r>
  <r>
    <x v="5"/>
    <x v="1"/>
    <x v="5"/>
    <x v="10"/>
    <x v="6"/>
    <x v="5"/>
    <x v="35"/>
    <x v="189"/>
    <x v="3"/>
    <x v="23"/>
    <x v="61"/>
    <x v="46"/>
    <x v="173"/>
    <x v="109"/>
    <x v="0"/>
    <x v="6"/>
    <x v="0"/>
    <x v="0"/>
    <x v="38"/>
    <x v="0"/>
    <x v="0"/>
    <x v="122"/>
    <x v="148"/>
    <x v="38"/>
    <x v="1"/>
    <x v="72"/>
    <x v="120"/>
    <x v="85"/>
    <x v="5"/>
    <x v="141"/>
    <x v="5"/>
    <x v="56"/>
    <x v="53"/>
    <x v="94"/>
    <x v="4"/>
    <x v="126"/>
    <x v="152"/>
    <x v="197"/>
    <x v="24"/>
    <x v="99"/>
    <x v="0"/>
    <x v="0"/>
    <x v="0"/>
    <x v="0"/>
    <x v="0"/>
    <x v="2"/>
    <x v="0"/>
    <x v="0"/>
    <x v="0"/>
    <x v="0"/>
    <x v="0"/>
    <x v="0"/>
    <x v="0"/>
    <x v="0"/>
    <x v="0"/>
    <x v="0"/>
    <x v="0"/>
    <x v="0"/>
    <x v="0"/>
    <x v="0"/>
    <x v="0"/>
    <x v="0"/>
    <x v="0"/>
    <x v="0"/>
    <x v="0"/>
    <x v="0"/>
    <x v="0"/>
    <x v="0"/>
    <x v="5"/>
    <x v="5"/>
  </r>
  <r>
    <x v="5"/>
    <x v="1"/>
    <x v="0"/>
    <x v="1"/>
    <x v="2"/>
    <x v="1"/>
    <x v="11"/>
    <x v="39"/>
    <x v="3"/>
    <x v="23"/>
    <x v="39"/>
    <x v="10"/>
    <x v="83"/>
    <x v="66"/>
    <x v="0"/>
    <x v="13"/>
    <x v="0"/>
    <x v="0"/>
    <x v="51"/>
    <x v="0"/>
    <x v="0"/>
    <x v="80"/>
    <x v="200"/>
    <x v="33"/>
    <x v="7"/>
    <x v="148"/>
    <x v="75"/>
    <x v="166"/>
    <x v="38"/>
    <x v="52"/>
    <x v="0"/>
    <x v="59"/>
    <x v="57"/>
    <x v="32"/>
    <x v="6"/>
    <x v="192"/>
    <x v="127"/>
    <x v="212"/>
    <x v="25"/>
    <x v="99"/>
    <x v="0"/>
    <x v="0"/>
    <x v="0"/>
    <x v="0"/>
    <x v="0"/>
    <x v="0"/>
    <x v="0"/>
    <x v="0"/>
    <x v="0"/>
    <x v="0"/>
    <x v="0"/>
    <x v="0"/>
    <x v="0"/>
    <x v="0"/>
    <x v="0"/>
    <x v="0"/>
    <x v="0"/>
    <x v="0"/>
    <x v="0"/>
    <x v="0"/>
    <x v="0"/>
    <x v="0"/>
    <x v="0"/>
    <x v="0"/>
    <x v="0"/>
    <x v="0"/>
    <x v="0"/>
    <x v="0"/>
    <x v="0"/>
    <x v="0"/>
  </r>
  <r>
    <x v="5"/>
    <x v="2"/>
    <x v="5"/>
    <x v="10"/>
    <x v="6"/>
    <x v="5"/>
    <x v="35"/>
    <x v="192"/>
    <x v="0"/>
    <x v="23"/>
    <x v="61"/>
    <x v="46"/>
    <x v="158"/>
    <x v="101"/>
    <x v="22"/>
    <x v="13"/>
    <x v="0"/>
    <x v="0"/>
    <x v="35"/>
    <x v="2"/>
    <x v="0"/>
    <x v="116"/>
    <x v="97"/>
    <x v="38"/>
    <x v="1"/>
    <x v="67"/>
    <x v="65"/>
    <x v="84"/>
    <x v="18"/>
    <x v="142"/>
    <x v="16"/>
    <x v="46"/>
    <x v="29"/>
    <x v="79"/>
    <x v="4"/>
    <x v="117"/>
    <x v="186"/>
    <x v="131"/>
    <x v="26"/>
    <x v="99"/>
    <x v="0"/>
    <x v="0"/>
    <x v="0"/>
    <x v="0"/>
    <x v="0"/>
    <x v="0"/>
    <x v="0"/>
    <x v="0"/>
    <x v="0"/>
    <x v="0"/>
    <x v="0"/>
    <x v="0"/>
    <x v="7"/>
    <x v="0"/>
    <x v="0"/>
    <x v="0"/>
    <x v="0"/>
    <x v="0"/>
    <x v="0"/>
    <x v="0"/>
    <x v="0"/>
    <x v="0"/>
    <x v="0"/>
    <x v="0"/>
    <x v="0"/>
    <x v="0"/>
    <x v="0"/>
    <x v="0"/>
    <x v="16"/>
    <x v="16"/>
  </r>
  <r>
    <x v="5"/>
    <x v="2"/>
    <x v="0"/>
    <x v="1"/>
    <x v="2"/>
    <x v="1"/>
    <x v="11"/>
    <x v="40"/>
    <x v="0"/>
    <x v="23"/>
    <x v="39"/>
    <x v="10"/>
    <x v="77"/>
    <x v="62"/>
    <x v="0"/>
    <x v="16"/>
    <x v="0"/>
    <x v="0"/>
    <x v="46"/>
    <x v="2"/>
    <x v="0"/>
    <x v="76"/>
    <x v="189"/>
    <x v="33"/>
    <x v="7"/>
    <x v="144"/>
    <x v="70"/>
    <x v="158"/>
    <x v="46"/>
    <x v="59"/>
    <x v="5"/>
    <x v="56"/>
    <x v="53"/>
    <x v="28"/>
    <x v="6"/>
    <x v="189"/>
    <x v="151"/>
    <x v="180"/>
    <x v="27"/>
    <x v="99"/>
    <x v="0"/>
    <x v="0"/>
    <x v="0"/>
    <x v="0"/>
    <x v="0"/>
    <x v="0"/>
    <x v="0"/>
    <x v="0"/>
    <x v="0"/>
    <x v="0"/>
    <x v="0"/>
    <x v="0"/>
    <x v="2"/>
    <x v="0"/>
    <x v="0"/>
    <x v="0"/>
    <x v="0"/>
    <x v="0"/>
    <x v="0"/>
    <x v="0"/>
    <x v="0"/>
    <x v="0"/>
    <x v="0"/>
    <x v="0"/>
    <x v="0"/>
    <x v="0"/>
    <x v="0"/>
    <x v="0"/>
    <x v="5"/>
    <x v="5"/>
  </r>
  <r>
    <x v="5"/>
    <x v="2"/>
    <x v="2"/>
    <x v="51"/>
    <x v="7"/>
    <x v="3"/>
    <x v="3"/>
    <x v="44"/>
    <x v="0"/>
    <x v="10"/>
    <x v="25"/>
    <x v="34"/>
    <x v="38"/>
    <x v="36"/>
    <x v="0"/>
    <x v="0"/>
    <x v="0"/>
    <x v="0"/>
    <x v="7"/>
    <x v="1"/>
    <x v="0"/>
    <x v="53"/>
    <x v="127"/>
    <x v="37"/>
    <x v="2"/>
    <x v="10"/>
    <x v="135"/>
    <x v="60"/>
    <x v="0"/>
    <x v="166"/>
    <x v="3"/>
    <x v="18"/>
    <x v="41"/>
    <x v="61"/>
    <x v="5"/>
    <x v="146"/>
    <x v="155"/>
    <x v="153"/>
    <x v="90"/>
    <x v="99"/>
    <x v="0"/>
    <x v="0"/>
    <x v="0"/>
    <x v="0"/>
    <x v="0"/>
    <x v="0"/>
    <x v="0"/>
    <x v="0"/>
    <x v="0"/>
    <x v="0"/>
    <x v="0"/>
    <x v="0"/>
    <x v="0"/>
    <x v="0"/>
    <x v="0"/>
    <x v="0"/>
    <x v="0"/>
    <x v="0"/>
    <x v="0"/>
    <x v="0"/>
    <x v="0"/>
    <x v="0"/>
    <x v="0"/>
    <x v="1"/>
    <x v="0"/>
    <x v="0"/>
    <x v="0"/>
    <x v="0"/>
    <x v="3"/>
    <x v="3"/>
  </r>
  <r>
    <x v="5"/>
    <x v="2"/>
    <x v="2"/>
    <x v="51"/>
    <x v="7"/>
    <x v="3"/>
    <x v="3"/>
    <x v="42"/>
    <x v="0"/>
    <x v="16"/>
    <x v="40"/>
    <x v="28"/>
    <x v="62"/>
    <x v="55"/>
    <x v="1"/>
    <x v="0"/>
    <x v="0"/>
    <x v="0"/>
    <x v="3"/>
    <x v="1"/>
    <x v="0"/>
    <x v="69"/>
    <x v="125"/>
    <x v="37"/>
    <x v="2"/>
    <x v="16"/>
    <x v="134"/>
    <x v="31"/>
    <x v="0"/>
    <x v="199"/>
    <x v="3"/>
    <x v="35"/>
    <x v="52"/>
    <x v="59"/>
    <x v="5"/>
    <x v="159"/>
    <x v="109"/>
    <x v="152"/>
    <x v="89"/>
    <x v="99"/>
    <x v="0"/>
    <x v="0"/>
    <x v="0"/>
    <x v="0"/>
    <x v="0"/>
    <x v="0"/>
    <x v="0"/>
    <x v="0"/>
    <x v="0"/>
    <x v="0"/>
    <x v="0"/>
    <x v="0"/>
    <x v="1"/>
    <x v="0"/>
    <x v="0"/>
    <x v="0"/>
    <x v="0"/>
    <x v="0"/>
    <x v="0"/>
    <x v="0"/>
    <x v="0"/>
    <x v="0"/>
    <x v="0"/>
    <x v="0"/>
    <x v="0"/>
    <x v="0"/>
    <x v="0"/>
    <x v="0"/>
    <x v="3"/>
    <x v="3"/>
  </r>
  <r>
    <x v="6"/>
    <x v="0"/>
    <x v="5"/>
    <x v="10"/>
    <x v="6"/>
    <x v="5"/>
    <x v="35"/>
    <x v="195"/>
    <x v="0"/>
    <x v="23"/>
    <x v="52"/>
    <x v="22"/>
    <x v="155"/>
    <x v="100"/>
    <x v="16"/>
    <x v="27"/>
    <x v="0"/>
    <x v="0"/>
    <x v="42"/>
    <x v="2"/>
    <x v="0"/>
    <x v="115"/>
    <x v="211"/>
    <x v="38"/>
    <x v="1"/>
    <x v="63"/>
    <x v="67"/>
    <x v="108"/>
    <x v="43"/>
    <x v="115"/>
    <x v="16"/>
    <x v="46"/>
    <x v="29"/>
    <x v="74"/>
    <x v="4"/>
    <x v="119"/>
    <x v="176"/>
    <x v="112"/>
    <x v="29"/>
    <x v="98"/>
    <x v="0"/>
    <x v="0"/>
    <x v="0"/>
    <x v="0"/>
    <x v="0"/>
    <x v="0"/>
    <x v="0"/>
    <x v="0"/>
    <x v="0"/>
    <x v="0"/>
    <x v="0"/>
    <x v="0"/>
    <x v="7"/>
    <x v="0"/>
    <x v="0"/>
    <x v="0"/>
    <x v="0"/>
    <x v="0"/>
    <x v="0"/>
    <x v="0"/>
    <x v="0"/>
    <x v="0"/>
    <x v="0"/>
    <x v="0"/>
    <x v="0"/>
    <x v="0"/>
    <x v="0"/>
    <x v="0"/>
    <x v="16"/>
    <x v="16"/>
  </r>
  <r>
    <x v="6"/>
    <x v="0"/>
    <x v="0"/>
    <x v="1"/>
    <x v="2"/>
    <x v="1"/>
    <x v="11"/>
    <x v="45"/>
    <x v="0"/>
    <x v="23"/>
    <x v="39"/>
    <x v="10"/>
    <x v="55"/>
    <x v="47"/>
    <x v="7"/>
    <x v="35"/>
    <x v="0"/>
    <x v="0"/>
    <x v="43"/>
    <x v="2"/>
    <x v="0"/>
    <x v="61"/>
    <x v="49"/>
    <x v="33"/>
    <x v="7"/>
    <x v="132"/>
    <x v="34"/>
    <x v="183"/>
    <x v="89"/>
    <x v="33"/>
    <x v="22"/>
    <x v="39"/>
    <x v="20"/>
    <x v="16"/>
    <x v="6"/>
    <x v="187"/>
    <x v="159"/>
    <x v="47"/>
    <x v="28"/>
    <x v="94"/>
    <x v="0"/>
    <x v="0"/>
    <x v="0"/>
    <x v="0"/>
    <x v="0"/>
    <x v="0"/>
    <x v="0"/>
    <x v="0"/>
    <x v="0"/>
    <x v="0"/>
    <x v="0"/>
    <x v="0"/>
    <x v="9"/>
    <x v="0"/>
    <x v="0"/>
    <x v="0"/>
    <x v="0"/>
    <x v="0"/>
    <x v="0"/>
    <x v="0"/>
    <x v="0"/>
    <x v="0"/>
    <x v="0"/>
    <x v="0"/>
    <x v="0"/>
    <x v="0"/>
    <x v="0"/>
    <x v="0"/>
    <x v="22"/>
    <x v="22"/>
  </r>
  <r>
    <x v="6"/>
    <x v="0"/>
    <x v="2"/>
    <x v="51"/>
    <x v="7"/>
    <x v="3"/>
    <x v="3"/>
    <x v="48"/>
    <x v="0"/>
    <x v="23"/>
    <x v="56"/>
    <x v="30"/>
    <x v="114"/>
    <x v="81"/>
    <x v="0"/>
    <x v="0"/>
    <x v="0"/>
    <x v="0"/>
    <x v="3"/>
    <x v="2"/>
    <x v="0"/>
    <x v="96"/>
    <x v="58"/>
    <x v="37"/>
    <x v="2"/>
    <x v="34"/>
    <x v="144"/>
    <x v="21"/>
    <x v="0"/>
    <x v="211"/>
    <x v="16"/>
    <x v="46"/>
    <x v="29"/>
    <x v="49"/>
    <x v="5"/>
    <x v="158"/>
    <x v="110"/>
    <x v="75"/>
    <x v="89"/>
    <x v="63"/>
    <x v="0"/>
    <x v="0"/>
    <x v="0"/>
    <x v="0"/>
    <x v="0"/>
    <x v="0"/>
    <x v="0"/>
    <x v="0"/>
    <x v="0"/>
    <x v="0"/>
    <x v="0"/>
    <x v="0"/>
    <x v="7"/>
    <x v="0"/>
    <x v="0"/>
    <x v="0"/>
    <x v="0"/>
    <x v="0"/>
    <x v="0"/>
    <x v="0"/>
    <x v="0"/>
    <x v="0"/>
    <x v="0"/>
    <x v="0"/>
    <x v="0"/>
    <x v="0"/>
    <x v="0"/>
    <x v="0"/>
    <x v="16"/>
    <x v="16"/>
  </r>
  <r>
    <x v="6"/>
    <x v="0"/>
    <x v="6"/>
    <x v="13"/>
    <x v="7"/>
    <x v="9"/>
    <x v="36"/>
    <x v="187"/>
    <x v="0"/>
    <x v="9"/>
    <x v="48"/>
    <x v="77"/>
    <x v="107"/>
    <x v="76"/>
    <x v="0"/>
    <x v="0"/>
    <x v="0"/>
    <x v="0"/>
    <x v="0"/>
    <x v="0"/>
    <x v="0"/>
    <x v="91"/>
    <x v="125"/>
    <x v="5"/>
    <x v="0"/>
    <x v="0"/>
    <x v="160"/>
    <x v="0"/>
    <x v="0"/>
    <x v="233"/>
    <x v="0"/>
    <x v="17"/>
    <x v="57"/>
    <x v="174"/>
    <x v="0"/>
    <x v="25"/>
    <x v="68"/>
    <x v="159"/>
    <x v="30"/>
    <x v="99"/>
    <x v="0"/>
    <x v="0"/>
    <x v="0"/>
    <x v="0"/>
    <x v="0"/>
    <x v="0"/>
    <x v="0"/>
    <x v="0"/>
    <x v="0"/>
    <x v="0"/>
    <x v="0"/>
    <x v="0"/>
    <x v="0"/>
    <x v="0"/>
    <x v="0"/>
    <x v="0"/>
    <x v="0"/>
    <x v="0"/>
    <x v="0"/>
    <x v="0"/>
    <x v="0"/>
    <x v="0"/>
    <x v="0"/>
    <x v="0"/>
    <x v="0"/>
    <x v="0"/>
    <x v="0"/>
    <x v="0"/>
    <x v="0"/>
    <x v="0"/>
  </r>
  <r>
    <x v="6"/>
    <x v="0"/>
    <x v="7"/>
    <x v="17"/>
    <x v="7"/>
    <x v="8"/>
    <x v="32"/>
    <x v="181"/>
    <x v="0"/>
    <x v="13"/>
    <x v="46"/>
    <x v="52"/>
    <x v="74"/>
    <x v="64"/>
    <x v="0"/>
    <x v="0"/>
    <x v="0"/>
    <x v="0"/>
    <x v="0"/>
    <x v="0"/>
    <x v="0"/>
    <x v="78"/>
    <x v="123"/>
    <x v="9"/>
    <x v="0"/>
    <x v="0"/>
    <x v="160"/>
    <x v="0"/>
    <x v="0"/>
    <x v="233"/>
    <x v="11"/>
    <x v="21"/>
    <x v="24"/>
    <x v="109"/>
    <x v="2"/>
    <x v="56"/>
    <x v="149"/>
    <x v="68"/>
    <x v="32"/>
    <x v="86"/>
    <x v="3"/>
    <x v="0"/>
    <x v="0"/>
    <x v="0"/>
    <x v="0"/>
    <x v="0"/>
    <x v="3"/>
    <x v="0"/>
    <x v="0"/>
    <x v="0"/>
    <x v="0"/>
    <x v="0"/>
    <x v="0"/>
    <x v="0"/>
    <x v="0"/>
    <x v="0"/>
    <x v="0"/>
    <x v="0"/>
    <x v="0"/>
    <x v="0"/>
    <x v="0"/>
    <x v="0"/>
    <x v="0"/>
    <x v="0"/>
    <x v="0"/>
    <x v="0"/>
    <x v="0"/>
    <x v="0"/>
    <x v="11"/>
    <x v="11"/>
  </r>
  <r>
    <x v="6"/>
    <x v="0"/>
    <x v="7"/>
    <x v="16"/>
    <x v="7"/>
    <x v="8"/>
    <x v="37"/>
    <x v="184"/>
    <x v="0"/>
    <x v="13"/>
    <x v="30"/>
    <x v="25"/>
    <x v="75"/>
    <x v="64"/>
    <x v="0"/>
    <x v="0"/>
    <x v="0"/>
    <x v="0"/>
    <x v="0"/>
    <x v="2"/>
    <x v="0"/>
    <x v="78"/>
    <x v="228"/>
    <x v="8"/>
    <x v="0"/>
    <x v="0"/>
    <x v="160"/>
    <x v="0"/>
    <x v="0"/>
    <x v="233"/>
    <x v="11"/>
    <x v="21"/>
    <x v="24"/>
    <x v="109"/>
    <x v="2"/>
    <x v="56"/>
    <x v="149"/>
    <x v="68"/>
    <x v="31"/>
    <x v="8"/>
    <x v="0"/>
    <x v="4"/>
    <x v="0"/>
    <x v="0"/>
    <x v="0"/>
    <x v="0"/>
    <x v="0"/>
    <x v="0"/>
    <x v="0"/>
    <x v="0"/>
    <x v="0"/>
    <x v="1"/>
    <x v="0"/>
    <x v="0"/>
    <x v="0"/>
    <x v="0"/>
    <x v="0"/>
    <x v="0"/>
    <x v="0"/>
    <x v="0"/>
    <x v="0"/>
    <x v="0"/>
    <x v="0"/>
    <x v="0"/>
    <x v="0"/>
    <x v="0"/>
    <x v="0"/>
    <x v="0"/>
    <x v="11"/>
    <x v="11"/>
  </r>
  <r>
    <x v="6"/>
    <x v="3"/>
    <x v="1"/>
    <x v="8"/>
    <x v="7"/>
    <x v="10"/>
    <x v="42"/>
    <x v="14"/>
    <x v="2"/>
    <x v="24"/>
    <x v="64"/>
    <x v="45"/>
    <x v="224"/>
    <x v="128"/>
    <x v="0"/>
    <x v="0"/>
    <x v="19"/>
    <x v="0"/>
    <x v="27"/>
    <x v="0"/>
    <x v="3"/>
    <x v="41"/>
    <x v="209"/>
    <x v="3"/>
    <x v="0"/>
    <x v="0"/>
    <x v="160"/>
    <x v="57"/>
    <x v="0"/>
    <x v="169"/>
    <x v="9"/>
    <x v="57"/>
    <x v="45"/>
    <x v="108"/>
    <x v="7"/>
    <x v="208"/>
    <x v="228"/>
    <x v="302"/>
    <x v="296"/>
    <x v="99"/>
    <x v="5"/>
    <x v="0"/>
    <x v="0"/>
    <x v="0"/>
    <x v="0"/>
    <x v="0"/>
    <x v="0"/>
    <x v="0"/>
    <x v="0"/>
    <x v="0"/>
    <x v="0"/>
    <x v="0"/>
    <x v="0"/>
    <x v="0"/>
    <x v="0"/>
    <x v="0"/>
    <x v="0"/>
    <x v="0"/>
    <x v="0"/>
    <x v="0"/>
    <x v="0"/>
    <x v="0"/>
    <x v="0"/>
    <x v="0"/>
    <x v="0"/>
    <x v="0"/>
    <x v="0"/>
    <x v="0"/>
    <x v="9"/>
    <x v="9"/>
  </r>
  <r>
    <x v="6"/>
    <x v="3"/>
    <x v="8"/>
    <x v="42"/>
    <x v="7"/>
    <x v="12"/>
    <x v="33"/>
    <x v="178"/>
    <x v="4"/>
    <x v="15"/>
    <x v="74"/>
    <x v="94"/>
    <x v="247"/>
    <x v="156"/>
    <x v="0"/>
    <x v="0"/>
    <x v="0"/>
    <x v="0"/>
    <x v="37"/>
    <x v="0"/>
    <x v="1"/>
    <x v="99"/>
    <x v="85"/>
    <x v="22"/>
    <x v="0"/>
    <x v="0"/>
    <x v="160"/>
    <x v="65"/>
    <x v="0"/>
    <x v="161"/>
    <x v="7"/>
    <x v="28"/>
    <x v="36"/>
    <x v="192"/>
    <x v="3"/>
    <x v="65"/>
    <x v="208"/>
    <x v="215"/>
    <x v="171"/>
    <x v="99"/>
    <x v="4"/>
    <x v="0"/>
    <x v="0"/>
    <x v="0"/>
    <x v="0"/>
    <x v="0"/>
    <x v="0"/>
    <x v="0"/>
    <x v="0"/>
    <x v="0"/>
    <x v="0"/>
    <x v="0"/>
    <x v="0"/>
    <x v="0"/>
    <x v="0"/>
    <x v="0"/>
    <x v="0"/>
    <x v="0"/>
    <x v="0"/>
    <x v="0"/>
    <x v="0"/>
    <x v="0"/>
    <x v="0"/>
    <x v="0"/>
    <x v="0"/>
    <x v="0"/>
    <x v="0"/>
    <x v="0"/>
    <x v="7"/>
    <x v="7"/>
  </r>
  <r>
    <x v="6"/>
    <x v="3"/>
    <x v="8"/>
    <x v="41"/>
    <x v="7"/>
    <x v="12"/>
    <x v="38"/>
    <x v="184"/>
    <x v="4"/>
    <x v="13"/>
    <x v="67"/>
    <x v="84"/>
    <x v="162"/>
    <x v="104"/>
    <x v="0"/>
    <x v="0"/>
    <x v="0"/>
    <x v="0"/>
    <x v="16"/>
    <x v="0"/>
    <x v="1"/>
    <x v="65"/>
    <x v="37"/>
    <x v="21"/>
    <x v="0"/>
    <x v="0"/>
    <x v="160"/>
    <x v="55"/>
    <x v="0"/>
    <x v="171"/>
    <x v="17"/>
    <x v="16"/>
    <x v="13"/>
    <x v="161"/>
    <x v="3"/>
    <x v="48"/>
    <x v="222"/>
    <x v="46"/>
    <x v="172"/>
    <x v="53"/>
    <x v="1"/>
    <x v="0"/>
    <x v="0"/>
    <x v="4"/>
    <x v="0"/>
    <x v="0"/>
    <x v="0"/>
    <x v="0"/>
    <x v="0"/>
    <x v="0"/>
    <x v="0"/>
    <x v="0"/>
    <x v="0"/>
    <x v="0"/>
    <x v="0"/>
    <x v="0"/>
    <x v="0"/>
    <x v="0"/>
    <x v="0"/>
    <x v="0"/>
    <x v="0"/>
    <x v="0"/>
    <x v="0"/>
    <x v="0"/>
    <x v="0"/>
    <x v="0"/>
    <x v="0"/>
    <x v="0"/>
    <x v="17"/>
    <x v="17"/>
  </r>
  <r>
    <x v="6"/>
    <x v="1"/>
    <x v="7"/>
    <x v="16"/>
    <x v="7"/>
    <x v="8"/>
    <x v="37"/>
    <x v="185"/>
    <x v="3"/>
    <x v="23"/>
    <x v="69"/>
    <x v="59"/>
    <x v="221"/>
    <x v="126"/>
    <x v="0"/>
    <x v="0"/>
    <x v="0"/>
    <x v="0"/>
    <x v="0"/>
    <x v="0"/>
    <x v="0"/>
    <x v="138"/>
    <x v="62"/>
    <x v="8"/>
    <x v="0"/>
    <x v="0"/>
    <x v="160"/>
    <x v="0"/>
    <x v="0"/>
    <x v="233"/>
    <x v="7"/>
    <x v="54"/>
    <x v="49"/>
    <x v="114"/>
    <x v="2"/>
    <x v="101"/>
    <x v="40"/>
    <x v="78"/>
    <x v="170"/>
    <x v="99"/>
    <x v="4"/>
    <x v="0"/>
    <x v="0"/>
    <x v="0"/>
    <x v="0"/>
    <x v="0"/>
    <x v="0"/>
    <x v="0"/>
    <x v="0"/>
    <x v="0"/>
    <x v="0"/>
    <x v="0"/>
    <x v="0"/>
    <x v="0"/>
    <x v="0"/>
    <x v="0"/>
    <x v="0"/>
    <x v="0"/>
    <x v="0"/>
    <x v="0"/>
    <x v="0"/>
    <x v="0"/>
    <x v="0"/>
    <x v="0"/>
    <x v="0"/>
    <x v="0"/>
    <x v="0"/>
    <x v="0"/>
    <x v="7"/>
    <x v="7"/>
  </r>
  <r>
    <x v="6"/>
    <x v="1"/>
    <x v="0"/>
    <x v="1"/>
    <x v="2"/>
    <x v="1"/>
    <x v="11"/>
    <x v="46"/>
    <x v="3"/>
    <x v="23"/>
    <x v="39"/>
    <x v="10"/>
    <x v="84"/>
    <x v="66"/>
    <x v="5"/>
    <x v="17"/>
    <x v="0"/>
    <x v="0"/>
    <x v="50"/>
    <x v="0"/>
    <x v="0"/>
    <x v="80"/>
    <x v="200"/>
    <x v="33"/>
    <x v="7"/>
    <x v="149"/>
    <x v="71"/>
    <x v="162"/>
    <x v="45"/>
    <x v="54"/>
    <x v="0"/>
    <x v="59"/>
    <x v="57"/>
    <x v="32"/>
    <x v="6"/>
    <x v="192"/>
    <x v="127"/>
    <x v="213"/>
    <x v="33"/>
    <x v="99"/>
    <x v="0"/>
    <x v="0"/>
    <x v="0"/>
    <x v="0"/>
    <x v="0"/>
    <x v="0"/>
    <x v="0"/>
    <x v="0"/>
    <x v="0"/>
    <x v="0"/>
    <x v="0"/>
    <x v="0"/>
    <x v="0"/>
    <x v="0"/>
    <x v="0"/>
    <x v="0"/>
    <x v="0"/>
    <x v="0"/>
    <x v="0"/>
    <x v="0"/>
    <x v="0"/>
    <x v="0"/>
    <x v="0"/>
    <x v="0"/>
    <x v="0"/>
    <x v="0"/>
    <x v="0"/>
    <x v="0"/>
    <x v="0"/>
    <x v="0"/>
  </r>
  <r>
    <x v="6"/>
    <x v="1"/>
    <x v="5"/>
    <x v="10"/>
    <x v="6"/>
    <x v="5"/>
    <x v="35"/>
    <x v="198"/>
    <x v="3"/>
    <x v="23"/>
    <x v="61"/>
    <x v="46"/>
    <x v="119"/>
    <x v="82"/>
    <x v="0"/>
    <x v="13"/>
    <x v="0"/>
    <x v="0"/>
    <x v="35"/>
    <x v="0"/>
    <x v="0"/>
    <x v="97"/>
    <x v="36"/>
    <x v="38"/>
    <x v="1"/>
    <x v="33"/>
    <x v="104"/>
    <x v="107"/>
    <x v="32"/>
    <x v="116"/>
    <x v="16"/>
    <x v="46"/>
    <x v="29"/>
    <x v="52"/>
    <x v="4"/>
    <x v="152"/>
    <x v="46"/>
    <x v="52"/>
    <x v="34"/>
    <x v="99"/>
    <x v="0"/>
    <x v="0"/>
    <x v="0"/>
    <x v="0"/>
    <x v="0"/>
    <x v="6"/>
    <x v="3"/>
    <x v="0"/>
    <x v="0"/>
    <x v="0"/>
    <x v="0"/>
    <x v="0"/>
    <x v="0"/>
    <x v="0"/>
    <x v="0"/>
    <x v="0"/>
    <x v="0"/>
    <x v="0"/>
    <x v="0"/>
    <x v="0"/>
    <x v="0"/>
    <x v="0"/>
    <x v="0"/>
    <x v="0"/>
    <x v="0"/>
    <x v="0"/>
    <x v="0"/>
    <x v="0"/>
    <x v="16"/>
    <x v="16"/>
  </r>
  <r>
    <x v="6"/>
    <x v="1"/>
    <x v="2"/>
    <x v="51"/>
    <x v="7"/>
    <x v="3"/>
    <x v="3"/>
    <x v="49"/>
    <x v="3"/>
    <x v="23"/>
    <x v="56"/>
    <x v="30"/>
    <x v="118"/>
    <x v="83"/>
    <x v="0"/>
    <x v="0"/>
    <x v="0"/>
    <x v="0"/>
    <x v="1"/>
    <x v="0"/>
    <x v="0"/>
    <x v="98"/>
    <x v="70"/>
    <x v="37"/>
    <x v="2"/>
    <x v="38"/>
    <x v="157"/>
    <x v="8"/>
    <x v="0"/>
    <x v="224"/>
    <x v="0"/>
    <x v="59"/>
    <x v="57"/>
    <x v="53"/>
    <x v="5"/>
    <x v="175"/>
    <x v="21"/>
    <x v="91"/>
    <x v="90"/>
    <x v="99"/>
    <x v="0"/>
    <x v="0"/>
    <x v="0"/>
    <x v="0"/>
    <x v="0"/>
    <x v="0"/>
    <x v="0"/>
    <x v="0"/>
    <x v="0"/>
    <x v="0"/>
    <x v="0"/>
    <x v="0"/>
    <x v="0"/>
    <x v="0"/>
    <x v="0"/>
    <x v="0"/>
    <x v="0"/>
    <x v="0"/>
    <x v="0"/>
    <x v="0"/>
    <x v="0"/>
    <x v="0"/>
    <x v="0"/>
    <x v="0"/>
    <x v="0"/>
    <x v="0"/>
    <x v="0"/>
    <x v="0"/>
    <x v="0"/>
    <x v="0"/>
  </r>
  <r>
    <x v="6"/>
    <x v="1"/>
    <x v="6"/>
    <x v="13"/>
    <x v="7"/>
    <x v="9"/>
    <x v="36"/>
    <x v="191"/>
    <x v="3"/>
    <x v="23"/>
    <x v="75"/>
    <x v="72"/>
    <x v="259"/>
    <x v="169"/>
    <x v="0"/>
    <x v="0"/>
    <x v="0"/>
    <x v="0"/>
    <x v="0"/>
    <x v="0"/>
    <x v="0"/>
    <x v="188"/>
    <x v="163"/>
    <x v="5"/>
    <x v="0"/>
    <x v="0"/>
    <x v="160"/>
    <x v="0"/>
    <x v="0"/>
    <x v="233"/>
    <x v="7"/>
    <x v="54"/>
    <x v="49"/>
    <x v="162"/>
    <x v="0"/>
    <x v="28"/>
    <x v="51"/>
    <x v="83"/>
    <x v="173"/>
    <x v="99"/>
    <x v="4"/>
    <x v="0"/>
    <x v="0"/>
    <x v="0"/>
    <x v="0"/>
    <x v="0"/>
    <x v="0"/>
    <x v="0"/>
    <x v="0"/>
    <x v="0"/>
    <x v="0"/>
    <x v="0"/>
    <x v="0"/>
    <x v="0"/>
    <x v="0"/>
    <x v="0"/>
    <x v="0"/>
    <x v="0"/>
    <x v="0"/>
    <x v="0"/>
    <x v="0"/>
    <x v="0"/>
    <x v="0"/>
    <x v="0"/>
    <x v="0"/>
    <x v="0"/>
    <x v="0"/>
    <x v="0"/>
    <x v="7"/>
    <x v="7"/>
  </r>
  <r>
    <x v="6"/>
    <x v="2"/>
    <x v="0"/>
    <x v="1"/>
    <x v="2"/>
    <x v="1"/>
    <x v="11"/>
    <x v="47"/>
    <x v="1"/>
    <x v="23"/>
    <x v="39"/>
    <x v="10"/>
    <x v="111"/>
    <x v="74"/>
    <x v="0"/>
    <x v="10"/>
    <x v="0"/>
    <x v="0"/>
    <x v="75"/>
    <x v="2"/>
    <x v="0"/>
    <x v="89"/>
    <x v="219"/>
    <x v="33"/>
    <x v="7"/>
    <x v="155"/>
    <x v="53"/>
    <x v="205"/>
    <x v="24"/>
    <x v="10"/>
    <x v="5"/>
    <x v="56"/>
    <x v="53"/>
    <x v="43"/>
    <x v="6"/>
    <x v="176"/>
    <x v="219"/>
    <x v="281"/>
    <x v="175"/>
    <x v="41"/>
    <x v="0"/>
    <x v="0"/>
    <x v="0"/>
    <x v="0"/>
    <x v="0"/>
    <x v="0"/>
    <x v="0"/>
    <x v="0"/>
    <x v="0"/>
    <x v="0"/>
    <x v="2"/>
    <x v="0"/>
    <x v="0"/>
    <x v="0"/>
    <x v="0"/>
    <x v="0"/>
    <x v="0"/>
    <x v="0"/>
    <x v="0"/>
    <x v="0"/>
    <x v="0"/>
    <x v="0"/>
    <x v="0"/>
    <x v="0"/>
    <x v="0"/>
    <x v="0"/>
    <x v="0"/>
    <x v="0"/>
    <x v="5"/>
    <x v="5"/>
  </r>
  <r>
    <x v="6"/>
    <x v="2"/>
    <x v="5"/>
    <x v="10"/>
    <x v="6"/>
    <x v="5"/>
    <x v="35"/>
    <x v="200"/>
    <x v="1"/>
    <x v="23"/>
    <x v="61"/>
    <x v="46"/>
    <x v="175"/>
    <x v="109"/>
    <x v="0"/>
    <x v="16"/>
    <x v="0"/>
    <x v="0"/>
    <x v="45"/>
    <x v="0"/>
    <x v="0"/>
    <x v="122"/>
    <x v="148"/>
    <x v="38"/>
    <x v="1"/>
    <x v="74"/>
    <x v="108"/>
    <x v="103"/>
    <x v="21"/>
    <x v="121"/>
    <x v="5"/>
    <x v="56"/>
    <x v="53"/>
    <x v="94"/>
    <x v="4"/>
    <x v="126"/>
    <x v="152"/>
    <x v="191"/>
    <x v="35"/>
    <x v="99"/>
    <x v="0"/>
    <x v="0"/>
    <x v="0"/>
    <x v="0"/>
    <x v="0"/>
    <x v="2"/>
    <x v="0"/>
    <x v="0"/>
    <x v="0"/>
    <x v="0"/>
    <x v="0"/>
    <x v="0"/>
    <x v="0"/>
    <x v="0"/>
    <x v="0"/>
    <x v="0"/>
    <x v="0"/>
    <x v="0"/>
    <x v="0"/>
    <x v="0"/>
    <x v="0"/>
    <x v="0"/>
    <x v="0"/>
    <x v="0"/>
    <x v="0"/>
    <x v="0"/>
    <x v="0"/>
    <x v="0"/>
    <x v="5"/>
    <x v="5"/>
  </r>
  <r>
    <x v="6"/>
    <x v="2"/>
    <x v="2"/>
    <x v="51"/>
    <x v="7"/>
    <x v="3"/>
    <x v="3"/>
    <x v="50"/>
    <x v="1"/>
    <x v="23"/>
    <x v="56"/>
    <x v="30"/>
    <x v="145"/>
    <x v="97"/>
    <x v="0"/>
    <x v="0"/>
    <x v="0"/>
    <x v="0"/>
    <x v="3"/>
    <x v="3"/>
    <x v="0"/>
    <x v="112"/>
    <x v="150"/>
    <x v="37"/>
    <x v="2"/>
    <x v="62"/>
    <x v="138"/>
    <x v="17"/>
    <x v="0"/>
    <x v="215"/>
    <x v="0"/>
    <x v="59"/>
    <x v="57"/>
    <x v="68"/>
    <x v="5"/>
    <x v="166"/>
    <x v="84"/>
    <x v="181"/>
    <x v="90"/>
    <x v="99"/>
    <x v="0"/>
    <x v="0"/>
    <x v="0"/>
    <x v="0"/>
    <x v="0"/>
    <x v="0"/>
    <x v="0"/>
    <x v="0"/>
    <x v="0"/>
    <x v="0"/>
    <x v="0"/>
    <x v="0"/>
    <x v="0"/>
    <x v="0"/>
    <x v="0"/>
    <x v="0"/>
    <x v="0"/>
    <x v="0"/>
    <x v="0"/>
    <x v="0"/>
    <x v="0"/>
    <x v="0"/>
    <x v="0"/>
    <x v="0"/>
    <x v="0"/>
    <x v="0"/>
    <x v="0"/>
    <x v="0"/>
    <x v="0"/>
    <x v="0"/>
  </r>
  <r>
    <x v="6"/>
    <x v="2"/>
    <x v="6"/>
    <x v="13"/>
    <x v="7"/>
    <x v="9"/>
    <x v="36"/>
    <x v="197"/>
    <x v="1"/>
    <x v="23"/>
    <x v="68"/>
    <x v="58"/>
    <x v="260"/>
    <x v="170"/>
    <x v="0"/>
    <x v="0"/>
    <x v="0"/>
    <x v="0"/>
    <x v="0"/>
    <x v="0"/>
    <x v="0"/>
    <x v="189"/>
    <x v="226"/>
    <x v="5"/>
    <x v="0"/>
    <x v="0"/>
    <x v="160"/>
    <x v="0"/>
    <x v="0"/>
    <x v="233"/>
    <x v="7"/>
    <x v="54"/>
    <x v="49"/>
    <x v="166"/>
    <x v="0"/>
    <x v="22"/>
    <x v="79"/>
    <x v="116"/>
    <x v="174"/>
    <x v="58"/>
    <x v="4"/>
    <x v="0"/>
    <x v="0"/>
    <x v="0"/>
    <x v="0"/>
    <x v="0"/>
    <x v="0"/>
    <x v="0"/>
    <x v="0"/>
    <x v="0"/>
    <x v="0"/>
    <x v="0"/>
    <x v="0"/>
    <x v="0"/>
    <x v="0"/>
    <x v="0"/>
    <x v="0"/>
    <x v="0"/>
    <x v="0"/>
    <x v="0"/>
    <x v="0"/>
    <x v="0"/>
    <x v="0"/>
    <x v="0"/>
    <x v="0"/>
    <x v="0"/>
    <x v="0"/>
    <x v="0"/>
    <x v="7"/>
    <x v="7"/>
  </r>
  <r>
    <x v="7"/>
    <x v="0"/>
    <x v="2"/>
    <x v="51"/>
    <x v="7"/>
    <x v="3"/>
    <x v="3"/>
    <x v="54"/>
    <x v="0"/>
    <x v="3"/>
    <x v="5"/>
    <x v="40"/>
    <x v="12"/>
    <x v="12"/>
    <x v="0"/>
    <x v="0"/>
    <x v="0"/>
    <x v="0"/>
    <x v="0"/>
    <x v="0"/>
    <x v="0"/>
    <x v="29"/>
    <x v="125"/>
    <x v="37"/>
    <x v="2"/>
    <x v="1"/>
    <x v="159"/>
    <x v="0"/>
    <x v="0"/>
    <x v="233"/>
    <x v="0"/>
    <x v="7"/>
    <x v="57"/>
    <x v="72"/>
    <x v="5"/>
    <x v="161"/>
    <x v="105"/>
    <x v="205"/>
    <x v="90"/>
    <x v="99"/>
    <x v="0"/>
    <x v="0"/>
    <x v="0"/>
    <x v="0"/>
    <x v="0"/>
    <x v="0"/>
    <x v="0"/>
    <x v="0"/>
    <x v="0"/>
    <x v="0"/>
    <x v="0"/>
    <x v="0"/>
    <x v="0"/>
    <x v="0"/>
    <x v="0"/>
    <x v="0"/>
    <x v="0"/>
    <x v="0"/>
    <x v="0"/>
    <x v="0"/>
    <x v="0"/>
    <x v="0"/>
    <x v="0"/>
    <x v="0"/>
    <x v="0"/>
    <x v="0"/>
    <x v="0"/>
    <x v="0"/>
    <x v="0"/>
    <x v="0"/>
  </r>
  <r>
    <x v="7"/>
    <x v="0"/>
    <x v="2"/>
    <x v="51"/>
    <x v="7"/>
    <x v="3"/>
    <x v="3"/>
    <x v="52"/>
    <x v="0"/>
    <x v="21"/>
    <x v="51"/>
    <x v="27"/>
    <x v="108"/>
    <x v="75"/>
    <x v="0"/>
    <x v="0"/>
    <x v="0"/>
    <x v="0"/>
    <x v="3"/>
    <x v="2"/>
    <x v="0"/>
    <x v="90"/>
    <x v="93"/>
    <x v="37"/>
    <x v="2"/>
    <x v="27"/>
    <x v="143"/>
    <x v="23"/>
    <x v="0"/>
    <x v="209"/>
    <x v="8"/>
    <x v="44"/>
    <x v="42"/>
    <x v="56"/>
    <x v="5"/>
    <x v="163"/>
    <x v="95"/>
    <x v="107"/>
    <x v="89"/>
    <x v="99"/>
    <x v="0"/>
    <x v="0"/>
    <x v="0"/>
    <x v="0"/>
    <x v="0"/>
    <x v="0"/>
    <x v="0"/>
    <x v="0"/>
    <x v="0"/>
    <x v="0"/>
    <x v="0"/>
    <x v="0"/>
    <x v="0"/>
    <x v="0"/>
    <x v="0"/>
    <x v="0"/>
    <x v="0"/>
    <x v="0"/>
    <x v="0"/>
    <x v="0"/>
    <x v="0"/>
    <x v="0"/>
    <x v="0"/>
    <x v="2"/>
    <x v="0"/>
    <x v="0"/>
    <x v="0"/>
    <x v="0"/>
    <x v="8"/>
    <x v="8"/>
  </r>
  <r>
    <x v="7"/>
    <x v="0"/>
    <x v="5"/>
    <x v="10"/>
    <x v="6"/>
    <x v="5"/>
    <x v="35"/>
    <x v="202"/>
    <x v="0"/>
    <x v="23"/>
    <x v="61"/>
    <x v="46"/>
    <x v="195"/>
    <x v="115"/>
    <x v="0"/>
    <x v="13"/>
    <x v="0"/>
    <x v="1"/>
    <x v="57"/>
    <x v="2"/>
    <x v="0"/>
    <x v="125"/>
    <x v="176"/>
    <x v="38"/>
    <x v="1"/>
    <x v="94"/>
    <x v="97"/>
    <x v="126"/>
    <x v="11"/>
    <x v="93"/>
    <x v="0"/>
    <x v="59"/>
    <x v="57"/>
    <x v="98"/>
    <x v="4"/>
    <x v="128"/>
    <x v="144"/>
    <x v="238"/>
    <x v="176"/>
    <x v="99"/>
    <x v="0"/>
    <x v="0"/>
    <x v="0"/>
    <x v="0"/>
    <x v="0"/>
    <x v="0"/>
    <x v="0"/>
    <x v="0"/>
    <x v="0"/>
    <x v="0"/>
    <x v="0"/>
    <x v="0"/>
    <x v="0"/>
    <x v="0"/>
    <x v="0"/>
    <x v="0"/>
    <x v="0"/>
    <x v="0"/>
    <x v="0"/>
    <x v="0"/>
    <x v="0"/>
    <x v="0"/>
    <x v="0"/>
    <x v="0"/>
    <x v="0"/>
    <x v="0"/>
    <x v="0"/>
    <x v="0"/>
    <x v="0"/>
    <x v="0"/>
  </r>
  <r>
    <x v="7"/>
    <x v="0"/>
    <x v="7"/>
    <x v="16"/>
    <x v="7"/>
    <x v="8"/>
    <x v="37"/>
    <x v="190"/>
    <x v="0"/>
    <x v="23"/>
    <x v="69"/>
    <x v="59"/>
    <x v="238"/>
    <x v="145"/>
    <x v="0"/>
    <x v="0"/>
    <x v="0"/>
    <x v="0"/>
    <x v="0"/>
    <x v="0"/>
    <x v="0"/>
    <x v="160"/>
    <x v="122"/>
    <x v="8"/>
    <x v="0"/>
    <x v="0"/>
    <x v="160"/>
    <x v="0"/>
    <x v="0"/>
    <x v="233"/>
    <x v="7"/>
    <x v="54"/>
    <x v="49"/>
    <x v="134"/>
    <x v="2"/>
    <x v="75"/>
    <x v="117"/>
    <x v="148"/>
    <x v="177"/>
    <x v="99"/>
    <x v="4"/>
    <x v="0"/>
    <x v="0"/>
    <x v="0"/>
    <x v="0"/>
    <x v="0"/>
    <x v="0"/>
    <x v="0"/>
    <x v="0"/>
    <x v="0"/>
    <x v="0"/>
    <x v="0"/>
    <x v="0"/>
    <x v="0"/>
    <x v="0"/>
    <x v="0"/>
    <x v="0"/>
    <x v="0"/>
    <x v="0"/>
    <x v="0"/>
    <x v="0"/>
    <x v="0"/>
    <x v="0"/>
    <x v="0"/>
    <x v="0"/>
    <x v="0"/>
    <x v="0"/>
    <x v="0"/>
    <x v="7"/>
    <x v="7"/>
  </r>
  <r>
    <x v="7"/>
    <x v="3"/>
    <x v="1"/>
    <x v="6"/>
    <x v="7"/>
    <x v="10"/>
    <x v="12"/>
    <x v="32"/>
    <x v="2"/>
    <x v="24"/>
    <x v="64"/>
    <x v="45"/>
    <x v="188"/>
    <x v="114"/>
    <x v="0"/>
    <x v="0"/>
    <x v="18"/>
    <x v="0"/>
    <x v="28"/>
    <x v="0"/>
    <x v="3"/>
    <x v="36"/>
    <x v="146"/>
    <x v="1"/>
    <x v="0"/>
    <x v="0"/>
    <x v="160"/>
    <x v="67"/>
    <x v="0"/>
    <x v="159"/>
    <x v="9"/>
    <x v="57"/>
    <x v="45"/>
    <x v="92"/>
    <x v="7"/>
    <x v="217"/>
    <x v="189"/>
    <x v="214"/>
    <x v="297"/>
    <x v="99"/>
    <x v="5"/>
    <x v="0"/>
    <x v="0"/>
    <x v="0"/>
    <x v="0"/>
    <x v="0"/>
    <x v="0"/>
    <x v="0"/>
    <x v="0"/>
    <x v="0"/>
    <x v="0"/>
    <x v="0"/>
    <x v="0"/>
    <x v="0"/>
    <x v="0"/>
    <x v="0"/>
    <x v="0"/>
    <x v="0"/>
    <x v="0"/>
    <x v="0"/>
    <x v="0"/>
    <x v="0"/>
    <x v="0"/>
    <x v="0"/>
    <x v="0"/>
    <x v="0"/>
    <x v="0"/>
    <x v="0"/>
    <x v="9"/>
    <x v="9"/>
  </r>
  <r>
    <x v="7"/>
    <x v="3"/>
    <x v="8"/>
    <x v="41"/>
    <x v="7"/>
    <x v="12"/>
    <x v="38"/>
    <x v="188"/>
    <x v="4"/>
    <x v="24"/>
    <x v="84"/>
    <x v="89"/>
    <x v="275"/>
    <x v="186"/>
    <x v="0"/>
    <x v="0"/>
    <x v="0"/>
    <x v="0"/>
    <x v="64"/>
    <x v="0"/>
    <x v="1"/>
    <x v="157"/>
    <x v="109"/>
    <x v="21"/>
    <x v="0"/>
    <x v="0"/>
    <x v="160"/>
    <x v="63"/>
    <x v="0"/>
    <x v="163"/>
    <x v="9"/>
    <x v="57"/>
    <x v="45"/>
    <x v="190"/>
    <x v="3"/>
    <x v="94"/>
    <x v="175"/>
    <x v="199"/>
    <x v="179"/>
    <x v="99"/>
    <x v="5"/>
    <x v="0"/>
    <x v="0"/>
    <x v="0"/>
    <x v="0"/>
    <x v="0"/>
    <x v="0"/>
    <x v="0"/>
    <x v="0"/>
    <x v="0"/>
    <x v="0"/>
    <x v="0"/>
    <x v="0"/>
    <x v="0"/>
    <x v="0"/>
    <x v="0"/>
    <x v="0"/>
    <x v="0"/>
    <x v="0"/>
    <x v="0"/>
    <x v="0"/>
    <x v="0"/>
    <x v="0"/>
    <x v="0"/>
    <x v="0"/>
    <x v="0"/>
    <x v="0"/>
    <x v="0"/>
    <x v="9"/>
    <x v="9"/>
  </r>
  <r>
    <x v="7"/>
    <x v="1"/>
    <x v="7"/>
    <x v="16"/>
    <x v="7"/>
    <x v="8"/>
    <x v="37"/>
    <x v="193"/>
    <x v="3"/>
    <x v="23"/>
    <x v="69"/>
    <x v="59"/>
    <x v="239"/>
    <x v="146"/>
    <x v="0"/>
    <x v="0"/>
    <x v="0"/>
    <x v="0"/>
    <x v="0"/>
    <x v="0"/>
    <x v="0"/>
    <x v="161"/>
    <x v="130"/>
    <x v="8"/>
    <x v="0"/>
    <x v="0"/>
    <x v="160"/>
    <x v="0"/>
    <x v="0"/>
    <x v="233"/>
    <x v="7"/>
    <x v="54"/>
    <x v="49"/>
    <x v="135"/>
    <x v="2"/>
    <x v="71"/>
    <x v="123"/>
    <x v="154"/>
    <x v="178"/>
    <x v="99"/>
    <x v="4"/>
    <x v="0"/>
    <x v="0"/>
    <x v="0"/>
    <x v="0"/>
    <x v="0"/>
    <x v="0"/>
    <x v="0"/>
    <x v="0"/>
    <x v="0"/>
    <x v="0"/>
    <x v="0"/>
    <x v="0"/>
    <x v="0"/>
    <x v="0"/>
    <x v="0"/>
    <x v="0"/>
    <x v="0"/>
    <x v="0"/>
    <x v="0"/>
    <x v="0"/>
    <x v="0"/>
    <x v="0"/>
    <x v="0"/>
    <x v="0"/>
    <x v="0"/>
    <x v="0"/>
    <x v="0"/>
    <x v="7"/>
    <x v="7"/>
  </r>
  <r>
    <x v="7"/>
    <x v="1"/>
    <x v="5"/>
    <x v="10"/>
    <x v="6"/>
    <x v="5"/>
    <x v="35"/>
    <x v="204"/>
    <x v="3"/>
    <x v="23"/>
    <x v="61"/>
    <x v="46"/>
    <x v="179"/>
    <x v="109"/>
    <x v="0"/>
    <x v="20"/>
    <x v="0"/>
    <x v="0"/>
    <x v="59"/>
    <x v="0"/>
    <x v="0"/>
    <x v="122"/>
    <x v="148"/>
    <x v="38"/>
    <x v="1"/>
    <x v="78"/>
    <x v="92"/>
    <x v="135"/>
    <x v="27"/>
    <x v="85"/>
    <x v="0"/>
    <x v="59"/>
    <x v="57"/>
    <x v="94"/>
    <x v="4"/>
    <x v="135"/>
    <x v="102"/>
    <x v="186"/>
    <x v="181"/>
    <x v="99"/>
    <x v="0"/>
    <x v="0"/>
    <x v="0"/>
    <x v="0"/>
    <x v="0"/>
    <x v="0"/>
    <x v="0"/>
    <x v="0"/>
    <x v="0"/>
    <x v="0"/>
    <x v="0"/>
    <x v="0"/>
    <x v="0"/>
    <x v="0"/>
    <x v="0"/>
    <x v="0"/>
    <x v="0"/>
    <x v="0"/>
    <x v="0"/>
    <x v="0"/>
    <x v="0"/>
    <x v="0"/>
    <x v="0"/>
    <x v="0"/>
    <x v="0"/>
    <x v="0"/>
    <x v="0"/>
    <x v="0"/>
    <x v="0"/>
    <x v="0"/>
  </r>
  <r>
    <x v="7"/>
    <x v="1"/>
    <x v="6"/>
    <x v="13"/>
    <x v="7"/>
    <x v="9"/>
    <x v="36"/>
    <x v="201"/>
    <x v="3"/>
    <x v="23"/>
    <x v="78"/>
    <x v="78"/>
    <x v="264"/>
    <x v="174"/>
    <x v="0"/>
    <x v="0"/>
    <x v="0"/>
    <x v="0"/>
    <x v="0"/>
    <x v="0"/>
    <x v="0"/>
    <x v="193"/>
    <x v="138"/>
    <x v="5"/>
    <x v="0"/>
    <x v="0"/>
    <x v="160"/>
    <x v="0"/>
    <x v="0"/>
    <x v="233"/>
    <x v="0"/>
    <x v="59"/>
    <x v="57"/>
    <x v="176"/>
    <x v="0"/>
    <x v="20"/>
    <x v="94"/>
    <x v="193"/>
    <x v="180"/>
    <x v="99"/>
    <x v="4"/>
    <x v="0"/>
    <x v="0"/>
    <x v="0"/>
    <x v="0"/>
    <x v="0"/>
    <x v="0"/>
    <x v="0"/>
    <x v="0"/>
    <x v="0"/>
    <x v="0"/>
    <x v="0"/>
    <x v="0"/>
    <x v="0"/>
    <x v="0"/>
    <x v="0"/>
    <x v="0"/>
    <x v="0"/>
    <x v="0"/>
    <x v="0"/>
    <x v="0"/>
    <x v="0"/>
    <x v="0"/>
    <x v="0"/>
    <x v="0"/>
    <x v="0"/>
    <x v="0"/>
    <x v="0"/>
    <x v="34"/>
    <x v="34"/>
  </r>
  <r>
    <x v="7"/>
    <x v="1"/>
    <x v="2"/>
    <x v="51"/>
    <x v="7"/>
    <x v="3"/>
    <x v="3"/>
    <x v="55"/>
    <x v="3"/>
    <x v="23"/>
    <x v="56"/>
    <x v="30"/>
    <x v="145"/>
    <x v="98"/>
    <x v="0"/>
    <x v="0"/>
    <x v="0"/>
    <x v="0"/>
    <x v="0"/>
    <x v="0"/>
    <x v="0"/>
    <x v="113"/>
    <x v="154"/>
    <x v="37"/>
    <x v="2"/>
    <x v="62"/>
    <x v="159"/>
    <x v="0"/>
    <x v="0"/>
    <x v="233"/>
    <x v="0"/>
    <x v="59"/>
    <x v="57"/>
    <x v="69"/>
    <x v="5"/>
    <x v="165"/>
    <x v="87"/>
    <x v="187"/>
    <x v="90"/>
    <x v="99"/>
    <x v="0"/>
    <x v="0"/>
    <x v="0"/>
    <x v="0"/>
    <x v="0"/>
    <x v="0"/>
    <x v="0"/>
    <x v="0"/>
    <x v="0"/>
    <x v="0"/>
    <x v="0"/>
    <x v="0"/>
    <x v="0"/>
    <x v="0"/>
    <x v="0"/>
    <x v="0"/>
    <x v="0"/>
    <x v="0"/>
    <x v="0"/>
    <x v="0"/>
    <x v="0"/>
    <x v="0"/>
    <x v="0"/>
    <x v="0"/>
    <x v="0"/>
    <x v="0"/>
    <x v="0"/>
    <x v="0"/>
    <x v="0"/>
    <x v="0"/>
  </r>
  <r>
    <x v="7"/>
    <x v="2"/>
    <x v="0"/>
    <x v="2"/>
    <x v="3"/>
    <x v="1"/>
    <x v="14"/>
    <x v="51"/>
    <x v="1"/>
    <x v="23"/>
    <x v="39"/>
    <x v="10"/>
    <x v="44"/>
    <x v="39"/>
    <x v="10"/>
    <x v="49"/>
    <x v="0"/>
    <x v="0"/>
    <x v="34"/>
    <x v="2"/>
    <x v="0"/>
    <x v="55"/>
    <x v="21"/>
    <x v="33"/>
    <x v="10"/>
    <x v="128"/>
    <x v="17"/>
    <x v="185"/>
    <x v="106"/>
    <x v="36"/>
    <x v="26"/>
    <x v="35"/>
    <x v="13"/>
    <x v="10"/>
    <x v="6"/>
    <x v="199"/>
    <x v="66"/>
    <x v="22"/>
    <x v="40"/>
    <x v="38"/>
    <x v="0"/>
    <x v="0"/>
    <x v="5"/>
    <x v="0"/>
    <x v="0"/>
    <x v="0"/>
    <x v="2"/>
    <x v="4"/>
    <x v="0"/>
    <x v="0"/>
    <x v="0"/>
    <x v="0"/>
    <x v="0"/>
    <x v="0"/>
    <x v="0"/>
    <x v="0"/>
    <x v="0"/>
    <x v="0"/>
    <x v="0"/>
    <x v="0"/>
    <x v="0"/>
    <x v="0"/>
    <x v="0"/>
    <x v="0"/>
    <x v="0"/>
    <x v="0"/>
    <x v="0"/>
    <x v="0"/>
    <x v="26"/>
    <x v="26"/>
  </r>
  <r>
    <x v="7"/>
    <x v="2"/>
    <x v="5"/>
    <x v="10"/>
    <x v="6"/>
    <x v="5"/>
    <x v="35"/>
    <x v="206"/>
    <x v="1"/>
    <x v="23"/>
    <x v="61"/>
    <x v="46"/>
    <x v="176"/>
    <x v="109"/>
    <x v="0"/>
    <x v="14"/>
    <x v="0"/>
    <x v="0"/>
    <x v="43"/>
    <x v="2"/>
    <x v="0"/>
    <x v="122"/>
    <x v="148"/>
    <x v="38"/>
    <x v="1"/>
    <x v="75"/>
    <x v="105"/>
    <x v="96"/>
    <x v="17"/>
    <x v="129"/>
    <x v="0"/>
    <x v="59"/>
    <x v="57"/>
    <x v="94"/>
    <x v="4"/>
    <x v="135"/>
    <x v="102"/>
    <x v="194"/>
    <x v="36"/>
    <x v="99"/>
    <x v="0"/>
    <x v="0"/>
    <x v="0"/>
    <x v="0"/>
    <x v="0"/>
    <x v="0"/>
    <x v="0"/>
    <x v="0"/>
    <x v="0"/>
    <x v="0"/>
    <x v="0"/>
    <x v="0"/>
    <x v="0"/>
    <x v="0"/>
    <x v="0"/>
    <x v="0"/>
    <x v="0"/>
    <x v="0"/>
    <x v="0"/>
    <x v="0"/>
    <x v="0"/>
    <x v="0"/>
    <x v="0"/>
    <x v="0"/>
    <x v="0"/>
    <x v="0"/>
    <x v="0"/>
    <x v="0"/>
    <x v="0"/>
    <x v="0"/>
  </r>
  <r>
    <x v="7"/>
    <x v="2"/>
    <x v="2"/>
    <x v="51"/>
    <x v="7"/>
    <x v="3"/>
    <x v="3"/>
    <x v="53"/>
    <x v="1"/>
    <x v="23"/>
    <x v="56"/>
    <x v="30"/>
    <x v="120"/>
    <x v="86"/>
    <x v="0"/>
    <x v="0"/>
    <x v="0"/>
    <x v="0"/>
    <x v="3"/>
    <x v="2"/>
    <x v="0"/>
    <x v="100"/>
    <x v="73"/>
    <x v="37"/>
    <x v="2"/>
    <x v="40"/>
    <x v="145"/>
    <x v="19"/>
    <x v="0"/>
    <x v="213"/>
    <x v="11"/>
    <x v="51"/>
    <x v="40"/>
    <x v="54"/>
    <x v="5"/>
    <x v="164"/>
    <x v="91"/>
    <x v="96"/>
    <x v="89"/>
    <x v="62"/>
    <x v="0"/>
    <x v="4"/>
    <x v="0"/>
    <x v="0"/>
    <x v="0"/>
    <x v="0"/>
    <x v="3"/>
    <x v="0"/>
    <x v="0"/>
    <x v="0"/>
    <x v="0"/>
    <x v="0"/>
    <x v="0"/>
    <x v="0"/>
    <x v="0"/>
    <x v="0"/>
    <x v="0"/>
    <x v="0"/>
    <x v="0"/>
    <x v="0"/>
    <x v="0"/>
    <x v="0"/>
    <x v="0"/>
    <x v="0"/>
    <x v="0"/>
    <x v="0"/>
    <x v="0"/>
    <x v="0"/>
    <x v="11"/>
    <x v="11"/>
  </r>
  <r>
    <x v="7"/>
    <x v="2"/>
    <x v="6"/>
    <x v="13"/>
    <x v="7"/>
    <x v="9"/>
    <x v="36"/>
    <x v="205"/>
    <x v="1"/>
    <x v="13"/>
    <x v="68"/>
    <x v="91"/>
    <x v="168"/>
    <x v="109"/>
    <x v="0"/>
    <x v="0"/>
    <x v="0"/>
    <x v="0"/>
    <x v="0"/>
    <x v="0"/>
    <x v="0"/>
    <x v="122"/>
    <x v="29"/>
    <x v="5"/>
    <x v="0"/>
    <x v="0"/>
    <x v="160"/>
    <x v="0"/>
    <x v="0"/>
    <x v="233"/>
    <x v="0"/>
    <x v="30"/>
    <x v="57"/>
    <x v="164"/>
    <x v="0"/>
    <x v="35"/>
    <x v="30"/>
    <x v="102"/>
    <x v="182"/>
    <x v="60"/>
    <x v="6"/>
    <x v="0"/>
    <x v="0"/>
    <x v="0"/>
    <x v="0"/>
    <x v="0"/>
    <x v="0"/>
    <x v="0"/>
    <x v="0"/>
    <x v="0"/>
    <x v="0"/>
    <x v="0"/>
    <x v="0"/>
    <x v="0"/>
    <x v="0"/>
    <x v="0"/>
    <x v="0"/>
    <x v="0"/>
    <x v="0"/>
    <x v="0"/>
    <x v="0"/>
    <x v="0"/>
    <x v="0"/>
    <x v="0"/>
    <x v="0"/>
    <x v="0"/>
    <x v="0"/>
    <x v="0"/>
    <x v="0"/>
    <x v="0"/>
  </r>
  <r>
    <x v="8"/>
    <x v="0"/>
    <x v="5"/>
    <x v="10"/>
    <x v="6"/>
    <x v="5"/>
    <x v="35"/>
    <x v="211"/>
    <x v="0"/>
    <x v="23"/>
    <x v="61"/>
    <x v="46"/>
    <x v="167"/>
    <x v="105"/>
    <x v="38"/>
    <x v="40"/>
    <x v="0"/>
    <x v="0"/>
    <x v="52"/>
    <x v="2"/>
    <x v="0"/>
    <x v="118"/>
    <x v="126"/>
    <x v="38"/>
    <x v="1"/>
    <x v="156"/>
    <x v="0"/>
    <x v="127"/>
    <x v="56"/>
    <x v="95"/>
    <x v="8"/>
    <x v="53"/>
    <x v="47"/>
    <x v="86"/>
    <x v="4"/>
    <x v="127"/>
    <x v="148"/>
    <x v="157"/>
    <x v="37"/>
    <x v="20"/>
    <x v="0"/>
    <x v="0"/>
    <x v="0"/>
    <x v="0"/>
    <x v="0"/>
    <x v="0"/>
    <x v="0"/>
    <x v="0"/>
    <x v="2"/>
    <x v="0"/>
    <x v="0"/>
    <x v="0"/>
    <x v="0"/>
    <x v="0"/>
    <x v="0"/>
    <x v="0"/>
    <x v="0"/>
    <x v="0"/>
    <x v="0"/>
    <x v="0"/>
    <x v="0"/>
    <x v="0"/>
    <x v="0"/>
    <x v="0"/>
    <x v="0"/>
    <x v="0"/>
    <x v="0"/>
    <x v="0"/>
    <x v="8"/>
    <x v="8"/>
  </r>
  <r>
    <x v="8"/>
    <x v="0"/>
    <x v="7"/>
    <x v="16"/>
    <x v="7"/>
    <x v="8"/>
    <x v="37"/>
    <x v="199"/>
    <x v="0"/>
    <x v="23"/>
    <x v="69"/>
    <x v="59"/>
    <x v="232"/>
    <x v="136"/>
    <x v="0"/>
    <x v="0"/>
    <x v="0"/>
    <x v="0"/>
    <x v="0"/>
    <x v="0"/>
    <x v="0"/>
    <x v="150"/>
    <x v="95"/>
    <x v="8"/>
    <x v="0"/>
    <x v="0"/>
    <x v="160"/>
    <x v="0"/>
    <x v="0"/>
    <x v="233"/>
    <x v="7"/>
    <x v="54"/>
    <x v="49"/>
    <x v="124"/>
    <x v="2"/>
    <x v="90"/>
    <x v="78"/>
    <x v="115"/>
    <x v="183"/>
    <x v="99"/>
    <x v="4"/>
    <x v="0"/>
    <x v="0"/>
    <x v="0"/>
    <x v="0"/>
    <x v="0"/>
    <x v="0"/>
    <x v="0"/>
    <x v="0"/>
    <x v="0"/>
    <x v="0"/>
    <x v="0"/>
    <x v="0"/>
    <x v="0"/>
    <x v="0"/>
    <x v="0"/>
    <x v="0"/>
    <x v="0"/>
    <x v="0"/>
    <x v="0"/>
    <x v="0"/>
    <x v="0"/>
    <x v="0"/>
    <x v="0"/>
    <x v="0"/>
    <x v="0"/>
    <x v="0"/>
    <x v="0"/>
    <x v="7"/>
    <x v="7"/>
  </r>
  <r>
    <x v="8"/>
    <x v="0"/>
    <x v="2"/>
    <x v="52"/>
    <x v="7"/>
    <x v="3"/>
    <x v="1"/>
    <x v="57"/>
    <x v="0"/>
    <x v="23"/>
    <x v="56"/>
    <x v="30"/>
    <x v="147"/>
    <x v="97"/>
    <x v="0"/>
    <x v="21"/>
    <x v="0"/>
    <x v="0"/>
    <x v="19"/>
    <x v="2"/>
    <x v="0"/>
    <x v="112"/>
    <x v="150"/>
    <x v="35"/>
    <x v="2"/>
    <x v="65"/>
    <x v="109"/>
    <x v="62"/>
    <x v="36"/>
    <x v="164"/>
    <x v="5"/>
    <x v="56"/>
    <x v="53"/>
    <x v="68"/>
    <x v="5"/>
    <x v="149"/>
    <x v="139"/>
    <x v="177"/>
    <x v="91"/>
    <x v="73"/>
    <x v="0"/>
    <x v="4"/>
    <x v="0"/>
    <x v="0"/>
    <x v="0"/>
    <x v="0"/>
    <x v="0"/>
    <x v="0"/>
    <x v="0"/>
    <x v="0"/>
    <x v="0"/>
    <x v="0"/>
    <x v="0"/>
    <x v="0"/>
    <x v="0"/>
    <x v="0"/>
    <x v="0"/>
    <x v="0"/>
    <x v="0"/>
    <x v="0"/>
    <x v="0"/>
    <x v="0"/>
    <x v="0"/>
    <x v="0"/>
    <x v="0"/>
    <x v="0"/>
    <x v="0"/>
    <x v="0"/>
    <x v="5"/>
    <x v="5"/>
  </r>
  <r>
    <x v="8"/>
    <x v="0"/>
    <x v="6"/>
    <x v="13"/>
    <x v="7"/>
    <x v="9"/>
    <x v="36"/>
    <x v="209"/>
    <x v="0"/>
    <x v="7"/>
    <x v="46"/>
    <x v="83"/>
    <x v="75"/>
    <x v="65"/>
    <x v="0"/>
    <x v="0"/>
    <x v="0"/>
    <x v="0"/>
    <x v="0"/>
    <x v="0"/>
    <x v="0"/>
    <x v="79"/>
    <x v="125"/>
    <x v="5"/>
    <x v="0"/>
    <x v="0"/>
    <x v="160"/>
    <x v="0"/>
    <x v="0"/>
    <x v="233"/>
    <x v="0"/>
    <x v="12"/>
    <x v="57"/>
    <x v="184"/>
    <x v="0"/>
    <x v="14"/>
    <x v="141"/>
    <x v="248"/>
    <x v="184"/>
    <x v="99"/>
    <x v="0"/>
    <x v="0"/>
    <x v="0"/>
    <x v="0"/>
    <x v="0"/>
    <x v="0"/>
    <x v="0"/>
    <x v="0"/>
    <x v="0"/>
    <x v="0"/>
    <x v="0"/>
    <x v="0"/>
    <x v="0"/>
    <x v="0"/>
    <x v="0"/>
    <x v="0"/>
    <x v="0"/>
    <x v="0"/>
    <x v="0"/>
    <x v="0"/>
    <x v="0"/>
    <x v="0"/>
    <x v="0"/>
    <x v="0"/>
    <x v="0"/>
    <x v="0"/>
    <x v="0"/>
    <x v="0"/>
    <x v="0"/>
    <x v="0"/>
  </r>
  <r>
    <x v="8"/>
    <x v="3"/>
    <x v="1"/>
    <x v="6"/>
    <x v="7"/>
    <x v="10"/>
    <x v="12"/>
    <x v="37"/>
    <x v="2"/>
    <x v="24"/>
    <x v="64"/>
    <x v="45"/>
    <x v="216"/>
    <x v="122"/>
    <x v="0"/>
    <x v="0"/>
    <x v="20"/>
    <x v="0"/>
    <x v="25"/>
    <x v="0"/>
    <x v="3"/>
    <x v="37"/>
    <x v="196"/>
    <x v="1"/>
    <x v="0"/>
    <x v="0"/>
    <x v="160"/>
    <x v="58"/>
    <x v="0"/>
    <x v="168"/>
    <x v="9"/>
    <x v="57"/>
    <x v="45"/>
    <x v="102"/>
    <x v="7"/>
    <x v="210"/>
    <x v="224"/>
    <x v="289"/>
    <x v="298"/>
    <x v="99"/>
    <x v="5"/>
    <x v="0"/>
    <x v="0"/>
    <x v="0"/>
    <x v="0"/>
    <x v="0"/>
    <x v="0"/>
    <x v="0"/>
    <x v="0"/>
    <x v="0"/>
    <x v="0"/>
    <x v="0"/>
    <x v="0"/>
    <x v="0"/>
    <x v="0"/>
    <x v="0"/>
    <x v="0"/>
    <x v="0"/>
    <x v="0"/>
    <x v="0"/>
    <x v="0"/>
    <x v="0"/>
    <x v="0"/>
    <x v="0"/>
    <x v="0"/>
    <x v="0"/>
    <x v="0"/>
    <x v="0"/>
    <x v="9"/>
    <x v="9"/>
  </r>
  <r>
    <x v="8"/>
    <x v="3"/>
    <x v="8"/>
    <x v="41"/>
    <x v="7"/>
    <x v="12"/>
    <x v="38"/>
    <x v="196"/>
    <x v="4"/>
    <x v="24"/>
    <x v="84"/>
    <x v="89"/>
    <x v="274"/>
    <x v="185"/>
    <x v="0"/>
    <x v="0"/>
    <x v="0"/>
    <x v="0"/>
    <x v="68"/>
    <x v="0"/>
    <x v="1"/>
    <x v="147"/>
    <x v="79"/>
    <x v="21"/>
    <x v="0"/>
    <x v="0"/>
    <x v="160"/>
    <x v="72"/>
    <x v="0"/>
    <x v="154"/>
    <x v="16"/>
    <x v="51"/>
    <x v="32"/>
    <x v="187"/>
    <x v="3"/>
    <x v="83"/>
    <x v="193"/>
    <x v="149"/>
    <x v="186"/>
    <x v="99"/>
    <x v="5"/>
    <x v="0"/>
    <x v="0"/>
    <x v="2"/>
    <x v="0"/>
    <x v="0"/>
    <x v="0"/>
    <x v="0"/>
    <x v="0"/>
    <x v="0"/>
    <x v="0"/>
    <x v="0"/>
    <x v="0"/>
    <x v="0"/>
    <x v="0"/>
    <x v="0"/>
    <x v="0"/>
    <x v="0"/>
    <x v="0"/>
    <x v="0"/>
    <x v="0"/>
    <x v="0"/>
    <x v="0"/>
    <x v="0"/>
    <x v="0"/>
    <x v="0"/>
    <x v="0"/>
    <x v="0"/>
    <x v="16"/>
    <x v="16"/>
  </r>
  <r>
    <x v="8"/>
    <x v="1"/>
    <x v="7"/>
    <x v="16"/>
    <x v="7"/>
    <x v="8"/>
    <x v="37"/>
    <x v="201"/>
    <x v="3"/>
    <x v="23"/>
    <x v="69"/>
    <x v="59"/>
    <x v="243"/>
    <x v="152"/>
    <x v="0"/>
    <x v="0"/>
    <x v="0"/>
    <x v="0"/>
    <x v="0"/>
    <x v="0"/>
    <x v="0"/>
    <x v="167"/>
    <x v="145"/>
    <x v="8"/>
    <x v="0"/>
    <x v="0"/>
    <x v="160"/>
    <x v="0"/>
    <x v="0"/>
    <x v="233"/>
    <x v="7"/>
    <x v="54"/>
    <x v="49"/>
    <x v="140"/>
    <x v="2"/>
    <x v="57"/>
    <x v="147"/>
    <x v="171"/>
    <x v="185"/>
    <x v="99"/>
    <x v="4"/>
    <x v="0"/>
    <x v="0"/>
    <x v="0"/>
    <x v="0"/>
    <x v="0"/>
    <x v="0"/>
    <x v="0"/>
    <x v="0"/>
    <x v="0"/>
    <x v="0"/>
    <x v="0"/>
    <x v="0"/>
    <x v="0"/>
    <x v="0"/>
    <x v="0"/>
    <x v="0"/>
    <x v="0"/>
    <x v="0"/>
    <x v="0"/>
    <x v="0"/>
    <x v="0"/>
    <x v="0"/>
    <x v="0"/>
    <x v="0"/>
    <x v="0"/>
    <x v="0"/>
    <x v="0"/>
    <x v="7"/>
    <x v="7"/>
  </r>
  <r>
    <x v="8"/>
    <x v="1"/>
    <x v="6"/>
    <x v="13"/>
    <x v="7"/>
    <x v="9"/>
    <x v="36"/>
    <x v="212"/>
    <x v="3"/>
    <x v="23"/>
    <x v="71"/>
    <x v="60"/>
    <x v="235"/>
    <x v="140"/>
    <x v="0"/>
    <x v="0"/>
    <x v="0"/>
    <x v="0"/>
    <x v="0"/>
    <x v="0"/>
    <x v="0"/>
    <x v="154"/>
    <x v="99"/>
    <x v="5"/>
    <x v="0"/>
    <x v="0"/>
    <x v="160"/>
    <x v="0"/>
    <x v="0"/>
    <x v="233"/>
    <x v="23"/>
    <x v="38"/>
    <x v="19"/>
    <x v="128"/>
    <x v="0"/>
    <x v="32"/>
    <x v="37"/>
    <x v="27"/>
    <x v="38"/>
    <x v="60"/>
    <x v="4"/>
    <x v="0"/>
    <x v="0"/>
    <x v="5"/>
    <x v="0"/>
    <x v="0"/>
    <x v="0"/>
    <x v="0"/>
    <x v="0"/>
    <x v="0"/>
    <x v="0"/>
    <x v="0"/>
    <x v="0"/>
    <x v="0"/>
    <x v="0"/>
    <x v="0"/>
    <x v="0"/>
    <x v="0"/>
    <x v="0"/>
    <x v="0"/>
    <x v="0"/>
    <x v="0"/>
    <x v="0"/>
    <x v="0"/>
    <x v="0"/>
    <x v="0"/>
    <x v="0"/>
    <x v="0"/>
    <x v="23"/>
    <x v="23"/>
  </r>
  <r>
    <x v="8"/>
    <x v="1"/>
    <x v="5"/>
    <x v="10"/>
    <x v="6"/>
    <x v="5"/>
    <x v="35"/>
    <x v="215"/>
    <x v="3"/>
    <x v="23"/>
    <x v="61"/>
    <x v="46"/>
    <x v="154"/>
    <x v="100"/>
    <x v="0"/>
    <x v="17"/>
    <x v="0"/>
    <x v="0"/>
    <x v="44"/>
    <x v="0"/>
    <x v="0"/>
    <x v="115"/>
    <x v="84"/>
    <x v="38"/>
    <x v="1"/>
    <x v="59"/>
    <x v="102"/>
    <x v="112"/>
    <x v="26"/>
    <x v="109"/>
    <x v="0"/>
    <x v="59"/>
    <x v="57"/>
    <x v="74"/>
    <x v="4"/>
    <x v="156"/>
    <x v="38"/>
    <x v="111"/>
    <x v="39"/>
    <x v="99"/>
    <x v="0"/>
    <x v="0"/>
    <x v="0"/>
    <x v="0"/>
    <x v="0"/>
    <x v="0"/>
    <x v="0"/>
    <x v="0"/>
    <x v="0"/>
    <x v="0"/>
    <x v="0"/>
    <x v="0"/>
    <x v="0"/>
    <x v="0"/>
    <x v="0"/>
    <x v="0"/>
    <x v="0"/>
    <x v="0"/>
    <x v="0"/>
    <x v="0"/>
    <x v="0"/>
    <x v="0"/>
    <x v="0"/>
    <x v="0"/>
    <x v="0"/>
    <x v="0"/>
    <x v="0"/>
    <x v="0"/>
    <x v="0"/>
    <x v="0"/>
  </r>
  <r>
    <x v="8"/>
    <x v="1"/>
    <x v="2"/>
    <x v="52"/>
    <x v="7"/>
    <x v="3"/>
    <x v="1"/>
    <x v="58"/>
    <x v="3"/>
    <x v="7"/>
    <x v="13"/>
    <x v="35"/>
    <x v="20"/>
    <x v="20"/>
    <x v="0"/>
    <x v="0"/>
    <x v="0"/>
    <x v="0"/>
    <x v="0"/>
    <x v="0"/>
    <x v="0"/>
    <x v="39"/>
    <x v="125"/>
    <x v="35"/>
    <x v="2"/>
    <x v="4"/>
    <x v="159"/>
    <x v="0"/>
    <x v="0"/>
    <x v="233"/>
    <x v="0"/>
    <x v="12"/>
    <x v="57"/>
    <x v="61"/>
    <x v="5"/>
    <x v="170"/>
    <x v="65"/>
    <x v="156"/>
    <x v="91"/>
    <x v="99"/>
    <x v="0"/>
    <x v="0"/>
    <x v="0"/>
    <x v="0"/>
    <x v="0"/>
    <x v="0"/>
    <x v="0"/>
    <x v="0"/>
    <x v="0"/>
    <x v="0"/>
    <x v="0"/>
    <x v="0"/>
    <x v="0"/>
    <x v="0"/>
    <x v="0"/>
    <x v="0"/>
    <x v="0"/>
    <x v="0"/>
    <x v="0"/>
    <x v="0"/>
    <x v="0"/>
    <x v="0"/>
    <x v="0"/>
    <x v="0"/>
    <x v="0"/>
    <x v="0"/>
    <x v="0"/>
    <x v="0"/>
    <x v="0"/>
    <x v="0"/>
  </r>
  <r>
    <x v="8"/>
    <x v="1"/>
    <x v="2"/>
    <x v="52"/>
    <x v="7"/>
    <x v="3"/>
    <x v="1"/>
    <x v="59"/>
    <x v="3"/>
    <x v="19"/>
    <x v="47"/>
    <x v="29"/>
    <x v="112"/>
    <x v="79"/>
    <x v="0"/>
    <x v="0"/>
    <x v="0"/>
    <x v="0"/>
    <x v="4"/>
    <x v="0"/>
    <x v="0"/>
    <x v="94"/>
    <x v="187"/>
    <x v="35"/>
    <x v="2"/>
    <x v="32"/>
    <x v="154"/>
    <x v="27"/>
    <x v="0"/>
    <x v="203"/>
    <x v="0"/>
    <x v="42"/>
    <x v="57"/>
    <x v="82"/>
    <x v="5"/>
    <x v="147"/>
    <x v="152"/>
    <x v="260"/>
    <x v="92"/>
    <x v="99"/>
    <x v="0"/>
    <x v="0"/>
    <x v="0"/>
    <x v="0"/>
    <x v="0"/>
    <x v="0"/>
    <x v="0"/>
    <x v="0"/>
    <x v="0"/>
    <x v="0"/>
    <x v="0"/>
    <x v="0"/>
    <x v="0"/>
    <x v="0"/>
    <x v="0"/>
    <x v="0"/>
    <x v="0"/>
    <x v="0"/>
    <x v="0"/>
    <x v="0"/>
    <x v="0"/>
    <x v="0"/>
    <x v="0"/>
    <x v="0"/>
    <x v="0"/>
    <x v="0"/>
    <x v="0"/>
    <x v="0"/>
    <x v="0"/>
    <x v="0"/>
  </r>
  <r>
    <x v="8"/>
    <x v="2"/>
    <x v="0"/>
    <x v="0"/>
    <x v="4"/>
    <x v="0"/>
    <x v="8"/>
    <x v="56"/>
    <x v="1"/>
    <x v="4"/>
    <x v="4"/>
    <x v="18"/>
    <x v="10"/>
    <x v="8"/>
    <x v="12"/>
    <x v="4"/>
    <x v="0"/>
    <x v="0"/>
    <x v="8"/>
    <x v="2"/>
    <x v="0"/>
    <x v="27"/>
    <x v="68"/>
    <x v="33"/>
    <x v="5"/>
    <x v="8"/>
    <x v="14"/>
    <x v="178"/>
    <x v="95"/>
    <x v="45"/>
    <x v="0"/>
    <x v="9"/>
    <x v="57"/>
    <x v="31"/>
    <x v="6"/>
    <x v="193"/>
    <x v="125"/>
    <x v="210"/>
    <x v="41"/>
    <x v="39"/>
    <x v="0"/>
    <x v="0"/>
    <x v="0"/>
    <x v="0"/>
    <x v="0"/>
    <x v="0"/>
    <x v="0"/>
    <x v="0"/>
    <x v="0"/>
    <x v="0"/>
    <x v="0"/>
    <x v="0"/>
    <x v="0"/>
    <x v="0"/>
    <x v="0"/>
    <x v="0"/>
    <x v="0"/>
    <x v="0"/>
    <x v="0"/>
    <x v="0"/>
    <x v="0"/>
    <x v="0"/>
    <x v="0"/>
    <x v="0"/>
    <x v="0"/>
    <x v="0"/>
    <x v="0"/>
    <x v="0"/>
    <x v="0"/>
    <x v="0"/>
  </r>
  <r>
    <x v="8"/>
    <x v="2"/>
    <x v="5"/>
    <x v="10"/>
    <x v="6"/>
    <x v="5"/>
    <x v="35"/>
    <x v="216"/>
    <x v="1"/>
    <x v="23"/>
    <x v="61"/>
    <x v="46"/>
    <x v="194"/>
    <x v="115"/>
    <x v="0"/>
    <x v="0"/>
    <x v="0"/>
    <x v="0"/>
    <x v="56"/>
    <x v="2"/>
    <x v="0"/>
    <x v="125"/>
    <x v="176"/>
    <x v="38"/>
    <x v="1"/>
    <x v="92"/>
    <x v="118"/>
    <x v="121"/>
    <x v="0"/>
    <x v="99"/>
    <x v="0"/>
    <x v="59"/>
    <x v="57"/>
    <x v="98"/>
    <x v="4"/>
    <x v="128"/>
    <x v="144"/>
    <x v="240"/>
    <x v="42"/>
    <x v="99"/>
    <x v="0"/>
    <x v="0"/>
    <x v="0"/>
    <x v="0"/>
    <x v="0"/>
    <x v="0"/>
    <x v="0"/>
    <x v="0"/>
    <x v="0"/>
    <x v="0"/>
    <x v="0"/>
    <x v="0"/>
    <x v="0"/>
    <x v="0"/>
    <x v="0"/>
    <x v="0"/>
    <x v="0"/>
    <x v="0"/>
    <x v="0"/>
    <x v="0"/>
    <x v="0"/>
    <x v="0"/>
    <x v="0"/>
    <x v="0"/>
    <x v="0"/>
    <x v="0"/>
    <x v="0"/>
    <x v="0"/>
    <x v="0"/>
    <x v="0"/>
  </r>
  <r>
    <x v="8"/>
    <x v="2"/>
    <x v="6"/>
    <x v="13"/>
    <x v="7"/>
    <x v="9"/>
    <x v="36"/>
    <x v="217"/>
    <x v="1"/>
    <x v="13"/>
    <x v="68"/>
    <x v="91"/>
    <x v="202"/>
    <x v="117"/>
    <x v="0"/>
    <x v="0"/>
    <x v="0"/>
    <x v="0"/>
    <x v="0"/>
    <x v="0"/>
    <x v="0"/>
    <x v="127"/>
    <x v="38"/>
    <x v="5"/>
    <x v="0"/>
    <x v="0"/>
    <x v="160"/>
    <x v="0"/>
    <x v="0"/>
    <x v="233"/>
    <x v="0"/>
    <x v="30"/>
    <x v="57"/>
    <x v="175"/>
    <x v="0"/>
    <x v="23"/>
    <x v="74"/>
    <x v="166"/>
    <x v="187"/>
    <x v="60"/>
    <x v="6"/>
    <x v="0"/>
    <x v="0"/>
    <x v="0"/>
    <x v="0"/>
    <x v="0"/>
    <x v="0"/>
    <x v="0"/>
    <x v="0"/>
    <x v="0"/>
    <x v="0"/>
    <x v="0"/>
    <x v="0"/>
    <x v="0"/>
    <x v="0"/>
    <x v="0"/>
    <x v="0"/>
    <x v="0"/>
    <x v="0"/>
    <x v="0"/>
    <x v="0"/>
    <x v="0"/>
    <x v="0"/>
    <x v="0"/>
    <x v="0"/>
    <x v="0"/>
    <x v="0"/>
    <x v="0"/>
    <x v="0"/>
    <x v="0"/>
  </r>
  <r>
    <x v="8"/>
    <x v="2"/>
    <x v="2"/>
    <x v="52"/>
    <x v="7"/>
    <x v="3"/>
    <x v="1"/>
    <x v="60"/>
    <x v="1"/>
    <x v="23"/>
    <x v="71"/>
    <x v="60"/>
    <x v="140"/>
    <x v="93"/>
    <x v="5"/>
    <x v="0"/>
    <x v="0"/>
    <x v="0"/>
    <x v="13"/>
    <x v="2"/>
    <x v="0"/>
    <x v="109"/>
    <x v="15"/>
    <x v="35"/>
    <x v="2"/>
    <x v="57"/>
    <x v="130"/>
    <x v="49"/>
    <x v="0"/>
    <x v="178"/>
    <x v="0"/>
    <x v="59"/>
    <x v="57"/>
    <x v="64"/>
    <x v="5"/>
    <x v="169"/>
    <x v="71"/>
    <x v="161"/>
    <x v="92"/>
    <x v="99"/>
    <x v="0"/>
    <x v="0"/>
    <x v="0"/>
    <x v="0"/>
    <x v="0"/>
    <x v="0"/>
    <x v="0"/>
    <x v="0"/>
    <x v="0"/>
    <x v="0"/>
    <x v="0"/>
    <x v="0"/>
    <x v="0"/>
    <x v="0"/>
    <x v="0"/>
    <x v="0"/>
    <x v="0"/>
    <x v="0"/>
    <x v="0"/>
    <x v="0"/>
    <x v="0"/>
    <x v="0"/>
    <x v="0"/>
    <x v="0"/>
    <x v="0"/>
    <x v="0"/>
    <x v="0"/>
    <x v="0"/>
    <x v="0"/>
    <x v="0"/>
  </r>
  <r>
    <x v="9"/>
    <x v="0"/>
    <x v="5"/>
    <x v="10"/>
    <x v="6"/>
    <x v="5"/>
    <x v="35"/>
    <x v="222"/>
    <x v="0"/>
    <x v="23"/>
    <x v="61"/>
    <x v="46"/>
    <x v="177"/>
    <x v="109"/>
    <x v="0"/>
    <x v="13"/>
    <x v="0"/>
    <x v="0"/>
    <x v="50"/>
    <x v="2"/>
    <x v="0"/>
    <x v="122"/>
    <x v="148"/>
    <x v="38"/>
    <x v="1"/>
    <x v="76"/>
    <x v="101"/>
    <x v="116"/>
    <x v="13"/>
    <x v="105"/>
    <x v="8"/>
    <x v="53"/>
    <x v="47"/>
    <x v="94"/>
    <x v="4"/>
    <x v="120"/>
    <x v="174"/>
    <x v="189"/>
    <x v="189"/>
    <x v="99"/>
    <x v="0"/>
    <x v="0"/>
    <x v="0"/>
    <x v="0"/>
    <x v="0"/>
    <x v="4"/>
    <x v="0"/>
    <x v="0"/>
    <x v="0"/>
    <x v="0"/>
    <x v="0"/>
    <x v="0"/>
    <x v="0"/>
    <x v="0"/>
    <x v="0"/>
    <x v="0"/>
    <x v="0"/>
    <x v="0"/>
    <x v="0"/>
    <x v="0"/>
    <x v="0"/>
    <x v="0"/>
    <x v="0"/>
    <x v="0"/>
    <x v="0"/>
    <x v="0"/>
    <x v="0"/>
    <x v="0"/>
    <x v="8"/>
    <x v="8"/>
  </r>
  <r>
    <x v="9"/>
    <x v="0"/>
    <x v="7"/>
    <x v="16"/>
    <x v="7"/>
    <x v="8"/>
    <x v="37"/>
    <x v="207"/>
    <x v="0"/>
    <x v="23"/>
    <x v="71"/>
    <x v="60"/>
    <x v="238"/>
    <x v="145"/>
    <x v="0"/>
    <x v="0"/>
    <x v="0"/>
    <x v="0"/>
    <x v="0"/>
    <x v="0"/>
    <x v="0"/>
    <x v="160"/>
    <x v="114"/>
    <x v="8"/>
    <x v="0"/>
    <x v="0"/>
    <x v="160"/>
    <x v="0"/>
    <x v="0"/>
    <x v="233"/>
    <x v="7"/>
    <x v="54"/>
    <x v="49"/>
    <x v="134"/>
    <x v="2"/>
    <x v="75"/>
    <x v="117"/>
    <x v="148"/>
    <x v="188"/>
    <x v="99"/>
    <x v="4"/>
    <x v="0"/>
    <x v="0"/>
    <x v="0"/>
    <x v="0"/>
    <x v="0"/>
    <x v="0"/>
    <x v="0"/>
    <x v="0"/>
    <x v="0"/>
    <x v="0"/>
    <x v="0"/>
    <x v="0"/>
    <x v="0"/>
    <x v="0"/>
    <x v="0"/>
    <x v="0"/>
    <x v="0"/>
    <x v="0"/>
    <x v="0"/>
    <x v="0"/>
    <x v="0"/>
    <x v="0"/>
    <x v="0"/>
    <x v="0"/>
    <x v="0"/>
    <x v="0"/>
    <x v="0"/>
    <x v="7"/>
    <x v="7"/>
  </r>
  <r>
    <x v="9"/>
    <x v="0"/>
    <x v="0"/>
    <x v="2"/>
    <x v="3"/>
    <x v="1"/>
    <x v="14"/>
    <x v="61"/>
    <x v="0"/>
    <x v="23"/>
    <x v="39"/>
    <x v="10"/>
    <x v="65"/>
    <x v="57"/>
    <x v="3"/>
    <x v="13"/>
    <x v="0"/>
    <x v="0"/>
    <x v="42"/>
    <x v="2"/>
    <x v="0"/>
    <x v="71"/>
    <x v="156"/>
    <x v="33"/>
    <x v="10"/>
    <x v="150"/>
    <x v="68"/>
    <x v="157"/>
    <x v="44"/>
    <x v="62"/>
    <x v="13"/>
    <x v="49"/>
    <x v="35"/>
    <x v="24"/>
    <x v="6"/>
    <x v="183"/>
    <x v="169"/>
    <x v="128"/>
    <x v="190"/>
    <x v="99"/>
    <x v="0"/>
    <x v="0"/>
    <x v="0"/>
    <x v="0"/>
    <x v="0"/>
    <x v="0"/>
    <x v="1"/>
    <x v="0"/>
    <x v="0"/>
    <x v="0"/>
    <x v="0"/>
    <x v="0"/>
    <x v="5"/>
    <x v="0"/>
    <x v="0"/>
    <x v="0"/>
    <x v="0"/>
    <x v="0"/>
    <x v="0"/>
    <x v="0"/>
    <x v="0"/>
    <x v="0"/>
    <x v="0"/>
    <x v="0"/>
    <x v="0"/>
    <x v="0"/>
    <x v="0"/>
    <x v="0"/>
    <x v="13"/>
    <x v="13"/>
  </r>
  <r>
    <x v="9"/>
    <x v="0"/>
    <x v="2"/>
    <x v="52"/>
    <x v="7"/>
    <x v="3"/>
    <x v="1"/>
    <x v="66"/>
    <x v="0"/>
    <x v="16"/>
    <x v="45"/>
    <x v="43"/>
    <x v="79"/>
    <x v="65"/>
    <x v="0"/>
    <x v="5"/>
    <x v="0"/>
    <x v="0"/>
    <x v="8"/>
    <x v="1"/>
    <x v="0"/>
    <x v="79"/>
    <x v="149"/>
    <x v="35"/>
    <x v="2"/>
    <x v="25"/>
    <x v="127"/>
    <x v="48"/>
    <x v="20"/>
    <x v="180"/>
    <x v="0"/>
    <x v="36"/>
    <x v="57"/>
    <x v="85"/>
    <x v="5"/>
    <x v="141"/>
    <x v="169"/>
    <x v="271"/>
    <x v="91"/>
    <x v="99"/>
    <x v="0"/>
    <x v="0"/>
    <x v="0"/>
    <x v="0"/>
    <x v="0"/>
    <x v="0"/>
    <x v="0"/>
    <x v="0"/>
    <x v="0"/>
    <x v="0"/>
    <x v="0"/>
    <x v="0"/>
    <x v="0"/>
    <x v="0"/>
    <x v="0"/>
    <x v="0"/>
    <x v="0"/>
    <x v="0"/>
    <x v="0"/>
    <x v="0"/>
    <x v="0"/>
    <x v="0"/>
    <x v="0"/>
    <x v="0"/>
    <x v="0"/>
    <x v="0"/>
    <x v="0"/>
    <x v="0"/>
    <x v="0"/>
    <x v="0"/>
  </r>
  <r>
    <x v="9"/>
    <x v="0"/>
    <x v="2"/>
    <x v="52"/>
    <x v="7"/>
    <x v="3"/>
    <x v="1"/>
    <x v="68"/>
    <x v="0"/>
    <x v="10"/>
    <x v="18"/>
    <x v="18"/>
    <x v="32"/>
    <x v="28"/>
    <x v="0"/>
    <x v="2"/>
    <x v="0"/>
    <x v="0"/>
    <x v="4"/>
    <x v="1"/>
    <x v="0"/>
    <x v="46"/>
    <x v="125"/>
    <x v="35"/>
    <x v="2"/>
    <x v="6"/>
    <x v="114"/>
    <x v="53"/>
    <x v="30"/>
    <x v="174"/>
    <x v="8"/>
    <x v="14"/>
    <x v="24"/>
    <x v="42"/>
    <x v="5"/>
    <x v="157"/>
    <x v="115"/>
    <x v="55"/>
    <x v="92"/>
    <x v="99"/>
    <x v="0"/>
    <x v="0"/>
    <x v="0"/>
    <x v="0"/>
    <x v="0"/>
    <x v="0"/>
    <x v="0"/>
    <x v="0"/>
    <x v="0"/>
    <x v="0"/>
    <x v="0"/>
    <x v="0"/>
    <x v="0"/>
    <x v="0"/>
    <x v="0"/>
    <x v="0"/>
    <x v="0"/>
    <x v="0"/>
    <x v="0"/>
    <x v="0"/>
    <x v="0"/>
    <x v="0"/>
    <x v="0"/>
    <x v="2"/>
    <x v="0"/>
    <x v="0"/>
    <x v="0"/>
    <x v="0"/>
    <x v="8"/>
    <x v="8"/>
  </r>
  <r>
    <x v="9"/>
    <x v="3"/>
    <x v="1"/>
    <x v="7"/>
    <x v="7"/>
    <x v="10"/>
    <x v="15"/>
    <x v="51"/>
    <x v="2"/>
    <x v="22"/>
    <x v="57"/>
    <x v="41"/>
    <x v="143"/>
    <x v="96"/>
    <x v="0"/>
    <x v="0"/>
    <x v="14"/>
    <x v="0"/>
    <x v="26"/>
    <x v="0"/>
    <x v="3"/>
    <x v="31"/>
    <x v="128"/>
    <x v="2"/>
    <x v="0"/>
    <x v="0"/>
    <x v="160"/>
    <x v="75"/>
    <x v="0"/>
    <x v="151"/>
    <x v="15"/>
    <x v="43"/>
    <x v="31"/>
    <x v="77"/>
    <x v="7"/>
    <x v="216"/>
    <x v="191"/>
    <x v="145"/>
    <x v="194"/>
    <x v="89"/>
    <x v="3"/>
    <x v="7"/>
    <x v="0"/>
    <x v="0"/>
    <x v="0"/>
    <x v="0"/>
    <x v="0"/>
    <x v="0"/>
    <x v="0"/>
    <x v="0"/>
    <x v="0"/>
    <x v="0"/>
    <x v="0"/>
    <x v="0"/>
    <x v="0"/>
    <x v="0"/>
    <x v="0"/>
    <x v="0"/>
    <x v="0"/>
    <x v="0"/>
    <x v="0"/>
    <x v="0"/>
    <x v="0"/>
    <x v="0"/>
    <x v="0"/>
    <x v="0"/>
    <x v="0"/>
    <x v="0"/>
    <x v="15"/>
    <x v="15"/>
  </r>
  <r>
    <x v="9"/>
    <x v="3"/>
    <x v="8"/>
    <x v="41"/>
    <x v="7"/>
    <x v="12"/>
    <x v="38"/>
    <x v="203"/>
    <x v="4"/>
    <x v="24"/>
    <x v="84"/>
    <x v="89"/>
    <x v="278"/>
    <x v="190"/>
    <x v="0"/>
    <x v="0"/>
    <x v="0"/>
    <x v="0"/>
    <x v="42"/>
    <x v="0"/>
    <x v="1"/>
    <x v="173"/>
    <x v="166"/>
    <x v="21"/>
    <x v="0"/>
    <x v="0"/>
    <x v="160"/>
    <x v="45"/>
    <x v="0"/>
    <x v="183"/>
    <x v="9"/>
    <x v="57"/>
    <x v="45"/>
    <x v="200"/>
    <x v="3"/>
    <x v="59"/>
    <x v="212"/>
    <x v="270"/>
    <x v="192"/>
    <x v="99"/>
    <x v="5"/>
    <x v="0"/>
    <x v="0"/>
    <x v="0"/>
    <x v="0"/>
    <x v="0"/>
    <x v="0"/>
    <x v="0"/>
    <x v="0"/>
    <x v="0"/>
    <x v="0"/>
    <x v="0"/>
    <x v="0"/>
    <x v="0"/>
    <x v="0"/>
    <x v="0"/>
    <x v="0"/>
    <x v="0"/>
    <x v="0"/>
    <x v="0"/>
    <x v="0"/>
    <x v="0"/>
    <x v="0"/>
    <x v="0"/>
    <x v="0"/>
    <x v="0"/>
    <x v="0"/>
    <x v="0"/>
    <x v="9"/>
    <x v="9"/>
  </r>
  <r>
    <x v="9"/>
    <x v="1"/>
    <x v="0"/>
    <x v="2"/>
    <x v="3"/>
    <x v="1"/>
    <x v="14"/>
    <x v="62"/>
    <x v="3"/>
    <x v="23"/>
    <x v="39"/>
    <x v="10"/>
    <x v="103"/>
    <x v="68"/>
    <x v="9"/>
    <x v="56"/>
    <x v="0"/>
    <x v="0"/>
    <x v="51"/>
    <x v="0"/>
    <x v="0"/>
    <x v="83"/>
    <x v="207"/>
    <x v="33"/>
    <x v="10"/>
    <x v="168"/>
    <x v="27"/>
    <x v="161"/>
    <x v="104"/>
    <x v="60"/>
    <x v="0"/>
    <x v="59"/>
    <x v="57"/>
    <x v="36"/>
    <x v="6"/>
    <x v="188"/>
    <x v="156"/>
    <x v="252"/>
    <x v="44"/>
    <x v="80"/>
    <x v="0"/>
    <x v="0"/>
    <x v="0"/>
    <x v="0"/>
    <x v="0"/>
    <x v="0"/>
    <x v="0"/>
    <x v="0"/>
    <x v="0"/>
    <x v="0"/>
    <x v="0"/>
    <x v="0"/>
    <x v="0"/>
    <x v="0"/>
    <x v="0"/>
    <x v="0"/>
    <x v="0"/>
    <x v="0"/>
    <x v="0"/>
    <x v="0"/>
    <x v="0"/>
    <x v="0"/>
    <x v="0"/>
    <x v="0"/>
    <x v="0"/>
    <x v="0"/>
    <x v="0"/>
    <x v="0"/>
    <x v="0"/>
    <x v="0"/>
  </r>
  <r>
    <x v="9"/>
    <x v="1"/>
    <x v="7"/>
    <x v="16"/>
    <x v="7"/>
    <x v="8"/>
    <x v="37"/>
    <x v="208"/>
    <x v="3"/>
    <x v="23"/>
    <x v="69"/>
    <x v="59"/>
    <x v="238"/>
    <x v="145"/>
    <x v="0"/>
    <x v="0"/>
    <x v="0"/>
    <x v="0"/>
    <x v="0"/>
    <x v="0"/>
    <x v="0"/>
    <x v="160"/>
    <x v="122"/>
    <x v="8"/>
    <x v="0"/>
    <x v="0"/>
    <x v="160"/>
    <x v="0"/>
    <x v="0"/>
    <x v="233"/>
    <x v="7"/>
    <x v="54"/>
    <x v="49"/>
    <x v="134"/>
    <x v="2"/>
    <x v="75"/>
    <x v="117"/>
    <x v="148"/>
    <x v="191"/>
    <x v="99"/>
    <x v="4"/>
    <x v="0"/>
    <x v="0"/>
    <x v="0"/>
    <x v="0"/>
    <x v="0"/>
    <x v="0"/>
    <x v="0"/>
    <x v="0"/>
    <x v="0"/>
    <x v="0"/>
    <x v="0"/>
    <x v="0"/>
    <x v="0"/>
    <x v="0"/>
    <x v="0"/>
    <x v="0"/>
    <x v="0"/>
    <x v="0"/>
    <x v="0"/>
    <x v="0"/>
    <x v="0"/>
    <x v="0"/>
    <x v="0"/>
    <x v="0"/>
    <x v="0"/>
    <x v="0"/>
    <x v="0"/>
    <x v="7"/>
    <x v="7"/>
  </r>
  <r>
    <x v="9"/>
    <x v="1"/>
    <x v="5"/>
    <x v="10"/>
    <x v="6"/>
    <x v="5"/>
    <x v="35"/>
    <x v="225"/>
    <x v="3"/>
    <x v="23"/>
    <x v="61"/>
    <x v="46"/>
    <x v="178"/>
    <x v="109"/>
    <x v="0"/>
    <x v="17"/>
    <x v="0"/>
    <x v="0"/>
    <x v="55"/>
    <x v="0"/>
    <x v="0"/>
    <x v="122"/>
    <x v="148"/>
    <x v="38"/>
    <x v="1"/>
    <x v="77"/>
    <x v="98"/>
    <x v="130"/>
    <x v="23"/>
    <x v="89"/>
    <x v="0"/>
    <x v="59"/>
    <x v="57"/>
    <x v="94"/>
    <x v="4"/>
    <x v="135"/>
    <x v="102"/>
    <x v="188"/>
    <x v="43"/>
    <x v="99"/>
    <x v="0"/>
    <x v="0"/>
    <x v="0"/>
    <x v="0"/>
    <x v="0"/>
    <x v="0"/>
    <x v="0"/>
    <x v="0"/>
    <x v="0"/>
    <x v="0"/>
    <x v="0"/>
    <x v="0"/>
    <x v="0"/>
    <x v="0"/>
    <x v="0"/>
    <x v="0"/>
    <x v="0"/>
    <x v="0"/>
    <x v="0"/>
    <x v="0"/>
    <x v="0"/>
    <x v="0"/>
    <x v="0"/>
    <x v="0"/>
    <x v="0"/>
    <x v="0"/>
    <x v="0"/>
    <x v="0"/>
    <x v="0"/>
    <x v="0"/>
  </r>
  <r>
    <x v="9"/>
    <x v="1"/>
    <x v="2"/>
    <x v="52"/>
    <x v="7"/>
    <x v="3"/>
    <x v="1"/>
    <x v="67"/>
    <x v="3"/>
    <x v="23"/>
    <x v="56"/>
    <x v="30"/>
    <x v="129"/>
    <x v="91"/>
    <x v="0"/>
    <x v="0"/>
    <x v="0"/>
    <x v="0"/>
    <x v="1"/>
    <x v="0"/>
    <x v="0"/>
    <x v="107"/>
    <x v="104"/>
    <x v="35"/>
    <x v="2"/>
    <x v="44"/>
    <x v="158"/>
    <x v="7"/>
    <x v="0"/>
    <x v="225"/>
    <x v="0"/>
    <x v="59"/>
    <x v="57"/>
    <x v="58"/>
    <x v="5"/>
    <x v="173"/>
    <x v="49"/>
    <x v="135"/>
    <x v="91"/>
    <x v="99"/>
    <x v="0"/>
    <x v="0"/>
    <x v="0"/>
    <x v="0"/>
    <x v="0"/>
    <x v="0"/>
    <x v="0"/>
    <x v="0"/>
    <x v="0"/>
    <x v="0"/>
    <x v="0"/>
    <x v="0"/>
    <x v="0"/>
    <x v="0"/>
    <x v="0"/>
    <x v="0"/>
    <x v="0"/>
    <x v="0"/>
    <x v="0"/>
    <x v="0"/>
    <x v="0"/>
    <x v="0"/>
    <x v="0"/>
    <x v="0"/>
    <x v="0"/>
    <x v="0"/>
    <x v="0"/>
    <x v="0"/>
    <x v="0"/>
    <x v="0"/>
  </r>
  <r>
    <x v="9"/>
    <x v="2"/>
    <x v="0"/>
    <x v="2"/>
    <x v="3"/>
    <x v="1"/>
    <x v="14"/>
    <x v="64"/>
    <x v="1"/>
    <x v="23"/>
    <x v="39"/>
    <x v="10"/>
    <x v="96"/>
    <x v="68"/>
    <x v="10"/>
    <x v="40"/>
    <x v="0"/>
    <x v="0"/>
    <x v="57"/>
    <x v="2"/>
    <x v="0"/>
    <x v="83"/>
    <x v="207"/>
    <x v="33"/>
    <x v="10"/>
    <x v="164"/>
    <x v="42"/>
    <x v="171"/>
    <x v="78"/>
    <x v="46"/>
    <x v="0"/>
    <x v="59"/>
    <x v="57"/>
    <x v="36"/>
    <x v="6"/>
    <x v="188"/>
    <x v="156"/>
    <x v="249"/>
    <x v="46"/>
    <x v="99"/>
    <x v="0"/>
    <x v="0"/>
    <x v="0"/>
    <x v="0"/>
    <x v="0"/>
    <x v="0"/>
    <x v="0"/>
    <x v="0"/>
    <x v="0"/>
    <x v="0"/>
    <x v="0"/>
    <x v="0"/>
    <x v="0"/>
    <x v="0"/>
    <x v="0"/>
    <x v="0"/>
    <x v="0"/>
    <x v="0"/>
    <x v="0"/>
    <x v="0"/>
    <x v="0"/>
    <x v="0"/>
    <x v="0"/>
    <x v="0"/>
    <x v="0"/>
    <x v="0"/>
    <x v="0"/>
    <x v="0"/>
    <x v="0"/>
    <x v="0"/>
  </r>
  <r>
    <x v="9"/>
    <x v="2"/>
    <x v="5"/>
    <x v="10"/>
    <x v="6"/>
    <x v="5"/>
    <x v="35"/>
    <x v="227"/>
    <x v="1"/>
    <x v="23"/>
    <x v="61"/>
    <x v="46"/>
    <x v="193"/>
    <x v="115"/>
    <x v="0"/>
    <x v="0"/>
    <x v="0"/>
    <x v="0"/>
    <x v="51"/>
    <x v="2"/>
    <x v="0"/>
    <x v="125"/>
    <x v="176"/>
    <x v="38"/>
    <x v="1"/>
    <x v="91"/>
    <x v="121"/>
    <x v="111"/>
    <x v="0"/>
    <x v="107"/>
    <x v="6"/>
    <x v="55"/>
    <x v="51"/>
    <x v="98"/>
    <x v="4"/>
    <x v="114"/>
    <x v="195"/>
    <x v="241"/>
    <x v="45"/>
    <x v="99"/>
    <x v="0"/>
    <x v="0"/>
    <x v="0"/>
    <x v="0"/>
    <x v="0"/>
    <x v="3"/>
    <x v="0"/>
    <x v="0"/>
    <x v="0"/>
    <x v="0"/>
    <x v="0"/>
    <x v="0"/>
    <x v="0"/>
    <x v="0"/>
    <x v="0"/>
    <x v="0"/>
    <x v="0"/>
    <x v="0"/>
    <x v="0"/>
    <x v="0"/>
    <x v="0"/>
    <x v="0"/>
    <x v="0"/>
    <x v="0"/>
    <x v="0"/>
    <x v="0"/>
    <x v="0"/>
    <x v="0"/>
    <x v="6"/>
    <x v="6"/>
  </r>
  <r>
    <x v="9"/>
    <x v="2"/>
    <x v="6"/>
    <x v="13"/>
    <x v="7"/>
    <x v="9"/>
    <x v="36"/>
    <x v="219"/>
    <x v="1"/>
    <x v="23"/>
    <x v="68"/>
    <x v="58"/>
    <x v="261"/>
    <x v="171"/>
    <x v="0"/>
    <x v="0"/>
    <x v="0"/>
    <x v="0"/>
    <x v="0"/>
    <x v="0"/>
    <x v="0"/>
    <x v="190"/>
    <x v="229"/>
    <x v="5"/>
    <x v="0"/>
    <x v="0"/>
    <x v="160"/>
    <x v="0"/>
    <x v="0"/>
    <x v="233"/>
    <x v="7"/>
    <x v="54"/>
    <x v="49"/>
    <x v="167"/>
    <x v="0"/>
    <x v="21"/>
    <x v="85"/>
    <x v="119"/>
    <x v="193"/>
    <x v="99"/>
    <x v="4"/>
    <x v="0"/>
    <x v="0"/>
    <x v="0"/>
    <x v="0"/>
    <x v="0"/>
    <x v="0"/>
    <x v="0"/>
    <x v="0"/>
    <x v="0"/>
    <x v="0"/>
    <x v="0"/>
    <x v="0"/>
    <x v="0"/>
    <x v="0"/>
    <x v="0"/>
    <x v="0"/>
    <x v="0"/>
    <x v="0"/>
    <x v="0"/>
    <x v="0"/>
    <x v="0"/>
    <x v="0"/>
    <x v="0"/>
    <x v="0"/>
    <x v="0"/>
    <x v="0"/>
    <x v="0"/>
    <x v="7"/>
    <x v="7"/>
  </r>
  <r>
    <x v="9"/>
    <x v="2"/>
    <x v="2"/>
    <x v="52"/>
    <x v="7"/>
    <x v="3"/>
    <x v="1"/>
    <x v="69"/>
    <x v="1"/>
    <x v="23"/>
    <x v="56"/>
    <x v="30"/>
    <x v="133"/>
    <x v="91"/>
    <x v="0"/>
    <x v="0"/>
    <x v="0"/>
    <x v="0"/>
    <x v="21"/>
    <x v="2"/>
    <x v="0"/>
    <x v="107"/>
    <x v="104"/>
    <x v="35"/>
    <x v="2"/>
    <x v="48"/>
    <x v="133"/>
    <x v="70"/>
    <x v="0"/>
    <x v="156"/>
    <x v="0"/>
    <x v="59"/>
    <x v="57"/>
    <x v="58"/>
    <x v="5"/>
    <x v="173"/>
    <x v="49"/>
    <x v="126"/>
    <x v="92"/>
    <x v="99"/>
    <x v="0"/>
    <x v="0"/>
    <x v="0"/>
    <x v="0"/>
    <x v="0"/>
    <x v="0"/>
    <x v="0"/>
    <x v="0"/>
    <x v="0"/>
    <x v="0"/>
    <x v="0"/>
    <x v="0"/>
    <x v="0"/>
    <x v="0"/>
    <x v="0"/>
    <x v="0"/>
    <x v="0"/>
    <x v="0"/>
    <x v="0"/>
    <x v="0"/>
    <x v="0"/>
    <x v="0"/>
    <x v="0"/>
    <x v="0"/>
    <x v="0"/>
    <x v="0"/>
    <x v="0"/>
    <x v="0"/>
    <x v="0"/>
    <x v="0"/>
  </r>
  <r>
    <x v="10"/>
    <x v="3"/>
    <x v="1"/>
    <x v="31"/>
    <x v="7"/>
    <x v="12"/>
    <x v="13"/>
    <x v="7"/>
    <x v="2"/>
    <x v="3"/>
    <x v="6"/>
    <x v="45"/>
    <x v="5"/>
    <x v="5"/>
    <x v="0"/>
    <x v="0"/>
    <x v="1"/>
    <x v="0"/>
    <x v="3"/>
    <x v="0"/>
    <x v="3"/>
    <x v="4"/>
    <x v="11"/>
    <x v="16"/>
    <x v="0"/>
    <x v="0"/>
    <x v="160"/>
    <x v="122"/>
    <x v="0"/>
    <x v="96"/>
    <x v="5"/>
    <x v="2"/>
    <x v="10"/>
    <x v="21"/>
    <x v="7"/>
    <x v="223"/>
    <x v="151"/>
    <x v="20"/>
    <x v="299"/>
    <x v="24"/>
    <x v="0"/>
    <x v="4"/>
    <x v="0"/>
    <x v="0"/>
    <x v="0"/>
    <x v="0"/>
    <x v="0"/>
    <x v="0"/>
    <x v="0"/>
    <x v="0"/>
    <x v="0"/>
    <x v="0"/>
    <x v="0"/>
    <x v="0"/>
    <x v="0"/>
    <x v="0"/>
    <x v="0"/>
    <x v="0"/>
    <x v="0"/>
    <x v="0"/>
    <x v="0"/>
    <x v="0"/>
    <x v="0"/>
    <x v="0"/>
    <x v="0"/>
    <x v="0"/>
    <x v="0"/>
    <x v="0"/>
    <x v="5"/>
    <x v="5"/>
  </r>
  <r>
    <x v="10"/>
    <x v="0"/>
    <x v="6"/>
    <x v="13"/>
    <x v="7"/>
    <x v="9"/>
    <x v="36"/>
    <x v="228"/>
    <x v="0"/>
    <x v="23"/>
    <x v="68"/>
    <x v="58"/>
    <x v="256"/>
    <x v="167"/>
    <x v="0"/>
    <x v="0"/>
    <x v="0"/>
    <x v="0"/>
    <x v="0"/>
    <x v="0"/>
    <x v="0"/>
    <x v="186"/>
    <x v="221"/>
    <x v="5"/>
    <x v="0"/>
    <x v="0"/>
    <x v="160"/>
    <x v="0"/>
    <x v="0"/>
    <x v="233"/>
    <x v="7"/>
    <x v="54"/>
    <x v="49"/>
    <x v="157"/>
    <x v="0"/>
    <x v="34"/>
    <x v="31"/>
    <x v="73"/>
    <x v="195"/>
    <x v="99"/>
    <x v="4"/>
    <x v="0"/>
    <x v="0"/>
    <x v="0"/>
    <x v="0"/>
    <x v="0"/>
    <x v="0"/>
    <x v="0"/>
    <x v="0"/>
    <x v="0"/>
    <x v="0"/>
    <x v="0"/>
    <x v="0"/>
    <x v="0"/>
    <x v="0"/>
    <x v="0"/>
    <x v="0"/>
    <x v="0"/>
    <x v="0"/>
    <x v="0"/>
    <x v="0"/>
    <x v="0"/>
    <x v="0"/>
    <x v="0"/>
    <x v="0"/>
    <x v="0"/>
    <x v="0"/>
    <x v="0"/>
    <x v="7"/>
    <x v="7"/>
  </r>
  <r>
    <x v="10"/>
    <x v="0"/>
    <x v="2"/>
    <x v="52"/>
    <x v="7"/>
    <x v="3"/>
    <x v="1"/>
    <x v="76"/>
    <x v="0"/>
    <x v="19"/>
    <x v="46"/>
    <x v="24"/>
    <x v="109"/>
    <x v="76"/>
    <x v="9"/>
    <x v="0"/>
    <x v="0"/>
    <x v="0"/>
    <x v="5"/>
    <x v="2"/>
    <x v="0"/>
    <x v="91"/>
    <x v="190"/>
    <x v="35"/>
    <x v="2"/>
    <x v="28"/>
    <x v="123"/>
    <x v="33"/>
    <x v="0"/>
    <x v="197"/>
    <x v="0"/>
    <x v="42"/>
    <x v="57"/>
    <x v="75"/>
    <x v="5"/>
    <x v="155"/>
    <x v="126"/>
    <x v="229"/>
    <x v="92"/>
    <x v="99"/>
    <x v="0"/>
    <x v="0"/>
    <x v="0"/>
    <x v="0"/>
    <x v="0"/>
    <x v="0"/>
    <x v="0"/>
    <x v="0"/>
    <x v="0"/>
    <x v="0"/>
    <x v="0"/>
    <x v="0"/>
    <x v="0"/>
    <x v="0"/>
    <x v="0"/>
    <x v="0"/>
    <x v="0"/>
    <x v="0"/>
    <x v="0"/>
    <x v="0"/>
    <x v="0"/>
    <x v="0"/>
    <x v="0"/>
    <x v="0"/>
    <x v="0"/>
    <x v="0"/>
    <x v="0"/>
    <x v="0"/>
    <x v="0"/>
    <x v="0"/>
  </r>
  <r>
    <x v="10"/>
    <x v="0"/>
    <x v="2"/>
    <x v="52"/>
    <x v="7"/>
    <x v="3"/>
    <x v="1"/>
    <x v="75"/>
    <x v="0"/>
    <x v="7"/>
    <x v="12"/>
    <x v="32"/>
    <x v="19"/>
    <x v="18"/>
    <x v="0"/>
    <x v="0"/>
    <x v="0"/>
    <x v="0"/>
    <x v="10"/>
    <x v="0"/>
    <x v="0"/>
    <x v="38"/>
    <x v="102"/>
    <x v="35"/>
    <x v="2"/>
    <x v="2"/>
    <x v="126"/>
    <x v="119"/>
    <x v="0"/>
    <x v="101"/>
    <x v="0"/>
    <x v="12"/>
    <x v="57"/>
    <x v="58"/>
    <x v="5"/>
    <x v="173"/>
    <x v="49"/>
    <x v="120"/>
    <x v="91"/>
    <x v="99"/>
    <x v="0"/>
    <x v="0"/>
    <x v="0"/>
    <x v="0"/>
    <x v="0"/>
    <x v="0"/>
    <x v="0"/>
    <x v="0"/>
    <x v="0"/>
    <x v="0"/>
    <x v="0"/>
    <x v="0"/>
    <x v="0"/>
    <x v="0"/>
    <x v="0"/>
    <x v="0"/>
    <x v="0"/>
    <x v="0"/>
    <x v="0"/>
    <x v="0"/>
    <x v="0"/>
    <x v="0"/>
    <x v="0"/>
    <x v="0"/>
    <x v="0"/>
    <x v="0"/>
    <x v="0"/>
    <x v="0"/>
    <x v="0"/>
    <x v="0"/>
  </r>
  <r>
    <x v="10"/>
    <x v="0"/>
    <x v="0"/>
    <x v="2"/>
    <x v="3"/>
    <x v="1"/>
    <x v="14"/>
    <x v="70"/>
    <x v="0"/>
    <x v="23"/>
    <x v="39"/>
    <x v="10"/>
    <x v="90"/>
    <x v="62"/>
    <x v="3"/>
    <x v="58"/>
    <x v="0"/>
    <x v="0"/>
    <x v="65"/>
    <x v="2"/>
    <x v="0"/>
    <x v="76"/>
    <x v="189"/>
    <x v="33"/>
    <x v="10"/>
    <x v="160"/>
    <x v="16"/>
    <x v="192"/>
    <x v="108"/>
    <x v="24"/>
    <x v="0"/>
    <x v="59"/>
    <x v="57"/>
    <x v="28"/>
    <x v="6"/>
    <x v="195"/>
    <x v="101"/>
    <x v="173"/>
    <x v="48"/>
    <x v="79"/>
    <x v="0"/>
    <x v="0"/>
    <x v="0"/>
    <x v="0"/>
    <x v="0"/>
    <x v="0"/>
    <x v="0"/>
    <x v="0"/>
    <x v="0"/>
    <x v="0"/>
    <x v="0"/>
    <x v="0"/>
    <x v="0"/>
    <x v="0"/>
    <x v="0"/>
    <x v="0"/>
    <x v="0"/>
    <x v="0"/>
    <x v="0"/>
    <x v="0"/>
    <x v="0"/>
    <x v="0"/>
    <x v="0"/>
    <x v="0"/>
    <x v="0"/>
    <x v="0"/>
    <x v="0"/>
    <x v="0"/>
    <x v="0"/>
    <x v="0"/>
  </r>
  <r>
    <x v="10"/>
    <x v="0"/>
    <x v="5"/>
    <x v="10"/>
    <x v="6"/>
    <x v="5"/>
    <x v="35"/>
    <x v="233"/>
    <x v="0"/>
    <x v="23"/>
    <x v="61"/>
    <x v="46"/>
    <x v="174"/>
    <x v="109"/>
    <x v="0"/>
    <x v="0"/>
    <x v="0"/>
    <x v="0"/>
    <x v="62"/>
    <x v="2"/>
    <x v="0"/>
    <x v="122"/>
    <x v="148"/>
    <x v="38"/>
    <x v="1"/>
    <x v="73"/>
    <x v="112"/>
    <x v="139"/>
    <x v="0"/>
    <x v="79"/>
    <x v="11"/>
    <x v="51"/>
    <x v="40"/>
    <x v="94"/>
    <x v="4"/>
    <x v="115"/>
    <x v="194"/>
    <x v="185"/>
    <x v="47"/>
    <x v="99"/>
    <x v="0"/>
    <x v="0"/>
    <x v="0"/>
    <x v="0"/>
    <x v="0"/>
    <x v="2"/>
    <x v="0"/>
    <x v="4"/>
    <x v="0"/>
    <x v="0"/>
    <x v="0"/>
    <x v="0"/>
    <x v="0"/>
    <x v="0"/>
    <x v="0"/>
    <x v="0"/>
    <x v="0"/>
    <x v="0"/>
    <x v="0"/>
    <x v="0"/>
    <x v="0"/>
    <x v="0"/>
    <x v="0"/>
    <x v="0"/>
    <x v="0"/>
    <x v="0"/>
    <x v="0"/>
    <x v="0"/>
    <x v="11"/>
    <x v="11"/>
  </r>
  <r>
    <x v="10"/>
    <x v="0"/>
    <x v="7"/>
    <x v="16"/>
    <x v="7"/>
    <x v="9"/>
    <x v="37"/>
    <x v="214"/>
    <x v="0"/>
    <x v="23"/>
    <x v="69"/>
    <x v="59"/>
    <x v="244"/>
    <x v="153"/>
    <x v="0"/>
    <x v="0"/>
    <x v="0"/>
    <x v="0"/>
    <x v="0"/>
    <x v="0"/>
    <x v="0"/>
    <x v="168"/>
    <x v="151"/>
    <x v="8"/>
    <x v="0"/>
    <x v="0"/>
    <x v="160"/>
    <x v="0"/>
    <x v="0"/>
    <x v="233"/>
    <x v="0"/>
    <x v="59"/>
    <x v="57"/>
    <x v="141"/>
    <x v="2"/>
    <x v="89"/>
    <x v="81"/>
    <x v="174"/>
    <x v="196"/>
    <x v="99"/>
    <x v="0"/>
    <x v="0"/>
    <x v="0"/>
    <x v="0"/>
    <x v="0"/>
    <x v="0"/>
    <x v="0"/>
    <x v="0"/>
    <x v="0"/>
    <x v="0"/>
    <x v="0"/>
    <x v="0"/>
    <x v="0"/>
    <x v="0"/>
    <x v="0"/>
    <x v="0"/>
    <x v="0"/>
    <x v="0"/>
    <x v="0"/>
    <x v="0"/>
    <x v="0"/>
    <x v="0"/>
    <x v="0"/>
    <x v="0"/>
    <x v="0"/>
    <x v="0"/>
    <x v="0"/>
    <x v="0"/>
    <x v="0"/>
    <x v="0"/>
  </r>
  <r>
    <x v="10"/>
    <x v="3"/>
    <x v="8"/>
    <x v="41"/>
    <x v="7"/>
    <x v="12"/>
    <x v="38"/>
    <x v="213"/>
    <x v="4"/>
    <x v="24"/>
    <x v="71"/>
    <x v="57"/>
    <x v="257"/>
    <x v="166"/>
    <x v="0"/>
    <x v="0"/>
    <x v="0"/>
    <x v="0"/>
    <x v="49"/>
    <x v="0"/>
    <x v="0"/>
    <x v="185"/>
    <x v="220"/>
    <x v="21"/>
    <x v="0"/>
    <x v="0"/>
    <x v="160"/>
    <x v="68"/>
    <x v="0"/>
    <x v="158"/>
    <x v="9"/>
    <x v="57"/>
    <x v="45"/>
    <x v="154"/>
    <x v="3"/>
    <x v="37"/>
    <x v="230"/>
    <x v="311"/>
    <x v="197"/>
    <x v="99"/>
    <x v="5"/>
    <x v="0"/>
    <x v="0"/>
    <x v="0"/>
    <x v="0"/>
    <x v="0"/>
    <x v="0"/>
    <x v="0"/>
    <x v="0"/>
    <x v="0"/>
    <x v="0"/>
    <x v="0"/>
    <x v="0"/>
    <x v="0"/>
    <x v="0"/>
    <x v="0"/>
    <x v="0"/>
    <x v="0"/>
    <x v="0"/>
    <x v="0"/>
    <x v="0"/>
    <x v="0"/>
    <x v="0"/>
    <x v="0"/>
    <x v="0"/>
    <x v="0"/>
    <x v="0"/>
    <x v="0"/>
    <x v="9"/>
    <x v="9"/>
  </r>
  <r>
    <x v="10"/>
    <x v="3"/>
    <x v="1"/>
    <x v="31"/>
    <x v="7"/>
    <x v="10"/>
    <x v="13"/>
    <x v="8"/>
    <x v="2"/>
    <x v="13"/>
    <x v="33"/>
    <x v="36"/>
    <x v="47"/>
    <x v="43"/>
    <x v="0"/>
    <x v="0"/>
    <x v="13"/>
    <x v="0"/>
    <x v="23"/>
    <x v="0"/>
    <x v="3"/>
    <x v="23"/>
    <x v="59"/>
    <x v="16"/>
    <x v="0"/>
    <x v="0"/>
    <x v="160"/>
    <x v="142"/>
    <x v="0"/>
    <x v="78"/>
    <x v="15"/>
    <x v="18"/>
    <x v="19"/>
    <x v="51"/>
    <x v="7"/>
    <x v="218"/>
    <x v="187"/>
    <x v="53"/>
    <x v="300"/>
    <x v="93"/>
    <x v="2"/>
    <x v="8"/>
    <x v="0"/>
    <x v="0"/>
    <x v="0"/>
    <x v="0"/>
    <x v="0"/>
    <x v="0"/>
    <x v="0"/>
    <x v="0"/>
    <x v="0"/>
    <x v="0"/>
    <x v="0"/>
    <x v="0"/>
    <x v="0"/>
    <x v="0"/>
    <x v="0"/>
    <x v="0"/>
    <x v="0"/>
    <x v="0"/>
    <x v="0"/>
    <x v="0"/>
    <x v="0"/>
    <x v="0"/>
    <x v="0"/>
    <x v="0"/>
    <x v="0"/>
    <x v="0"/>
    <x v="15"/>
    <x v="15"/>
  </r>
  <r>
    <x v="10"/>
    <x v="3"/>
    <x v="1"/>
    <x v="7"/>
    <x v="7"/>
    <x v="10"/>
    <x v="15"/>
    <x v="63"/>
    <x v="2"/>
    <x v="15"/>
    <x v="46"/>
    <x v="51"/>
    <x v="43"/>
    <x v="41"/>
    <x v="0"/>
    <x v="0"/>
    <x v="10"/>
    <x v="0"/>
    <x v="9"/>
    <x v="0"/>
    <x v="3"/>
    <x v="22"/>
    <x v="14"/>
    <x v="2"/>
    <x v="0"/>
    <x v="0"/>
    <x v="160"/>
    <x v="71"/>
    <x v="0"/>
    <x v="155"/>
    <x v="19"/>
    <x v="18"/>
    <x v="14"/>
    <x v="35"/>
    <x v="7"/>
    <x v="223"/>
    <x v="151"/>
    <x v="28"/>
    <x v="301"/>
    <x v="0"/>
    <x v="3"/>
    <x v="10"/>
    <x v="0"/>
    <x v="0"/>
    <x v="0"/>
    <x v="0"/>
    <x v="0"/>
    <x v="0"/>
    <x v="0"/>
    <x v="0"/>
    <x v="0"/>
    <x v="0"/>
    <x v="0"/>
    <x v="0"/>
    <x v="0"/>
    <x v="0"/>
    <x v="0"/>
    <x v="0"/>
    <x v="0"/>
    <x v="0"/>
    <x v="0"/>
    <x v="0"/>
    <x v="0"/>
    <x v="0"/>
    <x v="0"/>
    <x v="0"/>
    <x v="0"/>
    <x v="0"/>
    <x v="19"/>
    <x v="19"/>
  </r>
  <r>
    <x v="10"/>
    <x v="1"/>
    <x v="2"/>
    <x v="52"/>
    <x v="7"/>
    <x v="3"/>
    <x v="1"/>
    <x v="74"/>
    <x v="3"/>
    <x v="23"/>
    <x v="56"/>
    <x v="30"/>
    <x v="110"/>
    <x v="78"/>
    <x v="0"/>
    <x v="0"/>
    <x v="0"/>
    <x v="0"/>
    <x v="4"/>
    <x v="0"/>
    <x v="0"/>
    <x v="93"/>
    <x v="48"/>
    <x v="35"/>
    <x v="2"/>
    <x v="30"/>
    <x v="153"/>
    <x v="28"/>
    <x v="0"/>
    <x v="202"/>
    <x v="12"/>
    <x v="50"/>
    <x v="37"/>
    <x v="46"/>
    <x v="5"/>
    <x v="172"/>
    <x v="52"/>
    <x v="63"/>
    <x v="91"/>
    <x v="61"/>
    <x v="0"/>
    <x v="4"/>
    <x v="0"/>
    <x v="0"/>
    <x v="0"/>
    <x v="0"/>
    <x v="4"/>
    <x v="0"/>
    <x v="0"/>
    <x v="0"/>
    <x v="0"/>
    <x v="0"/>
    <x v="0"/>
    <x v="0"/>
    <x v="0"/>
    <x v="0"/>
    <x v="0"/>
    <x v="0"/>
    <x v="0"/>
    <x v="0"/>
    <x v="0"/>
    <x v="0"/>
    <x v="0"/>
    <x v="0"/>
    <x v="0"/>
    <x v="0"/>
    <x v="0"/>
    <x v="0"/>
    <x v="12"/>
    <x v="12"/>
  </r>
  <r>
    <x v="10"/>
    <x v="1"/>
    <x v="0"/>
    <x v="2"/>
    <x v="3"/>
    <x v="1"/>
    <x v="14"/>
    <x v="72"/>
    <x v="3"/>
    <x v="23"/>
    <x v="39"/>
    <x v="10"/>
    <x v="78"/>
    <x v="62"/>
    <x v="0"/>
    <x v="22"/>
    <x v="0"/>
    <x v="0"/>
    <x v="56"/>
    <x v="0"/>
    <x v="0"/>
    <x v="76"/>
    <x v="189"/>
    <x v="33"/>
    <x v="10"/>
    <x v="153"/>
    <x v="63"/>
    <x v="179"/>
    <x v="54"/>
    <x v="35"/>
    <x v="0"/>
    <x v="59"/>
    <x v="57"/>
    <x v="28"/>
    <x v="6"/>
    <x v="195"/>
    <x v="101"/>
    <x v="178"/>
    <x v="50"/>
    <x v="99"/>
    <x v="0"/>
    <x v="0"/>
    <x v="0"/>
    <x v="0"/>
    <x v="0"/>
    <x v="0"/>
    <x v="0"/>
    <x v="0"/>
    <x v="0"/>
    <x v="0"/>
    <x v="0"/>
    <x v="0"/>
    <x v="0"/>
    <x v="0"/>
    <x v="0"/>
    <x v="0"/>
    <x v="0"/>
    <x v="0"/>
    <x v="0"/>
    <x v="0"/>
    <x v="0"/>
    <x v="0"/>
    <x v="0"/>
    <x v="0"/>
    <x v="0"/>
    <x v="0"/>
    <x v="0"/>
    <x v="0"/>
    <x v="34"/>
    <x v="0"/>
  </r>
  <r>
    <x v="10"/>
    <x v="1"/>
    <x v="5"/>
    <x v="10"/>
    <x v="6"/>
    <x v="5"/>
    <x v="35"/>
    <x v="236"/>
    <x v="3"/>
    <x v="23"/>
    <x v="61"/>
    <x v="46"/>
    <x v="210"/>
    <x v="117"/>
    <x v="0"/>
    <x v="24"/>
    <x v="0"/>
    <x v="0"/>
    <x v="58"/>
    <x v="0"/>
    <x v="0"/>
    <x v="127"/>
    <x v="193"/>
    <x v="38"/>
    <x v="1"/>
    <x v="101"/>
    <x v="95"/>
    <x v="123"/>
    <x v="28"/>
    <x v="97"/>
    <x v="0"/>
    <x v="59"/>
    <x v="57"/>
    <x v="101"/>
    <x v="4"/>
    <x v="121"/>
    <x v="172"/>
    <x v="268"/>
    <x v="49"/>
    <x v="99"/>
    <x v="0"/>
    <x v="0"/>
    <x v="0"/>
    <x v="0"/>
    <x v="0"/>
    <x v="0"/>
    <x v="0"/>
    <x v="0"/>
    <x v="0"/>
    <x v="0"/>
    <x v="0"/>
    <x v="0"/>
    <x v="0"/>
    <x v="0"/>
    <x v="0"/>
    <x v="0"/>
    <x v="0"/>
    <x v="0"/>
    <x v="0"/>
    <x v="0"/>
    <x v="0"/>
    <x v="0"/>
    <x v="0"/>
    <x v="0"/>
    <x v="0"/>
    <x v="0"/>
    <x v="0"/>
    <x v="0"/>
    <x v="0"/>
    <x v="0"/>
  </r>
  <r>
    <x v="10"/>
    <x v="1"/>
    <x v="7"/>
    <x v="16"/>
    <x v="7"/>
    <x v="8"/>
    <x v="37"/>
    <x v="223"/>
    <x v="3"/>
    <x v="23"/>
    <x v="69"/>
    <x v="59"/>
    <x v="243"/>
    <x v="152"/>
    <x v="0"/>
    <x v="0"/>
    <x v="0"/>
    <x v="0"/>
    <x v="0"/>
    <x v="0"/>
    <x v="0"/>
    <x v="167"/>
    <x v="145"/>
    <x v="8"/>
    <x v="0"/>
    <x v="0"/>
    <x v="160"/>
    <x v="0"/>
    <x v="0"/>
    <x v="233"/>
    <x v="0"/>
    <x v="59"/>
    <x v="57"/>
    <x v="140"/>
    <x v="2"/>
    <x v="92"/>
    <x v="77"/>
    <x v="171"/>
    <x v="198"/>
    <x v="99"/>
    <x v="0"/>
    <x v="0"/>
    <x v="0"/>
    <x v="0"/>
    <x v="0"/>
    <x v="0"/>
    <x v="0"/>
    <x v="0"/>
    <x v="0"/>
    <x v="0"/>
    <x v="0"/>
    <x v="0"/>
    <x v="0"/>
    <x v="0"/>
    <x v="0"/>
    <x v="0"/>
    <x v="0"/>
    <x v="0"/>
    <x v="0"/>
    <x v="0"/>
    <x v="0"/>
    <x v="0"/>
    <x v="0"/>
    <x v="0"/>
    <x v="0"/>
    <x v="0"/>
    <x v="0"/>
    <x v="0"/>
    <x v="0"/>
    <x v="0"/>
  </r>
  <r>
    <x v="10"/>
    <x v="2"/>
    <x v="5"/>
    <x v="10"/>
    <x v="3"/>
    <x v="1"/>
    <x v="35"/>
    <x v="239"/>
    <x v="1"/>
    <x v="23"/>
    <x v="61"/>
    <x v="46"/>
    <x v="152"/>
    <x v="100"/>
    <x v="19"/>
    <x v="3"/>
    <x v="0"/>
    <x v="0"/>
    <x v="35"/>
    <x v="2"/>
    <x v="0"/>
    <x v="115"/>
    <x v="84"/>
    <x v="38"/>
    <x v="1"/>
    <x v="61"/>
    <x v="79"/>
    <x v="87"/>
    <x v="3"/>
    <x v="139"/>
    <x v="15"/>
    <x v="47"/>
    <x v="33"/>
    <x v="74"/>
    <x v="4"/>
    <x v="123"/>
    <x v="161"/>
    <x v="114"/>
    <x v="199"/>
    <x v="99"/>
    <x v="0"/>
    <x v="0"/>
    <x v="0"/>
    <x v="0"/>
    <x v="0"/>
    <x v="0"/>
    <x v="0"/>
    <x v="0"/>
    <x v="0"/>
    <x v="0"/>
    <x v="0"/>
    <x v="0"/>
    <x v="6"/>
    <x v="0"/>
    <x v="0"/>
    <x v="0"/>
    <x v="0"/>
    <x v="0"/>
    <x v="0"/>
    <x v="0"/>
    <x v="0"/>
    <x v="0"/>
    <x v="0"/>
    <x v="0"/>
    <x v="0"/>
    <x v="0"/>
    <x v="0"/>
    <x v="0"/>
    <x v="15"/>
    <x v="15"/>
  </r>
  <r>
    <x v="10"/>
    <x v="2"/>
    <x v="6"/>
    <x v="13"/>
    <x v="7"/>
    <x v="9"/>
    <x v="36"/>
    <x v="234"/>
    <x v="1"/>
    <x v="23"/>
    <x v="78"/>
    <x v="78"/>
    <x v="263"/>
    <x v="173"/>
    <x v="0"/>
    <x v="0"/>
    <x v="0"/>
    <x v="0"/>
    <x v="0"/>
    <x v="0"/>
    <x v="0"/>
    <x v="192"/>
    <x v="125"/>
    <x v="5"/>
    <x v="0"/>
    <x v="0"/>
    <x v="160"/>
    <x v="0"/>
    <x v="0"/>
    <x v="233"/>
    <x v="7"/>
    <x v="54"/>
    <x v="49"/>
    <x v="175"/>
    <x v="0"/>
    <x v="14"/>
    <x v="141"/>
    <x v="166"/>
    <x v="201"/>
    <x v="99"/>
    <x v="4"/>
    <x v="0"/>
    <x v="0"/>
    <x v="0"/>
    <x v="0"/>
    <x v="0"/>
    <x v="0"/>
    <x v="0"/>
    <x v="0"/>
    <x v="0"/>
    <x v="0"/>
    <x v="0"/>
    <x v="0"/>
    <x v="0"/>
    <x v="0"/>
    <x v="0"/>
    <x v="0"/>
    <x v="0"/>
    <x v="0"/>
    <x v="0"/>
    <x v="0"/>
    <x v="0"/>
    <x v="0"/>
    <x v="0"/>
    <x v="0"/>
    <x v="0"/>
    <x v="0"/>
    <x v="0"/>
    <x v="7"/>
    <x v="7"/>
  </r>
  <r>
    <x v="10"/>
    <x v="2"/>
    <x v="0"/>
    <x v="2"/>
    <x v="3"/>
    <x v="1"/>
    <x v="14"/>
    <x v="73"/>
    <x v="1"/>
    <x v="23"/>
    <x v="39"/>
    <x v="10"/>
    <x v="80"/>
    <x v="62"/>
    <x v="0"/>
    <x v="20"/>
    <x v="0"/>
    <x v="0"/>
    <x v="62"/>
    <x v="2"/>
    <x v="0"/>
    <x v="76"/>
    <x v="189"/>
    <x v="33"/>
    <x v="10"/>
    <x v="154"/>
    <x v="55"/>
    <x v="188"/>
    <x v="50"/>
    <x v="28"/>
    <x v="7"/>
    <x v="54"/>
    <x v="49"/>
    <x v="28"/>
    <x v="6"/>
    <x v="185"/>
    <x v="166"/>
    <x v="175"/>
    <x v="200"/>
    <x v="99"/>
    <x v="0"/>
    <x v="0"/>
    <x v="0"/>
    <x v="0"/>
    <x v="0"/>
    <x v="0"/>
    <x v="0"/>
    <x v="0"/>
    <x v="0"/>
    <x v="0"/>
    <x v="0"/>
    <x v="0"/>
    <x v="3"/>
    <x v="0"/>
    <x v="0"/>
    <x v="0"/>
    <x v="0"/>
    <x v="0"/>
    <x v="0"/>
    <x v="0"/>
    <x v="0"/>
    <x v="0"/>
    <x v="0"/>
    <x v="0"/>
    <x v="0"/>
    <x v="0"/>
    <x v="0"/>
    <x v="0"/>
    <x v="7"/>
    <x v="7"/>
  </r>
  <r>
    <x v="10"/>
    <x v="2"/>
    <x v="2"/>
    <x v="53"/>
    <x v="7"/>
    <x v="3"/>
    <x v="2"/>
    <x v="75"/>
    <x v="1"/>
    <x v="23"/>
    <x v="56"/>
    <x v="30"/>
    <x v="131"/>
    <x v="91"/>
    <x v="22"/>
    <x v="0"/>
    <x v="0"/>
    <x v="0"/>
    <x v="5"/>
    <x v="2"/>
    <x v="0"/>
    <x v="107"/>
    <x v="104"/>
    <x v="36"/>
    <x v="2"/>
    <x v="53"/>
    <x v="89"/>
    <x v="29"/>
    <x v="0"/>
    <x v="201"/>
    <x v="13"/>
    <x v="49"/>
    <x v="35"/>
    <x v="58"/>
    <x v="5"/>
    <x v="144"/>
    <x v="162"/>
    <x v="133"/>
    <x v="93"/>
    <x v="72"/>
    <x v="0"/>
    <x v="6"/>
    <x v="0"/>
    <x v="0"/>
    <x v="0"/>
    <x v="0"/>
    <x v="0"/>
    <x v="0"/>
    <x v="0"/>
    <x v="0"/>
    <x v="0"/>
    <x v="0"/>
    <x v="2"/>
    <x v="0"/>
    <x v="0"/>
    <x v="0"/>
    <x v="0"/>
    <x v="0"/>
    <x v="0"/>
    <x v="0"/>
    <x v="0"/>
    <x v="0"/>
    <x v="0"/>
    <x v="0"/>
    <x v="0"/>
    <x v="0"/>
    <x v="0"/>
    <x v="0"/>
    <x v="13"/>
    <x v="13"/>
  </r>
  <r>
    <x v="11"/>
    <x v="0"/>
    <x v="5"/>
    <x v="10"/>
    <x v="6"/>
    <x v="5"/>
    <x v="35"/>
    <x v="241"/>
    <x v="0"/>
    <x v="19"/>
    <x v="52"/>
    <x v="45"/>
    <x v="137"/>
    <x v="91"/>
    <x v="30"/>
    <x v="45"/>
    <x v="0"/>
    <x v="0"/>
    <x v="53"/>
    <x v="2"/>
    <x v="0"/>
    <x v="107"/>
    <x v="178"/>
    <x v="38"/>
    <x v="1"/>
    <x v="47"/>
    <x v="24"/>
    <x v="147"/>
    <x v="79"/>
    <x v="76"/>
    <x v="0"/>
    <x v="42"/>
    <x v="57"/>
    <x v="99"/>
    <x v="4"/>
    <x v="126"/>
    <x v="152"/>
    <x v="246"/>
    <x v="203"/>
    <x v="99"/>
    <x v="0"/>
    <x v="0"/>
    <x v="0"/>
    <x v="0"/>
    <x v="0"/>
    <x v="0"/>
    <x v="0"/>
    <x v="0"/>
    <x v="0"/>
    <x v="0"/>
    <x v="0"/>
    <x v="0"/>
    <x v="0"/>
    <x v="0"/>
    <x v="0"/>
    <x v="0"/>
    <x v="0"/>
    <x v="0"/>
    <x v="0"/>
    <x v="0"/>
    <x v="0"/>
    <x v="0"/>
    <x v="0"/>
    <x v="0"/>
    <x v="0"/>
    <x v="0"/>
    <x v="0"/>
    <x v="0"/>
    <x v="0"/>
    <x v="0"/>
  </r>
  <r>
    <x v="11"/>
    <x v="0"/>
    <x v="6"/>
    <x v="13"/>
    <x v="7"/>
    <x v="9"/>
    <x v="36"/>
    <x v="242"/>
    <x v="0"/>
    <x v="10"/>
    <x v="55"/>
    <x v="76"/>
    <x v="128"/>
    <x v="91"/>
    <x v="0"/>
    <x v="0"/>
    <x v="0"/>
    <x v="0"/>
    <x v="0"/>
    <x v="0"/>
    <x v="0"/>
    <x v="107"/>
    <x v="125"/>
    <x v="5"/>
    <x v="0"/>
    <x v="0"/>
    <x v="160"/>
    <x v="0"/>
    <x v="0"/>
    <x v="233"/>
    <x v="0"/>
    <x v="21"/>
    <x v="57"/>
    <x v="171"/>
    <x v="0"/>
    <x v="27"/>
    <x v="58"/>
    <x v="150"/>
    <x v="52"/>
    <x v="99"/>
    <x v="0"/>
    <x v="0"/>
    <x v="0"/>
    <x v="0"/>
    <x v="0"/>
    <x v="0"/>
    <x v="0"/>
    <x v="0"/>
    <x v="0"/>
    <x v="0"/>
    <x v="0"/>
    <x v="0"/>
    <x v="0"/>
    <x v="0"/>
    <x v="0"/>
    <x v="0"/>
    <x v="0"/>
    <x v="0"/>
    <x v="0"/>
    <x v="0"/>
    <x v="0"/>
    <x v="0"/>
    <x v="0"/>
    <x v="0"/>
    <x v="0"/>
    <x v="0"/>
    <x v="0"/>
    <x v="0"/>
    <x v="0"/>
    <x v="0"/>
  </r>
  <r>
    <x v="11"/>
    <x v="0"/>
    <x v="7"/>
    <x v="16"/>
    <x v="7"/>
    <x v="8"/>
    <x v="37"/>
    <x v="224"/>
    <x v="0"/>
    <x v="23"/>
    <x v="68"/>
    <x v="58"/>
    <x v="128"/>
    <x v="91"/>
    <x v="0"/>
    <x v="0"/>
    <x v="0"/>
    <x v="0"/>
    <x v="0"/>
    <x v="0"/>
    <x v="0"/>
    <x v="107"/>
    <x v="13"/>
    <x v="8"/>
    <x v="0"/>
    <x v="0"/>
    <x v="160"/>
    <x v="0"/>
    <x v="0"/>
    <x v="233"/>
    <x v="29"/>
    <x v="29"/>
    <x v="9"/>
    <x v="58"/>
    <x v="2"/>
    <x v="49"/>
    <x v="164"/>
    <x v="21"/>
    <x v="202"/>
    <x v="99"/>
    <x v="4"/>
    <x v="0"/>
    <x v="0"/>
    <x v="0"/>
    <x v="0"/>
    <x v="0"/>
    <x v="5"/>
    <x v="0"/>
    <x v="0"/>
    <x v="0"/>
    <x v="0"/>
    <x v="0"/>
    <x v="0"/>
    <x v="0"/>
    <x v="0"/>
    <x v="0"/>
    <x v="0"/>
    <x v="0"/>
    <x v="0"/>
    <x v="0"/>
    <x v="0"/>
    <x v="3"/>
    <x v="0"/>
    <x v="0"/>
    <x v="0"/>
    <x v="0"/>
    <x v="0"/>
    <x v="0"/>
    <x v="29"/>
    <x v="29"/>
  </r>
  <r>
    <x v="11"/>
    <x v="0"/>
    <x v="0"/>
    <x v="2"/>
    <x v="3"/>
    <x v="1"/>
    <x v="14"/>
    <x v="78"/>
    <x v="0"/>
    <x v="23"/>
    <x v="39"/>
    <x v="10"/>
    <x v="24"/>
    <x v="22"/>
    <x v="4"/>
    <x v="6"/>
    <x v="0"/>
    <x v="0"/>
    <x v="28"/>
    <x v="2"/>
    <x v="0"/>
    <x v="42"/>
    <x v="7"/>
    <x v="33"/>
    <x v="10"/>
    <x v="93"/>
    <x v="33"/>
    <x v="201"/>
    <x v="68"/>
    <x v="15"/>
    <x v="33"/>
    <x v="19"/>
    <x v="3"/>
    <x v="5"/>
    <x v="6"/>
    <x v="191"/>
    <x v="137"/>
    <x v="6"/>
    <x v="51"/>
    <x v="99"/>
    <x v="0"/>
    <x v="0"/>
    <x v="6"/>
    <x v="0"/>
    <x v="0"/>
    <x v="0"/>
    <x v="0"/>
    <x v="0"/>
    <x v="0"/>
    <x v="0"/>
    <x v="0"/>
    <x v="0"/>
    <x v="8"/>
    <x v="0"/>
    <x v="0"/>
    <x v="0"/>
    <x v="0"/>
    <x v="0"/>
    <x v="0"/>
    <x v="0"/>
    <x v="0"/>
    <x v="0"/>
    <x v="0"/>
    <x v="0"/>
    <x v="0"/>
    <x v="0"/>
    <x v="0"/>
    <x v="0"/>
    <x v="33"/>
    <x v="33"/>
  </r>
  <r>
    <x v="11"/>
    <x v="0"/>
    <x v="2"/>
    <x v="53"/>
    <x v="7"/>
    <x v="3"/>
    <x v="2"/>
    <x v="81"/>
    <x v="0"/>
    <x v="23"/>
    <x v="56"/>
    <x v="30"/>
    <x v="130"/>
    <x v="91"/>
    <x v="0"/>
    <x v="1"/>
    <x v="0"/>
    <x v="0"/>
    <x v="1"/>
    <x v="2"/>
    <x v="0"/>
    <x v="107"/>
    <x v="104"/>
    <x v="36"/>
    <x v="2"/>
    <x v="45"/>
    <x v="146"/>
    <x v="7"/>
    <x v="1"/>
    <x v="226"/>
    <x v="11"/>
    <x v="51"/>
    <x v="40"/>
    <x v="58"/>
    <x v="5"/>
    <x v="150"/>
    <x v="136"/>
    <x v="136"/>
    <x v="93"/>
    <x v="99"/>
    <x v="0"/>
    <x v="0"/>
    <x v="0"/>
    <x v="0"/>
    <x v="0"/>
    <x v="0"/>
    <x v="0"/>
    <x v="0"/>
    <x v="0"/>
    <x v="0"/>
    <x v="0"/>
    <x v="0"/>
    <x v="5"/>
    <x v="0"/>
    <x v="0"/>
    <x v="0"/>
    <x v="0"/>
    <x v="0"/>
    <x v="0"/>
    <x v="0"/>
    <x v="0"/>
    <x v="0"/>
    <x v="0"/>
    <x v="0"/>
    <x v="0"/>
    <x v="0"/>
    <x v="0"/>
    <x v="0"/>
    <x v="11"/>
    <x v="11"/>
  </r>
  <r>
    <x v="11"/>
    <x v="3"/>
    <x v="1"/>
    <x v="7"/>
    <x v="7"/>
    <x v="10"/>
    <x v="15"/>
    <x v="65"/>
    <x v="2"/>
    <x v="24"/>
    <x v="64"/>
    <x v="45"/>
    <x v="185"/>
    <x v="111"/>
    <x v="0"/>
    <x v="0"/>
    <x v="21"/>
    <x v="0"/>
    <x v="17"/>
    <x v="0"/>
    <x v="3"/>
    <x v="34"/>
    <x v="133"/>
    <x v="2"/>
    <x v="0"/>
    <x v="0"/>
    <x v="160"/>
    <x v="54"/>
    <x v="0"/>
    <x v="172"/>
    <x v="9"/>
    <x v="57"/>
    <x v="45"/>
    <x v="87"/>
    <x v="7"/>
    <x v="221"/>
    <x v="178"/>
    <x v="202"/>
    <x v="302"/>
    <x v="99"/>
    <x v="5"/>
    <x v="0"/>
    <x v="0"/>
    <x v="0"/>
    <x v="0"/>
    <x v="0"/>
    <x v="0"/>
    <x v="0"/>
    <x v="0"/>
    <x v="0"/>
    <x v="0"/>
    <x v="0"/>
    <x v="0"/>
    <x v="0"/>
    <x v="0"/>
    <x v="0"/>
    <x v="0"/>
    <x v="0"/>
    <x v="0"/>
    <x v="0"/>
    <x v="0"/>
    <x v="0"/>
    <x v="0"/>
    <x v="0"/>
    <x v="0"/>
    <x v="0"/>
    <x v="0"/>
    <x v="0"/>
    <x v="9"/>
    <x v="9"/>
  </r>
  <r>
    <x v="11"/>
    <x v="3"/>
    <x v="9"/>
    <x v="20"/>
    <x v="7"/>
    <x v="11"/>
    <x v="34"/>
    <x v="143"/>
    <x v="4"/>
    <x v="24"/>
    <x v="86"/>
    <x v="99"/>
    <x v="267"/>
    <x v="178"/>
    <x v="0"/>
    <x v="0"/>
    <x v="0"/>
    <x v="0"/>
    <x v="43"/>
    <x v="0"/>
    <x v="1"/>
    <x v="133"/>
    <x v="28"/>
    <x v="12"/>
    <x v="0"/>
    <x v="0"/>
    <x v="160"/>
    <x v="56"/>
    <x v="0"/>
    <x v="170"/>
    <x v="21"/>
    <x v="45"/>
    <x v="23"/>
    <x v="173"/>
    <x v="1"/>
    <x v="93"/>
    <x v="3"/>
    <x v="18"/>
    <x v="205"/>
    <x v="67"/>
    <x v="5"/>
    <x v="0"/>
    <x v="0"/>
    <x v="0"/>
    <x v="0"/>
    <x v="0"/>
    <x v="0"/>
    <x v="4"/>
    <x v="0"/>
    <x v="0"/>
    <x v="0"/>
    <x v="0"/>
    <x v="0"/>
    <x v="0"/>
    <x v="0"/>
    <x v="0"/>
    <x v="0"/>
    <x v="0"/>
    <x v="0"/>
    <x v="0"/>
    <x v="0"/>
    <x v="2"/>
    <x v="0"/>
    <x v="0"/>
    <x v="0"/>
    <x v="0"/>
    <x v="0"/>
    <x v="0"/>
    <x v="21"/>
    <x v="21"/>
  </r>
  <r>
    <x v="11"/>
    <x v="3"/>
    <x v="8"/>
    <x v="41"/>
    <x v="7"/>
    <x v="12"/>
    <x v="38"/>
    <x v="218"/>
    <x v="4"/>
    <x v="24"/>
    <x v="84"/>
    <x v="89"/>
    <x v="269"/>
    <x v="179"/>
    <x v="0"/>
    <x v="0"/>
    <x v="0"/>
    <x v="0"/>
    <x v="68"/>
    <x v="0"/>
    <x v="0"/>
    <x v="195"/>
    <x v="53"/>
    <x v="21"/>
    <x v="0"/>
    <x v="0"/>
    <x v="160"/>
    <x v="73"/>
    <x v="0"/>
    <x v="152"/>
    <x v="9"/>
    <x v="57"/>
    <x v="45"/>
    <x v="177"/>
    <x v="3"/>
    <x v="11"/>
    <x v="235"/>
    <x v="315"/>
    <x v="204"/>
    <x v="99"/>
    <x v="5"/>
    <x v="0"/>
    <x v="0"/>
    <x v="0"/>
    <x v="0"/>
    <x v="0"/>
    <x v="0"/>
    <x v="0"/>
    <x v="0"/>
    <x v="0"/>
    <x v="0"/>
    <x v="0"/>
    <x v="0"/>
    <x v="0"/>
    <x v="0"/>
    <x v="0"/>
    <x v="0"/>
    <x v="0"/>
    <x v="0"/>
    <x v="0"/>
    <x v="0"/>
    <x v="0"/>
    <x v="0"/>
    <x v="0"/>
    <x v="0"/>
    <x v="0"/>
    <x v="0"/>
    <x v="0"/>
    <x v="9"/>
    <x v="9"/>
  </r>
  <r>
    <x v="11"/>
    <x v="1"/>
    <x v="6"/>
    <x v="13"/>
    <x v="7"/>
    <x v="9"/>
    <x v="36"/>
    <x v="244"/>
    <x v="3"/>
    <x v="6"/>
    <x v="29"/>
    <x v="76"/>
    <x v="50"/>
    <x v="46"/>
    <x v="0"/>
    <x v="0"/>
    <x v="0"/>
    <x v="0"/>
    <x v="0"/>
    <x v="0"/>
    <x v="0"/>
    <x v="59"/>
    <x v="125"/>
    <x v="5"/>
    <x v="0"/>
    <x v="0"/>
    <x v="160"/>
    <x v="0"/>
    <x v="0"/>
    <x v="233"/>
    <x v="0"/>
    <x v="10"/>
    <x v="57"/>
    <x v="171"/>
    <x v="0"/>
    <x v="27"/>
    <x v="58"/>
    <x v="150"/>
    <x v="53"/>
    <x v="99"/>
    <x v="0"/>
    <x v="0"/>
    <x v="0"/>
    <x v="0"/>
    <x v="0"/>
    <x v="0"/>
    <x v="0"/>
    <x v="0"/>
    <x v="0"/>
    <x v="0"/>
    <x v="0"/>
    <x v="0"/>
    <x v="0"/>
    <x v="0"/>
    <x v="0"/>
    <x v="0"/>
    <x v="0"/>
    <x v="0"/>
    <x v="0"/>
    <x v="0"/>
    <x v="0"/>
    <x v="0"/>
    <x v="0"/>
    <x v="0"/>
    <x v="0"/>
    <x v="0"/>
    <x v="0"/>
    <x v="0"/>
    <x v="0"/>
    <x v="0"/>
  </r>
  <r>
    <x v="11"/>
    <x v="1"/>
    <x v="5"/>
    <x v="10"/>
    <x v="6"/>
    <x v="5"/>
    <x v="35"/>
    <x v="243"/>
    <x v="3"/>
    <x v="23"/>
    <x v="61"/>
    <x v="46"/>
    <x v="197"/>
    <x v="115"/>
    <x v="0"/>
    <x v="25"/>
    <x v="0"/>
    <x v="0"/>
    <x v="62"/>
    <x v="0"/>
    <x v="0"/>
    <x v="125"/>
    <x v="176"/>
    <x v="38"/>
    <x v="1"/>
    <x v="96"/>
    <x v="91"/>
    <x v="134"/>
    <x v="33"/>
    <x v="86"/>
    <x v="0"/>
    <x v="59"/>
    <x v="57"/>
    <x v="98"/>
    <x v="4"/>
    <x v="128"/>
    <x v="144"/>
    <x v="237"/>
    <x v="206"/>
    <x v="99"/>
    <x v="0"/>
    <x v="0"/>
    <x v="0"/>
    <x v="0"/>
    <x v="0"/>
    <x v="0"/>
    <x v="0"/>
    <x v="0"/>
    <x v="0"/>
    <x v="0"/>
    <x v="0"/>
    <x v="0"/>
    <x v="0"/>
    <x v="0"/>
    <x v="0"/>
    <x v="0"/>
    <x v="0"/>
    <x v="0"/>
    <x v="0"/>
    <x v="0"/>
    <x v="0"/>
    <x v="0"/>
    <x v="0"/>
    <x v="0"/>
    <x v="0"/>
    <x v="0"/>
    <x v="0"/>
    <x v="0"/>
    <x v="0"/>
    <x v="0"/>
  </r>
  <r>
    <x v="11"/>
    <x v="1"/>
    <x v="0"/>
    <x v="2"/>
    <x v="3"/>
    <x v="1"/>
    <x v="14"/>
    <x v="79"/>
    <x v="3"/>
    <x v="23"/>
    <x v="39"/>
    <x v="10"/>
    <x v="86"/>
    <x v="68"/>
    <x v="2"/>
    <x v="0"/>
    <x v="0"/>
    <x v="0"/>
    <x v="41"/>
    <x v="0"/>
    <x v="0"/>
    <x v="83"/>
    <x v="207"/>
    <x v="33"/>
    <x v="10"/>
    <x v="158"/>
    <x v="110"/>
    <x v="145"/>
    <x v="0"/>
    <x v="73"/>
    <x v="0"/>
    <x v="59"/>
    <x v="57"/>
    <x v="36"/>
    <x v="6"/>
    <x v="188"/>
    <x v="156"/>
    <x v="257"/>
    <x v="54"/>
    <x v="99"/>
    <x v="0"/>
    <x v="0"/>
    <x v="0"/>
    <x v="0"/>
    <x v="0"/>
    <x v="0"/>
    <x v="0"/>
    <x v="0"/>
    <x v="0"/>
    <x v="0"/>
    <x v="0"/>
    <x v="0"/>
    <x v="0"/>
    <x v="0"/>
    <x v="0"/>
    <x v="0"/>
    <x v="0"/>
    <x v="0"/>
    <x v="0"/>
    <x v="0"/>
    <x v="0"/>
    <x v="0"/>
    <x v="0"/>
    <x v="0"/>
    <x v="0"/>
    <x v="0"/>
    <x v="0"/>
    <x v="0"/>
    <x v="0"/>
    <x v="0"/>
  </r>
  <r>
    <x v="11"/>
    <x v="1"/>
    <x v="7"/>
    <x v="16"/>
    <x v="7"/>
    <x v="8"/>
    <x v="37"/>
    <x v="229"/>
    <x v="3"/>
    <x v="23"/>
    <x v="69"/>
    <x v="59"/>
    <x v="243"/>
    <x v="152"/>
    <x v="0"/>
    <x v="0"/>
    <x v="0"/>
    <x v="0"/>
    <x v="0"/>
    <x v="0"/>
    <x v="0"/>
    <x v="167"/>
    <x v="145"/>
    <x v="8"/>
    <x v="0"/>
    <x v="0"/>
    <x v="160"/>
    <x v="0"/>
    <x v="0"/>
    <x v="233"/>
    <x v="7"/>
    <x v="54"/>
    <x v="49"/>
    <x v="140"/>
    <x v="2"/>
    <x v="57"/>
    <x v="147"/>
    <x v="171"/>
    <x v="207"/>
    <x v="99"/>
    <x v="4"/>
    <x v="0"/>
    <x v="0"/>
    <x v="0"/>
    <x v="0"/>
    <x v="0"/>
    <x v="0"/>
    <x v="0"/>
    <x v="0"/>
    <x v="0"/>
    <x v="0"/>
    <x v="0"/>
    <x v="0"/>
    <x v="0"/>
    <x v="0"/>
    <x v="0"/>
    <x v="0"/>
    <x v="0"/>
    <x v="0"/>
    <x v="0"/>
    <x v="0"/>
    <x v="0"/>
    <x v="0"/>
    <x v="0"/>
    <x v="0"/>
    <x v="0"/>
    <x v="0"/>
    <x v="0"/>
    <x v="7"/>
    <x v="7"/>
  </r>
  <r>
    <x v="11"/>
    <x v="1"/>
    <x v="4"/>
    <x v="39"/>
    <x v="7"/>
    <x v="7"/>
    <x v="39"/>
    <x v="220"/>
    <x v="3"/>
    <x v="23"/>
    <x v="69"/>
    <x v="59"/>
    <x v="217"/>
    <x v="123"/>
    <x v="0"/>
    <x v="0"/>
    <x v="0"/>
    <x v="0"/>
    <x v="0"/>
    <x v="0"/>
    <x v="0"/>
    <x v="135"/>
    <x v="51"/>
    <x v="11"/>
    <x v="0"/>
    <x v="0"/>
    <x v="160"/>
    <x v="0"/>
    <x v="0"/>
    <x v="233"/>
    <x v="17"/>
    <x v="45"/>
    <x v="28"/>
    <x v="110"/>
    <x v="2"/>
    <x v="78"/>
    <x v="108"/>
    <x v="69"/>
    <x v="208"/>
    <x v="34"/>
    <x v="4"/>
    <x v="0"/>
    <x v="0"/>
    <x v="0"/>
    <x v="0"/>
    <x v="0"/>
    <x v="7"/>
    <x v="0"/>
    <x v="0"/>
    <x v="0"/>
    <x v="0"/>
    <x v="0"/>
    <x v="0"/>
    <x v="0"/>
    <x v="0"/>
    <x v="0"/>
    <x v="0"/>
    <x v="0"/>
    <x v="0"/>
    <x v="0"/>
    <x v="0"/>
    <x v="0"/>
    <x v="0"/>
    <x v="0"/>
    <x v="0"/>
    <x v="0"/>
    <x v="0"/>
    <x v="0"/>
    <x v="17"/>
    <x v="17"/>
  </r>
  <r>
    <x v="11"/>
    <x v="1"/>
    <x v="2"/>
    <x v="53"/>
    <x v="7"/>
    <x v="3"/>
    <x v="2"/>
    <x v="82"/>
    <x v="3"/>
    <x v="9"/>
    <x v="20"/>
    <x v="28"/>
    <x v="34"/>
    <x v="31"/>
    <x v="0"/>
    <x v="0"/>
    <x v="0"/>
    <x v="0"/>
    <x v="0"/>
    <x v="0"/>
    <x v="0"/>
    <x v="49"/>
    <x v="155"/>
    <x v="36"/>
    <x v="2"/>
    <x v="7"/>
    <x v="159"/>
    <x v="0"/>
    <x v="0"/>
    <x v="233"/>
    <x v="0"/>
    <x v="17"/>
    <x v="57"/>
    <x v="69"/>
    <x v="5"/>
    <x v="165"/>
    <x v="87"/>
    <x v="187"/>
    <x v="93"/>
    <x v="99"/>
    <x v="0"/>
    <x v="0"/>
    <x v="0"/>
    <x v="0"/>
    <x v="0"/>
    <x v="0"/>
    <x v="0"/>
    <x v="0"/>
    <x v="0"/>
    <x v="0"/>
    <x v="0"/>
    <x v="0"/>
    <x v="0"/>
    <x v="0"/>
    <x v="0"/>
    <x v="0"/>
    <x v="0"/>
    <x v="0"/>
    <x v="0"/>
    <x v="0"/>
    <x v="0"/>
    <x v="0"/>
    <x v="0"/>
    <x v="0"/>
    <x v="0"/>
    <x v="0"/>
    <x v="0"/>
    <x v="0"/>
    <x v="0"/>
    <x v="0"/>
  </r>
  <r>
    <x v="11"/>
    <x v="1"/>
    <x v="2"/>
    <x v="53"/>
    <x v="7"/>
    <x v="3"/>
    <x v="2"/>
    <x v="84"/>
    <x v="3"/>
    <x v="18"/>
    <x v="44"/>
    <x v="31"/>
    <x v="76"/>
    <x v="65"/>
    <x v="0"/>
    <x v="0"/>
    <x v="0"/>
    <x v="0"/>
    <x v="7"/>
    <x v="0"/>
    <x v="0"/>
    <x v="79"/>
    <x v="160"/>
    <x v="36"/>
    <x v="2"/>
    <x v="23"/>
    <x v="148"/>
    <x v="42"/>
    <x v="0"/>
    <x v="186"/>
    <x v="0"/>
    <x v="39"/>
    <x v="57"/>
    <x v="71"/>
    <x v="5"/>
    <x v="162"/>
    <x v="99"/>
    <x v="200"/>
    <x v="94"/>
    <x v="99"/>
    <x v="0"/>
    <x v="0"/>
    <x v="0"/>
    <x v="0"/>
    <x v="0"/>
    <x v="0"/>
    <x v="0"/>
    <x v="0"/>
    <x v="0"/>
    <x v="0"/>
    <x v="0"/>
    <x v="0"/>
    <x v="0"/>
    <x v="0"/>
    <x v="0"/>
    <x v="0"/>
    <x v="0"/>
    <x v="0"/>
    <x v="0"/>
    <x v="0"/>
    <x v="0"/>
    <x v="0"/>
    <x v="0"/>
    <x v="0"/>
    <x v="0"/>
    <x v="0"/>
    <x v="0"/>
    <x v="0"/>
    <x v="0"/>
    <x v="0"/>
  </r>
  <r>
    <x v="11"/>
    <x v="2"/>
    <x v="2"/>
    <x v="53"/>
    <x v="7"/>
    <x v="3"/>
    <x v="2"/>
    <x v="85"/>
    <x v="1"/>
    <x v="10"/>
    <x v="24"/>
    <x v="26"/>
    <x v="39"/>
    <x v="37"/>
    <x v="8"/>
    <x v="0"/>
    <x v="0"/>
    <x v="0"/>
    <x v="0"/>
    <x v="2"/>
    <x v="0"/>
    <x v="54"/>
    <x v="134"/>
    <x v="36"/>
    <x v="2"/>
    <x v="11"/>
    <x v="93"/>
    <x v="0"/>
    <x v="0"/>
    <x v="233"/>
    <x v="5"/>
    <x v="17"/>
    <x v="33"/>
    <x v="63"/>
    <x v="5"/>
    <x v="133"/>
    <x v="197"/>
    <x v="162"/>
    <x v="94"/>
    <x v="46"/>
    <x v="0"/>
    <x v="4"/>
    <x v="0"/>
    <x v="0"/>
    <x v="0"/>
    <x v="0"/>
    <x v="0"/>
    <x v="0"/>
    <x v="0"/>
    <x v="0"/>
    <x v="0"/>
    <x v="0"/>
    <x v="0"/>
    <x v="0"/>
    <x v="0"/>
    <x v="0"/>
    <x v="0"/>
    <x v="0"/>
    <x v="0"/>
    <x v="0"/>
    <x v="0"/>
    <x v="0"/>
    <x v="0"/>
    <x v="0"/>
    <x v="0"/>
    <x v="0"/>
    <x v="0"/>
    <x v="0"/>
    <x v="5"/>
    <x v="5"/>
  </r>
  <r>
    <x v="11"/>
    <x v="2"/>
    <x v="2"/>
    <x v="54"/>
    <x v="7"/>
    <x v="3"/>
    <x v="5"/>
    <x v="83"/>
    <x v="1"/>
    <x v="16"/>
    <x v="41"/>
    <x v="35"/>
    <x v="77"/>
    <x v="65"/>
    <x v="0"/>
    <x v="0"/>
    <x v="0"/>
    <x v="0"/>
    <x v="3"/>
    <x v="2"/>
    <x v="0"/>
    <x v="79"/>
    <x v="195"/>
    <x v="34"/>
    <x v="2"/>
    <x v="24"/>
    <x v="139"/>
    <x v="26"/>
    <x v="0"/>
    <x v="205"/>
    <x v="0"/>
    <x v="36"/>
    <x v="57"/>
    <x v="85"/>
    <x v="5"/>
    <x v="141"/>
    <x v="169"/>
    <x v="272"/>
    <x v="95"/>
    <x v="99"/>
    <x v="0"/>
    <x v="0"/>
    <x v="0"/>
    <x v="0"/>
    <x v="0"/>
    <x v="0"/>
    <x v="0"/>
    <x v="0"/>
    <x v="0"/>
    <x v="0"/>
    <x v="0"/>
    <x v="0"/>
    <x v="0"/>
    <x v="0"/>
    <x v="0"/>
    <x v="0"/>
    <x v="0"/>
    <x v="0"/>
    <x v="0"/>
    <x v="0"/>
    <x v="0"/>
    <x v="0"/>
    <x v="0"/>
    <x v="0"/>
    <x v="0"/>
    <x v="0"/>
    <x v="0"/>
    <x v="0"/>
    <x v="0"/>
    <x v="0"/>
  </r>
  <r>
    <x v="11"/>
    <x v="2"/>
    <x v="5"/>
    <x v="10"/>
    <x v="6"/>
    <x v="5"/>
    <x v="35"/>
    <x v="248"/>
    <x v="1"/>
    <x v="23"/>
    <x v="61"/>
    <x v="46"/>
    <x v="189"/>
    <x v="112"/>
    <x v="39"/>
    <x v="38"/>
    <x v="0"/>
    <x v="0"/>
    <x v="46"/>
    <x v="2"/>
    <x v="0"/>
    <x v="124"/>
    <x v="169"/>
    <x v="38"/>
    <x v="1"/>
    <x v="0"/>
    <x v="160"/>
    <x v="102"/>
    <x v="47"/>
    <x v="122"/>
    <x v="8"/>
    <x v="53"/>
    <x v="47"/>
    <x v="97"/>
    <x v="4"/>
    <x v="113"/>
    <x v="196"/>
    <x v="225"/>
    <x v="55"/>
    <x v="48"/>
    <x v="0"/>
    <x v="0"/>
    <x v="0"/>
    <x v="0"/>
    <x v="0"/>
    <x v="1"/>
    <x v="0"/>
    <x v="0"/>
    <x v="1"/>
    <x v="0"/>
    <x v="0"/>
    <x v="0"/>
    <x v="0"/>
    <x v="0"/>
    <x v="0"/>
    <x v="0"/>
    <x v="0"/>
    <x v="0"/>
    <x v="0"/>
    <x v="0"/>
    <x v="0"/>
    <x v="0"/>
    <x v="0"/>
    <x v="0"/>
    <x v="0"/>
    <x v="0"/>
    <x v="0"/>
    <x v="0"/>
    <x v="8"/>
    <x v="8"/>
  </r>
  <r>
    <x v="11"/>
    <x v="2"/>
    <x v="0"/>
    <x v="2"/>
    <x v="3"/>
    <x v="1"/>
    <x v="14"/>
    <x v="80"/>
    <x v="1"/>
    <x v="23"/>
    <x v="39"/>
    <x v="10"/>
    <x v="102"/>
    <x v="71"/>
    <x v="0"/>
    <x v="5"/>
    <x v="0"/>
    <x v="0"/>
    <x v="33"/>
    <x v="2"/>
    <x v="0"/>
    <x v="86"/>
    <x v="213"/>
    <x v="33"/>
    <x v="10"/>
    <x v="167"/>
    <x v="96"/>
    <x v="115"/>
    <x v="14"/>
    <x v="106"/>
    <x v="3"/>
    <x v="57"/>
    <x v="56"/>
    <x v="39"/>
    <x v="6"/>
    <x v="178"/>
    <x v="200"/>
    <x v="274"/>
    <x v="209"/>
    <x v="35"/>
    <x v="0"/>
    <x v="0"/>
    <x v="0"/>
    <x v="0"/>
    <x v="0"/>
    <x v="0"/>
    <x v="0"/>
    <x v="0"/>
    <x v="0"/>
    <x v="0"/>
    <x v="1"/>
    <x v="0"/>
    <x v="0"/>
    <x v="0"/>
    <x v="0"/>
    <x v="0"/>
    <x v="0"/>
    <x v="0"/>
    <x v="0"/>
    <x v="0"/>
    <x v="0"/>
    <x v="0"/>
    <x v="0"/>
    <x v="0"/>
    <x v="0"/>
    <x v="0"/>
    <x v="0"/>
    <x v="0"/>
    <x v="3"/>
    <x v="3"/>
  </r>
  <r>
    <x v="12"/>
    <x v="0"/>
    <x v="5"/>
    <x v="10"/>
    <x v="7"/>
    <x v="12"/>
    <x v="35"/>
    <x v="254"/>
    <x v="0"/>
    <x v="23"/>
    <x v="61"/>
    <x v="46"/>
    <x v="183"/>
    <x v="109"/>
    <x v="0"/>
    <x v="45"/>
    <x v="0"/>
    <x v="0"/>
    <x v="35"/>
    <x v="2"/>
    <x v="0"/>
    <x v="122"/>
    <x v="148"/>
    <x v="38"/>
    <x v="1"/>
    <x v="83"/>
    <x v="78"/>
    <x v="82"/>
    <x v="63"/>
    <x v="144"/>
    <x v="0"/>
    <x v="59"/>
    <x v="57"/>
    <x v="94"/>
    <x v="4"/>
    <x v="135"/>
    <x v="102"/>
    <x v="198"/>
    <x v="56"/>
    <x v="59"/>
    <x v="0"/>
    <x v="0"/>
    <x v="0"/>
    <x v="0"/>
    <x v="0"/>
    <x v="0"/>
    <x v="0"/>
    <x v="0"/>
    <x v="0"/>
    <x v="0"/>
    <x v="0"/>
    <x v="0"/>
    <x v="0"/>
    <x v="0"/>
    <x v="0"/>
    <x v="0"/>
    <x v="0"/>
    <x v="0"/>
    <x v="0"/>
    <x v="0"/>
    <x v="0"/>
    <x v="0"/>
    <x v="0"/>
    <x v="0"/>
    <x v="0"/>
    <x v="0"/>
    <x v="0"/>
    <x v="0"/>
    <x v="0"/>
    <x v="0"/>
  </r>
  <r>
    <x v="12"/>
    <x v="0"/>
    <x v="0"/>
    <x v="2"/>
    <x v="3"/>
    <x v="1"/>
    <x v="14"/>
    <x v="86"/>
    <x v="0"/>
    <x v="23"/>
    <x v="39"/>
    <x v="10"/>
    <x v="94"/>
    <x v="68"/>
    <x v="6"/>
    <x v="34"/>
    <x v="0"/>
    <x v="0"/>
    <x v="62"/>
    <x v="2"/>
    <x v="0"/>
    <x v="83"/>
    <x v="207"/>
    <x v="33"/>
    <x v="10"/>
    <x v="163"/>
    <x v="46"/>
    <x v="182"/>
    <x v="65"/>
    <x v="31"/>
    <x v="0"/>
    <x v="59"/>
    <x v="57"/>
    <x v="36"/>
    <x v="6"/>
    <x v="188"/>
    <x v="156"/>
    <x v="244"/>
    <x v="57"/>
    <x v="26"/>
    <x v="0"/>
    <x v="0"/>
    <x v="0"/>
    <x v="0"/>
    <x v="0"/>
    <x v="0"/>
    <x v="0"/>
    <x v="0"/>
    <x v="0"/>
    <x v="0"/>
    <x v="0"/>
    <x v="0"/>
    <x v="0"/>
    <x v="0"/>
    <x v="0"/>
    <x v="0"/>
    <x v="0"/>
    <x v="0"/>
    <x v="0"/>
    <x v="0"/>
    <x v="0"/>
    <x v="0"/>
    <x v="0"/>
    <x v="0"/>
    <x v="0"/>
    <x v="0"/>
    <x v="0"/>
    <x v="0"/>
    <x v="0"/>
    <x v="0"/>
  </r>
  <r>
    <x v="12"/>
    <x v="0"/>
    <x v="7"/>
    <x v="16"/>
    <x v="7"/>
    <x v="12"/>
    <x v="37"/>
    <x v="237"/>
    <x v="0"/>
    <x v="23"/>
    <x v="68"/>
    <x v="58"/>
    <x v="238"/>
    <x v="145"/>
    <x v="0"/>
    <x v="0"/>
    <x v="0"/>
    <x v="0"/>
    <x v="0"/>
    <x v="0"/>
    <x v="0"/>
    <x v="160"/>
    <x v="125"/>
    <x v="8"/>
    <x v="0"/>
    <x v="0"/>
    <x v="160"/>
    <x v="0"/>
    <x v="0"/>
    <x v="233"/>
    <x v="7"/>
    <x v="54"/>
    <x v="49"/>
    <x v="134"/>
    <x v="2"/>
    <x v="75"/>
    <x v="117"/>
    <x v="148"/>
    <x v="210"/>
    <x v="59"/>
    <x v="4"/>
    <x v="0"/>
    <x v="0"/>
    <x v="0"/>
    <x v="0"/>
    <x v="0"/>
    <x v="0"/>
    <x v="0"/>
    <x v="0"/>
    <x v="0"/>
    <x v="0"/>
    <x v="0"/>
    <x v="0"/>
    <x v="0"/>
    <x v="0"/>
    <x v="0"/>
    <x v="0"/>
    <x v="0"/>
    <x v="0"/>
    <x v="0"/>
    <x v="0"/>
    <x v="0"/>
    <x v="0"/>
    <x v="0"/>
    <x v="0"/>
    <x v="0"/>
    <x v="0"/>
    <x v="0"/>
    <x v="7"/>
    <x v="7"/>
  </r>
  <r>
    <x v="12"/>
    <x v="0"/>
    <x v="6"/>
    <x v="13"/>
    <x v="7"/>
    <x v="12"/>
    <x v="36"/>
    <x v="247"/>
    <x v="0"/>
    <x v="7"/>
    <x v="46"/>
    <x v="83"/>
    <x v="100"/>
    <x v="73"/>
    <x v="0"/>
    <x v="0"/>
    <x v="0"/>
    <x v="0"/>
    <x v="0"/>
    <x v="0"/>
    <x v="0"/>
    <x v="88"/>
    <x v="175"/>
    <x v="5"/>
    <x v="0"/>
    <x v="0"/>
    <x v="160"/>
    <x v="0"/>
    <x v="0"/>
    <x v="233"/>
    <x v="0"/>
    <x v="12"/>
    <x v="57"/>
    <x v="191"/>
    <x v="0"/>
    <x v="9"/>
    <x v="199"/>
    <x v="296"/>
    <x v="58"/>
    <x v="58"/>
    <x v="0"/>
    <x v="0"/>
    <x v="0"/>
    <x v="0"/>
    <x v="0"/>
    <x v="0"/>
    <x v="0"/>
    <x v="0"/>
    <x v="0"/>
    <x v="0"/>
    <x v="0"/>
    <x v="0"/>
    <x v="0"/>
    <x v="0"/>
    <x v="0"/>
    <x v="0"/>
    <x v="0"/>
    <x v="0"/>
    <x v="0"/>
    <x v="0"/>
    <x v="0"/>
    <x v="0"/>
    <x v="0"/>
    <x v="0"/>
    <x v="0"/>
    <x v="0"/>
    <x v="0"/>
    <x v="0"/>
    <x v="0"/>
    <x v="0"/>
  </r>
  <r>
    <x v="12"/>
    <x v="0"/>
    <x v="4"/>
    <x v="39"/>
    <x v="7"/>
    <x v="12"/>
    <x v="39"/>
    <x v="221"/>
    <x v="0"/>
    <x v="16"/>
    <x v="58"/>
    <x v="58"/>
    <x v="142"/>
    <x v="97"/>
    <x v="0"/>
    <x v="0"/>
    <x v="0"/>
    <x v="0"/>
    <x v="0"/>
    <x v="0"/>
    <x v="0"/>
    <x v="112"/>
    <x v="111"/>
    <x v="11"/>
    <x v="0"/>
    <x v="0"/>
    <x v="160"/>
    <x v="0"/>
    <x v="0"/>
    <x v="233"/>
    <x v="7"/>
    <x v="32"/>
    <x v="38"/>
    <x v="130"/>
    <x v="2"/>
    <x v="62"/>
    <x v="143"/>
    <x v="138"/>
    <x v="211"/>
    <x v="56"/>
    <x v="3"/>
    <x v="0"/>
    <x v="0"/>
    <x v="0"/>
    <x v="1"/>
    <x v="0"/>
    <x v="0"/>
    <x v="0"/>
    <x v="0"/>
    <x v="0"/>
    <x v="0"/>
    <x v="0"/>
    <x v="0"/>
    <x v="0"/>
    <x v="0"/>
    <x v="0"/>
    <x v="0"/>
    <x v="0"/>
    <x v="0"/>
    <x v="0"/>
    <x v="0"/>
    <x v="0"/>
    <x v="0"/>
    <x v="0"/>
    <x v="0"/>
    <x v="0"/>
    <x v="0"/>
    <x v="0"/>
    <x v="7"/>
    <x v="7"/>
  </r>
  <r>
    <x v="12"/>
    <x v="0"/>
    <x v="2"/>
    <x v="54"/>
    <x v="7"/>
    <x v="3"/>
    <x v="5"/>
    <x v="89"/>
    <x v="0"/>
    <x v="23"/>
    <x v="56"/>
    <x v="30"/>
    <x v="130"/>
    <x v="91"/>
    <x v="0"/>
    <x v="0"/>
    <x v="0"/>
    <x v="0"/>
    <x v="3"/>
    <x v="2"/>
    <x v="0"/>
    <x v="107"/>
    <x v="104"/>
    <x v="34"/>
    <x v="2"/>
    <x v="45"/>
    <x v="146"/>
    <x v="18"/>
    <x v="0"/>
    <x v="214"/>
    <x v="8"/>
    <x v="53"/>
    <x v="47"/>
    <x v="58"/>
    <x v="5"/>
    <x v="160"/>
    <x v="107"/>
    <x v="134"/>
    <x v="95"/>
    <x v="99"/>
    <x v="0"/>
    <x v="0"/>
    <x v="0"/>
    <x v="0"/>
    <x v="0"/>
    <x v="0"/>
    <x v="0"/>
    <x v="0"/>
    <x v="0"/>
    <x v="0"/>
    <x v="3"/>
    <x v="0"/>
    <x v="0"/>
    <x v="0"/>
    <x v="0"/>
    <x v="0"/>
    <x v="0"/>
    <x v="0"/>
    <x v="0"/>
    <x v="0"/>
    <x v="0"/>
    <x v="0"/>
    <x v="0"/>
    <x v="0"/>
    <x v="0"/>
    <x v="0"/>
    <x v="0"/>
    <x v="0"/>
    <x v="8"/>
    <x v="8"/>
  </r>
  <r>
    <x v="12"/>
    <x v="3"/>
    <x v="8"/>
    <x v="41"/>
    <x v="7"/>
    <x v="12"/>
    <x v="38"/>
    <x v="226"/>
    <x v="4"/>
    <x v="24"/>
    <x v="84"/>
    <x v="89"/>
    <x v="269"/>
    <x v="180"/>
    <x v="0"/>
    <x v="0"/>
    <x v="0"/>
    <x v="0"/>
    <x v="52"/>
    <x v="0"/>
    <x v="1"/>
    <x v="137"/>
    <x v="55"/>
    <x v="21"/>
    <x v="0"/>
    <x v="0"/>
    <x v="160"/>
    <x v="59"/>
    <x v="0"/>
    <x v="167"/>
    <x v="19"/>
    <x v="47"/>
    <x v="27"/>
    <x v="179"/>
    <x v="3"/>
    <x v="88"/>
    <x v="180"/>
    <x v="100"/>
    <x v="223"/>
    <x v="52"/>
    <x v="5"/>
    <x v="0"/>
    <x v="0"/>
    <x v="3"/>
    <x v="0"/>
    <x v="0"/>
    <x v="0"/>
    <x v="0"/>
    <x v="0"/>
    <x v="0"/>
    <x v="0"/>
    <x v="0"/>
    <x v="0"/>
    <x v="0"/>
    <x v="0"/>
    <x v="0"/>
    <x v="0"/>
    <x v="0"/>
    <x v="0"/>
    <x v="0"/>
    <x v="0"/>
    <x v="0"/>
    <x v="0"/>
    <x v="0"/>
    <x v="0"/>
    <x v="0"/>
    <x v="0"/>
    <x v="0"/>
    <x v="19"/>
    <x v="19"/>
  </r>
  <r>
    <x v="12"/>
    <x v="3"/>
    <x v="9"/>
    <x v="21"/>
    <x v="7"/>
    <x v="12"/>
    <x v="23"/>
    <x v="144"/>
    <x v="4"/>
    <x v="24"/>
    <x v="86"/>
    <x v="99"/>
    <x v="277"/>
    <x v="189"/>
    <x v="0"/>
    <x v="0"/>
    <x v="0"/>
    <x v="0"/>
    <x v="36"/>
    <x v="0"/>
    <x v="1"/>
    <x v="172"/>
    <x v="92"/>
    <x v="13"/>
    <x v="0"/>
    <x v="0"/>
    <x v="160"/>
    <x v="43"/>
    <x v="0"/>
    <x v="185"/>
    <x v="9"/>
    <x v="57"/>
    <x v="45"/>
    <x v="199"/>
    <x v="1"/>
    <x v="60"/>
    <x v="7"/>
    <x v="34"/>
    <x v="212"/>
    <x v="71"/>
    <x v="5"/>
    <x v="0"/>
    <x v="0"/>
    <x v="0"/>
    <x v="0"/>
    <x v="0"/>
    <x v="0"/>
    <x v="0"/>
    <x v="0"/>
    <x v="0"/>
    <x v="0"/>
    <x v="0"/>
    <x v="0"/>
    <x v="0"/>
    <x v="0"/>
    <x v="0"/>
    <x v="0"/>
    <x v="0"/>
    <x v="0"/>
    <x v="0"/>
    <x v="0"/>
    <x v="0"/>
    <x v="0"/>
    <x v="0"/>
    <x v="0"/>
    <x v="0"/>
    <x v="0"/>
    <x v="0"/>
    <x v="9"/>
    <x v="9"/>
  </r>
  <r>
    <x v="12"/>
    <x v="3"/>
    <x v="1"/>
    <x v="7"/>
    <x v="7"/>
    <x v="12"/>
    <x v="15"/>
    <x v="71"/>
    <x v="2"/>
    <x v="24"/>
    <x v="64"/>
    <x v="45"/>
    <x v="122"/>
    <x v="85"/>
    <x v="0"/>
    <x v="0"/>
    <x v="15"/>
    <x v="0"/>
    <x v="28"/>
    <x v="0"/>
    <x v="3"/>
    <x v="30"/>
    <x v="32"/>
    <x v="2"/>
    <x v="0"/>
    <x v="0"/>
    <x v="160"/>
    <x v="83"/>
    <x v="0"/>
    <x v="143"/>
    <x v="24"/>
    <x v="40"/>
    <x v="19"/>
    <x v="48"/>
    <x v="7"/>
    <x v="222"/>
    <x v="170"/>
    <x v="48"/>
    <x v="303"/>
    <x v="75"/>
    <x v="5"/>
    <x v="13"/>
    <x v="0"/>
    <x v="0"/>
    <x v="0"/>
    <x v="0"/>
    <x v="0"/>
    <x v="0"/>
    <x v="0"/>
    <x v="0"/>
    <x v="0"/>
    <x v="0"/>
    <x v="0"/>
    <x v="0"/>
    <x v="0"/>
    <x v="0"/>
    <x v="0"/>
    <x v="0"/>
    <x v="0"/>
    <x v="0"/>
    <x v="0"/>
    <x v="0"/>
    <x v="0"/>
    <x v="0"/>
    <x v="0"/>
    <x v="0"/>
    <x v="0"/>
    <x v="0"/>
    <x v="24"/>
    <x v="24"/>
  </r>
  <r>
    <x v="12"/>
    <x v="1"/>
    <x v="7"/>
    <x v="16"/>
    <x v="7"/>
    <x v="12"/>
    <x v="37"/>
    <x v="238"/>
    <x v="3"/>
    <x v="23"/>
    <x v="68"/>
    <x v="58"/>
    <x v="238"/>
    <x v="145"/>
    <x v="0"/>
    <x v="0"/>
    <x v="0"/>
    <x v="0"/>
    <x v="0"/>
    <x v="0"/>
    <x v="0"/>
    <x v="160"/>
    <x v="125"/>
    <x v="8"/>
    <x v="0"/>
    <x v="0"/>
    <x v="160"/>
    <x v="0"/>
    <x v="0"/>
    <x v="233"/>
    <x v="7"/>
    <x v="54"/>
    <x v="49"/>
    <x v="134"/>
    <x v="2"/>
    <x v="75"/>
    <x v="117"/>
    <x v="148"/>
    <x v="213"/>
    <x v="99"/>
    <x v="4"/>
    <x v="0"/>
    <x v="0"/>
    <x v="0"/>
    <x v="0"/>
    <x v="0"/>
    <x v="0"/>
    <x v="0"/>
    <x v="0"/>
    <x v="0"/>
    <x v="0"/>
    <x v="0"/>
    <x v="0"/>
    <x v="0"/>
    <x v="0"/>
    <x v="0"/>
    <x v="0"/>
    <x v="0"/>
    <x v="0"/>
    <x v="0"/>
    <x v="0"/>
    <x v="0"/>
    <x v="0"/>
    <x v="0"/>
    <x v="0"/>
    <x v="0"/>
    <x v="0"/>
    <x v="0"/>
    <x v="7"/>
    <x v="7"/>
  </r>
  <r>
    <x v="12"/>
    <x v="1"/>
    <x v="4"/>
    <x v="39"/>
    <x v="7"/>
    <x v="12"/>
    <x v="39"/>
    <x v="231"/>
    <x v="3"/>
    <x v="23"/>
    <x v="68"/>
    <x v="58"/>
    <x v="238"/>
    <x v="145"/>
    <x v="0"/>
    <x v="0"/>
    <x v="0"/>
    <x v="0"/>
    <x v="0"/>
    <x v="0"/>
    <x v="0"/>
    <x v="160"/>
    <x v="125"/>
    <x v="11"/>
    <x v="0"/>
    <x v="0"/>
    <x v="160"/>
    <x v="0"/>
    <x v="0"/>
    <x v="233"/>
    <x v="7"/>
    <x v="54"/>
    <x v="49"/>
    <x v="134"/>
    <x v="2"/>
    <x v="75"/>
    <x v="117"/>
    <x v="148"/>
    <x v="214"/>
    <x v="99"/>
    <x v="4"/>
    <x v="0"/>
    <x v="0"/>
    <x v="0"/>
    <x v="0"/>
    <x v="0"/>
    <x v="0"/>
    <x v="0"/>
    <x v="0"/>
    <x v="0"/>
    <x v="0"/>
    <x v="0"/>
    <x v="0"/>
    <x v="0"/>
    <x v="0"/>
    <x v="0"/>
    <x v="0"/>
    <x v="0"/>
    <x v="0"/>
    <x v="0"/>
    <x v="0"/>
    <x v="0"/>
    <x v="0"/>
    <x v="0"/>
    <x v="0"/>
    <x v="0"/>
    <x v="0"/>
    <x v="0"/>
    <x v="7"/>
    <x v="7"/>
  </r>
  <r>
    <x v="12"/>
    <x v="1"/>
    <x v="6"/>
    <x v="13"/>
    <x v="7"/>
    <x v="12"/>
    <x v="36"/>
    <x v="249"/>
    <x v="3"/>
    <x v="23"/>
    <x v="68"/>
    <x v="58"/>
    <x v="251"/>
    <x v="160"/>
    <x v="0"/>
    <x v="0"/>
    <x v="0"/>
    <x v="0"/>
    <x v="0"/>
    <x v="0"/>
    <x v="0"/>
    <x v="176"/>
    <x v="199"/>
    <x v="5"/>
    <x v="0"/>
    <x v="0"/>
    <x v="160"/>
    <x v="0"/>
    <x v="0"/>
    <x v="233"/>
    <x v="7"/>
    <x v="54"/>
    <x v="49"/>
    <x v="151"/>
    <x v="0"/>
    <x v="42"/>
    <x v="12"/>
    <x v="44"/>
    <x v="215"/>
    <x v="99"/>
    <x v="4"/>
    <x v="0"/>
    <x v="0"/>
    <x v="0"/>
    <x v="0"/>
    <x v="0"/>
    <x v="0"/>
    <x v="0"/>
    <x v="0"/>
    <x v="0"/>
    <x v="0"/>
    <x v="0"/>
    <x v="0"/>
    <x v="0"/>
    <x v="0"/>
    <x v="0"/>
    <x v="0"/>
    <x v="0"/>
    <x v="0"/>
    <x v="0"/>
    <x v="0"/>
    <x v="0"/>
    <x v="0"/>
    <x v="0"/>
    <x v="0"/>
    <x v="0"/>
    <x v="0"/>
    <x v="0"/>
    <x v="7"/>
    <x v="34"/>
  </r>
  <r>
    <x v="12"/>
    <x v="1"/>
    <x v="5"/>
    <x v="10"/>
    <x v="7"/>
    <x v="12"/>
    <x v="35"/>
    <x v="257"/>
    <x v="3"/>
    <x v="23"/>
    <x v="61"/>
    <x v="46"/>
    <x v="172"/>
    <x v="108"/>
    <x v="0"/>
    <x v="15"/>
    <x v="0"/>
    <x v="0"/>
    <x v="54"/>
    <x v="0"/>
    <x v="0"/>
    <x v="121"/>
    <x v="139"/>
    <x v="38"/>
    <x v="1"/>
    <x v="71"/>
    <x v="100"/>
    <x v="128"/>
    <x v="19"/>
    <x v="92"/>
    <x v="0"/>
    <x v="59"/>
    <x v="57"/>
    <x v="90"/>
    <x v="4"/>
    <x v="136"/>
    <x v="93"/>
    <x v="176"/>
    <x v="60"/>
    <x v="99"/>
    <x v="0"/>
    <x v="0"/>
    <x v="0"/>
    <x v="0"/>
    <x v="0"/>
    <x v="0"/>
    <x v="0"/>
    <x v="0"/>
    <x v="0"/>
    <x v="0"/>
    <x v="0"/>
    <x v="0"/>
    <x v="0"/>
    <x v="0"/>
    <x v="0"/>
    <x v="0"/>
    <x v="0"/>
    <x v="0"/>
    <x v="0"/>
    <x v="0"/>
    <x v="0"/>
    <x v="0"/>
    <x v="0"/>
    <x v="0"/>
    <x v="0"/>
    <x v="0"/>
    <x v="0"/>
    <x v="0"/>
    <x v="0"/>
    <x v="0"/>
  </r>
  <r>
    <x v="12"/>
    <x v="1"/>
    <x v="0"/>
    <x v="2"/>
    <x v="3"/>
    <x v="1"/>
    <x v="14"/>
    <x v="87"/>
    <x v="3"/>
    <x v="23"/>
    <x v="39"/>
    <x v="10"/>
    <x v="89"/>
    <x v="68"/>
    <x v="5"/>
    <x v="4"/>
    <x v="0"/>
    <x v="0"/>
    <x v="44"/>
    <x v="0"/>
    <x v="0"/>
    <x v="83"/>
    <x v="207"/>
    <x v="33"/>
    <x v="10"/>
    <x v="159"/>
    <x v="88"/>
    <x v="151"/>
    <x v="12"/>
    <x v="69"/>
    <x v="0"/>
    <x v="59"/>
    <x v="57"/>
    <x v="36"/>
    <x v="6"/>
    <x v="188"/>
    <x v="156"/>
    <x v="256"/>
    <x v="59"/>
    <x v="99"/>
    <x v="0"/>
    <x v="0"/>
    <x v="0"/>
    <x v="0"/>
    <x v="0"/>
    <x v="0"/>
    <x v="0"/>
    <x v="0"/>
    <x v="0"/>
    <x v="0"/>
    <x v="0"/>
    <x v="0"/>
    <x v="0"/>
    <x v="0"/>
    <x v="0"/>
    <x v="0"/>
    <x v="0"/>
    <x v="0"/>
    <x v="0"/>
    <x v="0"/>
    <x v="0"/>
    <x v="0"/>
    <x v="0"/>
    <x v="0"/>
    <x v="0"/>
    <x v="0"/>
    <x v="0"/>
    <x v="0"/>
    <x v="0"/>
    <x v="0"/>
  </r>
  <r>
    <x v="12"/>
    <x v="1"/>
    <x v="2"/>
    <x v="54"/>
    <x v="7"/>
    <x v="3"/>
    <x v="5"/>
    <x v="90"/>
    <x v="3"/>
    <x v="17"/>
    <x v="43"/>
    <x v="33"/>
    <x v="71"/>
    <x v="61"/>
    <x v="0"/>
    <x v="0"/>
    <x v="0"/>
    <x v="0"/>
    <x v="0"/>
    <x v="0"/>
    <x v="0"/>
    <x v="75"/>
    <x v="140"/>
    <x v="34"/>
    <x v="2"/>
    <x v="21"/>
    <x v="159"/>
    <x v="0"/>
    <x v="0"/>
    <x v="233"/>
    <x v="3"/>
    <x v="37"/>
    <x v="54"/>
    <x v="67"/>
    <x v="5"/>
    <x v="153"/>
    <x v="131"/>
    <x v="172"/>
    <x v="95"/>
    <x v="99"/>
    <x v="0"/>
    <x v="0"/>
    <x v="0"/>
    <x v="0"/>
    <x v="0"/>
    <x v="0"/>
    <x v="2"/>
    <x v="0"/>
    <x v="0"/>
    <x v="0"/>
    <x v="0"/>
    <x v="0"/>
    <x v="0"/>
    <x v="0"/>
    <x v="0"/>
    <x v="0"/>
    <x v="0"/>
    <x v="0"/>
    <x v="0"/>
    <x v="0"/>
    <x v="0"/>
    <x v="0"/>
    <x v="0"/>
    <x v="0"/>
    <x v="0"/>
    <x v="0"/>
    <x v="0"/>
    <x v="0"/>
    <x v="3"/>
    <x v="3"/>
  </r>
  <r>
    <x v="12"/>
    <x v="1"/>
    <x v="2"/>
    <x v="54"/>
    <x v="7"/>
    <x v="3"/>
    <x v="5"/>
    <x v="91"/>
    <x v="3"/>
    <x v="12"/>
    <x v="21"/>
    <x v="16"/>
    <x v="51"/>
    <x v="46"/>
    <x v="0"/>
    <x v="0"/>
    <x v="0"/>
    <x v="0"/>
    <x v="7"/>
    <x v="0"/>
    <x v="0"/>
    <x v="59"/>
    <x v="230"/>
    <x v="34"/>
    <x v="2"/>
    <x v="13"/>
    <x v="139"/>
    <x v="53"/>
    <x v="0"/>
    <x v="173"/>
    <x v="0"/>
    <x v="26"/>
    <x v="57"/>
    <x v="78"/>
    <x v="5"/>
    <x v="150"/>
    <x v="136"/>
    <x v="233"/>
    <x v="96"/>
    <x v="99"/>
    <x v="0"/>
    <x v="0"/>
    <x v="0"/>
    <x v="0"/>
    <x v="0"/>
    <x v="0"/>
    <x v="0"/>
    <x v="0"/>
    <x v="0"/>
    <x v="0"/>
    <x v="0"/>
    <x v="0"/>
    <x v="0"/>
    <x v="0"/>
    <x v="0"/>
    <x v="0"/>
    <x v="0"/>
    <x v="0"/>
    <x v="0"/>
    <x v="0"/>
    <x v="0"/>
    <x v="0"/>
    <x v="0"/>
    <x v="0"/>
    <x v="0"/>
    <x v="0"/>
    <x v="0"/>
    <x v="0"/>
    <x v="0"/>
    <x v="0"/>
  </r>
  <r>
    <x v="12"/>
    <x v="2"/>
    <x v="2"/>
    <x v="54"/>
    <x v="7"/>
    <x v="3"/>
    <x v="5"/>
    <x v="92"/>
    <x v="1"/>
    <x v="23"/>
    <x v="56"/>
    <x v="30"/>
    <x v="132"/>
    <x v="91"/>
    <x v="0"/>
    <x v="0"/>
    <x v="0"/>
    <x v="0"/>
    <x v="6"/>
    <x v="2"/>
    <x v="0"/>
    <x v="107"/>
    <x v="104"/>
    <x v="34"/>
    <x v="2"/>
    <x v="46"/>
    <x v="141"/>
    <x v="32"/>
    <x v="0"/>
    <x v="198"/>
    <x v="5"/>
    <x v="56"/>
    <x v="53"/>
    <x v="58"/>
    <x v="5"/>
    <x v="168"/>
    <x v="80"/>
    <x v="132"/>
    <x v="96"/>
    <x v="99"/>
    <x v="0"/>
    <x v="0"/>
    <x v="0"/>
    <x v="0"/>
    <x v="0"/>
    <x v="0"/>
    <x v="3"/>
    <x v="0"/>
    <x v="0"/>
    <x v="0"/>
    <x v="0"/>
    <x v="0"/>
    <x v="0"/>
    <x v="0"/>
    <x v="0"/>
    <x v="0"/>
    <x v="0"/>
    <x v="0"/>
    <x v="0"/>
    <x v="0"/>
    <x v="0"/>
    <x v="0"/>
    <x v="0"/>
    <x v="0"/>
    <x v="0"/>
    <x v="0"/>
    <x v="0"/>
    <x v="0"/>
    <x v="5"/>
    <x v="5"/>
  </r>
  <r>
    <x v="12"/>
    <x v="2"/>
    <x v="5"/>
    <x v="55"/>
    <x v="6"/>
    <x v="5"/>
    <x v="24"/>
    <x v="260"/>
    <x v="1"/>
    <x v="23"/>
    <x v="61"/>
    <x v="46"/>
    <x v="117"/>
    <x v="81"/>
    <x v="0"/>
    <x v="30"/>
    <x v="0"/>
    <x v="0"/>
    <x v="36"/>
    <x v="2"/>
    <x v="0"/>
    <x v="96"/>
    <x v="33"/>
    <x v="27"/>
    <x v="1"/>
    <x v="29"/>
    <x v="77"/>
    <x v="113"/>
    <x v="57"/>
    <x v="111"/>
    <x v="20"/>
    <x v="42"/>
    <x v="24"/>
    <x v="49"/>
    <x v="4"/>
    <x v="141"/>
    <x v="71"/>
    <x v="41"/>
    <x v="61"/>
    <x v="83"/>
    <x v="0"/>
    <x v="15"/>
    <x v="0"/>
    <x v="0"/>
    <x v="0"/>
    <x v="0"/>
    <x v="0"/>
    <x v="0"/>
    <x v="0"/>
    <x v="0"/>
    <x v="0"/>
    <x v="0"/>
    <x v="8"/>
    <x v="0"/>
    <x v="0"/>
    <x v="0"/>
    <x v="0"/>
    <x v="0"/>
    <x v="0"/>
    <x v="0"/>
    <x v="0"/>
    <x v="0"/>
    <x v="0"/>
    <x v="0"/>
    <x v="0"/>
    <x v="0"/>
    <x v="0"/>
    <x v="0"/>
    <x v="20"/>
    <x v="20"/>
  </r>
  <r>
    <x v="12"/>
    <x v="2"/>
    <x v="0"/>
    <x v="2"/>
    <x v="3"/>
    <x v="1"/>
    <x v="14"/>
    <x v="88"/>
    <x v="1"/>
    <x v="23"/>
    <x v="39"/>
    <x v="10"/>
    <x v="98"/>
    <x v="68"/>
    <x v="0"/>
    <x v="39"/>
    <x v="0"/>
    <x v="0"/>
    <x v="65"/>
    <x v="2"/>
    <x v="0"/>
    <x v="83"/>
    <x v="207"/>
    <x v="33"/>
    <x v="10"/>
    <x v="166"/>
    <x v="40"/>
    <x v="189"/>
    <x v="75"/>
    <x v="27"/>
    <x v="3"/>
    <x v="57"/>
    <x v="56"/>
    <x v="36"/>
    <x v="6"/>
    <x v="180"/>
    <x v="182"/>
    <x v="243"/>
    <x v="62"/>
    <x v="70"/>
    <x v="0"/>
    <x v="0"/>
    <x v="0"/>
    <x v="0"/>
    <x v="0"/>
    <x v="0"/>
    <x v="0"/>
    <x v="0"/>
    <x v="0"/>
    <x v="0"/>
    <x v="1"/>
    <x v="0"/>
    <x v="0"/>
    <x v="0"/>
    <x v="0"/>
    <x v="0"/>
    <x v="0"/>
    <x v="0"/>
    <x v="0"/>
    <x v="0"/>
    <x v="0"/>
    <x v="0"/>
    <x v="0"/>
    <x v="0"/>
    <x v="0"/>
    <x v="0"/>
    <x v="0"/>
    <x v="0"/>
    <x v="3"/>
    <x v="3"/>
  </r>
  <r>
    <x v="12"/>
    <x v="2"/>
    <x v="6"/>
    <x v="13"/>
    <x v="7"/>
    <x v="9"/>
    <x v="36"/>
    <x v="258"/>
    <x v="1"/>
    <x v="13"/>
    <x v="69"/>
    <x v="92"/>
    <x v="237"/>
    <x v="142"/>
    <x v="0"/>
    <x v="0"/>
    <x v="0"/>
    <x v="0"/>
    <x v="0"/>
    <x v="0"/>
    <x v="0"/>
    <x v="156"/>
    <x v="115"/>
    <x v="5"/>
    <x v="0"/>
    <x v="0"/>
    <x v="160"/>
    <x v="0"/>
    <x v="0"/>
    <x v="233"/>
    <x v="0"/>
    <x v="30"/>
    <x v="57"/>
    <x v="194"/>
    <x v="0"/>
    <x v="5"/>
    <x v="215"/>
    <x v="301"/>
    <x v="216"/>
    <x v="99"/>
    <x v="4"/>
    <x v="0"/>
    <x v="0"/>
    <x v="0"/>
    <x v="0"/>
    <x v="0"/>
    <x v="0"/>
    <x v="0"/>
    <x v="0"/>
    <x v="0"/>
    <x v="0"/>
    <x v="0"/>
    <x v="0"/>
    <x v="0"/>
    <x v="0"/>
    <x v="0"/>
    <x v="0"/>
    <x v="0"/>
    <x v="0"/>
    <x v="0"/>
    <x v="0"/>
    <x v="0"/>
    <x v="0"/>
    <x v="0"/>
    <x v="0"/>
    <x v="0"/>
    <x v="0"/>
    <x v="0"/>
    <x v="0"/>
    <x v="0"/>
  </r>
  <r>
    <x v="13"/>
    <x v="0"/>
    <x v="0"/>
    <x v="2"/>
    <x v="0"/>
    <x v="12"/>
    <x v="14"/>
    <x v="93"/>
    <x v="0"/>
    <x v="23"/>
    <x v="39"/>
    <x v="10"/>
    <x v="97"/>
    <x v="68"/>
    <x v="0"/>
    <x v="43"/>
    <x v="0"/>
    <x v="0"/>
    <x v="60"/>
    <x v="2"/>
    <x v="0"/>
    <x v="83"/>
    <x v="207"/>
    <x v="33"/>
    <x v="10"/>
    <x v="165"/>
    <x v="41"/>
    <x v="180"/>
    <x v="81"/>
    <x v="38"/>
    <x v="0"/>
    <x v="59"/>
    <x v="57"/>
    <x v="36"/>
    <x v="6"/>
    <x v="188"/>
    <x v="156"/>
    <x v="247"/>
    <x v="217"/>
    <x v="99"/>
    <x v="0"/>
    <x v="0"/>
    <x v="0"/>
    <x v="0"/>
    <x v="0"/>
    <x v="0"/>
    <x v="0"/>
    <x v="0"/>
    <x v="0"/>
    <x v="0"/>
    <x v="0"/>
    <x v="0"/>
    <x v="0"/>
    <x v="0"/>
    <x v="0"/>
    <x v="0"/>
    <x v="0"/>
    <x v="0"/>
    <x v="0"/>
    <x v="0"/>
    <x v="0"/>
    <x v="0"/>
    <x v="0"/>
    <x v="0"/>
    <x v="0"/>
    <x v="0"/>
    <x v="0"/>
    <x v="0"/>
    <x v="0"/>
    <x v="0"/>
  </r>
  <r>
    <x v="13"/>
    <x v="0"/>
    <x v="5"/>
    <x v="55"/>
    <x v="7"/>
    <x v="12"/>
    <x v="24"/>
    <x v="267"/>
    <x v="0"/>
    <x v="23"/>
    <x v="61"/>
    <x v="46"/>
    <x v="211"/>
    <x v="117"/>
    <x v="0"/>
    <x v="27"/>
    <x v="0"/>
    <x v="0"/>
    <x v="65"/>
    <x v="2"/>
    <x v="0"/>
    <x v="127"/>
    <x v="193"/>
    <x v="27"/>
    <x v="1"/>
    <x v="102"/>
    <x v="86"/>
    <x v="137"/>
    <x v="35"/>
    <x v="84"/>
    <x v="0"/>
    <x v="59"/>
    <x v="57"/>
    <x v="101"/>
    <x v="4"/>
    <x v="121"/>
    <x v="172"/>
    <x v="267"/>
    <x v="63"/>
    <x v="99"/>
    <x v="0"/>
    <x v="0"/>
    <x v="0"/>
    <x v="0"/>
    <x v="0"/>
    <x v="0"/>
    <x v="0"/>
    <x v="0"/>
    <x v="0"/>
    <x v="0"/>
    <x v="0"/>
    <x v="0"/>
    <x v="0"/>
    <x v="0"/>
    <x v="0"/>
    <x v="0"/>
    <x v="0"/>
    <x v="0"/>
    <x v="0"/>
    <x v="0"/>
    <x v="0"/>
    <x v="0"/>
    <x v="0"/>
    <x v="0"/>
    <x v="0"/>
    <x v="0"/>
    <x v="0"/>
    <x v="0"/>
    <x v="0"/>
    <x v="0"/>
  </r>
  <r>
    <x v="13"/>
    <x v="0"/>
    <x v="7"/>
    <x v="16"/>
    <x v="7"/>
    <x v="12"/>
    <x v="37"/>
    <x v="245"/>
    <x v="0"/>
    <x v="23"/>
    <x v="68"/>
    <x v="58"/>
    <x v="238"/>
    <x v="145"/>
    <x v="0"/>
    <x v="0"/>
    <x v="0"/>
    <x v="0"/>
    <x v="0"/>
    <x v="0"/>
    <x v="0"/>
    <x v="160"/>
    <x v="125"/>
    <x v="8"/>
    <x v="0"/>
    <x v="0"/>
    <x v="160"/>
    <x v="0"/>
    <x v="0"/>
    <x v="233"/>
    <x v="7"/>
    <x v="54"/>
    <x v="49"/>
    <x v="134"/>
    <x v="2"/>
    <x v="75"/>
    <x v="117"/>
    <x v="148"/>
    <x v="218"/>
    <x v="99"/>
    <x v="4"/>
    <x v="0"/>
    <x v="0"/>
    <x v="0"/>
    <x v="0"/>
    <x v="0"/>
    <x v="0"/>
    <x v="0"/>
    <x v="0"/>
    <x v="0"/>
    <x v="0"/>
    <x v="0"/>
    <x v="0"/>
    <x v="0"/>
    <x v="0"/>
    <x v="0"/>
    <x v="0"/>
    <x v="0"/>
    <x v="0"/>
    <x v="0"/>
    <x v="0"/>
    <x v="0"/>
    <x v="0"/>
    <x v="0"/>
    <x v="0"/>
    <x v="0"/>
    <x v="0"/>
    <x v="0"/>
    <x v="7"/>
    <x v="7"/>
  </r>
  <r>
    <x v="13"/>
    <x v="0"/>
    <x v="4"/>
    <x v="39"/>
    <x v="7"/>
    <x v="12"/>
    <x v="39"/>
    <x v="232"/>
    <x v="0"/>
    <x v="23"/>
    <x v="62"/>
    <x v="48"/>
    <x v="168"/>
    <x v="109"/>
    <x v="0"/>
    <x v="0"/>
    <x v="0"/>
    <x v="0"/>
    <x v="0"/>
    <x v="0"/>
    <x v="0"/>
    <x v="122"/>
    <x v="125"/>
    <x v="11"/>
    <x v="0"/>
    <x v="0"/>
    <x v="160"/>
    <x v="0"/>
    <x v="0"/>
    <x v="233"/>
    <x v="7"/>
    <x v="54"/>
    <x v="49"/>
    <x v="94"/>
    <x v="2"/>
    <x v="122"/>
    <x v="6"/>
    <x v="32"/>
    <x v="219"/>
    <x v="99"/>
    <x v="4"/>
    <x v="0"/>
    <x v="0"/>
    <x v="0"/>
    <x v="0"/>
    <x v="0"/>
    <x v="0"/>
    <x v="0"/>
    <x v="0"/>
    <x v="0"/>
    <x v="0"/>
    <x v="0"/>
    <x v="0"/>
    <x v="0"/>
    <x v="0"/>
    <x v="0"/>
    <x v="0"/>
    <x v="0"/>
    <x v="0"/>
    <x v="0"/>
    <x v="0"/>
    <x v="0"/>
    <x v="0"/>
    <x v="0"/>
    <x v="0"/>
    <x v="0"/>
    <x v="0"/>
    <x v="0"/>
    <x v="7"/>
    <x v="7"/>
  </r>
  <r>
    <x v="13"/>
    <x v="3"/>
    <x v="9"/>
    <x v="49"/>
    <x v="7"/>
    <x v="11"/>
    <x v="29"/>
    <x v="140"/>
    <x v="4"/>
    <x v="24"/>
    <x v="86"/>
    <x v="99"/>
    <x v="281"/>
    <x v="193"/>
    <x v="0"/>
    <x v="0"/>
    <x v="0"/>
    <x v="0"/>
    <x v="18"/>
    <x v="0"/>
    <x v="1"/>
    <x v="178"/>
    <x v="167"/>
    <x v="26"/>
    <x v="0"/>
    <x v="0"/>
    <x v="160"/>
    <x v="24"/>
    <x v="0"/>
    <x v="207"/>
    <x v="9"/>
    <x v="57"/>
    <x v="45"/>
    <x v="209"/>
    <x v="1"/>
    <x v="40"/>
    <x v="26"/>
    <x v="61"/>
    <x v="68"/>
    <x v="99"/>
    <x v="5"/>
    <x v="0"/>
    <x v="0"/>
    <x v="0"/>
    <x v="0"/>
    <x v="0"/>
    <x v="0"/>
    <x v="0"/>
    <x v="0"/>
    <x v="0"/>
    <x v="0"/>
    <x v="0"/>
    <x v="0"/>
    <x v="0"/>
    <x v="0"/>
    <x v="0"/>
    <x v="0"/>
    <x v="0"/>
    <x v="0"/>
    <x v="0"/>
    <x v="0"/>
    <x v="0"/>
    <x v="0"/>
    <x v="0"/>
    <x v="0"/>
    <x v="0"/>
    <x v="0"/>
    <x v="0"/>
    <x v="9"/>
    <x v="9"/>
  </r>
  <r>
    <x v="13"/>
    <x v="3"/>
    <x v="8"/>
    <x v="41"/>
    <x v="7"/>
    <x v="12"/>
    <x v="38"/>
    <x v="235"/>
    <x v="4"/>
    <x v="24"/>
    <x v="84"/>
    <x v="89"/>
    <x v="273"/>
    <x v="184"/>
    <x v="0"/>
    <x v="0"/>
    <x v="0"/>
    <x v="0"/>
    <x v="40"/>
    <x v="0"/>
    <x v="1"/>
    <x v="144"/>
    <x v="72"/>
    <x v="21"/>
    <x v="0"/>
    <x v="0"/>
    <x v="160"/>
    <x v="50"/>
    <x v="0"/>
    <x v="177"/>
    <x v="19"/>
    <x v="47"/>
    <x v="27"/>
    <x v="186"/>
    <x v="3"/>
    <x v="70"/>
    <x v="205"/>
    <x v="144"/>
    <x v="224"/>
    <x v="99"/>
    <x v="5"/>
    <x v="0"/>
    <x v="0"/>
    <x v="3"/>
    <x v="0"/>
    <x v="0"/>
    <x v="0"/>
    <x v="0"/>
    <x v="0"/>
    <x v="0"/>
    <x v="0"/>
    <x v="0"/>
    <x v="0"/>
    <x v="0"/>
    <x v="0"/>
    <x v="0"/>
    <x v="0"/>
    <x v="0"/>
    <x v="0"/>
    <x v="0"/>
    <x v="0"/>
    <x v="0"/>
    <x v="0"/>
    <x v="0"/>
    <x v="0"/>
    <x v="0"/>
    <x v="0"/>
    <x v="0"/>
    <x v="19"/>
    <x v="19"/>
  </r>
  <r>
    <x v="13"/>
    <x v="3"/>
    <x v="1"/>
    <x v="7"/>
    <x v="7"/>
    <x v="10"/>
    <x v="15"/>
    <x v="230"/>
    <x v="2"/>
    <x v="24"/>
    <x v="64"/>
    <x v="45"/>
    <x v="186"/>
    <x v="113"/>
    <x v="0"/>
    <x v="0"/>
    <x v="17"/>
    <x v="0"/>
    <x v="36"/>
    <x v="0"/>
    <x v="3"/>
    <x v="35"/>
    <x v="143"/>
    <x v="2"/>
    <x v="0"/>
    <x v="0"/>
    <x v="160"/>
    <x v="81"/>
    <x v="0"/>
    <x v="145"/>
    <x v="9"/>
    <x v="57"/>
    <x v="45"/>
    <x v="91"/>
    <x v="7"/>
    <x v="219"/>
    <x v="185"/>
    <x v="208"/>
    <x v="304"/>
    <x v="99"/>
    <x v="5"/>
    <x v="0"/>
    <x v="0"/>
    <x v="0"/>
    <x v="0"/>
    <x v="0"/>
    <x v="0"/>
    <x v="0"/>
    <x v="0"/>
    <x v="0"/>
    <x v="0"/>
    <x v="0"/>
    <x v="0"/>
    <x v="0"/>
    <x v="0"/>
    <x v="0"/>
    <x v="0"/>
    <x v="0"/>
    <x v="0"/>
    <x v="0"/>
    <x v="0"/>
    <x v="0"/>
    <x v="0"/>
    <x v="0"/>
    <x v="0"/>
    <x v="0"/>
    <x v="0"/>
    <x v="0"/>
    <x v="9"/>
    <x v="9"/>
  </r>
  <r>
    <x v="13"/>
    <x v="1"/>
    <x v="0"/>
    <x v="2"/>
    <x v="3"/>
    <x v="1"/>
    <x v="14"/>
    <x v="94"/>
    <x v="3"/>
    <x v="7"/>
    <x v="6"/>
    <x v="6"/>
    <x v="13"/>
    <x v="14"/>
    <x v="0"/>
    <x v="0"/>
    <x v="0"/>
    <x v="0"/>
    <x v="0"/>
    <x v="0"/>
    <x v="0"/>
    <x v="30"/>
    <x v="157"/>
    <x v="33"/>
    <x v="10"/>
    <x v="18"/>
    <x v="159"/>
    <x v="0"/>
    <x v="0"/>
    <x v="233"/>
    <x v="0"/>
    <x v="12"/>
    <x v="57"/>
    <x v="19"/>
    <x v="6"/>
    <x v="206"/>
    <x v="25"/>
    <x v="95"/>
    <x v="305"/>
    <x v="99"/>
    <x v="0"/>
    <x v="0"/>
    <x v="0"/>
    <x v="0"/>
    <x v="0"/>
    <x v="0"/>
    <x v="0"/>
    <x v="0"/>
    <x v="0"/>
    <x v="0"/>
    <x v="0"/>
    <x v="0"/>
    <x v="0"/>
    <x v="0"/>
    <x v="0"/>
    <x v="0"/>
    <x v="0"/>
    <x v="0"/>
    <x v="0"/>
    <x v="0"/>
    <x v="0"/>
    <x v="0"/>
    <x v="0"/>
    <x v="0"/>
    <x v="0"/>
    <x v="0"/>
    <x v="0"/>
    <x v="0"/>
    <x v="0"/>
    <x v="0"/>
  </r>
  <r>
    <x v="13"/>
    <x v="1"/>
    <x v="0"/>
    <x v="2"/>
    <x v="3"/>
    <x v="1"/>
    <x v="14"/>
    <x v="94"/>
    <x v="3"/>
    <x v="19"/>
    <x v="28"/>
    <x v="12"/>
    <x v="63"/>
    <x v="52"/>
    <x v="6"/>
    <x v="32"/>
    <x v="0"/>
    <x v="0"/>
    <x v="60"/>
    <x v="0"/>
    <x v="0"/>
    <x v="66"/>
    <x v="212"/>
    <x v="33"/>
    <x v="10"/>
    <x v="143"/>
    <x v="38"/>
    <x v="197"/>
    <x v="76"/>
    <x v="19"/>
    <x v="0"/>
    <x v="42"/>
    <x v="57"/>
    <x v="41"/>
    <x v="6"/>
    <x v="179"/>
    <x v="188"/>
    <x v="277"/>
    <x v="306"/>
    <x v="99"/>
    <x v="0"/>
    <x v="0"/>
    <x v="0"/>
    <x v="0"/>
    <x v="0"/>
    <x v="0"/>
    <x v="0"/>
    <x v="0"/>
    <x v="0"/>
    <x v="0"/>
    <x v="0"/>
    <x v="0"/>
    <x v="0"/>
    <x v="0"/>
    <x v="0"/>
    <x v="0"/>
    <x v="0"/>
    <x v="0"/>
    <x v="0"/>
    <x v="0"/>
    <x v="0"/>
    <x v="0"/>
    <x v="0"/>
    <x v="0"/>
    <x v="0"/>
    <x v="0"/>
    <x v="0"/>
    <x v="0"/>
    <x v="0"/>
    <x v="0"/>
  </r>
  <r>
    <x v="13"/>
    <x v="1"/>
    <x v="7"/>
    <x v="16"/>
    <x v="7"/>
    <x v="8"/>
    <x v="37"/>
    <x v="246"/>
    <x v="3"/>
    <x v="23"/>
    <x v="68"/>
    <x v="58"/>
    <x v="243"/>
    <x v="152"/>
    <x v="0"/>
    <x v="0"/>
    <x v="0"/>
    <x v="0"/>
    <x v="0"/>
    <x v="0"/>
    <x v="0"/>
    <x v="167"/>
    <x v="153"/>
    <x v="8"/>
    <x v="0"/>
    <x v="0"/>
    <x v="160"/>
    <x v="0"/>
    <x v="0"/>
    <x v="233"/>
    <x v="7"/>
    <x v="54"/>
    <x v="49"/>
    <x v="140"/>
    <x v="2"/>
    <x v="57"/>
    <x v="147"/>
    <x v="171"/>
    <x v="307"/>
    <x v="99"/>
    <x v="4"/>
    <x v="0"/>
    <x v="0"/>
    <x v="0"/>
    <x v="0"/>
    <x v="0"/>
    <x v="0"/>
    <x v="0"/>
    <x v="0"/>
    <x v="0"/>
    <x v="0"/>
    <x v="0"/>
    <x v="0"/>
    <x v="0"/>
    <x v="0"/>
    <x v="0"/>
    <x v="0"/>
    <x v="0"/>
    <x v="0"/>
    <x v="0"/>
    <x v="0"/>
    <x v="0"/>
    <x v="0"/>
    <x v="0"/>
    <x v="0"/>
    <x v="0"/>
    <x v="0"/>
    <x v="0"/>
    <x v="7"/>
    <x v="7"/>
  </r>
  <r>
    <x v="13"/>
    <x v="1"/>
    <x v="4"/>
    <x v="39"/>
    <x v="7"/>
    <x v="6"/>
    <x v="39"/>
    <x v="232"/>
    <x v="3"/>
    <x v="23"/>
    <x v="68"/>
    <x v="58"/>
    <x v="243"/>
    <x v="152"/>
    <x v="0"/>
    <x v="0"/>
    <x v="0"/>
    <x v="0"/>
    <x v="0"/>
    <x v="0"/>
    <x v="0"/>
    <x v="167"/>
    <x v="153"/>
    <x v="11"/>
    <x v="0"/>
    <x v="0"/>
    <x v="160"/>
    <x v="0"/>
    <x v="0"/>
    <x v="233"/>
    <x v="7"/>
    <x v="54"/>
    <x v="49"/>
    <x v="140"/>
    <x v="2"/>
    <x v="57"/>
    <x v="147"/>
    <x v="171"/>
    <x v="222"/>
    <x v="99"/>
    <x v="4"/>
    <x v="0"/>
    <x v="0"/>
    <x v="0"/>
    <x v="0"/>
    <x v="0"/>
    <x v="0"/>
    <x v="0"/>
    <x v="0"/>
    <x v="0"/>
    <x v="0"/>
    <x v="0"/>
    <x v="0"/>
    <x v="0"/>
    <x v="0"/>
    <x v="0"/>
    <x v="0"/>
    <x v="0"/>
    <x v="0"/>
    <x v="0"/>
    <x v="0"/>
    <x v="0"/>
    <x v="0"/>
    <x v="0"/>
    <x v="0"/>
    <x v="0"/>
    <x v="0"/>
    <x v="0"/>
    <x v="7"/>
    <x v="7"/>
  </r>
  <r>
    <x v="13"/>
    <x v="1"/>
    <x v="6"/>
    <x v="56"/>
    <x v="7"/>
    <x v="12"/>
    <x v="27"/>
    <x v="261"/>
    <x v="3"/>
    <x v="23"/>
    <x v="69"/>
    <x v="59"/>
    <x v="255"/>
    <x v="165"/>
    <x v="0"/>
    <x v="0"/>
    <x v="0"/>
    <x v="0"/>
    <x v="0"/>
    <x v="0"/>
    <x v="0"/>
    <x v="184"/>
    <x v="217"/>
    <x v="28"/>
    <x v="0"/>
    <x v="0"/>
    <x v="160"/>
    <x v="0"/>
    <x v="0"/>
    <x v="233"/>
    <x v="7"/>
    <x v="54"/>
    <x v="49"/>
    <x v="156"/>
    <x v="0"/>
    <x v="36"/>
    <x v="28"/>
    <x v="66"/>
    <x v="220"/>
    <x v="99"/>
    <x v="4"/>
    <x v="0"/>
    <x v="0"/>
    <x v="0"/>
    <x v="0"/>
    <x v="0"/>
    <x v="0"/>
    <x v="0"/>
    <x v="0"/>
    <x v="0"/>
    <x v="0"/>
    <x v="0"/>
    <x v="0"/>
    <x v="0"/>
    <x v="0"/>
    <x v="0"/>
    <x v="0"/>
    <x v="0"/>
    <x v="0"/>
    <x v="0"/>
    <x v="0"/>
    <x v="0"/>
    <x v="0"/>
    <x v="0"/>
    <x v="0"/>
    <x v="0"/>
    <x v="0"/>
    <x v="0"/>
    <x v="7"/>
    <x v="7"/>
  </r>
  <r>
    <x v="13"/>
    <x v="1"/>
    <x v="5"/>
    <x v="55"/>
    <x v="6"/>
    <x v="5"/>
    <x v="24"/>
    <x v="269"/>
    <x v="3"/>
    <x v="23"/>
    <x v="61"/>
    <x v="46"/>
    <x v="192"/>
    <x v="115"/>
    <x v="0"/>
    <x v="0"/>
    <x v="0"/>
    <x v="0"/>
    <x v="56"/>
    <x v="0"/>
    <x v="0"/>
    <x v="125"/>
    <x v="176"/>
    <x v="27"/>
    <x v="1"/>
    <x v="90"/>
    <x v="122"/>
    <x v="121"/>
    <x v="0"/>
    <x v="98"/>
    <x v="0"/>
    <x v="59"/>
    <x v="57"/>
    <x v="98"/>
    <x v="4"/>
    <x v="128"/>
    <x v="144"/>
    <x v="239"/>
    <x v="221"/>
    <x v="99"/>
    <x v="0"/>
    <x v="0"/>
    <x v="0"/>
    <x v="0"/>
    <x v="0"/>
    <x v="0"/>
    <x v="0"/>
    <x v="0"/>
    <x v="0"/>
    <x v="0"/>
    <x v="0"/>
    <x v="0"/>
    <x v="0"/>
    <x v="0"/>
    <x v="0"/>
    <x v="0"/>
    <x v="0"/>
    <x v="0"/>
    <x v="0"/>
    <x v="0"/>
    <x v="0"/>
    <x v="0"/>
    <x v="0"/>
    <x v="0"/>
    <x v="0"/>
    <x v="0"/>
    <x v="0"/>
    <x v="0"/>
    <x v="0"/>
    <x v="0"/>
  </r>
  <r>
    <x v="13"/>
    <x v="2"/>
    <x v="5"/>
    <x v="55"/>
    <x v="6"/>
    <x v="5"/>
    <x v="24"/>
    <x v="271"/>
    <x v="1"/>
    <x v="23"/>
    <x v="61"/>
    <x v="46"/>
    <x v="182"/>
    <x v="109"/>
    <x v="0"/>
    <x v="40"/>
    <x v="0"/>
    <x v="0"/>
    <x v="45"/>
    <x v="2"/>
    <x v="0"/>
    <x v="122"/>
    <x v="148"/>
    <x v="27"/>
    <x v="1"/>
    <x v="82"/>
    <x v="81"/>
    <x v="103"/>
    <x v="52"/>
    <x v="123"/>
    <x v="5"/>
    <x v="56"/>
    <x v="53"/>
    <x v="94"/>
    <x v="4"/>
    <x v="126"/>
    <x v="152"/>
    <x v="192"/>
    <x v="65"/>
    <x v="77"/>
    <x v="0"/>
    <x v="0"/>
    <x v="0"/>
    <x v="0"/>
    <x v="0"/>
    <x v="2"/>
    <x v="0"/>
    <x v="0"/>
    <x v="0"/>
    <x v="0"/>
    <x v="0"/>
    <x v="0"/>
    <x v="0"/>
    <x v="0"/>
    <x v="0"/>
    <x v="0"/>
    <x v="0"/>
    <x v="0"/>
    <x v="0"/>
    <x v="0"/>
    <x v="0"/>
    <x v="0"/>
    <x v="0"/>
    <x v="0"/>
    <x v="0"/>
    <x v="0"/>
    <x v="0"/>
    <x v="0"/>
    <x v="5"/>
    <x v="5"/>
  </r>
  <r>
    <x v="13"/>
    <x v="2"/>
    <x v="0"/>
    <x v="2"/>
    <x v="3"/>
    <x v="1"/>
    <x v="14"/>
    <x v="96"/>
    <x v="1"/>
    <x v="23"/>
    <x v="39"/>
    <x v="10"/>
    <x v="93"/>
    <x v="68"/>
    <x v="0"/>
    <x v="33"/>
    <x v="0"/>
    <x v="0"/>
    <x v="47"/>
    <x v="2"/>
    <x v="0"/>
    <x v="83"/>
    <x v="207"/>
    <x v="33"/>
    <x v="10"/>
    <x v="162"/>
    <x v="60"/>
    <x v="155"/>
    <x v="64"/>
    <x v="64"/>
    <x v="0"/>
    <x v="59"/>
    <x v="57"/>
    <x v="36"/>
    <x v="6"/>
    <x v="188"/>
    <x v="156"/>
    <x v="254"/>
    <x v="225"/>
    <x v="95"/>
    <x v="0"/>
    <x v="0"/>
    <x v="0"/>
    <x v="0"/>
    <x v="0"/>
    <x v="0"/>
    <x v="0"/>
    <x v="0"/>
    <x v="0"/>
    <x v="0"/>
    <x v="0"/>
    <x v="0"/>
    <x v="0"/>
    <x v="0"/>
    <x v="0"/>
    <x v="0"/>
    <x v="0"/>
    <x v="0"/>
    <x v="0"/>
    <x v="0"/>
    <x v="0"/>
    <x v="0"/>
    <x v="0"/>
    <x v="0"/>
    <x v="0"/>
    <x v="0"/>
    <x v="0"/>
    <x v="0"/>
    <x v="0"/>
    <x v="0"/>
  </r>
  <r>
    <x v="13"/>
    <x v="2"/>
    <x v="3"/>
    <x v="48"/>
    <x v="7"/>
    <x v="3"/>
    <x v="6"/>
    <x v="97"/>
    <x v="1"/>
    <x v="23"/>
    <x v="56"/>
    <x v="30"/>
    <x v="199"/>
    <x v="109"/>
    <x v="33"/>
    <x v="63"/>
    <x v="0"/>
    <x v="0"/>
    <x v="47"/>
    <x v="2"/>
    <x v="0"/>
    <x v="122"/>
    <x v="206"/>
    <x v="33"/>
    <x v="3"/>
    <x v="125"/>
    <x v="9"/>
    <x v="109"/>
    <x v="112"/>
    <x v="125"/>
    <x v="0"/>
    <x v="59"/>
    <x v="57"/>
    <x v="94"/>
    <x v="5"/>
    <x v="135"/>
    <x v="194"/>
    <x v="287"/>
    <x v="64"/>
    <x v="54"/>
    <x v="0"/>
    <x v="0"/>
    <x v="0"/>
    <x v="0"/>
    <x v="0"/>
    <x v="0"/>
    <x v="0"/>
    <x v="0"/>
    <x v="0"/>
    <x v="0"/>
    <x v="0"/>
    <x v="0"/>
    <x v="0"/>
    <x v="0"/>
    <x v="0"/>
    <x v="0"/>
    <x v="0"/>
    <x v="0"/>
    <x v="0"/>
    <x v="0"/>
    <x v="0"/>
    <x v="0"/>
    <x v="0"/>
    <x v="0"/>
    <x v="0"/>
    <x v="0"/>
    <x v="0"/>
    <x v="0"/>
    <x v="0"/>
    <x v="0"/>
  </r>
  <r>
    <x v="13"/>
    <x v="2"/>
    <x v="6"/>
    <x v="56"/>
    <x v="7"/>
    <x v="9"/>
    <x v="27"/>
    <x v="270"/>
    <x v="1"/>
    <x v="19"/>
    <x v="69"/>
    <x v="73"/>
    <x v="243"/>
    <x v="152"/>
    <x v="0"/>
    <x v="0"/>
    <x v="0"/>
    <x v="0"/>
    <x v="0"/>
    <x v="0"/>
    <x v="0"/>
    <x v="167"/>
    <x v="145"/>
    <x v="28"/>
    <x v="0"/>
    <x v="0"/>
    <x v="160"/>
    <x v="0"/>
    <x v="0"/>
    <x v="233"/>
    <x v="7"/>
    <x v="38"/>
    <x v="41"/>
    <x v="163"/>
    <x v="0"/>
    <x v="24"/>
    <x v="70"/>
    <x v="89"/>
    <x v="232"/>
    <x v="21"/>
    <x v="4"/>
    <x v="0"/>
    <x v="0"/>
    <x v="0"/>
    <x v="0"/>
    <x v="0"/>
    <x v="0"/>
    <x v="0"/>
    <x v="0"/>
    <x v="0"/>
    <x v="0"/>
    <x v="0"/>
    <x v="0"/>
    <x v="0"/>
    <x v="0"/>
    <x v="0"/>
    <x v="0"/>
    <x v="0"/>
    <x v="0"/>
    <x v="0"/>
    <x v="0"/>
    <x v="0"/>
    <x v="0"/>
    <x v="0"/>
    <x v="0"/>
    <x v="0"/>
    <x v="0"/>
    <x v="0"/>
    <x v="7"/>
    <x v="7"/>
  </r>
  <r>
    <x v="14"/>
    <x v="0"/>
    <x v="0"/>
    <x v="2"/>
    <x v="3"/>
    <x v="1"/>
    <x v="14"/>
    <x v="98"/>
    <x v="4"/>
    <x v="23"/>
    <x v="39"/>
    <x v="10"/>
    <x v="72"/>
    <x v="58"/>
    <x v="0"/>
    <x v="35"/>
    <x v="0"/>
    <x v="0"/>
    <x v="57"/>
    <x v="2"/>
    <x v="0"/>
    <x v="72"/>
    <x v="174"/>
    <x v="33"/>
    <x v="10"/>
    <x v="152"/>
    <x v="43"/>
    <x v="186"/>
    <x v="73"/>
    <x v="30"/>
    <x v="0"/>
    <x v="59"/>
    <x v="57"/>
    <x v="25"/>
    <x v="6"/>
    <x v="198"/>
    <x v="73"/>
    <x v="151"/>
    <x v="66"/>
    <x v="27"/>
    <x v="0"/>
    <x v="0"/>
    <x v="0"/>
    <x v="0"/>
    <x v="0"/>
    <x v="0"/>
    <x v="0"/>
    <x v="0"/>
    <x v="0"/>
    <x v="0"/>
    <x v="0"/>
    <x v="0"/>
    <x v="0"/>
    <x v="0"/>
    <x v="0"/>
    <x v="0"/>
    <x v="0"/>
    <x v="0"/>
    <x v="0"/>
    <x v="0"/>
    <x v="0"/>
    <x v="0"/>
    <x v="0"/>
    <x v="0"/>
    <x v="0"/>
    <x v="0"/>
    <x v="0"/>
    <x v="0"/>
    <x v="0"/>
    <x v="0"/>
  </r>
  <r>
    <x v="14"/>
    <x v="0"/>
    <x v="5"/>
    <x v="55"/>
    <x v="6"/>
    <x v="5"/>
    <x v="24"/>
    <x v="276"/>
    <x v="4"/>
    <x v="23"/>
    <x v="61"/>
    <x v="46"/>
    <x v="126"/>
    <x v="81"/>
    <x v="0"/>
    <x v="61"/>
    <x v="0"/>
    <x v="0"/>
    <x v="74"/>
    <x v="2"/>
    <x v="0"/>
    <x v="96"/>
    <x v="33"/>
    <x v="27"/>
    <x v="1"/>
    <x v="37"/>
    <x v="15"/>
    <x v="196"/>
    <x v="109"/>
    <x v="22"/>
    <x v="21"/>
    <x v="41"/>
    <x v="22"/>
    <x v="49"/>
    <x v="4"/>
    <x v="138"/>
    <x v="87"/>
    <x v="38"/>
    <x v="67"/>
    <x v="9"/>
    <x v="0"/>
    <x v="0"/>
    <x v="0"/>
    <x v="0"/>
    <x v="0"/>
    <x v="6"/>
    <x v="8"/>
    <x v="0"/>
    <x v="0"/>
    <x v="0"/>
    <x v="0"/>
    <x v="0"/>
    <x v="0"/>
    <x v="0"/>
    <x v="0"/>
    <x v="0"/>
    <x v="0"/>
    <x v="0"/>
    <x v="0"/>
    <x v="0"/>
    <x v="0"/>
    <x v="0"/>
    <x v="0"/>
    <x v="0"/>
    <x v="0"/>
    <x v="0"/>
    <x v="0"/>
    <x v="0"/>
    <x v="21"/>
    <x v="21"/>
  </r>
  <r>
    <x v="14"/>
    <x v="0"/>
    <x v="7"/>
    <x v="16"/>
    <x v="7"/>
    <x v="12"/>
    <x v="37"/>
    <x v="255"/>
    <x v="4"/>
    <x v="23"/>
    <x v="68"/>
    <x v="58"/>
    <x v="241"/>
    <x v="148"/>
    <x v="0"/>
    <x v="0"/>
    <x v="0"/>
    <x v="0"/>
    <x v="0"/>
    <x v="0"/>
    <x v="0"/>
    <x v="163"/>
    <x v="140"/>
    <x v="8"/>
    <x v="0"/>
    <x v="0"/>
    <x v="160"/>
    <x v="0"/>
    <x v="0"/>
    <x v="233"/>
    <x v="7"/>
    <x v="54"/>
    <x v="49"/>
    <x v="138"/>
    <x v="2"/>
    <x v="66"/>
    <x v="138"/>
    <x v="165"/>
    <x v="226"/>
    <x v="99"/>
    <x v="4"/>
    <x v="0"/>
    <x v="0"/>
    <x v="0"/>
    <x v="0"/>
    <x v="0"/>
    <x v="0"/>
    <x v="0"/>
    <x v="0"/>
    <x v="0"/>
    <x v="0"/>
    <x v="0"/>
    <x v="0"/>
    <x v="0"/>
    <x v="0"/>
    <x v="0"/>
    <x v="0"/>
    <x v="0"/>
    <x v="0"/>
    <x v="0"/>
    <x v="0"/>
    <x v="0"/>
    <x v="0"/>
    <x v="0"/>
    <x v="0"/>
    <x v="0"/>
    <x v="0"/>
    <x v="0"/>
    <x v="7"/>
    <x v="7"/>
  </r>
  <r>
    <x v="14"/>
    <x v="0"/>
    <x v="4"/>
    <x v="39"/>
    <x v="7"/>
    <x v="6"/>
    <x v="39"/>
    <x v="240"/>
    <x v="4"/>
    <x v="23"/>
    <x v="68"/>
    <x v="58"/>
    <x v="217"/>
    <x v="123"/>
    <x v="0"/>
    <x v="0"/>
    <x v="0"/>
    <x v="0"/>
    <x v="0"/>
    <x v="0"/>
    <x v="0"/>
    <x v="135"/>
    <x v="52"/>
    <x v="11"/>
    <x v="0"/>
    <x v="0"/>
    <x v="160"/>
    <x v="0"/>
    <x v="0"/>
    <x v="233"/>
    <x v="7"/>
    <x v="54"/>
    <x v="49"/>
    <x v="110"/>
    <x v="2"/>
    <x v="103"/>
    <x v="29"/>
    <x v="69"/>
    <x v="227"/>
    <x v="99"/>
    <x v="4"/>
    <x v="0"/>
    <x v="0"/>
    <x v="0"/>
    <x v="0"/>
    <x v="0"/>
    <x v="0"/>
    <x v="0"/>
    <x v="0"/>
    <x v="0"/>
    <x v="0"/>
    <x v="0"/>
    <x v="0"/>
    <x v="0"/>
    <x v="0"/>
    <x v="0"/>
    <x v="0"/>
    <x v="0"/>
    <x v="0"/>
    <x v="0"/>
    <x v="0"/>
    <x v="0"/>
    <x v="0"/>
    <x v="0"/>
    <x v="0"/>
    <x v="0"/>
    <x v="0"/>
    <x v="0"/>
    <x v="7"/>
    <x v="7"/>
  </r>
  <r>
    <x v="14"/>
    <x v="0"/>
    <x v="3"/>
    <x v="48"/>
    <x v="7"/>
    <x v="12"/>
    <x v="6"/>
    <x v="101"/>
    <x v="4"/>
    <x v="23"/>
    <x v="56"/>
    <x v="30"/>
    <x v="134"/>
    <x v="91"/>
    <x v="0"/>
    <x v="0"/>
    <x v="0"/>
    <x v="0"/>
    <x v="38"/>
    <x v="0"/>
    <x v="0"/>
    <x v="107"/>
    <x v="104"/>
    <x v="33"/>
    <x v="3"/>
    <x v="80"/>
    <x v="128"/>
    <x v="109"/>
    <x v="0"/>
    <x v="113"/>
    <x v="5"/>
    <x v="56"/>
    <x v="53"/>
    <x v="58"/>
    <x v="5"/>
    <x v="168"/>
    <x v="80"/>
    <x v="122"/>
    <x v="68"/>
    <x v="10"/>
    <x v="0"/>
    <x v="0"/>
    <x v="0"/>
    <x v="0"/>
    <x v="0"/>
    <x v="0"/>
    <x v="0"/>
    <x v="0"/>
    <x v="0"/>
    <x v="0"/>
    <x v="0"/>
    <x v="0"/>
    <x v="0"/>
    <x v="0"/>
    <x v="0"/>
    <x v="0"/>
    <x v="0"/>
    <x v="0"/>
    <x v="0"/>
    <x v="0"/>
    <x v="0"/>
    <x v="1"/>
    <x v="0"/>
    <x v="0"/>
    <x v="0"/>
    <x v="0"/>
    <x v="0"/>
    <x v="0"/>
    <x v="5"/>
    <x v="5"/>
  </r>
  <r>
    <x v="14"/>
    <x v="3"/>
    <x v="1"/>
    <x v="30"/>
    <x v="7"/>
    <x v="10"/>
    <x v="10"/>
    <x v="5"/>
    <x v="2"/>
    <x v="7"/>
    <x v="17"/>
    <x v="45"/>
    <x v="26"/>
    <x v="24"/>
    <x v="0"/>
    <x v="0"/>
    <x v="9"/>
    <x v="0"/>
    <x v="10"/>
    <x v="0"/>
    <x v="2"/>
    <x v="18"/>
    <x v="101"/>
    <x v="15"/>
    <x v="0"/>
    <x v="0"/>
    <x v="160"/>
    <x v="101"/>
    <x v="0"/>
    <x v="119"/>
    <x v="0"/>
    <x v="12"/>
    <x v="57"/>
    <x v="80"/>
    <x v="7"/>
    <x v="215"/>
    <x v="192"/>
    <x v="286"/>
    <x v="308"/>
    <x v="99"/>
    <x v="0"/>
    <x v="0"/>
    <x v="0"/>
    <x v="0"/>
    <x v="0"/>
    <x v="0"/>
    <x v="0"/>
    <x v="0"/>
    <x v="0"/>
    <x v="0"/>
    <x v="0"/>
    <x v="0"/>
    <x v="0"/>
    <x v="0"/>
    <x v="0"/>
    <x v="0"/>
    <x v="0"/>
    <x v="0"/>
    <x v="0"/>
    <x v="0"/>
    <x v="0"/>
    <x v="0"/>
    <x v="0"/>
    <x v="0"/>
    <x v="0"/>
    <x v="0"/>
    <x v="0"/>
    <x v="0"/>
    <x v="0"/>
    <x v="0"/>
  </r>
  <r>
    <x v="14"/>
    <x v="3"/>
    <x v="1"/>
    <x v="46"/>
    <x v="7"/>
    <x v="10"/>
    <x v="56"/>
    <x v="105"/>
    <x v="2"/>
    <x v="18"/>
    <x v="27"/>
    <x v="11"/>
    <x v="36"/>
    <x v="33"/>
    <x v="0"/>
    <x v="0"/>
    <x v="15"/>
    <x v="0"/>
    <x v="9"/>
    <x v="0"/>
    <x v="3"/>
    <x v="19"/>
    <x v="46"/>
    <x v="4"/>
    <x v="9"/>
    <x v="123"/>
    <x v="136"/>
    <x v="77"/>
    <x v="0"/>
    <x v="149"/>
    <x v="25"/>
    <x v="17"/>
    <x v="8"/>
    <x v="15"/>
    <x v="7"/>
    <x v="227"/>
    <x v="82"/>
    <x v="12"/>
    <x v="309"/>
    <x v="92"/>
    <x v="4"/>
    <x v="14"/>
    <x v="0"/>
    <x v="0"/>
    <x v="0"/>
    <x v="0"/>
    <x v="0"/>
    <x v="0"/>
    <x v="0"/>
    <x v="0"/>
    <x v="0"/>
    <x v="0"/>
    <x v="0"/>
    <x v="0"/>
    <x v="0"/>
    <x v="0"/>
    <x v="0"/>
    <x v="0"/>
    <x v="0"/>
    <x v="0"/>
    <x v="0"/>
    <x v="0"/>
    <x v="0"/>
    <x v="0"/>
    <x v="0"/>
    <x v="0"/>
    <x v="0"/>
    <x v="0"/>
    <x v="25"/>
    <x v="25"/>
  </r>
  <r>
    <x v="14"/>
    <x v="3"/>
    <x v="9"/>
    <x v="19"/>
    <x v="7"/>
    <x v="11"/>
    <x v="40"/>
    <x v="142"/>
    <x v="4"/>
    <x v="8"/>
    <x v="54"/>
    <x v="87"/>
    <x v="139"/>
    <x v="93"/>
    <x v="0"/>
    <x v="0"/>
    <x v="0"/>
    <x v="0"/>
    <x v="0"/>
    <x v="0"/>
    <x v="1"/>
    <x v="60"/>
    <x v="177"/>
    <x v="24"/>
    <x v="0"/>
    <x v="0"/>
    <x v="160"/>
    <x v="0"/>
    <x v="0"/>
    <x v="233"/>
    <x v="0"/>
    <x v="15"/>
    <x v="57"/>
    <x v="201"/>
    <x v="1"/>
    <x v="91"/>
    <x v="4"/>
    <x v="36"/>
    <x v="229"/>
    <x v="99"/>
    <x v="0"/>
    <x v="0"/>
    <x v="0"/>
    <x v="0"/>
    <x v="0"/>
    <x v="0"/>
    <x v="0"/>
    <x v="0"/>
    <x v="0"/>
    <x v="0"/>
    <x v="0"/>
    <x v="0"/>
    <x v="0"/>
    <x v="0"/>
    <x v="0"/>
    <x v="0"/>
    <x v="0"/>
    <x v="0"/>
    <x v="0"/>
    <x v="0"/>
    <x v="0"/>
    <x v="0"/>
    <x v="0"/>
    <x v="0"/>
    <x v="0"/>
    <x v="0"/>
    <x v="0"/>
    <x v="0"/>
    <x v="0"/>
    <x v="0"/>
  </r>
  <r>
    <x v="14"/>
    <x v="3"/>
    <x v="9"/>
    <x v="20"/>
    <x v="7"/>
    <x v="11"/>
    <x v="34"/>
    <x v="146"/>
    <x v="4"/>
    <x v="7"/>
    <x v="53"/>
    <x v="97"/>
    <x v="128"/>
    <x v="91"/>
    <x v="0"/>
    <x v="0"/>
    <x v="0"/>
    <x v="0"/>
    <x v="0"/>
    <x v="0"/>
    <x v="1"/>
    <x v="59"/>
    <x v="171"/>
    <x v="12"/>
    <x v="0"/>
    <x v="0"/>
    <x v="160"/>
    <x v="0"/>
    <x v="0"/>
    <x v="233"/>
    <x v="0"/>
    <x v="12"/>
    <x v="57"/>
    <x v="207"/>
    <x v="1"/>
    <x v="55"/>
    <x v="8"/>
    <x v="58"/>
    <x v="235"/>
    <x v="99"/>
    <x v="0"/>
    <x v="0"/>
    <x v="0"/>
    <x v="0"/>
    <x v="0"/>
    <x v="0"/>
    <x v="0"/>
    <x v="0"/>
    <x v="0"/>
    <x v="0"/>
    <x v="0"/>
    <x v="0"/>
    <x v="0"/>
    <x v="0"/>
    <x v="0"/>
    <x v="0"/>
    <x v="0"/>
    <x v="0"/>
    <x v="0"/>
    <x v="0"/>
    <x v="0"/>
    <x v="0"/>
    <x v="0"/>
    <x v="0"/>
    <x v="0"/>
    <x v="0"/>
    <x v="0"/>
    <x v="0"/>
    <x v="0"/>
    <x v="0"/>
  </r>
  <r>
    <x v="14"/>
    <x v="3"/>
    <x v="9"/>
    <x v="21"/>
    <x v="7"/>
    <x v="11"/>
    <x v="23"/>
    <x v="145"/>
    <x v="4"/>
    <x v="7"/>
    <x v="49"/>
    <x v="91"/>
    <x v="118"/>
    <x v="84"/>
    <x v="0"/>
    <x v="0"/>
    <x v="0"/>
    <x v="0"/>
    <x v="0"/>
    <x v="0"/>
    <x v="1"/>
    <x v="57"/>
    <x v="165"/>
    <x v="13"/>
    <x v="0"/>
    <x v="0"/>
    <x v="160"/>
    <x v="0"/>
    <x v="0"/>
    <x v="233"/>
    <x v="0"/>
    <x v="12"/>
    <x v="57"/>
    <x v="203"/>
    <x v="1"/>
    <x v="82"/>
    <x v="5"/>
    <x v="43"/>
    <x v="228"/>
    <x v="99"/>
    <x v="0"/>
    <x v="0"/>
    <x v="0"/>
    <x v="0"/>
    <x v="0"/>
    <x v="0"/>
    <x v="0"/>
    <x v="0"/>
    <x v="0"/>
    <x v="0"/>
    <x v="0"/>
    <x v="0"/>
    <x v="0"/>
    <x v="0"/>
    <x v="0"/>
    <x v="0"/>
    <x v="0"/>
    <x v="0"/>
    <x v="0"/>
    <x v="0"/>
    <x v="0"/>
    <x v="0"/>
    <x v="0"/>
    <x v="0"/>
    <x v="0"/>
    <x v="0"/>
    <x v="0"/>
    <x v="0"/>
    <x v="0"/>
    <x v="0"/>
  </r>
  <r>
    <x v="14"/>
    <x v="3"/>
    <x v="9"/>
    <x v="49"/>
    <x v="7"/>
    <x v="11"/>
    <x v="29"/>
    <x v="141"/>
    <x v="4"/>
    <x v="10"/>
    <x v="65"/>
    <x v="90"/>
    <x v="220"/>
    <x v="124"/>
    <x v="0"/>
    <x v="0"/>
    <x v="0"/>
    <x v="0"/>
    <x v="11"/>
    <x v="0"/>
    <x v="1"/>
    <x v="81"/>
    <x v="203"/>
    <x v="26"/>
    <x v="0"/>
    <x v="0"/>
    <x v="160"/>
    <x v="36"/>
    <x v="0"/>
    <x v="194"/>
    <x v="0"/>
    <x v="21"/>
    <x v="57"/>
    <x v="208"/>
    <x v="1"/>
    <x v="50"/>
    <x v="10"/>
    <x v="60"/>
    <x v="69"/>
    <x v="99"/>
    <x v="0"/>
    <x v="0"/>
    <x v="0"/>
    <x v="0"/>
    <x v="0"/>
    <x v="0"/>
    <x v="0"/>
    <x v="0"/>
    <x v="0"/>
    <x v="0"/>
    <x v="0"/>
    <x v="0"/>
    <x v="0"/>
    <x v="0"/>
    <x v="0"/>
    <x v="0"/>
    <x v="0"/>
    <x v="0"/>
    <x v="0"/>
    <x v="0"/>
    <x v="0"/>
    <x v="0"/>
    <x v="0"/>
    <x v="0"/>
    <x v="0"/>
    <x v="0"/>
    <x v="0"/>
    <x v="0"/>
    <x v="0"/>
    <x v="0"/>
  </r>
  <r>
    <x v="14"/>
    <x v="3"/>
    <x v="8"/>
    <x v="41"/>
    <x v="7"/>
    <x v="12"/>
    <x v="38"/>
    <x v="246"/>
    <x v="4"/>
    <x v="24"/>
    <x v="69"/>
    <x v="55"/>
    <x v="243"/>
    <x v="150"/>
    <x v="0"/>
    <x v="0"/>
    <x v="0"/>
    <x v="0"/>
    <x v="34"/>
    <x v="0"/>
    <x v="0"/>
    <x v="165"/>
    <x v="142"/>
    <x v="21"/>
    <x v="0"/>
    <x v="0"/>
    <x v="160"/>
    <x v="61"/>
    <x v="0"/>
    <x v="165"/>
    <x v="9"/>
    <x v="57"/>
    <x v="45"/>
    <x v="129"/>
    <x v="3"/>
    <x v="79"/>
    <x v="198"/>
    <x v="231"/>
    <x v="234"/>
    <x v="99"/>
    <x v="5"/>
    <x v="0"/>
    <x v="0"/>
    <x v="0"/>
    <x v="0"/>
    <x v="0"/>
    <x v="0"/>
    <x v="0"/>
    <x v="0"/>
    <x v="0"/>
    <x v="0"/>
    <x v="0"/>
    <x v="0"/>
    <x v="0"/>
    <x v="0"/>
    <x v="0"/>
    <x v="0"/>
    <x v="0"/>
    <x v="0"/>
    <x v="0"/>
    <x v="0"/>
    <x v="0"/>
    <x v="0"/>
    <x v="0"/>
    <x v="0"/>
    <x v="0"/>
    <x v="0"/>
    <x v="0"/>
    <x v="9"/>
    <x v="9"/>
  </r>
  <r>
    <x v="14"/>
    <x v="1"/>
    <x v="0"/>
    <x v="2"/>
    <x v="3"/>
    <x v="1"/>
    <x v="14"/>
    <x v="99"/>
    <x v="3"/>
    <x v="23"/>
    <x v="39"/>
    <x v="10"/>
    <x v="91"/>
    <x v="68"/>
    <x v="17"/>
    <x v="8"/>
    <x v="0"/>
    <x v="0"/>
    <x v="61"/>
    <x v="0"/>
    <x v="0"/>
    <x v="83"/>
    <x v="207"/>
    <x v="33"/>
    <x v="10"/>
    <x v="161"/>
    <x v="66"/>
    <x v="181"/>
    <x v="25"/>
    <x v="32"/>
    <x v="0"/>
    <x v="59"/>
    <x v="57"/>
    <x v="36"/>
    <x v="6"/>
    <x v="188"/>
    <x v="156"/>
    <x v="245"/>
    <x v="70"/>
    <x v="99"/>
    <x v="0"/>
    <x v="0"/>
    <x v="0"/>
    <x v="0"/>
    <x v="0"/>
    <x v="0"/>
    <x v="0"/>
    <x v="0"/>
    <x v="0"/>
    <x v="0"/>
    <x v="0"/>
    <x v="0"/>
    <x v="0"/>
    <x v="0"/>
    <x v="0"/>
    <x v="0"/>
    <x v="0"/>
    <x v="0"/>
    <x v="0"/>
    <x v="0"/>
    <x v="0"/>
    <x v="0"/>
    <x v="0"/>
    <x v="0"/>
    <x v="0"/>
    <x v="0"/>
    <x v="0"/>
    <x v="0"/>
    <x v="0"/>
    <x v="0"/>
  </r>
  <r>
    <x v="14"/>
    <x v="1"/>
    <x v="7"/>
    <x v="16"/>
    <x v="7"/>
    <x v="8"/>
    <x v="37"/>
    <x v="259"/>
    <x v="3"/>
    <x v="16"/>
    <x v="59"/>
    <x v="62"/>
    <x v="124"/>
    <x v="90"/>
    <x v="0"/>
    <x v="0"/>
    <x v="0"/>
    <x v="0"/>
    <x v="0"/>
    <x v="0"/>
    <x v="0"/>
    <x v="104"/>
    <x v="61"/>
    <x v="8"/>
    <x v="0"/>
    <x v="0"/>
    <x v="160"/>
    <x v="0"/>
    <x v="0"/>
    <x v="233"/>
    <x v="0"/>
    <x v="36"/>
    <x v="57"/>
    <x v="116"/>
    <x v="2"/>
    <x v="109"/>
    <x v="18"/>
    <x v="84"/>
    <x v="71"/>
    <x v="65"/>
    <x v="0"/>
    <x v="0"/>
    <x v="0"/>
    <x v="0"/>
    <x v="0"/>
    <x v="0"/>
    <x v="0"/>
    <x v="0"/>
    <x v="0"/>
    <x v="0"/>
    <x v="0"/>
    <x v="0"/>
    <x v="0"/>
    <x v="0"/>
    <x v="0"/>
    <x v="0"/>
    <x v="0"/>
    <x v="0"/>
    <x v="0"/>
    <x v="0"/>
    <x v="0"/>
    <x v="0"/>
    <x v="0"/>
    <x v="0"/>
    <x v="0"/>
    <x v="0"/>
    <x v="0"/>
    <x v="0"/>
    <x v="0"/>
    <x v="0"/>
  </r>
  <r>
    <x v="14"/>
    <x v="1"/>
    <x v="7"/>
    <x v="57"/>
    <x v="7"/>
    <x v="8"/>
    <x v="28"/>
    <x v="261"/>
    <x v="3"/>
    <x v="10"/>
    <x v="36"/>
    <x v="56"/>
    <x v="50"/>
    <x v="46"/>
    <x v="0"/>
    <x v="0"/>
    <x v="0"/>
    <x v="0"/>
    <x v="0"/>
    <x v="0"/>
    <x v="0"/>
    <x v="59"/>
    <x v="43"/>
    <x v="29"/>
    <x v="0"/>
    <x v="0"/>
    <x v="160"/>
    <x v="0"/>
    <x v="0"/>
    <x v="233"/>
    <x v="12"/>
    <x v="11"/>
    <x v="16"/>
    <x v="99"/>
    <x v="2"/>
    <x v="43"/>
    <x v="202"/>
    <x v="39"/>
    <x v="72"/>
    <x v="99"/>
    <x v="4"/>
    <x v="0"/>
    <x v="0"/>
    <x v="0"/>
    <x v="0"/>
    <x v="0"/>
    <x v="0"/>
    <x v="0"/>
    <x v="0"/>
    <x v="0"/>
    <x v="0"/>
    <x v="0"/>
    <x v="0"/>
    <x v="0"/>
    <x v="0"/>
    <x v="0"/>
    <x v="1"/>
    <x v="0"/>
    <x v="0"/>
    <x v="0"/>
    <x v="0"/>
    <x v="0"/>
    <x v="0"/>
    <x v="0"/>
    <x v="0"/>
    <x v="0"/>
    <x v="0"/>
    <x v="0"/>
    <x v="12"/>
    <x v="12"/>
  </r>
  <r>
    <x v="14"/>
    <x v="1"/>
    <x v="4"/>
    <x v="39"/>
    <x v="7"/>
    <x v="6"/>
    <x v="39"/>
    <x v="251"/>
    <x v="3"/>
    <x v="23"/>
    <x v="68"/>
    <x v="58"/>
    <x v="241"/>
    <x v="148"/>
    <x v="0"/>
    <x v="0"/>
    <x v="0"/>
    <x v="0"/>
    <x v="0"/>
    <x v="0"/>
    <x v="0"/>
    <x v="163"/>
    <x v="140"/>
    <x v="11"/>
    <x v="0"/>
    <x v="0"/>
    <x v="160"/>
    <x v="0"/>
    <x v="0"/>
    <x v="233"/>
    <x v="7"/>
    <x v="54"/>
    <x v="49"/>
    <x v="138"/>
    <x v="2"/>
    <x v="66"/>
    <x v="138"/>
    <x v="165"/>
    <x v="230"/>
    <x v="99"/>
    <x v="4"/>
    <x v="0"/>
    <x v="0"/>
    <x v="0"/>
    <x v="0"/>
    <x v="0"/>
    <x v="0"/>
    <x v="0"/>
    <x v="0"/>
    <x v="0"/>
    <x v="0"/>
    <x v="0"/>
    <x v="0"/>
    <x v="0"/>
    <x v="0"/>
    <x v="0"/>
    <x v="0"/>
    <x v="0"/>
    <x v="0"/>
    <x v="0"/>
    <x v="0"/>
    <x v="0"/>
    <x v="0"/>
    <x v="0"/>
    <x v="0"/>
    <x v="0"/>
    <x v="0"/>
    <x v="0"/>
    <x v="7"/>
    <x v="7"/>
  </r>
  <r>
    <x v="14"/>
    <x v="1"/>
    <x v="3"/>
    <x v="48"/>
    <x v="7"/>
    <x v="3"/>
    <x v="6"/>
    <x v="102"/>
    <x v="3"/>
    <x v="13"/>
    <x v="56"/>
    <x v="68"/>
    <x v="57"/>
    <x v="49"/>
    <x v="0"/>
    <x v="28"/>
    <x v="0"/>
    <x v="0"/>
    <x v="18"/>
    <x v="0"/>
    <x v="0"/>
    <x v="63"/>
    <x v="12"/>
    <x v="33"/>
    <x v="3"/>
    <x v="19"/>
    <x v="74"/>
    <x v="93"/>
    <x v="74"/>
    <x v="135"/>
    <x v="0"/>
    <x v="30"/>
    <x v="57"/>
    <x v="81"/>
    <x v="5"/>
    <x v="148"/>
    <x v="150"/>
    <x v="253"/>
    <x v="73"/>
    <x v="28"/>
    <x v="6"/>
    <x v="0"/>
    <x v="0"/>
    <x v="0"/>
    <x v="0"/>
    <x v="0"/>
    <x v="0"/>
    <x v="0"/>
    <x v="0"/>
    <x v="0"/>
    <x v="0"/>
    <x v="0"/>
    <x v="0"/>
    <x v="0"/>
    <x v="0"/>
    <x v="0"/>
    <x v="0"/>
    <x v="0"/>
    <x v="0"/>
    <x v="0"/>
    <x v="0"/>
    <x v="0"/>
    <x v="0"/>
    <x v="0"/>
    <x v="0"/>
    <x v="0"/>
    <x v="0"/>
    <x v="0"/>
    <x v="0"/>
    <x v="0"/>
  </r>
  <r>
    <x v="14"/>
    <x v="1"/>
    <x v="6"/>
    <x v="56"/>
    <x v="7"/>
    <x v="9"/>
    <x v="27"/>
    <x v="273"/>
    <x v="3"/>
    <x v="16"/>
    <x v="72"/>
    <x v="81"/>
    <x v="230"/>
    <x v="135"/>
    <x v="0"/>
    <x v="0"/>
    <x v="0"/>
    <x v="0"/>
    <x v="0"/>
    <x v="0"/>
    <x v="0"/>
    <x v="149"/>
    <x v="82"/>
    <x v="28"/>
    <x v="0"/>
    <x v="0"/>
    <x v="160"/>
    <x v="0"/>
    <x v="0"/>
    <x v="233"/>
    <x v="7"/>
    <x v="32"/>
    <x v="38"/>
    <x v="170"/>
    <x v="0"/>
    <x v="13"/>
    <x v="153"/>
    <x v="143"/>
    <x v="231"/>
    <x v="99"/>
    <x v="4"/>
    <x v="0"/>
    <x v="0"/>
    <x v="0"/>
    <x v="0"/>
    <x v="0"/>
    <x v="0"/>
    <x v="0"/>
    <x v="0"/>
    <x v="0"/>
    <x v="0"/>
    <x v="0"/>
    <x v="0"/>
    <x v="0"/>
    <x v="0"/>
    <x v="0"/>
    <x v="0"/>
    <x v="0"/>
    <x v="0"/>
    <x v="0"/>
    <x v="0"/>
    <x v="0"/>
    <x v="0"/>
    <x v="0"/>
    <x v="0"/>
    <x v="0"/>
    <x v="0"/>
    <x v="0"/>
    <x v="7"/>
    <x v="7"/>
  </r>
  <r>
    <x v="14"/>
    <x v="1"/>
    <x v="5"/>
    <x v="55"/>
    <x v="6"/>
    <x v="5"/>
    <x v="24"/>
    <x v="278"/>
    <x v="3"/>
    <x v="23"/>
    <x v="61"/>
    <x v="46"/>
    <x v="110"/>
    <x v="73"/>
    <x v="0"/>
    <x v="47"/>
    <x v="0"/>
    <x v="0"/>
    <x v="43"/>
    <x v="0"/>
    <x v="0"/>
    <x v="88"/>
    <x v="25"/>
    <x v="27"/>
    <x v="1"/>
    <x v="26"/>
    <x v="47"/>
    <x v="144"/>
    <x v="92"/>
    <x v="78"/>
    <x v="19"/>
    <x v="43"/>
    <x v="25"/>
    <x v="40"/>
    <x v="4"/>
    <x v="167"/>
    <x v="20"/>
    <x v="29"/>
    <x v="74"/>
    <x v="99"/>
    <x v="0"/>
    <x v="0"/>
    <x v="0"/>
    <x v="0"/>
    <x v="0"/>
    <x v="6"/>
    <x v="6"/>
    <x v="0"/>
    <x v="0"/>
    <x v="0"/>
    <x v="0"/>
    <x v="0"/>
    <x v="0"/>
    <x v="0"/>
    <x v="0"/>
    <x v="0"/>
    <x v="0"/>
    <x v="0"/>
    <x v="0"/>
    <x v="0"/>
    <x v="0"/>
    <x v="0"/>
    <x v="0"/>
    <x v="0"/>
    <x v="0"/>
    <x v="0"/>
    <x v="0"/>
    <x v="0"/>
    <x v="19"/>
    <x v="19"/>
  </r>
  <r>
    <x v="14"/>
    <x v="2"/>
    <x v="0"/>
    <x v="2"/>
    <x v="3"/>
    <x v="1"/>
    <x v="14"/>
    <x v="100"/>
    <x v="1"/>
    <x v="1"/>
    <x v="2"/>
    <x v="39"/>
    <x v="3"/>
    <x v="3"/>
    <x v="11"/>
    <x v="0"/>
    <x v="0"/>
    <x v="0"/>
    <x v="1"/>
    <x v="0"/>
    <x v="0"/>
    <x v="17"/>
    <x v="24"/>
    <x v="33"/>
    <x v="10"/>
    <x v="3"/>
    <x v="50"/>
    <x v="89"/>
    <x v="0"/>
    <x v="137"/>
    <x v="0"/>
    <x v="3"/>
    <x v="57"/>
    <x v="29"/>
    <x v="6"/>
    <x v="194"/>
    <x v="114"/>
    <x v="206"/>
    <x v="75"/>
    <x v="99"/>
    <x v="0"/>
    <x v="0"/>
    <x v="0"/>
    <x v="0"/>
    <x v="0"/>
    <x v="0"/>
    <x v="0"/>
    <x v="0"/>
    <x v="0"/>
    <x v="0"/>
    <x v="0"/>
    <x v="0"/>
    <x v="0"/>
    <x v="0"/>
    <x v="0"/>
    <x v="0"/>
    <x v="0"/>
    <x v="0"/>
    <x v="0"/>
    <x v="0"/>
    <x v="0"/>
    <x v="0"/>
    <x v="0"/>
    <x v="0"/>
    <x v="0"/>
    <x v="0"/>
    <x v="0"/>
    <x v="0"/>
    <x v="0"/>
    <x v="0"/>
  </r>
  <r>
    <x v="14"/>
    <x v="2"/>
    <x v="0"/>
    <x v="4"/>
    <x v="4"/>
    <x v="1"/>
    <x v="53"/>
    <x v="100"/>
    <x v="1"/>
    <x v="21"/>
    <x v="35"/>
    <x v="9"/>
    <x v="16"/>
    <x v="17"/>
    <x v="0"/>
    <x v="20"/>
    <x v="0"/>
    <x v="0"/>
    <x v="29"/>
    <x v="2"/>
    <x v="0"/>
    <x v="33"/>
    <x v="5"/>
    <x v="33"/>
    <x v="10"/>
    <x v="51"/>
    <x v="18"/>
    <x v="208"/>
    <x v="103"/>
    <x v="8"/>
    <x v="31"/>
    <x v="16"/>
    <x v="2"/>
    <x v="4"/>
    <x v="6"/>
    <x v="197"/>
    <x v="87"/>
    <x v="5"/>
    <x v="76"/>
    <x v="32"/>
    <x v="0"/>
    <x v="14"/>
    <x v="2"/>
    <x v="0"/>
    <x v="0"/>
    <x v="0"/>
    <x v="0"/>
    <x v="7"/>
    <x v="0"/>
    <x v="0"/>
    <x v="0"/>
    <x v="0"/>
    <x v="0"/>
    <x v="0"/>
    <x v="0"/>
    <x v="0"/>
    <x v="0"/>
    <x v="0"/>
    <x v="0"/>
    <x v="0"/>
    <x v="0"/>
    <x v="0"/>
    <x v="0"/>
    <x v="0"/>
    <x v="0"/>
    <x v="0"/>
    <x v="0"/>
    <x v="0"/>
    <x v="31"/>
    <x v="31"/>
  </r>
  <r>
    <x v="14"/>
    <x v="2"/>
    <x v="5"/>
    <x v="55"/>
    <x v="6"/>
    <x v="5"/>
    <x v="24"/>
    <x v="280"/>
    <x v="1"/>
    <x v="23"/>
    <x v="61"/>
    <x v="46"/>
    <x v="159"/>
    <x v="100"/>
    <x v="0"/>
    <x v="50"/>
    <x v="0"/>
    <x v="0"/>
    <x v="71"/>
    <x v="2"/>
    <x v="0"/>
    <x v="115"/>
    <x v="84"/>
    <x v="27"/>
    <x v="1"/>
    <x v="66"/>
    <x v="45"/>
    <x v="167"/>
    <x v="82"/>
    <x v="53"/>
    <x v="0"/>
    <x v="59"/>
    <x v="57"/>
    <x v="74"/>
    <x v="4"/>
    <x v="156"/>
    <x v="38"/>
    <x v="105"/>
    <x v="77"/>
    <x v="99"/>
    <x v="0"/>
    <x v="0"/>
    <x v="0"/>
    <x v="0"/>
    <x v="0"/>
    <x v="0"/>
    <x v="0"/>
    <x v="0"/>
    <x v="0"/>
    <x v="0"/>
    <x v="0"/>
    <x v="0"/>
    <x v="0"/>
    <x v="0"/>
    <x v="0"/>
    <x v="0"/>
    <x v="0"/>
    <x v="0"/>
    <x v="0"/>
    <x v="0"/>
    <x v="0"/>
    <x v="0"/>
    <x v="0"/>
    <x v="0"/>
    <x v="0"/>
    <x v="0"/>
    <x v="0"/>
    <x v="0"/>
    <x v="0"/>
    <x v="0"/>
  </r>
  <r>
    <x v="14"/>
    <x v="2"/>
    <x v="6"/>
    <x v="56"/>
    <x v="7"/>
    <x v="9"/>
    <x v="27"/>
    <x v="279"/>
    <x v="1"/>
    <x v="16"/>
    <x v="69"/>
    <x v="80"/>
    <x v="222"/>
    <x v="127"/>
    <x v="0"/>
    <x v="0"/>
    <x v="0"/>
    <x v="0"/>
    <x v="0"/>
    <x v="0"/>
    <x v="0"/>
    <x v="140"/>
    <x v="65"/>
    <x v="28"/>
    <x v="0"/>
    <x v="0"/>
    <x v="160"/>
    <x v="0"/>
    <x v="0"/>
    <x v="233"/>
    <x v="7"/>
    <x v="32"/>
    <x v="38"/>
    <x v="165"/>
    <x v="0"/>
    <x v="16"/>
    <x v="118"/>
    <x v="106"/>
    <x v="233"/>
    <x v="99"/>
    <x v="4"/>
    <x v="0"/>
    <x v="0"/>
    <x v="0"/>
    <x v="0"/>
    <x v="0"/>
    <x v="0"/>
    <x v="0"/>
    <x v="0"/>
    <x v="0"/>
    <x v="0"/>
    <x v="0"/>
    <x v="0"/>
    <x v="0"/>
    <x v="0"/>
    <x v="0"/>
    <x v="0"/>
    <x v="0"/>
    <x v="0"/>
    <x v="0"/>
    <x v="0"/>
    <x v="0"/>
    <x v="0"/>
    <x v="0"/>
    <x v="0"/>
    <x v="0"/>
    <x v="0"/>
    <x v="0"/>
    <x v="7"/>
    <x v="7"/>
  </r>
  <r>
    <x v="15"/>
    <x v="0"/>
    <x v="5"/>
    <x v="55"/>
    <x v="6"/>
    <x v="5"/>
    <x v="24"/>
    <x v="283"/>
    <x v="1"/>
    <x v="10"/>
    <x v="52"/>
    <x v="74"/>
    <x v="48"/>
    <x v="42"/>
    <x v="0"/>
    <x v="40"/>
    <x v="0"/>
    <x v="0"/>
    <x v="39"/>
    <x v="2"/>
    <x v="0"/>
    <x v="56"/>
    <x v="9"/>
    <x v="27"/>
    <x v="1"/>
    <x v="12"/>
    <x v="28"/>
    <x v="191"/>
    <x v="96"/>
    <x v="25"/>
    <x v="0"/>
    <x v="21"/>
    <x v="57"/>
    <x v="82"/>
    <x v="4"/>
    <x v="147"/>
    <x v="57"/>
    <x v="129"/>
    <x v="78"/>
    <x v="43"/>
    <x v="0"/>
    <x v="0"/>
    <x v="0"/>
    <x v="0"/>
    <x v="0"/>
    <x v="0"/>
    <x v="0"/>
    <x v="0"/>
    <x v="0"/>
    <x v="0"/>
    <x v="0"/>
    <x v="0"/>
    <x v="0"/>
    <x v="0"/>
    <x v="0"/>
    <x v="0"/>
    <x v="0"/>
    <x v="0"/>
    <x v="0"/>
    <x v="0"/>
    <x v="0"/>
    <x v="0"/>
    <x v="0"/>
    <x v="0"/>
    <x v="0"/>
    <x v="0"/>
    <x v="0"/>
    <x v="0"/>
    <x v="0"/>
    <x v="0"/>
  </r>
  <r>
    <x v="15"/>
    <x v="0"/>
    <x v="6"/>
    <x v="56"/>
    <x v="7"/>
    <x v="9"/>
    <x v="27"/>
    <x v="282"/>
    <x v="1"/>
    <x v="9"/>
    <x v="49"/>
    <x v="79"/>
    <x v="92"/>
    <x v="72"/>
    <x v="0"/>
    <x v="0"/>
    <x v="0"/>
    <x v="0"/>
    <x v="0"/>
    <x v="0"/>
    <x v="0"/>
    <x v="87"/>
    <x v="81"/>
    <x v="28"/>
    <x v="0"/>
    <x v="0"/>
    <x v="160"/>
    <x v="0"/>
    <x v="0"/>
    <x v="233"/>
    <x v="0"/>
    <x v="17"/>
    <x v="57"/>
    <x v="168"/>
    <x v="0"/>
    <x v="29"/>
    <x v="47"/>
    <x v="130"/>
    <x v="249"/>
    <x v="99"/>
    <x v="0"/>
    <x v="0"/>
    <x v="0"/>
    <x v="0"/>
    <x v="0"/>
    <x v="0"/>
    <x v="0"/>
    <x v="0"/>
    <x v="0"/>
    <x v="0"/>
    <x v="0"/>
    <x v="0"/>
    <x v="0"/>
    <x v="0"/>
    <x v="0"/>
    <x v="0"/>
    <x v="0"/>
    <x v="0"/>
    <x v="0"/>
    <x v="0"/>
    <x v="0"/>
    <x v="0"/>
    <x v="0"/>
    <x v="0"/>
    <x v="0"/>
    <x v="0"/>
    <x v="0"/>
    <x v="0"/>
    <x v="0"/>
    <x v="0"/>
  </r>
  <r>
    <x v="15"/>
    <x v="0"/>
    <x v="7"/>
    <x v="57"/>
    <x v="7"/>
    <x v="8"/>
    <x v="28"/>
    <x v="263"/>
    <x v="1"/>
    <x v="19"/>
    <x v="62"/>
    <x v="56"/>
    <x v="209"/>
    <x v="119"/>
    <x v="0"/>
    <x v="0"/>
    <x v="0"/>
    <x v="0"/>
    <x v="0"/>
    <x v="0"/>
    <x v="0"/>
    <x v="129"/>
    <x v="183"/>
    <x v="29"/>
    <x v="0"/>
    <x v="0"/>
    <x v="160"/>
    <x v="0"/>
    <x v="0"/>
    <x v="233"/>
    <x v="7"/>
    <x v="38"/>
    <x v="41"/>
    <x v="144"/>
    <x v="2"/>
    <x v="45"/>
    <x v="181"/>
    <x v="201"/>
    <x v="237"/>
    <x v="99"/>
    <x v="4"/>
    <x v="0"/>
    <x v="0"/>
    <x v="0"/>
    <x v="0"/>
    <x v="0"/>
    <x v="0"/>
    <x v="0"/>
    <x v="0"/>
    <x v="0"/>
    <x v="0"/>
    <x v="0"/>
    <x v="0"/>
    <x v="0"/>
    <x v="0"/>
    <x v="0"/>
    <x v="0"/>
    <x v="0"/>
    <x v="0"/>
    <x v="0"/>
    <x v="0"/>
    <x v="0"/>
    <x v="0"/>
    <x v="0"/>
    <x v="0"/>
    <x v="0"/>
    <x v="0"/>
    <x v="0"/>
    <x v="7"/>
    <x v="7"/>
  </r>
  <r>
    <x v="15"/>
    <x v="0"/>
    <x v="4"/>
    <x v="39"/>
    <x v="7"/>
    <x v="12"/>
    <x v="39"/>
    <x v="252"/>
    <x v="1"/>
    <x v="16"/>
    <x v="62"/>
    <x v="66"/>
    <x v="166"/>
    <x v="108"/>
    <x v="0"/>
    <x v="0"/>
    <x v="0"/>
    <x v="0"/>
    <x v="0"/>
    <x v="0"/>
    <x v="0"/>
    <x v="121"/>
    <x v="117"/>
    <x v="11"/>
    <x v="0"/>
    <x v="0"/>
    <x v="160"/>
    <x v="0"/>
    <x v="0"/>
    <x v="233"/>
    <x v="0"/>
    <x v="36"/>
    <x v="57"/>
    <x v="148"/>
    <x v="2"/>
    <x v="63"/>
    <x v="142"/>
    <x v="255"/>
    <x v="236"/>
    <x v="99"/>
    <x v="0"/>
    <x v="0"/>
    <x v="0"/>
    <x v="0"/>
    <x v="0"/>
    <x v="0"/>
    <x v="0"/>
    <x v="0"/>
    <x v="0"/>
    <x v="0"/>
    <x v="0"/>
    <x v="0"/>
    <x v="0"/>
    <x v="0"/>
    <x v="0"/>
    <x v="0"/>
    <x v="0"/>
    <x v="0"/>
    <x v="0"/>
    <x v="0"/>
    <x v="0"/>
    <x v="0"/>
    <x v="0"/>
    <x v="0"/>
    <x v="0"/>
    <x v="0"/>
    <x v="0"/>
    <x v="0"/>
    <x v="0"/>
    <x v="0"/>
  </r>
  <r>
    <x v="15"/>
    <x v="3"/>
    <x v="8"/>
    <x v="41"/>
    <x v="7"/>
    <x v="12"/>
    <x v="38"/>
    <x v="250"/>
    <x v="4"/>
    <x v="16"/>
    <x v="62"/>
    <x v="66"/>
    <x v="242"/>
    <x v="148"/>
    <x v="0"/>
    <x v="0"/>
    <x v="0"/>
    <x v="0"/>
    <x v="20"/>
    <x v="0"/>
    <x v="0"/>
    <x v="163"/>
    <x v="224"/>
    <x v="21"/>
    <x v="0"/>
    <x v="0"/>
    <x v="160"/>
    <x v="48"/>
    <x v="0"/>
    <x v="179"/>
    <x v="0"/>
    <x v="36"/>
    <x v="57"/>
    <x v="180"/>
    <x v="3"/>
    <x v="17"/>
    <x v="234"/>
    <x v="316"/>
    <x v="239"/>
    <x v="99"/>
    <x v="0"/>
    <x v="0"/>
    <x v="0"/>
    <x v="0"/>
    <x v="0"/>
    <x v="0"/>
    <x v="0"/>
    <x v="0"/>
    <x v="0"/>
    <x v="0"/>
    <x v="0"/>
    <x v="0"/>
    <x v="0"/>
    <x v="0"/>
    <x v="0"/>
    <x v="0"/>
    <x v="0"/>
    <x v="0"/>
    <x v="0"/>
    <x v="0"/>
    <x v="0"/>
    <x v="0"/>
    <x v="0"/>
    <x v="0"/>
    <x v="0"/>
    <x v="0"/>
    <x v="0"/>
    <x v="0"/>
    <x v="0"/>
    <x v="0"/>
  </r>
  <r>
    <x v="15"/>
    <x v="3"/>
    <x v="9"/>
    <x v="20"/>
    <x v="7"/>
    <x v="11"/>
    <x v="34"/>
    <x v="147"/>
    <x v="4"/>
    <x v="16"/>
    <x v="66"/>
    <x v="74"/>
    <x v="253"/>
    <x v="162"/>
    <x v="0"/>
    <x v="0"/>
    <x v="0"/>
    <x v="0"/>
    <x v="3"/>
    <x v="0"/>
    <x v="0"/>
    <x v="179"/>
    <x v="225"/>
    <x v="12"/>
    <x v="0"/>
    <x v="0"/>
    <x v="160"/>
    <x v="6"/>
    <x v="0"/>
    <x v="227"/>
    <x v="0"/>
    <x v="36"/>
    <x v="57"/>
    <x v="195"/>
    <x v="1"/>
    <x v="4"/>
    <x v="226"/>
    <x v="312"/>
    <x v="240"/>
    <x v="99"/>
    <x v="6"/>
    <x v="0"/>
    <x v="0"/>
    <x v="0"/>
    <x v="0"/>
    <x v="0"/>
    <x v="0"/>
    <x v="0"/>
    <x v="0"/>
    <x v="0"/>
    <x v="0"/>
    <x v="0"/>
    <x v="0"/>
    <x v="0"/>
    <x v="0"/>
    <x v="0"/>
    <x v="0"/>
    <x v="0"/>
    <x v="0"/>
    <x v="0"/>
    <x v="0"/>
    <x v="0"/>
    <x v="0"/>
    <x v="0"/>
    <x v="0"/>
    <x v="0"/>
    <x v="0"/>
    <x v="0"/>
    <x v="0"/>
    <x v="0"/>
  </r>
  <r>
    <x v="15"/>
    <x v="0"/>
    <x v="0"/>
    <x v="4"/>
    <x v="5"/>
    <x v="1"/>
    <x v="53"/>
    <x v="103"/>
    <x v="1"/>
    <x v="23"/>
    <x v="39"/>
    <x v="10"/>
    <x v="64"/>
    <x v="54"/>
    <x v="9"/>
    <x v="44"/>
    <x v="0"/>
    <x v="0"/>
    <x v="35"/>
    <x v="0"/>
    <x v="0"/>
    <x v="68"/>
    <x v="107"/>
    <x v="33"/>
    <x v="10"/>
    <x v="145"/>
    <x v="39"/>
    <x v="150"/>
    <x v="93"/>
    <x v="72"/>
    <x v="0"/>
    <x v="59"/>
    <x v="57"/>
    <x v="19"/>
    <x v="6"/>
    <x v="206"/>
    <x v="25"/>
    <x v="88"/>
    <x v="79"/>
    <x v="99"/>
    <x v="6"/>
    <x v="0"/>
    <x v="0"/>
    <x v="0"/>
    <x v="0"/>
    <x v="0"/>
    <x v="0"/>
    <x v="0"/>
    <x v="0"/>
    <x v="0"/>
    <x v="0"/>
    <x v="0"/>
    <x v="0"/>
    <x v="0"/>
    <x v="0"/>
    <x v="0"/>
    <x v="0"/>
    <x v="0"/>
    <x v="0"/>
    <x v="0"/>
    <x v="0"/>
    <x v="0"/>
    <x v="0"/>
    <x v="0"/>
    <x v="0"/>
    <x v="0"/>
    <x v="0"/>
    <x v="0"/>
    <x v="0"/>
    <x v="0"/>
  </r>
  <r>
    <x v="15"/>
    <x v="3"/>
    <x v="1"/>
    <x v="9"/>
    <x v="7"/>
    <x v="12"/>
    <x v="54"/>
    <x v="9"/>
    <x v="2"/>
    <x v="7"/>
    <x v="17"/>
    <x v="45"/>
    <x v="31"/>
    <x v="27"/>
    <x v="0"/>
    <x v="0"/>
    <x v="5"/>
    <x v="0"/>
    <x v="9"/>
    <x v="0"/>
    <x v="3"/>
    <x v="16"/>
    <x v="147"/>
    <x v="4"/>
    <x v="0"/>
    <x v="0"/>
    <x v="160"/>
    <x v="86"/>
    <x v="0"/>
    <x v="140"/>
    <x v="2"/>
    <x v="11"/>
    <x v="49"/>
    <x v="93"/>
    <x v="7"/>
    <x v="220"/>
    <x v="179"/>
    <x v="211"/>
    <x v="238"/>
    <x v="99"/>
    <x v="1"/>
    <x v="0"/>
    <x v="0"/>
    <x v="0"/>
    <x v="0"/>
    <x v="0"/>
    <x v="0"/>
    <x v="0"/>
    <x v="0"/>
    <x v="0"/>
    <x v="0"/>
    <x v="0"/>
    <x v="0"/>
    <x v="0"/>
    <x v="0"/>
    <x v="0"/>
    <x v="0"/>
    <x v="0"/>
    <x v="0"/>
    <x v="0"/>
    <x v="0"/>
    <x v="0"/>
    <x v="0"/>
    <x v="0"/>
    <x v="0"/>
    <x v="0"/>
    <x v="0"/>
    <x v="0"/>
    <x v="2"/>
    <x v="2"/>
  </r>
  <r>
    <x v="15"/>
    <x v="3"/>
    <x v="1"/>
    <x v="45"/>
    <x v="7"/>
    <x v="12"/>
    <x v="43"/>
    <x v="11"/>
    <x v="2"/>
    <x v="9"/>
    <x v="14"/>
    <x v="20"/>
    <x v="4"/>
    <x v="4"/>
    <x v="0"/>
    <x v="0"/>
    <x v="8"/>
    <x v="0"/>
    <x v="7"/>
    <x v="0"/>
    <x v="3"/>
    <x v="2"/>
    <x v="3"/>
    <x v="3"/>
    <x v="0"/>
    <x v="0"/>
    <x v="160"/>
    <x v="200"/>
    <x v="0"/>
    <x v="13"/>
    <x v="20"/>
    <x v="2"/>
    <x v="1"/>
    <x v="3"/>
    <x v="7"/>
    <x v="233"/>
    <x v="43"/>
    <x v="2"/>
    <x v="310"/>
    <x v="30"/>
    <x v="3"/>
    <x v="11"/>
    <x v="0"/>
    <x v="0"/>
    <x v="0"/>
    <x v="0"/>
    <x v="0"/>
    <x v="0"/>
    <x v="0"/>
    <x v="0"/>
    <x v="0"/>
    <x v="0"/>
    <x v="0"/>
    <x v="0"/>
    <x v="0"/>
    <x v="0"/>
    <x v="0"/>
    <x v="0"/>
    <x v="0"/>
    <x v="0"/>
    <x v="0"/>
    <x v="0"/>
    <x v="0"/>
    <x v="0"/>
    <x v="0"/>
    <x v="0"/>
    <x v="0"/>
    <x v="0"/>
    <x v="20"/>
    <x v="20"/>
  </r>
  <r>
    <x v="16"/>
    <x v="0"/>
    <x v="7"/>
    <x v="57"/>
    <x v="7"/>
    <x v="12"/>
    <x v="28"/>
    <x v="268"/>
    <x v="3"/>
    <x v="23"/>
    <x v="68"/>
    <x v="58"/>
    <x v="227"/>
    <x v="133"/>
    <x v="0"/>
    <x v="0"/>
    <x v="0"/>
    <x v="0"/>
    <x v="0"/>
    <x v="0"/>
    <x v="0"/>
    <x v="146"/>
    <x v="81"/>
    <x v="29"/>
    <x v="0"/>
    <x v="0"/>
    <x v="160"/>
    <x v="0"/>
    <x v="0"/>
    <x v="233"/>
    <x v="7"/>
    <x v="54"/>
    <x v="49"/>
    <x v="120"/>
    <x v="2"/>
    <x v="97"/>
    <x v="62"/>
    <x v="98"/>
    <x v="80"/>
    <x v="1"/>
    <x v="4"/>
    <x v="0"/>
    <x v="0"/>
    <x v="0"/>
    <x v="0"/>
    <x v="0"/>
    <x v="0"/>
    <x v="0"/>
    <x v="0"/>
    <x v="0"/>
    <x v="0"/>
    <x v="0"/>
    <x v="0"/>
    <x v="0"/>
    <x v="0"/>
    <x v="0"/>
    <x v="0"/>
    <x v="0"/>
    <x v="0"/>
    <x v="0"/>
    <x v="0"/>
    <x v="0"/>
    <x v="0"/>
    <x v="0"/>
    <x v="0"/>
    <x v="0"/>
    <x v="0"/>
    <x v="0"/>
    <x v="7"/>
    <x v="7"/>
  </r>
  <r>
    <x v="16"/>
    <x v="0"/>
    <x v="4"/>
    <x v="58"/>
    <x v="7"/>
    <x v="12"/>
    <x v="26"/>
    <x v="253"/>
    <x v="3"/>
    <x v="23"/>
    <x v="68"/>
    <x v="58"/>
    <x v="239"/>
    <x v="146"/>
    <x v="0"/>
    <x v="0"/>
    <x v="0"/>
    <x v="0"/>
    <x v="0"/>
    <x v="0"/>
    <x v="0"/>
    <x v="161"/>
    <x v="131"/>
    <x v="30"/>
    <x v="0"/>
    <x v="0"/>
    <x v="160"/>
    <x v="0"/>
    <x v="0"/>
    <x v="233"/>
    <x v="7"/>
    <x v="54"/>
    <x v="49"/>
    <x v="135"/>
    <x v="2"/>
    <x v="71"/>
    <x v="123"/>
    <x v="154"/>
    <x v="241"/>
    <x v="99"/>
    <x v="4"/>
    <x v="0"/>
    <x v="0"/>
    <x v="0"/>
    <x v="0"/>
    <x v="0"/>
    <x v="0"/>
    <x v="0"/>
    <x v="0"/>
    <x v="0"/>
    <x v="0"/>
    <x v="0"/>
    <x v="0"/>
    <x v="0"/>
    <x v="0"/>
    <x v="0"/>
    <x v="0"/>
    <x v="0"/>
    <x v="0"/>
    <x v="0"/>
    <x v="0"/>
    <x v="0"/>
    <x v="0"/>
    <x v="0"/>
    <x v="0"/>
    <x v="0"/>
    <x v="0"/>
    <x v="0"/>
    <x v="7"/>
    <x v="7"/>
  </r>
  <r>
    <x v="16"/>
    <x v="0"/>
    <x v="3"/>
    <x v="48"/>
    <x v="7"/>
    <x v="12"/>
    <x v="6"/>
    <x v="111"/>
    <x v="3"/>
    <x v="7"/>
    <x v="56"/>
    <x v="102"/>
    <x v="45"/>
    <x v="23"/>
    <x v="0"/>
    <x v="64"/>
    <x v="0"/>
    <x v="0"/>
    <x v="73"/>
    <x v="0"/>
    <x v="0"/>
    <x v="43"/>
    <x v="4"/>
    <x v="33"/>
    <x v="3"/>
    <x v="14"/>
    <x v="1"/>
    <x v="215"/>
    <x v="116"/>
    <x v="2"/>
    <x v="0"/>
    <x v="12"/>
    <x v="57"/>
    <x v="72"/>
    <x v="5"/>
    <x v="161"/>
    <x v="105"/>
    <x v="158"/>
    <x v="81"/>
    <x v="29"/>
    <x v="6"/>
    <x v="0"/>
    <x v="0"/>
    <x v="0"/>
    <x v="0"/>
    <x v="0"/>
    <x v="0"/>
    <x v="0"/>
    <x v="0"/>
    <x v="0"/>
    <x v="0"/>
    <x v="0"/>
    <x v="0"/>
    <x v="0"/>
    <x v="0"/>
    <x v="0"/>
    <x v="0"/>
    <x v="0"/>
    <x v="0"/>
    <x v="0"/>
    <x v="0"/>
    <x v="0"/>
    <x v="0"/>
    <x v="0"/>
    <x v="0"/>
    <x v="0"/>
    <x v="0"/>
    <x v="0"/>
    <x v="0"/>
    <x v="0"/>
  </r>
  <r>
    <x v="16"/>
    <x v="3"/>
    <x v="1"/>
    <x v="45"/>
    <x v="7"/>
    <x v="10"/>
    <x v="43"/>
    <x v="16"/>
    <x v="2"/>
    <x v="7"/>
    <x v="6"/>
    <x v="6"/>
    <x v="2"/>
    <x v="2"/>
    <x v="0"/>
    <x v="0"/>
    <x v="2"/>
    <x v="0"/>
    <x v="2"/>
    <x v="0"/>
    <x v="2"/>
    <x v="1"/>
    <x v="1"/>
    <x v="3"/>
    <x v="0"/>
    <x v="0"/>
    <x v="160"/>
    <x v="176"/>
    <x v="0"/>
    <x v="37"/>
    <x v="17"/>
    <x v="1"/>
    <x v="0"/>
    <x v="2"/>
    <x v="7"/>
    <x v="240"/>
    <x v="14"/>
    <x v="0"/>
    <x v="311"/>
    <x v="17"/>
    <x v="2"/>
    <x v="10"/>
    <x v="0"/>
    <x v="0"/>
    <x v="0"/>
    <x v="0"/>
    <x v="0"/>
    <x v="0"/>
    <x v="0"/>
    <x v="0"/>
    <x v="0"/>
    <x v="0"/>
    <x v="0"/>
    <x v="0"/>
    <x v="0"/>
    <x v="0"/>
    <x v="0"/>
    <x v="0"/>
    <x v="0"/>
    <x v="0"/>
    <x v="0"/>
    <x v="0"/>
    <x v="0"/>
    <x v="0"/>
    <x v="0"/>
    <x v="0"/>
    <x v="0"/>
    <x v="0"/>
    <x v="17"/>
    <x v="17"/>
  </r>
  <r>
    <x v="16"/>
    <x v="3"/>
    <x v="1"/>
    <x v="34"/>
    <x v="7"/>
    <x v="10"/>
    <x v="46"/>
    <x v="3"/>
    <x v="2"/>
    <x v="7"/>
    <x v="6"/>
    <x v="6"/>
    <x v="7"/>
    <x v="7"/>
    <x v="0"/>
    <x v="0"/>
    <x v="6"/>
    <x v="0"/>
    <x v="9"/>
    <x v="0"/>
    <x v="2"/>
    <x v="7"/>
    <x v="22"/>
    <x v="19"/>
    <x v="0"/>
    <x v="0"/>
    <x v="160"/>
    <x v="196"/>
    <x v="0"/>
    <x v="17"/>
    <x v="12"/>
    <x v="6"/>
    <x v="6"/>
    <x v="9"/>
    <x v="7"/>
    <x v="231"/>
    <x v="59"/>
    <x v="9"/>
    <x v="312"/>
    <x v="14"/>
    <x v="3"/>
    <x v="5"/>
    <x v="0"/>
    <x v="0"/>
    <x v="0"/>
    <x v="0"/>
    <x v="0"/>
    <x v="0"/>
    <x v="0"/>
    <x v="0"/>
    <x v="0"/>
    <x v="0"/>
    <x v="0"/>
    <x v="0"/>
    <x v="0"/>
    <x v="0"/>
    <x v="0"/>
    <x v="0"/>
    <x v="0"/>
    <x v="0"/>
    <x v="0"/>
    <x v="0"/>
    <x v="0"/>
    <x v="0"/>
    <x v="0"/>
    <x v="0"/>
    <x v="0"/>
    <x v="0"/>
    <x v="12"/>
    <x v="12"/>
  </r>
  <r>
    <x v="16"/>
    <x v="3"/>
    <x v="1"/>
    <x v="47"/>
    <x v="7"/>
    <x v="10"/>
    <x v="55"/>
    <x v="10"/>
    <x v="2"/>
    <x v="7"/>
    <x v="6"/>
    <x v="6"/>
    <x v="21"/>
    <x v="19"/>
    <x v="0"/>
    <x v="0"/>
    <x v="3"/>
    <x v="0"/>
    <x v="11"/>
    <x v="0"/>
    <x v="2"/>
    <x v="15"/>
    <x v="232"/>
    <x v="4"/>
    <x v="0"/>
    <x v="0"/>
    <x v="160"/>
    <x v="125"/>
    <x v="0"/>
    <x v="94"/>
    <x v="0"/>
    <x v="12"/>
    <x v="57"/>
    <x v="60"/>
    <x v="7"/>
    <x v="225"/>
    <x v="120"/>
    <x v="209"/>
    <x v="313"/>
    <x v="18"/>
    <x v="0"/>
    <x v="0"/>
    <x v="0"/>
    <x v="0"/>
    <x v="0"/>
    <x v="0"/>
    <x v="0"/>
    <x v="0"/>
    <x v="0"/>
    <x v="0"/>
    <x v="0"/>
    <x v="0"/>
    <x v="0"/>
    <x v="0"/>
    <x v="0"/>
    <x v="0"/>
    <x v="0"/>
    <x v="0"/>
    <x v="0"/>
    <x v="0"/>
    <x v="0"/>
    <x v="0"/>
    <x v="0"/>
    <x v="0"/>
    <x v="0"/>
    <x v="0"/>
    <x v="0"/>
    <x v="0"/>
    <x v="0"/>
    <x v="0"/>
  </r>
  <r>
    <x v="16"/>
    <x v="3"/>
    <x v="1"/>
    <x v="33"/>
    <x v="7"/>
    <x v="10"/>
    <x v="58"/>
    <x v="2"/>
    <x v="2"/>
    <x v="7"/>
    <x v="6"/>
    <x v="6"/>
    <x v="8"/>
    <x v="9"/>
    <x v="0"/>
    <x v="0"/>
    <x v="6"/>
    <x v="0"/>
    <x v="9"/>
    <x v="0"/>
    <x v="2"/>
    <x v="8"/>
    <x v="35"/>
    <x v="20"/>
    <x v="0"/>
    <x v="0"/>
    <x v="160"/>
    <x v="187"/>
    <x v="0"/>
    <x v="29"/>
    <x v="11"/>
    <x v="7"/>
    <x v="10"/>
    <x v="13"/>
    <x v="7"/>
    <x v="234"/>
    <x v="41"/>
    <x v="11"/>
    <x v="314"/>
    <x v="99"/>
    <x v="0"/>
    <x v="8"/>
    <x v="0"/>
    <x v="0"/>
    <x v="0"/>
    <x v="0"/>
    <x v="0"/>
    <x v="0"/>
    <x v="0"/>
    <x v="0"/>
    <x v="0"/>
    <x v="0"/>
    <x v="0"/>
    <x v="0"/>
    <x v="0"/>
    <x v="0"/>
    <x v="0"/>
    <x v="0"/>
    <x v="0"/>
    <x v="0"/>
    <x v="0"/>
    <x v="0"/>
    <x v="0"/>
    <x v="0"/>
    <x v="0"/>
    <x v="0"/>
    <x v="0"/>
    <x v="0"/>
    <x v="11"/>
    <x v="11"/>
  </r>
  <r>
    <x v="16"/>
    <x v="3"/>
    <x v="8"/>
    <x v="41"/>
    <x v="7"/>
    <x v="12"/>
    <x v="38"/>
    <x v="256"/>
    <x v="4"/>
    <x v="13"/>
    <x v="68"/>
    <x v="91"/>
    <x v="249"/>
    <x v="158"/>
    <x v="0"/>
    <x v="0"/>
    <x v="0"/>
    <x v="0"/>
    <x v="17"/>
    <x v="0"/>
    <x v="1"/>
    <x v="105"/>
    <x v="185"/>
    <x v="21"/>
    <x v="0"/>
    <x v="0"/>
    <x v="160"/>
    <x v="41"/>
    <x v="0"/>
    <x v="187"/>
    <x v="0"/>
    <x v="30"/>
    <x v="57"/>
    <x v="206"/>
    <x v="3"/>
    <x v="64"/>
    <x v="209"/>
    <x v="297"/>
    <x v="242"/>
    <x v="59"/>
    <x v="0"/>
    <x v="0"/>
    <x v="0"/>
    <x v="0"/>
    <x v="0"/>
    <x v="0"/>
    <x v="0"/>
    <x v="0"/>
    <x v="0"/>
    <x v="0"/>
    <x v="0"/>
    <x v="0"/>
    <x v="0"/>
    <x v="0"/>
    <x v="0"/>
    <x v="0"/>
    <x v="0"/>
    <x v="0"/>
    <x v="0"/>
    <x v="0"/>
    <x v="0"/>
    <x v="0"/>
    <x v="0"/>
    <x v="0"/>
    <x v="0"/>
    <x v="0"/>
    <x v="0"/>
    <x v="0"/>
    <x v="0"/>
    <x v="0"/>
  </r>
  <r>
    <x v="16"/>
    <x v="3"/>
    <x v="8"/>
    <x v="59"/>
    <x v="7"/>
    <x v="12"/>
    <x v="25"/>
    <x v="262"/>
    <x v="4"/>
    <x v="13"/>
    <x v="70"/>
    <x v="93"/>
    <x v="255"/>
    <x v="164"/>
    <x v="0"/>
    <x v="0"/>
    <x v="0"/>
    <x v="0"/>
    <x v="12"/>
    <x v="0"/>
    <x v="0"/>
    <x v="183"/>
    <x v="216"/>
    <x v="31"/>
    <x v="0"/>
    <x v="0"/>
    <x v="160"/>
    <x v="30"/>
    <x v="0"/>
    <x v="200"/>
    <x v="0"/>
    <x v="30"/>
    <x v="57"/>
    <x v="214"/>
    <x v="3"/>
    <x v="0"/>
    <x v="236"/>
    <x v="317"/>
    <x v="244"/>
    <x v="59"/>
    <x v="0"/>
    <x v="0"/>
    <x v="0"/>
    <x v="0"/>
    <x v="0"/>
    <x v="0"/>
    <x v="0"/>
    <x v="0"/>
    <x v="0"/>
    <x v="0"/>
    <x v="0"/>
    <x v="0"/>
    <x v="0"/>
    <x v="0"/>
    <x v="0"/>
    <x v="0"/>
    <x v="0"/>
    <x v="0"/>
    <x v="0"/>
    <x v="0"/>
    <x v="0"/>
    <x v="0"/>
    <x v="0"/>
    <x v="0"/>
    <x v="0"/>
    <x v="0"/>
    <x v="0"/>
    <x v="0"/>
    <x v="0"/>
    <x v="0"/>
  </r>
  <r>
    <x v="16"/>
    <x v="3"/>
    <x v="9"/>
    <x v="20"/>
    <x v="7"/>
    <x v="11"/>
    <x v="34"/>
    <x v="159"/>
    <x v="4"/>
    <x v="23"/>
    <x v="86"/>
    <x v="101"/>
    <x v="284"/>
    <x v="196"/>
    <x v="0"/>
    <x v="0"/>
    <x v="0"/>
    <x v="0"/>
    <x v="0"/>
    <x v="0"/>
    <x v="1"/>
    <x v="182"/>
    <x v="182"/>
    <x v="12"/>
    <x v="0"/>
    <x v="0"/>
    <x v="160"/>
    <x v="0"/>
    <x v="0"/>
    <x v="233"/>
    <x v="0"/>
    <x v="59"/>
    <x v="57"/>
    <x v="213"/>
    <x v="1"/>
    <x v="41"/>
    <x v="23"/>
    <x v="92"/>
    <x v="243"/>
    <x v="59"/>
    <x v="0"/>
    <x v="0"/>
    <x v="0"/>
    <x v="0"/>
    <x v="0"/>
    <x v="0"/>
    <x v="0"/>
    <x v="0"/>
    <x v="0"/>
    <x v="0"/>
    <x v="0"/>
    <x v="0"/>
    <x v="0"/>
    <x v="0"/>
    <x v="0"/>
    <x v="0"/>
    <x v="0"/>
    <x v="0"/>
    <x v="0"/>
    <x v="0"/>
    <x v="0"/>
    <x v="0"/>
    <x v="0"/>
    <x v="0"/>
    <x v="0"/>
    <x v="0"/>
    <x v="0"/>
    <x v="0"/>
    <x v="0"/>
    <x v="0"/>
  </r>
  <r>
    <x v="16"/>
    <x v="1"/>
    <x v="0"/>
    <x v="25"/>
    <x v="5"/>
    <x v="1"/>
    <x v="59"/>
    <x v="107"/>
    <x v="1"/>
    <x v="23"/>
    <x v="26"/>
    <x v="0"/>
    <x v="42"/>
    <x v="32"/>
    <x v="34"/>
    <x v="54"/>
    <x v="0"/>
    <x v="0"/>
    <x v="66"/>
    <x v="2"/>
    <x v="0"/>
    <x v="50"/>
    <x v="67"/>
    <x v="39"/>
    <x v="11"/>
    <x v="127"/>
    <x v="5"/>
    <x v="213"/>
    <x v="111"/>
    <x v="3"/>
    <x v="27"/>
    <x v="31"/>
    <x v="11"/>
    <x v="6"/>
    <x v="6"/>
    <x v="200"/>
    <x v="63"/>
    <x v="13"/>
    <x v="82"/>
    <x v="45"/>
    <x v="0"/>
    <x v="13"/>
    <x v="0"/>
    <x v="0"/>
    <x v="0"/>
    <x v="0"/>
    <x v="7"/>
    <x v="0"/>
    <x v="0"/>
    <x v="0"/>
    <x v="1"/>
    <x v="0"/>
    <x v="2"/>
    <x v="0"/>
    <x v="0"/>
    <x v="0"/>
    <x v="0"/>
    <x v="0"/>
    <x v="0"/>
    <x v="0"/>
    <x v="0"/>
    <x v="0"/>
    <x v="0"/>
    <x v="0"/>
    <x v="0"/>
    <x v="0"/>
    <x v="0"/>
    <x v="0"/>
    <x v="27"/>
    <x v="27"/>
  </r>
  <r>
    <x v="16"/>
    <x v="1"/>
    <x v="0"/>
    <x v="0"/>
    <x v="4"/>
    <x v="0"/>
    <x v="8"/>
    <x v="106"/>
    <x v="1"/>
    <x v="23"/>
    <x v="39"/>
    <x v="10"/>
    <x v="70"/>
    <x v="54"/>
    <x v="27"/>
    <x v="59"/>
    <x v="0"/>
    <x v="0"/>
    <x v="68"/>
    <x v="4"/>
    <x v="0"/>
    <x v="68"/>
    <x v="107"/>
    <x v="33"/>
    <x v="5"/>
    <x v="131"/>
    <x v="8"/>
    <x v="206"/>
    <x v="113"/>
    <x v="11"/>
    <x v="0"/>
    <x v="59"/>
    <x v="57"/>
    <x v="19"/>
    <x v="6"/>
    <x v="206"/>
    <x v="25"/>
    <x v="81"/>
    <x v="85"/>
    <x v="78"/>
    <x v="0"/>
    <x v="0"/>
    <x v="0"/>
    <x v="0"/>
    <x v="0"/>
    <x v="0"/>
    <x v="0"/>
    <x v="0"/>
    <x v="0"/>
    <x v="0"/>
    <x v="0"/>
    <x v="0"/>
    <x v="0"/>
    <x v="0"/>
    <x v="0"/>
    <x v="0"/>
    <x v="0"/>
    <x v="0"/>
    <x v="0"/>
    <x v="0"/>
    <x v="0"/>
    <x v="0"/>
    <x v="0"/>
    <x v="0"/>
    <x v="0"/>
    <x v="0"/>
    <x v="0"/>
    <x v="0"/>
    <x v="0"/>
    <x v="0"/>
  </r>
  <r>
    <x v="16"/>
    <x v="1"/>
    <x v="7"/>
    <x v="57"/>
    <x v="7"/>
    <x v="8"/>
    <x v="28"/>
    <x v="272"/>
    <x v="1"/>
    <x v="23"/>
    <x v="69"/>
    <x v="59"/>
    <x v="236"/>
    <x v="141"/>
    <x v="0"/>
    <x v="0"/>
    <x v="0"/>
    <x v="0"/>
    <x v="0"/>
    <x v="0"/>
    <x v="0"/>
    <x v="155"/>
    <x v="108"/>
    <x v="29"/>
    <x v="0"/>
    <x v="0"/>
    <x v="160"/>
    <x v="0"/>
    <x v="0"/>
    <x v="233"/>
    <x v="7"/>
    <x v="54"/>
    <x v="49"/>
    <x v="131"/>
    <x v="2"/>
    <x v="81"/>
    <x v="103"/>
    <x v="139"/>
    <x v="83"/>
    <x v="99"/>
    <x v="4"/>
    <x v="0"/>
    <x v="0"/>
    <x v="0"/>
    <x v="0"/>
    <x v="0"/>
    <x v="0"/>
    <x v="0"/>
    <x v="0"/>
    <x v="0"/>
    <x v="0"/>
    <x v="0"/>
    <x v="0"/>
    <x v="0"/>
    <x v="0"/>
    <x v="0"/>
    <x v="0"/>
    <x v="0"/>
    <x v="0"/>
    <x v="0"/>
    <x v="0"/>
    <x v="0"/>
    <x v="0"/>
    <x v="0"/>
    <x v="0"/>
    <x v="0"/>
    <x v="0"/>
    <x v="0"/>
    <x v="7"/>
    <x v="7"/>
  </r>
  <r>
    <x v="16"/>
    <x v="1"/>
    <x v="4"/>
    <x v="58"/>
    <x v="7"/>
    <x v="6"/>
    <x v="26"/>
    <x v="266"/>
    <x v="1"/>
    <x v="23"/>
    <x v="69"/>
    <x v="59"/>
    <x v="217"/>
    <x v="123"/>
    <x v="0"/>
    <x v="0"/>
    <x v="0"/>
    <x v="0"/>
    <x v="0"/>
    <x v="0"/>
    <x v="0"/>
    <x v="135"/>
    <x v="51"/>
    <x v="30"/>
    <x v="0"/>
    <x v="0"/>
    <x v="160"/>
    <x v="0"/>
    <x v="0"/>
    <x v="233"/>
    <x v="7"/>
    <x v="54"/>
    <x v="49"/>
    <x v="110"/>
    <x v="2"/>
    <x v="103"/>
    <x v="29"/>
    <x v="69"/>
    <x v="84"/>
    <x v="99"/>
    <x v="4"/>
    <x v="0"/>
    <x v="0"/>
    <x v="0"/>
    <x v="0"/>
    <x v="0"/>
    <x v="0"/>
    <x v="0"/>
    <x v="0"/>
    <x v="0"/>
    <x v="0"/>
    <x v="0"/>
    <x v="0"/>
    <x v="0"/>
    <x v="0"/>
    <x v="0"/>
    <x v="0"/>
    <x v="0"/>
    <x v="0"/>
    <x v="0"/>
    <x v="0"/>
    <x v="0"/>
    <x v="0"/>
    <x v="0"/>
    <x v="0"/>
    <x v="0"/>
    <x v="0"/>
    <x v="0"/>
    <x v="7"/>
    <x v="7"/>
  </r>
  <r>
    <x v="16"/>
    <x v="2"/>
    <x v="0"/>
    <x v="0"/>
    <x v="4"/>
    <x v="0"/>
    <x v="8"/>
    <x v="110"/>
    <x v="5"/>
    <x v="23"/>
    <x v="39"/>
    <x v="10"/>
    <x v="87"/>
    <x v="67"/>
    <x v="0"/>
    <x v="33"/>
    <x v="0"/>
    <x v="0"/>
    <x v="56"/>
    <x v="0"/>
    <x v="0"/>
    <x v="82"/>
    <x v="204"/>
    <x v="33"/>
    <x v="5"/>
    <x v="134"/>
    <x v="59"/>
    <x v="170"/>
    <x v="66"/>
    <x v="47"/>
    <x v="3"/>
    <x v="57"/>
    <x v="56"/>
    <x v="34"/>
    <x v="6"/>
    <x v="184"/>
    <x v="168"/>
    <x v="223"/>
    <x v="245"/>
    <x v="99"/>
    <x v="0"/>
    <x v="0"/>
    <x v="0"/>
    <x v="0"/>
    <x v="0"/>
    <x v="0"/>
    <x v="0"/>
    <x v="3"/>
    <x v="0"/>
    <x v="0"/>
    <x v="0"/>
    <x v="0"/>
    <x v="0"/>
    <x v="0"/>
    <x v="0"/>
    <x v="0"/>
    <x v="0"/>
    <x v="0"/>
    <x v="0"/>
    <x v="0"/>
    <x v="0"/>
    <x v="0"/>
    <x v="0"/>
    <x v="0"/>
    <x v="0"/>
    <x v="0"/>
    <x v="0"/>
    <x v="0"/>
    <x v="3"/>
    <x v="3"/>
  </r>
  <r>
    <x v="16"/>
    <x v="2"/>
    <x v="3"/>
    <x v="48"/>
    <x v="7"/>
    <x v="3"/>
    <x v="6"/>
    <x v="112"/>
    <x v="0"/>
    <x v="23"/>
    <x v="56"/>
    <x v="30"/>
    <x v="135"/>
    <x v="91"/>
    <x v="3"/>
    <x v="44"/>
    <x v="0"/>
    <x v="0"/>
    <x v="24"/>
    <x v="2"/>
    <x v="0"/>
    <x v="107"/>
    <x v="104"/>
    <x v="33"/>
    <x v="3"/>
    <x v="85"/>
    <x v="72"/>
    <x v="74"/>
    <x v="70"/>
    <x v="153"/>
    <x v="14"/>
    <x v="48"/>
    <x v="34"/>
    <x v="58"/>
    <x v="5"/>
    <x v="143"/>
    <x v="163"/>
    <x v="125"/>
    <x v="246"/>
    <x v="99"/>
    <x v="0"/>
    <x v="0"/>
    <x v="0"/>
    <x v="0"/>
    <x v="0"/>
    <x v="0"/>
    <x v="0"/>
    <x v="5"/>
    <x v="0"/>
    <x v="0"/>
    <x v="0"/>
    <x v="0"/>
    <x v="4"/>
    <x v="0"/>
    <x v="0"/>
    <x v="0"/>
    <x v="0"/>
    <x v="0"/>
    <x v="0"/>
    <x v="0"/>
    <x v="0"/>
    <x v="0"/>
    <x v="0"/>
    <x v="0"/>
    <x v="0"/>
    <x v="0"/>
    <x v="0"/>
    <x v="0"/>
    <x v="14"/>
    <x v="14"/>
  </r>
  <r>
    <x v="17"/>
    <x v="0"/>
    <x v="7"/>
    <x v="57"/>
    <x v="7"/>
    <x v="12"/>
    <x v="28"/>
    <x v="277"/>
    <x v="3"/>
    <x v="23"/>
    <x v="68"/>
    <x v="58"/>
    <x v="243"/>
    <x v="152"/>
    <x v="0"/>
    <x v="0"/>
    <x v="0"/>
    <x v="0"/>
    <x v="0"/>
    <x v="0"/>
    <x v="0"/>
    <x v="167"/>
    <x v="153"/>
    <x v="29"/>
    <x v="0"/>
    <x v="0"/>
    <x v="160"/>
    <x v="0"/>
    <x v="0"/>
    <x v="233"/>
    <x v="7"/>
    <x v="54"/>
    <x v="49"/>
    <x v="140"/>
    <x v="2"/>
    <x v="57"/>
    <x v="147"/>
    <x v="171"/>
    <x v="247"/>
    <x v="99"/>
    <x v="4"/>
    <x v="0"/>
    <x v="0"/>
    <x v="0"/>
    <x v="0"/>
    <x v="0"/>
    <x v="0"/>
    <x v="0"/>
    <x v="0"/>
    <x v="0"/>
    <x v="0"/>
    <x v="0"/>
    <x v="0"/>
    <x v="0"/>
    <x v="0"/>
    <x v="0"/>
    <x v="0"/>
    <x v="0"/>
    <x v="0"/>
    <x v="0"/>
    <x v="0"/>
    <x v="0"/>
    <x v="0"/>
    <x v="0"/>
    <x v="0"/>
    <x v="0"/>
    <x v="0"/>
    <x v="0"/>
    <x v="7"/>
    <x v="7"/>
  </r>
  <r>
    <x v="17"/>
    <x v="0"/>
    <x v="4"/>
    <x v="58"/>
    <x v="7"/>
    <x v="12"/>
    <x v="26"/>
    <x v="264"/>
    <x v="3"/>
    <x v="23"/>
    <x v="68"/>
    <x v="58"/>
    <x v="236"/>
    <x v="141"/>
    <x v="0"/>
    <x v="0"/>
    <x v="0"/>
    <x v="0"/>
    <x v="0"/>
    <x v="0"/>
    <x v="0"/>
    <x v="155"/>
    <x v="113"/>
    <x v="30"/>
    <x v="0"/>
    <x v="0"/>
    <x v="160"/>
    <x v="0"/>
    <x v="0"/>
    <x v="233"/>
    <x v="7"/>
    <x v="54"/>
    <x v="49"/>
    <x v="131"/>
    <x v="2"/>
    <x v="81"/>
    <x v="103"/>
    <x v="139"/>
    <x v="248"/>
    <x v="99"/>
    <x v="4"/>
    <x v="0"/>
    <x v="0"/>
    <x v="0"/>
    <x v="0"/>
    <x v="0"/>
    <x v="0"/>
    <x v="0"/>
    <x v="0"/>
    <x v="0"/>
    <x v="0"/>
    <x v="0"/>
    <x v="0"/>
    <x v="0"/>
    <x v="0"/>
    <x v="0"/>
    <x v="0"/>
    <x v="0"/>
    <x v="0"/>
    <x v="0"/>
    <x v="0"/>
    <x v="0"/>
    <x v="0"/>
    <x v="0"/>
    <x v="0"/>
    <x v="0"/>
    <x v="0"/>
    <x v="0"/>
    <x v="7"/>
    <x v="7"/>
  </r>
  <r>
    <x v="17"/>
    <x v="0"/>
    <x v="3"/>
    <x v="48"/>
    <x v="7"/>
    <x v="3"/>
    <x v="6"/>
    <x v="116"/>
    <x v="3"/>
    <x v="21"/>
    <x v="56"/>
    <x v="44"/>
    <x v="136"/>
    <x v="91"/>
    <x v="0"/>
    <x v="47"/>
    <x v="0"/>
    <x v="0"/>
    <x v="35"/>
    <x v="2"/>
    <x v="0"/>
    <x v="107"/>
    <x v="104"/>
    <x v="33"/>
    <x v="3"/>
    <x v="86"/>
    <x v="61"/>
    <x v="96"/>
    <x v="85"/>
    <x v="130"/>
    <x v="0"/>
    <x v="51"/>
    <x v="57"/>
    <x v="78"/>
    <x v="5"/>
    <x v="150"/>
    <x v="136"/>
    <x v="230"/>
    <x v="86"/>
    <x v="99"/>
    <x v="0"/>
    <x v="0"/>
    <x v="0"/>
    <x v="0"/>
    <x v="0"/>
    <x v="0"/>
    <x v="0"/>
    <x v="0"/>
    <x v="0"/>
    <x v="0"/>
    <x v="0"/>
    <x v="0"/>
    <x v="0"/>
    <x v="0"/>
    <x v="0"/>
    <x v="0"/>
    <x v="0"/>
    <x v="0"/>
    <x v="0"/>
    <x v="0"/>
    <x v="0"/>
    <x v="0"/>
    <x v="0"/>
    <x v="0"/>
    <x v="0"/>
    <x v="0"/>
    <x v="0"/>
    <x v="0"/>
    <x v="0"/>
    <x v="0"/>
  </r>
  <r>
    <x v="17"/>
    <x v="3"/>
    <x v="8"/>
    <x v="59"/>
    <x v="7"/>
    <x v="12"/>
    <x v="25"/>
    <x v="265"/>
    <x v="4"/>
    <x v="24"/>
    <x v="83"/>
    <x v="88"/>
    <x v="272"/>
    <x v="183"/>
    <x v="0"/>
    <x v="0"/>
    <x v="0"/>
    <x v="0"/>
    <x v="79"/>
    <x v="0"/>
    <x v="1"/>
    <x v="141"/>
    <x v="69"/>
    <x v="31"/>
    <x v="0"/>
    <x v="0"/>
    <x v="160"/>
    <x v="117"/>
    <x v="0"/>
    <x v="104"/>
    <x v="9"/>
    <x v="57"/>
    <x v="45"/>
    <x v="185"/>
    <x v="3"/>
    <x v="102"/>
    <x v="112"/>
    <x v="121"/>
    <x v="250"/>
    <x v="99"/>
    <x v="5"/>
    <x v="0"/>
    <x v="0"/>
    <x v="0"/>
    <x v="0"/>
    <x v="0"/>
    <x v="0"/>
    <x v="0"/>
    <x v="0"/>
    <x v="0"/>
    <x v="0"/>
    <x v="0"/>
    <x v="0"/>
    <x v="0"/>
    <x v="0"/>
    <x v="0"/>
    <x v="0"/>
    <x v="0"/>
    <x v="0"/>
    <x v="0"/>
    <x v="0"/>
    <x v="0"/>
    <x v="0"/>
    <x v="0"/>
    <x v="0"/>
    <x v="0"/>
    <x v="0"/>
    <x v="0"/>
    <x v="9"/>
    <x v="9"/>
  </r>
  <r>
    <x v="17"/>
    <x v="3"/>
    <x v="9"/>
    <x v="19"/>
    <x v="7"/>
    <x v="12"/>
    <x v="40"/>
    <x v="194"/>
    <x v="4"/>
    <x v="24"/>
    <x v="86"/>
    <x v="99"/>
    <x v="282"/>
    <x v="194"/>
    <x v="0"/>
    <x v="0"/>
    <x v="0"/>
    <x v="0"/>
    <x v="1"/>
    <x v="0"/>
    <x v="0"/>
    <x v="198"/>
    <x v="172"/>
    <x v="24"/>
    <x v="0"/>
    <x v="0"/>
    <x v="160"/>
    <x v="1"/>
    <x v="0"/>
    <x v="232"/>
    <x v="0"/>
    <x v="60"/>
    <x v="57"/>
    <x v="210"/>
    <x v="1"/>
    <x v="2"/>
    <x v="231"/>
    <x v="313"/>
    <x v="251"/>
    <x v="99"/>
    <x v="6"/>
    <x v="0"/>
    <x v="0"/>
    <x v="0"/>
    <x v="0"/>
    <x v="0"/>
    <x v="0"/>
    <x v="0"/>
    <x v="0"/>
    <x v="0"/>
    <x v="0"/>
    <x v="0"/>
    <x v="0"/>
    <x v="0"/>
    <x v="0"/>
    <x v="0"/>
    <x v="0"/>
    <x v="0"/>
    <x v="0"/>
    <x v="0"/>
    <x v="0"/>
    <x v="0"/>
    <x v="0"/>
    <x v="0"/>
    <x v="0"/>
    <x v="0"/>
    <x v="0"/>
    <x v="0"/>
    <x v="0"/>
    <x v="0"/>
  </r>
  <r>
    <x v="17"/>
    <x v="3"/>
    <x v="1"/>
    <x v="37"/>
    <x v="7"/>
    <x v="10"/>
    <x v="57"/>
    <x v="108"/>
    <x v="2"/>
    <x v="7"/>
    <x v="3"/>
    <x v="0"/>
    <x v="6"/>
    <x v="6"/>
    <x v="0"/>
    <x v="0"/>
    <x v="2"/>
    <x v="0"/>
    <x v="7"/>
    <x v="0"/>
    <x v="3"/>
    <x v="5"/>
    <x v="100"/>
    <x v="18"/>
    <x v="0"/>
    <x v="0"/>
    <x v="160"/>
    <x v="169"/>
    <x v="0"/>
    <x v="49"/>
    <x v="15"/>
    <x v="4"/>
    <x v="2"/>
    <x v="7"/>
    <x v="7"/>
    <x v="229"/>
    <x v="64"/>
    <x v="4"/>
    <x v="315"/>
    <x v="13"/>
    <x v="3"/>
    <x v="7"/>
    <x v="7"/>
    <x v="7"/>
    <x v="4"/>
    <x v="8"/>
    <x v="11"/>
    <x v="9"/>
    <x v="4"/>
    <x v="1"/>
    <x v="4"/>
    <x v="2"/>
    <x v="10"/>
    <x v="1"/>
    <x v="1"/>
    <x v="1"/>
    <x v="3"/>
    <x v="1"/>
    <x v="1"/>
    <x v="1"/>
    <x v="1"/>
    <x v="5"/>
    <x v="1"/>
    <x v="3"/>
    <x v="1"/>
    <x v="1"/>
    <x v="1"/>
    <x v="3"/>
    <x v="15"/>
    <x v="15"/>
  </r>
  <r>
    <x v="17"/>
    <x v="3"/>
    <x v="1"/>
    <x v="36"/>
    <x v="7"/>
    <x v="10"/>
    <x v="49"/>
    <x v="104"/>
    <x v="2"/>
    <x v="13"/>
    <x v="26"/>
    <x v="17"/>
    <x v="41"/>
    <x v="38"/>
    <x v="0"/>
    <x v="0"/>
    <x v="9"/>
    <x v="0"/>
    <x v="13"/>
    <x v="0"/>
    <x v="3"/>
    <x v="20"/>
    <x v="129"/>
    <x v="17"/>
    <x v="0"/>
    <x v="0"/>
    <x v="160"/>
    <x v="92"/>
    <x v="0"/>
    <x v="133"/>
    <x v="9"/>
    <x v="23"/>
    <x v="28"/>
    <x v="38"/>
    <x v="7"/>
    <x v="237"/>
    <x v="17"/>
    <x v="30"/>
    <x v="316"/>
    <x v="16"/>
    <x v="1"/>
    <x v="5"/>
    <x v="7"/>
    <x v="7"/>
    <x v="4"/>
    <x v="8"/>
    <x v="11"/>
    <x v="9"/>
    <x v="4"/>
    <x v="1"/>
    <x v="4"/>
    <x v="2"/>
    <x v="10"/>
    <x v="1"/>
    <x v="1"/>
    <x v="1"/>
    <x v="3"/>
    <x v="1"/>
    <x v="1"/>
    <x v="1"/>
    <x v="1"/>
    <x v="5"/>
    <x v="1"/>
    <x v="3"/>
    <x v="1"/>
    <x v="1"/>
    <x v="1"/>
    <x v="3"/>
    <x v="9"/>
    <x v="9"/>
  </r>
  <r>
    <x v="17"/>
    <x v="3"/>
    <x v="1"/>
    <x v="35"/>
    <x v="7"/>
    <x v="10"/>
    <x v="44"/>
    <x v="104"/>
    <x v="2"/>
    <x v="7"/>
    <x v="10"/>
    <x v="17"/>
    <x v="14"/>
    <x v="15"/>
    <x v="0"/>
    <x v="0"/>
    <x v="5"/>
    <x v="0"/>
    <x v="8"/>
    <x v="0"/>
    <x v="3"/>
    <x v="10"/>
    <x v="44"/>
    <x v="17"/>
    <x v="0"/>
    <x v="0"/>
    <x v="160"/>
    <x v="148"/>
    <x v="0"/>
    <x v="70"/>
    <x v="9"/>
    <x v="8"/>
    <x v="13"/>
    <x v="20"/>
    <x v="7"/>
    <x v="232"/>
    <x v="44"/>
    <x v="19"/>
    <x v="317"/>
    <x v="15"/>
    <x v="1"/>
    <x v="5"/>
    <x v="7"/>
    <x v="7"/>
    <x v="4"/>
    <x v="8"/>
    <x v="11"/>
    <x v="9"/>
    <x v="4"/>
    <x v="1"/>
    <x v="4"/>
    <x v="2"/>
    <x v="10"/>
    <x v="1"/>
    <x v="1"/>
    <x v="1"/>
    <x v="3"/>
    <x v="1"/>
    <x v="1"/>
    <x v="1"/>
    <x v="1"/>
    <x v="5"/>
    <x v="1"/>
    <x v="3"/>
    <x v="1"/>
    <x v="1"/>
    <x v="1"/>
    <x v="3"/>
    <x v="9"/>
    <x v="9"/>
  </r>
  <r>
    <x v="17"/>
    <x v="1"/>
    <x v="4"/>
    <x v="58"/>
    <x v="7"/>
    <x v="6"/>
    <x v="26"/>
    <x v="274"/>
    <x v="1"/>
    <x v="23"/>
    <x v="69"/>
    <x v="59"/>
    <x v="222"/>
    <x v="127"/>
    <x v="0"/>
    <x v="0"/>
    <x v="0"/>
    <x v="0"/>
    <x v="0"/>
    <x v="0"/>
    <x v="0"/>
    <x v="140"/>
    <x v="65"/>
    <x v="30"/>
    <x v="0"/>
    <x v="0"/>
    <x v="160"/>
    <x v="0"/>
    <x v="0"/>
    <x v="233"/>
    <x v="7"/>
    <x v="54"/>
    <x v="49"/>
    <x v="115"/>
    <x v="2"/>
    <x v="100"/>
    <x v="50"/>
    <x v="82"/>
    <x v="318"/>
    <x v="99"/>
    <x v="4"/>
    <x v="0"/>
    <x v="0"/>
    <x v="0"/>
    <x v="0"/>
    <x v="0"/>
    <x v="0"/>
    <x v="0"/>
    <x v="0"/>
    <x v="0"/>
    <x v="0"/>
    <x v="0"/>
    <x v="0"/>
    <x v="0"/>
    <x v="0"/>
    <x v="0"/>
    <x v="0"/>
    <x v="0"/>
    <x v="0"/>
    <x v="0"/>
    <x v="0"/>
    <x v="0"/>
    <x v="0"/>
    <x v="0"/>
    <x v="0"/>
    <x v="0"/>
    <x v="0"/>
    <x v="0"/>
    <x v="7"/>
    <x v="7"/>
  </r>
  <r>
    <x v="17"/>
    <x v="1"/>
    <x v="7"/>
    <x v="57"/>
    <x v="7"/>
    <x v="8"/>
    <x v="28"/>
    <x v="281"/>
    <x v="1"/>
    <x v="18"/>
    <x v="62"/>
    <x v="63"/>
    <x v="141"/>
    <x v="95"/>
    <x v="0"/>
    <x v="0"/>
    <x v="0"/>
    <x v="0"/>
    <x v="0"/>
    <x v="0"/>
    <x v="0"/>
    <x v="111"/>
    <x v="50"/>
    <x v="29"/>
    <x v="0"/>
    <x v="0"/>
    <x v="160"/>
    <x v="0"/>
    <x v="0"/>
    <x v="233"/>
    <x v="10"/>
    <x v="34"/>
    <x v="33"/>
    <x v="113"/>
    <x v="2"/>
    <x v="85"/>
    <x v="89"/>
    <x v="77"/>
    <x v="252"/>
    <x v="99"/>
    <x v="4"/>
    <x v="1"/>
    <x v="0"/>
    <x v="0"/>
    <x v="0"/>
    <x v="0"/>
    <x v="0"/>
    <x v="0"/>
    <x v="0"/>
    <x v="0"/>
    <x v="0"/>
    <x v="0"/>
    <x v="0"/>
    <x v="0"/>
    <x v="0"/>
    <x v="0"/>
    <x v="0"/>
    <x v="0"/>
    <x v="0"/>
    <x v="0"/>
    <x v="0"/>
    <x v="0"/>
    <x v="0"/>
    <x v="0"/>
    <x v="0"/>
    <x v="0"/>
    <x v="0"/>
    <x v="0"/>
    <x v="10"/>
    <x v="10"/>
  </r>
  <r>
    <x v="17"/>
    <x v="1"/>
    <x v="5"/>
    <x v="12"/>
    <x v="6"/>
    <x v="5"/>
    <x v="18"/>
    <x v="285"/>
    <x v="1"/>
    <x v="23"/>
    <x v="61"/>
    <x v="46"/>
    <x v="218"/>
    <x v="120"/>
    <x v="31"/>
    <x v="60"/>
    <x v="0"/>
    <x v="0"/>
    <x v="76"/>
    <x v="2"/>
    <x v="0"/>
    <x v="131"/>
    <x v="201"/>
    <x v="38"/>
    <x v="1"/>
    <x v="112"/>
    <x v="20"/>
    <x v="163"/>
    <x v="99"/>
    <x v="58"/>
    <x v="0"/>
    <x v="59"/>
    <x v="57"/>
    <x v="104"/>
    <x v="4"/>
    <x v="116"/>
    <x v="190"/>
    <x v="283"/>
    <x v="97"/>
    <x v="88"/>
    <x v="0"/>
    <x v="15"/>
    <x v="0"/>
    <x v="0"/>
    <x v="0"/>
    <x v="0"/>
    <x v="0"/>
    <x v="9"/>
    <x v="0"/>
    <x v="0"/>
    <x v="0"/>
    <x v="0"/>
    <x v="10"/>
    <x v="0"/>
    <x v="0"/>
    <x v="0"/>
    <x v="0"/>
    <x v="0"/>
    <x v="0"/>
    <x v="0"/>
    <x v="0"/>
    <x v="0"/>
    <x v="0"/>
    <x v="0"/>
    <x v="0"/>
    <x v="0"/>
    <x v="0"/>
    <x v="0"/>
    <x v="0"/>
    <x v="0"/>
  </r>
  <r>
    <x v="17"/>
    <x v="1"/>
    <x v="6"/>
    <x v="15"/>
    <x v="7"/>
    <x v="9"/>
    <x v="19"/>
    <x v="286"/>
    <x v="1"/>
    <x v="16"/>
    <x v="69"/>
    <x v="80"/>
    <x v="168"/>
    <x v="109"/>
    <x v="0"/>
    <x v="0"/>
    <x v="0"/>
    <x v="0"/>
    <x v="0"/>
    <x v="0"/>
    <x v="0"/>
    <x v="122"/>
    <x v="26"/>
    <x v="7"/>
    <x v="0"/>
    <x v="0"/>
    <x v="160"/>
    <x v="0"/>
    <x v="0"/>
    <x v="233"/>
    <x v="7"/>
    <x v="32"/>
    <x v="38"/>
    <x v="150"/>
    <x v="0"/>
    <x v="39"/>
    <x v="13"/>
    <x v="37"/>
    <x v="99"/>
    <x v="99"/>
    <x v="4"/>
    <x v="0"/>
    <x v="0"/>
    <x v="0"/>
    <x v="0"/>
    <x v="0"/>
    <x v="0"/>
    <x v="0"/>
    <x v="0"/>
    <x v="0"/>
    <x v="0"/>
    <x v="0"/>
    <x v="0"/>
    <x v="0"/>
    <x v="0"/>
    <x v="0"/>
    <x v="0"/>
    <x v="0"/>
    <x v="0"/>
    <x v="0"/>
    <x v="0"/>
    <x v="0"/>
    <x v="0"/>
    <x v="0"/>
    <x v="0"/>
    <x v="0"/>
    <x v="0"/>
    <x v="0"/>
    <x v="7"/>
    <x v="7"/>
  </r>
  <r>
    <x v="17"/>
    <x v="1"/>
    <x v="7"/>
    <x v="18"/>
    <x v="7"/>
    <x v="8"/>
    <x v="20"/>
    <x v="287"/>
    <x v="1"/>
    <x v="9"/>
    <x v="30"/>
    <x v="54"/>
    <x v="50"/>
    <x v="46"/>
    <x v="0"/>
    <x v="0"/>
    <x v="0"/>
    <x v="0"/>
    <x v="0"/>
    <x v="0"/>
    <x v="0"/>
    <x v="59"/>
    <x v="110"/>
    <x v="10"/>
    <x v="0"/>
    <x v="0"/>
    <x v="160"/>
    <x v="0"/>
    <x v="0"/>
    <x v="233"/>
    <x v="3"/>
    <x v="13"/>
    <x v="38"/>
    <x v="117"/>
    <x v="2"/>
    <x v="87"/>
    <x v="86"/>
    <x v="90"/>
    <x v="101"/>
    <x v="85"/>
    <x v="0"/>
    <x v="0"/>
    <x v="0"/>
    <x v="0"/>
    <x v="0"/>
    <x v="0"/>
    <x v="0"/>
    <x v="0"/>
    <x v="0"/>
    <x v="0"/>
    <x v="0"/>
    <x v="0"/>
    <x v="0"/>
    <x v="0"/>
    <x v="0"/>
    <x v="0"/>
    <x v="0"/>
    <x v="0"/>
    <x v="0"/>
    <x v="0"/>
    <x v="0"/>
    <x v="0"/>
    <x v="0"/>
    <x v="0"/>
    <x v="0"/>
    <x v="0"/>
    <x v="0"/>
    <x v="1"/>
    <x v="3"/>
    <x v="3"/>
  </r>
  <r>
    <x v="17"/>
    <x v="1"/>
    <x v="0"/>
    <x v="0"/>
    <x v="4"/>
    <x v="0"/>
    <x v="8"/>
    <x v="113"/>
    <x v="1"/>
    <x v="25"/>
    <x v="39"/>
    <x v="4"/>
    <x v="161"/>
    <x v="100"/>
    <x v="32"/>
    <x v="53"/>
    <x v="0"/>
    <x v="0"/>
    <x v="72"/>
    <x v="2"/>
    <x v="0"/>
    <x v="115"/>
    <x v="233"/>
    <x v="33"/>
    <x v="5"/>
    <x v="157"/>
    <x v="30"/>
    <x v="168"/>
    <x v="87"/>
    <x v="50"/>
    <x v="0"/>
    <x v="61"/>
    <x v="57"/>
    <x v="45"/>
    <x v="6"/>
    <x v="177"/>
    <x v="204"/>
    <x v="295"/>
    <x v="98"/>
    <x v="31"/>
    <x v="0"/>
    <x v="0"/>
    <x v="0"/>
    <x v="0"/>
    <x v="0"/>
    <x v="0"/>
    <x v="0"/>
    <x v="0"/>
    <x v="0"/>
    <x v="0"/>
    <x v="0"/>
    <x v="0"/>
    <x v="0"/>
    <x v="0"/>
    <x v="0"/>
    <x v="0"/>
    <x v="0"/>
    <x v="0"/>
    <x v="0"/>
    <x v="0"/>
    <x v="0"/>
    <x v="0"/>
    <x v="0"/>
    <x v="0"/>
    <x v="0"/>
    <x v="0"/>
    <x v="0"/>
    <x v="0"/>
    <x v="0"/>
    <x v="0"/>
  </r>
  <r>
    <x v="17"/>
    <x v="1"/>
    <x v="3"/>
    <x v="48"/>
    <x v="7"/>
    <x v="3"/>
    <x v="6"/>
    <x v="117"/>
    <x v="1"/>
    <x v="23"/>
    <x v="56"/>
    <x v="30"/>
    <x v="115"/>
    <x v="77"/>
    <x v="0"/>
    <x v="52"/>
    <x v="0"/>
    <x v="0"/>
    <x v="72"/>
    <x v="0"/>
    <x v="0"/>
    <x v="92"/>
    <x v="45"/>
    <x v="33"/>
    <x v="3"/>
    <x v="58"/>
    <x v="31"/>
    <x v="194"/>
    <x v="94"/>
    <x v="21"/>
    <x v="20"/>
    <x v="42"/>
    <x v="24"/>
    <x v="44"/>
    <x v="5"/>
    <x v="154"/>
    <x v="130"/>
    <x v="56"/>
    <x v="100"/>
    <x v="28"/>
    <x v="0"/>
    <x v="0"/>
    <x v="0"/>
    <x v="0"/>
    <x v="0"/>
    <x v="0"/>
    <x v="9"/>
    <x v="0"/>
    <x v="0"/>
    <x v="0"/>
    <x v="0"/>
    <x v="0"/>
    <x v="0"/>
    <x v="0"/>
    <x v="0"/>
    <x v="0"/>
    <x v="0"/>
    <x v="0"/>
    <x v="0"/>
    <x v="0"/>
    <x v="0"/>
    <x v="0"/>
    <x v="0"/>
    <x v="0"/>
    <x v="0"/>
    <x v="0"/>
    <x v="0"/>
    <x v="0"/>
    <x v="20"/>
    <x v="20"/>
  </r>
  <r>
    <x v="17"/>
    <x v="2"/>
    <x v="0"/>
    <x v="0"/>
    <x v="4"/>
    <x v="0"/>
    <x v="8"/>
    <x v="114"/>
    <x v="0"/>
    <x v="23"/>
    <x v="39"/>
    <x v="10"/>
    <x v="105"/>
    <x v="71"/>
    <x v="0"/>
    <x v="30"/>
    <x v="0"/>
    <x v="0"/>
    <x v="67"/>
    <x v="2"/>
    <x v="0"/>
    <x v="86"/>
    <x v="213"/>
    <x v="33"/>
    <x v="5"/>
    <x v="141"/>
    <x v="49"/>
    <x v="190"/>
    <x v="60"/>
    <x v="26"/>
    <x v="0"/>
    <x v="59"/>
    <x v="57"/>
    <x v="39"/>
    <x v="6"/>
    <x v="181"/>
    <x v="177"/>
    <x v="266"/>
    <x v="102"/>
    <x v="99"/>
    <x v="0"/>
    <x v="0"/>
    <x v="0"/>
    <x v="0"/>
    <x v="0"/>
    <x v="0"/>
    <x v="0"/>
    <x v="0"/>
    <x v="0"/>
    <x v="0"/>
    <x v="0"/>
    <x v="0"/>
    <x v="0"/>
    <x v="0"/>
    <x v="0"/>
    <x v="0"/>
    <x v="0"/>
    <x v="0"/>
    <x v="0"/>
    <x v="0"/>
    <x v="0"/>
    <x v="0"/>
    <x v="0"/>
    <x v="0"/>
    <x v="0"/>
    <x v="0"/>
    <x v="0"/>
    <x v="0"/>
    <x v="0"/>
    <x v="0"/>
  </r>
  <r>
    <x v="17"/>
    <x v="2"/>
    <x v="5"/>
    <x v="12"/>
    <x v="6"/>
    <x v="5"/>
    <x v="18"/>
    <x v="290"/>
    <x v="0"/>
    <x v="23"/>
    <x v="61"/>
    <x v="46"/>
    <x v="169"/>
    <x v="106"/>
    <x v="0"/>
    <x v="29"/>
    <x v="0"/>
    <x v="0"/>
    <x v="60"/>
    <x v="0"/>
    <x v="0"/>
    <x v="119"/>
    <x v="132"/>
    <x v="38"/>
    <x v="1"/>
    <x v="70"/>
    <x v="84"/>
    <x v="138"/>
    <x v="42"/>
    <x v="82"/>
    <x v="0"/>
    <x v="59"/>
    <x v="57"/>
    <x v="88"/>
    <x v="4"/>
    <x v="140"/>
    <x v="83"/>
    <x v="167"/>
    <x v="253"/>
    <x v="99"/>
    <x v="0"/>
    <x v="0"/>
    <x v="0"/>
    <x v="0"/>
    <x v="0"/>
    <x v="0"/>
    <x v="0"/>
    <x v="0"/>
    <x v="0"/>
    <x v="0"/>
    <x v="0"/>
    <x v="0"/>
    <x v="0"/>
    <x v="0"/>
    <x v="0"/>
    <x v="0"/>
    <x v="0"/>
    <x v="0"/>
    <x v="0"/>
    <x v="0"/>
    <x v="0"/>
    <x v="0"/>
    <x v="0"/>
    <x v="0"/>
    <x v="0"/>
    <x v="0"/>
    <x v="0"/>
    <x v="0"/>
    <x v="0"/>
    <x v="0"/>
  </r>
  <r>
    <x v="17"/>
    <x v="2"/>
    <x v="3"/>
    <x v="48"/>
    <x v="7"/>
    <x v="3"/>
    <x v="6"/>
    <x v="118"/>
    <x v="0"/>
    <x v="23"/>
    <x v="56"/>
    <x v="30"/>
    <x v="203"/>
    <x v="117"/>
    <x v="0"/>
    <x v="0"/>
    <x v="0"/>
    <x v="0"/>
    <x v="1"/>
    <x v="2"/>
    <x v="0"/>
    <x v="127"/>
    <x v="222"/>
    <x v="33"/>
    <x v="3"/>
    <x v="119"/>
    <x v="152"/>
    <x v="5"/>
    <x v="0"/>
    <x v="228"/>
    <x v="0"/>
    <x v="59"/>
    <x v="57"/>
    <x v="101"/>
    <x v="5"/>
    <x v="121"/>
    <x v="223"/>
    <x v="309"/>
    <x v="254"/>
    <x v="99"/>
    <x v="0"/>
    <x v="0"/>
    <x v="0"/>
    <x v="0"/>
    <x v="0"/>
    <x v="0"/>
    <x v="0"/>
    <x v="0"/>
    <x v="0"/>
    <x v="0"/>
    <x v="0"/>
    <x v="0"/>
    <x v="0"/>
    <x v="0"/>
    <x v="0"/>
    <x v="0"/>
    <x v="0"/>
    <x v="0"/>
    <x v="0"/>
    <x v="0"/>
    <x v="0"/>
    <x v="0"/>
    <x v="0"/>
    <x v="0"/>
    <x v="0"/>
    <x v="0"/>
    <x v="0"/>
    <x v="0"/>
    <x v="0"/>
    <x v="0"/>
  </r>
  <r>
    <x v="18"/>
    <x v="0"/>
    <x v="5"/>
    <x v="12"/>
    <x v="6"/>
    <x v="5"/>
    <x v="18"/>
    <x v="295"/>
    <x v="3"/>
    <x v="23"/>
    <x v="61"/>
    <x v="46"/>
    <x v="104"/>
    <x v="65"/>
    <x v="37"/>
    <x v="62"/>
    <x v="0"/>
    <x v="0"/>
    <x v="60"/>
    <x v="2"/>
    <x v="0"/>
    <x v="79"/>
    <x v="18"/>
    <x v="38"/>
    <x v="1"/>
    <x v="68"/>
    <x v="2"/>
    <x v="184"/>
    <x v="114"/>
    <x v="42"/>
    <x v="21"/>
    <x v="41"/>
    <x v="22"/>
    <x v="30"/>
    <x v="4"/>
    <x v="171"/>
    <x v="15"/>
    <x v="25"/>
    <x v="106"/>
    <x v="81"/>
    <x v="0"/>
    <x v="0"/>
    <x v="0"/>
    <x v="0"/>
    <x v="0"/>
    <x v="6"/>
    <x v="2"/>
    <x v="0"/>
    <x v="3"/>
    <x v="0"/>
    <x v="0"/>
    <x v="0"/>
    <x v="0"/>
    <x v="0"/>
    <x v="0"/>
    <x v="0"/>
    <x v="0"/>
    <x v="0"/>
    <x v="0"/>
    <x v="0"/>
    <x v="0"/>
    <x v="0"/>
    <x v="0"/>
    <x v="0"/>
    <x v="0"/>
    <x v="0"/>
    <x v="0"/>
    <x v="0"/>
    <x v="21"/>
    <x v="21"/>
  </r>
  <r>
    <x v="18"/>
    <x v="0"/>
    <x v="3"/>
    <x v="48"/>
    <x v="7"/>
    <x v="3"/>
    <x v="6"/>
    <x v="121"/>
    <x v="3"/>
    <x v="23"/>
    <x v="56"/>
    <x v="30"/>
    <x v="171"/>
    <x v="109"/>
    <x v="9"/>
    <x v="0"/>
    <x v="0"/>
    <x v="0"/>
    <x v="10"/>
    <x v="2"/>
    <x v="0"/>
    <x v="122"/>
    <x v="206"/>
    <x v="33"/>
    <x v="3"/>
    <x v="115"/>
    <x v="132"/>
    <x v="40"/>
    <x v="0"/>
    <x v="190"/>
    <x v="0"/>
    <x v="59"/>
    <x v="57"/>
    <x v="94"/>
    <x v="5"/>
    <x v="135"/>
    <x v="194"/>
    <x v="291"/>
    <x v="103"/>
    <x v="99"/>
    <x v="0"/>
    <x v="0"/>
    <x v="0"/>
    <x v="0"/>
    <x v="0"/>
    <x v="0"/>
    <x v="0"/>
    <x v="0"/>
    <x v="0"/>
    <x v="0"/>
    <x v="0"/>
    <x v="0"/>
    <x v="0"/>
    <x v="0"/>
    <x v="0"/>
    <x v="0"/>
    <x v="0"/>
    <x v="0"/>
    <x v="0"/>
    <x v="0"/>
    <x v="0"/>
    <x v="0"/>
    <x v="0"/>
    <x v="0"/>
    <x v="0"/>
    <x v="0"/>
    <x v="0"/>
    <x v="0"/>
    <x v="0"/>
    <x v="0"/>
  </r>
  <r>
    <x v="18"/>
    <x v="0"/>
    <x v="4"/>
    <x v="58"/>
    <x v="7"/>
    <x v="6"/>
    <x v="26"/>
    <x v="275"/>
    <x v="3"/>
    <x v="15"/>
    <x v="55"/>
    <x v="61"/>
    <x v="128"/>
    <x v="91"/>
    <x v="0"/>
    <x v="0"/>
    <x v="0"/>
    <x v="0"/>
    <x v="0"/>
    <x v="0"/>
    <x v="0"/>
    <x v="107"/>
    <x v="125"/>
    <x v="30"/>
    <x v="0"/>
    <x v="0"/>
    <x v="160"/>
    <x v="0"/>
    <x v="0"/>
    <x v="233"/>
    <x v="5"/>
    <x v="30"/>
    <x v="41"/>
    <x v="136"/>
    <x v="2"/>
    <x v="55"/>
    <x v="152"/>
    <x v="155"/>
    <x v="104"/>
    <x v="99"/>
    <x v="3"/>
    <x v="0"/>
    <x v="0"/>
    <x v="0"/>
    <x v="0"/>
    <x v="0"/>
    <x v="0"/>
    <x v="0"/>
    <x v="0"/>
    <x v="0"/>
    <x v="0"/>
    <x v="0"/>
    <x v="0"/>
    <x v="0"/>
    <x v="0"/>
    <x v="0"/>
    <x v="0"/>
    <x v="0"/>
    <x v="0"/>
    <x v="0"/>
    <x v="0"/>
    <x v="0"/>
    <x v="0"/>
    <x v="0"/>
    <x v="0"/>
    <x v="0"/>
    <x v="0"/>
    <x v="0"/>
    <x v="5"/>
    <x v="5"/>
  </r>
  <r>
    <x v="18"/>
    <x v="0"/>
    <x v="4"/>
    <x v="40"/>
    <x v="7"/>
    <x v="6"/>
    <x v="22"/>
    <x v="284"/>
    <x v="3"/>
    <x v="10"/>
    <x v="46"/>
    <x v="66"/>
    <x v="75"/>
    <x v="63"/>
    <x v="0"/>
    <x v="0"/>
    <x v="0"/>
    <x v="0"/>
    <x v="15"/>
    <x v="0"/>
    <x v="0"/>
    <x v="77"/>
    <x v="119"/>
    <x v="13"/>
    <x v="0"/>
    <x v="0"/>
    <x v="160"/>
    <x v="66"/>
    <x v="0"/>
    <x v="160"/>
    <x v="0"/>
    <x v="21"/>
    <x v="57"/>
    <x v="149"/>
    <x v="2"/>
    <x v="61"/>
    <x v="145"/>
    <x v="251"/>
    <x v="105"/>
    <x v="99"/>
    <x v="0"/>
    <x v="0"/>
    <x v="0"/>
    <x v="0"/>
    <x v="0"/>
    <x v="0"/>
    <x v="0"/>
    <x v="0"/>
    <x v="0"/>
    <x v="0"/>
    <x v="0"/>
    <x v="0"/>
    <x v="0"/>
    <x v="0"/>
    <x v="0"/>
    <x v="0"/>
    <x v="0"/>
    <x v="0"/>
    <x v="0"/>
    <x v="0"/>
    <x v="0"/>
    <x v="0"/>
    <x v="0"/>
    <x v="0"/>
    <x v="0"/>
    <x v="0"/>
    <x v="0"/>
    <x v="0"/>
    <x v="0"/>
    <x v="0"/>
  </r>
  <r>
    <x v="18"/>
    <x v="0"/>
    <x v="6"/>
    <x v="15"/>
    <x v="7"/>
    <x v="9"/>
    <x v="19"/>
    <x v="288"/>
    <x v="3"/>
    <x v="16"/>
    <x v="69"/>
    <x v="80"/>
    <x v="208"/>
    <x v="118"/>
    <x v="0"/>
    <x v="0"/>
    <x v="0"/>
    <x v="0"/>
    <x v="0"/>
    <x v="0"/>
    <x v="0"/>
    <x v="128"/>
    <x v="42"/>
    <x v="7"/>
    <x v="0"/>
    <x v="0"/>
    <x v="160"/>
    <x v="0"/>
    <x v="0"/>
    <x v="233"/>
    <x v="7"/>
    <x v="32"/>
    <x v="38"/>
    <x v="155"/>
    <x v="0"/>
    <x v="31"/>
    <x v="42"/>
    <x v="62"/>
    <x v="255"/>
    <x v="99"/>
    <x v="4"/>
    <x v="0"/>
    <x v="0"/>
    <x v="0"/>
    <x v="0"/>
    <x v="0"/>
    <x v="0"/>
    <x v="0"/>
    <x v="0"/>
    <x v="0"/>
    <x v="0"/>
    <x v="0"/>
    <x v="0"/>
    <x v="0"/>
    <x v="0"/>
    <x v="0"/>
    <x v="0"/>
    <x v="0"/>
    <x v="0"/>
    <x v="0"/>
    <x v="0"/>
    <x v="0"/>
    <x v="0"/>
    <x v="0"/>
    <x v="0"/>
    <x v="0"/>
    <x v="0"/>
    <x v="0"/>
    <x v="7"/>
    <x v="7"/>
  </r>
  <r>
    <x v="18"/>
    <x v="0"/>
    <x v="7"/>
    <x v="18"/>
    <x v="7"/>
    <x v="8"/>
    <x v="20"/>
    <x v="289"/>
    <x v="3"/>
    <x v="23"/>
    <x v="68"/>
    <x v="58"/>
    <x v="217"/>
    <x v="123"/>
    <x v="0"/>
    <x v="0"/>
    <x v="0"/>
    <x v="0"/>
    <x v="0"/>
    <x v="0"/>
    <x v="0"/>
    <x v="135"/>
    <x v="52"/>
    <x v="10"/>
    <x v="0"/>
    <x v="0"/>
    <x v="160"/>
    <x v="0"/>
    <x v="0"/>
    <x v="233"/>
    <x v="7"/>
    <x v="54"/>
    <x v="49"/>
    <x v="110"/>
    <x v="2"/>
    <x v="103"/>
    <x v="29"/>
    <x v="69"/>
    <x v="256"/>
    <x v="99"/>
    <x v="4"/>
    <x v="0"/>
    <x v="0"/>
    <x v="0"/>
    <x v="0"/>
    <x v="0"/>
    <x v="0"/>
    <x v="0"/>
    <x v="0"/>
    <x v="0"/>
    <x v="0"/>
    <x v="0"/>
    <x v="0"/>
    <x v="0"/>
    <x v="0"/>
    <x v="0"/>
    <x v="0"/>
    <x v="0"/>
    <x v="0"/>
    <x v="0"/>
    <x v="0"/>
    <x v="0"/>
    <x v="0"/>
    <x v="0"/>
    <x v="0"/>
    <x v="0"/>
    <x v="0"/>
    <x v="0"/>
    <x v="7"/>
    <x v="7"/>
  </r>
  <r>
    <x v="18"/>
    <x v="3"/>
    <x v="8"/>
    <x v="59"/>
    <x v="7"/>
    <x v="12"/>
    <x v="25"/>
    <x v="274"/>
    <x v="4"/>
    <x v="18"/>
    <x v="76"/>
    <x v="95"/>
    <x v="250"/>
    <x v="159"/>
    <x v="0"/>
    <x v="0"/>
    <x v="0"/>
    <x v="0"/>
    <x v="66"/>
    <x v="0"/>
    <x v="1"/>
    <x v="106"/>
    <x v="41"/>
    <x v="31"/>
    <x v="0"/>
    <x v="0"/>
    <x v="160"/>
    <x v="97"/>
    <x v="0"/>
    <x v="127"/>
    <x v="5"/>
    <x v="36"/>
    <x v="48"/>
    <x v="181"/>
    <x v="3"/>
    <x v="106"/>
    <x v="76"/>
    <x v="101"/>
    <x v="258"/>
    <x v="99"/>
    <x v="3"/>
    <x v="0"/>
    <x v="0"/>
    <x v="0"/>
    <x v="0"/>
    <x v="0"/>
    <x v="0"/>
    <x v="0"/>
    <x v="0"/>
    <x v="0"/>
    <x v="0"/>
    <x v="0"/>
    <x v="0"/>
    <x v="0"/>
    <x v="0"/>
    <x v="0"/>
    <x v="0"/>
    <x v="0"/>
    <x v="0"/>
    <x v="0"/>
    <x v="0"/>
    <x v="0"/>
    <x v="0"/>
    <x v="0"/>
    <x v="0"/>
    <x v="0"/>
    <x v="0"/>
    <x v="0"/>
    <x v="5"/>
    <x v="5"/>
  </r>
  <r>
    <x v="18"/>
    <x v="3"/>
    <x v="8"/>
    <x v="43"/>
    <x v="7"/>
    <x v="12"/>
    <x v="21"/>
    <x v="284"/>
    <x v="4"/>
    <x v="10"/>
    <x v="55"/>
    <x v="76"/>
    <x v="127"/>
    <x v="89"/>
    <x v="0"/>
    <x v="0"/>
    <x v="0"/>
    <x v="0"/>
    <x v="35"/>
    <x v="0"/>
    <x v="1"/>
    <x v="58"/>
    <x v="112"/>
    <x v="23"/>
    <x v="0"/>
    <x v="0"/>
    <x v="160"/>
    <x v="98"/>
    <x v="0"/>
    <x v="126"/>
    <x v="3"/>
    <x v="18"/>
    <x v="41"/>
    <x v="169"/>
    <x v="3"/>
    <x v="111"/>
    <x v="39"/>
    <x v="65"/>
    <x v="108"/>
    <x v="99"/>
    <x v="2"/>
    <x v="0"/>
    <x v="0"/>
    <x v="0"/>
    <x v="0"/>
    <x v="0"/>
    <x v="0"/>
    <x v="0"/>
    <x v="0"/>
    <x v="0"/>
    <x v="0"/>
    <x v="0"/>
    <x v="0"/>
    <x v="0"/>
    <x v="0"/>
    <x v="0"/>
    <x v="0"/>
    <x v="0"/>
    <x v="0"/>
    <x v="0"/>
    <x v="0"/>
    <x v="0"/>
    <x v="0"/>
    <x v="0"/>
    <x v="0"/>
    <x v="0"/>
    <x v="0"/>
    <x v="0"/>
    <x v="3"/>
    <x v="3"/>
  </r>
  <r>
    <x v="18"/>
    <x v="3"/>
    <x v="9"/>
    <x v="20"/>
    <x v="7"/>
    <x v="11"/>
    <x v="34"/>
    <x v="168"/>
    <x v="4"/>
    <x v="24"/>
    <x v="86"/>
    <x v="99"/>
    <x v="283"/>
    <x v="195"/>
    <x v="0"/>
    <x v="0"/>
    <x v="0"/>
    <x v="0"/>
    <x v="8"/>
    <x v="0"/>
    <x v="1"/>
    <x v="180"/>
    <x v="179"/>
    <x v="12"/>
    <x v="0"/>
    <x v="0"/>
    <x v="160"/>
    <x v="9"/>
    <x v="0"/>
    <x v="223"/>
    <x v="9"/>
    <x v="57"/>
    <x v="45"/>
    <x v="211"/>
    <x v="1"/>
    <x v="38"/>
    <x v="33"/>
    <x v="70"/>
    <x v="259"/>
    <x v="99"/>
    <x v="5"/>
    <x v="0"/>
    <x v="0"/>
    <x v="0"/>
    <x v="0"/>
    <x v="0"/>
    <x v="0"/>
    <x v="0"/>
    <x v="0"/>
    <x v="0"/>
    <x v="0"/>
    <x v="0"/>
    <x v="0"/>
    <x v="0"/>
    <x v="0"/>
    <x v="0"/>
    <x v="0"/>
    <x v="0"/>
    <x v="0"/>
    <x v="0"/>
    <x v="0"/>
    <x v="0"/>
    <x v="0"/>
    <x v="0"/>
    <x v="0"/>
    <x v="0"/>
    <x v="0"/>
    <x v="0"/>
    <x v="9"/>
    <x v="9"/>
  </r>
  <r>
    <x v="18"/>
    <x v="3"/>
    <x v="1"/>
    <x v="5"/>
    <x v="7"/>
    <x v="10"/>
    <x v="9"/>
    <x v="109"/>
    <x v="2"/>
    <x v="24"/>
    <x v="64"/>
    <x v="45"/>
    <x v="228"/>
    <x v="131"/>
    <x v="0"/>
    <x v="0"/>
    <x v="0"/>
    <x v="0"/>
    <x v="42"/>
    <x v="0"/>
    <x v="3"/>
    <x v="42"/>
    <x v="214"/>
    <x v="0"/>
    <x v="0"/>
    <x v="0"/>
    <x v="160"/>
    <x v="80"/>
    <x v="0"/>
    <x v="146"/>
    <x v="9"/>
    <x v="57"/>
    <x v="45"/>
    <x v="112"/>
    <x v="7"/>
    <x v="207"/>
    <x v="229"/>
    <x v="304"/>
    <x v="257"/>
    <x v="99"/>
    <x v="5"/>
    <x v="0"/>
    <x v="0"/>
    <x v="0"/>
    <x v="0"/>
    <x v="0"/>
    <x v="0"/>
    <x v="0"/>
    <x v="0"/>
    <x v="0"/>
    <x v="0"/>
    <x v="0"/>
    <x v="0"/>
    <x v="0"/>
    <x v="0"/>
    <x v="0"/>
    <x v="0"/>
    <x v="0"/>
    <x v="0"/>
    <x v="0"/>
    <x v="0"/>
    <x v="0"/>
    <x v="0"/>
    <x v="0"/>
    <x v="0"/>
    <x v="0"/>
    <x v="0"/>
    <x v="0"/>
    <x v="9"/>
    <x v="9"/>
  </r>
  <r>
    <x v="18"/>
    <x v="1"/>
    <x v="7"/>
    <x v="18"/>
    <x v="7"/>
    <x v="8"/>
    <x v="20"/>
    <x v="291"/>
    <x v="1"/>
    <x v="3"/>
    <x v="11"/>
    <x v="66"/>
    <x v="17"/>
    <x v="18"/>
    <x v="0"/>
    <x v="0"/>
    <x v="0"/>
    <x v="0"/>
    <x v="0"/>
    <x v="0"/>
    <x v="0"/>
    <x v="38"/>
    <x v="125"/>
    <x v="10"/>
    <x v="0"/>
    <x v="0"/>
    <x v="160"/>
    <x v="0"/>
    <x v="0"/>
    <x v="233"/>
    <x v="0"/>
    <x v="7"/>
    <x v="57"/>
    <x v="150"/>
    <x v="2"/>
    <x v="55"/>
    <x v="152"/>
    <x v="261"/>
    <x v="107"/>
    <x v="69"/>
    <x v="0"/>
    <x v="0"/>
    <x v="0"/>
    <x v="0"/>
    <x v="0"/>
    <x v="0"/>
    <x v="0"/>
    <x v="0"/>
    <x v="0"/>
    <x v="0"/>
    <x v="0"/>
    <x v="0"/>
    <x v="0"/>
    <x v="0"/>
    <x v="0"/>
    <x v="0"/>
    <x v="0"/>
    <x v="0"/>
    <x v="0"/>
    <x v="0"/>
    <x v="0"/>
    <x v="0"/>
    <x v="0"/>
    <x v="0"/>
    <x v="0"/>
    <x v="0"/>
    <x v="0"/>
    <x v="0"/>
    <x v="0"/>
    <x v="0"/>
  </r>
  <r>
    <x v="18"/>
    <x v="1"/>
    <x v="4"/>
    <x v="40"/>
    <x v="7"/>
    <x v="6"/>
    <x v="22"/>
    <x v="284"/>
    <x v="1"/>
    <x v="20"/>
    <x v="69"/>
    <x v="71"/>
    <x v="217"/>
    <x v="123"/>
    <x v="0"/>
    <x v="0"/>
    <x v="0"/>
    <x v="0"/>
    <x v="0"/>
    <x v="0"/>
    <x v="0"/>
    <x v="135"/>
    <x v="51"/>
    <x v="13"/>
    <x v="0"/>
    <x v="0"/>
    <x v="160"/>
    <x v="0"/>
    <x v="0"/>
    <x v="233"/>
    <x v="9"/>
    <x v="40"/>
    <x v="39"/>
    <x v="142"/>
    <x v="2"/>
    <x v="44"/>
    <x v="184"/>
    <x v="183"/>
    <x v="260"/>
    <x v="99"/>
    <x v="3"/>
    <x v="0"/>
    <x v="0"/>
    <x v="0"/>
    <x v="2"/>
    <x v="0"/>
    <x v="0"/>
    <x v="0"/>
    <x v="0"/>
    <x v="0"/>
    <x v="0"/>
    <x v="0"/>
    <x v="0"/>
    <x v="0"/>
    <x v="0"/>
    <x v="0"/>
    <x v="0"/>
    <x v="0"/>
    <x v="0"/>
    <x v="0"/>
    <x v="0"/>
    <x v="0"/>
    <x v="0"/>
    <x v="0"/>
    <x v="0"/>
    <x v="0"/>
    <x v="0"/>
    <x v="0"/>
    <x v="9"/>
    <x v="9"/>
  </r>
  <r>
    <x v="18"/>
    <x v="1"/>
    <x v="5"/>
    <x v="12"/>
    <x v="6"/>
    <x v="5"/>
    <x v="18"/>
    <x v="297"/>
    <x v="1"/>
    <x v="23"/>
    <x v="61"/>
    <x v="46"/>
    <x v="176"/>
    <x v="109"/>
    <x v="0"/>
    <x v="20"/>
    <x v="0"/>
    <x v="0"/>
    <x v="43"/>
    <x v="0"/>
    <x v="0"/>
    <x v="122"/>
    <x v="148"/>
    <x v="38"/>
    <x v="1"/>
    <x v="75"/>
    <x v="105"/>
    <x v="96"/>
    <x v="29"/>
    <x v="129"/>
    <x v="0"/>
    <x v="59"/>
    <x v="57"/>
    <x v="94"/>
    <x v="4"/>
    <x v="135"/>
    <x v="102"/>
    <x v="194"/>
    <x v="261"/>
    <x v="99"/>
    <x v="0"/>
    <x v="0"/>
    <x v="0"/>
    <x v="0"/>
    <x v="0"/>
    <x v="0"/>
    <x v="0"/>
    <x v="0"/>
    <x v="0"/>
    <x v="0"/>
    <x v="0"/>
    <x v="0"/>
    <x v="0"/>
    <x v="0"/>
    <x v="0"/>
    <x v="0"/>
    <x v="0"/>
    <x v="0"/>
    <x v="0"/>
    <x v="0"/>
    <x v="0"/>
    <x v="0"/>
    <x v="0"/>
    <x v="0"/>
    <x v="0"/>
    <x v="0"/>
    <x v="0"/>
    <x v="0"/>
    <x v="0"/>
    <x v="0"/>
  </r>
  <r>
    <x v="18"/>
    <x v="1"/>
    <x v="6"/>
    <x v="15"/>
    <x v="7"/>
    <x v="9"/>
    <x v="19"/>
    <x v="296"/>
    <x v="1"/>
    <x v="19"/>
    <x v="69"/>
    <x v="73"/>
    <x v="238"/>
    <x v="145"/>
    <x v="0"/>
    <x v="0"/>
    <x v="0"/>
    <x v="0"/>
    <x v="0"/>
    <x v="0"/>
    <x v="0"/>
    <x v="160"/>
    <x v="122"/>
    <x v="7"/>
    <x v="0"/>
    <x v="0"/>
    <x v="160"/>
    <x v="0"/>
    <x v="0"/>
    <x v="233"/>
    <x v="5"/>
    <x v="39"/>
    <x v="49"/>
    <x v="158"/>
    <x v="0"/>
    <x v="33"/>
    <x v="35"/>
    <x v="74"/>
    <x v="262"/>
    <x v="99"/>
    <x v="3"/>
    <x v="0"/>
    <x v="0"/>
    <x v="0"/>
    <x v="0"/>
    <x v="0"/>
    <x v="0"/>
    <x v="0"/>
    <x v="0"/>
    <x v="0"/>
    <x v="0"/>
    <x v="0"/>
    <x v="0"/>
    <x v="0"/>
    <x v="0"/>
    <x v="0"/>
    <x v="0"/>
    <x v="0"/>
    <x v="0"/>
    <x v="0"/>
    <x v="0"/>
    <x v="0"/>
    <x v="0"/>
    <x v="0"/>
    <x v="0"/>
    <x v="0"/>
    <x v="0"/>
    <x v="0"/>
    <x v="5"/>
    <x v="5"/>
  </r>
  <r>
    <x v="18"/>
    <x v="1"/>
    <x v="0"/>
    <x v="0"/>
    <x v="4"/>
    <x v="0"/>
    <x v="8"/>
    <x v="119"/>
    <x v="1"/>
    <x v="23"/>
    <x v="39"/>
    <x v="10"/>
    <x v="95"/>
    <x v="67"/>
    <x v="0"/>
    <x v="45"/>
    <x v="0"/>
    <x v="0"/>
    <x v="70"/>
    <x v="6"/>
    <x v="0"/>
    <x v="82"/>
    <x v="204"/>
    <x v="33"/>
    <x v="5"/>
    <x v="136"/>
    <x v="29"/>
    <x v="198"/>
    <x v="90"/>
    <x v="18"/>
    <x v="0"/>
    <x v="59"/>
    <x v="57"/>
    <x v="34"/>
    <x v="6"/>
    <x v="190"/>
    <x v="140"/>
    <x v="216"/>
    <x v="110"/>
    <x v="99"/>
    <x v="0"/>
    <x v="0"/>
    <x v="0"/>
    <x v="0"/>
    <x v="0"/>
    <x v="0"/>
    <x v="0"/>
    <x v="0"/>
    <x v="0"/>
    <x v="0"/>
    <x v="0"/>
    <x v="0"/>
    <x v="0"/>
    <x v="0"/>
    <x v="0"/>
    <x v="0"/>
    <x v="0"/>
    <x v="0"/>
    <x v="0"/>
    <x v="0"/>
    <x v="0"/>
    <x v="0"/>
    <x v="0"/>
    <x v="0"/>
    <x v="0"/>
    <x v="0"/>
    <x v="0"/>
    <x v="0"/>
    <x v="0"/>
    <x v="0"/>
  </r>
  <r>
    <x v="18"/>
    <x v="1"/>
    <x v="3"/>
    <x v="48"/>
    <x v="7"/>
    <x v="3"/>
    <x v="6"/>
    <x v="122"/>
    <x v="1"/>
    <x v="23"/>
    <x v="56"/>
    <x v="30"/>
    <x v="205"/>
    <x v="117"/>
    <x v="0"/>
    <x v="0"/>
    <x v="0"/>
    <x v="0"/>
    <x v="16"/>
    <x v="0"/>
    <x v="0"/>
    <x v="127"/>
    <x v="222"/>
    <x v="33"/>
    <x v="3"/>
    <x v="121"/>
    <x v="142"/>
    <x v="51"/>
    <x v="0"/>
    <x v="176"/>
    <x v="0"/>
    <x v="59"/>
    <x v="57"/>
    <x v="101"/>
    <x v="5"/>
    <x v="121"/>
    <x v="223"/>
    <x v="305"/>
    <x v="109"/>
    <x v="99"/>
    <x v="0"/>
    <x v="0"/>
    <x v="0"/>
    <x v="0"/>
    <x v="0"/>
    <x v="0"/>
    <x v="0"/>
    <x v="0"/>
    <x v="0"/>
    <x v="0"/>
    <x v="0"/>
    <x v="0"/>
    <x v="0"/>
    <x v="0"/>
    <x v="0"/>
    <x v="0"/>
    <x v="0"/>
    <x v="0"/>
    <x v="0"/>
    <x v="0"/>
    <x v="0"/>
    <x v="0"/>
    <x v="0"/>
    <x v="0"/>
    <x v="0"/>
    <x v="0"/>
    <x v="0"/>
    <x v="0"/>
    <x v="0"/>
    <x v="0"/>
  </r>
  <r>
    <x v="18"/>
    <x v="2"/>
    <x v="0"/>
    <x v="0"/>
    <x v="4"/>
    <x v="0"/>
    <x v="8"/>
    <x v="120"/>
    <x v="0"/>
    <x v="23"/>
    <x v="39"/>
    <x v="10"/>
    <x v="106"/>
    <x v="70"/>
    <x v="0"/>
    <x v="44"/>
    <x v="0"/>
    <x v="0"/>
    <x v="60"/>
    <x v="5"/>
    <x v="0"/>
    <x v="85"/>
    <x v="210"/>
    <x v="33"/>
    <x v="5"/>
    <x v="142"/>
    <x v="35"/>
    <x v="174"/>
    <x v="83"/>
    <x v="44"/>
    <x v="0"/>
    <x v="59"/>
    <x v="57"/>
    <x v="37"/>
    <x v="6"/>
    <x v="182"/>
    <x v="173"/>
    <x v="265"/>
    <x v="113"/>
    <x v="99"/>
    <x v="0"/>
    <x v="0"/>
    <x v="0"/>
    <x v="0"/>
    <x v="0"/>
    <x v="0"/>
    <x v="0"/>
    <x v="0"/>
    <x v="0"/>
    <x v="0"/>
    <x v="0"/>
    <x v="0"/>
    <x v="0"/>
    <x v="0"/>
    <x v="0"/>
    <x v="0"/>
    <x v="0"/>
    <x v="0"/>
    <x v="0"/>
    <x v="0"/>
    <x v="0"/>
    <x v="0"/>
    <x v="0"/>
    <x v="0"/>
    <x v="0"/>
    <x v="0"/>
    <x v="0"/>
    <x v="0"/>
    <x v="0"/>
    <x v="0"/>
  </r>
  <r>
    <x v="18"/>
    <x v="2"/>
    <x v="5"/>
    <x v="12"/>
    <x v="6"/>
    <x v="5"/>
    <x v="18"/>
    <x v="299"/>
    <x v="0"/>
    <x v="23"/>
    <x v="61"/>
    <x v="46"/>
    <x v="196"/>
    <x v="115"/>
    <x v="0"/>
    <x v="23"/>
    <x v="0"/>
    <x v="0"/>
    <x v="51"/>
    <x v="2"/>
    <x v="0"/>
    <x v="125"/>
    <x v="176"/>
    <x v="38"/>
    <x v="1"/>
    <x v="95"/>
    <x v="94"/>
    <x v="111"/>
    <x v="31"/>
    <x v="110"/>
    <x v="0"/>
    <x v="59"/>
    <x v="57"/>
    <x v="98"/>
    <x v="4"/>
    <x v="128"/>
    <x v="144"/>
    <x v="242"/>
    <x v="263"/>
    <x v="99"/>
    <x v="0"/>
    <x v="0"/>
    <x v="0"/>
    <x v="0"/>
    <x v="0"/>
    <x v="0"/>
    <x v="0"/>
    <x v="0"/>
    <x v="0"/>
    <x v="0"/>
    <x v="0"/>
    <x v="0"/>
    <x v="0"/>
    <x v="0"/>
    <x v="0"/>
    <x v="0"/>
    <x v="0"/>
    <x v="0"/>
    <x v="0"/>
    <x v="0"/>
    <x v="0"/>
    <x v="0"/>
    <x v="0"/>
    <x v="0"/>
    <x v="0"/>
    <x v="0"/>
    <x v="0"/>
    <x v="0"/>
    <x v="0"/>
    <x v="0"/>
  </r>
  <r>
    <x v="18"/>
    <x v="2"/>
    <x v="3"/>
    <x v="48"/>
    <x v="7"/>
    <x v="3"/>
    <x v="6"/>
    <x v="123"/>
    <x v="0"/>
    <x v="23"/>
    <x v="56"/>
    <x v="30"/>
    <x v="170"/>
    <x v="109"/>
    <x v="0"/>
    <x v="0"/>
    <x v="0"/>
    <x v="0"/>
    <x v="3"/>
    <x v="2"/>
    <x v="0"/>
    <x v="122"/>
    <x v="206"/>
    <x v="33"/>
    <x v="3"/>
    <x v="113"/>
    <x v="149"/>
    <x v="13"/>
    <x v="0"/>
    <x v="219"/>
    <x v="0"/>
    <x v="59"/>
    <x v="57"/>
    <x v="94"/>
    <x v="5"/>
    <x v="135"/>
    <x v="194"/>
    <x v="292"/>
    <x v="264"/>
    <x v="99"/>
    <x v="0"/>
    <x v="0"/>
    <x v="0"/>
    <x v="0"/>
    <x v="0"/>
    <x v="0"/>
    <x v="0"/>
    <x v="0"/>
    <x v="0"/>
    <x v="0"/>
    <x v="0"/>
    <x v="0"/>
    <x v="0"/>
    <x v="0"/>
    <x v="0"/>
    <x v="0"/>
    <x v="0"/>
    <x v="0"/>
    <x v="0"/>
    <x v="0"/>
    <x v="0"/>
    <x v="0"/>
    <x v="0"/>
    <x v="0"/>
    <x v="0"/>
    <x v="0"/>
    <x v="0"/>
    <x v="0"/>
    <x v="0"/>
    <x v="0"/>
  </r>
  <r>
    <x v="19"/>
    <x v="0"/>
    <x v="6"/>
    <x v="15"/>
    <x v="7"/>
    <x v="9"/>
    <x v="19"/>
    <x v="300"/>
    <x v="3"/>
    <x v="23"/>
    <x v="69"/>
    <x v="59"/>
    <x v="261"/>
    <x v="171"/>
    <x v="0"/>
    <x v="0"/>
    <x v="0"/>
    <x v="0"/>
    <x v="0"/>
    <x v="0"/>
    <x v="0"/>
    <x v="190"/>
    <x v="227"/>
    <x v="7"/>
    <x v="0"/>
    <x v="0"/>
    <x v="160"/>
    <x v="0"/>
    <x v="0"/>
    <x v="233"/>
    <x v="7"/>
    <x v="54"/>
    <x v="49"/>
    <x v="167"/>
    <x v="0"/>
    <x v="21"/>
    <x v="85"/>
    <x v="119"/>
    <x v="265"/>
    <x v="99"/>
    <x v="4"/>
    <x v="0"/>
    <x v="0"/>
    <x v="0"/>
    <x v="0"/>
    <x v="0"/>
    <x v="0"/>
    <x v="0"/>
    <x v="0"/>
    <x v="0"/>
    <x v="0"/>
    <x v="0"/>
    <x v="0"/>
    <x v="0"/>
    <x v="0"/>
    <x v="0"/>
    <x v="0"/>
    <x v="0"/>
    <x v="0"/>
    <x v="0"/>
    <x v="0"/>
    <x v="0"/>
    <x v="0"/>
    <x v="0"/>
    <x v="0"/>
    <x v="0"/>
    <x v="0"/>
    <x v="0"/>
    <x v="7"/>
    <x v="7"/>
  </r>
  <r>
    <x v="19"/>
    <x v="0"/>
    <x v="5"/>
    <x v="12"/>
    <x v="7"/>
    <x v="5"/>
    <x v="18"/>
    <x v="304"/>
    <x v="3"/>
    <x v="23"/>
    <x v="61"/>
    <x v="46"/>
    <x v="146"/>
    <x v="92"/>
    <x v="0"/>
    <x v="51"/>
    <x v="0"/>
    <x v="0"/>
    <x v="44"/>
    <x v="2"/>
    <x v="0"/>
    <x v="108"/>
    <x v="56"/>
    <x v="38"/>
    <x v="1"/>
    <x v="50"/>
    <x v="56"/>
    <x v="120"/>
    <x v="88"/>
    <x v="103"/>
    <x v="11"/>
    <x v="51"/>
    <x v="40"/>
    <x v="62"/>
    <x v="4"/>
    <x v="142"/>
    <x v="67"/>
    <x v="76"/>
    <x v="111"/>
    <x v="64"/>
    <x v="0"/>
    <x v="0"/>
    <x v="0"/>
    <x v="0"/>
    <x v="0"/>
    <x v="0"/>
    <x v="7"/>
    <x v="0"/>
    <x v="0"/>
    <x v="0"/>
    <x v="0"/>
    <x v="0"/>
    <x v="0"/>
    <x v="0"/>
    <x v="0"/>
    <x v="0"/>
    <x v="0"/>
    <x v="0"/>
    <x v="0"/>
    <x v="0"/>
    <x v="0"/>
    <x v="0"/>
    <x v="0"/>
    <x v="0"/>
    <x v="0"/>
    <x v="0"/>
    <x v="0"/>
    <x v="0"/>
    <x v="11"/>
    <x v="11"/>
  </r>
  <r>
    <x v="19"/>
    <x v="0"/>
    <x v="3"/>
    <x v="48"/>
    <x v="7"/>
    <x v="3"/>
    <x v="6"/>
    <x v="127"/>
    <x v="3"/>
    <x v="23"/>
    <x v="56"/>
    <x v="30"/>
    <x v="206"/>
    <x v="117"/>
    <x v="0"/>
    <x v="0"/>
    <x v="0"/>
    <x v="0"/>
    <x v="15"/>
    <x v="2"/>
    <x v="0"/>
    <x v="127"/>
    <x v="222"/>
    <x v="33"/>
    <x v="3"/>
    <x v="122"/>
    <x v="137"/>
    <x v="47"/>
    <x v="0"/>
    <x v="181"/>
    <x v="0"/>
    <x v="59"/>
    <x v="57"/>
    <x v="101"/>
    <x v="5"/>
    <x v="121"/>
    <x v="223"/>
    <x v="306"/>
    <x v="112"/>
    <x v="99"/>
    <x v="0"/>
    <x v="0"/>
    <x v="0"/>
    <x v="0"/>
    <x v="0"/>
    <x v="0"/>
    <x v="0"/>
    <x v="0"/>
    <x v="0"/>
    <x v="0"/>
    <x v="0"/>
    <x v="0"/>
    <x v="0"/>
    <x v="0"/>
    <x v="0"/>
    <x v="0"/>
    <x v="0"/>
    <x v="0"/>
    <x v="0"/>
    <x v="0"/>
    <x v="0"/>
    <x v="0"/>
    <x v="0"/>
    <x v="0"/>
    <x v="0"/>
    <x v="0"/>
    <x v="0"/>
    <x v="0"/>
    <x v="0"/>
    <x v="0"/>
  </r>
  <r>
    <x v="19"/>
    <x v="0"/>
    <x v="7"/>
    <x v="18"/>
    <x v="7"/>
    <x v="5"/>
    <x v="20"/>
    <x v="298"/>
    <x v="3"/>
    <x v="23"/>
    <x v="69"/>
    <x v="59"/>
    <x v="229"/>
    <x v="134"/>
    <x v="0"/>
    <x v="0"/>
    <x v="0"/>
    <x v="0"/>
    <x v="0"/>
    <x v="0"/>
    <x v="0"/>
    <x v="148"/>
    <x v="87"/>
    <x v="10"/>
    <x v="0"/>
    <x v="0"/>
    <x v="160"/>
    <x v="0"/>
    <x v="0"/>
    <x v="233"/>
    <x v="7"/>
    <x v="54"/>
    <x v="49"/>
    <x v="121"/>
    <x v="2"/>
    <x v="96"/>
    <x v="69"/>
    <x v="103"/>
    <x v="266"/>
    <x v="5"/>
    <x v="4"/>
    <x v="0"/>
    <x v="0"/>
    <x v="0"/>
    <x v="0"/>
    <x v="0"/>
    <x v="0"/>
    <x v="0"/>
    <x v="0"/>
    <x v="0"/>
    <x v="0"/>
    <x v="0"/>
    <x v="0"/>
    <x v="0"/>
    <x v="0"/>
    <x v="0"/>
    <x v="0"/>
    <x v="0"/>
    <x v="0"/>
    <x v="0"/>
    <x v="0"/>
    <x v="0"/>
    <x v="0"/>
    <x v="0"/>
    <x v="0"/>
    <x v="0"/>
    <x v="0"/>
    <x v="0"/>
    <x v="7"/>
    <x v="7"/>
  </r>
  <r>
    <x v="19"/>
    <x v="0"/>
    <x v="4"/>
    <x v="58"/>
    <x v="7"/>
    <x v="6"/>
    <x v="26"/>
    <x v="275"/>
    <x v="3"/>
    <x v="8"/>
    <x v="35"/>
    <x v="65"/>
    <x v="53"/>
    <x v="48"/>
    <x v="0"/>
    <x v="0"/>
    <x v="0"/>
    <x v="0"/>
    <x v="0"/>
    <x v="0"/>
    <x v="0"/>
    <x v="62"/>
    <x v="125"/>
    <x v="30"/>
    <x v="0"/>
    <x v="0"/>
    <x v="160"/>
    <x v="0"/>
    <x v="0"/>
    <x v="233"/>
    <x v="0"/>
    <x v="15"/>
    <x v="57"/>
    <x v="147"/>
    <x v="2"/>
    <x v="67"/>
    <x v="135"/>
    <x v="235"/>
    <x v="267"/>
    <x v="99"/>
    <x v="0"/>
    <x v="0"/>
    <x v="0"/>
    <x v="0"/>
    <x v="0"/>
    <x v="0"/>
    <x v="0"/>
    <x v="0"/>
    <x v="0"/>
    <x v="0"/>
    <x v="0"/>
    <x v="0"/>
    <x v="0"/>
    <x v="0"/>
    <x v="0"/>
    <x v="0"/>
    <x v="0"/>
    <x v="0"/>
    <x v="0"/>
    <x v="0"/>
    <x v="0"/>
    <x v="0"/>
    <x v="0"/>
    <x v="0"/>
    <x v="0"/>
    <x v="0"/>
    <x v="0"/>
    <x v="0"/>
    <x v="0"/>
    <x v="0"/>
  </r>
  <r>
    <x v="19"/>
    <x v="0"/>
    <x v="4"/>
    <x v="40"/>
    <x v="7"/>
    <x v="6"/>
    <x v="22"/>
    <x v="284"/>
    <x v="3"/>
    <x v="16"/>
    <x v="60"/>
    <x v="64"/>
    <x v="113"/>
    <x v="80"/>
    <x v="0"/>
    <x v="0"/>
    <x v="0"/>
    <x v="0"/>
    <x v="0"/>
    <x v="0"/>
    <x v="0"/>
    <x v="95"/>
    <x v="34"/>
    <x v="13"/>
    <x v="0"/>
    <x v="0"/>
    <x v="160"/>
    <x v="0"/>
    <x v="0"/>
    <x v="233"/>
    <x v="5"/>
    <x v="33"/>
    <x v="44"/>
    <x v="105"/>
    <x v="2"/>
    <x v="107"/>
    <x v="19"/>
    <x v="59"/>
    <x v="268"/>
    <x v="6"/>
    <x v="3"/>
    <x v="0"/>
    <x v="0"/>
    <x v="0"/>
    <x v="0"/>
    <x v="0"/>
    <x v="0"/>
    <x v="0"/>
    <x v="0"/>
    <x v="0"/>
    <x v="0"/>
    <x v="0"/>
    <x v="0"/>
    <x v="0"/>
    <x v="0"/>
    <x v="0"/>
    <x v="0"/>
    <x v="0"/>
    <x v="0"/>
    <x v="0"/>
    <x v="0"/>
    <x v="0"/>
    <x v="0"/>
    <x v="0"/>
    <x v="0"/>
    <x v="0"/>
    <x v="0"/>
    <x v="0"/>
    <x v="5"/>
    <x v="5"/>
  </r>
  <r>
    <x v="19"/>
    <x v="3"/>
    <x v="1"/>
    <x v="5"/>
    <x v="7"/>
    <x v="10"/>
    <x v="9"/>
    <x v="1"/>
    <x v="2"/>
    <x v="24"/>
    <x v="64"/>
    <x v="45"/>
    <x v="223"/>
    <x v="127"/>
    <x v="0"/>
    <x v="0"/>
    <x v="0"/>
    <x v="0"/>
    <x v="40"/>
    <x v="0"/>
    <x v="3"/>
    <x v="40"/>
    <x v="208"/>
    <x v="0"/>
    <x v="0"/>
    <x v="0"/>
    <x v="160"/>
    <x v="78"/>
    <x v="0"/>
    <x v="147"/>
    <x v="9"/>
    <x v="57"/>
    <x v="45"/>
    <x v="107"/>
    <x v="7"/>
    <x v="209"/>
    <x v="227"/>
    <x v="300"/>
    <x v="276"/>
    <x v="99"/>
    <x v="5"/>
    <x v="0"/>
    <x v="0"/>
    <x v="0"/>
    <x v="0"/>
    <x v="0"/>
    <x v="0"/>
    <x v="0"/>
    <x v="0"/>
    <x v="0"/>
    <x v="0"/>
    <x v="0"/>
    <x v="0"/>
    <x v="0"/>
    <x v="0"/>
    <x v="0"/>
    <x v="0"/>
    <x v="0"/>
    <x v="0"/>
    <x v="0"/>
    <x v="0"/>
    <x v="0"/>
    <x v="0"/>
    <x v="0"/>
    <x v="0"/>
    <x v="0"/>
    <x v="0"/>
    <x v="0"/>
    <x v="9"/>
    <x v="9"/>
  </r>
  <r>
    <x v="19"/>
    <x v="3"/>
    <x v="8"/>
    <x v="43"/>
    <x v="7"/>
    <x v="12"/>
    <x v="21"/>
    <x v="284"/>
    <x v="4"/>
    <x v="20"/>
    <x v="80"/>
    <x v="96"/>
    <x v="268"/>
    <x v="175"/>
    <x v="0"/>
    <x v="0"/>
    <x v="0"/>
    <x v="0"/>
    <x v="82"/>
    <x v="0"/>
    <x v="1"/>
    <x v="130"/>
    <x v="94"/>
    <x v="23"/>
    <x v="0"/>
    <x v="0"/>
    <x v="160"/>
    <x v="173"/>
    <x v="0"/>
    <x v="40"/>
    <x v="9"/>
    <x v="40"/>
    <x v="39"/>
    <x v="196"/>
    <x v="3"/>
    <x v="53"/>
    <x v="216"/>
    <x v="234"/>
    <x v="271"/>
    <x v="99"/>
    <x v="5"/>
    <x v="0"/>
    <x v="0"/>
    <x v="0"/>
    <x v="0"/>
    <x v="0"/>
    <x v="0"/>
    <x v="0"/>
    <x v="0"/>
    <x v="0"/>
    <x v="0"/>
    <x v="0"/>
    <x v="0"/>
    <x v="0"/>
    <x v="0"/>
    <x v="0"/>
    <x v="0"/>
    <x v="0"/>
    <x v="0"/>
    <x v="0"/>
    <x v="0"/>
    <x v="0"/>
    <x v="0"/>
    <x v="0"/>
    <x v="0"/>
    <x v="0"/>
    <x v="0"/>
    <x v="0"/>
    <x v="9"/>
    <x v="9"/>
  </r>
  <r>
    <x v="19"/>
    <x v="3"/>
    <x v="8"/>
    <x v="59"/>
    <x v="7"/>
    <x v="12"/>
    <x v="25"/>
    <x v="275"/>
    <x v="4"/>
    <x v="7"/>
    <x v="31"/>
    <x v="69"/>
    <x v="59"/>
    <x v="51"/>
    <x v="0"/>
    <x v="0"/>
    <x v="0"/>
    <x v="0"/>
    <x v="76"/>
    <x v="0"/>
    <x v="1"/>
    <x v="45"/>
    <x v="194"/>
    <x v="31"/>
    <x v="0"/>
    <x v="0"/>
    <x v="160"/>
    <x v="211"/>
    <x v="0"/>
    <x v="5"/>
    <x v="5"/>
    <x v="10"/>
    <x v="24"/>
    <x v="160"/>
    <x v="3"/>
    <x v="108"/>
    <x v="75"/>
    <x v="35"/>
    <x v="269"/>
    <x v="99"/>
    <x v="0"/>
    <x v="0"/>
    <x v="0"/>
    <x v="1"/>
    <x v="0"/>
    <x v="0"/>
    <x v="0"/>
    <x v="0"/>
    <x v="0"/>
    <x v="0"/>
    <x v="0"/>
    <x v="0"/>
    <x v="0"/>
    <x v="0"/>
    <x v="0"/>
    <x v="0"/>
    <x v="0"/>
    <x v="0"/>
    <x v="0"/>
    <x v="0"/>
    <x v="0"/>
    <x v="0"/>
    <x v="0"/>
    <x v="0"/>
    <x v="0"/>
    <x v="0"/>
    <x v="0"/>
    <x v="0"/>
    <x v="5"/>
    <x v="5"/>
  </r>
  <r>
    <x v="19"/>
    <x v="3"/>
    <x v="9"/>
    <x v="21"/>
    <x v="7"/>
    <x v="11"/>
    <x v="23"/>
    <x v="292"/>
    <x v="4"/>
    <x v="13"/>
    <x v="73"/>
    <x v="100"/>
    <x v="248"/>
    <x v="157"/>
    <x v="0"/>
    <x v="0"/>
    <x v="0"/>
    <x v="0"/>
    <x v="0"/>
    <x v="0"/>
    <x v="1"/>
    <x v="102"/>
    <x v="98"/>
    <x v="13"/>
    <x v="0"/>
    <x v="0"/>
    <x v="160"/>
    <x v="0"/>
    <x v="0"/>
    <x v="233"/>
    <x v="2"/>
    <x v="28"/>
    <x v="56"/>
    <x v="205"/>
    <x v="1"/>
    <x v="54"/>
    <x v="9"/>
    <x v="51"/>
    <x v="272"/>
    <x v="99"/>
    <x v="1"/>
    <x v="0"/>
    <x v="0"/>
    <x v="0"/>
    <x v="0"/>
    <x v="0"/>
    <x v="0"/>
    <x v="0"/>
    <x v="0"/>
    <x v="0"/>
    <x v="0"/>
    <x v="0"/>
    <x v="0"/>
    <x v="0"/>
    <x v="0"/>
    <x v="0"/>
    <x v="0"/>
    <x v="0"/>
    <x v="0"/>
    <x v="0"/>
    <x v="0"/>
    <x v="0"/>
    <x v="0"/>
    <x v="0"/>
    <x v="0"/>
    <x v="0"/>
    <x v="0"/>
    <x v="0"/>
    <x v="2"/>
    <x v="2"/>
  </r>
  <r>
    <x v="19"/>
    <x v="1"/>
    <x v="4"/>
    <x v="40"/>
    <x v="7"/>
    <x v="6"/>
    <x v="22"/>
    <x v="293"/>
    <x v="1"/>
    <x v="23"/>
    <x v="69"/>
    <x v="59"/>
    <x v="238"/>
    <x v="145"/>
    <x v="0"/>
    <x v="0"/>
    <x v="0"/>
    <x v="0"/>
    <x v="0"/>
    <x v="0"/>
    <x v="0"/>
    <x v="160"/>
    <x v="122"/>
    <x v="13"/>
    <x v="0"/>
    <x v="0"/>
    <x v="160"/>
    <x v="0"/>
    <x v="0"/>
    <x v="233"/>
    <x v="7"/>
    <x v="54"/>
    <x v="49"/>
    <x v="134"/>
    <x v="2"/>
    <x v="75"/>
    <x v="117"/>
    <x v="148"/>
    <x v="270"/>
    <x v="99"/>
    <x v="4"/>
    <x v="0"/>
    <x v="0"/>
    <x v="0"/>
    <x v="0"/>
    <x v="0"/>
    <x v="0"/>
    <x v="0"/>
    <x v="0"/>
    <x v="0"/>
    <x v="0"/>
    <x v="0"/>
    <x v="0"/>
    <x v="0"/>
    <x v="0"/>
    <x v="0"/>
    <x v="0"/>
    <x v="0"/>
    <x v="0"/>
    <x v="0"/>
    <x v="0"/>
    <x v="0"/>
    <x v="0"/>
    <x v="0"/>
    <x v="0"/>
    <x v="0"/>
    <x v="0"/>
    <x v="0"/>
    <x v="7"/>
    <x v="7"/>
  </r>
  <r>
    <x v="19"/>
    <x v="1"/>
    <x v="7"/>
    <x v="18"/>
    <x v="7"/>
    <x v="8"/>
    <x v="20"/>
    <x v="301"/>
    <x v="1"/>
    <x v="23"/>
    <x v="69"/>
    <x v="59"/>
    <x v="243"/>
    <x v="152"/>
    <x v="0"/>
    <x v="0"/>
    <x v="0"/>
    <x v="0"/>
    <x v="0"/>
    <x v="0"/>
    <x v="0"/>
    <x v="167"/>
    <x v="145"/>
    <x v="10"/>
    <x v="0"/>
    <x v="0"/>
    <x v="160"/>
    <x v="0"/>
    <x v="0"/>
    <x v="233"/>
    <x v="7"/>
    <x v="54"/>
    <x v="49"/>
    <x v="140"/>
    <x v="2"/>
    <x v="57"/>
    <x v="147"/>
    <x v="171"/>
    <x v="114"/>
    <x v="99"/>
    <x v="4"/>
    <x v="0"/>
    <x v="0"/>
    <x v="0"/>
    <x v="0"/>
    <x v="0"/>
    <x v="0"/>
    <x v="0"/>
    <x v="0"/>
    <x v="0"/>
    <x v="0"/>
    <x v="0"/>
    <x v="0"/>
    <x v="0"/>
    <x v="0"/>
    <x v="0"/>
    <x v="0"/>
    <x v="0"/>
    <x v="0"/>
    <x v="0"/>
    <x v="0"/>
    <x v="0"/>
    <x v="0"/>
    <x v="0"/>
    <x v="0"/>
    <x v="0"/>
    <x v="0"/>
    <x v="0"/>
    <x v="7"/>
    <x v="7"/>
  </r>
  <r>
    <x v="19"/>
    <x v="1"/>
    <x v="5"/>
    <x v="12"/>
    <x v="7"/>
    <x v="12"/>
    <x v="18"/>
    <x v="306"/>
    <x v="1"/>
    <x v="23"/>
    <x v="61"/>
    <x v="46"/>
    <x v="200"/>
    <x v="115"/>
    <x v="0"/>
    <x v="45"/>
    <x v="0"/>
    <x v="0"/>
    <x v="66"/>
    <x v="0"/>
    <x v="0"/>
    <x v="125"/>
    <x v="176"/>
    <x v="38"/>
    <x v="1"/>
    <x v="98"/>
    <x v="73"/>
    <x v="143"/>
    <x v="61"/>
    <x v="77"/>
    <x v="0"/>
    <x v="59"/>
    <x v="57"/>
    <x v="98"/>
    <x v="4"/>
    <x v="128"/>
    <x v="144"/>
    <x v="236"/>
    <x v="115"/>
    <x v="99"/>
    <x v="0"/>
    <x v="0"/>
    <x v="0"/>
    <x v="0"/>
    <x v="0"/>
    <x v="0"/>
    <x v="0"/>
    <x v="0"/>
    <x v="0"/>
    <x v="0"/>
    <x v="0"/>
    <x v="0"/>
    <x v="0"/>
    <x v="0"/>
    <x v="0"/>
    <x v="0"/>
    <x v="0"/>
    <x v="0"/>
    <x v="0"/>
    <x v="0"/>
    <x v="0"/>
    <x v="0"/>
    <x v="0"/>
    <x v="0"/>
    <x v="0"/>
    <x v="0"/>
    <x v="0"/>
    <x v="0"/>
    <x v="0"/>
    <x v="0"/>
  </r>
  <r>
    <x v="19"/>
    <x v="1"/>
    <x v="6"/>
    <x v="15"/>
    <x v="7"/>
    <x v="12"/>
    <x v="19"/>
    <x v="305"/>
    <x v="1"/>
    <x v="16"/>
    <x v="69"/>
    <x v="80"/>
    <x v="138"/>
    <x v="92"/>
    <x v="0"/>
    <x v="0"/>
    <x v="0"/>
    <x v="0"/>
    <x v="0"/>
    <x v="0"/>
    <x v="0"/>
    <x v="108"/>
    <x v="16"/>
    <x v="7"/>
    <x v="0"/>
    <x v="0"/>
    <x v="160"/>
    <x v="0"/>
    <x v="0"/>
    <x v="233"/>
    <x v="7"/>
    <x v="32"/>
    <x v="38"/>
    <x v="123"/>
    <x v="0"/>
    <x v="73"/>
    <x v="2"/>
    <x v="24"/>
    <x v="117"/>
    <x v="99"/>
    <x v="4"/>
    <x v="0"/>
    <x v="0"/>
    <x v="0"/>
    <x v="0"/>
    <x v="0"/>
    <x v="0"/>
    <x v="0"/>
    <x v="0"/>
    <x v="0"/>
    <x v="0"/>
    <x v="0"/>
    <x v="0"/>
    <x v="0"/>
    <x v="0"/>
    <x v="0"/>
    <x v="0"/>
    <x v="0"/>
    <x v="0"/>
    <x v="0"/>
    <x v="0"/>
    <x v="0"/>
    <x v="0"/>
    <x v="0"/>
    <x v="0"/>
    <x v="0"/>
    <x v="0"/>
    <x v="0"/>
    <x v="7"/>
    <x v="7"/>
  </r>
  <r>
    <x v="19"/>
    <x v="1"/>
    <x v="0"/>
    <x v="24"/>
    <x v="5"/>
    <x v="0"/>
    <x v="52"/>
    <x v="125"/>
    <x v="1"/>
    <x v="13"/>
    <x v="19"/>
    <x v="7"/>
    <x v="28"/>
    <x v="22"/>
    <x v="35"/>
    <x v="26"/>
    <x v="0"/>
    <x v="0"/>
    <x v="39"/>
    <x v="2"/>
    <x v="0"/>
    <x v="42"/>
    <x v="54"/>
    <x v="39"/>
    <x v="6"/>
    <x v="43"/>
    <x v="6"/>
    <x v="209"/>
    <x v="101"/>
    <x v="7"/>
    <x v="8"/>
    <x v="24"/>
    <x v="29"/>
    <x v="16"/>
    <x v="6"/>
    <x v="204"/>
    <x v="48"/>
    <x v="42"/>
    <x v="118"/>
    <x v="23"/>
    <x v="0"/>
    <x v="0"/>
    <x v="0"/>
    <x v="0"/>
    <x v="0"/>
    <x v="0"/>
    <x v="0"/>
    <x v="6"/>
    <x v="0"/>
    <x v="0"/>
    <x v="0"/>
    <x v="0"/>
    <x v="0"/>
    <x v="0"/>
    <x v="0"/>
    <x v="0"/>
    <x v="0"/>
    <x v="0"/>
    <x v="0"/>
    <x v="0"/>
    <x v="0"/>
    <x v="0"/>
    <x v="0"/>
    <x v="0"/>
    <x v="0"/>
    <x v="0"/>
    <x v="0"/>
    <x v="0"/>
    <x v="8"/>
    <x v="8"/>
  </r>
  <r>
    <x v="19"/>
    <x v="1"/>
    <x v="3"/>
    <x v="48"/>
    <x v="7"/>
    <x v="2"/>
    <x v="6"/>
    <x v="128"/>
    <x v="1"/>
    <x v="23"/>
    <x v="56"/>
    <x v="30"/>
    <x v="153"/>
    <x v="100"/>
    <x v="0"/>
    <x v="25"/>
    <x v="0"/>
    <x v="0"/>
    <x v="24"/>
    <x v="0"/>
    <x v="0"/>
    <x v="115"/>
    <x v="173"/>
    <x v="33"/>
    <x v="3"/>
    <x v="106"/>
    <x v="111"/>
    <x v="69"/>
    <x v="40"/>
    <x v="157"/>
    <x v="0"/>
    <x v="59"/>
    <x v="57"/>
    <x v="74"/>
    <x v="5"/>
    <x v="156"/>
    <x v="122"/>
    <x v="217"/>
    <x v="116"/>
    <x v="99"/>
    <x v="0"/>
    <x v="0"/>
    <x v="0"/>
    <x v="0"/>
    <x v="0"/>
    <x v="0"/>
    <x v="0"/>
    <x v="0"/>
    <x v="0"/>
    <x v="0"/>
    <x v="0"/>
    <x v="0"/>
    <x v="0"/>
    <x v="0"/>
    <x v="0"/>
    <x v="0"/>
    <x v="0"/>
    <x v="0"/>
    <x v="0"/>
    <x v="0"/>
    <x v="0"/>
    <x v="0"/>
    <x v="0"/>
    <x v="0"/>
    <x v="0"/>
    <x v="0"/>
    <x v="0"/>
    <x v="0"/>
    <x v="0"/>
    <x v="0"/>
  </r>
  <r>
    <x v="19"/>
    <x v="2"/>
    <x v="5"/>
    <x v="12"/>
    <x v="6"/>
    <x v="5"/>
    <x v="18"/>
    <x v="310"/>
    <x v="0"/>
    <x v="23"/>
    <x v="61"/>
    <x v="46"/>
    <x v="190"/>
    <x v="112"/>
    <x v="0"/>
    <x v="42"/>
    <x v="0"/>
    <x v="0"/>
    <x v="41"/>
    <x v="2"/>
    <x v="0"/>
    <x v="124"/>
    <x v="169"/>
    <x v="38"/>
    <x v="1"/>
    <x v="88"/>
    <x v="83"/>
    <x v="90"/>
    <x v="55"/>
    <x v="136"/>
    <x v="0"/>
    <x v="59"/>
    <x v="57"/>
    <x v="97"/>
    <x v="4"/>
    <x v="129"/>
    <x v="132"/>
    <x v="226"/>
    <x v="274"/>
    <x v="99"/>
    <x v="0"/>
    <x v="0"/>
    <x v="0"/>
    <x v="0"/>
    <x v="0"/>
    <x v="0"/>
    <x v="0"/>
    <x v="0"/>
    <x v="0"/>
    <x v="0"/>
    <x v="0"/>
    <x v="0"/>
    <x v="0"/>
    <x v="0"/>
    <x v="0"/>
    <x v="0"/>
    <x v="0"/>
    <x v="0"/>
    <x v="0"/>
    <x v="0"/>
    <x v="0"/>
    <x v="0"/>
    <x v="0"/>
    <x v="0"/>
    <x v="0"/>
    <x v="0"/>
    <x v="0"/>
    <x v="0"/>
    <x v="0"/>
    <x v="0"/>
  </r>
  <r>
    <x v="19"/>
    <x v="2"/>
    <x v="0"/>
    <x v="24"/>
    <x v="5"/>
    <x v="0"/>
    <x v="52"/>
    <x v="126"/>
    <x v="0"/>
    <x v="23"/>
    <x v="39"/>
    <x v="10"/>
    <x v="82"/>
    <x v="61"/>
    <x v="3"/>
    <x v="55"/>
    <x v="0"/>
    <x v="0"/>
    <x v="69"/>
    <x v="2"/>
    <x v="0"/>
    <x v="75"/>
    <x v="181"/>
    <x v="39"/>
    <x v="6"/>
    <x v="139"/>
    <x v="25"/>
    <x v="202"/>
    <x v="102"/>
    <x v="14"/>
    <x v="8"/>
    <x v="53"/>
    <x v="47"/>
    <x v="27"/>
    <x v="6"/>
    <x v="186"/>
    <x v="165"/>
    <x v="164"/>
    <x v="273"/>
    <x v="99"/>
    <x v="0"/>
    <x v="0"/>
    <x v="0"/>
    <x v="0"/>
    <x v="0"/>
    <x v="0"/>
    <x v="0"/>
    <x v="6"/>
    <x v="0"/>
    <x v="0"/>
    <x v="0"/>
    <x v="0"/>
    <x v="0"/>
    <x v="0"/>
    <x v="0"/>
    <x v="0"/>
    <x v="0"/>
    <x v="0"/>
    <x v="0"/>
    <x v="0"/>
    <x v="0"/>
    <x v="0"/>
    <x v="0"/>
    <x v="0"/>
    <x v="0"/>
    <x v="0"/>
    <x v="0"/>
    <x v="0"/>
    <x v="8"/>
    <x v="8"/>
  </r>
  <r>
    <x v="19"/>
    <x v="2"/>
    <x v="3"/>
    <x v="48"/>
    <x v="7"/>
    <x v="4"/>
    <x v="6"/>
    <x v="129"/>
    <x v="0"/>
    <x v="23"/>
    <x v="56"/>
    <x v="30"/>
    <x v="205"/>
    <x v="117"/>
    <x v="0"/>
    <x v="0"/>
    <x v="0"/>
    <x v="0"/>
    <x v="10"/>
    <x v="2"/>
    <x v="0"/>
    <x v="127"/>
    <x v="222"/>
    <x v="33"/>
    <x v="3"/>
    <x v="121"/>
    <x v="142"/>
    <x v="37"/>
    <x v="0"/>
    <x v="193"/>
    <x v="0"/>
    <x v="59"/>
    <x v="57"/>
    <x v="101"/>
    <x v="5"/>
    <x v="121"/>
    <x v="223"/>
    <x v="307"/>
    <x v="275"/>
    <x v="99"/>
    <x v="0"/>
    <x v="0"/>
    <x v="0"/>
    <x v="0"/>
    <x v="0"/>
    <x v="0"/>
    <x v="0"/>
    <x v="0"/>
    <x v="0"/>
    <x v="0"/>
    <x v="0"/>
    <x v="0"/>
    <x v="0"/>
    <x v="0"/>
    <x v="0"/>
    <x v="0"/>
    <x v="0"/>
    <x v="0"/>
    <x v="0"/>
    <x v="0"/>
    <x v="0"/>
    <x v="0"/>
    <x v="0"/>
    <x v="0"/>
    <x v="0"/>
    <x v="0"/>
    <x v="0"/>
    <x v="0"/>
    <x v="0"/>
    <x v="0"/>
  </r>
  <r>
    <x v="20"/>
    <x v="0"/>
    <x v="0"/>
    <x v="24"/>
    <x v="4"/>
    <x v="0"/>
    <x v="52"/>
    <x v="130"/>
    <x v="3"/>
    <x v="10"/>
    <x v="17"/>
    <x v="17"/>
    <x v="23"/>
    <x v="22"/>
    <x v="28"/>
    <x v="11"/>
    <x v="0"/>
    <x v="0"/>
    <x v="14"/>
    <x v="2"/>
    <x v="0"/>
    <x v="42"/>
    <x v="67"/>
    <x v="39"/>
    <x v="6"/>
    <x v="35"/>
    <x v="22"/>
    <x v="149"/>
    <x v="84"/>
    <x v="75"/>
    <x v="0"/>
    <x v="21"/>
    <x v="57"/>
    <x v="27"/>
    <x v="6"/>
    <x v="197"/>
    <x v="87"/>
    <x v="169"/>
    <x v="119"/>
    <x v="68"/>
    <x v="0"/>
    <x v="0"/>
    <x v="0"/>
    <x v="0"/>
    <x v="0"/>
    <x v="0"/>
    <x v="0"/>
    <x v="0"/>
    <x v="0"/>
    <x v="0"/>
    <x v="0"/>
    <x v="0"/>
    <x v="0"/>
    <x v="0"/>
    <x v="0"/>
    <x v="0"/>
    <x v="0"/>
    <x v="0"/>
    <x v="0"/>
    <x v="0"/>
    <x v="0"/>
    <x v="0"/>
    <x v="0"/>
    <x v="0"/>
    <x v="0"/>
    <x v="0"/>
    <x v="0"/>
    <x v="0"/>
    <x v="0"/>
    <x v="0"/>
  </r>
  <r>
    <x v="20"/>
    <x v="0"/>
    <x v="6"/>
    <x v="15"/>
    <x v="7"/>
    <x v="9"/>
    <x v="19"/>
    <x v="308"/>
    <x v="3"/>
    <x v="23"/>
    <x v="69"/>
    <x v="59"/>
    <x v="258"/>
    <x v="168"/>
    <x v="0"/>
    <x v="0"/>
    <x v="0"/>
    <x v="0"/>
    <x v="0"/>
    <x v="0"/>
    <x v="0"/>
    <x v="187"/>
    <x v="223"/>
    <x v="7"/>
    <x v="0"/>
    <x v="0"/>
    <x v="160"/>
    <x v="0"/>
    <x v="0"/>
    <x v="233"/>
    <x v="7"/>
    <x v="54"/>
    <x v="49"/>
    <x v="159"/>
    <x v="0"/>
    <x v="30"/>
    <x v="45"/>
    <x v="80"/>
    <x v="277"/>
    <x v="99"/>
    <x v="4"/>
    <x v="0"/>
    <x v="0"/>
    <x v="0"/>
    <x v="0"/>
    <x v="0"/>
    <x v="0"/>
    <x v="0"/>
    <x v="0"/>
    <x v="0"/>
    <x v="0"/>
    <x v="0"/>
    <x v="0"/>
    <x v="0"/>
    <x v="0"/>
    <x v="0"/>
    <x v="0"/>
    <x v="0"/>
    <x v="0"/>
    <x v="0"/>
    <x v="0"/>
    <x v="0"/>
    <x v="0"/>
    <x v="0"/>
    <x v="0"/>
    <x v="0"/>
    <x v="0"/>
    <x v="0"/>
    <x v="7"/>
    <x v="7"/>
  </r>
  <r>
    <x v="20"/>
    <x v="0"/>
    <x v="0"/>
    <x v="26"/>
    <x v="4"/>
    <x v="0"/>
    <x v="45"/>
    <x v="130"/>
    <x v="3"/>
    <x v="14"/>
    <x v="22"/>
    <x v="8"/>
    <x v="27"/>
    <x v="22"/>
    <x v="29"/>
    <x v="33"/>
    <x v="0"/>
    <x v="0"/>
    <x v="16"/>
    <x v="3"/>
    <x v="0"/>
    <x v="42"/>
    <x v="39"/>
    <x v="39"/>
    <x v="6"/>
    <x v="39"/>
    <x v="10"/>
    <x v="158"/>
    <x v="105"/>
    <x v="63"/>
    <x v="15"/>
    <x v="20"/>
    <x v="21"/>
    <x v="14"/>
    <x v="6"/>
    <x v="196"/>
    <x v="100"/>
    <x v="33"/>
    <x v="122"/>
    <x v="82"/>
    <x v="0"/>
    <x v="2"/>
    <x v="1"/>
    <x v="0"/>
    <x v="0"/>
    <x v="0"/>
    <x v="0"/>
    <x v="0"/>
    <x v="0"/>
    <x v="0"/>
    <x v="0"/>
    <x v="0"/>
    <x v="0"/>
    <x v="0"/>
    <x v="0"/>
    <x v="0"/>
    <x v="0"/>
    <x v="0"/>
    <x v="0"/>
    <x v="0"/>
    <x v="0"/>
    <x v="0"/>
    <x v="0"/>
    <x v="0"/>
    <x v="0"/>
    <x v="0"/>
    <x v="0"/>
    <x v="0"/>
    <x v="15"/>
    <x v="15"/>
  </r>
  <r>
    <x v="20"/>
    <x v="0"/>
    <x v="5"/>
    <x v="12"/>
    <x v="6"/>
    <x v="5"/>
    <x v="18"/>
    <x v="311"/>
    <x v="3"/>
    <x v="23"/>
    <x v="61"/>
    <x v="46"/>
    <x v="191"/>
    <x v="112"/>
    <x v="0"/>
    <x v="31"/>
    <x v="0"/>
    <x v="0"/>
    <x v="64"/>
    <x v="2"/>
    <x v="0"/>
    <x v="124"/>
    <x v="169"/>
    <x v="38"/>
    <x v="1"/>
    <x v="89"/>
    <x v="80"/>
    <x v="140"/>
    <x v="41"/>
    <x v="81"/>
    <x v="0"/>
    <x v="59"/>
    <x v="57"/>
    <x v="97"/>
    <x v="4"/>
    <x v="129"/>
    <x v="132"/>
    <x v="219"/>
    <x v="278"/>
    <x v="99"/>
    <x v="0"/>
    <x v="0"/>
    <x v="0"/>
    <x v="0"/>
    <x v="0"/>
    <x v="0"/>
    <x v="0"/>
    <x v="0"/>
    <x v="0"/>
    <x v="0"/>
    <x v="0"/>
    <x v="0"/>
    <x v="0"/>
    <x v="0"/>
    <x v="0"/>
    <x v="0"/>
    <x v="0"/>
    <x v="0"/>
    <x v="0"/>
    <x v="0"/>
    <x v="0"/>
    <x v="0"/>
    <x v="0"/>
    <x v="0"/>
    <x v="0"/>
    <x v="0"/>
    <x v="0"/>
    <x v="0"/>
    <x v="0"/>
    <x v="0"/>
  </r>
  <r>
    <x v="20"/>
    <x v="0"/>
    <x v="7"/>
    <x v="18"/>
    <x v="7"/>
    <x v="8"/>
    <x v="20"/>
    <x v="300"/>
    <x v="3"/>
    <x v="23"/>
    <x v="68"/>
    <x v="58"/>
    <x v="240"/>
    <x v="147"/>
    <x v="0"/>
    <x v="0"/>
    <x v="0"/>
    <x v="0"/>
    <x v="0"/>
    <x v="0"/>
    <x v="0"/>
    <x v="162"/>
    <x v="135"/>
    <x v="10"/>
    <x v="0"/>
    <x v="0"/>
    <x v="160"/>
    <x v="0"/>
    <x v="0"/>
    <x v="233"/>
    <x v="7"/>
    <x v="54"/>
    <x v="49"/>
    <x v="137"/>
    <x v="2"/>
    <x v="68"/>
    <x v="134"/>
    <x v="160"/>
    <x v="279"/>
    <x v="99"/>
    <x v="4"/>
    <x v="0"/>
    <x v="0"/>
    <x v="0"/>
    <x v="0"/>
    <x v="0"/>
    <x v="0"/>
    <x v="0"/>
    <x v="0"/>
    <x v="0"/>
    <x v="0"/>
    <x v="0"/>
    <x v="0"/>
    <x v="0"/>
    <x v="0"/>
    <x v="0"/>
    <x v="0"/>
    <x v="0"/>
    <x v="0"/>
    <x v="0"/>
    <x v="0"/>
    <x v="0"/>
    <x v="0"/>
    <x v="0"/>
    <x v="0"/>
    <x v="0"/>
    <x v="0"/>
    <x v="0"/>
    <x v="7"/>
    <x v="7"/>
  </r>
  <r>
    <x v="20"/>
    <x v="0"/>
    <x v="3"/>
    <x v="48"/>
    <x v="7"/>
    <x v="3"/>
    <x v="6"/>
    <x v="135"/>
    <x v="3"/>
    <x v="23"/>
    <x v="56"/>
    <x v="30"/>
    <x v="187"/>
    <x v="115"/>
    <x v="0"/>
    <x v="0"/>
    <x v="0"/>
    <x v="0"/>
    <x v="10"/>
    <x v="2"/>
    <x v="0"/>
    <x v="125"/>
    <x v="215"/>
    <x v="33"/>
    <x v="3"/>
    <x v="116"/>
    <x v="140"/>
    <x v="38"/>
    <x v="0"/>
    <x v="192"/>
    <x v="0"/>
    <x v="59"/>
    <x v="57"/>
    <x v="98"/>
    <x v="5"/>
    <x v="128"/>
    <x v="211"/>
    <x v="299"/>
    <x v="120"/>
    <x v="99"/>
    <x v="0"/>
    <x v="0"/>
    <x v="0"/>
    <x v="0"/>
    <x v="0"/>
    <x v="0"/>
    <x v="0"/>
    <x v="0"/>
    <x v="0"/>
    <x v="0"/>
    <x v="0"/>
    <x v="0"/>
    <x v="0"/>
    <x v="0"/>
    <x v="0"/>
    <x v="0"/>
    <x v="0"/>
    <x v="0"/>
    <x v="0"/>
    <x v="0"/>
    <x v="0"/>
    <x v="0"/>
    <x v="0"/>
    <x v="0"/>
    <x v="0"/>
    <x v="0"/>
    <x v="0"/>
    <x v="0"/>
    <x v="0"/>
    <x v="0"/>
  </r>
  <r>
    <x v="20"/>
    <x v="0"/>
    <x v="4"/>
    <x v="40"/>
    <x v="7"/>
    <x v="6"/>
    <x v="22"/>
    <x v="294"/>
    <x v="3"/>
    <x v="23"/>
    <x v="68"/>
    <x v="58"/>
    <x v="226"/>
    <x v="130"/>
    <x v="0"/>
    <x v="0"/>
    <x v="0"/>
    <x v="0"/>
    <x v="0"/>
    <x v="0"/>
    <x v="0"/>
    <x v="143"/>
    <x v="78"/>
    <x v="13"/>
    <x v="0"/>
    <x v="0"/>
    <x v="160"/>
    <x v="0"/>
    <x v="0"/>
    <x v="233"/>
    <x v="7"/>
    <x v="54"/>
    <x v="49"/>
    <x v="118"/>
    <x v="2"/>
    <x v="98"/>
    <x v="60"/>
    <x v="93"/>
    <x v="280"/>
    <x v="99"/>
    <x v="4"/>
    <x v="0"/>
    <x v="0"/>
    <x v="0"/>
    <x v="0"/>
    <x v="0"/>
    <x v="0"/>
    <x v="0"/>
    <x v="0"/>
    <x v="0"/>
    <x v="0"/>
    <x v="0"/>
    <x v="0"/>
    <x v="0"/>
    <x v="0"/>
    <x v="0"/>
    <x v="0"/>
    <x v="0"/>
    <x v="0"/>
    <x v="0"/>
    <x v="0"/>
    <x v="0"/>
    <x v="0"/>
    <x v="0"/>
    <x v="0"/>
    <x v="0"/>
    <x v="0"/>
    <x v="0"/>
    <x v="7"/>
    <x v="7"/>
  </r>
  <r>
    <x v="20"/>
    <x v="3"/>
    <x v="8"/>
    <x v="43"/>
    <x v="7"/>
    <x v="12"/>
    <x v="21"/>
    <x v="293"/>
    <x v="4"/>
    <x v="24"/>
    <x v="83"/>
    <x v="88"/>
    <x v="270"/>
    <x v="181"/>
    <x v="0"/>
    <x v="0"/>
    <x v="0"/>
    <x v="0"/>
    <x v="22"/>
    <x v="0"/>
    <x v="1"/>
    <x v="139"/>
    <x v="63"/>
    <x v="23"/>
    <x v="0"/>
    <x v="0"/>
    <x v="160"/>
    <x v="35"/>
    <x v="0"/>
    <x v="195"/>
    <x v="9"/>
    <x v="57"/>
    <x v="45"/>
    <x v="182"/>
    <x v="3"/>
    <x v="104"/>
    <x v="90"/>
    <x v="113"/>
    <x v="123"/>
    <x v="49"/>
    <x v="5"/>
    <x v="0"/>
    <x v="0"/>
    <x v="0"/>
    <x v="0"/>
    <x v="0"/>
    <x v="0"/>
    <x v="0"/>
    <x v="0"/>
    <x v="0"/>
    <x v="0"/>
    <x v="0"/>
    <x v="0"/>
    <x v="0"/>
    <x v="0"/>
    <x v="0"/>
    <x v="0"/>
    <x v="0"/>
    <x v="0"/>
    <x v="0"/>
    <x v="0"/>
    <x v="0"/>
    <x v="0"/>
    <x v="0"/>
    <x v="0"/>
    <x v="0"/>
    <x v="0"/>
    <x v="0"/>
    <x v="9"/>
    <x v="9"/>
  </r>
  <r>
    <x v="20"/>
    <x v="3"/>
    <x v="9"/>
    <x v="21"/>
    <x v="7"/>
    <x v="11"/>
    <x v="23"/>
    <x v="293"/>
    <x v="4"/>
    <x v="24"/>
    <x v="85"/>
    <x v="98"/>
    <x v="265"/>
    <x v="176"/>
    <x v="0"/>
    <x v="0"/>
    <x v="0"/>
    <x v="0"/>
    <x v="2"/>
    <x v="0"/>
    <x v="1"/>
    <x v="132"/>
    <x v="27"/>
    <x v="13"/>
    <x v="0"/>
    <x v="0"/>
    <x v="160"/>
    <x v="2"/>
    <x v="0"/>
    <x v="231"/>
    <x v="9"/>
    <x v="57"/>
    <x v="45"/>
    <x v="172"/>
    <x v="1"/>
    <x v="110"/>
    <x v="0"/>
    <x v="17"/>
    <x v="124"/>
    <x v="99"/>
    <x v="5"/>
    <x v="0"/>
    <x v="0"/>
    <x v="0"/>
    <x v="0"/>
    <x v="0"/>
    <x v="0"/>
    <x v="0"/>
    <x v="0"/>
    <x v="0"/>
    <x v="0"/>
    <x v="0"/>
    <x v="0"/>
    <x v="0"/>
    <x v="0"/>
    <x v="0"/>
    <x v="0"/>
    <x v="0"/>
    <x v="0"/>
    <x v="0"/>
    <x v="0"/>
    <x v="0"/>
    <x v="0"/>
    <x v="0"/>
    <x v="0"/>
    <x v="0"/>
    <x v="0"/>
    <x v="0"/>
    <x v="9"/>
    <x v="9"/>
  </r>
  <r>
    <x v="20"/>
    <x v="3"/>
    <x v="1"/>
    <x v="5"/>
    <x v="7"/>
    <x v="10"/>
    <x v="9"/>
    <x v="115"/>
    <x v="2"/>
    <x v="15"/>
    <x v="29"/>
    <x v="21"/>
    <x v="49"/>
    <x v="44"/>
    <x v="0"/>
    <x v="0"/>
    <x v="12"/>
    <x v="0"/>
    <x v="9"/>
    <x v="0"/>
    <x v="3"/>
    <x v="24"/>
    <x v="118"/>
    <x v="0"/>
    <x v="0"/>
    <x v="0"/>
    <x v="160"/>
    <x v="64"/>
    <x v="0"/>
    <x v="162"/>
    <x v="9"/>
    <x v="27"/>
    <x v="30"/>
    <x v="47"/>
    <x v="7"/>
    <x v="235"/>
    <x v="34"/>
    <x v="45"/>
    <x v="121"/>
    <x v="11"/>
    <x v="3"/>
    <x v="2"/>
    <x v="0"/>
    <x v="0"/>
    <x v="0"/>
    <x v="0"/>
    <x v="0"/>
    <x v="0"/>
    <x v="0"/>
    <x v="0"/>
    <x v="0"/>
    <x v="0"/>
    <x v="0"/>
    <x v="0"/>
    <x v="0"/>
    <x v="0"/>
    <x v="0"/>
    <x v="0"/>
    <x v="0"/>
    <x v="0"/>
    <x v="0"/>
    <x v="0"/>
    <x v="0"/>
    <x v="0"/>
    <x v="0"/>
    <x v="0"/>
    <x v="0"/>
    <x v="0"/>
    <x v="9"/>
    <x v="9"/>
  </r>
  <r>
    <x v="20"/>
    <x v="3"/>
    <x v="1"/>
    <x v="29"/>
    <x v="7"/>
    <x v="10"/>
    <x v="7"/>
    <x v="77"/>
    <x v="2"/>
    <x v="7"/>
    <x v="11"/>
    <x v="24"/>
    <x v="22"/>
    <x v="21"/>
    <x v="0"/>
    <x v="0"/>
    <x v="4"/>
    <x v="0"/>
    <x v="12"/>
    <x v="0"/>
    <x v="3"/>
    <x v="13"/>
    <x v="161"/>
    <x v="14"/>
    <x v="0"/>
    <x v="0"/>
    <x v="160"/>
    <x v="132"/>
    <x v="0"/>
    <x v="87"/>
    <x v="5"/>
    <x v="10"/>
    <x v="24"/>
    <x v="66"/>
    <x v="7"/>
    <x v="214"/>
    <x v="203"/>
    <x v="94"/>
    <x v="281"/>
    <x v="99"/>
    <x v="0"/>
    <x v="4"/>
    <x v="0"/>
    <x v="0"/>
    <x v="0"/>
    <x v="0"/>
    <x v="0"/>
    <x v="0"/>
    <x v="0"/>
    <x v="0"/>
    <x v="0"/>
    <x v="0"/>
    <x v="0"/>
    <x v="0"/>
    <x v="0"/>
    <x v="0"/>
    <x v="0"/>
    <x v="0"/>
    <x v="0"/>
    <x v="0"/>
    <x v="0"/>
    <x v="0"/>
    <x v="0"/>
    <x v="0"/>
    <x v="0"/>
    <x v="0"/>
    <x v="0"/>
    <x v="0"/>
    <x v="5"/>
    <x v="5"/>
  </r>
  <r>
    <x v="20"/>
    <x v="3"/>
    <x v="1"/>
    <x v="38"/>
    <x v="7"/>
    <x v="10"/>
    <x v="48"/>
    <x v="4"/>
    <x v="2"/>
    <x v="7"/>
    <x v="11"/>
    <x v="24"/>
    <x v="18"/>
    <x v="18"/>
    <x v="0"/>
    <x v="0"/>
    <x v="10"/>
    <x v="0"/>
    <x v="9"/>
    <x v="0"/>
    <x v="3"/>
    <x v="12"/>
    <x v="125"/>
    <x v="19"/>
    <x v="0"/>
    <x v="0"/>
    <x v="160"/>
    <x v="109"/>
    <x v="0"/>
    <x v="113"/>
    <x v="0"/>
    <x v="12"/>
    <x v="57"/>
    <x v="58"/>
    <x v="7"/>
    <x v="239"/>
    <x v="15"/>
    <x v="72"/>
    <x v="282"/>
    <x v="12"/>
    <x v="0"/>
    <x v="0"/>
    <x v="0"/>
    <x v="0"/>
    <x v="0"/>
    <x v="0"/>
    <x v="0"/>
    <x v="0"/>
    <x v="0"/>
    <x v="0"/>
    <x v="0"/>
    <x v="0"/>
    <x v="0"/>
    <x v="0"/>
    <x v="0"/>
    <x v="0"/>
    <x v="0"/>
    <x v="0"/>
    <x v="0"/>
    <x v="0"/>
    <x v="0"/>
    <x v="0"/>
    <x v="0"/>
    <x v="0"/>
    <x v="0"/>
    <x v="0"/>
    <x v="0"/>
    <x v="0"/>
    <x v="0"/>
    <x v="0"/>
  </r>
  <r>
    <x v="20"/>
    <x v="1"/>
    <x v="4"/>
    <x v="40"/>
    <x v="7"/>
    <x v="6"/>
    <x v="22"/>
    <x v="302"/>
    <x v="1"/>
    <x v="23"/>
    <x v="69"/>
    <x v="59"/>
    <x v="222"/>
    <x v="127"/>
    <x v="0"/>
    <x v="0"/>
    <x v="0"/>
    <x v="0"/>
    <x v="0"/>
    <x v="0"/>
    <x v="0"/>
    <x v="140"/>
    <x v="65"/>
    <x v="13"/>
    <x v="0"/>
    <x v="0"/>
    <x v="160"/>
    <x v="0"/>
    <x v="0"/>
    <x v="233"/>
    <x v="7"/>
    <x v="54"/>
    <x v="49"/>
    <x v="115"/>
    <x v="2"/>
    <x v="100"/>
    <x v="50"/>
    <x v="82"/>
    <x v="283"/>
    <x v="99"/>
    <x v="4"/>
    <x v="0"/>
    <x v="0"/>
    <x v="0"/>
    <x v="0"/>
    <x v="0"/>
    <x v="0"/>
    <x v="0"/>
    <x v="0"/>
    <x v="0"/>
    <x v="0"/>
    <x v="0"/>
    <x v="0"/>
    <x v="0"/>
    <x v="0"/>
    <x v="0"/>
    <x v="0"/>
    <x v="0"/>
    <x v="0"/>
    <x v="0"/>
    <x v="0"/>
    <x v="0"/>
    <x v="0"/>
    <x v="0"/>
    <x v="0"/>
    <x v="0"/>
    <x v="0"/>
    <x v="0"/>
    <x v="7"/>
    <x v="7"/>
  </r>
  <r>
    <x v="20"/>
    <x v="1"/>
    <x v="7"/>
    <x v="18"/>
    <x v="7"/>
    <x v="8"/>
    <x v="20"/>
    <x v="307"/>
    <x v="1"/>
    <x v="23"/>
    <x v="69"/>
    <x v="59"/>
    <x v="243"/>
    <x v="152"/>
    <x v="0"/>
    <x v="0"/>
    <x v="0"/>
    <x v="0"/>
    <x v="0"/>
    <x v="0"/>
    <x v="0"/>
    <x v="167"/>
    <x v="145"/>
    <x v="10"/>
    <x v="0"/>
    <x v="0"/>
    <x v="160"/>
    <x v="0"/>
    <x v="0"/>
    <x v="233"/>
    <x v="7"/>
    <x v="54"/>
    <x v="49"/>
    <x v="140"/>
    <x v="2"/>
    <x v="57"/>
    <x v="147"/>
    <x v="171"/>
    <x v="125"/>
    <x v="99"/>
    <x v="4"/>
    <x v="0"/>
    <x v="0"/>
    <x v="0"/>
    <x v="0"/>
    <x v="0"/>
    <x v="0"/>
    <x v="0"/>
    <x v="0"/>
    <x v="0"/>
    <x v="0"/>
    <x v="0"/>
    <x v="0"/>
    <x v="0"/>
    <x v="0"/>
    <x v="0"/>
    <x v="0"/>
    <x v="0"/>
    <x v="0"/>
    <x v="0"/>
    <x v="0"/>
    <x v="0"/>
    <x v="0"/>
    <x v="0"/>
    <x v="0"/>
    <x v="0"/>
    <x v="0"/>
    <x v="0"/>
    <x v="7"/>
    <x v="7"/>
  </r>
  <r>
    <x v="20"/>
    <x v="1"/>
    <x v="6"/>
    <x v="15"/>
    <x v="7"/>
    <x v="8"/>
    <x v="19"/>
    <x v="312"/>
    <x v="1"/>
    <x v="16"/>
    <x v="69"/>
    <x v="80"/>
    <x v="184"/>
    <x v="112"/>
    <x v="0"/>
    <x v="0"/>
    <x v="0"/>
    <x v="0"/>
    <x v="0"/>
    <x v="0"/>
    <x v="0"/>
    <x v="124"/>
    <x v="31"/>
    <x v="7"/>
    <x v="0"/>
    <x v="0"/>
    <x v="160"/>
    <x v="0"/>
    <x v="0"/>
    <x v="233"/>
    <x v="20"/>
    <x v="21"/>
    <x v="15"/>
    <x v="152"/>
    <x v="0"/>
    <x v="6"/>
    <x v="214"/>
    <x v="50"/>
    <x v="284"/>
    <x v="44"/>
    <x v="6"/>
    <x v="0"/>
    <x v="0"/>
    <x v="0"/>
    <x v="3"/>
    <x v="0"/>
    <x v="0"/>
    <x v="0"/>
    <x v="0"/>
    <x v="0"/>
    <x v="0"/>
    <x v="0"/>
    <x v="0"/>
    <x v="0"/>
    <x v="0"/>
    <x v="0"/>
    <x v="0"/>
    <x v="0"/>
    <x v="0"/>
    <x v="0"/>
    <x v="0"/>
    <x v="0"/>
    <x v="0"/>
    <x v="0"/>
    <x v="0"/>
    <x v="0"/>
    <x v="0"/>
    <x v="0"/>
    <x v="20"/>
    <x v="20"/>
  </r>
  <r>
    <x v="20"/>
    <x v="1"/>
    <x v="5"/>
    <x v="12"/>
    <x v="6"/>
    <x v="5"/>
    <x v="18"/>
    <x v="313"/>
    <x v="1"/>
    <x v="23"/>
    <x v="61"/>
    <x v="46"/>
    <x v="207"/>
    <x v="117"/>
    <x v="0"/>
    <x v="0"/>
    <x v="0"/>
    <x v="0"/>
    <x v="49"/>
    <x v="0"/>
    <x v="0"/>
    <x v="127"/>
    <x v="193"/>
    <x v="38"/>
    <x v="1"/>
    <x v="100"/>
    <x v="131"/>
    <x v="100"/>
    <x v="0"/>
    <x v="120"/>
    <x v="0"/>
    <x v="59"/>
    <x v="57"/>
    <x v="101"/>
    <x v="4"/>
    <x v="121"/>
    <x v="172"/>
    <x v="269"/>
    <x v="127"/>
    <x v="99"/>
    <x v="0"/>
    <x v="0"/>
    <x v="0"/>
    <x v="0"/>
    <x v="0"/>
    <x v="0"/>
    <x v="0"/>
    <x v="0"/>
    <x v="0"/>
    <x v="0"/>
    <x v="0"/>
    <x v="0"/>
    <x v="0"/>
    <x v="0"/>
    <x v="0"/>
    <x v="0"/>
    <x v="0"/>
    <x v="0"/>
    <x v="0"/>
    <x v="0"/>
    <x v="0"/>
    <x v="0"/>
    <x v="0"/>
    <x v="0"/>
    <x v="0"/>
    <x v="0"/>
    <x v="0"/>
    <x v="0"/>
    <x v="0"/>
    <x v="0"/>
  </r>
  <r>
    <x v="20"/>
    <x v="1"/>
    <x v="0"/>
    <x v="26"/>
    <x v="4"/>
    <x v="0"/>
    <x v="45"/>
    <x v="132"/>
    <x v="1"/>
    <x v="23"/>
    <x v="37"/>
    <x v="7"/>
    <x v="69"/>
    <x v="57"/>
    <x v="15"/>
    <x v="33"/>
    <x v="0"/>
    <x v="0"/>
    <x v="63"/>
    <x v="0"/>
    <x v="0"/>
    <x v="71"/>
    <x v="168"/>
    <x v="39"/>
    <x v="6"/>
    <x v="133"/>
    <x v="37"/>
    <x v="195"/>
    <x v="72"/>
    <x v="20"/>
    <x v="0"/>
    <x v="59"/>
    <x v="57"/>
    <x v="24"/>
    <x v="6"/>
    <x v="203"/>
    <x v="53"/>
    <x v="118"/>
    <x v="128"/>
    <x v="76"/>
    <x v="0"/>
    <x v="0"/>
    <x v="0"/>
    <x v="0"/>
    <x v="0"/>
    <x v="0"/>
    <x v="0"/>
    <x v="0"/>
    <x v="0"/>
    <x v="0"/>
    <x v="0"/>
    <x v="0"/>
    <x v="0"/>
    <x v="0"/>
    <x v="0"/>
    <x v="0"/>
    <x v="0"/>
    <x v="0"/>
    <x v="0"/>
    <x v="0"/>
    <x v="0"/>
    <x v="0"/>
    <x v="0"/>
    <x v="0"/>
    <x v="0"/>
    <x v="0"/>
    <x v="0"/>
    <x v="0"/>
    <x v="0"/>
    <x v="0"/>
  </r>
  <r>
    <x v="20"/>
    <x v="1"/>
    <x v="3"/>
    <x v="48"/>
    <x v="7"/>
    <x v="4"/>
    <x v="6"/>
    <x v="136"/>
    <x v="1"/>
    <x v="23"/>
    <x v="56"/>
    <x v="30"/>
    <x v="171"/>
    <x v="109"/>
    <x v="0"/>
    <x v="0"/>
    <x v="0"/>
    <x v="0"/>
    <x v="16"/>
    <x v="0"/>
    <x v="0"/>
    <x v="122"/>
    <x v="206"/>
    <x v="33"/>
    <x v="3"/>
    <x v="114"/>
    <x v="139"/>
    <x v="53"/>
    <x v="0"/>
    <x v="173"/>
    <x v="0"/>
    <x v="59"/>
    <x v="57"/>
    <x v="94"/>
    <x v="5"/>
    <x v="135"/>
    <x v="194"/>
    <x v="290"/>
    <x v="126"/>
    <x v="99"/>
    <x v="0"/>
    <x v="0"/>
    <x v="0"/>
    <x v="0"/>
    <x v="0"/>
    <x v="0"/>
    <x v="0"/>
    <x v="0"/>
    <x v="0"/>
    <x v="0"/>
    <x v="0"/>
    <x v="0"/>
    <x v="0"/>
    <x v="0"/>
    <x v="0"/>
    <x v="0"/>
    <x v="0"/>
    <x v="0"/>
    <x v="0"/>
    <x v="0"/>
    <x v="0"/>
    <x v="0"/>
    <x v="0"/>
    <x v="0"/>
    <x v="0"/>
    <x v="0"/>
    <x v="0"/>
    <x v="0"/>
    <x v="0"/>
    <x v="0"/>
  </r>
  <r>
    <x v="20"/>
    <x v="2"/>
    <x v="0"/>
    <x v="26"/>
    <x v="4"/>
    <x v="0"/>
    <x v="45"/>
    <x v="134"/>
    <x v="0"/>
    <x v="11"/>
    <x v="17"/>
    <x v="15"/>
    <x v="33"/>
    <x v="29"/>
    <x v="13"/>
    <x v="12"/>
    <x v="0"/>
    <x v="0"/>
    <x v="16"/>
    <x v="2"/>
    <x v="0"/>
    <x v="47"/>
    <x v="157"/>
    <x v="39"/>
    <x v="6"/>
    <x v="54"/>
    <x v="36"/>
    <x v="150"/>
    <x v="77"/>
    <x v="71"/>
    <x v="1"/>
    <x v="22"/>
    <x v="55"/>
    <x v="33"/>
    <x v="6"/>
    <x v="183"/>
    <x v="169"/>
    <x v="227"/>
    <x v="285"/>
    <x v="99"/>
    <x v="0"/>
    <x v="0"/>
    <x v="0"/>
    <x v="0"/>
    <x v="0"/>
    <x v="0"/>
    <x v="0"/>
    <x v="1"/>
    <x v="0"/>
    <x v="0"/>
    <x v="0"/>
    <x v="0"/>
    <x v="0"/>
    <x v="0"/>
    <x v="0"/>
    <x v="0"/>
    <x v="0"/>
    <x v="0"/>
    <x v="0"/>
    <x v="0"/>
    <x v="0"/>
    <x v="0"/>
    <x v="0"/>
    <x v="0"/>
    <x v="0"/>
    <x v="0"/>
    <x v="0"/>
    <x v="0"/>
    <x v="1"/>
    <x v="1"/>
  </r>
  <r>
    <x v="20"/>
    <x v="2"/>
    <x v="5"/>
    <x v="12"/>
    <x v="6"/>
    <x v="5"/>
    <x v="18"/>
    <x v="315"/>
    <x v="0"/>
    <x v="23"/>
    <x v="61"/>
    <x v="46"/>
    <x v="144"/>
    <x v="94"/>
    <x v="21"/>
    <x v="21"/>
    <x v="0"/>
    <x v="0"/>
    <x v="46"/>
    <x v="2"/>
    <x v="0"/>
    <x v="110"/>
    <x v="60"/>
    <x v="38"/>
    <x v="1"/>
    <x v="52"/>
    <x v="57"/>
    <x v="131"/>
    <x v="37"/>
    <x v="91"/>
    <x v="18"/>
    <x v="44"/>
    <x v="26"/>
    <x v="65"/>
    <x v="4"/>
    <x v="124"/>
    <x v="160"/>
    <x v="79"/>
    <x v="286"/>
    <x v="99"/>
    <x v="0"/>
    <x v="0"/>
    <x v="0"/>
    <x v="0"/>
    <x v="0"/>
    <x v="0"/>
    <x v="0"/>
    <x v="2"/>
    <x v="0"/>
    <x v="0"/>
    <x v="0"/>
    <x v="0"/>
    <x v="7"/>
    <x v="0"/>
    <x v="0"/>
    <x v="0"/>
    <x v="0"/>
    <x v="0"/>
    <x v="0"/>
    <x v="0"/>
    <x v="0"/>
    <x v="0"/>
    <x v="0"/>
    <x v="0"/>
    <x v="0"/>
    <x v="0"/>
    <x v="0"/>
    <x v="0"/>
    <x v="18"/>
    <x v="18"/>
  </r>
  <r>
    <x v="20"/>
    <x v="2"/>
    <x v="3"/>
    <x v="48"/>
    <x v="7"/>
    <x v="4"/>
    <x v="6"/>
    <x v="137"/>
    <x v="0"/>
    <x v="23"/>
    <x v="56"/>
    <x v="30"/>
    <x v="204"/>
    <x v="117"/>
    <x v="0"/>
    <x v="0"/>
    <x v="0"/>
    <x v="0"/>
    <x v="3"/>
    <x v="2"/>
    <x v="0"/>
    <x v="127"/>
    <x v="222"/>
    <x v="33"/>
    <x v="3"/>
    <x v="120"/>
    <x v="150"/>
    <x v="11"/>
    <x v="0"/>
    <x v="221"/>
    <x v="0"/>
    <x v="59"/>
    <x v="57"/>
    <x v="101"/>
    <x v="5"/>
    <x v="121"/>
    <x v="223"/>
    <x v="308"/>
    <x v="129"/>
    <x v="99"/>
    <x v="0"/>
    <x v="0"/>
    <x v="0"/>
    <x v="0"/>
    <x v="0"/>
    <x v="0"/>
    <x v="0"/>
    <x v="0"/>
    <x v="0"/>
    <x v="0"/>
    <x v="0"/>
    <x v="0"/>
    <x v="0"/>
    <x v="0"/>
    <x v="0"/>
    <x v="0"/>
    <x v="0"/>
    <x v="0"/>
    <x v="0"/>
    <x v="0"/>
    <x v="0"/>
    <x v="0"/>
    <x v="0"/>
    <x v="0"/>
    <x v="0"/>
    <x v="0"/>
    <x v="0"/>
    <x v="0"/>
    <x v="0"/>
    <x v="0"/>
  </r>
  <r>
    <x v="21"/>
    <x v="0"/>
    <x v="6"/>
    <x v="15"/>
    <x v="7"/>
    <x v="12"/>
    <x v="19"/>
    <x v="316"/>
    <x v="1"/>
    <x v="23"/>
    <x v="69"/>
    <x v="59"/>
    <x v="233"/>
    <x v="137"/>
    <x v="0"/>
    <x v="0"/>
    <x v="0"/>
    <x v="0"/>
    <x v="0"/>
    <x v="0"/>
    <x v="0"/>
    <x v="151"/>
    <x v="96"/>
    <x v="7"/>
    <x v="0"/>
    <x v="0"/>
    <x v="160"/>
    <x v="0"/>
    <x v="0"/>
    <x v="233"/>
    <x v="7"/>
    <x v="54"/>
    <x v="49"/>
    <x v="125"/>
    <x v="0"/>
    <x v="89"/>
    <x v="1"/>
    <x v="26"/>
    <x v="287"/>
    <x v="99"/>
    <x v="4"/>
    <x v="0"/>
    <x v="0"/>
    <x v="0"/>
    <x v="0"/>
    <x v="0"/>
    <x v="0"/>
    <x v="0"/>
    <x v="0"/>
    <x v="0"/>
    <x v="0"/>
    <x v="0"/>
    <x v="0"/>
    <x v="0"/>
    <x v="0"/>
    <x v="0"/>
    <x v="0"/>
    <x v="0"/>
    <x v="0"/>
    <x v="0"/>
    <x v="0"/>
    <x v="0"/>
    <x v="0"/>
    <x v="0"/>
    <x v="0"/>
    <x v="0"/>
    <x v="0"/>
    <x v="0"/>
    <x v="7"/>
    <x v="7"/>
  </r>
  <r>
    <x v="21"/>
    <x v="0"/>
    <x v="5"/>
    <x v="12"/>
    <x v="6"/>
    <x v="5"/>
    <x v="18"/>
    <x v="317"/>
    <x v="1"/>
    <x v="23"/>
    <x v="61"/>
    <x v="46"/>
    <x v="137"/>
    <x v="91"/>
    <x v="31"/>
    <x v="48"/>
    <x v="0"/>
    <x v="0"/>
    <x v="43"/>
    <x v="2"/>
    <x v="0"/>
    <x v="107"/>
    <x v="47"/>
    <x v="38"/>
    <x v="1"/>
    <x v="49"/>
    <x v="23"/>
    <x v="124"/>
    <x v="86"/>
    <x v="100"/>
    <x v="20"/>
    <x v="42"/>
    <x v="24"/>
    <x v="58"/>
    <x v="4"/>
    <x v="126"/>
    <x v="152"/>
    <x v="64"/>
    <x v="132"/>
    <x v="40"/>
    <x v="0"/>
    <x v="0"/>
    <x v="0"/>
    <x v="0"/>
    <x v="0"/>
    <x v="0"/>
    <x v="0"/>
    <x v="4"/>
    <x v="0"/>
    <x v="0"/>
    <x v="0"/>
    <x v="0"/>
    <x v="7"/>
    <x v="0"/>
    <x v="0"/>
    <x v="0"/>
    <x v="0"/>
    <x v="0"/>
    <x v="0"/>
    <x v="0"/>
    <x v="0"/>
    <x v="0"/>
    <x v="0"/>
    <x v="0"/>
    <x v="0"/>
    <x v="0"/>
    <x v="0"/>
    <x v="0"/>
    <x v="20"/>
    <x v="20"/>
  </r>
  <r>
    <x v="21"/>
    <x v="0"/>
    <x v="7"/>
    <x v="18"/>
    <x v="7"/>
    <x v="8"/>
    <x v="20"/>
    <x v="320"/>
    <x v="1"/>
    <x v="23"/>
    <x v="69"/>
    <x v="59"/>
    <x v="225"/>
    <x v="129"/>
    <x v="0"/>
    <x v="0"/>
    <x v="0"/>
    <x v="0"/>
    <x v="0"/>
    <x v="0"/>
    <x v="0"/>
    <x v="142"/>
    <x v="71"/>
    <x v="10"/>
    <x v="0"/>
    <x v="0"/>
    <x v="160"/>
    <x v="0"/>
    <x v="0"/>
    <x v="233"/>
    <x v="7"/>
    <x v="54"/>
    <x v="49"/>
    <x v="117"/>
    <x v="2"/>
    <x v="99"/>
    <x v="55"/>
    <x v="90"/>
    <x v="289"/>
    <x v="99"/>
    <x v="4"/>
    <x v="0"/>
    <x v="0"/>
    <x v="0"/>
    <x v="0"/>
    <x v="0"/>
    <x v="0"/>
    <x v="0"/>
    <x v="0"/>
    <x v="0"/>
    <x v="0"/>
    <x v="0"/>
    <x v="0"/>
    <x v="0"/>
    <x v="0"/>
    <x v="0"/>
    <x v="0"/>
    <x v="0"/>
    <x v="0"/>
    <x v="0"/>
    <x v="0"/>
    <x v="0"/>
    <x v="0"/>
    <x v="0"/>
    <x v="0"/>
    <x v="0"/>
    <x v="0"/>
    <x v="0"/>
    <x v="7"/>
    <x v="7"/>
  </r>
  <r>
    <x v="21"/>
    <x v="0"/>
    <x v="4"/>
    <x v="40"/>
    <x v="7"/>
    <x v="6"/>
    <x v="22"/>
    <x v="303"/>
    <x v="1"/>
    <x v="23"/>
    <x v="69"/>
    <x v="59"/>
    <x v="75"/>
    <x v="65"/>
    <x v="0"/>
    <x v="0"/>
    <x v="0"/>
    <x v="0"/>
    <x v="0"/>
    <x v="0"/>
    <x v="0"/>
    <x v="79"/>
    <x v="8"/>
    <x v="13"/>
    <x v="0"/>
    <x v="0"/>
    <x v="160"/>
    <x v="0"/>
    <x v="0"/>
    <x v="233"/>
    <x v="31"/>
    <x v="25"/>
    <x v="6"/>
    <x v="30"/>
    <x v="2"/>
    <x v="95"/>
    <x v="71"/>
    <x v="10"/>
    <x v="130"/>
    <x v="33"/>
    <x v="4"/>
    <x v="0"/>
    <x v="0"/>
    <x v="0"/>
    <x v="0"/>
    <x v="0"/>
    <x v="0"/>
    <x v="0"/>
    <x v="0"/>
    <x v="0"/>
    <x v="0"/>
    <x v="0"/>
    <x v="0"/>
    <x v="0"/>
    <x v="0"/>
    <x v="0"/>
    <x v="0"/>
    <x v="0"/>
    <x v="0"/>
    <x v="0"/>
    <x v="0"/>
    <x v="4"/>
    <x v="0"/>
    <x v="0"/>
    <x v="0"/>
    <x v="0"/>
    <x v="0"/>
    <x v="0"/>
    <x v="31"/>
    <x v="31"/>
  </r>
  <r>
    <x v="21"/>
    <x v="0"/>
    <x v="3"/>
    <x v="48"/>
    <x v="7"/>
    <x v="4"/>
    <x v="6"/>
    <x v="138"/>
    <x v="1"/>
    <x v="23"/>
    <x v="56"/>
    <x v="30"/>
    <x v="151"/>
    <x v="100"/>
    <x v="17"/>
    <x v="9"/>
    <x v="0"/>
    <x v="0"/>
    <x v="10"/>
    <x v="2"/>
    <x v="0"/>
    <x v="115"/>
    <x v="173"/>
    <x v="33"/>
    <x v="3"/>
    <x v="108"/>
    <x v="103"/>
    <x v="42"/>
    <x v="10"/>
    <x v="188"/>
    <x v="0"/>
    <x v="59"/>
    <x v="57"/>
    <x v="74"/>
    <x v="5"/>
    <x v="156"/>
    <x v="122"/>
    <x v="220"/>
    <x v="131"/>
    <x v="99"/>
    <x v="0"/>
    <x v="0"/>
    <x v="0"/>
    <x v="0"/>
    <x v="0"/>
    <x v="0"/>
    <x v="0"/>
    <x v="0"/>
    <x v="0"/>
    <x v="0"/>
    <x v="0"/>
    <x v="0"/>
    <x v="0"/>
    <x v="0"/>
    <x v="0"/>
    <x v="0"/>
    <x v="0"/>
    <x v="0"/>
    <x v="0"/>
    <x v="0"/>
    <x v="0"/>
    <x v="0"/>
    <x v="0"/>
    <x v="0"/>
    <x v="0"/>
    <x v="0"/>
    <x v="0"/>
    <x v="0"/>
    <x v="0"/>
    <x v="0"/>
  </r>
  <r>
    <x v="21"/>
    <x v="3"/>
    <x v="9"/>
    <x v="19"/>
    <x v="7"/>
    <x v="11"/>
    <x v="40"/>
    <x v="210"/>
    <x v="4"/>
    <x v="24"/>
    <x v="86"/>
    <x v="99"/>
    <x v="285"/>
    <x v="197"/>
    <x v="0"/>
    <x v="0"/>
    <x v="0"/>
    <x v="0"/>
    <x v="0"/>
    <x v="0"/>
    <x v="0"/>
    <x v="199"/>
    <x v="186"/>
    <x v="24"/>
    <x v="0"/>
    <x v="0"/>
    <x v="160"/>
    <x v="0"/>
    <x v="0"/>
    <x v="233"/>
    <x v="0"/>
    <x v="60"/>
    <x v="57"/>
    <x v="212"/>
    <x v="1"/>
    <x v="1"/>
    <x v="232"/>
    <x v="314"/>
    <x v="290"/>
    <x v="99"/>
    <x v="6"/>
    <x v="0"/>
    <x v="0"/>
    <x v="0"/>
    <x v="0"/>
    <x v="0"/>
    <x v="0"/>
    <x v="0"/>
    <x v="0"/>
    <x v="0"/>
    <x v="0"/>
    <x v="0"/>
    <x v="0"/>
    <x v="0"/>
    <x v="0"/>
    <x v="0"/>
    <x v="0"/>
    <x v="0"/>
    <x v="0"/>
    <x v="0"/>
    <x v="0"/>
    <x v="0"/>
    <x v="0"/>
    <x v="0"/>
    <x v="0"/>
    <x v="0"/>
    <x v="0"/>
    <x v="0"/>
    <x v="0"/>
    <x v="0"/>
  </r>
  <r>
    <x v="21"/>
    <x v="3"/>
    <x v="8"/>
    <x v="43"/>
    <x v="7"/>
    <x v="12"/>
    <x v="21"/>
    <x v="309"/>
    <x v="4"/>
    <x v="24"/>
    <x v="69"/>
    <x v="55"/>
    <x v="243"/>
    <x v="149"/>
    <x v="0"/>
    <x v="0"/>
    <x v="0"/>
    <x v="0"/>
    <x v="65"/>
    <x v="0"/>
    <x v="0"/>
    <x v="164"/>
    <x v="137"/>
    <x v="23"/>
    <x v="0"/>
    <x v="0"/>
    <x v="160"/>
    <x v="106"/>
    <x v="0"/>
    <x v="114"/>
    <x v="9"/>
    <x v="57"/>
    <x v="45"/>
    <x v="127"/>
    <x v="3"/>
    <x v="80"/>
    <x v="197"/>
    <x v="218"/>
    <x v="291"/>
    <x v="99"/>
    <x v="5"/>
    <x v="0"/>
    <x v="0"/>
    <x v="0"/>
    <x v="0"/>
    <x v="0"/>
    <x v="0"/>
    <x v="0"/>
    <x v="0"/>
    <x v="0"/>
    <x v="0"/>
    <x v="0"/>
    <x v="0"/>
    <x v="0"/>
    <x v="0"/>
    <x v="0"/>
    <x v="0"/>
    <x v="0"/>
    <x v="0"/>
    <x v="0"/>
    <x v="0"/>
    <x v="0"/>
    <x v="0"/>
    <x v="0"/>
    <x v="0"/>
    <x v="0"/>
    <x v="0"/>
    <x v="0"/>
    <x v="9"/>
    <x v="9"/>
  </r>
  <r>
    <x v="21"/>
    <x v="1"/>
    <x v="5"/>
    <x v="12"/>
    <x v="6"/>
    <x v="5"/>
    <x v="18"/>
    <x v="319"/>
    <x v="3"/>
    <x v="23"/>
    <x v="61"/>
    <x v="46"/>
    <x v="148"/>
    <x v="97"/>
    <x v="20"/>
    <x v="13"/>
    <x v="0"/>
    <x v="0"/>
    <x v="47"/>
    <x v="0"/>
    <x v="0"/>
    <x v="112"/>
    <x v="64"/>
    <x v="38"/>
    <x v="1"/>
    <x v="55"/>
    <x v="69"/>
    <x v="129"/>
    <x v="22"/>
    <x v="90"/>
    <x v="0"/>
    <x v="59"/>
    <x v="57"/>
    <x v="68"/>
    <x v="4"/>
    <x v="166"/>
    <x v="22"/>
    <x v="86"/>
    <x v="137"/>
    <x v="99"/>
    <x v="0"/>
    <x v="0"/>
    <x v="0"/>
    <x v="0"/>
    <x v="0"/>
    <x v="0"/>
    <x v="0"/>
    <x v="0"/>
    <x v="0"/>
    <x v="0"/>
    <x v="0"/>
    <x v="0"/>
    <x v="0"/>
    <x v="0"/>
    <x v="0"/>
    <x v="0"/>
    <x v="0"/>
    <x v="0"/>
    <x v="0"/>
    <x v="0"/>
    <x v="0"/>
    <x v="0"/>
    <x v="0"/>
    <x v="0"/>
    <x v="0"/>
    <x v="0"/>
    <x v="0"/>
    <x v="0"/>
    <x v="0"/>
    <x v="0"/>
  </r>
  <r>
    <x v="21"/>
    <x v="1"/>
    <x v="7"/>
    <x v="18"/>
    <x v="7"/>
    <x v="8"/>
    <x v="20"/>
    <x v="314"/>
    <x v="3"/>
    <x v="23"/>
    <x v="68"/>
    <x v="58"/>
    <x v="246"/>
    <x v="155"/>
    <x v="0"/>
    <x v="0"/>
    <x v="0"/>
    <x v="0"/>
    <x v="0"/>
    <x v="0"/>
    <x v="0"/>
    <x v="171"/>
    <x v="164"/>
    <x v="10"/>
    <x v="0"/>
    <x v="0"/>
    <x v="160"/>
    <x v="0"/>
    <x v="0"/>
    <x v="233"/>
    <x v="7"/>
    <x v="54"/>
    <x v="49"/>
    <x v="145"/>
    <x v="2"/>
    <x v="47"/>
    <x v="167"/>
    <x v="203"/>
    <x v="292"/>
    <x v="99"/>
    <x v="4"/>
    <x v="0"/>
    <x v="0"/>
    <x v="0"/>
    <x v="0"/>
    <x v="0"/>
    <x v="0"/>
    <x v="0"/>
    <x v="0"/>
    <x v="0"/>
    <x v="0"/>
    <x v="0"/>
    <x v="0"/>
    <x v="0"/>
    <x v="0"/>
    <x v="0"/>
    <x v="0"/>
    <x v="0"/>
    <x v="0"/>
    <x v="0"/>
    <x v="0"/>
    <x v="0"/>
    <x v="0"/>
    <x v="0"/>
    <x v="0"/>
    <x v="0"/>
    <x v="0"/>
    <x v="0"/>
    <x v="7"/>
    <x v="7"/>
  </r>
  <r>
    <x v="21"/>
    <x v="1"/>
    <x v="3"/>
    <x v="48"/>
    <x v="7"/>
    <x v="3"/>
    <x v="6"/>
    <x v="139"/>
    <x v="3"/>
    <x v="23"/>
    <x v="56"/>
    <x v="30"/>
    <x v="150"/>
    <x v="100"/>
    <x v="0"/>
    <x v="0"/>
    <x v="0"/>
    <x v="0"/>
    <x v="5"/>
    <x v="0"/>
    <x v="0"/>
    <x v="115"/>
    <x v="173"/>
    <x v="33"/>
    <x v="3"/>
    <x v="105"/>
    <x v="155"/>
    <x v="26"/>
    <x v="0"/>
    <x v="204"/>
    <x v="0"/>
    <x v="59"/>
    <x v="57"/>
    <x v="74"/>
    <x v="5"/>
    <x v="156"/>
    <x v="122"/>
    <x v="221"/>
    <x v="138"/>
    <x v="99"/>
    <x v="0"/>
    <x v="0"/>
    <x v="0"/>
    <x v="0"/>
    <x v="0"/>
    <x v="0"/>
    <x v="0"/>
    <x v="0"/>
    <x v="0"/>
    <x v="0"/>
    <x v="0"/>
    <x v="0"/>
    <x v="0"/>
    <x v="0"/>
    <x v="0"/>
    <x v="0"/>
    <x v="0"/>
    <x v="0"/>
    <x v="0"/>
    <x v="0"/>
    <x v="0"/>
    <x v="0"/>
    <x v="0"/>
    <x v="0"/>
    <x v="0"/>
    <x v="0"/>
    <x v="0"/>
    <x v="0"/>
    <x v="0"/>
    <x v="0"/>
  </r>
  <r>
    <x v="21"/>
    <x v="1"/>
    <x v="6"/>
    <x v="15"/>
    <x v="7"/>
    <x v="9"/>
    <x v="19"/>
    <x v="318"/>
    <x v="3"/>
    <x v="9"/>
    <x v="55"/>
    <x v="86"/>
    <x v="128"/>
    <x v="91"/>
    <x v="0"/>
    <x v="0"/>
    <x v="0"/>
    <x v="0"/>
    <x v="0"/>
    <x v="0"/>
    <x v="0"/>
    <x v="107"/>
    <x v="125"/>
    <x v="7"/>
    <x v="0"/>
    <x v="0"/>
    <x v="160"/>
    <x v="0"/>
    <x v="0"/>
    <x v="233"/>
    <x v="0"/>
    <x v="17"/>
    <x v="57"/>
    <x v="189"/>
    <x v="0"/>
    <x v="10"/>
    <x v="183"/>
    <x v="284"/>
    <x v="139"/>
    <x v="99"/>
    <x v="0"/>
    <x v="0"/>
    <x v="0"/>
    <x v="0"/>
    <x v="0"/>
    <x v="0"/>
    <x v="0"/>
    <x v="0"/>
    <x v="0"/>
    <x v="0"/>
    <x v="0"/>
    <x v="0"/>
    <x v="0"/>
    <x v="0"/>
    <x v="0"/>
    <x v="0"/>
    <x v="0"/>
    <x v="0"/>
    <x v="0"/>
    <x v="0"/>
    <x v="0"/>
    <x v="0"/>
    <x v="0"/>
    <x v="0"/>
    <x v="0"/>
    <x v="0"/>
    <x v="0"/>
    <x v="0"/>
    <x v="0"/>
    <x v="0"/>
  </r>
  <r>
    <x v="21"/>
    <x v="3"/>
    <x v="1"/>
    <x v="28"/>
    <x v="7"/>
    <x v="12"/>
    <x v="47"/>
    <x v="131"/>
    <x v="2"/>
    <x v="10"/>
    <x v="9"/>
    <x v="3"/>
    <x v="15"/>
    <x v="16"/>
    <x v="0"/>
    <x v="0"/>
    <x v="4"/>
    <x v="0"/>
    <x v="10"/>
    <x v="0"/>
    <x v="3"/>
    <x v="11"/>
    <x v="141"/>
    <x v="19"/>
    <x v="0"/>
    <x v="0"/>
    <x v="160"/>
    <x v="156"/>
    <x v="0"/>
    <x v="61"/>
    <x v="19"/>
    <x v="8"/>
    <x v="4"/>
    <x v="12"/>
    <x v="7"/>
    <x v="230"/>
    <x v="61"/>
    <x v="7"/>
    <x v="288"/>
    <x v="84"/>
    <x v="3"/>
    <x v="8"/>
    <x v="0"/>
    <x v="0"/>
    <x v="0"/>
    <x v="0"/>
    <x v="2"/>
    <x v="0"/>
    <x v="0"/>
    <x v="0"/>
    <x v="0"/>
    <x v="0"/>
    <x v="0"/>
    <x v="0"/>
    <x v="0"/>
    <x v="0"/>
    <x v="0"/>
    <x v="0"/>
    <x v="0"/>
    <x v="0"/>
    <x v="0"/>
    <x v="0"/>
    <x v="0"/>
    <x v="0"/>
    <x v="0"/>
    <x v="0"/>
    <x v="0"/>
    <x v="0"/>
    <x v="19"/>
    <x v="19"/>
  </r>
  <r>
    <x v="21"/>
    <x v="3"/>
    <x v="1"/>
    <x v="27"/>
    <x v="7"/>
    <x v="12"/>
    <x v="50"/>
    <x v="124"/>
    <x v="2"/>
    <x v="13"/>
    <x v="15"/>
    <x v="5"/>
    <x v="30"/>
    <x v="26"/>
    <x v="0"/>
    <x v="0"/>
    <x v="11"/>
    <x v="0"/>
    <x v="18"/>
    <x v="0"/>
    <x v="3"/>
    <x v="14"/>
    <x v="162"/>
    <x v="17"/>
    <x v="0"/>
    <x v="0"/>
    <x v="160"/>
    <x v="159"/>
    <x v="0"/>
    <x v="56"/>
    <x v="19"/>
    <x v="13"/>
    <x v="12"/>
    <x v="17"/>
    <x v="7"/>
    <x v="236"/>
    <x v="32"/>
    <x v="14"/>
    <x v="133"/>
    <x v="99"/>
    <x v="3"/>
    <x v="8"/>
    <x v="0"/>
    <x v="0"/>
    <x v="0"/>
    <x v="0"/>
    <x v="2"/>
    <x v="0"/>
    <x v="0"/>
    <x v="0"/>
    <x v="0"/>
    <x v="0"/>
    <x v="0"/>
    <x v="0"/>
    <x v="0"/>
    <x v="0"/>
    <x v="0"/>
    <x v="0"/>
    <x v="0"/>
    <x v="0"/>
    <x v="0"/>
    <x v="0"/>
    <x v="0"/>
    <x v="0"/>
    <x v="0"/>
    <x v="0"/>
    <x v="0"/>
    <x v="0"/>
    <x v="19"/>
    <x v="19"/>
  </r>
  <r>
    <x v="21"/>
    <x v="3"/>
    <x v="1"/>
    <x v="32"/>
    <x v="7"/>
    <x v="12"/>
    <x v="51"/>
    <x v="124"/>
    <x v="2"/>
    <x v="0"/>
    <x v="0"/>
    <x v="19"/>
    <x v="0"/>
    <x v="0"/>
    <x v="0"/>
    <x v="0"/>
    <x v="0"/>
    <x v="0"/>
    <x v="0"/>
    <x v="0"/>
    <x v="0"/>
    <x v="0"/>
    <x v="0"/>
    <x v="17"/>
    <x v="0"/>
    <x v="0"/>
    <x v="160"/>
    <x v="0"/>
    <x v="0"/>
    <x v="233"/>
    <x v="4"/>
    <x v="0"/>
    <x v="0"/>
    <x v="0"/>
    <x v="7"/>
    <x v="238"/>
    <x v="16"/>
    <x v="1"/>
    <x v="134"/>
    <x v="99"/>
    <x v="0"/>
    <x v="3"/>
    <x v="0"/>
    <x v="0"/>
    <x v="0"/>
    <x v="0"/>
    <x v="0"/>
    <x v="0"/>
    <x v="0"/>
    <x v="0"/>
    <x v="0"/>
    <x v="0"/>
    <x v="0"/>
    <x v="0"/>
    <x v="0"/>
    <x v="0"/>
    <x v="0"/>
    <x v="0"/>
    <x v="0"/>
    <x v="0"/>
    <x v="0"/>
    <x v="0"/>
    <x v="0"/>
    <x v="0"/>
    <x v="0"/>
    <x v="0"/>
    <x v="0"/>
    <x v="0"/>
    <x v="4"/>
    <x v="4"/>
  </r>
  <r>
    <x v="21"/>
    <x v="3"/>
    <x v="1"/>
    <x v="34"/>
    <x v="7"/>
    <x v="12"/>
    <x v="46"/>
    <x v="133"/>
    <x v="2"/>
    <x v="3"/>
    <x v="1"/>
    <x v="2"/>
    <x v="1"/>
    <x v="1"/>
    <x v="0"/>
    <x v="0"/>
    <x v="0"/>
    <x v="0"/>
    <x v="0"/>
    <x v="0"/>
    <x v="0"/>
    <x v="3"/>
    <x v="2"/>
    <x v="19"/>
    <x v="0"/>
    <x v="0"/>
    <x v="160"/>
    <x v="0"/>
    <x v="0"/>
    <x v="233"/>
    <x v="5"/>
    <x v="2"/>
    <x v="10"/>
    <x v="1"/>
    <x v="7"/>
    <x v="226"/>
    <x v="106"/>
    <x v="15"/>
    <x v="135"/>
    <x v="99"/>
    <x v="0"/>
    <x v="4"/>
    <x v="0"/>
    <x v="0"/>
    <x v="0"/>
    <x v="0"/>
    <x v="0"/>
    <x v="0"/>
    <x v="0"/>
    <x v="0"/>
    <x v="0"/>
    <x v="0"/>
    <x v="0"/>
    <x v="0"/>
    <x v="0"/>
    <x v="0"/>
    <x v="0"/>
    <x v="0"/>
    <x v="0"/>
    <x v="0"/>
    <x v="0"/>
    <x v="0"/>
    <x v="0"/>
    <x v="0"/>
    <x v="0"/>
    <x v="0"/>
    <x v="0"/>
    <x v="0"/>
    <x v="5"/>
    <x v="5"/>
  </r>
  <r>
    <x v="21"/>
    <x v="3"/>
    <x v="1"/>
    <x v="7"/>
    <x v="7"/>
    <x v="12"/>
    <x v="15"/>
    <x v="95"/>
    <x v="2"/>
    <x v="5"/>
    <x v="7"/>
    <x v="23"/>
    <x v="13"/>
    <x v="13"/>
    <x v="0"/>
    <x v="0"/>
    <x v="0"/>
    <x v="0"/>
    <x v="31"/>
    <x v="0"/>
    <x v="3"/>
    <x v="9"/>
    <x v="91"/>
    <x v="2"/>
    <x v="0"/>
    <x v="0"/>
    <x v="160"/>
    <x v="214"/>
    <x v="0"/>
    <x v="1"/>
    <x v="5"/>
    <x v="5"/>
    <x v="17"/>
    <x v="50"/>
    <x v="7"/>
    <x v="212"/>
    <x v="217"/>
    <x v="40"/>
    <x v="136"/>
    <x v="99"/>
    <x v="0"/>
    <x v="4"/>
    <x v="0"/>
    <x v="0"/>
    <x v="0"/>
    <x v="0"/>
    <x v="0"/>
    <x v="0"/>
    <x v="0"/>
    <x v="0"/>
    <x v="0"/>
    <x v="0"/>
    <x v="0"/>
    <x v="0"/>
    <x v="0"/>
    <x v="0"/>
    <x v="0"/>
    <x v="0"/>
    <x v="0"/>
    <x v="0"/>
    <x v="0"/>
    <x v="0"/>
    <x v="0"/>
    <x v="0"/>
    <x v="0"/>
    <x v="0"/>
    <x v="0"/>
    <x v="0"/>
    <x v="5"/>
    <x v="5"/>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3.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14.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15.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0" dataCaption="Values" useAutoFormatting="0" itemPrintTitles="1" indent="0" outline="1" outlineData="1" compact="0" compactData="0">
  <location ref="B190:G198"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h="1" x="4"/>
        <item x="5"/>
        <item h="1" x="6"/>
        <item h="1" x="7"/>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2" cacheId="1" applyNumberFormats="0" applyBorderFormats="0" applyFontFormats="0" applyPatternFormats="0" applyAlignmentFormats="0" applyWidthHeightFormats="0" dataCaption="Values" useAutoFormatting="0" itemPrintTitles="1" indent="0" outline="1" outlineData="1" compact="0" compactData="0">
  <location ref="B31:G4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1" cacheId="1" applyNumberFormats="0" applyBorderFormats="0" applyFontFormats="0" applyPatternFormats="0" applyAlignmentFormats="0" applyWidthHeightFormats="0" dataCaption="Values" useAutoFormatting="0" itemPrintTitles="1" indent="0" outline="1" outlineData="1" compact="0" compactData="0">
  <location ref="B1:G1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Monthly Plan Qty" fld="11" subtotal="sum" numFmtId="19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0" dataCaption="Values" useAutoFormatting="0" itemPrintTitles="1" indent="0" outline="1" outlineData="1" compact="0" compactData="0">
  <location ref="B17:G29"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0" dataCaption="Values" useAutoFormatting="0" itemPrintTitles="1" indent="0" outline="1" outlineData="1" compact="0" compactData="0">
  <location ref="B154:G159"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1"/>
        <item h="1" x="42"/>
        <item h="1" x="43"/>
        <item x="44"/>
        <item x="45"/>
        <item h="1"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0" dataCaption="Values" useAutoFormatting="0" itemPrintTitles="1" indent="0" outline="1" outlineData="1" compact="0" compactData="0">
  <location ref="B175:G187"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P.P. Output  " fld="22" subtotal="average" numFmtId="199"/>
  </data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10" cacheId="1" applyNumberFormats="0" applyBorderFormats="0" applyFontFormats="0" applyPatternFormats="0" applyAlignmentFormats="0" applyWidthHeightFormats="0" dataCaption="Values" useAutoFormatting="0" itemPrintTitles="1" indent="0" outline="1" outlineData="1" compact="0" compactData="0">
  <location ref="B226:G237"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5" cacheId="1" applyNumberFormats="0" applyBorderFormats="0" applyFontFormats="0" applyPatternFormats="0" applyAlignmentFormats="0" applyWidthHeightFormats="0" dataCaption="Values" useAutoFormatting="0" itemPrintTitles="1" indent="0" outline="1" outlineData="1" compact="0" compactData="0">
  <location ref="B161:G171"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h="1"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3"/>
  </rowFields>
  <colFields count="1">
    <field x="0"/>
  </colFields>
  <dataFields count="1">
    <dataField name="OEE " fld="38" subtotal="average" numFmtId="186"/>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9" cacheId="1" applyNumberFormats="0" applyBorderFormats="0" applyFontFormats="0" applyPatternFormats="0" applyAlignmentFormats="0" applyWidthHeightFormats="0" dataCaption="Values" useAutoFormatting="0" itemPrintTitles="1" indent="0" outline="1" outlineData="1" compact="0" compactData="0">
  <location ref="B212:G223"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h="1"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Break Down Hrs." fld="31" subtotal="sum" numFmtId="202"/>
  </dataField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0" dataCaption="Values" useAutoFormatting="0" itemPrintTitles="1" indent="0" outline="1" outlineData="1" compact="0" compactData="0">
  <location ref="B147:G195"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1"/>
        <item x="42"/>
        <item x="43"/>
        <item x="44"/>
        <item x="45"/>
        <item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8" cacheId="1" applyNumberFormats="0" applyBorderFormats="0" applyFontFormats="0" applyPatternFormats="0" applyAlignmentFormats="0" applyWidthHeightFormats="0" dataCaption="Values" useAutoFormatting="0" itemPrintTitles="1" indent="0" outline="1" outlineData="1" compact="0" compactData="0">
  <location ref="B201:G209"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h="1" x="4"/>
        <item x="5"/>
        <item h="1" x="6"/>
        <item h="1" x="7"/>
        <item x="8"/>
        <item h="1"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12.xml><?xml version="1.0" encoding="utf-8"?>
<pivotTableDefinition xmlns="http://schemas.openxmlformats.org/spreadsheetml/2006/main" name="PivotTable2" cacheId="1" applyNumberFormats="0" applyBorderFormats="0" applyFontFormats="0" applyPatternFormats="0" applyAlignmentFormats="0" applyWidthHeightFormats="0" dataCaption="Values" useAutoFormatting="0" itemPrintTitles="1" indent="0" outline="1" outlineData="1" compact="0" compactData="0">
  <location ref="B47:H144" firstHeaderRow="1" firstDataRow="2" firstDataCol="2"/>
  <pivotFields count="39">
    <pivotField axis="axisCol" compact="0" showAll="0">
      <items count="5">
        <item x="0"/>
        <item x="1"/>
        <item x="2"/>
        <item x="3"/>
        <item t="default"/>
      </items>
    </pivotField>
    <pivotField compact="0" showAll="0"/>
    <pivotField compact="0" showAll="0"/>
    <pivotField axis="axisRow" compact="0" showAll="0">
      <items count="11">
        <item x="0"/>
        <item x="1"/>
        <item x="2"/>
        <item x="3"/>
        <item x="4"/>
        <item x="5"/>
        <item x="6"/>
        <item x="7"/>
        <item x="8"/>
        <item x="9"/>
        <item t="default"/>
      </items>
    </pivotField>
    <pivotField axis="axisRow" compact="0" showAl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4"/>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13.xml><?xml version="1.0" encoding="utf-8"?>
<pivotTableDefinition xmlns="http://schemas.openxmlformats.org/spreadsheetml/2006/main" name="DataPilot1" cacheId="2" applyNumberFormats="0" applyBorderFormats="0" applyFontFormats="0" applyPatternFormats="0" applyAlignmentFormats="0" applyWidthHeightFormats="0" dataCaption="Values" useAutoFormatting="0" itemPrintTitles="1" indent="0" outline="0" outlineData="0" compact="0" compactData="0">
  <location ref="A1:D13" firstHeaderRow="1" firstDataRow="2" firstDataCol="1"/>
  <pivotFields count="39">
    <pivotField compact="0" showAll="0"/>
    <pivotField compact="0" showAll="0" outline="0"/>
    <pivotField axis="axisRow" compact="0" showAll="0" outline="0">
      <items count="11">
        <item x="0"/>
        <item x="1"/>
        <item x="4"/>
        <item x="5"/>
        <item x="6"/>
        <item x="7"/>
        <item x="8"/>
        <item x="9"/>
        <item x="3"/>
        <item x="2"/>
        <item t="default"/>
      </items>
    </pivotField>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dataField="1"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dataField="1" compact="0" showAll="0" outline="0"/>
    <pivotField compact="0" showAll="0" outline="0"/>
    <pivotField compact="0" showAll="0"/>
  </pivotFields>
  <rowFields count="1">
    <field x="2"/>
  </rowFields>
  <colFields count="1">
    <field x="-2"/>
  </colFields>
  <dataFields count="3">
    <dataField name=" Plan Qty" fld="9" subtotal="sum" numFmtId="194"/>
    <dataField name=" Plan vs Actual Achievement %" fld="21" subtotal="average" numFmtId="199"/>
    <dataField name=" OEE" fld="36" subtotal="average" numFmtId="186"/>
  </dataFields>
  <pivotTableStyleInfo name="PivotStyleLight16" showRowHeaders="1" showColHeaders="1" showRowStripes="0" showColStripes="0" showLastColumn="1"/>
</pivotTableDefinition>
</file>

<file path=xl/pivotTables/pivotTable14.xml><?xml version="1.0" encoding="utf-8"?>
<pivotTableDefinition xmlns="http://schemas.openxmlformats.org/spreadsheetml/2006/main" name="DataPilot2" cacheId="3" applyNumberFormats="0" applyBorderFormats="0" applyFontFormats="0" applyPatternFormats="0" applyAlignmentFormats="0" applyWidthHeightFormats="0" dataCaption="Values" useAutoFormatting="0" itemPrintTitles="1" indent="0" outline="0" outlineData="0" compact="0" compactData="0">
  <location ref="A3:E15" firstHeaderRow="1" firstDataRow="2" firstDataCol="1"/>
  <pivotFields count="70">
    <pivotField compact="0" showAll="0"/>
    <pivotField compact="0" showAll="0" outline="0"/>
    <pivotField axis="axisRow" compact="0" showAll="0" outline="0">
      <items count="11">
        <item x="0"/>
        <item x="1"/>
        <item x="2"/>
        <item x="3"/>
        <item x="4"/>
        <item x="5"/>
        <item x="6"/>
        <item x="7"/>
        <item x="8"/>
        <item x="9"/>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dataField="1" compact="0" showAll="0" outline="0"/>
    <pivotField compact="0" showAll="0" outline="0"/>
    <pivotField compact="0" showAll="0" outline="0"/>
    <pivotField dataField="1" compact="0" showAll="0" outline="0"/>
    <pivotField compact="0" showAll="0" outline="0"/>
    <pivotField compact="0" showAll="0"/>
    <pivotField compact="0" showAll="0"/>
    <pivotField dataField="1"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colFields count="1">
    <field x="-2"/>
  </colFields>
  <dataFields count="4">
    <dataField name="Average of Machine Availability" fld="32" subtotal="average" numFmtId="186"/>
    <dataField name="Average of Quality Ratio" fld="29" subtotal="average" numFmtId="186"/>
    <dataField name="Average of Effieciency" fld="36" subtotal="average" numFmtId="186"/>
    <dataField name="Average of OEE" fld="37" subtotal="average" numFmtId="186"/>
  </dataFields>
  <pivotTableStyleInfo name="PivotStyleLight16" showRowHeaders="1" showColHeaders="1" showRowStripes="0" showColStripes="0" showLastColumn="1"/>
</pivotTableDefinition>
</file>

<file path=xl/pivotTables/pivotTable15.xml><?xml version="1.0" encoding="utf-8"?>
<pivotTableDefinition xmlns="http://schemas.openxmlformats.org/spreadsheetml/2006/main" name="DataPilot3" cacheId="3" applyNumberFormats="0" applyBorderFormats="0" applyFontFormats="0" applyPatternFormats="0" applyAlignmentFormats="0" applyWidthHeightFormats="0" dataCaption="Values" useAutoFormatting="0" itemPrintTitles="1" indent="0" outline="0" outlineData="0" compact="0" compactData="0">
  <location ref="A18:B29" firstHeaderRow="1" firstDataRow="1" firstDataCol="1"/>
  <pivotFields count="70">
    <pivotField compact="0" showAll="0"/>
    <pivotField compact="0" showAll="0" outline="0"/>
    <pivotField axis="axisRow" compact="0" showAll="0" outline="0">
      <items count="11">
        <item x="0"/>
        <item x="1"/>
        <item x="2"/>
        <item x="3"/>
        <item x="4"/>
        <item x="5"/>
        <item x="6"/>
        <item x="7"/>
        <item x="8"/>
        <item x="9"/>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D12:D30" headerRowCount="1" totalsRowCount="0" totalsRowShown="0">
  <tableColumns count="1">
    <tableColumn id="1" name="SKU"/>
  </tableColumns>
</table>
</file>

<file path=xl/tables/table2.xml><?xml version="1.0" encoding="utf-8"?>
<table xmlns="http://schemas.openxmlformats.org/spreadsheetml/2006/main" id="2" name="Table2" displayName="Table2" ref="A1:AM2" headerRowCount="1" totalsRowCount="0" totalsRowShown="0">
  <autoFilter ref="A1:AM2"/>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3.xml><?xml version="1.0" encoding="utf-8"?>
<table xmlns="http://schemas.openxmlformats.org/spreadsheetml/2006/main" id="3" name="Table3" displayName="Table3"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4.xml><?xml version="1.0" encoding="utf-8"?>
<table xmlns="http://schemas.openxmlformats.org/spreadsheetml/2006/main" id="4" name="Table4" displayName="Table4"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5.xml><?xml version="1.0" encoding="utf-8"?>
<table xmlns="http://schemas.openxmlformats.org/spreadsheetml/2006/main" id="5" name="Table5" displayName="Table5"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6.xml><?xml version="1.0" encoding="utf-8"?>
<table xmlns="http://schemas.openxmlformats.org/spreadsheetml/2006/main" id="6" name="Table6" displayName="Table6" ref="A1:AM3" headerRowCount="1" totalsRowCount="0" totalsRowShown="0">
  <autoFilter ref="A1:AM3"/>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7.xml><?xml version="1.0" encoding="utf-8"?>
<table xmlns="http://schemas.openxmlformats.org/spreadsheetml/2006/main" id="7" name="Table7" displayName="Table7" ref="A1:AM2" headerRowCount="1" totalsRowCount="0" totalsRowShown="0">
  <autoFilter ref="A1:AM2"/>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3.xml.rels><?xml version="1.0" encoding="UTF-8"?>
<Relationships xmlns="http://schemas.openxmlformats.org/package/2006/relationships"><Relationship Id="rId1" Type="http://schemas.openxmlformats.org/officeDocument/2006/relationships/table" Target="../tables/table4.xml"/>
</Relationships>
</file>

<file path=xl/worksheets/_rels/sheet4.xml.rels><?xml version="1.0" encoding="UTF-8"?>
<Relationships xmlns="http://schemas.openxmlformats.org/package/2006/relationships"><Relationship Id="rId1" Type="http://schemas.openxmlformats.org/officeDocument/2006/relationships/table" Target="../tables/table2.xml"/>
</Relationships>
</file>

<file path=xl/worksheets/_rels/sheet5.xml.rels><?xml version="1.0" encoding="UTF-8"?>
<Relationships xmlns="http://schemas.openxmlformats.org/package/2006/relationships"><Relationship Id="rId1" Type="http://schemas.openxmlformats.org/officeDocument/2006/relationships/table" Target="../tables/table5.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table" Target="../tables/table6.xml"/>
</Relationships>
</file>

<file path=xl/worksheets/_rels/sheet8.xml.rels><?xml version="1.0" encoding="UTF-8"?>
<Relationships xmlns="http://schemas.openxmlformats.org/package/2006/relationships"><Relationship Id="rId1" Type="http://schemas.openxmlformats.org/officeDocument/2006/relationships/table" Target="../tables/table7.xml"/>
</Relationships>
</file>

<file path=xl/worksheets/_rels/sheet9.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pivotTable" Target="../pivotTables/pivotTable5.xml"/><Relationship Id="rId7" Type="http://schemas.openxmlformats.org/officeDocument/2006/relationships/pivotTable" Target="../pivotTables/pivotTable6.xml"/><Relationship Id="rId8" Type="http://schemas.openxmlformats.org/officeDocument/2006/relationships/pivotTable" Target="../pivotTables/pivotTable7.xml"/><Relationship Id="rId9" Type="http://schemas.openxmlformats.org/officeDocument/2006/relationships/pivotTable" Target="../pivotTables/pivotTable8.xml"/><Relationship Id="rId10" Type="http://schemas.openxmlformats.org/officeDocument/2006/relationships/pivotTable" Target="../pivotTables/pivotTable9.xml"/><Relationship Id="rId11" Type="http://schemas.openxmlformats.org/officeDocument/2006/relationships/pivotTable" Target="../pivotTables/pivotTable10.xml"/><Relationship Id="rId12" Type="http://schemas.openxmlformats.org/officeDocument/2006/relationships/pivotTable" Target="../pivotTables/pivotTable11.xml"/><Relationship Id="rId13" Type="http://schemas.openxmlformats.org/officeDocument/2006/relationships/pivotTable" Target="../pivotTables/pivotTable12.xml"/>
</Relationships>
</file>

<file path=xl/worksheets/_rels/sheet10.xml.rels><?xml version="1.0" encoding="UTF-8"?>
<Relationships xmlns="http://schemas.openxmlformats.org/package/2006/relationships"><Relationship Id="rId1" Type="http://schemas.openxmlformats.org/officeDocument/2006/relationships/pivotTable" Target="../pivotTables/pivotTable13.xml"/>
</Relationships>
</file>

<file path=xl/worksheets/_rels/sheet11.xml.rels><?xml version="1.0" encoding="UTF-8"?>
<Relationships xmlns="http://schemas.openxmlformats.org/package/2006/relationships"><Relationship Id="rId1" Type="http://schemas.openxmlformats.org/officeDocument/2006/relationships/table" Target="../tables/table1.xml"/>
</Relationships>
</file>

<file path=xl/worksheets/_rels/sheet12.xml.rels><?xml version="1.0" encoding="UTF-8"?>
<Relationships xmlns="http://schemas.openxmlformats.org/package/2006/relationships"><Relationship Id="rId1" Type="http://schemas.openxmlformats.org/officeDocument/2006/relationships/drawing" Target="../drawings/drawing3.xml"/>
</Relationships>
</file>

<file path=xl/worksheets/_rels/sheet13.xml.rels><?xml version="1.0" encoding="UTF-8"?>
<Relationships xmlns="http://schemas.openxmlformats.org/package/2006/relationships"><Relationship Id="rId1" Type="http://schemas.openxmlformats.org/officeDocument/2006/relationships/drawing" Target="../drawings/drawing4.xml"/>
</Relationships>
</file>

<file path=xl/worksheets/_rels/sheet14.xml.rels><?xml version="1.0" encoding="UTF-8"?>
<Relationships xmlns="http://schemas.openxmlformats.org/package/2006/relationships"><Relationship Id="rId1" Type="http://schemas.openxmlformats.org/officeDocument/2006/relationships/pivotTable" Target="../pivotTables/pivotTable14.xml"/><Relationship Id="rId2" Type="http://schemas.openxmlformats.org/officeDocument/2006/relationships/pivotTable" Target="../pivotTables/pivotTable15.xml"/>
</Relationships>
</file>

<file path=xl/worksheets/_rels/sheet15.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selection pane="topLeft" activeCell="D13" activeCellId="0" sqref="D13"/>
    </sheetView>
  </sheetViews>
  <sheetFormatPr defaultColWidth="9.14453125" defaultRowHeight="13.8" zeroHeight="false" outlineLevelRow="0" outlineLevelCol="0"/>
  <cols>
    <col collapsed="false" customWidth="true" hidden="false" outlineLevel="0" max="4" min="1" style="0" width="8.54"/>
    <col collapsed="false" customWidth="true" hidden="false" outlineLevel="0" max="5" min="5" style="0" width="11.54"/>
    <col collapsed="false" customWidth="true" hidden="false" outlineLevel="0" max="6" min="6" style="0" width="9.54"/>
    <col collapsed="false" customWidth="true" hidden="false" outlineLevel="0" max="7" min="7" style="0" width="10.45"/>
    <col collapsed="false" customWidth="true" hidden="false" outlineLevel="0" max="64" min="8" style="0" width="8.54"/>
  </cols>
  <sheetData>
    <row r="1" customFormat="false" ht="22.5" hidden="false" customHeight="true" outlineLevel="0" collapsed="false">
      <c r="A1" s="1" t="s">
        <v>0</v>
      </c>
      <c r="B1" s="1"/>
      <c r="C1" s="1"/>
      <c r="D1" s="1"/>
      <c r="E1" s="1"/>
      <c r="F1" s="1"/>
      <c r="G1" s="2" t="s">
        <v>1</v>
      </c>
    </row>
    <row r="2" customFormat="false" ht="13.8" hidden="false" customHeight="false" outlineLevel="0" collapsed="false">
      <c r="A2" s="3" t="s">
        <v>2</v>
      </c>
      <c r="B2" s="3" t="s">
        <v>3</v>
      </c>
      <c r="C2" s="3" t="s">
        <v>4</v>
      </c>
      <c r="D2" s="3" t="s">
        <v>5</v>
      </c>
      <c r="E2" s="3" t="s">
        <v>6</v>
      </c>
      <c r="F2" s="3" t="s">
        <v>7</v>
      </c>
      <c r="G2" s="3" t="s">
        <v>8</v>
      </c>
    </row>
    <row r="3" customFormat="false" ht="13.8" hidden="false" customHeight="false" outlineLevel="0" collapsed="false">
      <c r="A3" s="4" t="n">
        <v>1048</v>
      </c>
      <c r="B3" s="4" t="n">
        <v>108</v>
      </c>
      <c r="C3" s="4" t="n">
        <v>2</v>
      </c>
      <c r="D3" s="4" t="n">
        <v>0</v>
      </c>
      <c r="E3" s="4" t="n">
        <v>1</v>
      </c>
      <c r="F3" s="4" t="n">
        <v>0</v>
      </c>
      <c r="G3" s="4" t="n">
        <f aca="false">B3+C3+D3+E3+F3</f>
        <v>111</v>
      </c>
    </row>
    <row r="4" customFormat="false" ht="13.8" hidden="false" customHeight="false" outlineLevel="0" collapsed="false">
      <c r="A4" s="4" t="n">
        <v>330</v>
      </c>
      <c r="B4" s="4" t="n">
        <v>108</v>
      </c>
      <c r="C4" s="4" t="n">
        <v>1</v>
      </c>
      <c r="D4" s="4" t="n">
        <v>3</v>
      </c>
      <c r="E4" s="4" t="n">
        <v>0</v>
      </c>
      <c r="F4" s="4" t="n">
        <v>0</v>
      </c>
      <c r="G4" s="4" t="n">
        <f aca="false">B4+C4+D4+E4+F4</f>
        <v>112</v>
      </c>
    </row>
    <row r="5" customFormat="false" ht="13.8" hidden="false" customHeight="false" outlineLevel="0" collapsed="false">
      <c r="A5" s="4" t="n">
        <v>1710</v>
      </c>
      <c r="B5" s="4" t="n">
        <v>108</v>
      </c>
      <c r="C5" s="4" t="n">
        <v>3</v>
      </c>
      <c r="D5" s="4" t="n">
        <v>1</v>
      </c>
      <c r="E5" s="4" t="n">
        <v>0</v>
      </c>
      <c r="F5" s="4" t="n">
        <v>1</v>
      </c>
      <c r="G5" s="4" t="n">
        <f aca="false">B5+C5+D5+E5+F5</f>
        <v>113</v>
      </c>
    </row>
    <row r="6" customFormat="false" ht="13.8" hidden="false" customHeight="false" outlineLevel="0" collapsed="false">
      <c r="A6" s="4" t="n">
        <v>633</v>
      </c>
      <c r="B6" s="4" t="n">
        <v>108</v>
      </c>
      <c r="C6" s="4" t="n">
        <v>13</v>
      </c>
      <c r="D6" s="4" t="n">
        <v>0</v>
      </c>
      <c r="E6" s="4" t="n">
        <v>0</v>
      </c>
      <c r="F6" s="4" t="n">
        <v>0</v>
      </c>
      <c r="G6" s="4" t="n">
        <f aca="false">B6+C6+D6+E6+F6</f>
        <v>121</v>
      </c>
    </row>
    <row r="7" customFormat="false" ht="13.8" hidden="false" customHeight="false" outlineLevel="0" collapsed="false">
      <c r="A7" s="4" t="n">
        <v>1849</v>
      </c>
      <c r="B7" s="4" t="n">
        <v>108</v>
      </c>
      <c r="C7" s="4" t="n">
        <v>8</v>
      </c>
      <c r="D7" s="4" t="n">
        <v>2</v>
      </c>
      <c r="E7" s="4" t="n">
        <v>0</v>
      </c>
      <c r="F7" s="4" t="n">
        <v>0</v>
      </c>
      <c r="G7" s="4" t="n">
        <f aca="false">B7+C7+D7+E7+F7</f>
        <v>118</v>
      </c>
    </row>
    <row r="8" customFormat="false" ht="13.8" hidden="false" customHeight="false" outlineLevel="0" collapsed="false">
      <c r="A8" s="3" t="s">
        <v>9</v>
      </c>
      <c r="B8" s="3" t="n">
        <f aca="false">SUM(B3:B7)</f>
        <v>540</v>
      </c>
      <c r="C8" s="3" t="n">
        <f aca="false">SUM(C3:C7)</f>
        <v>27</v>
      </c>
      <c r="D8" s="3" t="n">
        <f aca="false">SUM(D3:D7)</f>
        <v>6</v>
      </c>
      <c r="E8" s="3" t="n">
        <f aca="false">SUM(E3:E7)</f>
        <v>1</v>
      </c>
      <c r="F8" s="3" t="n">
        <f aca="false">SUM(F3:F7)</f>
        <v>1</v>
      </c>
      <c r="G8" s="3" t="n">
        <f aca="false">SUM(G3:G7)</f>
        <v>575</v>
      </c>
    </row>
    <row r="9" customFormat="false" ht="13.8" hidden="false" customHeight="false" outlineLevel="0" collapsed="false">
      <c r="A9" s="5" t="s">
        <v>10</v>
      </c>
      <c r="B9" s="5"/>
      <c r="C9" s="5"/>
      <c r="D9" s="5"/>
      <c r="E9" s="5"/>
      <c r="F9" s="5"/>
    </row>
    <row r="10" customFormat="false" ht="13.8" hidden="false" customHeight="false" outlineLevel="0" collapsed="false">
      <c r="A10" s="5" t="s">
        <v>11</v>
      </c>
      <c r="B10" s="5"/>
      <c r="C10" s="5"/>
      <c r="D10" s="5"/>
      <c r="E10" s="5"/>
      <c r="F10" s="5"/>
    </row>
  </sheetData>
  <mergeCells count="1">
    <mergeCell ref="A1:F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8" activeCellId="0" sqref="E18"/>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63</v>
      </c>
      <c r="C2" s="0" t="s">
        <v>64</v>
      </c>
      <c r="D2" s="0" t="s">
        <v>65</v>
      </c>
      <c r="F2" s="0" t="s">
        <v>66</v>
      </c>
      <c r="H2" s="0" t="s">
        <v>67</v>
      </c>
      <c r="I2" s="0" t="s">
        <v>68</v>
      </c>
      <c r="J2" s="0" t="n">
        <v>8.5</v>
      </c>
      <c r="K2" s="0" t="n">
        <v>5500</v>
      </c>
      <c r="L2" s="0" t="n">
        <v>647.058823529412</v>
      </c>
      <c r="M2" s="0" t="n">
        <v>6126</v>
      </c>
      <c r="N2" s="0" t="n">
        <v>6075</v>
      </c>
      <c r="O2" s="0" t="n">
        <v>0</v>
      </c>
      <c r="P2" s="0" t="n">
        <v>0</v>
      </c>
      <c r="Q2" s="0" t="n">
        <v>59</v>
      </c>
      <c r="R2" s="0" t="n">
        <v>0</v>
      </c>
      <c r="S2" s="0" t="n">
        <v>51</v>
      </c>
      <c r="T2" s="0" t="n">
        <v>0</v>
      </c>
      <c r="U2" s="0" t="n">
        <v>7</v>
      </c>
      <c r="V2" s="0" t="n">
        <v>867.857142857143</v>
      </c>
      <c r="W2" s="0" t="n">
        <v>1.10454545454545</v>
      </c>
      <c r="X2" s="0" t="s">
        <v>69</v>
      </c>
      <c r="Y2" s="0" t="n">
        <v>0</v>
      </c>
      <c r="Z2" s="0" t="n">
        <v>0</v>
      </c>
      <c r="AA2" s="0" t="s">
        <v>58</v>
      </c>
      <c r="AB2" s="0" t="n">
        <v>0.00832517140058766</v>
      </c>
      <c r="AC2" s="0" t="n">
        <v>0</v>
      </c>
      <c r="AD2" s="0" t="n">
        <v>0.991674828599412</v>
      </c>
      <c r="AE2" s="0" t="n">
        <v>0.833333333333333</v>
      </c>
      <c r="AF2" s="0" t="n">
        <v>7.66666666666667</v>
      </c>
      <c r="AG2" s="0" t="n">
        <v>0.901960784313726</v>
      </c>
      <c r="AH2" s="0" t="n">
        <v>714.705882352941</v>
      </c>
      <c r="AI2" s="0" t="n">
        <v>36</v>
      </c>
      <c r="AJ2" s="0" t="n">
        <v>31.8024691358025</v>
      </c>
      <c r="AK2" s="0" t="n">
        <v>1.13198757763975</v>
      </c>
      <c r="AL2" s="0" t="n">
        <v>1.01250833340192</v>
      </c>
      <c r="AM2"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70</v>
      </c>
      <c r="C2" s="0" t="s">
        <v>71</v>
      </c>
      <c r="D2" s="0" t="s">
        <v>72</v>
      </c>
      <c r="E2" s="0" t="s">
        <v>73</v>
      </c>
      <c r="F2" s="0" t="s">
        <v>74</v>
      </c>
      <c r="H2" s="0" t="s">
        <v>75</v>
      </c>
      <c r="I2" s="0" t="s">
        <v>76</v>
      </c>
      <c r="J2" s="0" t="n">
        <v>2</v>
      </c>
      <c r="K2" s="0" t="n">
        <v>0</v>
      </c>
      <c r="L2" s="0" t="n">
        <v>0</v>
      </c>
      <c r="M2" s="0" t="n">
        <v>620</v>
      </c>
      <c r="N2" s="0" t="n">
        <v>540</v>
      </c>
      <c r="O2" s="0" t="n">
        <v>0.668</v>
      </c>
      <c r="P2" s="0" t="n">
        <v>37</v>
      </c>
      <c r="Q2" s="0" t="n">
        <v>0</v>
      </c>
      <c r="R2" s="0" t="n">
        <v>0</v>
      </c>
      <c r="S2" s="0" t="n">
        <v>35</v>
      </c>
      <c r="T2" s="0" t="n">
        <v>8</v>
      </c>
      <c r="U2" s="0" t="n">
        <v>1</v>
      </c>
      <c r="V2" s="0" t="n">
        <v>540</v>
      </c>
      <c r="W2" s="0" t="e">
        <f aca="false">#DIV/0!</f>
        <v>#DIV/0!</v>
      </c>
      <c r="X2" s="0" t="s">
        <v>77</v>
      </c>
      <c r="Y2" s="0" t="n">
        <v>32</v>
      </c>
      <c r="Z2" s="0" t="n">
        <v>20.508</v>
      </c>
      <c r="AA2" s="0" t="n">
        <v>0.842598010532475</v>
      </c>
      <c r="AB2" s="0" t="n">
        <v>0.0608695652173913</v>
      </c>
      <c r="AC2" s="0" t="n">
        <v>0.0563165905631659</v>
      </c>
      <c r="AD2" s="0" t="n">
        <v>0.943548387096774</v>
      </c>
      <c r="AE2" s="0" t="n">
        <v>0</v>
      </c>
      <c r="AF2" s="0" t="n">
        <v>2</v>
      </c>
      <c r="AG2" s="0" t="n">
        <v>1</v>
      </c>
      <c r="AH2" s="0" t="n">
        <v>270</v>
      </c>
      <c r="AI2" s="0" t="n">
        <v>9</v>
      </c>
      <c r="AJ2" s="0" t="n">
        <v>13.3333333333333</v>
      </c>
      <c r="AK2" s="0" t="n">
        <v>0.675</v>
      </c>
      <c r="AL2" s="0" t="n">
        <v>0.636895161290323</v>
      </c>
      <c r="AM2" s="0" t="s">
        <v>59</v>
      </c>
    </row>
    <row r="3" customFormat="false" ht="13.8" hidden="false" customHeight="false" outlineLevel="0" collapsed="false">
      <c r="A3" s="8" t="n">
        <v>44128</v>
      </c>
      <c r="B3" s="0" t="s">
        <v>51</v>
      </c>
      <c r="C3" s="0" t="s">
        <v>71</v>
      </c>
      <c r="D3" s="0" t="s">
        <v>78</v>
      </c>
      <c r="E3" s="0" t="s">
        <v>79</v>
      </c>
      <c r="F3" s="0" t="s">
        <v>80</v>
      </c>
      <c r="H3" s="0" t="s">
        <v>81</v>
      </c>
      <c r="I3" s="0" t="s">
        <v>82</v>
      </c>
      <c r="J3" s="0" t="n">
        <v>8</v>
      </c>
      <c r="K3" s="0" t="n">
        <v>2823</v>
      </c>
      <c r="L3" s="0" t="n">
        <v>352.875</v>
      </c>
      <c r="M3" s="0" t="n">
        <v>3156</v>
      </c>
      <c r="N3" s="0" t="n">
        <v>3060</v>
      </c>
      <c r="O3" s="0" t="n">
        <v>0.44</v>
      </c>
      <c r="P3" s="0" t="n">
        <v>0</v>
      </c>
      <c r="Q3" s="0" t="n">
        <v>0</v>
      </c>
      <c r="R3" s="0" t="n">
        <v>0</v>
      </c>
      <c r="S3" s="0" t="n">
        <v>88</v>
      </c>
      <c r="T3" s="0" t="n">
        <v>8</v>
      </c>
      <c r="U3" s="0" t="n">
        <v>1</v>
      </c>
      <c r="V3" s="0" t="n">
        <v>3060</v>
      </c>
      <c r="W3" s="0" t="n">
        <v>1.08395324123273</v>
      </c>
      <c r="X3" s="0" t="s">
        <v>83</v>
      </c>
      <c r="Y3" s="0" t="n">
        <v>22</v>
      </c>
      <c r="Z3" s="0" t="n">
        <v>69.872</v>
      </c>
      <c r="AA3" s="0" t="n">
        <v>0.963476070528967</v>
      </c>
      <c r="AB3" s="0" t="n">
        <v>0.0279542566709022</v>
      </c>
      <c r="AC3" s="0" t="n">
        <v>0</v>
      </c>
      <c r="AD3" s="0" t="n">
        <v>0.97211660329531</v>
      </c>
      <c r="AE3" s="0" t="n">
        <v>0.833333333333333</v>
      </c>
      <c r="AF3" s="0" t="n">
        <v>7.16666666666667</v>
      </c>
      <c r="AG3" s="0" t="n">
        <v>0.895833333333333</v>
      </c>
      <c r="AH3" s="0" t="n">
        <v>382.5</v>
      </c>
      <c r="AI3" s="0" t="n">
        <v>9</v>
      </c>
      <c r="AJ3" s="0" t="n">
        <v>8.43137254901961</v>
      </c>
      <c r="AK3" s="0" t="n">
        <v>1.06744186046512</v>
      </c>
      <c r="AL3" s="0" t="n">
        <v>0.929586501901141</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E75B6"/>
    <pageSetUpPr fitToPage="true"/>
  </sheetPr>
  <dimension ref="A1:FU3102"/>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5" ySplit="3" topLeftCell="F4" activePane="bottomRight" state="frozen"/>
      <selection pane="topLeft" activeCell="A1" activeCellId="0" sqref="A1"/>
      <selection pane="topRight" activeCell="F1" activeCellId="0" sqref="F1"/>
      <selection pane="bottomLeft" activeCell="A4" activeCellId="0" sqref="A4"/>
      <selection pane="bottomRight" activeCell="D8" activeCellId="0" sqref="D8"/>
    </sheetView>
  </sheetViews>
  <sheetFormatPr defaultColWidth="12.54296875" defaultRowHeight="13.8" zeroHeight="false" outlineLevelRow="0" outlineLevelCol="0"/>
  <cols>
    <col collapsed="false" customWidth="true" hidden="false" outlineLevel="0" max="1" min="1" style="0" width="7.46"/>
    <col collapsed="false" customWidth="true" hidden="false" outlineLevel="0" max="2" min="2" style="9" width="8.54"/>
    <col collapsed="false" customWidth="true" hidden="false" outlineLevel="0" max="3" min="3" style="0" width="5.46"/>
    <col collapsed="false" customWidth="true" hidden="false" outlineLevel="0" max="4" min="4" style="10" width="18.55"/>
    <col collapsed="false" customWidth="true" hidden="false" outlineLevel="0" max="5" min="5" style="0" width="4.04"/>
    <col collapsed="false" customWidth="true" hidden="false" outlineLevel="0" max="6" min="6" style="11" width="8.7"/>
    <col collapsed="false" customWidth="true" hidden="false" outlineLevel="0" max="7" min="7" style="10" width="10.9"/>
    <col collapsed="false" customWidth="true" hidden="false" outlineLevel="0" max="8" min="8" style="11" width="24.54"/>
    <col collapsed="false" customWidth="true" hidden="true" outlineLevel="0" max="9" min="9" style="0" width="15.45"/>
    <col collapsed="false" customWidth="true" hidden="false" outlineLevel="0" max="10" min="10" style="0" width="13.17"/>
    <col collapsed="false" customWidth="true" hidden="false" outlineLevel="0" max="11" min="11" style="0" width="18.28"/>
    <col collapsed="false" customWidth="true" hidden="false" outlineLevel="0" max="12" min="12" style="12" width="13.9"/>
    <col collapsed="false" customWidth="true" hidden="false" outlineLevel="0" max="13" min="13" style="0" width="12.9"/>
    <col collapsed="false" customWidth="true" hidden="false" outlineLevel="0" max="14" min="14" style="0" width="9.45"/>
    <col collapsed="false" customWidth="true" hidden="false" outlineLevel="0" max="15" min="15" style="13" width="11.45"/>
    <col collapsed="false" customWidth="true" hidden="false" outlineLevel="0" max="17" min="16" style="13" width="8.45"/>
    <col collapsed="false" customWidth="true" hidden="false" outlineLevel="0" max="18" min="18" style="13" width="8"/>
    <col collapsed="false" customWidth="true" hidden="false" outlineLevel="0" max="19" min="19" style="13" width="5.46"/>
    <col collapsed="false" customWidth="true" hidden="false" outlineLevel="0" max="20" min="20" style="13" width="7.18"/>
    <col collapsed="false" customWidth="true" hidden="false" outlineLevel="0" max="21" min="21" style="13" width="7.46"/>
    <col collapsed="false" customWidth="true" hidden="false" outlineLevel="0" max="22" min="22" style="0" width="6.46"/>
    <col collapsed="false" customWidth="true" hidden="false" outlineLevel="0" max="23" min="23" style="14" width="9.54"/>
    <col collapsed="false" customWidth="true" hidden="false" outlineLevel="0" max="24" min="24" style="14" width="8.54"/>
    <col collapsed="false" customWidth="true" hidden="false" outlineLevel="0" max="25" min="25" style="14" width="10.45"/>
    <col collapsed="false" customWidth="true" hidden="false" outlineLevel="0" max="26" min="26" style="14" width="7.46"/>
    <col collapsed="false" customWidth="true" hidden="false" outlineLevel="0" max="27" min="27" style="14" width="8"/>
    <col collapsed="false" customWidth="true" hidden="false" outlineLevel="0" max="28" min="28" style="14" width="9.27"/>
    <col collapsed="false" customWidth="true" hidden="false" outlineLevel="0" max="29" min="29" style="0" width="7.27"/>
    <col collapsed="false" customWidth="true" hidden="false" outlineLevel="0" max="30" min="30" style="0" width="6.54"/>
    <col collapsed="false" customWidth="true" hidden="false" outlineLevel="0" max="31" min="31" style="0" width="8.27"/>
    <col collapsed="false" customWidth="true" hidden="false" outlineLevel="0" max="32" min="32" style="0" width="6.46"/>
    <col collapsed="false" customWidth="true" hidden="false" outlineLevel="0" max="33" min="33" style="0" width="11.82"/>
    <col collapsed="false" customWidth="true" hidden="false" outlineLevel="0" max="34" min="34" style="14" width="9.45"/>
    <col collapsed="false" customWidth="true" hidden="false" outlineLevel="0" max="35" min="35" style="0" width="7.46"/>
    <col collapsed="false" customWidth="true" hidden="false" outlineLevel="0" max="36" min="36" style="14" width="9"/>
    <col collapsed="false" customWidth="true" hidden="false" outlineLevel="0" max="37" min="37" style="14" width="10"/>
    <col collapsed="false" customWidth="true" hidden="false" outlineLevel="0" max="38" min="38" style="14" width="7.54"/>
    <col collapsed="false" customWidth="true" hidden="false" outlineLevel="0" max="39" min="39" style="14" width="8.54"/>
    <col collapsed="false" customWidth="true" hidden="true" outlineLevel="0" max="40" min="40" style="15" width="16.27"/>
    <col collapsed="false" customWidth="true" hidden="false" outlineLevel="0" max="41" min="41" style="16" width="19.72"/>
    <col collapsed="false" customWidth="true" hidden="false" outlineLevel="0" max="44" min="42" style="17" width="8.45"/>
    <col collapsed="false" customWidth="true" hidden="false" outlineLevel="0" max="45" min="45" style="17" width="12.45"/>
    <col collapsed="false" customWidth="true" hidden="false" outlineLevel="0" max="61" min="46" style="17" width="8.45"/>
    <col collapsed="false" customWidth="true" hidden="false" outlineLevel="0" max="62" min="62" style="17" width="13.45"/>
    <col collapsed="false" customWidth="true" hidden="false" outlineLevel="0" max="63" min="63" style="17" width="11.54"/>
    <col collapsed="false" customWidth="true" hidden="false" outlineLevel="0" max="64" min="64" style="17" width="9.45"/>
    <col collapsed="false" customWidth="true" hidden="false" outlineLevel="0" max="65" min="65" style="17" width="13.45"/>
    <col collapsed="false" customWidth="true" hidden="false" outlineLevel="0" max="66" min="66" style="17" width="7.46"/>
    <col collapsed="false" customWidth="true" hidden="false" outlineLevel="0" max="68" min="67" style="17" width="11.54"/>
    <col collapsed="false" customWidth="true" hidden="false" outlineLevel="0" max="70" min="69" style="17" width="7.46"/>
    <col collapsed="false" customWidth="true" hidden="false" outlineLevel="0" max="100" min="71" style="14" width="8.54"/>
    <col collapsed="false" customWidth="true" hidden="false" outlineLevel="0" max="102" min="102" style="0" width="16.45"/>
  </cols>
  <sheetData>
    <row r="1" customFormat="false" ht="42.75" hidden="false" customHeight="true" outlineLevel="0" collapsed="false">
      <c r="B1" s="18"/>
      <c r="C1" s="18"/>
      <c r="D1" s="19" t="s">
        <v>58</v>
      </c>
      <c r="E1" s="20"/>
      <c r="F1" s="21"/>
      <c r="G1" s="22"/>
      <c r="H1" s="23"/>
      <c r="I1" s="20"/>
      <c r="J1" s="20"/>
      <c r="K1" s="24"/>
      <c r="L1" s="25"/>
      <c r="M1" s="26"/>
      <c r="N1" s="27" t="n">
        <f aca="false">SUBTOTAL(9,N4:N363)</f>
        <v>1827214</v>
      </c>
      <c r="O1" s="28" t="n">
        <f aca="false">SUBTOTAL(9,O4:O363)</f>
        <v>1805582</v>
      </c>
      <c r="P1" s="28" t="e">
        <f aca="false">SUBTOTAL(9,P4:P363)</f>
        <v>#NAME?</v>
      </c>
      <c r="Q1" s="27" t="n">
        <f aca="false">SUBTOTAL(9,Q4:Q363)</f>
        <v>10331</v>
      </c>
      <c r="R1" s="27" t="n">
        <f aca="false">SUBTOTAL(9,R4:R363)</f>
        <v>903</v>
      </c>
      <c r="S1" s="27" t="n">
        <f aca="false">SUBTOTAL(9,S4:S363)</f>
        <v>0</v>
      </c>
      <c r="T1" s="27" t="n">
        <f aca="false">SUBTOTAL(9,T4:T363)</f>
        <v>10322</v>
      </c>
      <c r="U1" s="27" t="n">
        <f aca="false">SUBTOTAL(9,U4:U363)</f>
        <v>979</v>
      </c>
      <c r="V1" s="28"/>
      <c r="W1" s="27" t="n">
        <f aca="false">SUM(Q1,T1:U1)</f>
        <v>21632</v>
      </c>
      <c r="X1" s="28"/>
      <c r="Y1" s="28"/>
      <c r="Z1" s="28"/>
      <c r="AA1" s="28"/>
      <c r="AB1" s="28"/>
      <c r="AC1" s="29"/>
      <c r="AD1" s="30"/>
      <c r="AE1" s="30"/>
      <c r="AF1" s="30"/>
      <c r="AG1" s="30"/>
      <c r="AH1" s="31" t="s">
        <v>58</v>
      </c>
      <c r="AI1" s="30"/>
      <c r="AJ1" s="31"/>
      <c r="AK1" s="31"/>
      <c r="AL1" s="31"/>
      <c r="AM1" s="31"/>
      <c r="AN1" s="24"/>
      <c r="AO1" s="32"/>
    </row>
    <row r="2" customFormat="false" ht="22.4" hidden="false" customHeight="true" outlineLevel="0" collapsed="false">
      <c r="B2" s="33"/>
      <c r="C2" s="33"/>
      <c r="D2" s="34" t="s">
        <v>84</v>
      </c>
      <c r="E2" s="35"/>
      <c r="F2" s="36"/>
      <c r="G2" s="37"/>
      <c r="H2" s="38" t="s">
        <v>84</v>
      </c>
      <c r="I2" s="25"/>
      <c r="J2" s="25"/>
      <c r="K2" s="36"/>
      <c r="L2" s="39"/>
      <c r="M2" s="40" t="s">
        <v>84</v>
      </c>
      <c r="N2" s="40" t="s">
        <v>84</v>
      </c>
      <c r="O2" s="41"/>
      <c r="P2" s="41"/>
      <c r="Q2" s="42"/>
      <c r="R2" s="43"/>
      <c r="S2" s="43"/>
      <c r="T2" s="43"/>
      <c r="U2" s="43"/>
      <c r="V2" s="44"/>
      <c r="W2" s="40" t="s">
        <v>84</v>
      </c>
      <c r="X2" s="40" t="s">
        <v>84</v>
      </c>
      <c r="Y2" s="40" t="s">
        <v>84</v>
      </c>
      <c r="Z2" s="40" t="s">
        <v>84</v>
      </c>
      <c r="AA2" s="40" t="s">
        <v>84</v>
      </c>
      <c r="AB2" s="40" t="s">
        <v>84</v>
      </c>
      <c r="AC2" s="40" t="s">
        <v>84</v>
      </c>
      <c r="AD2" s="40" t="s">
        <v>84</v>
      </c>
      <c r="AE2" s="40" t="s">
        <v>84</v>
      </c>
      <c r="AF2" s="40" t="s">
        <v>84</v>
      </c>
      <c r="AG2" s="40" t="s">
        <v>85</v>
      </c>
      <c r="AH2" s="40" t="s">
        <v>84</v>
      </c>
      <c r="AI2" s="40" t="s">
        <v>84</v>
      </c>
      <c r="AJ2" s="40" t="s">
        <v>84</v>
      </c>
      <c r="AK2" s="40" t="s">
        <v>84</v>
      </c>
      <c r="AL2" s="40" t="s">
        <v>84</v>
      </c>
      <c r="AM2" s="40" t="s">
        <v>84</v>
      </c>
      <c r="AN2" s="36"/>
      <c r="AO2" s="45"/>
      <c r="AP2" s="46" t="s">
        <v>86</v>
      </c>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7" t="s">
        <v>84</v>
      </c>
      <c r="BS2" s="47" t="s">
        <v>84</v>
      </c>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row>
    <row r="3" s="49" customFormat="true" ht="55.5" hidden="false" customHeight="true" outlineLevel="0" collapsed="false">
      <c r="A3" s="49" t="s">
        <v>87</v>
      </c>
      <c r="B3" s="50" t="s">
        <v>88</v>
      </c>
      <c r="C3" s="51" t="s">
        <v>13</v>
      </c>
      <c r="D3" s="52" t="s">
        <v>14</v>
      </c>
      <c r="E3" s="50" t="s">
        <v>15</v>
      </c>
      <c r="F3" s="53" t="s">
        <v>16</v>
      </c>
      <c r="G3" s="50" t="s">
        <v>89</v>
      </c>
      <c r="H3" s="54" t="s">
        <v>19</v>
      </c>
      <c r="I3" s="54" t="s">
        <v>20</v>
      </c>
      <c r="J3" s="55" t="s">
        <v>90</v>
      </c>
      <c r="K3" s="54" t="s">
        <v>21</v>
      </c>
      <c r="L3" s="56" t="s">
        <v>22</v>
      </c>
      <c r="M3" s="54" t="s">
        <v>23</v>
      </c>
      <c r="N3" s="54" t="s">
        <v>91</v>
      </c>
      <c r="O3" s="57" t="s">
        <v>25</v>
      </c>
      <c r="P3" s="57" t="s">
        <v>92</v>
      </c>
      <c r="Q3" s="57" t="s">
        <v>93</v>
      </c>
      <c r="R3" s="57" t="s">
        <v>94</v>
      </c>
      <c r="S3" s="57" t="s">
        <v>95</v>
      </c>
      <c r="T3" s="57" t="s">
        <v>96</v>
      </c>
      <c r="U3" s="57" t="s">
        <v>31</v>
      </c>
      <c r="V3" s="54" t="s">
        <v>32</v>
      </c>
      <c r="W3" s="58" t="s">
        <v>33</v>
      </c>
      <c r="X3" s="59" t="s">
        <v>97</v>
      </c>
      <c r="Y3" s="54" t="s">
        <v>35</v>
      </c>
      <c r="Z3" s="60" t="s">
        <v>98</v>
      </c>
      <c r="AA3" s="60" t="s">
        <v>99</v>
      </c>
      <c r="AB3" s="54" t="s">
        <v>100</v>
      </c>
      <c r="AC3" s="61" t="s">
        <v>101</v>
      </c>
      <c r="AD3" s="54" t="s">
        <v>102</v>
      </c>
      <c r="AE3" s="62" t="s">
        <v>41</v>
      </c>
      <c r="AF3" s="54" t="s">
        <v>42</v>
      </c>
      <c r="AG3" s="54" t="s">
        <v>43</v>
      </c>
      <c r="AH3" s="62" t="s">
        <v>44</v>
      </c>
      <c r="AI3" s="54" t="s">
        <v>45</v>
      </c>
      <c r="AJ3" s="54" t="s">
        <v>103</v>
      </c>
      <c r="AK3" s="54" t="s">
        <v>104</v>
      </c>
      <c r="AL3" s="62" t="s">
        <v>48</v>
      </c>
      <c r="AM3" s="63" t="s">
        <v>49</v>
      </c>
      <c r="AN3" s="64" t="s">
        <v>50</v>
      </c>
      <c r="AO3" s="65" t="s">
        <v>105</v>
      </c>
      <c r="AP3" s="66" t="s">
        <v>106</v>
      </c>
      <c r="AQ3" s="67" t="s">
        <v>107</v>
      </c>
      <c r="AR3" s="68" t="s">
        <v>108</v>
      </c>
      <c r="AS3" s="68" t="s">
        <v>109</v>
      </c>
      <c r="AT3" s="68" t="s">
        <v>110</v>
      </c>
      <c r="AU3" s="68" t="s">
        <v>111</v>
      </c>
      <c r="AV3" s="68" t="s">
        <v>112</v>
      </c>
      <c r="AW3" s="69" t="s">
        <v>113</v>
      </c>
      <c r="AX3" s="69" t="s">
        <v>114</v>
      </c>
      <c r="AY3" s="69" t="s">
        <v>115</v>
      </c>
      <c r="AZ3" s="69" t="s">
        <v>116</v>
      </c>
      <c r="BA3" s="69" t="s">
        <v>117</v>
      </c>
      <c r="BB3" s="69" t="s">
        <v>118</v>
      </c>
      <c r="BC3" s="69" t="s">
        <v>119</v>
      </c>
      <c r="BD3" s="69" t="s">
        <v>120</v>
      </c>
      <c r="BE3" s="69" t="s">
        <v>121</v>
      </c>
      <c r="BF3" s="69" t="s">
        <v>122</v>
      </c>
      <c r="BG3" s="69" t="s">
        <v>123</v>
      </c>
      <c r="BH3" s="69" t="s">
        <v>124</v>
      </c>
      <c r="BI3" s="69" t="s">
        <v>125</v>
      </c>
      <c r="BJ3" s="69" t="s">
        <v>126</v>
      </c>
      <c r="BK3" s="69" t="s">
        <v>127</v>
      </c>
      <c r="BL3" s="69" t="s">
        <v>128</v>
      </c>
      <c r="BM3" s="69" t="s">
        <v>129</v>
      </c>
      <c r="BN3" s="69" t="s">
        <v>130</v>
      </c>
      <c r="BO3" s="69" t="s">
        <v>131</v>
      </c>
      <c r="BP3" s="69" t="s">
        <v>132</v>
      </c>
      <c r="BQ3" s="70" t="s">
        <v>133</v>
      </c>
      <c r="BR3" s="71" t="s">
        <v>134</v>
      </c>
      <c r="BS3" s="71" t="s">
        <v>134</v>
      </c>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X3" s="73" t="s">
        <v>135</v>
      </c>
    </row>
    <row r="4" s="74" customFormat="true" ht="15" hidden="false" customHeight="true" outlineLevel="0" collapsed="false">
      <c r="A4" s="74" t="n">
        <f aca="false">MONTH(B4)</f>
        <v>8</v>
      </c>
      <c r="B4" s="75" t="n">
        <v>44410</v>
      </c>
      <c r="C4" s="76" t="s">
        <v>70</v>
      </c>
      <c r="D4" s="77" t="str">
        <f aca="false">IFERROR(VLOOKUP(E:E,'Item Data Support Sheet'!A:O,7,0),"")</f>
        <v>NIPPLE MOLDED</v>
      </c>
      <c r="E4" s="78" t="s">
        <v>136</v>
      </c>
      <c r="F4" s="78" t="s">
        <v>137</v>
      </c>
      <c r="G4" s="77" t="s">
        <v>138</v>
      </c>
      <c r="H4" s="79" t="str">
        <f aca="false">IFERROR(VLOOKUP(E:E,'Item Data Support Sheet'!A:O,2,0),"")</f>
        <v>NIPPLE S TYPE M SIZE INJECTION</v>
      </c>
      <c r="I4" s="80" t="s">
        <v>139</v>
      </c>
      <c r="J4" s="80" t="s">
        <v>140</v>
      </c>
      <c r="K4" s="81" t="n">
        <v>8</v>
      </c>
      <c r="L4" s="82" t="n">
        <v>4815</v>
      </c>
      <c r="M4" s="83" t="n">
        <f aca="false">IFERROR(L4/K4,0)</f>
        <v>601.875</v>
      </c>
      <c r="N4" s="84" t="n">
        <f aca="false">+O4+Q4+T4+U4</f>
        <v>6618</v>
      </c>
      <c r="O4" s="85" t="n">
        <f aca="false">3500+830</f>
        <v>4330</v>
      </c>
      <c r="P4" s="86" t="n">
        <v>0.8</v>
      </c>
      <c r="Q4" s="87" t="n">
        <v>2137</v>
      </c>
      <c r="R4" s="88" t="n">
        <v>0</v>
      </c>
      <c r="S4" s="88" t="n">
        <v>0</v>
      </c>
      <c r="T4" s="88" t="n">
        <v>135</v>
      </c>
      <c r="U4" s="88" t="n">
        <v>16</v>
      </c>
      <c r="V4" s="89" t="n">
        <v>1</v>
      </c>
      <c r="W4" s="90" t="n">
        <f aca="false">IFERROR(O4/V4,0)</f>
        <v>4330</v>
      </c>
      <c r="X4" s="91" t="n">
        <f aca="false">O4/L4</f>
        <v>0.899273104880582</v>
      </c>
      <c r="Y4" s="92" t="str">
        <f aca="false">IFERROR(VLOOKUP(E:E,'Item Data Support Sheet'!A:J,6,0),0)</f>
        <v>Silicon</v>
      </c>
      <c r="Z4" s="93" t="n">
        <f aca="false">IFERROR(VLOOKUP(E:E,'Item Data Support Sheet'!A:O,4,0),0)</f>
        <v>6.8</v>
      </c>
      <c r="AA4" s="93" t="n">
        <f aca="false">IFERROR(((N4)*(Z4/1000))+P4,0)</f>
        <v>45.8024</v>
      </c>
      <c r="AB4" s="94" t="n">
        <f aca="false">IFERROR((O4*(Z4/1000)/(AA4))," ")</f>
        <v>0.642848409690322</v>
      </c>
      <c r="AC4" s="95" t="n">
        <f aca="false">IFERROR((T4)/((T4)+O4),0)</f>
        <v>0.0302351623740202</v>
      </c>
      <c r="AD4" s="96" t="n">
        <f aca="false">IFERROR(Q4/(Q4+N4),0)</f>
        <v>0.244089091947459</v>
      </c>
      <c r="AE4" s="91" t="n">
        <f aca="false">(N4-T4)/N4</f>
        <v>0.979601087941976</v>
      </c>
      <c r="AF4" s="97" t="n">
        <f aca="false">BR4</f>
        <v>1</v>
      </c>
      <c r="AG4" s="98" t="n">
        <f aca="false">K4-AF4</f>
        <v>7</v>
      </c>
      <c r="AH4" s="99" t="n">
        <f aca="false">IFERROR(AG4/K4," ")</f>
        <v>0.875</v>
      </c>
      <c r="AI4" s="100" t="n">
        <f aca="false">IFERROR(O4/K4,0)</f>
        <v>541.25</v>
      </c>
      <c r="AJ4" s="101" t="n">
        <f aca="false">VLOOKUP(D4,'Standard Cycle time'!C:D,2,0)</f>
        <v>5.25</v>
      </c>
      <c r="AK4" s="101" t="n">
        <f aca="false">AG4*V4*3600/O4</f>
        <v>5.81986143187067</v>
      </c>
      <c r="AL4" s="102" t="n">
        <f aca="false">AJ4/AK4</f>
        <v>0.902083333333333</v>
      </c>
      <c r="AM4" s="99" t="n">
        <f aca="false">AE4*AL4*AH4</f>
        <v>0.773221587904201</v>
      </c>
      <c r="AN4" s="103" t="s">
        <v>141</v>
      </c>
      <c r="AO4" s="104" t="s">
        <v>142</v>
      </c>
      <c r="AP4" s="105" t="n">
        <v>0</v>
      </c>
      <c r="AQ4" s="105" t="n">
        <v>0</v>
      </c>
      <c r="AR4" s="105" t="n">
        <v>0</v>
      </c>
      <c r="AS4" s="105" t="n">
        <v>0</v>
      </c>
      <c r="AT4" s="105" t="n">
        <v>0</v>
      </c>
      <c r="AU4" s="105" t="n">
        <v>0</v>
      </c>
      <c r="AV4" s="105" t="n">
        <v>0</v>
      </c>
      <c r="AW4" s="105" t="n">
        <v>60</v>
      </c>
      <c r="AX4" s="105" t="n">
        <v>0</v>
      </c>
      <c r="AY4" s="105" t="n">
        <v>0</v>
      </c>
      <c r="AZ4" s="105" t="n">
        <v>0</v>
      </c>
      <c r="BA4" s="105" t="n">
        <v>0</v>
      </c>
      <c r="BB4" s="105" t="n">
        <v>0</v>
      </c>
      <c r="BC4" s="105" t="n">
        <v>0</v>
      </c>
      <c r="BD4" s="105" t="n">
        <v>0</v>
      </c>
      <c r="BE4" s="105" t="n">
        <v>0</v>
      </c>
      <c r="BF4" s="105" t="n">
        <v>0</v>
      </c>
      <c r="BG4" s="105" t="n">
        <v>0</v>
      </c>
      <c r="BH4" s="105" t="n">
        <v>0</v>
      </c>
      <c r="BI4" s="105" t="n">
        <v>0</v>
      </c>
      <c r="BJ4" s="105" t="n">
        <v>0</v>
      </c>
      <c r="BK4" s="105" t="n">
        <v>0</v>
      </c>
      <c r="BL4" s="105" t="n">
        <v>0</v>
      </c>
      <c r="BM4" s="105" t="n">
        <v>0</v>
      </c>
      <c r="BN4" s="105" t="n">
        <v>0</v>
      </c>
      <c r="BO4" s="105" t="n">
        <v>0</v>
      </c>
      <c r="BP4" s="105" t="n">
        <v>0</v>
      </c>
      <c r="BQ4" s="105" t="n">
        <v>0</v>
      </c>
      <c r="BR4" s="106" t="n">
        <f aca="false">SUM(AP4:BQ4)/60</f>
        <v>1</v>
      </c>
      <c r="BS4" s="106" t="n">
        <f aca="false">SUM(AP4:BR4)/60</f>
        <v>1.01666666666667</v>
      </c>
      <c r="BT4" s="107"/>
      <c r="BU4" s="107"/>
      <c r="BV4" s="107"/>
      <c r="BW4" s="107"/>
      <c r="BX4" s="107"/>
      <c r="BY4" s="107"/>
      <c r="BZ4" s="107"/>
      <c r="CA4" s="107"/>
      <c r="CB4" s="107"/>
      <c r="CC4" s="107"/>
      <c r="CD4" s="107"/>
      <c r="CE4" s="107"/>
      <c r="CF4" s="107"/>
      <c r="CG4" s="107"/>
      <c r="CH4" s="107"/>
      <c r="CI4" s="107"/>
      <c r="CJ4" s="107"/>
      <c r="CK4" s="107"/>
      <c r="CL4" s="107"/>
      <c r="CM4" s="107"/>
      <c r="CN4" s="107"/>
      <c r="CO4" s="107"/>
      <c r="CP4" s="107"/>
      <c r="CQ4" s="107"/>
      <c r="CR4" s="107"/>
      <c r="CS4" s="107"/>
      <c r="CT4" s="107"/>
      <c r="CU4" s="107"/>
      <c r="CV4" s="107"/>
      <c r="CX4" s="74" t="s">
        <v>143</v>
      </c>
    </row>
    <row r="5" s="74" customFormat="true" ht="15" hidden="false" customHeight="true" outlineLevel="0" collapsed="false">
      <c r="A5" s="74" t="n">
        <f aca="false">MONTH(B5)</f>
        <v>8</v>
      </c>
      <c r="B5" s="75" t="n">
        <v>44410</v>
      </c>
      <c r="C5" s="76" t="s">
        <v>70</v>
      </c>
      <c r="D5" s="77" t="str">
        <f aca="false">IFERROR(VLOOKUP(E:E,'Item Data Support Sheet'!A:O,7,0),"")</f>
        <v>BOTTLE MOLDED</v>
      </c>
      <c r="E5" s="78" t="s">
        <v>78</v>
      </c>
      <c r="F5" s="80" t="s">
        <v>144</v>
      </c>
      <c r="G5" s="77" t="s">
        <v>80</v>
      </c>
      <c r="H5" s="79" t="str">
        <f aca="false">IFERROR(VLOOKUP(E:E,'Item Data Support Sheet'!A:O,2,0),"")</f>
        <v>RPP 120 ML BOTTLE MOLDED</v>
      </c>
      <c r="I5" s="80" t="s">
        <v>145</v>
      </c>
      <c r="J5" s="80" t="s">
        <v>140</v>
      </c>
      <c r="K5" s="81" t="n">
        <v>8</v>
      </c>
      <c r="L5" s="82" t="n">
        <v>2574</v>
      </c>
      <c r="M5" s="83" t="n">
        <f aca="false">IFERROR(L5/K5,0)</f>
        <v>321.75</v>
      </c>
      <c r="N5" s="84" t="n">
        <f aca="false">+O5+Q5+T5+U5</f>
        <v>2381</v>
      </c>
      <c r="O5" s="85" t="n">
        <v>2160</v>
      </c>
      <c r="P5" s="86" t="n">
        <v>0.2</v>
      </c>
      <c r="Q5" s="87" t="n">
        <v>173</v>
      </c>
      <c r="R5" s="88" t="n">
        <v>0</v>
      </c>
      <c r="S5" s="88" t="n">
        <v>0</v>
      </c>
      <c r="T5" s="88" t="n">
        <v>40</v>
      </c>
      <c r="U5" s="88" t="n">
        <v>8</v>
      </c>
      <c r="V5" s="89" t="n">
        <v>1</v>
      </c>
      <c r="W5" s="90" t="n">
        <f aca="false">IFERROR(O5/V5,0)</f>
        <v>2160</v>
      </c>
      <c r="X5" s="91" t="n">
        <f aca="false">O5/L5</f>
        <v>0.839160839160839</v>
      </c>
      <c r="Y5" s="92" t="str">
        <f aca="false">IFERROR(VLOOKUP(E:E,'Item Data Support Sheet'!A:J,6,0),0)</f>
        <v>HMC</v>
      </c>
      <c r="Z5" s="93" t="n">
        <f aca="false">IFERROR(VLOOKUP(E:E,'Item Data Support Sheet'!A:O,4,0),0)</f>
        <v>21.3</v>
      </c>
      <c r="AA5" s="93" t="n">
        <f aca="false">IFERROR(((N5)*(Z5/1000))+P5,0)</f>
        <v>50.9153</v>
      </c>
      <c r="AB5" s="94" t="n">
        <f aca="false">IFERROR((O5*(Z5/1000)/(AA5))," ")</f>
        <v>0.90361836226046</v>
      </c>
      <c r="AC5" s="95" t="n">
        <f aca="false">IFERROR((T5)/((T5)+O5),0)</f>
        <v>0.0181818181818182</v>
      </c>
      <c r="AD5" s="96" t="n">
        <f aca="false">IFERROR(Q5/(Q5+N5),0)</f>
        <v>0.0677368833202819</v>
      </c>
      <c r="AE5" s="91" t="n">
        <f aca="false">(N5-T5)/N5</f>
        <v>0.98320033599328</v>
      </c>
      <c r="AF5" s="97" t="n">
        <f aca="false">BR5</f>
        <v>2.5</v>
      </c>
      <c r="AG5" s="98" t="n">
        <f aca="false">K5-AF5</f>
        <v>5.5</v>
      </c>
      <c r="AH5" s="99" t="n">
        <f aca="false">IFERROR(AG5/K5," ")</f>
        <v>0.6875</v>
      </c>
      <c r="AI5" s="100" t="n">
        <f aca="false">IFERROR(O5/K5,0)</f>
        <v>270</v>
      </c>
      <c r="AJ5" s="101" t="n">
        <f aca="false">VLOOKUP(D5,'Standard Cycle time'!C:D,2,0)</f>
        <v>9</v>
      </c>
      <c r="AK5" s="101" t="n">
        <f aca="false">AG5*V5*3600/O5</f>
        <v>9.16666666666667</v>
      </c>
      <c r="AL5" s="102" t="n">
        <f aca="false">AJ5/AK5</f>
        <v>0.981818181818182</v>
      </c>
      <c r="AM5" s="99" t="n">
        <f aca="false">AE5*AL5*AH5</f>
        <v>0.663660226795464</v>
      </c>
      <c r="AN5" s="103" t="s">
        <v>146</v>
      </c>
      <c r="AO5" s="104" t="s">
        <v>147</v>
      </c>
      <c r="AP5" s="105" t="n">
        <v>0</v>
      </c>
      <c r="AQ5" s="105" t="n">
        <v>0</v>
      </c>
      <c r="AR5" s="105" t="n">
        <v>120</v>
      </c>
      <c r="AS5" s="105" t="n">
        <v>0</v>
      </c>
      <c r="AT5" s="105" t="n">
        <v>0</v>
      </c>
      <c r="AU5" s="105" t="n">
        <v>0</v>
      </c>
      <c r="AV5" s="105" t="n">
        <v>0</v>
      </c>
      <c r="AW5" s="105" t="n">
        <v>30</v>
      </c>
      <c r="AX5" s="105" t="n">
        <v>0</v>
      </c>
      <c r="AY5" s="105" t="n">
        <v>0</v>
      </c>
      <c r="AZ5" s="105" t="n">
        <v>0</v>
      </c>
      <c r="BA5" s="105" t="n">
        <v>0</v>
      </c>
      <c r="BB5" s="105" t="n">
        <v>0</v>
      </c>
      <c r="BC5" s="105" t="n">
        <v>0</v>
      </c>
      <c r="BD5" s="105" t="n">
        <v>0</v>
      </c>
      <c r="BE5" s="105" t="n">
        <v>0</v>
      </c>
      <c r="BF5" s="105" t="n">
        <v>0</v>
      </c>
      <c r="BG5" s="105" t="n">
        <v>0</v>
      </c>
      <c r="BH5" s="105" t="n">
        <v>0</v>
      </c>
      <c r="BI5" s="105" t="n">
        <v>0</v>
      </c>
      <c r="BJ5" s="105" t="n">
        <v>0</v>
      </c>
      <c r="BK5" s="105" t="n">
        <v>0</v>
      </c>
      <c r="BL5" s="105" t="n">
        <v>0</v>
      </c>
      <c r="BM5" s="105" t="n">
        <v>0</v>
      </c>
      <c r="BN5" s="105" t="n">
        <v>0</v>
      </c>
      <c r="BO5" s="105" t="n">
        <v>0</v>
      </c>
      <c r="BP5" s="105" t="n">
        <v>0</v>
      </c>
      <c r="BQ5" s="105" t="n">
        <v>0</v>
      </c>
      <c r="BR5" s="106" t="n">
        <f aca="false">SUM(AP5:BQ5)/60</f>
        <v>2.5</v>
      </c>
      <c r="BS5" s="106" t="n">
        <f aca="false">SUM(AP5:BR5)/60</f>
        <v>2.54166666666667</v>
      </c>
      <c r="BT5" s="107"/>
      <c r="BU5" s="107"/>
      <c r="BV5" s="107"/>
      <c r="BW5" s="107"/>
      <c r="BX5" s="107"/>
      <c r="BY5" s="107"/>
      <c r="BZ5" s="107"/>
      <c r="CA5" s="107"/>
      <c r="CB5" s="107"/>
      <c r="CC5" s="107"/>
      <c r="CD5" s="107"/>
      <c r="CE5" s="107"/>
      <c r="CF5" s="107"/>
      <c r="CG5" s="107"/>
      <c r="CH5" s="107"/>
      <c r="CI5" s="107"/>
      <c r="CJ5" s="107"/>
      <c r="CK5" s="107"/>
      <c r="CL5" s="107"/>
      <c r="CM5" s="107"/>
      <c r="CN5" s="107"/>
      <c r="CO5" s="107"/>
      <c r="CP5" s="107"/>
      <c r="CQ5" s="107"/>
      <c r="CR5" s="107"/>
      <c r="CS5" s="107"/>
      <c r="CT5" s="107"/>
      <c r="CU5" s="107"/>
      <c r="CV5" s="107"/>
      <c r="CX5" s="74" t="s">
        <v>148</v>
      </c>
    </row>
    <row r="6" s="74" customFormat="true" ht="15" hidden="false" customHeight="true" outlineLevel="0" collapsed="false">
      <c r="A6" s="74" t="n">
        <f aca="false">MONTH(B6)</f>
        <v>8</v>
      </c>
      <c r="B6" s="75" t="n">
        <v>44410</v>
      </c>
      <c r="C6" s="76" t="s">
        <v>70</v>
      </c>
      <c r="D6" s="77" t="str">
        <f aca="false">IFERROR(VLOOKUP(E:E,'Item Data Support Sheet'!A:O,7,0),"")</f>
        <v>NIPPLE POSTCURE</v>
      </c>
      <c r="E6" s="108" t="s">
        <v>62</v>
      </c>
      <c r="F6" s="80"/>
      <c r="G6" s="77" t="s">
        <v>149</v>
      </c>
      <c r="H6" s="79" t="str">
        <f aca="false">IFERROR(VLOOKUP(E:E,'Item Data Support Sheet'!A:O,2,0),"")</f>
        <v>NIPPLE S TYPE M SIZE POSTCURED</v>
      </c>
      <c r="I6" s="80" t="s">
        <v>150</v>
      </c>
      <c r="J6" s="80" t="s">
        <v>140</v>
      </c>
      <c r="K6" s="81" t="n">
        <v>3</v>
      </c>
      <c r="L6" s="82" t="n">
        <v>3000</v>
      </c>
      <c r="M6" s="83" t="n">
        <f aca="false">IFERROR(L6/K6,0)</f>
        <v>1000</v>
      </c>
      <c r="N6" s="84" t="n">
        <f aca="false">+O6+Q6+T6+U6</f>
        <v>2830</v>
      </c>
      <c r="O6" s="85" t="n">
        <v>2830</v>
      </c>
      <c r="P6" s="86" t="n">
        <v>0</v>
      </c>
      <c r="Q6" s="87" t="n">
        <v>0</v>
      </c>
      <c r="R6" s="88" t="n">
        <v>0</v>
      </c>
      <c r="S6" s="88" t="n">
        <v>0</v>
      </c>
      <c r="T6" s="88" t="n">
        <v>0</v>
      </c>
      <c r="U6" s="88" t="n">
        <v>0</v>
      </c>
      <c r="V6" s="89" t="n">
        <v>1</v>
      </c>
      <c r="W6" s="90" t="n">
        <f aca="false">IFERROR(O6/V6,0)</f>
        <v>2830</v>
      </c>
      <c r="X6" s="91" t="n">
        <f aca="false">O6/L6</f>
        <v>0.943333333333333</v>
      </c>
      <c r="Y6" s="92" t="str">
        <f aca="false">IFERROR(VLOOKUP(E:E,'Item Data Support Sheet'!A:J,6,0),0)</f>
        <v>FO012</v>
      </c>
      <c r="Z6" s="93" t="n">
        <f aca="false">IFERROR(VLOOKUP(E:E,'Item Data Support Sheet'!A:O,4,0),0)</f>
        <v>0</v>
      </c>
      <c r="AA6" s="93" t="n">
        <f aca="false">IFERROR(((N6)*(Z6/1000))+P6,0)</f>
        <v>0</v>
      </c>
      <c r="AB6" s="94" t="str">
        <f aca="false">IFERROR((O6*(Z6/1000)/(AA6))," ")</f>
        <v> </v>
      </c>
      <c r="AC6" s="95" t="n">
        <f aca="false">IFERROR((T6)/((T6)+O6),0)</f>
        <v>0</v>
      </c>
      <c r="AD6" s="96" t="n">
        <f aca="false">IFERROR(Q6/(Q6+N6),0)</f>
        <v>0</v>
      </c>
      <c r="AE6" s="91" t="n">
        <f aca="false">(N6-T6)/N6</f>
        <v>1</v>
      </c>
      <c r="AF6" s="97" t="n">
        <f aca="false">BR6</f>
        <v>1</v>
      </c>
      <c r="AG6" s="98" t="n">
        <f aca="false">K6-AF6</f>
        <v>2</v>
      </c>
      <c r="AH6" s="99" t="n">
        <f aca="false">IFERROR(AG6/K6," ")</f>
        <v>0.666666666666667</v>
      </c>
      <c r="AI6" s="100" t="n">
        <f aca="false">IFERROR(O6/K6,0)</f>
        <v>943.333333333333</v>
      </c>
      <c r="AJ6" s="101" t="n">
        <f aca="false">VLOOKUP(D6,'Standard Cycle time'!C:D,2,0)</f>
        <v>2.3</v>
      </c>
      <c r="AK6" s="101" t="n">
        <f aca="false">AG6*V6*3600/O6</f>
        <v>2.54416961130742</v>
      </c>
      <c r="AL6" s="102" t="n">
        <f aca="false">AJ6/AK6</f>
        <v>0.904027777777778</v>
      </c>
      <c r="AM6" s="99" t="n">
        <f aca="false">AE6*AL6*AH6</f>
        <v>0.602685185185185</v>
      </c>
      <c r="AN6" s="103" t="s">
        <v>151</v>
      </c>
      <c r="AO6" s="104"/>
      <c r="AP6" s="105" t="n">
        <v>0</v>
      </c>
      <c r="AQ6" s="105" t="n">
        <v>0</v>
      </c>
      <c r="AR6" s="105" t="n">
        <v>0</v>
      </c>
      <c r="AS6" s="105" t="n">
        <v>60</v>
      </c>
      <c r="AT6" s="105" t="n">
        <v>0</v>
      </c>
      <c r="AU6" s="105" t="n">
        <v>0</v>
      </c>
      <c r="AV6" s="105" t="n">
        <v>0</v>
      </c>
      <c r="AW6" s="105" t="n">
        <v>0</v>
      </c>
      <c r="AX6" s="105" t="n">
        <v>0</v>
      </c>
      <c r="AY6" s="105" t="n">
        <v>0</v>
      </c>
      <c r="AZ6" s="105" t="n">
        <v>0</v>
      </c>
      <c r="BA6" s="105" t="n">
        <v>0</v>
      </c>
      <c r="BB6" s="105" t="n">
        <v>0</v>
      </c>
      <c r="BC6" s="105" t="n">
        <v>0</v>
      </c>
      <c r="BD6" s="105" t="n">
        <v>0</v>
      </c>
      <c r="BE6" s="105" t="n">
        <v>0</v>
      </c>
      <c r="BF6" s="105" t="n">
        <v>0</v>
      </c>
      <c r="BG6" s="105" t="n">
        <v>0</v>
      </c>
      <c r="BH6" s="105" t="n">
        <v>0</v>
      </c>
      <c r="BI6" s="105" t="n">
        <v>0</v>
      </c>
      <c r="BJ6" s="105" t="n">
        <v>0</v>
      </c>
      <c r="BK6" s="105" t="n">
        <v>0</v>
      </c>
      <c r="BL6" s="105" t="n">
        <v>0</v>
      </c>
      <c r="BM6" s="105" t="n">
        <v>0</v>
      </c>
      <c r="BN6" s="105" t="n">
        <v>0</v>
      </c>
      <c r="BO6" s="105" t="n">
        <v>0</v>
      </c>
      <c r="BP6" s="105" t="n">
        <v>0</v>
      </c>
      <c r="BQ6" s="105" t="n">
        <v>0</v>
      </c>
      <c r="BR6" s="106" t="n">
        <f aca="false">SUM(AP6:BQ6)/60</f>
        <v>1</v>
      </c>
      <c r="BS6" s="106" t="n">
        <f aca="false">SUM(AP6:BR6)/60</f>
        <v>1.01666666666667</v>
      </c>
      <c r="BT6" s="107"/>
      <c r="BU6" s="107"/>
      <c r="BV6" s="107"/>
      <c r="BW6" s="107"/>
      <c r="BX6" s="107"/>
      <c r="BY6" s="107"/>
      <c r="BZ6" s="107"/>
      <c r="CA6" s="107"/>
      <c r="CB6" s="107"/>
      <c r="CC6" s="107"/>
      <c r="CD6" s="107"/>
      <c r="CE6" s="107"/>
      <c r="CF6" s="107"/>
      <c r="CG6" s="107"/>
      <c r="CH6" s="107"/>
      <c r="CI6" s="107"/>
      <c r="CJ6" s="107"/>
      <c r="CK6" s="107"/>
      <c r="CL6" s="107"/>
      <c r="CM6" s="107"/>
      <c r="CN6" s="107"/>
      <c r="CO6" s="107"/>
      <c r="CP6" s="107"/>
      <c r="CQ6" s="107"/>
      <c r="CR6" s="107"/>
      <c r="CS6" s="107"/>
      <c r="CT6" s="107"/>
      <c r="CU6" s="107"/>
      <c r="CV6" s="107"/>
      <c r="CX6" s="74" t="s">
        <v>140</v>
      </c>
    </row>
    <row r="7" s="74" customFormat="true" ht="15" hidden="false" customHeight="true" outlineLevel="0" collapsed="false">
      <c r="A7" s="74" t="n">
        <f aca="false">MONTH(B7)</f>
        <v>8</v>
      </c>
      <c r="B7" s="75" t="n">
        <v>44410</v>
      </c>
      <c r="C7" s="76" t="s">
        <v>152</v>
      </c>
      <c r="D7" s="77" t="str">
        <f aca="false">IFERROR(VLOOKUP(E:E,'Item Data Support Sheet'!A:O,7,0),"")</f>
        <v>NIPPLE MOLDED</v>
      </c>
      <c r="E7" s="108" t="s">
        <v>136</v>
      </c>
      <c r="F7" s="78" t="s">
        <v>137</v>
      </c>
      <c r="G7" s="77" t="s">
        <v>138</v>
      </c>
      <c r="H7" s="79" t="str">
        <f aca="false">IFERROR(VLOOKUP(E:E,'Item Data Support Sheet'!A:O,2,0),"")</f>
        <v>NIPPLE S TYPE M SIZE INJECTION</v>
      </c>
      <c r="I7" s="80" t="s">
        <v>153</v>
      </c>
      <c r="J7" s="80" t="s">
        <v>148</v>
      </c>
      <c r="K7" s="81" t="n">
        <v>8</v>
      </c>
      <c r="L7" s="82" t="n">
        <v>4815</v>
      </c>
      <c r="M7" s="83" t="n">
        <f aca="false">IFERROR(L7/K7,0)</f>
        <v>601.875</v>
      </c>
      <c r="N7" s="84" t="n">
        <f aca="false">+O7+Q7+T7+U7</f>
        <v>4848</v>
      </c>
      <c r="O7" s="85" t="n">
        <v>4700</v>
      </c>
      <c r="P7" s="86" t="n">
        <f aca="false">2.399+3.391+1.473</f>
        <v>7.263</v>
      </c>
      <c r="Q7" s="87" t="n">
        <v>60</v>
      </c>
      <c r="R7" s="88" t="n">
        <v>0</v>
      </c>
      <c r="S7" s="88" t="n">
        <v>0</v>
      </c>
      <c r="T7" s="88" t="n">
        <v>80</v>
      </c>
      <c r="U7" s="88" t="n">
        <v>8</v>
      </c>
      <c r="V7" s="89" t="n">
        <v>1</v>
      </c>
      <c r="W7" s="90" t="n">
        <f aca="false">IFERROR(O7/V7,0)</f>
        <v>4700</v>
      </c>
      <c r="X7" s="91" t="n">
        <f aca="false">O7/L7</f>
        <v>0.976116303219107</v>
      </c>
      <c r="Y7" s="92" t="str">
        <f aca="false">IFERROR(VLOOKUP(E:E,'Item Data Support Sheet'!A:J,6,0),0)</f>
        <v>Silicon</v>
      </c>
      <c r="Z7" s="93" t="n">
        <f aca="false">IFERROR(VLOOKUP(E:E,'Item Data Support Sheet'!A:O,4,0),0)</f>
        <v>6.8</v>
      </c>
      <c r="AA7" s="93" t="n">
        <f aca="false">IFERROR(((N7)*(Z7/1000))+P7,0)</f>
        <v>40.2294</v>
      </c>
      <c r="AB7" s="94" t="n">
        <f aca="false">IFERROR((O7*(Z7/1000)/(AA7))," ")</f>
        <v>0.794443864437451</v>
      </c>
      <c r="AC7" s="95" t="n">
        <f aca="false">IFERROR((T7)/((T7)+O7),0)</f>
        <v>0.0167364016736402</v>
      </c>
      <c r="AD7" s="96" t="n">
        <f aca="false">IFERROR(Q7/(Q7+N7),0)</f>
        <v>0.0122249388753056</v>
      </c>
      <c r="AE7" s="91" t="n">
        <f aca="false">(N7-T7)/N7</f>
        <v>0.983498349834984</v>
      </c>
      <c r="AF7" s="97" t="n">
        <f aca="false">BR7</f>
        <v>0.75</v>
      </c>
      <c r="AG7" s="98" t="n">
        <f aca="false">K7-AF7</f>
        <v>7.25</v>
      </c>
      <c r="AH7" s="99" t="n">
        <f aca="false">IFERROR(AG7/K7," ")</f>
        <v>0.90625</v>
      </c>
      <c r="AI7" s="100" t="n">
        <f aca="false">IFERROR(O7/K7,0)</f>
        <v>587.5</v>
      </c>
      <c r="AJ7" s="101" t="n">
        <f aca="false">VLOOKUP(D7,'Standard Cycle time'!C:D,2,0)</f>
        <v>5.25</v>
      </c>
      <c r="AK7" s="101" t="n">
        <f aca="false">AG7*V7*3600/O7</f>
        <v>5.5531914893617</v>
      </c>
      <c r="AL7" s="102" t="n">
        <f aca="false">AJ7/AK7</f>
        <v>0.945402298850575</v>
      </c>
      <c r="AM7" s="99" t="n">
        <f aca="false">AE7*AL7*AH7</f>
        <v>0.842632700770077</v>
      </c>
      <c r="AN7" s="103" t="n">
        <v>2180</v>
      </c>
      <c r="AO7" s="104" t="s">
        <v>154</v>
      </c>
      <c r="AP7" s="105" t="n">
        <v>0</v>
      </c>
      <c r="AQ7" s="105" t="n">
        <v>0</v>
      </c>
      <c r="AR7" s="105" t="n">
        <v>0</v>
      </c>
      <c r="AS7" s="105" t="n">
        <v>0</v>
      </c>
      <c r="AT7" s="105" t="n">
        <v>0</v>
      </c>
      <c r="AU7" s="105" t="n">
        <v>0</v>
      </c>
      <c r="AV7" s="105" t="n">
        <v>0</v>
      </c>
      <c r="AW7" s="105" t="n">
        <v>0</v>
      </c>
      <c r="AX7" s="105" t="n">
        <v>45</v>
      </c>
      <c r="AY7" s="105" t="n">
        <v>0</v>
      </c>
      <c r="AZ7" s="105" t="n">
        <v>0</v>
      </c>
      <c r="BA7" s="105" t="n">
        <v>0</v>
      </c>
      <c r="BB7" s="105" t="n">
        <v>0</v>
      </c>
      <c r="BC7" s="105" t="n">
        <v>0</v>
      </c>
      <c r="BD7" s="105" t="n">
        <v>0</v>
      </c>
      <c r="BE7" s="105" t="n">
        <v>0</v>
      </c>
      <c r="BF7" s="105" t="n">
        <v>0</v>
      </c>
      <c r="BG7" s="105" t="n">
        <v>0</v>
      </c>
      <c r="BH7" s="105" t="n">
        <v>0</v>
      </c>
      <c r="BI7" s="105" t="n">
        <v>0</v>
      </c>
      <c r="BJ7" s="105" t="n">
        <v>0</v>
      </c>
      <c r="BK7" s="105" t="n">
        <v>0</v>
      </c>
      <c r="BL7" s="105" t="n">
        <v>0</v>
      </c>
      <c r="BM7" s="105" t="n">
        <v>0</v>
      </c>
      <c r="BN7" s="105" t="n">
        <v>0</v>
      </c>
      <c r="BO7" s="105" t="n">
        <v>0</v>
      </c>
      <c r="BP7" s="105" t="n">
        <v>0</v>
      </c>
      <c r="BQ7" s="105" t="n">
        <v>0</v>
      </c>
      <c r="BR7" s="106" t="n">
        <f aca="false">SUM(AP7:BQ7)/60</f>
        <v>0.75</v>
      </c>
      <c r="BS7" s="106" t="n">
        <f aca="false">SUM(AP7:BR7)/60</f>
        <v>0.7625</v>
      </c>
      <c r="BT7" s="107"/>
      <c r="BU7" s="107"/>
      <c r="BV7" s="107"/>
      <c r="BW7" s="107"/>
      <c r="BX7" s="107"/>
      <c r="BY7" s="107"/>
      <c r="BZ7" s="107"/>
      <c r="CA7" s="107"/>
      <c r="CB7" s="107"/>
      <c r="CC7" s="107"/>
      <c r="CD7" s="107"/>
      <c r="CE7" s="107"/>
      <c r="CF7" s="107"/>
      <c r="CG7" s="107"/>
      <c r="CH7" s="107"/>
      <c r="CI7" s="107"/>
      <c r="CJ7" s="107"/>
      <c r="CK7" s="107"/>
      <c r="CL7" s="107"/>
      <c r="CM7" s="107"/>
      <c r="CN7" s="107"/>
      <c r="CO7" s="107"/>
      <c r="CP7" s="107"/>
      <c r="CQ7" s="107"/>
      <c r="CR7" s="107"/>
      <c r="CS7" s="107"/>
      <c r="CT7" s="107"/>
      <c r="CU7" s="107"/>
      <c r="CV7" s="107"/>
      <c r="CX7" s="74" t="s">
        <v>155</v>
      </c>
    </row>
    <row r="8" s="74" customFormat="true" ht="15" hidden="false" customHeight="true" outlineLevel="0" collapsed="false">
      <c r="A8" s="74" t="n">
        <f aca="false">MONTH(B8)</f>
        <v>8</v>
      </c>
      <c r="B8" s="75" t="n">
        <v>44410</v>
      </c>
      <c r="C8" s="76" t="s">
        <v>152</v>
      </c>
      <c r="D8" s="77" t="e">
        <f aca="false">iferrog8,d361r(VLOOKUP(E:E,$'item data j363 sheet'.a:o,7,0),"")</f>
        <v>#VALUE!</v>
      </c>
      <c r="E8" s="108" t="s">
        <v>78</v>
      </c>
      <c r="F8" s="78" t="s">
        <v>144</v>
      </c>
      <c r="G8" s="77" t="s">
        <v>80</v>
      </c>
      <c r="H8" s="79" t="str">
        <f aca="false">IFERROR(VLOOKUP(E:E,'Item Data Support Sheet'!A:O,2,0),"")</f>
        <v>RPP 120 ML BOTTLE MOLDED</v>
      </c>
      <c r="I8" s="80" t="s">
        <v>156</v>
      </c>
      <c r="J8" s="80" t="s">
        <v>148</v>
      </c>
      <c r="K8" s="81" t="n">
        <v>8</v>
      </c>
      <c r="L8" s="82" t="n">
        <v>2503</v>
      </c>
      <c r="M8" s="83" t="n">
        <f aca="false">IFERROR(L8/K8,0)</f>
        <v>312.875</v>
      </c>
      <c r="N8" s="84" t="n">
        <f aca="false">+O8+Q8+T8+U8</f>
        <v>3304</v>
      </c>
      <c r="O8" s="85" t="n">
        <v>3240</v>
      </c>
      <c r="P8" s="86" t="n">
        <v>0</v>
      </c>
      <c r="Q8" s="87" t="n">
        <v>20</v>
      </c>
      <c r="R8" s="88" t="n">
        <v>0</v>
      </c>
      <c r="S8" s="88" t="n">
        <v>0</v>
      </c>
      <c r="T8" s="88" t="n">
        <v>36</v>
      </c>
      <c r="U8" s="88" t="n">
        <v>8</v>
      </c>
      <c r="V8" s="89" t="n">
        <v>1</v>
      </c>
      <c r="W8" s="90" t="n">
        <f aca="false">IFERROR(O8/V8,0)</f>
        <v>3240</v>
      </c>
      <c r="X8" s="91" t="n">
        <f aca="false">O8/L8</f>
        <v>1.2944466640032</v>
      </c>
      <c r="Y8" s="92" t="str">
        <f aca="false">IFERROR(VLOOKUP(E:E,'Item Data Support Sheet'!A:J,6,0),0)</f>
        <v>HMC</v>
      </c>
      <c r="Z8" s="93" t="n">
        <f aca="false">IFERROR(VLOOKUP(E:E,'Item Data Support Sheet'!A:O,4,0),0)</f>
        <v>21.3</v>
      </c>
      <c r="AA8" s="93" t="n">
        <f aca="false">IFERROR(((N8)*(Z8/1000))+P8,0)</f>
        <v>70.3752</v>
      </c>
      <c r="AB8" s="94" t="n">
        <f aca="false">IFERROR((O8*(Z8/1000)/(AA8))," ")</f>
        <v>0.980629539951574</v>
      </c>
      <c r="AC8" s="95" t="n">
        <f aca="false">IFERROR((T8)/((T8)+O8),0)</f>
        <v>0.010989010989011</v>
      </c>
      <c r="AD8" s="96" t="n">
        <f aca="false">IFERROR(Q8/(Q8+N8),0)</f>
        <v>0.00601684717208183</v>
      </c>
      <c r="AE8" s="91" t="n">
        <f aca="false">(N8-T8)/N8</f>
        <v>0.98910411622276</v>
      </c>
      <c r="AF8" s="97" t="n">
        <f aca="false">BR8</f>
        <v>0.333333333333333</v>
      </c>
      <c r="AG8" s="98" t="n">
        <f aca="false">K8-AF8</f>
        <v>7.66666666666667</v>
      </c>
      <c r="AH8" s="99" t="n">
        <f aca="false">IFERROR(AG8/K8," ")</f>
        <v>0.958333333333333</v>
      </c>
      <c r="AI8" s="100" t="n">
        <f aca="false">IFERROR(O8/K8,0)</f>
        <v>405</v>
      </c>
      <c r="AJ8" s="101" t="e">
        <f aca="false">VLOOKUP(D8,'Standard Cycle time'!C:D,2,0)</f>
        <v>#VALUE!</v>
      </c>
      <c r="AK8" s="101" t="n">
        <f aca="false">AG8*V8*3600/O8</f>
        <v>8.51851851851852</v>
      </c>
      <c r="AL8" s="102" t="e">
        <f aca="false">AJ8/AK8</f>
        <v>#VALUE!</v>
      </c>
      <c r="AM8" s="99" t="e">
        <f aca="false">AE8*AL8*AH8</f>
        <v>#VALUE!</v>
      </c>
      <c r="AN8" s="103" t="s">
        <v>157</v>
      </c>
      <c r="AO8" s="104"/>
      <c r="AP8" s="105" t="n">
        <v>0</v>
      </c>
      <c r="AQ8" s="105" t="n">
        <v>0</v>
      </c>
      <c r="AR8" s="105" t="n">
        <v>0</v>
      </c>
      <c r="AS8" s="105" t="n">
        <v>0</v>
      </c>
      <c r="AT8" s="105" t="n">
        <v>0</v>
      </c>
      <c r="AU8" s="105" t="n">
        <v>0</v>
      </c>
      <c r="AV8" s="105" t="n">
        <v>20</v>
      </c>
      <c r="AW8" s="105" t="n">
        <v>0</v>
      </c>
      <c r="AX8" s="105" t="n">
        <v>0</v>
      </c>
      <c r="AY8" s="105" t="n">
        <v>0</v>
      </c>
      <c r="AZ8" s="105" t="n">
        <v>0</v>
      </c>
      <c r="BA8" s="105" t="n">
        <v>0</v>
      </c>
      <c r="BB8" s="105" t="n">
        <v>0</v>
      </c>
      <c r="BC8" s="105" t="n">
        <v>0</v>
      </c>
      <c r="BD8" s="105" t="n">
        <v>0</v>
      </c>
      <c r="BE8" s="105" t="n">
        <v>0</v>
      </c>
      <c r="BF8" s="105" t="n">
        <v>0</v>
      </c>
      <c r="BG8" s="105" t="n">
        <v>0</v>
      </c>
      <c r="BH8" s="105" t="n">
        <v>0</v>
      </c>
      <c r="BI8" s="105" t="n">
        <v>0</v>
      </c>
      <c r="BJ8" s="105" t="n">
        <v>0</v>
      </c>
      <c r="BK8" s="105" t="n">
        <v>0</v>
      </c>
      <c r="BL8" s="105" t="n">
        <v>0</v>
      </c>
      <c r="BM8" s="105" t="n">
        <v>0</v>
      </c>
      <c r="BN8" s="105" t="n">
        <v>0</v>
      </c>
      <c r="BO8" s="105" t="n">
        <v>0</v>
      </c>
      <c r="BP8" s="105" t="n">
        <v>0</v>
      </c>
      <c r="BQ8" s="105" t="n">
        <v>0</v>
      </c>
      <c r="BR8" s="106" t="n">
        <f aca="false">SUM(AP8:BQ8)/60</f>
        <v>0.333333333333333</v>
      </c>
      <c r="BS8" s="106" t="n">
        <f aca="false">SUM(AP8:BR8)/60</f>
        <v>0.338888888888889</v>
      </c>
      <c r="BT8" s="107"/>
      <c r="BU8" s="107"/>
      <c r="BV8" s="107"/>
      <c r="BW8" s="107"/>
      <c r="BX8" s="107"/>
      <c r="BY8" s="107"/>
      <c r="BZ8" s="107"/>
      <c r="CA8" s="107"/>
      <c r="CB8" s="107"/>
      <c r="CC8" s="107"/>
      <c r="CD8" s="107"/>
      <c r="CE8" s="107"/>
      <c r="CF8" s="107"/>
      <c r="CG8" s="107"/>
      <c r="CH8" s="107"/>
      <c r="CI8" s="107"/>
      <c r="CJ8" s="107"/>
      <c r="CK8" s="107"/>
      <c r="CL8" s="107"/>
      <c r="CM8" s="107"/>
      <c r="CN8" s="107"/>
      <c r="CO8" s="107"/>
      <c r="CP8" s="107"/>
      <c r="CQ8" s="107"/>
      <c r="CR8" s="107"/>
      <c r="CS8" s="107"/>
      <c r="CT8" s="107"/>
      <c r="CU8" s="107"/>
      <c r="CV8" s="107"/>
      <c r="CX8" s="74" t="s">
        <v>158</v>
      </c>
    </row>
    <row r="9" s="74" customFormat="true" ht="15" hidden="true" customHeight="true" outlineLevel="0" collapsed="false">
      <c r="A9" s="74" t="n">
        <f aca="false">MONTH(B9)</f>
        <v>8</v>
      </c>
      <c r="B9" s="75" t="n">
        <v>44411</v>
      </c>
      <c r="C9" s="76" t="s">
        <v>51</v>
      </c>
      <c r="D9" s="77" t="str">
        <f aca="false">IFERROR(VLOOKUP(E:E,'Item Data Support Sheet'!A:O,7,0),"")</f>
        <v>NIPPLE PUNCH</v>
      </c>
      <c r="E9" s="108" t="s">
        <v>60</v>
      </c>
      <c r="F9" s="78"/>
      <c r="G9" s="77" t="s">
        <v>149</v>
      </c>
      <c r="H9" s="79" t="str">
        <f aca="false">IFERROR(VLOOKUP(E:E,'Item Data Support Sheet'!A:O,2,0),"")</f>
        <v>NIPPLE S TYPE M SIZE PUNCHED</v>
      </c>
      <c r="I9" s="80" t="s">
        <v>159</v>
      </c>
      <c r="J9" s="80" t="s">
        <v>143</v>
      </c>
      <c r="K9" s="81" t="n">
        <v>8</v>
      </c>
      <c r="L9" s="82" t="n">
        <v>7036</v>
      </c>
      <c r="M9" s="83" t="n">
        <f aca="false">IFERROR(L9/K9,0)</f>
        <v>879.5</v>
      </c>
      <c r="N9" s="84" t="n">
        <f aca="false">+O9+Q9+T9+U9</f>
        <v>2830</v>
      </c>
      <c r="O9" s="85" t="n">
        <v>2827</v>
      </c>
      <c r="P9" s="86" t="n">
        <v>0</v>
      </c>
      <c r="Q9" s="87" t="n">
        <v>0</v>
      </c>
      <c r="R9" s="88" t="n">
        <v>0</v>
      </c>
      <c r="S9" s="88" t="n">
        <v>0</v>
      </c>
      <c r="T9" s="88" t="n">
        <v>3</v>
      </c>
      <c r="U9" s="88" t="n">
        <v>0</v>
      </c>
      <c r="V9" s="89" t="n">
        <v>1</v>
      </c>
      <c r="W9" s="90" t="n">
        <f aca="false">IFERROR(O9/V9,0)</f>
        <v>2827</v>
      </c>
      <c r="X9" s="91" t="n">
        <f aca="false">O9/L9</f>
        <v>0.401790790221717</v>
      </c>
      <c r="Y9" s="92" t="str">
        <f aca="false">IFERROR(VLOOKUP(E:E,'Item Data Support Sheet'!A:J,6,0),0)</f>
        <v>FO016</v>
      </c>
      <c r="Z9" s="93" t="n">
        <f aca="false">IFERROR(VLOOKUP(E:E,'Item Data Support Sheet'!A:O,4,0),0)</f>
        <v>0</v>
      </c>
      <c r="AA9" s="93" t="n">
        <f aca="false">IFERROR(((N9)*(Z9/1000))+P9,0)</f>
        <v>0</v>
      </c>
      <c r="AB9" s="94" t="str">
        <f aca="false">IFERROR((O9*(Z9/1000)/(AA9))," ")</f>
        <v> </v>
      </c>
      <c r="AC9" s="95" t="n">
        <f aca="false">IFERROR((T9)/((T9)+O9),0)</f>
        <v>0.00106007067137809</v>
      </c>
      <c r="AD9" s="96" t="n">
        <f aca="false">IFERROR(Q9/(Q9+N9),0)</f>
        <v>0</v>
      </c>
      <c r="AE9" s="91" t="n">
        <f aca="false">(N9-T9)/N9</f>
        <v>0.998939929328622</v>
      </c>
      <c r="AF9" s="97" t="n">
        <f aca="false">BR9</f>
        <v>4.5</v>
      </c>
      <c r="AG9" s="98" t="n">
        <f aca="false">K9-AF9</f>
        <v>3.5</v>
      </c>
      <c r="AH9" s="99" t="n">
        <f aca="false">IFERROR(AG9/K9," ")</f>
        <v>0.4375</v>
      </c>
      <c r="AI9" s="100" t="n">
        <f aca="false">IFERROR(O9/K9,0)</f>
        <v>353.375</v>
      </c>
      <c r="AJ9" s="101" t="n">
        <f aca="false">VLOOKUP(D9,'Standard Cycle time'!C:D,2,0)</f>
        <v>3.5</v>
      </c>
      <c r="AK9" s="101" t="n">
        <f aca="false">AG9*V9*3600/O9</f>
        <v>4.45702157764415</v>
      </c>
      <c r="AL9" s="102" t="n">
        <f aca="false">AJ9/AK9</f>
        <v>0.785277777777778</v>
      </c>
      <c r="AM9" s="99" t="n">
        <f aca="false">AE9*AL9*AH9</f>
        <v>0.343194830928543</v>
      </c>
      <c r="AN9" s="103" t="n">
        <v>2181</v>
      </c>
      <c r="AO9" s="109" t="s">
        <v>160</v>
      </c>
      <c r="AP9" s="105" t="n">
        <v>40</v>
      </c>
      <c r="AQ9" s="105" t="n">
        <v>0</v>
      </c>
      <c r="AR9" s="105" t="n">
        <v>0</v>
      </c>
      <c r="AS9" s="105" t="n">
        <v>200</v>
      </c>
      <c r="AT9" s="105" t="n">
        <v>0</v>
      </c>
      <c r="AU9" s="105" t="n">
        <v>0</v>
      </c>
      <c r="AV9" s="105" t="n">
        <v>0</v>
      </c>
      <c r="AW9" s="105"/>
      <c r="AX9" s="105" t="n">
        <v>0</v>
      </c>
      <c r="AY9" s="105" t="n">
        <v>0</v>
      </c>
      <c r="AZ9" s="105" t="n">
        <v>0</v>
      </c>
      <c r="BA9" s="105" t="n">
        <v>0</v>
      </c>
      <c r="BB9" s="105" t="n">
        <v>0</v>
      </c>
      <c r="BC9" s="105" t="n">
        <v>0</v>
      </c>
      <c r="BD9" s="105" t="n">
        <v>0</v>
      </c>
      <c r="BE9" s="105" t="n">
        <v>0</v>
      </c>
      <c r="BF9" s="105" t="n">
        <v>0</v>
      </c>
      <c r="BG9" s="105" t="n">
        <v>0</v>
      </c>
      <c r="BH9" s="105" t="n">
        <v>0</v>
      </c>
      <c r="BI9" s="105" t="n">
        <v>0</v>
      </c>
      <c r="BJ9" s="105" t="n">
        <v>0</v>
      </c>
      <c r="BK9" s="105" t="n">
        <v>0</v>
      </c>
      <c r="BL9" s="105" t="n">
        <v>0</v>
      </c>
      <c r="BM9" s="105" t="n">
        <v>0</v>
      </c>
      <c r="BN9" s="105" t="n">
        <v>0</v>
      </c>
      <c r="BO9" s="105" t="n">
        <v>0</v>
      </c>
      <c r="BP9" s="105" t="n">
        <v>0</v>
      </c>
      <c r="BQ9" s="105" t="n">
        <v>30</v>
      </c>
      <c r="BR9" s="106" t="n">
        <f aca="false">SUM(AP9:BQ9)/60</f>
        <v>4.5</v>
      </c>
      <c r="BS9" s="106" t="n">
        <f aca="false">SUM(AP9:BR9)/60</f>
        <v>4.575</v>
      </c>
      <c r="BT9" s="107"/>
      <c r="BU9" s="107"/>
      <c r="BV9" s="107"/>
      <c r="BW9" s="107"/>
      <c r="BX9" s="107"/>
      <c r="BY9" s="107"/>
      <c r="BZ9" s="107"/>
      <c r="CA9" s="107"/>
      <c r="CB9" s="107"/>
      <c r="CC9" s="107"/>
      <c r="CD9" s="107"/>
      <c r="CE9" s="107"/>
      <c r="CF9" s="107"/>
      <c r="CG9" s="107"/>
      <c r="CH9" s="107"/>
      <c r="CI9" s="107"/>
      <c r="CJ9" s="107"/>
      <c r="CK9" s="107"/>
      <c r="CL9" s="107"/>
      <c r="CM9" s="107"/>
      <c r="CN9" s="107"/>
      <c r="CO9" s="107"/>
      <c r="CP9" s="107"/>
      <c r="CQ9" s="107"/>
      <c r="CR9" s="107"/>
      <c r="CS9" s="107"/>
      <c r="CT9" s="107"/>
      <c r="CU9" s="107"/>
      <c r="CV9" s="107"/>
      <c r="CX9" s="74" t="s">
        <v>161</v>
      </c>
    </row>
    <row r="10" s="74" customFormat="true" ht="15" hidden="true" customHeight="true" outlineLevel="0" collapsed="false">
      <c r="A10" s="74" t="n">
        <f aca="false">MONTH(B10)</f>
        <v>8</v>
      </c>
      <c r="B10" s="75" t="n">
        <v>44411</v>
      </c>
      <c r="C10" s="76" t="s">
        <v>51</v>
      </c>
      <c r="D10" s="77" t="str">
        <f aca="false">IFERROR(VLOOKUP(E:E,'Item Data Support Sheet'!A:O,7,0),"")</f>
        <v>BOTTLE MOLDED</v>
      </c>
      <c r="E10" s="108" t="s">
        <v>78</v>
      </c>
      <c r="F10" s="78" t="s">
        <v>144</v>
      </c>
      <c r="G10" s="77" t="s">
        <v>80</v>
      </c>
      <c r="H10" s="79" t="str">
        <f aca="false">IFERROR(VLOOKUP(E:E,'Item Data Support Sheet'!A:O,2,0),"")</f>
        <v>RPP 120 ML BOTTLE MOLDED</v>
      </c>
      <c r="I10" s="80" t="s">
        <v>162</v>
      </c>
      <c r="J10" s="80" t="s">
        <v>143</v>
      </c>
      <c r="K10" s="81" t="n">
        <v>8</v>
      </c>
      <c r="L10" s="82" t="n">
        <v>2574</v>
      </c>
      <c r="M10" s="83" t="n">
        <f aca="false">IFERROR(L10/K10,0)</f>
        <v>321.75</v>
      </c>
      <c r="N10" s="84" t="n">
        <f aca="false">+O10+Q10+T10+U10</f>
        <v>3177</v>
      </c>
      <c r="O10" s="85" t="n">
        <f aca="false">17*180</f>
        <v>3060</v>
      </c>
      <c r="P10" s="86" t="n">
        <v>0.282</v>
      </c>
      <c r="Q10" s="87" t="n">
        <v>57</v>
      </c>
      <c r="R10" s="88" t="n">
        <v>0</v>
      </c>
      <c r="S10" s="88" t="n">
        <v>0</v>
      </c>
      <c r="T10" s="88" t="n">
        <v>52</v>
      </c>
      <c r="U10" s="88" t="n">
        <v>8</v>
      </c>
      <c r="V10" s="89" t="n">
        <v>1</v>
      </c>
      <c r="W10" s="90" t="n">
        <f aca="false">IFERROR(O10/V10,0)</f>
        <v>3060</v>
      </c>
      <c r="X10" s="91" t="n">
        <f aca="false">O10/L10</f>
        <v>1.18881118881119</v>
      </c>
      <c r="Y10" s="92" t="str">
        <f aca="false">IFERROR(VLOOKUP(E:E,'Item Data Support Sheet'!A:J,6,0),0)</f>
        <v>HMC</v>
      </c>
      <c r="Z10" s="93" t="n">
        <f aca="false">IFERROR(VLOOKUP(E:E,'Item Data Support Sheet'!A:O,4,0),0)</f>
        <v>21.3</v>
      </c>
      <c r="AA10" s="93" t="n">
        <f aca="false">IFERROR(((N10)*(Z10/1000))+P10,0)</f>
        <v>67.9521</v>
      </c>
      <c r="AB10" s="94" t="n">
        <f aca="false">IFERROR((O10*(Z10/1000)/(AA10))," ")</f>
        <v>0.95917565461553</v>
      </c>
      <c r="AC10" s="95" t="n">
        <f aca="false">IFERROR((T10)/((T10)+O10),0)</f>
        <v>0.0167095115681234</v>
      </c>
      <c r="AD10" s="96" t="n">
        <f aca="false">IFERROR(Q10/(Q10+N10),0)</f>
        <v>0.0176252319109462</v>
      </c>
      <c r="AE10" s="91" t="n">
        <f aca="false">(N10-T10)/N10</f>
        <v>0.983632357570035</v>
      </c>
      <c r="AF10" s="97" t="n">
        <f aca="false">BR10</f>
        <v>0</v>
      </c>
      <c r="AG10" s="98" t="n">
        <f aca="false">K10-AF10</f>
        <v>8</v>
      </c>
      <c r="AH10" s="99" t="n">
        <f aca="false">IFERROR(AG10/K10," ")</f>
        <v>1</v>
      </c>
      <c r="AI10" s="100" t="n">
        <f aca="false">IFERROR(O10/K10,0)</f>
        <v>382.5</v>
      </c>
      <c r="AJ10" s="101" t="n">
        <f aca="false">VLOOKUP(D10,'Standard Cycle time'!C:D,2,0)</f>
        <v>9</v>
      </c>
      <c r="AK10" s="101" t="n">
        <f aca="false">AG10*V10*3600/O10</f>
        <v>9.41176470588235</v>
      </c>
      <c r="AL10" s="102" t="n">
        <f aca="false">AJ10/AK10</f>
        <v>0.95625</v>
      </c>
      <c r="AM10" s="99" t="n">
        <f aca="false">AE10*AL10*AH10</f>
        <v>0.940598441926345</v>
      </c>
      <c r="AN10" s="103" t="n">
        <v>2195</v>
      </c>
      <c r="AO10" s="104" t="s">
        <v>163</v>
      </c>
      <c r="AP10" s="105" t="n">
        <v>0</v>
      </c>
      <c r="AQ10" s="105" t="n">
        <v>0</v>
      </c>
      <c r="AR10" s="105" t="n">
        <v>0</v>
      </c>
      <c r="AS10" s="105" t="n">
        <v>0</v>
      </c>
      <c r="AT10" s="105" t="n">
        <v>0</v>
      </c>
      <c r="AU10" s="105" t="n">
        <v>0</v>
      </c>
      <c r="AV10" s="105" t="n">
        <v>0</v>
      </c>
      <c r="AW10" s="105" t="n">
        <v>0</v>
      </c>
      <c r="AX10" s="105" t="n">
        <v>0</v>
      </c>
      <c r="AY10" s="105" t="n">
        <v>0</v>
      </c>
      <c r="AZ10" s="105" t="n">
        <v>0</v>
      </c>
      <c r="BA10" s="105" t="n">
        <v>0</v>
      </c>
      <c r="BB10" s="105" t="n">
        <v>0</v>
      </c>
      <c r="BC10" s="105" t="n">
        <v>0</v>
      </c>
      <c r="BD10" s="105" t="n">
        <v>0</v>
      </c>
      <c r="BE10" s="105" t="n">
        <v>0</v>
      </c>
      <c r="BF10" s="105" t="n">
        <v>0</v>
      </c>
      <c r="BG10" s="105" t="n">
        <v>0</v>
      </c>
      <c r="BH10" s="105" t="n">
        <v>0</v>
      </c>
      <c r="BI10" s="105" t="n">
        <v>0</v>
      </c>
      <c r="BJ10" s="105" t="n">
        <v>0</v>
      </c>
      <c r="BK10" s="105" t="n">
        <v>0</v>
      </c>
      <c r="BL10" s="105" t="n">
        <v>0</v>
      </c>
      <c r="BM10" s="105" t="n">
        <v>0</v>
      </c>
      <c r="BN10" s="105" t="n">
        <v>0</v>
      </c>
      <c r="BO10" s="105" t="n">
        <v>0</v>
      </c>
      <c r="BP10" s="105" t="n">
        <v>0</v>
      </c>
      <c r="BQ10" s="105" t="n">
        <v>0</v>
      </c>
      <c r="BR10" s="106" t="n">
        <f aca="false">SUM(AP10:BQ10)/60</f>
        <v>0</v>
      </c>
      <c r="BS10" s="106" t="n">
        <f aca="false">SUM(AP10:BR10)/60</f>
        <v>0</v>
      </c>
      <c r="BT10" s="107"/>
      <c r="BU10" s="107"/>
      <c r="BV10" s="107"/>
      <c r="BW10" s="107"/>
      <c r="BX10" s="107"/>
      <c r="BY10" s="107"/>
      <c r="BZ10" s="107"/>
      <c r="CA10" s="107"/>
      <c r="CB10" s="107"/>
      <c r="CC10" s="107"/>
      <c r="CD10" s="107"/>
      <c r="CE10" s="107"/>
      <c r="CF10" s="107"/>
      <c r="CG10" s="107"/>
      <c r="CH10" s="107"/>
      <c r="CI10" s="107"/>
      <c r="CJ10" s="107"/>
      <c r="CK10" s="107"/>
      <c r="CL10" s="107"/>
      <c r="CM10" s="107"/>
      <c r="CN10" s="107"/>
      <c r="CO10" s="107"/>
      <c r="CP10" s="107"/>
      <c r="CQ10" s="107"/>
      <c r="CR10" s="107"/>
      <c r="CS10" s="107"/>
      <c r="CT10" s="107"/>
      <c r="CU10" s="107"/>
      <c r="CV10" s="107"/>
    </row>
    <row r="11" s="74" customFormat="true" ht="15" hidden="true" customHeight="true" outlineLevel="0" collapsed="false">
      <c r="A11" s="74" t="n">
        <f aca="false">MONTH(B11)</f>
        <v>8</v>
      </c>
      <c r="B11" s="75" t="n">
        <v>44411</v>
      </c>
      <c r="C11" s="76" t="s">
        <v>51</v>
      </c>
      <c r="D11" s="77" t="str">
        <f aca="false">IFERROR(VLOOKUP(E:E,'Item Data Support Sheet'!A:O,7,0),"")</f>
        <v>NIPPLE MOLDED</v>
      </c>
      <c r="E11" s="78" t="s">
        <v>136</v>
      </c>
      <c r="F11" s="78" t="s">
        <v>137</v>
      </c>
      <c r="G11" s="77" t="s">
        <v>138</v>
      </c>
      <c r="H11" s="79" t="str">
        <f aca="false">IFERROR(VLOOKUP(E:E,'Item Data Support Sheet'!A:O,2,0),"")</f>
        <v>NIPPLE S TYPE M SIZE INJECTION</v>
      </c>
      <c r="I11" s="80" t="s">
        <v>139</v>
      </c>
      <c r="J11" s="80" t="s">
        <v>143</v>
      </c>
      <c r="K11" s="81" t="n">
        <v>8</v>
      </c>
      <c r="L11" s="82" t="n">
        <v>4815</v>
      </c>
      <c r="M11" s="83" t="n">
        <f aca="false">IFERROR(L11/K11,0)</f>
        <v>601.875</v>
      </c>
      <c r="N11" s="84" t="n">
        <f aca="false">+O11+Q11+T11+U11</f>
        <v>4660</v>
      </c>
      <c r="O11" s="85" t="n">
        <v>4500</v>
      </c>
      <c r="P11" s="86" t="n">
        <v>0</v>
      </c>
      <c r="Q11" s="87" t="n">
        <v>92</v>
      </c>
      <c r="R11" s="88" t="n">
        <v>0</v>
      </c>
      <c r="S11" s="88" t="n">
        <v>0</v>
      </c>
      <c r="T11" s="88" t="n">
        <v>60</v>
      </c>
      <c r="U11" s="88" t="n">
        <v>8</v>
      </c>
      <c r="V11" s="89" t="n">
        <v>1</v>
      </c>
      <c r="W11" s="90" t="n">
        <f aca="false">IFERROR(O11/V11,0)</f>
        <v>4500</v>
      </c>
      <c r="X11" s="91" t="n">
        <f aca="false">O11/L11</f>
        <v>0.934579439252336</v>
      </c>
      <c r="Y11" s="92" t="str">
        <f aca="false">IFERROR(VLOOKUP(E:E,'Item Data Support Sheet'!A:J,6,0),0)</f>
        <v>Silicon</v>
      </c>
      <c r="Z11" s="93" t="n">
        <f aca="false">IFERROR(VLOOKUP(E:E,'Item Data Support Sheet'!A:O,4,0),0)</f>
        <v>6.8</v>
      </c>
      <c r="AA11" s="93" t="n">
        <f aca="false">IFERROR(((N11)*(Z11/1000))+P11,0)</f>
        <v>31.688</v>
      </c>
      <c r="AB11" s="94" t="n">
        <f aca="false">IFERROR((O11*(Z11/1000)/(AA11))," ")</f>
        <v>0.965665236051502</v>
      </c>
      <c r="AC11" s="95" t="n">
        <f aca="false">IFERROR((T11)/((T11)+O11),0)</f>
        <v>0.0131578947368421</v>
      </c>
      <c r="AD11" s="96" t="n">
        <f aca="false">IFERROR(Q11/(Q11+N11),0)</f>
        <v>0.0193602693602694</v>
      </c>
      <c r="AE11" s="91" t="n">
        <f aca="false">(N11-T11)/N11</f>
        <v>0.987124463519313</v>
      </c>
      <c r="AF11" s="97" t="n">
        <f aca="false">BR11</f>
        <v>1</v>
      </c>
      <c r="AG11" s="98" t="n">
        <f aca="false">K11-AF11</f>
        <v>7</v>
      </c>
      <c r="AH11" s="99" t="n">
        <f aca="false">IFERROR(AG11/K11," ")</f>
        <v>0.875</v>
      </c>
      <c r="AI11" s="100" t="n">
        <f aca="false">IFERROR(O11/K11,0)</f>
        <v>562.5</v>
      </c>
      <c r="AJ11" s="101" t="n">
        <f aca="false">VLOOKUP(D11,'Standard Cycle time'!C:D,2,0)</f>
        <v>5.25</v>
      </c>
      <c r="AK11" s="101" t="n">
        <f aca="false">AG11*V11*3600/O11</f>
        <v>5.6</v>
      </c>
      <c r="AL11" s="102" t="n">
        <f aca="false">AJ11/AK11</f>
        <v>0.9375</v>
      </c>
      <c r="AM11" s="99" t="n">
        <f aca="false">AE11*AL11*AH11</f>
        <v>0.809750536480687</v>
      </c>
      <c r="AN11" s="103" t="n">
        <v>2182</v>
      </c>
      <c r="AO11" s="104" t="s">
        <v>164</v>
      </c>
      <c r="AP11" s="105" t="n">
        <v>0</v>
      </c>
      <c r="AQ11" s="105" t="n">
        <v>0</v>
      </c>
      <c r="AR11" s="105" t="n">
        <v>0</v>
      </c>
      <c r="AS11" s="105" t="n">
        <v>0</v>
      </c>
      <c r="AT11" s="105" t="n">
        <v>0</v>
      </c>
      <c r="AU11" s="105" t="n">
        <v>60</v>
      </c>
      <c r="AV11" s="105" t="n">
        <v>0</v>
      </c>
      <c r="AW11" s="105" t="n">
        <v>0</v>
      </c>
      <c r="AX11" s="105" t="n">
        <v>0</v>
      </c>
      <c r="AY11" s="105" t="n">
        <v>0</v>
      </c>
      <c r="AZ11" s="105" t="n">
        <v>0</v>
      </c>
      <c r="BA11" s="105" t="n">
        <v>0</v>
      </c>
      <c r="BB11" s="105" t="n">
        <v>0</v>
      </c>
      <c r="BC11" s="105" t="n">
        <v>0</v>
      </c>
      <c r="BD11" s="105" t="n">
        <v>0</v>
      </c>
      <c r="BE11" s="105" t="n">
        <v>0</v>
      </c>
      <c r="BF11" s="105" t="n">
        <v>0</v>
      </c>
      <c r="BG11" s="105" t="n">
        <v>0</v>
      </c>
      <c r="BH11" s="105" t="n">
        <v>0</v>
      </c>
      <c r="BI11" s="105" t="n">
        <v>0</v>
      </c>
      <c r="BJ11" s="105" t="n">
        <v>0</v>
      </c>
      <c r="BK11" s="105" t="n">
        <v>0</v>
      </c>
      <c r="BL11" s="105" t="n">
        <v>0</v>
      </c>
      <c r="BM11" s="105" t="n">
        <v>0</v>
      </c>
      <c r="BN11" s="105" t="n">
        <v>0</v>
      </c>
      <c r="BO11" s="105" t="n">
        <v>0</v>
      </c>
      <c r="BP11" s="105" t="n">
        <v>0</v>
      </c>
      <c r="BQ11" s="105" t="n">
        <v>0</v>
      </c>
      <c r="BR11" s="106" t="n">
        <f aca="false">SUM(AP11:BQ11)/60</f>
        <v>1</v>
      </c>
      <c r="BS11" s="106" t="n">
        <f aca="false">SUM(AP11:BR11)/60</f>
        <v>1.01666666666667</v>
      </c>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row>
    <row r="12" s="74" customFormat="true" ht="15" hidden="true" customHeight="true" outlineLevel="0" collapsed="false">
      <c r="A12" s="74" t="n">
        <f aca="false">MONTH(B12)</f>
        <v>8</v>
      </c>
      <c r="B12" s="75" t="n">
        <v>44411</v>
      </c>
      <c r="C12" s="76" t="s">
        <v>70</v>
      </c>
      <c r="D12" s="77" t="str">
        <f aca="false">IFERROR(VLOOKUP(E:E,'Item Data Support Sheet'!A:O,7,0),"")</f>
        <v>NIPPLE POSTCURE</v>
      </c>
      <c r="E12" s="78" t="s">
        <v>62</v>
      </c>
      <c r="F12" s="78"/>
      <c r="G12" s="77" t="s">
        <v>149</v>
      </c>
      <c r="H12" s="79" t="str">
        <f aca="false">IFERROR(VLOOKUP(E:E,'Item Data Support Sheet'!A:O,2,0),"")</f>
        <v>NIPPLE S TYPE M SIZE POSTCURED</v>
      </c>
      <c r="I12" s="80" t="s">
        <v>165</v>
      </c>
      <c r="J12" s="80" t="s">
        <v>140</v>
      </c>
      <c r="K12" s="81" t="n">
        <v>8</v>
      </c>
      <c r="L12" s="82" t="n">
        <v>12700</v>
      </c>
      <c r="M12" s="83" t="n">
        <f aca="false">IFERROR(L12/K12,0)</f>
        <v>1587.5</v>
      </c>
      <c r="N12" s="84" t="n">
        <f aca="false">+O12+Q12+T12+U12</f>
        <v>12700</v>
      </c>
      <c r="O12" s="85" t="n">
        <f aca="false">3200+3500+4000+2000</f>
        <v>12700</v>
      </c>
      <c r="P12" s="86" t="n">
        <v>0</v>
      </c>
      <c r="Q12" s="87" t="n">
        <v>0</v>
      </c>
      <c r="R12" s="88" t="n">
        <v>0</v>
      </c>
      <c r="S12" s="88" t="n">
        <v>0</v>
      </c>
      <c r="T12" s="88" t="n">
        <v>0</v>
      </c>
      <c r="U12" s="88" t="n">
        <v>0</v>
      </c>
      <c r="V12" s="89" t="n">
        <v>1</v>
      </c>
      <c r="W12" s="90" t="n">
        <f aca="false">IFERROR(O12/V12,0)</f>
        <v>12700</v>
      </c>
      <c r="X12" s="91" t="n">
        <f aca="false">O12/L12</f>
        <v>1</v>
      </c>
      <c r="Y12" s="92" t="str">
        <f aca="false">IFERROR(VLOOKUP(E:E,'Item Data Support Sheet'!A:J,6,0),0)</f>
        <v>FO012</v>
      </c>
      <c r="Z12" s="93" t="n">
        <f aca="false">IFERROR(VLOOKUP(E:E,'Item Data Support Sheet'!A:O,4,0),0)</f>
        <v>0</v>
      </c>
      <c r="AA12" s="93" t="n">
        <f aca="false">IFERROR(((N12)*(Z12/1000))+P12,0)</f>
        <v>0</v>
      </c>
      <c r="AB12" s="94" t="str">
        <f aca="false">IFERROR((O12*(Z12/1000)/(AA12))," ")</f>
        <v> </v>
      </c>
      <c r="AC12" s="95" t="n">
        <f aca="false">IFERROR((T12)/((T12)+O12),0)</f>
        <v>0</v>
      </c>
      <c r="AD12" s="96" t="n">
        <f aca="false">IFERROR(Q12/(Q12+N12),0)</f>
        <v>0</v>
      </c>
      <c r="AE12" s="91" t="n">
        <f aca="false">(N12-T12)/N12</f>
        <v>1</v>
      </c>
      <c r="AF12" s="97" t="n">
        <f aca="false">BR12</f>
        <v>0.666666666666667</v>
      </c>
      <c r="AG12" s="98" t="n">
        <f aca="false">K12-AF12</f>
        <v>7.33333333333333</v>
      </c>
      <c r="AH12" s="99" t="n">
        <f aca="false">IFERROR(AG12/K12," ")</f>
        <v>0.916666666666667</v>
      </c>
      <c r="AI12" s="100" t="n">
        <f aca="false">IFERROR(O12/K12,0)</f>
        <v>1587.5</v>
      </c>
      <c r="AJ12" s="101" t="n">
        <f aca="false">VLOOKUP(D12,'Standard Cycle time'!C:D,2,0)</f>
        <v>2.3</v>
      </c>
      <c r="AK12" s="101" t="n">
        <f aca="false">AG12*V12*3600/O12</f>
        <v>2.07874015748031</v>
      </c>
      <c r="AL12" s="102" t="n">
        <f aca="false">AJ12/AK12</f>
        <v>1.10643939393939</v>
      </c>
      <c r="AM12" s="99" t="n">
        <f aca="false">AE12*AL12*AH12</f>
        <v>1.01423611111111</v>
      </c>
      <c r="AN12" s="103" t="s">
        <v>166</v>
      </c>
      <c r="AO12" s="104"/>
      <c r="AP12" s="105" t="n">
        <v>40</v>
      </c>
      <c r="AQ12" s="105" t="n">
        <v>0</v>
      </c>
      <c r="AR12" s="105" t="n">
        <v>0</v>
      </c>
      <c r="AS12" s="105" t="n">
        <v>0</v>
      </c>
      <c r="AT12" s="105" t="n">
        <v>0</v>
      </c>
      <c r="AU12" s="105" t="n">
        <v>0</v>
      </c>
      <c r="AV12" s="105" t="n">
        <v>0</v>
      </c>
      <c r="AW12" s="105" t="n">
        <v>0</v>
      </c>
      <c r="AX12" s="105" t="n">
        <v>0</v>
      </c>
      <c r="AY12" s="105" t="n">
        <v>0</v>
      </c>
      <c r="AZ12" s="105" t="n">
        <v>0</v>
      </c>
      <c r="BA12" s="105" t="n">
        <v>0</v>
      </c>
      <c r="BB12" s="105" t="n">
        <v>0</v>
      </c>
      <c r="BC12" s="105" t="n">
        <v>0</v>
      </c>
      <c r="BD12" s="105" t="n">
        <v>0</v>
      </c>
      <c r="BE12" s="105" t="n">
        <v>0</v>
      </c>
      <c r="BF12" s="105" t="n">
        <v>0</v>
      </c>
      <c r="BG12" s="105" t="n">
        <v>0</v>
      </c>
      <c r="BH12" s="105" t="n">
        <v>0</v>
      </c>
      <c r="BI12" s="105" t="n">
        <v>0</v>
      </c>
      <c r="BJ12" s="105" t="n">
        <v>0</v>
      </c>
      <c r="BK12" s="105" t="n">
        <v>0</v>
      </c>
      <c r="BL12" s="105" t="n">
        <v>0</v>
      </c>
      <c r="BM12" s="105" t="n">
        <v>0</v>
      </c>
      <c r="BN12" s="105" t="n">
        <v>0</v>
      </c>
      <c r="BO12" s="105" t="n">
        <v>0</v>
      </c>
      <c r="BP12" s="105" t="n">
        <v>0</v>
      </c>
      <c r="BQ12" s="105" t="n">
        <v>0</v>
      </c>
      <c r="BR12" s="106" t="n">
        <f aca="false">SUM(AP12:BQ12)/60</f>
        <v>0.666666666666667</v>
      </c>
      <c r="BS12" s="106" t="n">
        <f aca="false">SUM(AP12:BR12)/60</f>
        <v>0.677777777777778</v>
      </c>
      <c r="BT12" s="107"/>
      <c r="BU12" s="107"/>
      <c r="BV12" s="107"/>
      <c r="BW12" s="107"/>
      <c r="BX12" s="107"/>
      <c r="BY12" s="107"/>
      <c r="BZ12" s="107"/>
      <c r="CA12" s="107"/>
      <c r="CB12" s="107"/>
      <c r="CC12" s="107"/>
      <c r="CD12" s="107"/>
      <c r="CE12" s="107"/>
      <c r="CF12" s="107"/>
      <c r="CG12" s="107"/>
      <c r="CH12" s="107"/>
      <c r="CI12" s="107"/>
      <c r="CJ12" s="107"/>
      <c r="CK12" s="107"/>
      <c r="CL12" s="107"/>
      <c r="CM12" s="107"/>
      <c r="CN12" s="107"/>
      <c r="CO12" s="107"/>
      <c r="CP12" s="107"/>
      <c r="CQ12" s="107"/>
      <c r="CR12" s="107"/>
      <c r="CS12" s="107"/>
      <c r="CT12" s="107"/>
      <c r="CU12" s="107"/>
      <c r="CV12" s="107"/>
    </row>
    <row r="13" s="74" customFormat="true" ht="15" hidden="true" customHeight="true" outlineLevel="0" collapsed="false">
      <c r="A13" s="74" t="n">
        <f aca="false">MONTH(B13)</f>
        <v>8</v>
      </c>
      <c r="B13" s="75" t="n">
        <v>44411</v>
      </c>
      <c r="C13" s="76" t="s">
        <v>70</v>
      </c>
      <c r="D13" s="77" t="str">
        <f aca="false">IFERROR(VLOOKUP(E:E,'Item Data Support Sheet'!A:O,7,0),"")</f>
        <v>NIPPLE MOLDED</v>
      </c>
      <c r="E13" s="108" t="s">
        <v>136</v>
      </c>
      <c r="F13" s="80" t="s">
        <v>137</v>
      </c>
      <c r="G13" s="77" t="s">
        <v>138</v>
      </c>
      <c r="H13" s="79" t="str">
        <f aca="false">IFERROR(VLOOKUP(E:E,'Item Data Support Sheet'!A:O,2,0),"")</f>
        <v>NIPPLE S TYPE M SIZE INJECTION</v>
      </c>
      <c r="I13" s="80" t="s">
        <v>167</v>
      </c>
      <c r="J13" s="80" t="s">
        <v>140</v>
      </c>
      <c r="K13" s="81" t="n">
        <v>8</v>
      </c>
      <c r="L13" s="82" t="n">
        <v>4815</v>
      </c>
      <c r="M13" s="83" t="n">
        <f aca="false">IFERROR(L13/K13,0)</f>
        <v>601.875</v>
      </c>
      <c r="N13" s="84" t="n">
        <f aca="false">+O13+Q13+T13+U13</f>
        <v>5119</v>
      </c>
      <c r="O13" s="85" t="n">
        <v>5000</v>
      </c>
      <c r="P13" s="86" t="n">
        <v>0.2</v>
      </c>
      <c r="Q13" s="87" t="n">
        <v>62</v>
      </c>
      <c r="R13" s="88" t="n">
        <v>0</v>
      </c>
      <c r="S13" s="88" t="n">
        <v>0</v>
      </c>
      <c r="T13" s="88" t="n">
        <v>57</v>
      </c>
      <c r="U13" s="88" t="n">
        <v>0</v>
      </c>
      <c r="V13" s="89" t="n">
        <v>1</v>
      </c>
      <c r="W13" s="90" t="n">
        <f aca="false">IFERROR(O13/V13,0)</f>
        <v>5000</v>
      </c>
      <c r="X13" s="91" t="n">
        <f aca="false">O13/L13</f>
        <v>1.03842159916926</v>
      </c>
      <c r="Y13" s="92" t="str">
        <f aca="false">IFERROR(VLOOKUP(E:E,'Item Data Support Sheet'!A:J,6,0),0)</f>
        <v>Silicon</v>
      </c>
      <c r="Z13" s="93" t="n">
        <f aca="false">IFERROR(VLOOKUP(E:E,'Item Data Support Sheet'!A:O,4,0),0)</f>
        <v>6.8</v>
      </c>
      <c r="AA13" s="93" t="n">
        <f aca="false">IFERROR(((N13)*(Z13/1000))+P13,0)</f>
        <v>35.0092</v>
      </c>
      <c r="AB13" s="94" t="n">
        <f aca="false">IFERROR((O13*(Z13/1000)/(AA13))," ")</f>
        <v>0.971173291591924</v>
      </c>
      <c r="AC13" s="95" t="n">
        <f aca="false">IFERROR((T13)/((T13)+O13),0)</f>
        <v>0.0112715048447696</v>
      </c>
      <c r="AD13" s="96" t="n">
        <f aca="false">IFERROR(Q13/(Q13+N13),0)</f>
        <v>0.011966801775719</v>
      </c>
      <c r="AE13" s="91" t="n">
        <f aca="false">(N13-T13)/N13</f>
        <v>0.988865012697793</v>
      </c>
      <c r="AF13" s="97" t="n">
        <f aca="false">BR13</f>
        <v>0</v>
      </c>
      <c r="AG13" s="98" t="n">
        <f aca="false">K13-AF13</f>
        <v>8</v>
      </c>
      <c r="AH13" s="99" t="n">
        <f aca="false">IFERROR(AG13/K13," ")</f>
        <v>1</v>
      </c>
      <c r="AI13" s="100" t="n">
        <f aca="false">IFERROR(O13/K13,0)</f>
        <v>625</v>
      </c>
      <c r="AJ13" s="101" t="n">
        <f aca="false">VLOOKUP(D13,'Standard Cycle time'!C:D,2,0)</f>
        <v>5.25</v>
      </c>
      <c r="AK13" s="101" t="n">
        <f aca="false">AG13*V13*3600/O13</f>
        <v>5.76</v>
      </c>
      <c r="AL13" s="102" t="n">
        <f aca="false">AJ13/AK13</f>
        <v>0.911458333333333</v>
      </c>
      <c r="AM13" s="99" t="n">
        <f aca="false">AE13*AL13*AH13</f>
        <v>0.901309256365176</v>
      </c>
      <c r="AN13" s="103" t="n">
        <v>2188</v>
      </c>
      <c r="AO13" s="104"/>
      <c r="AP13" s="105" t="n">
        <v>0</v>
      </c>
      <c r="AQ13" s="105" t="n">
        <v>0</v>
      </c>
      <c r="AR13" s="105" t="n">
        <v>0</v>
      </c>
      <c r="AS13" s="105" t="n">
        <v>0</v>
      </c>
      <c r="AT13" s="105" t="n">
        <v>0</v>
      </c>
      <c r="AU13" s="105" t="n">
        <v>0</v>
      </c>
      <c r="AV13" s="105" t="n">
        <v>0</v>
      </c>
      <c r="AW13" s="105" t="n">
        <v>0</v>
      </c>
      <c r="AX13" s="105" t="n">
        <v>0</v>
      </c>
      <c r="AY13" s="105" t="n">
        <v>0</v>
      </c>
      <c r="AZ13" s="105" t="n">
        <v>0</v>
      </c>
      <c r="BA13" s="105" t="n">
        <v>0</v>
      </c>
      <c r="BB13" s="105" t="n">
        <v>0</v>
      </c>
      <c r="BC13" s="105" t="n">
        <v>0</v>
      </c>
      <c r="BD13" s="105" t="n">
        <v>0</v>
      </c>
      <c r="BE13" s="105" t="n">
        <v>0</v>
      </c>
      <c r="BF13" s="105" t="n">
        <v>0</v>
      </c>
      <c r="BG13" s="105" t="n">
        <v>0</v>
      </c>
      <c r="BH13" s="105" t="n">
        <v>0</v>
      </c>
      <c r="BI13" s="105" t="n">
        <v>0</v>
      </c>
      <c r="BJ13" s="105" t="n">
        <v>0</v>
      </c>
      <c r="BK13" s="105" t="n">
        <v>0</v>
      </c>
      <c r="BL13" s="105" t="n">
        <v>0</v>
      </c>
      <c r="BM13" s="105" t="n">
        <v>0</v>
      </c>
      <c r="BN13" s="105" t="n">
        <v>0</v>
      </c>
      <c r="BO13" s="105" t="n">
        <v>0</v>
      </c>
      <c r="BP13" s="105" t="n">
        <v>0</v>
      </c>
      <c r="BQ13" s="105" t="n">
        <v>0</v>
      </c>
      <c r="BR13" s="106" t="n">
        <f aca="false">SUM(AP13:BQ13)/60</f>
        <v>0</v>
      </c>
      <c r="BS13" s="106" t="n">
        <f aca="false">SUM(AP13:BR13)/60</f>
        <v>0</v>
      </c>
      <c r="BT13" s="107"/>
      <c r="BU13" s="107"/>
      <c r="BV13" s="107"/>
      <c r="BW13" s="107"/>
      <c r="BX13" s="107"/>
      <c r="BY13" s="107"/>
      <c r="BZ13" s="107"/>
      <c r="CA13" s="107"/>
      <c r="CB13" s="107"/>
      <c r="CC13" s="107"/>
      <c r="CD13" s="107"/>
      <c r="CE13" s="107"/>
      <c r="CF13" s="107"/>
      <c r="CG13" s="107"/>
      <c r="CH13" s="107"/>
      <c r="CI13" s="107"/>
      <c r="CJ13" s="107"/>
      <c r="CK13" s="107"/>
      <c r="CL13" s="107"/>
      <c r="CM13" s="107"/>
      <c r="CN13" s="107"/>
      <c r="CO13" s="107"/>
      <c r="CP13" s="107"/>
      <c r="CQ13" s="107"/>
      <c r="CR13" s="107"/>
      <c r="CS13" s="107"/>
      <c r="CT13" s="107"/>
      <c r="CU13" s="107"/>
      <c r="CV13" s="107"/>
    </row>
    <row r="14" s="74" customFormat="true" ht="15" hidden="true" customHeight="true" outlineLevel="0" collapsed="false">
      <c r="A14" s="74" t="n">
        <f aca="false">MONTH(B14)</f>
        <v>8</v>
      </c>
      <c r="B14" s="75" t="n">
        <v>44411</v>
      </c>
      <c r="C14" s="76" t="s">
        <v>70</v>
      </c>
      <c r="D14" s="77" t="str">
        <f aca="false">IFERROR(VLOOKUP(E:E,'Item Data Support Sheet'!A:O,7,0),"")</f>
        <v>BOTTLE MOLDED</v>
      </c>
      <c r="E14" s="108" t="s">
        <v>78</v>
      </c>
      <c r="F14" s="80" t="s">
        <v>79</v>
      </c>
      <c r="G14" s="77" t="s">
        <v>80</v>
      </c>
      <c r="H14" s="79" t="str">
        <f aca="false">IFERROR(VLOOKUP(E:E,'Item Data Support Sheet'!A:O,2,0),"")</f>
        <v>RPP 120 ML BOTTLE MOLDED</v>
      </c>
      <c r="I14" s="80" t="s">
        <v>168</v>
      </c>
      <c r="J14" s="80" t="s">
        <v>140</v>
      </c>
      <c r="K14" s="81" t="n">
        <v>8</v>
      </c>
      <c r="L14" s="82" t="n">
        <v>2574</v>
      </c>
      <c r="M14" s="83" t="n">
        <f aca="false">IFERROR(L14/K14,0)</f>
        <v>321.75</v>
      </c>
      <c r="N14" s="84" t="n">
        <f aca="false">+O14+Q14+T14+U14</f>
        <v>2788</v>
      </c>
      <c r="O14" s="85" t="n">
        <f aca="false">15*180</f>
        <v>2700</v>
      </c>
      <c r="P14" s="86" t="n">
        <v>0.25</v>
      </c>
      <c r="Q14" s="87" t="n">
        <v>37</v>
      </c>
      <c r="R14" s="88" t="n">
        <v>0</v>
      </c>
      <c r="S14" s="88" t="n">
        <v>0</v>
      </c>
      <c r="T14" s="88" t="n">
        <v>51</v>
      </c>
      <c r="U14" s="88" t="n">
        <v>0</v>
      </c>
      <c r="V14" s="89" t="n">
        <v>1</v>
      </c>
      <c r="W14" s="90" t="n">
        <f aca="false">IFERROR(O14/V14,0)</f>
        <v>2700</v>
      </c>
      <c r="X14" s="91" t="n">
        <f aca="false">O14/L14</f>
        <v>1.04895104895105</v>
      </c>
      <c r="Y14" s="92" t="str">
        <f aca="false">IFERROR(VLOOKUP(E:E,'Item Data Support Sheet'!A:J,6,0),0)</f>
        <v>HMC</v>
      </c>
      <c r="Z14" s="93" t="n">
        <f aca="false">IFERROR(VLOOKUP(E:E,'Item Data Support Sheet'!A:O,4,0),0)</f>
        <v>21.3</v>
      </c>
      <c r="AA14" s="93" t="n">
        <f aca="false">IFERROR(((N14)*(Z14/1000))+P14,0)</f>
        <v>59.6344</v>
      </c>
      <c r="AB14" s="94" t="n">
        <f aca="false">IFERROR((O14*(Z14/1000)/(AA14))," ")</f>
        <v>0.964376266047784</v>
      </c>
      <c r="AC14" s="95" t="n">
        <f aca="false">IFERROR((T14)/((T14)+O14),0)</f>
        <v>0.0185387131952017</v>
      </c>
      <c r="AD14" s="96" t="n">
        <f aca="false">IFERROR(Q14/(Q14+N14),0)</f>
        <v>0.0130973451327434</v>
      </c>
      <c r="AE14" s="91" t="n">
        <f aca="false">(N14-T14)/N14</f>
        <v>0.981707317073171</v>
      </c>
      <c r="AF14" s="97" t="n">
        <f aca="false">BR14</f>
        <v>0</v>
      </c>
      <c r="AG14" s="98" t="n">
        <f aca="false">K14-AF14</f>
        <v>8</v>
      </c>
      <c r="AH14" s="99" t="n">
        <f aca="false">IFERROR(AG14/K14," ")</f>
        <v>1</v>
      </c>
      <c r="AI14" s="100" t="n">
        <f aca="false">IFERROR(O14/K14,0)</f>
        <v>337.5</v>
      </c>
      <c r="AJ14" s="101" t="n">
        <f aca="false">VLOOKUP(D14,'Standard Cycle time'!C:D,2,0)</f>
        <v>9</v>
      </c>
      <c r="AK14" s="101" t="n">
        <f aca="false">AG14*V14*3600/O14</f>
        <v>10.6666666666667</v>
      </c>
      <c r="AL14" s="102" t="n">
        <f aca="false">AJ14/AK14</f>
        <v>0.84375</v>
      </c>
      <c r="AM14" s="99" t="n">
        <f aca="false">AE14*AL14*AH14</f>
        <v>0.828315548780488</v>
      </c>
      <c r="AN14" s="103" t="n">
        <v>2196</v>
      </c>
      <c r="AO14" s="104" t="s">
        <v>169</v>
      </c>
      <c r="AP14" s="105" t="n">
        <v>0</v>
      </c>
      <c r="AQ14" s="105" t="n">
        <v>0</v>
      </c>
      <c r="AR14" s="105" t="n">
        <v>0</v>
      </c>
      <c r="AS14" s="105" t="n">
        <v>0</v>
      </c>
      <c r="AT14" s="105" t="n">
        <v>0</v>
      </c>
      <c r="AU14" s="105" t="n">
        <v>0</v>
      </c>
      <c r="AV14" s="105" t="n">
        <v>0</v>
      </c>
      <c r="AW14" s="105" t="n">
        <v>0</v>
      </c>
      <c r="AX14" s="105" t="n">
        <v>0</v>
      </c>
      <c r="AY14" s="105" t="n">
        <v>0</v>
      </c>
      <c r="AZ14" s="105" t="n">
        <v>0</v>
      </c>
      <c r="BA14" s="105" t="n">
        <v>0</v>
      </c>
      <c r="BB14" s="105" t="n">
        <v>0</v>
      </c>
      <c r="BC14" s="105" t="n">
        <v>0</v>
      </c>
      <c r="BD14" s="105" t="n">
        <v>0</v>
      </c>
      <c r="BE14" s="105" t="n">
        <v>0</v>
      </c>
      <c r="BF14" s="105" t="n">
        <v>0</v>
      </c>
      <c r="BG14" s="105" t="n">
        <v>0</v>
      </c>
      <c r="BH14" s="105" t="n">
        <v>0</v>
      </c>
      <c r="BI14" s="105" t="n">
        <v>0</v>
      </c>
      <c r="BJ14" s="105" t="n">
        <v>0</v>
      </c>
      <c r="BK14" s="105" t="n">
        <v>0</v>
      </c>
      <c r="BL14" s="105" t="n">
        <v>0</v>
      </c>
      <c r="BM14" s="105" t="n">
        <v>0</v>
      </c>
      <c r="BN14" s="105" t="n">
        <v>0</v>
      </c>
      <c r="BO14" s="105" t="n">
        <v>0</v>
      </c>
      <c r="BP14" s="105" t="n">
        <v>0</v>
      </c>
      <c r="BQ14" s="105" t="n">
        <v>0</v>
      </c>
      <c r="BR14" s="106" t="n">
        <f aca="false">SUM(AP14:BQ14)/60</f>
        <v>0</v>
      </c>
      <c r="BS14" s="106" t="n">
        <f aca="false">SUM(AP14:BR14)/60</f>
        <v>0</v>
      </c>
      <c r="BT14" s="107"/>
      <c r="BU14" s="107"/>
      <c r="BV14" s="107"/>
      <c r="BW14" s="107"/>
      <c r="BX14" s="107"/>
      <c r="BY14" s="107"/>
      <c r="BZ14" s="107"/>
      <c r="CA14" s="107"/>
      <c r="CB14" s="107"/>
      <c r="CC14" s="107"/>
      <c r="CD14" s="107"/>
      <c r="CE14" s="107"/>
      <c r="CF14" s="107"/>
      <c r="CG14" s="107"/>
      <c r="CH14" s="107"/>
      <c r="CI14" s="107"/>
      <c r="CJ14" s="107"/>
      <c r="CK14" s="107"/>
      <c r="CL14" s="107"/>
      <c r="CM14" s="107"/>
      <c r="CN14" s="107"/>
      <c r="CO14" s="107"/>
      <c r="CP14" s="107"/>
      <c r="CQ14" s="107"/>
      <c r="CR14" s="107"/>
      <c r="CS14" s="107"/>
      <c r="CT14" s="107"/>
      <c r="CU14" s="107"/>
      <c r="CV14" s="107"/>
    </row>
    <row r="15" s="74" customFormat="true" ht="15" hidden="true" customHeight="true" outlineLevel="0" collapsed="false">
      <c r="A15" s="74" t="n">
        <f aca="false">MONTH(B15)</f>
        <v>8</v>
      </c>
      <c r="B15" s="75" t="n">
        <v>44411</v>
      </c>
      <c r="C15" s="76" t="s">
        <v>70</v>
      </c>
      <c r="D15" s="77" t="str">
        <f aca="false">IFERROR(VLOOKUP(E:E,'Item Data Support Sheet'!A:O,7,0),"")</f>
        <v>NIPPLE PUNCH</v>
      </c>
      <c r="E15" s="108" t="s">
        <v>60</v>
      </c>
      <c r="F15" s="80"/>
      <c r="G15" s="77" t="s">
        <v>54</v>
      </c>
      <c r="H15" s="79" t="str">
        <f aca="false">IFERROR(VLOOKUP(E:E,'Item Data Support Sheet'!A:O,2,0),"")</f>
        <v>NIPPLE S TYPE M SIZE PUNCHED</v>
      </c>
      <c r="I15" s="80" t="s">
        <v>170</v>
      </c>
      <c r="J15" s="80" t="s">
        <v>140</v>
      </c>
      <c r="K15" s="81" t="n">
        <v>4</v>
      </c>
      <c r="L15" s="82" t="n">
        <v>3518</v>
      </c>
      <c r="M15" s="83" t="n">
        <f aca="false">IFERROR(L15/K15,0)</f>
        <v>879.5</v>
      </c>
      <c r="N15" s="84" t="n">
        <f aca="false">+O15+Q15+T15+U15</f>
        <v>3200</v>
      </c>
      <c r="O15" s="85" t="n">
        <v>3200</v>
      </c>
      <c r="P15" s="86" t="n">
        <v>0</v>
      </c>
      <c r="Q15" s="87" t="n">
        <v>0</v>
      </c>
      <c r="R15" s="88" t="n">
        <v>0</v>
      </c>
      <c r="S15" s="88" t="n">
        <v>0</v>
      </c>
      <c r="T15" s="88" t="n">
        <v>0</v>
      </c>
      <c r="U15" s="88" t="n">
        <v>0</v>
      </c>
      <c r="V15" s="89" t="n">
        <v>1</v>
      </c>
      <c r="W15" s="90" t="n">
        <f aca="false">IFERROR(O15/V15,0)</f>
        <v>3200</v>
      </c>
      <c r="X15" s="91" t="n">
        <f aca="false">O15/L15</f>
        <v>0.909607731665719</v>
      </c>
      <c r="Y15" s="92" t="str">
        <f aca="false">IFERROR(VLOOKUP(E:E,'Item Data Support Sheet'!A:J,6,0),0)</f>
        <v>FO016</v>
      </c>
      <c r="Z15" s="93" t="n">
        <f aca="false">IFERROR(VLOOKUP(E:E,'Item Data Support Sheet'!A:O,4,0),0)</f>
        <v>0</v>
      </c>
      <c r="AA15" s="93" t="n">
        <f aca="false">IFERROR(((N15)*(Z15/1000))+P15,0)</f>
        <v>0</v>
      </c>
      <c r="AB15" s="94" t="str">
        <f aca="false">IFERROR((O15*(Z15/1000)/(AA15))," ")</f>
        <v> </v>
      </c>
      <c r="AC15" s="95" t="n">
        <f aca="false">IFERROR((T15)/((T15)+O15),0)</f>
        <v>0</v>
      </c>
      <c r="AD15" s="96" t="n">
        <f aca="false">IFERROR(Q15/(Q15+N15),0)</f>
        <v>0</v>
      </c>
      <c r="AE15" s="91" t="n">
        <f aca="false">(N15-T15)/N15</f>
        <v>1</v>
      </c>
      <c r="AF15" s="97" t="n">
        <f aca="false">BR15</f>
        <v>0.666666666666667</v>
      </c>
      <c r="AG15" s="98" t="n">
        <f aca="false">K15-AF15</f>
        <v>3.33333333333333</v>
      </c>
      <c r="AH15" s="99" t="n">
        <f aca="false">IFERROR(AG15/K15," ")</f>
        <v>0.833333333333333</v>
      </c>
      <c r="AI15" s="100" t="n">
        <f aca="false">IFERROR(O15/K15,0)</f>
        <v>800</v>
      </c>
      <c r="AJ15" s="101" t="n">
        <f aca="false">VLOOKUP(D15,'Standard Cycle time'!C:D,2,0)</f>
        <v>3.5</v>
      </c>
      <c r="AK15" s="101" t="n">
        <f aca="false">AG15*V15*3600/O15</f>
        <v>3.75</v>
      </c>
      <c r="AL15" s="102" t="n">
        <f aca="false">AJ15/AK15</f>
        <v>0.933333333333333</v>
      </c>
      <c r="AM15" s="99" t="n">
        <f aca="false">AE15*AL15*AH15</f>
        <v>0.777777777777778</v>
      </c>
      <c r="AN15" s="103" t="s">
        <v>171</v>
      </c>
      <c r="AO15" s="109"/>
      <c r="AP15" s="105" t="n">
        <v>40</v>
      </c>
      <c r="AQ15" s="105" t="n">
        <v>0</v>
      </c>
      <c r="AR15" s="105" t="n">
        <v>0</v>
      </c>
      <c r="AS15" s="105" t="n">
        <v>0</v>
      </c>
      <c r="AT15" s="105" t="n">
        <v>0</v>
      </c>
      <c r="AU15" s="105" t="n">
        <v>0</v>
      </c>
      <c r="AV15" s="105" t="n">
        <v>0</v>
      </c>
      <c r="AW15" s="105" t="n">
        <v>0</v>
      </c>
      <c r="AX15" s="105" t="n">
        <v>0</v>
      </c>
      <c r="AY15" s="105" t="n">
        <v>0</v>
      </c>
      <c r="AZ15" s="105" t="n">
        <v>0</v>
      </c>
      <c r="BA15" s="105" t="n">
        <v>0</v>
      </c>
      <c r="BB15" s="105" t="n">
        <v>0</v>
      </c>
      <c r="BC15" s="105" t="n">
        <v>0</v>
      </c>
      <c r="BD15" s="105" t="n">
        <v>0</v>
      </c>
      <c r="BE15" s="105" t="n">
        <v>0</v>
      </c>
      <c r="BF15" s="105" t="n">
        <v>0</v>
      </c>
      <c r="BG15" s="105" t="n">
        <v>0</v>
      </c>
      <c r="BH15" s="105" t="n">
        <v>0</v>
      </c>
      <c r="BI15" s="105" t="n">
        <v>0</v>
      </c>
      <c r="BJ15" s="105" t="n">
        <v>0</v>
      </c>
      <c r="BK15" s="105" t="n">
        <v>0</v>
      </c>
      <c r="BL15" s="105" t="n">
        <v>0</v>
      </c>
      <c r="BM15" s="105" t="n">
        <v>0</v>
      </c>
      <c r="BN15" s="105" t="n">
        <v>0</v>
      </c>
      <c r="BO15" s="105" t="n">
        <v>0</v>
      </c>
      <c r="BP15" s="105" t="n">
        <v>0</v>
      </c>
      <c r="BQ15" s="105" t="n">
        <v>0</v>
      </c>
      <c r="BR15" s="106" t="n">
        <f aca="false">SUM(AP15:BQ15)/60</f>
        <v>0.666666666666667</v>
      </c>
      <c r="BS15" s="106" t="n">
        <f aca="false">SUM(AP15:BR15)/60</f>
        <v>0.677777777777778</v>
      </c>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row>
    <row r="16" s="74" customFormat="true" ht="15" hidden="true" customHeight="true" outlineLevel="0" collapsed="false">
      <c r="A16" s="74" t="n">
        <f aca="false">MONTH(B16)</f>
        <v>8</v>
      </c>
      <c r="B16" s="75" t="n">
        <v>44411</v>
      </c>
      <c r="C16" s="76" t="s">
        <v>152</v>
      </c>
      <c r="D16" s="77" t="str">
        <f aca="false">IFERROR(VLOOKUP(E:E,'Item Data Support Sheet'!A:O,7,0),"")</f>
        <v>BOTTLE MOLDED</v>
      </c>
      <c r="E16" s="108" t="s">
        <v>78</v>
      </c>
      <c r="F16" s="80" t="s">
        <v>79</v>
      </c>
      <c r="G16" s="77" t="s">
        <v>80</v>
      </c>
      <c r="H16" s="79" t="str">
        <f aca="false">IFERROR(VLOOKUP(E:E,'Item Data Support Sheet'!A:O,2,0),"")</f>
        <v>RPP 120 ML BOTTLE MOLDED</v>
      </c>
      <c r="I16" s="80" t="s">
        <v>172</v>
      </c>
      <c r="J16" s="80" t="s">
        <v>148</v>
      </c>
      <c r="K16" s="81" t="n">
        <v>8</v>
      </c>
      <c r="L16" s="82" t="n">
        <v>2574</v>
      </c>
      <c r="M16" s="83" t="n">
        <f aca="false">IFERROR(L16/K16,0)</f>
        <v>321.75</v>
      </c>
      <c r="N16" s="84" t="n">
        <f aca="false">+O16+Q16+T16+U16</f>
        <v>3297</v>
      </c>
      <c r="O16" s="85" t="n">
        <v>3240</v>
      </c>
      <c r="P16" s="86" t="n">
        <v>0</v>
      </c>
      <c r="Q16" s="87" t="n">
        <v>20</v>
      </c>
      <c r="R16" s="88" t="n">
        <v>0</v>
      </c>
      <c r="S16" s="88" t="n">
        <v>0</v>
      </c>
      <c r="T16" s="88" t="n">
        <v>29</v>
      </c>
      <c r="U16" s="88" t="n">
        <v>8</v>
      </c>
      <c r="V16" s="89" t="n">
        <v>1</v>
      </c>
      <c r="W16" s="90" t="n">
        <f aca="false">IFERROR(O16/V16,0)</f>
        <v>3240</v>
      </c>
      <c r="X16" s="91" t="n">
        <f aca="false">O16/L16</f>
        <v>1.25874125874126</v>
      </c>
      <c r="Y16" s="92" t="str">
        <f aca="false">IFERROR(VLOOKUP(E:E,'Item Data Support Sheet'!A:J,6,0),0)</f>
        <v>HMC</v>
      </c>
      <c r="Z16" s="93" t="n">
        <f aca="false">IFERROR(VLOOKUP(E:E,'Item Data Support Sheet'!A:O,4,0),0)</f>
        <v>21.3</v>
      </c>
      <c r="AA16" s="93" t="n">
        <f aca="false">IFERROR(((N16)*(Z16/1000))+P16,0)</f>
        <v>70.2261</v>
      </c>
      <c r="AB16" s="94" t="n">
        <f aca="false">IFERROR((O16*(Z16/1000)/(AA16))," ")</f>
        <v>0.982711555959964</v>
      </c>
      <c r="AC16" s="95" t="n">
        <f aca="false">IFERROR((T16)/((T16)+O16),0)</f>
        <v>0.00887121443866626</v>
      </c>
      <c r="AD16" s="96" t="n">
        <f aca="false">IFERROR(Q16/(Q16+N16),0)</f>
        <v>0.00602954476936991</v>
      </c>
      <c r="AE16" s="91" t="n">
        <f aca="false">(N16-T16)/N16</f>
        <v>0.991204124962087</v>
      </c>
      <c r="AF16" s="97" t="n">
        <f aca="false">BR16</f>
        <v>0</v>
      </c>
      <c r="AG16" s="98" t="n">
        <f aca="false">K16-AF16</f>
        <v>8</v>
      </c>
      <c r="AH16" s="99" t="n">
        <f aca="false">IFERROR(AG16/K16," ")</f>
        <v>1</v>
      </c>
      <c r="AI16" s="100" t="n">
        <f aca="false">IFERROR(O16/K16,0)</f>
        <v>405</v>
      </c>
      <c r="AJ16" s="101" t="n">
        <f aca="false">VLOOKUP(D16,'Standard Cycle time'!C:D,2,0)</f>
        <v>9</v>
      </c>
      <c r="AK16" s="101" t="n">
        <f aca="false">AG16*V16*3600/O16</f>
        <v>8.88888888888889</v>
      </c>
      <c r="AL16" s="102" t="n">
        <f aca="false">AJ16/AK16</f>
        <v>1.0125</v>
      </c>
      <c r="AM16" s="99" t="n">
        <f aca="false">AE16*AL16*AH16</f>
        <v>1.00359417652411</v>
      </c>
      <c r="AN16" s="103" t="n">
        <v>2197</v>
      </c>
      <c r="AO16" s="110" t="s">
        <v>173</v>
      </c>
      <c r="AP16" s="105" t="n">
        <v>0</v>
      </c>
      <c r="AQ16" s="105" t="n">
        <v>0</v>
      </c>
      <c r="AR16" s="105" t="n">
        <v>0</v>
      </c>
      <c r="AS16" s="105" t="n">
        <v>0</v>
      </c>
      <c r="AT16" s="105" t="n">
        <v>0</v>
      </c>
      <c r="AU16" s="105" t="n">
        <v>0</v>
      </c>
      <c r="AV16" s="105" t="n">
        <v>0</v>
      </c>
      <c r="AW16" s="105" t="n">
        <v>0</v>
      </c>
      <c r="AX16" s="105" t="n">
        <v>0</v>
      </c>
      <c r="AY16" s="105" t="n">
        <v>0</v>
      </c>
      <c r="AZ16" s="105" t="n">
        <v>0</v>
      </c>
      <c r="BA16" s="105" t="n">
        <v>0</v>
      </c>
      <c r="BB16" s="105" t="n">
        <v>0</v>
      </c>
      <c r="BC16" s="105" t="n">
        <v>0</v>
      </c>
      <c r="BD16" s="105" t="n">
        <v>0</v>
      </c>
      <c r="BE16" s="105" t="n">
        <v>0</v>
      </c>
      <c r="BF16" s="105" t="n">
        <v>0</v>
      </c>
      <c r="BG16" s="105" t="n">
        <v>0</v>
      </c>
      <c r="BH16" s="105" t="n">
        <v>0</v>
      </c>
      <c r="BI16" s="105" t="n">
        <v>0</v>
      </c>
      <c r="BJ16" s="105" t="n">
        <v>0</v>
      </c>
      <c r="BK16" s="105" t="n">
        <v>0</v>
      </c>
      <c r="BL16" s="105" t="n">
        <v>0</v>
      </c>
      <c r="BM16" s="105" t="n">
        <v>0</v>
      </c>
      <c r="BN16" s="105" t="n">
        <v>0</v>
      </c>
      <c r="BO16" s="105" t="n">
        <v>0</v>
      </c>
      <c r="BP16" s="105" t="n">
        <v>0</v>
      </c>
      <c r="BQ16" s="105" t="n">
        <v>0</v>
      </c>
      <c r="BR16" s="106" t="n">
        <f aca="false">SUM(AP16:BQ16)/60</f>
        <v>0</v>
      </c>
      <c r="BS16" s="106" t="n">
        <f aca="false">SUM(AP16:BR16)/60</f>
        <v>0</v>
      </c>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row>
    <row r="17" s="74" customFormat="true" ht="15" hidden="true" customHeight="true" outlineLevel="0" collapsed="false">
      <c r="A17" s="74" t="n">
        <f aca="false">MONTH(B17)</f>
        <v>8</v>
      </c>
      <c r="B17" s="75" t="n">
        <v>44411</v>
      </c>
      <c r="C17" s="76" t="s">
        <v>152</v>
      </c>
      <c r="D17" s="77" t="str">
        <f aca="false">IFERROR(VLOOKUP(E:E,'Item Data Support Sheet'!A:O,7,0),"")</f>
        <v>NIPPLE MOLDED</v>
      </c>
      <c r="E17" s="108" t="s">
        <v>136</v>
      </c>
      <c r="F17" s="80" t="s">
        <v>137</v>
      </c>
      <c r="G17" s="77" t="s">
        <v>138</v>
      </c>
      <c r="H17" s="79" t="str">
        <f aca="false">IFERROR(VLOOKUP(E:E,'Item Data Support Sheet'!A:O,2,0),"")</f>
        <v>NIPPLE S TYPE M SIZE INJECTION</v>
      </c>
      <c r="I17" s="80" t="s">
        <v>174</v>
      </c>
      <c r="J17" s="80" t="s">
        <v>148</v>
      </c>
      <c r="K17" s="81" t="n">
        <v>8</v>
      </c>
      <c r="L17" s="82" t="n">
        <v>4815</v>
      </c>
      <c r="M17" s="83" t="n">
        <f aca="false">IFERROR(L17/K17,0)</f>
        <v>601.875</v>
      </c>
      <c r="N17" s="84" t="n">
        <f aca="false">+O17+Q17+T17+U17</f>
        <v>5482</v>
      </c>
      <c r="O17" s="85" t="n">
        <v>5400</v>
      </c>
      <c r="P17" s="86" t="n">
        <v>0</v>
      </c>
      <c r="Q17" s="87" t="n">
        <v>23</v>
      </c>
      <c r="R17" s="88" t="n">
        <v>0</v>
      </c>
      <c r="S17" s="88" t="n">
        <v>0</v>
      </c>
      <c r="T17" s="88" t="n">
        <v>51</v>
      </c>
      <c r="U17" s="88" t="n">
        <v>8</v>
      </c>
      <c r="V17" s="89" t="n">
        <v>1</v>
      </c>
      <c r="W17" s="90" t="n">
        <f aca="false">IFERROR(O17/V17,0)</f>
        <v>5400</v>
      </c>
      <c r="X17" s="91" t="n">
        <f aca="false">O17/L17</f>
        <v>1.1214953271028</v>
      </c>
      <c r="Y17" s="92" t="str">
        <f aca="false">IFERROR(VLOOKUP(E:E,'Item Data Support Sheet'!A:J,6,0),0)</f>
        <v>Silicon</v>
      </c>
      <c r="Z17" s="93" t="n">
        <f aca="false">IFERROR(VLOOKUP(E:E,'Item Data Support Sheet'!A:O,4,0),0)</f>
        <v>6.8</v>
      </c>
      <c r="AA17" s="93" t="n">
        <f aca="false">IFERROR(((N17)*(Z17/1000))+P17,0)</f>
        <v>37.2776</v>
      </c>
      <c r="AB17" s="94" t="n">
        <f aca="false">IFERROR((O17*(Z17/1000)/(AA17))," ")</f>
        <v>0.985041955490697</v>
      </c>
      <c r="AC17" s="95" t="n">
        <f aca="false">IFERROR((T17)/((T17)+O17),0)</f>
        <v>0.00935608145294441</v>
      </c>
      <c r="AD17" s="96" t="n">
        <f aca="false">IFERROR(Q17/(Q17+N17),0)</f>
        <v>0.0041780199818347</v>
      </c>
      <c r="AE17" s="91" t="n">
        <f aca="false">(N17-T17)/N17</f>
        <v>0.990696825975921</v>
      </c>
      <c r="AF17" s="97" t="n">
        <f aca="false">BR17</f>
        <v>0</v>
      </c>
      <c r="AG17" s="98" t="n">
        <f aca="false">K17-AF17</f>
        <v>8</v>
      </c>
      <c r="AH17" s="99" t="n">
        <f aca="false">IFERROR(AG17/K17," ")</f>
        <v>1</v>
      </c>
      <c r="AI17" s="100" t="n">
        <f aca="false">IFERROR(O17/K17,0)</f>
        <v>675</v>
      </c>
      <c r="AJ17" s="101" t="n">
        <f aca="false">VLOOKUP(D17,'Standard Cycle time'!C:D,2,0)</f>
        <v>5.25</v>
      </c>
      <c r="AK17" s="101" t="n">
        <f aca="false">AG17*V17*3600/O17</f>
        <v>5.33333333333333</v>
      </c>
      <c r="AL17" s="102" t="n">
        <f aca="false">AJ17/AK17</f>
        <v>0.984375</v>
      </c>
      <c r="AM17" s="99" t="n">
        <f aca="false">AE17*AL17*AH17</f>
        <v>0.975217188070047</v>
      </c>
      <c r="AN17" s="103" t="s">
        <v>175</v>
      </c>
      <c r="AO17" s="104"/>
      <c r="AP17" s="105" t="n">
        <v>0</v>
      </c>
      <c r="AQ17" s="105" t="n">
        <v>0</v>
      </c>
      <c r="AR17" s="105" t="n">
        <v>0</v>
      </c>
      <c r="AS17" s="105" t="n">
        <v>0</v>
      </c>
      <c r="AT17" s="105" t="n">
        <v>0</v>
      </c>
      <c r="AU17" s="105" t="n">
        <v>0</v>
      </c>
      <c r="AV17" s="105" t="n">
        <v>0</v>
      </c>
      <c r="AW17" s="105" t="n">
        <v>0</v>
      </c>
      <c r="AX17" s="105" t="n">
        <v>0</v>
      </c>
      <c r="AY17" s="105" t="n">
        <v>0</v>
      </c>
      <c r="AZ17" s="105" t="n">
        <v>0</v>
      </c>
      <c r="BA17" s="105" t="n">
        <v>0</v>
      </c>
      <c r="BB17" s="105" t="n">
        <v>0</v>
      </c>
      <c r="BC17" s="105" t="n">
        <v>0</v>
      </c>
      <c r="BD17" s="105" t="n">
        <v>0</v>
      </c>
      <c r="BE17" s="105" t="n">
        <v>0</v>
      </c>
      <c r="BF17" s="105" t="n">
        <v>0</v>
      </c>
      <c r="BG17" s="105" t="n">
        <v>0</v>
      </c>
      <c r="BH17" s="105" t="n">
        <v>0</v>
      </c>
      <c r="BI17" s="105" t="n">
        <v>0</v>
      </c>
      <c r="BJ17" s="105" t="n">
        <v>0</v>
      </c>
      <c r="BK17" s="105" t="n">
        <v>0</v>
      </c>
      <c r="BL17" s="105" t="n">
        <v>0</v>
      </c>
      <c r="BM17" s="105" t="n">
        <v>0</v>
      </c>
      <c r="BN17" s="105" t="n">
        <v>0</v>
      </c>
      <c r="BO17" s="105" t="n">
        <v>0</v>
      </c>
      <c r="BP17" s="105" t="n">
        <v>0</v>
      </c>
      <c r="BQ17" s="105" t="n">
        <v>0</v>
      </c>
      <c r="BR17" s="106" t="n">
        <f aca="false">SUM(AP17:BQ17)/60</f>
        <v>0</v>
      </c>
      <c r="BS17" s="106" t="n">
        <f aca="false">SUM(AP17:BR17)/60</f>
        <v>0</v>
      </c>
      <c r="BT17" s="107"/>
      <c r="BU17" s="107"/>
      <c r="BV17" s="107"/>
      <c r="BW17" s="107"/>
      <c r="BX17" s="107"/>
      <c r="BY17" s="107"/>
      <c r="BZ17" s="107"/>
      <c r="CA17" s="107"/>
      <c r="CB17" s="107"/>
      <c r="CC17" s="107"/>
      <c r="CD17" s="107"/>
      <c r="CE17" s="107"/>
      <c r="CF17" s="107"/>
      <c r="CG17" s="107"/>
      <c r="CH17" s="107"/>
      <c r="CI17" s="107"/>
      <c r="CJ17" s="107"/>
      <c r="CK17" s="107"/>
      <c r="CL17" s="107"/>
      <c r="CM17" s="107"/>
      <c r="CN17" s="107"/>
      <c r="CO17" s="107"/>
      <c r="CP17" s="107"/>
      <c r="CQ17" s="107"/>
      <c r="CR17" s="107"/>
      <c r="CS17" s="107"/>
      <c r="CT17" s="107"/>
      <c r="CU17" s="107"/>
      <c r="CV17" s="107"/>
    </row>
    <row r="18" s="74" customFormat="true" ht="15" hidden="true" customHeight="true" outlineLevel="0" collapsed="false">
      <c r="A18" s="74" t="n">
        <f aca="false">MONTH(B18)</f>
        <v>8</v>
      </c>
      <c r="B18" s="75" t="n">
        <v>44412</v>
      </c>
      <c r="C18" s="76" t="s">
        <v>51</v>
      </c>
      <c r="D18" s="77" t="str">
        <f aca="false">IFERROR(VLOOKUP(E:E,'Item Data Support Sheet'!A:O,7,0),"")</f>
        <v>NIPPLE PUNCH</v>
      </c>
      <c r="E18" s="108" t="s">
        <v>60</v>
      </c>
      <c r="F18" s="78"/>
      <c r="G18" s="77" t="s">
        <v>149</v>
      </c>
      <c r="H18" s="79" t="str">
        <f aca="false">IFERROR(VLOOKUP(E:E,'Item Data Support Sheet'!A:O,2,0),"")</f>
        <v>NIPPLE S TYPE M SIZE PUNCHED</v>
      </c>
      <c r="I18" s="80" t="s">
        <v>176</v>
      </c>
      <c r="J18" s="80" t="s">
        <v>143</v>
      </c>
      <c r="K18" s="81" t="n">
        <v>8</v>
      </c>
      <c r="L18" s="82" t="n">
        <v>7036</v>
      </c>
      <c r="M18" s="83" t="n">
        <f aca="false">IFERROR(L18/K18,0)</f>
        <v>879.5</v>
      </c>
      <c r="N18" s="84" t="n">
        <f aca="false">+O18+Q18+T18+U18</f>
        <v>6500</v>
      </c>
      <c r="O18" s="85" t="n">
        <v>6496</v>
      </c>
      <c r="P18" s="86" t="n">
        <v>0</v>
      </c>
      <c r="Q18" s="87" t="n">
        <v>0</v>
      </c>
      <c r="R18" s="88" t="n">
        <v>0</v>
      </c>
      <c r="S18" s="88" t="n">
        <v>0</v>
      </c>
      <c r="T18" s="88" t="n">
        <v>4</v>
      </c>
      <c r="U18" s="88" t="n">
        <v>0</v>
      </c>
      <c r="V18" s="89" t="n">
        <v>1</v>
      </c>
      <c r="W18" s="90" t="n">
        <f aca="false">IFERROR(O18/V18,0)</f>
        <v>6496</v>
      </c>
      <c r="X18" s="91" t="n">
        <f aca="false">O18/L18</f>
        <v>0.923251847640705</v>
      </c>
      <c r="Y18" s="92" t="str">
        <f aca="false">IFERROR(VLOOKUP(E:E,'Item Data Support Sheet'!A:J,6,0),0)</f>
        <v>FO016</v>
      </c>
      <c r="Z18" s="93" t="n">
        <f aca="false">IFERROR(VLOOKUP(E:E,'Item Data Support Sheet'!A:O,4,0),0)</f>
        <v>0</v>
      </c>
      <c r="AA18" s="93" t="n">
        <f aca="false">IFERROR(((N18)*(Z18/1000))+P18,0)</f>
        <v>0</v>
      </c>
      <c r="AB18" s="94" t="str">
        <f aca="false">IFERROR((O18*(Z18/1000)/(AA18))," ")</f>
        <v> </v>
      </c>
      <c r="AC18" s="95" t="n">
        <f aca="false">IFERROR((T18)/((T18)+O18),0)</f>
        <v>0.000615384615384615</v>
      </c>
      <c r="AD18" s="96" t="n">
        <f aca="false">IFERROR(Q18/(Q18+N18),0)</f>
        <v>0</v>
      </c>
      <c r="AE18" s="91" t="n">
        <f aca="false">(N18-T18)/N18</f>
        <v>0.999384615384615</v>
      </c>
      <c r="AF18" s="97" t="n">
        <f aca="false">BR18</f>
        <v>1.16666666666667</v>
      </c>
      <c r="AG18" s="98" t="n">
        <f aca="false">K18-AF18</f>
        <v>6.83333333333333</v>
      </c>
      <c r="AH18" s="99" t="n">
        <f aca="false">IFERROR(AG18/K18," ")</f>
        <v>0.854166666666667</v>
      </c>
      <c r="AI18" s="100" t="n">
        <f aca="false">IFERROR(O18/K18,0)</f>
        <v>812</v>
      </c>
      <c r="AJ18" s="101" t="n">
        <f aca="false">VLOOKUP(D18,'Standard Cycle time'!C:D,2,0)</f>
        <v>3.5</v>
      </c>
      <c r="AK18" s="101" t="n">
        <f aca="false">AG18*V18*3600/O18</f>
        <v>3.78694581280788</v>
      </c>
      <c r="AL18" s="102" t="n">
        <f aca="false">AJ18/AK18</f>
        <v>0.924227642276423</v>
      </c>
      <c r="AM18" s="99" t="n">
        <f aca="false">AE18*AL18*AH18</f>
        <v>0.788958632478632</v>
      </c>
      <c r="AN18" s="103" t="s">
        <v>177</v>
      </c>
      <c r="AO18" s="109" t="s">
        <v>178</v>
      </c>
      <c r="AP18" s="105" t="n">
        <v>40</v>
      </c>
      <c r="AQ18" s="105" t="n">
        <v>0</v>
      </c>
      <c r="AR18" s="105" t="n">
        <v>0</v>
      </c>
      <c r="AS18" s="105" t="n">
        <v>0</v>
      </c>
      <c r="AT18" s="105" t="n">
        <v>0</v>
      </c>
      <c r="AU18" s="105" t="n">
        <v>0</v>
      </c>
      <c r="AV18" s="105" t="n">
        <v>0</v>
      </c>
      <c r="AW18" s="105" t="n">
        <v>0</v>
      </c>
      <c r="AX18" s="105" t="n">
        <v>0</v>
      </c>
      <c r="AY18" s="105" t="n">
        <v>0</v>
      </c>
      <c r="AZ18" s="105" t="n">
        <v>0</v>
      </c>
      <c r="BA18" s="105" t="n">
        <v>0</v>
      </c>
      <c r="BB18" s="105" t="n">
        <v>0</v>
      </c>
      <c r="BC18" s="105" t="n">
        <v>0</v>
      </c>
      <c r="BD18" s="105" t="n">
        <v>0</v>
      </c>
      <c r="BE18" s="105" t="n">
        <v>0</v>
      </c>
      <c r="BF18" s="105" t="n">
        <v>0</v>
      </c>
      <c r="BG18" s="105" t="n">
        <v>0</v>
      </c>
      <c r="BH18" s="105" t="n">
        <v>0</v>
      </c>
      <c r="BI18" s="105" t="n">
        <v>0</v>
      </c>
      <c r="BJ18" s="105" t="n">
        <v>0</v>
      </c>
      <c r="BK18" s="105" t="n">
        <v>0</v>
      </c>
      <c r="BL18" s="105" t="n">
        <v>0</v>
      </c>
      <c r="BM18" s="105" t="n">
        <v>0</v>
      </c>
      <c r="BN18" s="105" t="n">
        <v>0</v>
      </c>
      <c r="BO18" s="105" t="n">
        <v>0</v>
      </c>
      <c r="BP18" s="105" t="n">
        <v>0</v>
      </c>
      <c r="BQ18" s="105" t="n">
        <v>30</v>
      </c>
      <c r="BR18" s="106" t="n">
        <f aca="false">SUM(AP18:BQ18)/60</f>
        <v>1.16666666666667</v>
      </c>
      <c r="BS18" s="106" t="n">
        <f aca="false">SUM(AP18:BR18)/60</f>
        <v>1.18611111111111</v>
      </c>
      <c r="BT18" s="107"/>
      <c r="BU18" s="107"/>
      <c r="BV18" s="107"/>
      <c r="BW18" s="107"/>
      <c r="BX18" s="107"/>
      <c r="BY18" s="107"/>
      <c r="BZ18" s="107"/>
      <c r="CA18" s="107"/>
      <c r="CB18" s="107"/>
      <c r="CC18" s="107"/>
      <c r="CD18" s="107"/>
      <c r="CE18" s="107"/>
      <c r="CF18" s="107"/>
      <c r="CG18" s="107"/>
      <c r="CH18" s="107"/>
      <c r="CI18" s="107"/>
      <c r="CJ18" s="107"/>
      <c r="CK18" s="107"/>
      <c r="CL18" s="107"/>
      <c r="CM18" s="107"/>
      <c r="CN18" s="107"/>
      <c r="CO18" s="107"/>
      <c r="CP18" s="107"/>
      <c r="CQ18" s="107"/>
      <c r="CR18" s="107"/>
      <c r="CS18" s="107"/>
      <c r="CT18" s="107"/>
      <c r="CU18" s="107"/>
      <c r="CV18" s="107"/>
    </row>
    <row r="19" s="74" customFormat="true" ht="15" hidden="true" customHeight="true" outlineLevel="0" collapsed="false">
      <c r="A19" s="74" t="n">
        <f aca="false">MONTH(B19)</f>
        <v>8</v>
      </c>
      <c r="B19" s="75" t="n">
        <v>44412</v>
      </c>
      <c r="C19" s="76" t="s">
        <v>51</v>
      </c>
      <c r="D19" s="77" t="str">
        <f aca="false">IFERROR(VLOOKUP(E:E,'Item Data Support Sheet'!A:O,7,0),"")</f>
        <v>BOTTLE MOLDED</v>
      </c>
      <c r="E19" s="108" t="s">
        <v>78</v>
      </c>
      <c r="F19" s="78" t="s">
        <v>144</v>
      </c>
      <c r="G19" s="77" t="s">
        <v>80</v>
      </c>
      <c r="H19" s="79" t="str">
        <f aca="false">IFERROR(VLOOKUP(E:E,'Item Data Support Sheet'!A:O,2,0),"")</f>
        <v>RPP 120 ML BOTTLE MOLDED</v>
      </c>
      <c r="I19" s="80" t="s">
        <v>179</v>
      </c>
      <c r="J19" s="80" t="s">
        <v>143</v>
      </c>
      <c r="K19" s="81" t="n">
        <v>8</v>
      </c>
      <c r="L19" s="82" t="n">
        <v>2574</v>
      </c>
      <c r="M19" s="83" t="n">
        <f aca="false">IFERROR(L19/K19,0)</f>
        <v>321.75</v>
      </c>
      <c r="N19" s="84" t="n">
        <f aca="false">+O19+Q19+T19+U19</f>
        <v>2808</v>
      </c>
      <c r="O19" s="85" t="n">
        <f aca="false">15*180</f>
        <v>2700</v>
      </c>
      <c r="P19" s="86" t="n">
        <v>0</v>
      </c>
      <c r="Q19" s="87" t="n">
        <v>42</v>
      </c>
      <c r="R19" s="88" t="n">
        <v>0</v>
      </c>
      <c r="S19" s="88" t="n">
        <v>0</v>
      </c>
      <c r="T19" s="88" t="n">
        <v>58</v>
      </c>
      <c r="U19" s="88" t="n">
        <v>8</v>
      </c>
      <c r="V19" s="89" t="n">
        <v>1</v>
      </c>
      <c r="W19" s="90" t="n">
        <f aca="false">IFERROR(O19/V19,0)</f>
        <v>2700</v>
      </c>
      <c r="X19" s="91" t="n">
        <f aca="false">O19/L19</f>
        <v>1.04895104895105</v>
      </c>
      <c r="Y19" s="92" t="str">
        <f aca="false">IFERROR(VLOOKUP(E:E,'Item Data Support Sheet'!A:J,6,0),0)</f>
        <v>HMC</v>
      </c>
      <c r="Z19" s="93" t="n">
        <f aca="false">IFERROR(VLOOKUP(E:E,'Item Data Support Sheet'!A:O,4,0),0)</f>
        <v>21.3</v>
      </c>
      <c r="AA19" s="93" t="n">
        <f aca="false">IFERROR(((N19)*(Z19/1000))+P19,0)</f>
        <v>59.8104</v>
      </c>
      <c r="AB19" s="94" t="n">
        <f aca="false">IFERROR((O19*(Z19/1000)/(AA19))," ")</f>
        <v>0.961538461538461</v>
      </c>
      <c r="AC19" s="95" t="n">
        <f aca="false">IFERROR((T19)/((T19)+O19),0)</f>
        <v>0.0210297316896302</v>
      </c>
      <c r="AD19" s="96" t="n">
        <f aca="false">IFERROR(Q19/(Q19+N19),0)</f>
        <v>0.0147368421052632</v>
      </c>
      <c r="AE19" s="91" t="n">
        <f aca="false">(N19-T19)/N19</f>
        <v>0.979344729344729</v>
      </c>
      <c r="AF19" s="97" t="n">
        <f aca="false">BR19</f>
        <v>0.5</v>
      </c>
      <c r="AG19" s="98" t="n">
        <f aca="false">K19-AF19</f>
        <v>7.5</v>
      </c>
      <c r="AH19" s="99" t="n">
        <f aca="false">IFERROR(AG19/K19," ")</f>
        <v>0.9375</v>
      </c>
      <c r="AI19" s="100" t="n">
        <f aca="false">IFERROR(O19/K19,0)</f>
        <v>337.5</v>
      </c>
      <c r="AJ19" s="101" t="n">
        <f aca="false">VLOOKUP(D19,'Standard Cycle time'!C:D,2,0)</f>
        <v>9</v>
      </c>
      <c r="AK19" s="101" t="n">
        <f aca="false">AG19*V19*3600/O19</f>
        <v>10</v>
      </c>
      <c r="AL19" s="102" t="n">
        <f aca="false">AJ19/AK19</f>
        <v>0.9</v>
      </c>
      <c r="AM19" s="99" t="n">
        <f aca="false">AE19*AL19*AH19</f>
        <v>0.826322115384615</v>
      </c>
      <c r="AN19" s="103" t="n">
        <v>2193</v>
      </c>
      <c r="AO19" s="110" t="s">
        <v>180</v>
      </c>
      <c r="AP19" s="105" t="n">
        <v>0</v>
      </c>
      <c r="AQ19" s="105" t="n">
        <v>0</v>
      </c>
      <c r="AR19" s="105" t="n">
        <v>0</v>
      </c>
      <c r="AS19" s="105" t="n">
        <v>0</v>
      </c>
      <c r="AT19" s="105" t="n">
        <v>0</v>
      </c>
      <c r="AU19" s="105" t="n">
        <v>0</v>
      </c>
      <c r="AV19" s="105" t="n">
        <v>0</v>
      </c>
      <c r="AW19" s="105" t="n">
        <v>30</v>
      </c>
      <c r="AX19" s="105" t="n">
        <v>0</v>
      </c>
      <c r="AY19" s="105" t="n">
        <v>0</v>
      </c>
      <c r="AZ19" s="105" t="n">
        <v>0</v>
      </c>
      <c r="BA19" s="105" t="n">
        <v>0</v>
      </c>
      <c r="BB19" s="105" t="n">
        <v>0</v>
      </c>
      <c r="BC19" s="105" t="n">
        <v>0</v>
      </c>
      <c r="BD19" s="105" t="n">
        <v>0</v>
      </c>
      <c r="BE19" s="105" t="n">
        <v>0</v>
      </c>
      <c r="BF19" s="105" t="n">
        <v>0</v>
      </c>
      <c r="BG19" s="105" t="n">
        <v>0</v>
      </c>
      <c r="BH19" s="105" t="n">
        <v>0</v>
      </c>
      <c r="BI19" s="105" t="n">
        <v>0</v>
      </c>
      <c r="BJ19" s="105" t="n">
        <v>0</v>
      </c>
      <c r="BK19" s="105" t="n">
        <v>0</v>
      </c>
      <c r="BL19" s="105" t="n">
        <v>0</v>
      </c>
      <c r="BM19" s="105" t="n">
        <v>0</v>
      </c>
      <c r="BN19" s="105" t="n">
        <v>0</v>
      </c>
      <c r="BO19" s="105" t="n">
        <v>0</v>
      </c>
      <c r="BP19" s="105" t="n">
        <v>0</v>
      </c>
      <c r="BQ19" s="105" t="n">
        <v>0</v>
      </c>
      <c r="BR19" s="106" t="n">
        <f aca="false">SUM(AP19:BQ19)/60</f>
        <v>0.5</v>
      </c>
      <c r="BS19" s="106" t="n">
        <f aca="false">SUM(AP19:BR19)/60</f>
        <v>0.508333333333333</v>
      </c>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row>
    <row r="20" s="74" customFormat="true" ht="15" hidden="true" customHeight="true" outlineLevel="0" collapsed="false">
      <c r="A20" s="74" t="n">
        <f aca="false">MONTH(B20)</f>
        <v>8</v>
      </c>
      <c r="B20" s="75" t="n">
        <v>44412</v>
      </c>
      <c r="C20" s="76" t="s">
        <v>51</v>
      </c>
      <c r="D20" s="77" t="str">
        <f aca="false">IFERROR(VLOOKUP(E:E,'Item Data Support Sheet'!A:O,7,0),"")</f>
        <v>NIPPLE MOLDED</v>
      </c>
      <c r="E20" s="78" t="s">
        <v>136</v>
      </c>
      <c r="F20" s="78" t="s">
        <v>137</v>
      </c>
      <c r="G20" s="77" t="s">
        <v>138</v>
      </c>
      <c r="H20" s="79" t="str">
        <f aca="false">IFERROR(VLOOKUP(E:E,'Item Data Support Sheet'!A:O,2,0),"")</f>
        <v>NIPPLE S TYPE M SIZE INJECTION</v>
      </c>
      <c r="I20" s="80" t="s">
        <v>181</v>
      </c>
      <c r="J20" s="80" t="s">
        <v>143</v>
      </c>
      <c r="K20" s="81" t="n">
        <v>8</v>
      </c>
      <c r="L20" s="82" t="n">
        <v>4815</v>
      </c>
      <c r="M20" s="83" t="n">
        <f aca="false">IFERROR(L20/K20,0)</f>
        <v>601.875</v>
      </c>
      <c r="N20" s="84" t="n">
        <f aca="false">+O20+Q20+T20+U20</f>
        <v>5680</v>
      </c>
      <c r="O20" s="85" t="n">
        <v>5600</v>
      </c>
      <c r="P20" s="86" t="n">
        <v>0</v>
      </c>
      <c r="Q20" s="87" t="n">
        <v>30</v>
      </c>
      <c r="R20" s="88" t="n">
        <v>0</v>
      </c>
      <c r="S20" s="88" t="n">
        <v>0</v>
      </c>
      <c r="T20" s="88" t="n">
        <v>42</v>
      </c>
      <c r="U20" s="88" t="n">
        <v>8</v>
      </c>
      <c r="V20" s="89" t="n">
        <v>1</v>
      </c>
      <c r="W20" s="90" t="n">
        <f aca="false">IFERROR(O20/V20,0)</f>
        <v>5600</v>
      </c>
      <c r="X20" s="91" t="n">
        <f aca="false">O20/L20</f>
        <v>1.16303219106957</v>
      </c>
      <c r="Y20" s="92" t="str">
        <f aca="false">IFERROR(VLOOKUP(E:E,'Item Data Support Sheet'!A:J,6,0),0)</f>
        <v>Silicon</v>
      </c>
      <c r="Z20" s="93" t="n">
        <f aca="false">IFERROR(VLOOKUP(E:E,'Item Data Support Sheet'!A:O,4,0),0)</f>
        <v>6.8</v>
      </c>
      <c r="AA20" s="93" t="n">
        <f aca="false">IFERROR(((N20)*(Z20/1000))+P20,0)</f>
        <v>38.624</v>
      </c>
      <c r="AB20" s="94" t="n">
        <f aca="false">IFERROR((O20*(Z20/1000)/(AA20))," ")</f>
        <v>0.985915492957747</v>
      </c>
      <c r="AC20" s="95" t="n">
        <f aca="false">IFERROR((T20)/((T20)+O20),0)</f>
        <v>0.00744416873449132</v>
      </c>
      <c r="AD20" s="96" t="n">
        <f aca="false">IFERROR(Q20/(Q20+N20),0)</f>
        <v>0.00525394045534151</v>
      </c>
      <c r="AE20" s="91" t="n">
        <f aca="false">(N20-T20)/N20</f>
        <v>0.992605633802817</v>
      </c>
      <c r="AF20" s="97" t="n">
        <f aca="false">BR20</f>
        <v>0</v>
      </c>
      <c r="AG20" s="98" t="n">
        <f aca="false">K20-AF20</f>
        <v>8</v>
      </c>
      <c r="AH20" s="99" t="n">
        <f aca="false">IFERROR(AG20/K20," ")</f>
        <v>1</v>
      </c>
      <c r="AI20" s="100" t="n">
        <f aca="false">IFERROR(O20/K20,0)</f>
        <v>700</v>
      </c>
      <c r="AJ20" s="101" t="n">
        <f aca="false">VLOOKUP(D20,'Standard Cycle time'!C:D,2,0)</f>
        <v>5.25</v>
      </c>
      <c r="AK20" s="101" t="n">
        <f aca="false">AG20*V20*3600/O20</f>
        <v>5.14285714285714</v>
      </c>
      <c r="AL20" s="102" t="n">
        <f aca="false">AJ20/AK20</f>
        <v>1.02083333333333</v>
      </c>
      <c r="AM20" s="99" t="n">
        <f aca="false">AE20*AL20*AH20</f>
        <v>1.01328491784038</v>
      </c>
      <c r="AN20" s="103" t="n">
        <v>2194</v>
      </c>
      <c r="AO20" s="104"/>
      <c r="AP20" s="105" t="n">
        <v>0</v>
      </c>
      <c r="AQ20" s="105" t="n">
        <v>0</v>
      </c>
      <c r="AR20" s="105" t="n">
        <v>0</v>
      </c>
      <c r="AS20" s="105" t="n">
        <v>0</v>
      </c>
      <c r="AT20" s="105" t="n">
        <v>0</v>
      </c>
      <c r="AU20" s="105" t="n">
        <v>0</v>
      </c>
      <c r="AV20" s="105" t="n">
        <v>0</v>
      </c>
      <c r="AW20" s="105" t="n">
        <v>0</v>
      </c>
      <c r="AX20" s="105" t="n">
        <v>0</v>
      </c>
      <c r="AY20" s="105" t="n">
        <v>0</v>
      </c>
      <c r="AZ20" s="105" t="n">
        <v>0</v>
      </c>
      <c r="BA20" s="105" t="n">
        <v>0</v>
      </c>
      <c r="BB20" s="105" t="n">
        <v>0</v>
      </c>
      <c r="BC20" s="105" t="n">
        <v>0</v>
      </c>
      <c r="BD20" s="105" t="n">
        <v>0</v>
      </c>
      <c r="BE20" s="105" t="n">
        <v>0</v>
      </c>
      <c r="BF20" s="105" t="n">
        <v>0</v>
      </c>
      <c r="BG20" s="105" t="n">
        <v>0</v>
      </c>
      <c r="BH20" s="105" t="n">
        <v>0</v>
      </c>
      <c r="BI20" s="105" t="n">
        <v>0</v>
      </c>
      <c r="BJ20" s="105" t="n">
        <v>0</v>
      </c>
      <c r="BK20" s="105" t="n">
        <v>0</v>
      </c>
      <c r="BL20" s="105" t="n">
        <v>0</v>
      </c>
      <c r="BM20" s="105" t="n">
        <v>0</v>
      </c>
      <c r="BN20" s="105" t="n">
        <v>0</v>
      </c>
      <c r="BO20" s="105" t="n">
        <v>0</v>
      </c>
      <c r="BP20" s="105" t="n">
        <v>0</v>
      </c>
      <c r="BQ20" s="105" t="n">
        <v>0</v>
      </c>
      <c r="BR20" s="106" t="n">
        <f aca="false">SUM(AP20:BQ20)/60</f>
        <v>0</v>
      </c>
      <c r="BS20" s="106" t="n">
        <f aca="false">SUM(AP20:BR20)/60</f>
        <v>0</v>
      </c>
      <c r="BT20" s="107"/>
      <c r="BU20" s="107"/>
      <c r="BV20" s="107"/>
      <c r="BW20" s="107"/>
      <c r="BX20" s="107"/>
      <c r="BY20" s="107"/>
      <c r="BZ20" s="107"/>
      <c r="CA20" s="107"/>
      <c r="CB20" s="107"/>
      <c r="CC20" s="107"/>
      <c r="CD20" s="107"/>
      <c r="CE20" s="107"/>
      <c r="CF20" s="107"/>
      <c r="CG20" s="107"/>
      <c r="CH20" s="107"/>
      <c r="CI20" s="107"/>
      <c r="CJ20" s="107"/>
      <c r="CK20" s="107"/>
      <c r="CL20" s="107"/>
      <c r="CM20" s="107"/>
      <c r="CN20" s="107"/>
      <c r="CO20" s="107"/>
      <c r="CP20" s="107"/>
      <c r="CQ20" s="107"/>
      <c r="CR20" s="107"/>
      <c r="CS20" s="107"/>
      <c r="CT20" s="107"/>
      <c r="CU20" s="107"/>
      <c r="CV20" s="107"/>
    </row>
    <row r="21" s="74" customFormat="true" ht="15" hidden="true" customHeight="true" outlineLevel="0" collapsed="false">
      <c r="A21" s="74" t="n">
        <f aca="false">MONTH(B21)</f>
        <v>8</v>
      </c>
      <c r="B21" s="75" t="n">
        <v>44412</v>
      </c>
      <c r="C21" s="76" t="s">
        <v>63</v>
      </c>
      <c r="D21" s="77" t="str">
        <f aca="false">IFERROR(VLOOKUP(E:E,'Item Data Support Sheet'!A:O,7,0),"")</f>
        <v>NIPPLE PUNCH INSPECTED</v>
      </c>
      <c r="E21" s="108" t="s">
        <v>182</v>
      </c>
      <c r="F21" s="78"/>
      <c r="G21" s="77"/>
      <c r="H21" s="79" t="str">
        <f aca="false">IFERROR(VLOOKUP(E:E,'Item Data Support Sheet'!A:O,2,0),"")</f>
        <v>NIPPLE S TYPE M SIZE PUNCHED INSPECTED</v>
      </c>
      <c r="I21" s="80" t="s">
        <v>159</v>
      </c>
      <c r="J21" s="80" t="s">
        <v>158</v>
      </c>
      <c r="K21" s="81" t="n">
        <v>8.5</v>
      </c>
      <c r="L21" s="82" t="n">
        <v>9000</v>
      </c>
      <c r="M21" s="83" t="n">
        <f aca="false">IFERROR(L21/K21,0)</f>
        <v>1058.82352941176</v>
      </c>
      <c r="N21" s="84" t="n">
        <f aca="false">+O21+Q21+T21+U21</f>
        <v>9027</v>
      </c>
      <c r="O21" s="85" t="n">
        <v>8994</v>
      </c>
      <c r="P21" s="86" t="n">
        <v>0</v>
      </c>
      <c r="Q21" s="87" t="n">
        <v>0</v>
      </c>
      <c r="R21" s="88" t="n">
        <v>0</v>
      </c>
      <c r="S21" s="88" t="n">
        <v>0</v>
      </c>
      <c r="T21" s="88" t="n">
        <v>33</v>
      </c>
      <c r="U21" s="88" t="n">
        <v>0</v>
      </c>
      <c r="V21" s="89" t="n">
        <v>1</v>
      </c>
      <c r="W21" s="90" t="n">
        <f aca="false">IFERROR(O21/V21,0)</f>
        <v>8994</v>
      </c>
      <c r="X21" s="91" t="n">
        <f aca="false">O21/L21</f>
        <v>0.999333333333333</v>
      </c>
      <c r="Y21" s="92" t="str">
        <f aca="false">IFERROR(VLOOKUP(E:E,'Item Data Support Sheet'!A:J,6,0),0)</f>
        <v>FO105</v>
      </c>
      <c r="Z21" s="93" t="n">
        <f aca="false">IFERROR(VLOOKUP(E:E,'Item Data Support Sheet'!A:O,4,0),0)</f>
        <v>0</v>
      </c>
      <c r="AA21" s="93" t="n">
        <f aca="false">IFERROR(((N21)*(Z21/1000))+P21,0)</f>
        <v>0</v>
      </c>
      <c r="AB21" s="94" t="str">
        <f aca="false">IFERROR((O21*(Z21/1000)/(AA21))," ")</f>
        <v> </v>
      </c>
      <c r="AC21" s="95" t="n">
        <f aca="false">IFERROR((T21)/((T21)+O21),0)</f>
        <v>0.00365569956796278</v>
      </c>
      <c r="AD21" s="96" t="n">
        <f aca="false">IFERROR(Q21/(Q21+N21),0)</f>
        <v>0</v>
      </c>
      <c r="AE21" s="91" t="n">
        <f aca="false">(N21-T21)/N21</f>
        <v>0.996344300432037</v>
      </c>
      <c r="AF21" s="97" t="n">
        <f aca="false">BR21</f>
        <v>1.83333333333333</v>
      </c>
      <c r="AG21" s="98" t="n">
        <f aca="false">K21-AF21</f>
        <v>6.66666666666667</v>
      </c>
      <c r="AH21" s="99" t="n">
        <f aca="false">IFERROR(AG21/K21," ")</f>
        <v>0.784313725490196</v>
      </c>
      <c r="AI21" s="100" t="n">
        <f aca="false">IFERROR(O21/K21,0)</f>
        <v>1058.11764705882</v>
      </c>
      <c r="AJ21" s="101" t="n">
        <f aca="false">VLOOKUP(D21,'Standard Cycle time'!C:D,2,0)</f>
        <v>4</v>
      </c>
      <c r="AK21" s="101" t="n">
        <f aca="false">AG21*V21*3600/O21</f>
        <v>2.66844563042028</v>
      </c>
      <c r="AL21" s="102" t="n">
        <f aca="false">AJ21/AK21</f>
        <v>1.499</v>
      </c>
      <c r="AM21" s="99" t="n">
        <f aca="false">AE21*AL21*AH21</f>
        <v>1.17138831870402</v>
      </c>
      <c r="AN21" s="103" t="s">
        <v>183</v>
      </c>
      <c r="AO21" s="109" t="s">
        <v>184</v>
      </c>
      <c r="AP21" s="105" t="n">
        <v>50</v>
      </c>
      <c r="AQ21" s="105" t="n">
        <v>0</v>
      </c>
      <c r="AR21" s="105" t="n">
        <v>0</v>
      </c>
      <c r="AS21" s="105" t="n">
        <v>60</v>
      </c>
      <c r="AT21" s="105" t="n">
        <v>0</v>
      </c>
      <c r="AU21" s="105" t="n">
        <v>0</v>
      </c>
      <c r="AV21" s="105" t="n">
        <v>0</v>
      </c>
      <c r="AW21" s="105" t="n">
        <v>0</v>
      </c>
      <c r="AX21" s="105" t="n">
        <v>0</v>
      </c>
      <c r="AY21" s="105" t="n">
        <v>0</v>
      </c>
      <c r="AZ21" s="105" t="n">
        <v>0</v>
      </c>
      <c r="BA21" s="105" t="n">
        <v>0</v>
      </c>
      <c r="BB21" s="105" t="n">
        <v>0</v>
      </c>
      <c r="BC21" s="105" t="n">
        <v>0</v>
      </c>
      <c r="BD21" s="105" t="n">
        <v>0</v>
      </c>
      <c r="BE21" s="105" t="n">
        <v>0</v>
      </c>
      <c r="BF21" s="105" t="n">
        <v>0</v>
      </c>
      <c r="BG21" s="105" t="n">
        <v>0</v>
      </c>
      <c r="BH21" s="105" t="n">
        <v>0</v>
      </c>
      <c r="BI21" s="105" t="n">
        <v>0</v>
      </c>
      <c r="BJ21" s="105" t="n">
        <v>0</v>
      </c>
      <c r="BK21" s="105" t="n">
        <v>0</v>
      </c>
      <c r="BL21" s="105" t="n">
        <v>0</v>
      </c>
      <c r="BM21" s="105" t="n">
        <v>0</v>
      </c>
      <c r="BN21" s="105" t="n">
        <v>0</v>
      </c>
      <c r="BO21" s="105" t="n">
        <v>0</v>
      </c>
      <c r="BP21" s="105" t="n">
        <v>0</v>
      </c>
      <c r="BQ21" s="105" t="n">
        <v>0</v>
      </c>
      <c r="BR21" s="106" t="n">
        <f aca="false">SUM(AP21:BQ21)/60</f>
        <v>1.83333333333333</v>
      </c>
      <c r="BS21" s="106" t="n">
        <f aca="false">SUM(AP21:BR21)/60</f>
        <v>1.86388888888889</v>
      </c>
      <c r="BT21" s="107"/>
      <c r="BU21" s="107"/>
      <c r="BV21" s="107"/>
      <c r="BW21" s="107"/>
      <c r="BX21" s="107"/>
      <c r="BY21" s="107"/>
      <c r="BZ21" s="107"/>
      <c r="CA21" s="107"/>
      <c r="CB21" s="107"/>
      <c r="CC21" s="107"/>
      <c r="CD21" s="107"/>
      <c r="CE21" s="107"/>
      <c r="CF21" s="107"/>
      <c r="CG21" s="107"/>
      <c r="CH21" s="107"/>
      <c r="CI21" s="107"/>
      <c r="CJ21" s="107"/>
      <c r="CK21" s="107"/>
      <c r="CL21" s="107"/>
      <c r="CM21" s="107"/>
      <c r="CN21" s="107"/>
      <c r="CO21" s="107"/>
      <c r="CP21" s="107"/>
      <c r="CQ21" s="107"/>
      <c r="CR21" s="107"/>
      <c r="CS21" s="107"/>
      <c r="CT21" s="107"/>
      <c r="CU21" s="107"/>
      <c r="CV21" s="107"/>
    </row>
    <row r="22" s="74" customFormat="true" ht="15" hidden="true" customHeight="true" outlineLevel="0" collapsed="false">
      <c r="A22" s="74" t="n">
        <f aca="false">MONTH(B22)</f>
        <v>8</v>
      </c>
      <c r="B22" s="75" t="n">
        <v>44412</v>
      </c>
      <c r="C22" s="76" t="s">
        <v>70</v>
      </c>
      <c r="D22" s="77" t="str">
        <f aca="false">IFERROR(VLOOKUP(E:E,'Item Data Support Sheet'!A:O,7,0),"")</f>
        <v>BOTTLE MOLDED</v>
      </c>
      <c r="E22" s="108" t="s">
        <v>78</v>
      </c>
      <c r="F22" s="78" t="s">
        <v>79</v>
      </c>
      <c r="G22" s="77" t="s">
        <v>80</v>
      </c>
      <c r="H22" s="79" t="str">
        <f aca="false">IFERROR(VLOOKUP(E:E,'Item Data Support Sheet'!A:O,2,0),"")</f>
        <v>RPP 120 ML BOTTLE MOLDED</v>
      </c>
      <c r="I22" s="80" t="s">
        <v>185</v>
      </c>
      <c r="J22" s="80" t="s">
        <v>140</v>
      </c>
      <c r="K22" s="81" t="n">
        <v>3</v>
      </c>
      <c r="L22" s="82" t="n">
        <v>1600</v>
      </c>
      <c r="M22" s="83" t="n">
        <f aca="false">IFERROR(L22/K22,0)</f>
        <v>533.333333333333</v>
      </c>
      <c r="N22" s="84" t="n">
        <f aca="false">+O22+Q22+T22+U22</f>
        <v>1186</v>
      </c>
      <c r="O22" s="85" t="n">
        <f aca="false">6*180</f>
        <v>1080</v>
      </c>
      <c r="P22" s="86" t="n">
        <v>0.3</v>
      </c>
      <c r="Q22" s="87" t="n">
        <v>72</v>
      </c>
      <c r="R22" s="88" t="n">
        <v>0</v>
      </c>
      <c r="S22" s="88" t="n">
        <v>0</v>
      </c>
      <c r="T22" s="88" t="n">
        <f aca="false">106-72</f>
        <v>34</v>
      </c>
      <c r="U22" s="88" t="n">
        <v>0</v>
      </c>
      <c r="V22" s="89" t="n">
        <v>1</v>
      </c>
      <c r="W22" s="90" t="n">
        <f aca="false">IFERROR(O22/V22,0)</f>
        <v>1080</v>
      </c>
      <c r="X22" s="91" t="n">
        <f aca="false">O22/L22</f>
        <v>0.675</v>
      </c>
      <c r="Y22" s="92" t="str">
        <f aca="false">IFERROR(VLOOKUP(E:E,'Item Data Support Sheet'!A:J,6,0),0)</f>
        <v>HMC</v>
      </c>
      <c r="Z22" s="93" t="n">
        <f aca="false">IFERROR(VLOOKUP(E:E,'Item Data Support Sheet'!A:O,4,0),0)</f>
        <v>21.3</v>
      </c>
      <c r="AA22" s="93" t="n">
        <f aca="false">IFERROR(((N22)*(Z22/1000))+P22,0)</f>
        <v>25.5618</v>
      </c>
      <c r="AB22" s="94" t="n">
        <f aca="false">IFERROR((O22*(Z22/1000)/(AA22))," ")</f>
        <v>0.899936624181395</v>
      </c>
      <c r="AC22" s="95" t="n">
        <f aca="false">IFERROR((T22)/((T22)+O22),0)</f>
        <v>0.0305206463195691</v>
      </c>
      <c r="AD22" s="96" t="n">
        <f aca="false">IFERROR(Q22/(Q22+N22),0)</f>
        <v>0.0572337042925278</v>
      </c>
      <c r="AE22" s="91" t="n">
        <f aca="false">(N22-T22)/N22</f>
        <v>0.971332209106239</v>
      </c>
      <c r="AF22" s="97" t="n">
        <f aca="false">BR22</f>
        <v>0</v>
      </c>
      <c r="AG22" s="98" t="n">
        <f aca="false">K22-AF22</f>
        <v>3</v>
      </c>
      <c r="AH22" s="99" t="n">
        <f aca="false">IFERROR(AG22/K22," ")</f>
        <v>1</v>
      </c>
      <c r="AI22" s="100" t="n">
        <f aca="false">IFERROR(O22/K22,0)</f>
        <v>360</v>
      </c>
      <c r="AJ22" s="101" t="n">
        <f aca="false">VLOOKUP(D22,'Standard Cycle time'!C:D,2,0)</f>
        <v>9</v>
      </c>
      <c r="AK22" s="101" t="n">
        <f aca="false">AG22*V22*3600/O22</f>
        <v>10</v>
      </c>
      <c r="AL22" s="102" t="n">
        <f aca="false">AJ22/AK22</f>
        <v>0.9</v>
      </c>
      <c r="AM22" s="99" t="n">
        <f aca="false">AE22*AL22*AH22</f>
        <v>0.874198988195615</v>
      </c>
      <c r="AN22" s="103" t="n">
        <v>2201</v>
      </c>
      <c r="AO22" s="104" t="s">
        <v>186</v>
      </c>
      <c r="AP22" s="105"/>
      <c r="AQ22" s="105" t="n">
        <v>0</v>
      </c>
      <c r="AR22" s="105" t="n">
        <v>0</v>
      </c>
      <c r="AS22" s="105" t="n">
        <v>0</v>
      </c>
      <c r="AT22" s="105" t="n">
        <v>0</v>
      </c>
      <c r="AU22" s="105" t="n">
        <v>0</v>
      </c>
      <c r="AV22" s="105" t="n">
        <v>0</v>
      </c>
      <c r="AW22" s="105" t="n">
        <v>0</v>
      </c>
      <c r="AX22" s="105" t="n">
        <v>0</v>
      </c>
      <c r="AY22" s="105" t="n">
        <v>0</v>
      </c>
      <c r="AZ22" s="105" t="n">
        <v>0</v>
      </c>
      <c r="BA22" s="105" t="n">
        <v>0</v>
      </c>
      <c r="BB22" s="105" t="n">
        <v>0</v>
      </c>
      <c r="BC22" s="105" t="n">
        <v>0</v>
      </c>
      <c r="BD22" s="105" t="n">
        <v>0</v>
      </c>
      <c r="BE22" s="105" t="n">
        <v>0</v>
      </c>
      <c r="BF22" s="105" t="n">
        <v>0</v>
      </c>
      <c r="BG22" s="105" t="n">
        <v>0</v>
      </c>
      <c r="BH22" s="105" t="n">
        <v>0</v>
      </c>
      <c r="BI22" s="105" t="n">
        <v>0</v>
      </c>
      <c r="BJ22" s="105" t="n">
        <v>0</v>
      </c>
      <c r="BK22" s="105" t="n">
        <v>0</v>
      </c>
      <c r="BL22" s="105" t="n">
        <v>0</v>
      </c>
      <c r="BM22" s="105" t="n">
        <v>0</v>
      </c>
      <c r="BN22" s="105" t="n">
        <v>0</v>
      </c>
      <c r="BO22" s="105" t="n">
        <v>0</v>
      </c>
      <c r="BP22" s="105" t="n">
        <v>0</v>
      </c>
      <c r="BQ22" s="105" t="n">
        <v>0</v>
      </c>
      <c r="BR22" s="106" t="n">
        <f aca="false">SUM(AP22:BQ22)/60</f>
        <v>0</v>
      </c>
      <c r="BS22" s="106" t="n">
        <f aca="false">SUM(AP22:BR22)/60</f>
        <v>0</v>
      </c>
      <c r="BT22" s="107"/>
      <c r="BU22" s="107"/>
      <c r="BV22" s="107"/>
      <c r="BW22" s="107"/>
      <c r="BX22" s="107"/>
      <c r="BY22" s="107"/>
      <c r="BZ22" s="107"/>
      <c r="CA22" s="107"/>
      <c r="CB22" s="107"/>
      <c r="CC22" s="107"/>
      <c r="CD22" s="107"/>
      <c r="CE22" s="107"/>
      <c r="CF22" s="107"/>
      <c r="CG22" s="107"/>
      <c r="CH22" s="107"/>
      <c r="CI22" s="107"/>
      <c r="CJ22" s="107"/>
      <c r="CK22" s="107"/>
      <c r="CL22" s="107"/>
      <c r="CM22" s="107"/>
      <c r="CN22" s="107"/>
      <c r="CO22" s="107"/>
      <c r="CP22" s="107"/>
      <c r="CQ22" s="107"/>
      <c r="CR22" s="107"/>
      <c r="CS22" s="107"/>
      <c r="CT22" s="107"/>
      <c r="CU22" s="107"/>
      <c r="CV22" s="107"/>
    </row>
    <row r="23" s="74" customFormat="true" ht="15" hidden="true" customHeight="true" outlineLevel="0" collapsed="false">
      <c r="A23" s="74" t="n">
        <f aca="false">MONTH(B23)</f>
        <v>8</v>
      </c>
      <c r="B23" s="75" t="n">
        <v>44412</v>
      </c>
      <c r="C23" s="76" t="s">
        <v>70</v>
      </c>
      <c r="D23" s="77" t="str">
        <f aca="false">IFERROR(VLOOKUP(E:E,'Item Data Support Sheet'!A:O,7,0),"")</f>
        <v>NIPPLE PUNCH</v>
      </c>
      <c r="E23" s="108" t="s">
        <v>60</v>
      </c>
      <c r="F23" s="80"/>
      <c r="G23" s="77" t="s">
        <v>54</v>
      </c>
      <c r="H23" s="79" t="str">
        <f aca="false">IFERROR(VLOOKUP(E:E,'Item Data Support Sheet'!A:O,2,0),"")</f>
        <v>NIPPLE S TYPE M SIZE PUNCHED</v>
      </c>
      <c r="I23" s="80" t="s">
        <v>187</v>
      </c>
      <c r="J23" s="80" t="s">
        <v>140</v>
      </c>
      <c r="K23" s="81" t="n">
        <v>8</v>
      </c>
      <c r="L23" s="82" t="n">
        <v>7036</v>
      </c>
      <c r="M23" s="83" t="n">
        <f aca="false">IFERROR(L23/K23,0)</f>
        <v>879.5</v>
      </c>
      <c r="N23" s="84" t="n">
        <f aca="false">+O23+Q23+T23+U23</f>
        <v>7420</v>
      </c>
      <c r="O23" s="85" t="n">
        <v>7400</v>
      </c>
      <c r="P23" s="86" t="n">
        <v>0</v>
      </c>
      <c r="Q23" s="87" t="n">
        <v>0</v>
      </c>
      <c r="R23" s="88" t="n">
        <v>0</v>
      </c>
      <c r="S23" s="88" t="n">
        <v>0</v>
      </c>
      <c r="T23" s="88" t="n">
        <v>20</v>
      </c>
      <c r="U23" s="88" t="n">
        <v>0</v>
      </c>
      <c r="V23" s="89" t="n">
        <v>1</v>
      </c>
      <c r="W23" s="90" t="n">
        <f aca="false">IFERROR(O23/V23,0)</f>
        <v>7400</v>
      </c>
      <c r="X23" s="91" t="n">
        <f aca="false">O23/L23</f>
        <v>1.05173393973849</v>
      </c>
      <c r="Y23" s="92" t="str">
        <f aca="false">IFERROR(VLOOKUP(E:E,'Item Data Support Sheet'!A:J,6,0),0)</f>
        <v>FO016</v>
      </c>
      <c r="Z23" s="93" t="n">
        <f aca="false">IFERROR(VLOOKUP(E:E,'Item Data Support Sheet'!A:O,4,0),0)</f>
        <v>0</v>
      </c>
      <c r="AA23" s="93" t="n">
        <f aca="false">IFERROR(((N23)*(Z23/1000))+P23,0)</f>
        <v>0</v>
      </c>
      <c r="AB23" s="94" t="str">
        <f aca="false">IFERROR((O23*(Z23/1000)/(AA23))," ")</f>
        <v> </v>
      </c>
      <c r="AC23" s="95" t="n">
        <f aca="false">IFERROR((T23)/((T23)+O23),0)</f>
        <v>0.00269541778975741</v>
      </c>
      <c r="AD23" s="96" t="n">
        <f aca="false">IFERROR(Q23/(Q23+N23),0)</f>
        <v>0</v>
      </c>
      <c r="AE23" s="91" t="n">
        <f aca="false">(N23-T23)/N23</f>
        <v>0.997304582210242</v>
      </c>
      <c r="AF23" s="97" t="n">
        <f aca="false">BR23</f>
        <v>0.666666666666667</v>
      </c>
      <c r="AG23" s="98" t="n">
        <f aca="false">K23-AF23</f>
        <v>7.33333333333333</v>
      </c>
      <c r="AH23" s="99" t="n">
        <f aca="false">IFERROR(AG23/K23," ")</f>
        <v>0.916666666666667</v>
      </c>
      <c r="AI23" s="100" t="n">
        <f aca="false">IFERROR(O23/K23,0)</f>
        <v>925</v>
      </c>
      <c r="AJ23" s="101" t="n">
        <f aca="false">VLOOKUP(D23,'Standard Cycle time'!C:D,2,0)</f>
        <v>3.5</v>
      </c>
      <c r="AK23" s="101" t="n">
        <f aca="false">AG23*V23*3600/O23</f>
        <v>3.56756756756757</v>
      </c>
      <c r="AL23" s="102" t="n">
        <f aca="false">AJ23/AK23</f>
        <v>0.981060606060606</v>
      </c>
      <c r="AM23" s="99" t="n">
        <f aca="false">AE23*AL23*AH23</f>
        <v>0.896881551362683</v>
      </c>
      <c r="AN23" s="103" t="s">
        <v>188</v>
      </c>
      <c r="AO23" s="109"/>
      <c r="AP23" s="105" t="n">
        <v>40</v>
      </c>
      <c r="AQ23" s="105" t="n">
        <v>0</v>
      </c>
      <c r="AR23" s="105" t="n">
        <v>0</v>
      </c>
      <c r="AS23" s="105" t="n">
        <v>0</v>
      </c>
      <c r="AT23" s="105" t="n">
        <v>0</v>
      </c>
      <c r="AU23" s="105" t="n">
        <v>0</v>
      </c>
      <c r="AV23" s="105" t="n">
        <v>0</v>
      </c>
      <c r="AW23" s="105" t="n">
        <v>0</v>
      </c>
      <c r="AX23" s="105" t="n">
        <v>0</v>
      </c>
      <c r="AY23" s="105" t="n">
        <v>0</v>
      </c>
      <c r="AZ23" s="105" t="n">
        <v>0</v>
      </c>
      <c r="BA23" s="105" t="n">
        <v>0</v>
      </c>
      <c r="BB23" s="105" t="n">
        <v>0</v>
      </c>
      <c r="BC23" s="105" t="n">
        <v>0</v>
      </c>
      <c r="BD23" s="105" t="n">
        <v>0</v>
      </c>
      <c r="BE23" s="105" t="n">
        <v>0</v>
      </c>
      <c r="BF23" s="105" t="n">
        <v>0</v>
      </c>
      <c r="BG23" s="105" t="n">
        <v>0</v>
      </c>
      <c r="BH23" s="105" t="n">
        <v>0</v>
      </c>
      <c r="BI23" s="105" t="n">
        <v>0</v>
      </c>
      <c r="BJ23" s="105" t="n">
        <v>0</v>
      </c>
      <c r="BK23" s="105" t="n">
        <v>0</v>
      </c>
      <c r="BL23" s="105" t="n">
        <v>0</v>
      </c>
      <c r="BM23" s="105" t="n">
        <v>0</v>
      </c>
      <c r="BN23" s="105" t="n">
        <v>0</v>
      </c>
      <c r="BO23" s="105" t="n">
        <v>0</v>
      </c>
      <c r="BP23" s="105" t="n">
        <v>0</v>
      </c>
      <c r="BQ23" s="105" t="n">
        <v>0</v>
      </c>
      <c r="BR23" s="106" t="n">
        <f aca="false">SUM(AP23:BQ23)/60</f>
        <v>0.666666666666667</v>
      </c>
      <c r="BS23" s="106" t="n">
        <f aca="false">SUM(AP23:BR23)/60</f>
        <v>0.677777777777778</v>
      </c>
      <c r="BT23" s="107"/>
      <c r="BU23" s="107"/>
      <c r="BV23" s="107"/>
      <c r="BW23" s="107"/>
      <c r="BX23" s="107"/>
      <c r="BY23" s="107"/>
      <c r="BZ23" s="107"/>
      <c r="CA23" s="107"/>
      <c r="CB23" s="107"/>
      <c r="CC23" s="107"/>
      <c r="CD23" s="107"/>
      <c r="CE23" s="107"/>
      <c r="CF23" s="107"/>
      <c r="CG23" s="107"/>
      <c r="CH23" s="107"/>
      <c r="CI23" s="107"/>
      <c r="CJ23" s="107"/>
      <c r="CK23" s="107"/>
      <c r="CL23" s="107"/>
      <c r="CM23" s="107"/>
      <c r="CN23" s="107"/>
      <c r="CO23" s="107"/>
      <c r="CP23" s="107"/>
      <c r="CQ23" s="107"/>
      <c r="CR23" s="107"/>
      <c r="CS23" s="107"/>
      <c r="CT23" s="107"/>
      <c r="CU23" s="107"/>
      <c r="CV23" s="107"/>
    </row>
    <row r="24" s="74" customFormat="true" ht="15" hidden="true" customHeight="true" outlineLevel="0" collapsed="false">
      <c r="A24" s="74" t="n">
        <f aca="false">MONTH(B24)</f>
        <v>8</v>
      </c>
      <c r="B24" s="75" t="n">
        <v>44412</v>
      </c>
      <c r="C24" s="76" t="s">
        <v>70</v>
      </c>
      <c r="D24" s="77" t="str">
        <f aca="false">IFERROR(VLOOKUP(E:E,'Item Data Support Sheet'!A:O,7,0),"")</f>
        <v>NIPPLE POSTCURE</v>
      </c>
      <c r="E24" s="108" t="s">
        <v>62</v>
      </c>
      <c r="F24" s="78"/>
      <c r="G24" s="77" t="s">
        <v>149</v>
      </c>
      <c r="H24" s="79" t="str">
        <f aca="false">IFERROR(VLOOKUP(E:E,'Item Data Support Sheet'!A:O,2,0),"")</f>
        <v>NIPPLE S TYPE M SIZE POSTCURED</v>
      </c>
      <c r="I24" s="80" t="s">
        <v>189</v>
      </c>
      <c r="J24" s="80" t="s">
        <v>140</v>
      </c>
      <c r="K24" s="81" t="n">
        <v>8</v>
      </c>
      <c r="L24" s="82" t="n">
        <v>14000</v>
      </c>
      <c r="M24" s="83" t="n">
        <f aca="false">IFERROR(L24/K24,0)</f>
        <v>1750</v>
      </c>
      <c r="N24" s="84" t="n">
        <f aca="false">+O24+Q24+T24+U24</f>
        <v>14000</v>
      </c>
      <c r="O24" s="85" t="n">
        <f aca="false">5400+5600+3000</f>
        <v>14000</v>
      </c>
      <c r="P24" s="86" t="n">
        <v>0</v>
      </c>
      <c r="Q24" s="87" t="n">
        <v>0</v>
      </c>
      <c r="R24" s="88" t="n">
        <v>0</v>
      </c>
      <c r="S24" s="88" t="n">
        <v>0</v>
      </c>
      <c r="T24" s="88" t="n">
        <v>0</v>
      </c>
      <c r="U24" s="88" t="n">
        <v>0</v>
      </c>
      <c r="V24" s="89" t="n">
        <v>1</v>
      </c>
      <c r="W24" s="90" t="n">
        <f aca="false">IFERROR(O24/V24,0)</f>
        <v>14000</v>
      </c>
      <c r="X24" s="91" t="n">
        <f aca="false">O24/L24</f>
        <v>1</v>
      </c>
      <c r="Y24" s="92" t="str">
        <f aca="false">IFERROR(VLOOKUP(E:E,'Item Data Support Sheet'!A:J,6,0),0)</f>
        <v>FO012</v>
      </c>
      <c r="Z24" s="93" t="n">
        <f aca="false">IFERROR(VLOOKUP(E:E,'Item Data Support Sheet'!A:O,4,0),0)</f>
        <v>0</v>
      </c>
      <c r="AA24" s="93" t="n">
        <f aca="false">IFERROR(((N24)*(Z24/1000))+P24,0)</f>
        <v>0</v>
      </c>
      <c r="AB24" s="94" t="str">
        <f aca="false">IFERROR((O24*(Z24/1000)/(AA24))," ")</f>
        <v> </v>
      </c>
      <c r="AC24" s="95" t="n">
        <f aca="false">IFERROR((T24)/((T24)+O24),0)</f>
        <v>0</v>
      </c>
      <c r="AD24" s="96" t="n">
        <f aca="false">IFERROR(Q24/(Q24+N24),0)</f>
        <v>0</v>
      </c>
      <c r="AE24" s="91" t="n">
        <f aca="false">(N24-T24)/N24</f>
        <v>1</v>
      </c>
      <c r="AF24" s="97" t="n">
        <f aca="false">BR24</f>
        <v>0</v>
      </c>
      <c r="AG24" s="98" t="n">
        <f aca="false">K24-AF24</f>
        <v>8</v>
      </c>
      <c r="AH24" s="99" t="n">
        <f aca="false">IFERROR(AG24/K24," ")</f>
        <v>1</v>
      </c>
      <c r="AI24" s="100" t="n">
        <f aca="false">IFERROR(O24/K24,0)</f>
        <v>1750</v>
      </c>
      <c r="AJ24" s="101" t="n">
        <f aca="false">VLOOKUP(D24,'Standard Cycle time'!C:D,2,0)</f>
        <v>2.3</v>
      </c>
      <c r="AK24" s="101" t="n">
        <f aca="false">AG24*V24*3600/O24</f>
        <v>2.05714285714286</v>
      </c>
      <c r="AL24" s="102" t="n">
        <f aca="false">AJ24/AK24</f>
        <v>1.11805555555556</v>
      </c>
      <c r="AM24" s="99" t="n">
        <f aca="false">AE24*AL24*AH24</f>
        <v>1.11805555555556</v>
      </c>
      <c r="AN24" s="103" t="s">
        <v>190</v>
      </c>
      <c r="AO24" s="104"/>
      <c r="AP24" s="105"/>
      <c r="AQ24" s="105" t="n">
        <v>0</v>
      </c>
      <c r="AR24" s="105" t="n">
        <v>0</v>
      </c>
      <c r="AS24" s="105" t="n">
        <v>0</v>
      </c>
      <c r="AT24" s="105" t="n">
        <v>0</v>
      </c>
      <c r="AU24" s="105" t="n">
        <v>0</v>
      </c>
      <c r="AV24" s="105" t="n">
        <v>0</v>
      </c>
      <c r="AW24" s="105" t="n">
        <v>0</v>
      </c>
      <c r="AX24" s="105" t="n">
        <v>0</v>
      </c>
      <c r="AY24" s="105" t="n">
        <v>0</v>
      </c>
      <c r="AZ24" s="105" t="n">
        <v>0</v>
      </c>
      <c r="BA24" s="105" t="n">
        <v>0</v>
      </c>
      <c r="BB24" s="105" t="n">
        <v>0</v>
      </c>
      <c r="BC24" s="105" t="n">
        <v>0</v>
      </c>
      <c r="BD24" s="105" t="n">
        <v>0</v>
      </c>
      <c r="BE24" s="105" t="n">
        <v>0</v>
      </c>
      <c r="BF24" s="105" t="n">
        <v>0</v>
      </c>
      <c r="BG24" s="105" t="n">
        <v>0</v>
      </c>
      <c r="BH24" s="105" t="n">
        <v>0</v>
      </c>
      <c r="BI24" s="105" t="n">
        <v>0</v>
      </c>
      <c r="BJ24" s="105" t="n">
        <v>0</v>
      </c>
      <c r="BK24" s="105" t="n">
        <v>0</v>
      </c>
      <c r="BL24" s="105" t="n">
        <v>0</v>
      </c>
      <c r="BM24" s="105" t="n">
        <v>0</v>
      </c>
      <c r="BN24" s="105" t="n">
        <v>0</v>
      </c>
      <c r="BO24" s="105" t="n">
        <v>0</v>
      </c>
      <c r="BP24" s="105" t="n">
        <v>0</v>
      </c>
      <c r="BQ24" s="105" t="n">
        <v>0</v>
      </c>
      <c r="BR24" s="106" t="n">
        <f aca="false">SUM(AP24:BQ24)/60</f>
        <v>0</v>
      </c>
      <c r="BS24" s="106" t="n">
        <f aca="false">SUM(AP24:BR24)/60</f>
        <v>0</v>
      </c>
      <c r="BT24" s="107"/>
      <c r="BU24" s="107"/>
      <c r="BV24" s="107"/>
      <c r="BW24" s="107"/>
      <c r="BX24" s="107"/>
      <c r="BY24" s="107"/>
      <c r="BZ24" s="107"/>
      <c r="CA24" s="107"/>
      <c r="CB24" s="107"/>
      <c r="CC24" s="107"/>
      <c r="CD24" s="107"/>
      <c r="CE24" s="107"/>
      <c r="CF24" s="107"/>
      <c r="CG24" s="107"/>
      <c r="CH24" s="107"/>
      <c r="CI24" s="107"/>
      <c r="CJ24" s="107"/>
      <c r="CK24" s="107"/>
      <c r="CL24" s="107"/>
      <c r="CM24" s="107"/>
      <c r="CN24" s="107"/>
      <c r="CO24" s="107"/>
      <c r="CP24" s="107"/>
      <c r="CQ24" s="107"/>
      <c r="CR24" s="107"/>
      <c r="CS24" s="107"/>
      <c r="CT24" s="107"/>
      <c r="CU24" s="107"/>
      <c r="CV24" s="107"/>
    </row>
    <row r="25" s="74" customFormat="true" ht="15" hidden="true" customHeight="true" outlineLevel="0" collapsed="false">
      <c r="A25" s="74" t="n">
        <f aca="false">MONTH(B25)</f>
        <v>8</v>
      </c>
      <c r="B25" s="75" t="n">
        <v>44412</v>
      </c>
      <c r="C25" s="76" t="s">
        <v>70</v>
      </c>
      <c r="D25" s="77" t="str">
        <f aca="false">IFERROR(VLOOKUP(E:E,'Item Data Support Sheet'!A:O,7,0),"")</f>
        <v>NIPPLE MOLDED</v>
      </c>
      <c r="E25" s="108" t="s">
        <v>136</v>
      </c>
      <c r="F25" s="80" t="s">
        <v>137</v>
      </c>
      <c r="G25" s="77" t="s">
        <v>138</v>
      </c>
      <c r="H25" s="79" t="str">
        <f aca="false">IFERROR(VLOOKUP(E:E,'Item Data Support Sheet'!A:O,2,0),"")</f>
        <v>NIPPLE S TYPE M SIZE INJECTION</v>
      </c>
      <c r="I25" s="80" t="s">
        <v>191</v>
      </c>
      <c r="J25" s="80" t="s">
        <v>140</v>
      </c>
      <c r="K25" s="81" t="n">
        <v>8</v>
      </c>
      <c r="L25" s="82" t="n">
        <v>4815</v>
      </c>
      <c r="M25" s="83" t="n">
        <f aca="false">IFERROR(L25/K25,0)</f>
        <v>601.875</v>
      </c>
      <c r="N25" s="84" t="n">
        <f aca="false">+O25+Q25+T25+U25</f>
        <v>5790</v>
      </c>
      <c r="O25" s="85" t="n">
        <v>5700</v>
      </c>
      <c r="P25" s="86" t="n">
        <v>0</v>
      </c>
      <c r="Q25" s="87" t="n">
        <v>30</v>
      </c>
      <c r="R25" s="88" t="n">
        <v>0</v>
      </c>
      <c r="S25" s="88" t="n">
        <v>0</v>
      </c>
      <c r="T25" s="88" t="n">
        <v>60</v>
      </c>
      <c r="U25" s="88" t="n">
        <v>0</v>
      </c>
      <c r="V25" s="89" t="n">
        <v>1</v>
      </c>
      <c r="W25" s="90" t="n">
        <f aca="false">IFERROR(O25/V25,0)</f>
        <v>5700</v>
      </c>
      <c r="X25" s="91" t="n">
        <f aca="false">O25/L25</f>
        <v>1.18380062305296</v>
      </c>
      <c r="Y25" s="92" t="str">
        <f aca="false">IFERROR(VLOOKUP(E:E,'Item Data Support Sheet'!A:J,6,0),0)</f>
        <v>Silicon</v>
      </c>
      <c r="Z25" s="93" t="n">
        <f aca="false">IFERROR(VLOOKUP(E:E,'Item Data Support Sheet'!A:O,4,0),0)</f>
        <v>6.8</v>
      </c>
      <c r="AA25" s="93" t="n">
        <f aca="false">IFERROR(((N25)*(Z25/1000))+P25,0)</f>
        <v>39.372</v>
      </c>
      <c r="AB25" s="94" t="n">
        <f aca="false">IFERROR((O25*(Z25/1000)/(AA25))," ")</f>
        <v>0.984455958549223</v>
      </c>
      <c r="AC25" s="95" t="n">
        <f aca="false">IFERROR((T25)/((T25)+O25),0)</f>
        <v>0.0104166666666667</v>
      </c>
      <c r="AD25" s="96" t="n">
        <f aca="false">IFERROR(Q25/(Q25+N25),0)</f>
        <v>0.00515463917525773</v>
      </c>
      <c r="AE25" s="91" t="n">
        <f aca="false">(N25-T25)/N25</f>
        <v>0.989637305699482</v>
      </c>
      <c r="AF25" s="97" t="n">
        <f aca="false">BR25</f>
        <v>0</v>
      </c>
      <c r="AG25" s="98" t="n">
        <f aca="false">K25-AF25</f>
        <v>8</v>
      </c>
      <c r="AH25" s="99" t="n">
        <f aca="false">IFERROR(AG25/K25," ")</f>
        <v>1</v>
      </c>
      <c r="AI25" s="100" t="n">
        <f aca="false">IFERROR(O25/K25,0)</f>
        <v>712.5</v>
      </c>
      <c r="AJ25" s="101" t="n">
        <f aca="false">VLOOKUP(D25,'Standard Cycle time'!C:D,2,0)</f>
        <v>5.25</v>
      </c>
      <c r="AK25" s="101" t="n">
        <f aca="false">AG25*V25*3600/O25</f>
        <v>5.05263157894737</v>
      </c>
      <c r="AL25" s="102" t="n">
        <f aca="false">AJ25/AK25</f>
        <v>1.0390625</v>
      </c>
      <c r="AM25" s="99" t="n">
        <f aca="false">AE25*AL25*AH25</f>
        <v>1.02829501295337</v>
      </c>
      <c r="AN25" s="103" t="n">
        <v>2205</v>
      </c>
      <c r="AO25" s="104"/>
      <c r="AP25" s="105" t="n">
        <v>0</v>
      </c>
      <c r="AQ25" s="105" t="n">
        <v>0</v>
      </c>
      <c r="AR25" s="105" t="n">
        <v>0</v>
      </c>
      <c r="AS25" s="105" t="n">
        <v>0</v>
      </c>
      <c r="AT25" s="105" t="n">
        <v>0</v>
      </c>
      <c r="AU25" s="105" t="n">
        <v>0</v>
      </c>
      <c r="AV25" s="105" t="n">
        <v>0</v>
      </c>
      <c r="AW25" s="105" t="n">
        <v>0</v>
      </c>
      <c r="AX25" s="105" t="n">
        <v>0</v>
      </c>
      <c r="AY25" s="105" t="n">
        <v>0</v>
      </c>
      <c r="AZ25" s="105" t="n">
        <v>0</v>
      </c>
      <c r="BA25" s="105" t="n">
        <v>0</v>
      </c>
      <c r="BB25" s="105" t="n">
        <v>0</v>
      </c>
      <c r="BC25" s="105" t="n">
        <v>0</v>
      </c>
      <c r="BD25" s="105" t="n">
        <v>0</v>
      </c>
      <c r="BE25" s="105" t="n">
        <v>0</v>
      </c>
      <c r="BF25" s="105" t="n">
        <v>0</v>
      </c>
      <c r="BG25" s="105" t="n">
        <v>0</v>
      </c>
      <c r="BH25" s="105" t="n">
        <v>0</v>
      </c>
      <c r="BI25" s="105" t="n">
        <v>0</v>
      </c>
      <c r="BJ25" s="105" t="n">
        <v>0</v>
      </c>
      <c r="BK25" s="105" t="n">
        <v>0</v>
      </c>
      <c r="BL25" s="105" t="n">
        <v>0</v>
      </c>
      <c r="BM25" s="105" t="n">
        <v>0</v>
      </c>
      <c r="BN25" s="105" t="n">
        <v>0</v>
      </c>
      <c r="BO25" s="105" t="n">
        <v>0</v>
      </c>
      <c r="BP25" s="105" t="n">
        <v>0</v>
      </c>
      <c r="BQ25" s="105" t="n">
        <v>0</v>
      </c>
      <c r="BR25" s="106" t="n">
        <f aca="false">SUM(AP25:BQ25)/60</f>
        <v>0</v>
      </c>
      <c r="BS25" s="106" t="n">
        <f aca="false">SUM(AP25:BR25)/60</f>
        <v>0</v>
      </c>
      <c r="BT25" s="107"/>
      <c r="BU25" s="107"/>
      <c r="BV25" s="107"/>
      <c r="BW25" s="107"/>
      <c r="BX25" s="107"/>
      <c r="BY25" s="107"/>
      <c r="BZ25" s="107"/>
      <c r="CA25" s="107"/>
      <c r="CB25" s="107"/>
      <c r="CC25" s="107"/>
      <c r="CD25" s="107"/>
      <c r="CE25" s="107"/>
      <c r="CF25" s="107"/>
      <c r="CG25" s="107"/>
      <c r="CH25" s="107"/>
      <c r="CI25" s="107"/>
      <c r="CJ25" s="107"/>
      <c r="CK25" s="107"/>
      <c r="CL25" s="107"/>
      <c r="CM25" s="107"/>
      <c r="CN25" s="107"/>
      <c r="CO25" s="107"/>
      <c r="CP25" s="107"/>
      <c r="CQ25" s="107"/>
      <c r="CR25" s="107"/>
      <c r="CS25" s="107"/>
      <c r="CT25" s="107"/>
      <c r="CU25" s="107"/>
      <c r="CV25" s="107"/>
    </row>
    <row r="26" s="74" customFormat="true" ht="15" hidden="true" customHeight="true" outlineLevel="0" collapsed="false">
      <c r="A26" s="74" t="n">
        <f aca="false">MONTH(B26)</f>
        <v>8</v>
      </c>
      <c r="B26" s="75" t="n">
        <v>44412</v>
      </c>
      <c r="C26" s="76" t="s">
        <v>152</v>
      </c>
      <c r="D26" s="77" t="str">
        <f aca="false">IFERROR(VLOOKUP(E:E,'Item Data Support Sheet'!A:O,7,0),"")</f>
        <v>BOTTLE MOLDED</v>
      </c>
      <c r="E26" s="108" t="s">
        <v>78</v>
      </c>
      <c r="F26" s="80" t="s">
        <v>79</v>
      </c>
      <c r="G26" s="77" t="s">
        <v>80</v>
      </c>
      <c r="H26" s="79" t="str">
        <f aca="false">IFERROR(VLOOKUP(E:E,'Item Data Support Sheet'!A:O,2,0),"")</f>
        <v>RPP 120 ML BOTTLE MOLDED</v>
      </c>
      <c r="I26" s="80" t="s">
        <v>192</v>
      </c>
      <c r="J26" s="80" t="s">
        <v>148</v>
      </c>
      <c r="K26" s="81" t="n">
        <v>6</v>
      </c>
      <c r="L26" s="82" t="n">
        <v>2000</v>
      </c>
      <c r="M26" s="83" t="n">
        <f aca="false">IFERROR(L26/K26,0)</f>
        <v>333.333333333333</v>
      </c>
      <c r="N26" s="84" t="n">
        <f aca="false">+O26+Q26+T26+U26</f>
        <v>2273</v>
      </c>
      <c r="O26" s="85" t="n">
        <v>2160</v>
      </c>
      <c r="P26" s="86" t="n">
        <v>0.38</v>
      </c>
      <c r="Q26" s="87" t="n">
        <v>63</v>
      </c>
      <c r="R26" s="88" t="n">
        <v>0</v>
      </c>
      <c r="S26" s="88" t="n">
        <v>0</v>
      </c>
      <c r="T26" s="88" t="n">
        <v>42</v>
      </c>
      <c r="U26" s="88" t="n">
        <v>8</v>
      </c>
      <c r="V26" s="89" t="n">
        <v>1</v>
      </c>
      <c r="W26" s="90" t="n">
        <f aca="false">IFERROR(O26/V26,0)</f>
        <v>2160</v>
      </c>
      <c r="X26" s="91" t="n">
        <f aca="false">O26/L26</f>
        <v>1.08</v>
      </c>
      <c r="Y26" s="92" t="str">
        <f aca="false">IFERROR(VLOOKUP(E:E,'Item Data Support Sheet'!A:J,6,0),0)</f>
        <v>HMC</v>
      </c>
      <c r="Z26" s="93" t="n">
        <f aca="false">IFERROR(VLOOKUP(E:E,'Item Data Support Sheet'!A:O,4,0),0)</f>
        <v>21.3</v>
      </c>
      <c r="AA26" s="93" t="n">
        <f aca="false">IFERROR(((N26)*(Z26/1000))+P26,0)</f>
        <v>48.7949</v>
      </c>
      <c r="AB26" s="94" t="n">
        <f aca="false">IFERROR((O26*(Z26/1000)/(AA26))," ")</f>
        <v>0.942885424501331</v>
      </c>
      <c r="AC26" s="95" t="n">
        <f aca="false">IFERROR((T26)/((T26)+O26),0)</f>
        <v>0.0190735694822888</v>
      </c>
      <c r="AD26" s="96" t="n">
        <f aca="false">IFERROR(Q26/(Q26+N26),0)</f>
        <v>0.0269691780821918</v>
      </c>
      <c r="AE26" s="91" t="n">
        <f aca="false">(N26-T26)/N26</f>
        <v>0.98152221733392</v>
      </c>
      <c r="AF26" s="97" t="n">
        <f aca="false">BR26</f>
        <v>0.5</v>
      </c>
      <c r="AG26" s="98" t="n">
        <f aca="false">K26-AF26</f>
        <v>5.5</v>
      </c>
      <c r="AH26" s="99" t="n">
        <f aca="false">IFERROR(AG26/K26," ")</f>
        <v>0.916666666666667</v>
      </c>
      <c r="AI26" s="100" t="n">
        <f aca="false">IFERROR(O26/K26,0)</f>
        <v>360</v>
      </c>
      <c r="AJ26" s="101" t="n">
        <f aca="false">VLOOKUP(D26,'Standard Cycle time'!C:D,2,0)</f>
        <v>9</v>
      </c>
      <c r="AK26" s="101" t="n">
        <f aca="false">AG26*V26*3600/O26</f>
        <v>9.16666666666667</v>
      </c>
      <c r="AL26" s="102" t="n">
        <f aca="false">AJ26/AK26</f>
        <v>0.981818181818182</v>
      </c>
      <c r="AM26" s="99" t="n">
        <f aca="false">AE26*AL26*AH26</f>
        <v>0.883369995600528</v>
      </c>
      <c r="AN26" s="103" t="n">
        <v>2209</v>
      </c>
      <c r="AO26" s="104" t="s">
        <v>193</v>
      </c>
      <c r="AP26" s="105" t="n">
        <v>0</v>
      </c>
      <c r="AQ26" s="105" t="n">
        <v>0</v>
      </c>
      <c r="AR26" s="105" t="n">
        <v>0</v>
      </c>
      <c r="AS26" s="105" t="n">
        <v>0</v>
      </c>
      <c r="AT26" s="105" t="n">
        <v>0</v>
      </c>
      <c r="AU26" s="105" t="n">
        <v>0</v>
      </c>
      <c r="AV26" s="105" t="n">
        <v>0</v>
      </c>
      <c r="AW26" s="105" t="n">
        <v>30</v>
      </c>
      <c r="AX26" s="105" t="n">
        <v>0</v>
      </c>
      <c r="AY26" s="105" t="n">
        <v>0</v>
      </c>
      <c r="AZ26" s="105" t="n">
        <v>0</v>
      </c>
      <c r="BA26" s="105" t="n">
        <v>0</v>
      </c>
      <c r="BB26" s="105" t="n">
        <v>0</v>
      </c>
      <c r="BC26" s="105" t="n">
        <v>0</v>
      </c>
      <c r="BD26" s="105" t="n">
        <v>0</v>
      </c>
      <c r="BE26" s="105" t="n">
        <v>0</v>
      </c>
      <c r="BF26" s="105" t="n">
        <v>0</v>
      </c>
      <c r="BG26" s="105" t="n">
        <v>0</v>
      </c>
      <c r="BH26" s="105" t="n">
        <v>0</v>
      </c>
      <c r="BI26" s="105" t="n">
        <v>0</v>
      </c>
      <c r="BJ26" s="105" t="n">
        <v>0</v>
      </c>
      <c r="BK26" s="105" t="n">
        <v>0</v>
      </c>
      <c r="BL26" s="105" t="n">
        <v>0</v>
      </c>
      <c r="BM26" s="105" t="n">
        <v>0</v>
      </c>
      <c r="BN26" s="105" t="n">
        <v>0</v>
      </c>
      <c r="BO26" s="105" t="n">
        <v>0</v>
      </c>
      <c r="BP26" s="105" t="n">
        <v>0</v>
      </c>
      <c r="BQ26" s="105" t="n">
        <v>0</v>
      </c>
      <c r="BR26" s="106" t="n">
        <f aca="false">SUM(AP26:BQ26)/60</f>
        <v>0.5</v>
      </c>
      <c r="BS26" s="106" t="n">
        <f aca="false">SUM(AP26:BR26)/60</f>
        <v>0.508333333333333</v>
      </c>
      <c r="BT26" s="107"/>
      <c r="BU26" s="107"/>
      <c r="BV26" s="107"/>
      <c r="BW26" s="107"/>
      <c r="BX26" s="107"/>
      <c r="BY26" s="107"/>
      <c r="BZ26" s="107"/>
      <c r="CA26" s="107"/>
      <c r="CB26" s="107"/>
      <c r="CC26" s="107"/>
      <c r="CD26" s="107"/>
      <c r="CE26" s="107"/>
      <c r="CF26" s="107"/>
      <c r="CG26" s="107"/>
      <c r="CH26" s="107"/>
      <c r="CI26" s="107"/>
      <c r="CJ26" s="107"/>
      <c r="CK26" s="107"/>
      <c r="CL26" s="107"/>
      <c r="CM26" s="107"/>
      <c r="CN26" s="107"/>
      <c r="CO26" s="107"/>
      <c r="CP26" s="107"/>
      <c r="CQ26" s="107"/>
      <c r="CR26" s="107"/>
      <c r="CS26" s="107"/>
      <c r="CT26" s="107"/>
      <c r="CU26" s="107"/>
      <c r="CV26" s="107"/>
    </row>
    <row r="27" s="74" customFormat="true" ht="14.9" hidden="true" customHeight="false" outlineLevel="0" collapsed="false">
      <c r="A27" s="74" t="n">
        <f aca="false">MONTH(B27)</f>
        <v>8</v>
      </c>
      <c r="B27" s="75" t="n">
        <v>44412</v>
      </c>
      <c r="C27" s="76" t="s">
        <v>152</v>
      </c>
      <c r="D27" s="77" t="str">
        <f aca="false">IFERROR(VLOOKUP(E:E,'Item Data Support Sheet'!A:O,7,0),"")</f>
        <v>NIPPLE MOLDED</v>
      </c>
      <c r="E27" s="108" t="s">
        <v>136</v>
      </c>
      <c r="F27" s="80" t="s">
        <v>137</v>
      </c>
      <c r="G27" s="77" t="s">
        <v>138</v>
      </c>
      <c r="H27" s="79" t="str">
        <f aca="false">IFERROR(VLOOKUP(E:E,'Item Data Support Sheet'!A:O,2,0),"")</f>
        <v>NIPPLE S TYPE M SIZE INJECTION</v>
      </c>
      <c r="I27" s="80" t="s">
        <v>194</v>
      </c>
      <c r="J27" s="80" t="s">
        <v>148</v>
      </c>
      <c r="K27" s="81" t="n">
        <v>8</v>
      </c>
      <c r="L27" s="82" t="n">
        <v>4815</v>
      </c>
      <c r="M27" s="83" t="n">
        <f aca="false">IFERROR(L27/K27,0)</f>
        <v>601.875</v>
      </c>
      <c r="N27" s="84" t="n">
        <f aca="false">+O27+Q27+T27+U27</f>
        <v>5882</v>
      </c>
      <c r="O27" s="85" t="n">
        <v>5800</v>
      </c>
      <c r="P27" s="86" t="n">
        <v>0</v>
      </c>
      <c r="Q27" s="87" t="n">
        <v>16</v>
      </c>
      <c r="R27" s="88" t="n">
        <v>0</v>
      </c>
      <c r="S27" s="88" t="n">
        <v>0</v>
      </c>
      <c r="T27" s="88" t="n">
        <v>58</v>
      </c>
      <c r="U27" s="88" t="n">
        <v>8</v>
      </c>
      <c r="V27" s="89" t="n">
        <v>1</v>
      </c>
      <c r="W27" s="90" t="n">
        <f aca="false">IFERROR(O27/V27,0)</f>
        <v>5800</v>
      </c>
      <c r="X27" s="91" t="n">
        <f aca="false">O27/L27</f>
        <v>1.20456905503634</v>
      </c>
      <c r="Y27" s="92" t="str">
        <f aca="false">IFERROR(VLOOKUP(E:E,'Item Data Support Sheet'!A:J,6,0),0)</f>
        <v>Silicon</v>
      </c>
      <c r="Z27" s="93" t="n">
        <f aca="false">IFERROR(VLOOKUP(E:E,'Item Data Support Sheet'!A:O,4,0),0)</f>
        <v>6.8</v>
      </c>
      <c r="AA27" s="93" t="n">
        <f aca="false">IFERROR(((N27)*(Z27/1000))+P27,0)</f>
        <v>39.9976</v>
      </c>
      <c r="AB27" s="94" t="n">
        <f aca="false">IFERROR((O27*(Z27/1000)/(AA27))," ")</f>
        <v>0.986059163549813</v>
      </c>
      <c r="AC27" s="95" t="n">
        <f aca="false">IFERROR((T27)/((T27)+O27),0)</f>
        <v>0.0099009900990099</v>
      </c>
      <c r="AD27" s="96" t="n">
        <f aca="false">IFERROR(Q27/(Q27+N27),0)</f>
        <v>0.00271278399457443</v>
      </c>
      <c r="AE27" s="91" t="n">
        <f aca="false">(N27-T27)/N27</f>
        <v>0.990139408364502</v>
      </c>
      <c r="AF27" s="97" t="n">
        <f aca="false">BR27</f>
        <v>0</v>
      </c>
      <c r="AG27" s="98" t="n">
        <f aca="false">K27-AF27</f>
        <v>8</v>
      </c>
      <c r="AH27" s="99" t="n">
        <f aca="false">IFERROR(AG27/K27," ")</f>
        <v>1</v>
      </c>
      <c r="AI27" s="100" t="n">
        <f aca="false">IFERROR(O27/K27,0)</f>
        <v>725</v>
      </c>
      <c r="AJ27" s="101" t="n">
        <f aca="false">VLOOKUP(D27,'Standard Cycle time'!C:D,2,0)</f>
        <v>5.25</v>
      </c>
      <c r="AK27" s="101" t="n">
        <f aca="false">AG27*V27*3600/O27</f>
        <v>4.96551724137931</v>
      </c>
      <c r="AL27" s="102" t="n">
        <f aca="false">AJ27/AK27</f>
        <v>1.05729166666667</v>
      </c>
      <c r="AM27" s="99" t="n">
        <f aca="false">AE27*AL27*AH27</f>
        <v>1.04686614530205</v>
      </c>
      <c r="AN27" s="103" t="n">
        <v>2210</v>
      </c>
      <c r="AO27" s="104"/>
      <c r="AP27" s="105" t="n">
        <v>0</v>
      </c>
      <c r="AQ27" s="105" t="n">
        <v>0</v>
      </c>
      <c r="AR27" s="105" t="n">
        <v>0</v>
      </c>
      <c r="AS27" s="105" t="n">
        <v>0</v>
      </c>
      <c r="AT27" s="105" t="n">
        <v>0</v>
      </c>
      <c r="AU27" s="105" t="n">
        <v>0</v>
      </c>
      <c r="AV27" s="105" t="n">
        <v>0</v>
      </c>
      <c r="AW27" s="105" t="n">
        <v>0</v>
      </c>
      <c r="AX27" s="105" t="n">
        <v>0</v>
      </c>
      <c r="AY27" s="105" t="n">
        <v>0</v>
      </c>
      <c r="AZ27" s="105" t="n">
        <v>0</v>
      </c>
      <c r="BA27" s="105" t="n">
        <v>0</v>
      </c>
      <c r="BB27" s="105" t="n">
        <v>0</v>
      </c>
      <c r="BC27" s="105" t="n">
        <v>0</v>
      </c>
      <c r="BD27" s="105" t="n">
        <v>0</v>
      </c>
      <c r="BE27" s="105" t="n">
        <v>0</v>
      </c>
      <c r="BF27" s="105" t="n">
        <v>0</v>
      </c>
      <c r="BG27" s="105" t="n">
        <v>0</v>
      </c>
      <c r="BH27" s="105" t="n">
        <v>0</v>
      </c>
      <c r="BI27" s="105" t="n">
        <v>0</v>
      </c>
      <c r="BJ27" s="105" t="n">
        <v>0</v>
      </c>
      <c r="BK27" s="105" t="n">
        <v>0</v>
      </c>
      <c r="BL27" s="105" t="n">
        <v>0</v>
      </c>
      <c r="BM27" s="105" t="n">
        <v>0</v>
      </c>
      <c r="BN27" s="105" t="n">
        <v>0</v>
      </c>
      <c r="BO27" s="105" t="n">
        <v>0</v>
      </c>
      <c r="BP27" s="105" t="n">
        <v>0</v>
      </c>
      <c r="BQ27" s="105" t="n">
        <v>0</v>
      </c>
      <c r="BR27" s="106" t="n">
        <f aca="false">SUM(AP27:BQ27)/60</f>
        <v>0</v>
      </c>
      <c r="BS27" s="106" t="n">
        <f aca="false">SUM(AP27:BR27)/60</f>
        <v>0</v>
      </c>
      <c r="BT27" s="107"/>
      <c r="BU27" s="107"/>
      <c r="BV27" s="107"/>
      <c r="BW27" s="107"/>
      <c r="BX27" s="107"/>
      <c r="BY27" s="107"/>
      <c r="BZ27" s="107"/>
      <c r="CA27" s="107"/>
      <c r="CB27" s="107"/>
      <c r="CC27" s="107"/>
      <c r="CD27" s="107"/>
      <c r="CE27" s="107"/>
      <c r="CF27" s="107"/>
      <c r="CG27" s="107"/>
      <c r="CH27" s="107"/>
      <c r="CI27" s="107"/>
      <c r="CJ27" s="107"/>
      <c r="CK27" s="107"/>
      <c r="CL27" s="107"/>
      <c r="CM27" s="107"/>
      <c r="CN27" s="107"/>
      <c r="CO27" s="107"/>
      <c r="CP27" s="107"/>
      <c r="CQ27" s="107"/>
      <c r="CR27" s="107"/>
      <c r="CS27" s="107"/>
      <c r="CT27" s="107"/>
      <c r="CU27" s="107"/>
      <c r="CV27" s="107"/>
    </row>
    <row r="28" s="74" customFormat="true" ht="14.9" hidden="true" customHeight="false" outlineLevel="0" collapsed="false">
      <c r="A28" s="74" t="n">
        <f aca="false">MONTH(B28)</f>
        <v>8</v>
      </c>
      <c r="B28" s="75" t="n">
        <v>44413</v>
      </c>
      <c r="C28" s="76" t="s">
        <v>51</v>
      </c>
      <c r="D28" s="77" t="str">
        <f aca="false">IFERROR(VLOOKUP(E:E,'Item Data Support Sheet'!A:O,7,0),"")</f>
        <v>NIPPLE MOLDED</v>
      </c>
      <c r="E28" s="108" t="s">
        <v>136</v>
      </c>
      <c r="F28" s="80" t="s">
        <v>137</v>
      </c>
      <c r="G28" s="77" t="s">
        <v>138</v>
      </c>
      <c r="H28" s="79" t="str">
        <f aca="false">IFERROR(VLOOKUP(E:E,'Item Data Support Sheet'!A:O,2,0),"")</f>
        <v>NIPPLE S TYPE M SIZE INJECTION</v>
      </c>
      <c r="I28" s="80" t="s">
        <v>195</v>
      </c>
      <c r="J28" s="80" t="s">
        <v>143</v>
      </c>
      <c r="K28" s="81" t="n">
        <v>8</v>
      </c>
      <c r="L28" s="82" t="n">
        <v>4815</v>
      </c>
      <c r="M28" s="83" t="n">
        <f aca="false">IFERROR(L28/K28,0)</f>
        <v>601.875</v>
      </c>
      <c r="N28" s="84" t="n">
        <f aca="false">+O28+Q28+T28+U28</f>
        <v>5660</v>
      </c>
      <c r="O28" s="85" t="n">
        <v>5600</v>
      </c>
      <c r="P28" s="86" t="n">
        <v>0</v>
      </c>
      <c r="Q28" s="87" t="n">
        <v>0</v>
      </c>
      <c r="R28" s="88" t="n">
        <v>0</v>
      </c>
      <c r="S28" s="88" t="n">
        <v>0</v>
      </c>
      <c r="T28" s="88" t="n">
        <v>52</v>
      </c>
      <c r="U28" s="88" t="n">
        <v>8</v>
      </c>
      <c r="V28" s="89" t="n">
        <v>1</v>
      </c>
      <c r="W28" s="90" t="n">
        <f aca="false">IFERROR(O28/V28,0)</f>
        <v>5600</v>
      </c>
      <c r="X28" s="91" t="n">
        <f aca="false">O28/L28</f>
        <v>1.16303219106957</v>
      </c>
      <c r="Y28" s="92" t="str">
        <f aca="false">IFERROR(VLOOKUP(E:E,'Item Data Support Sheet'!A:J,6,0),0)</f>
        <v>Silicon</v>
      </c>
      <c r="Z28" s="93" t="n">
        <f aca="false">IFERROR(VLOOKUP(E:E,'Item Data Support Sheet'!A:O,4,0),0)</f>
        <v>6.8</v>
      </c>
      <c r="AA28" s="93" t="n">
        <f aca="false">IFERROR(((N28)*(Z28/1000))+P28,0)</f>
        <v>38.488</v>
      </c>
      <c r="AB28" s="94" t="n">
        <f aca="false">IFERROR((O28*(Z28/1000)/(AA28))," ")</f>
        <v>0.989399293286219</v>
      </c>
      <c r="AC28" s="95" t="n">
        <f aca="false">IFERROR((T28)/((T28)+O28),0)</f>
        <v>0.00920028308563341</v>
      </c>
      <c r="AD28" s="96" t="n">
        <f aca="false">IFERROR(Q28/(Q28+N28),0)</f>
        <v>0</v>
      </c>
      <c r="AE28" s="91" t="n">
        <f aca="false">(N28-T28)/N28</f>
        <v>0.990812720848057</v>
      </c>
      <c r="AF28" s="97" t="n">
        <f aca="false">BR28</f>
        <v>0</v>
      </c>
      <c r="AG28" s="98" t="n">
        <f aca="false">K28-AF28</f>
        <v>8</v>
      </c>
      <c r="AH28" s="99" t="n">
        <f aca="false">IFERROR(AG28/K28," ")</f>
        <v>1</v>
      </c>
      <c r="AI28" s="100" t="n">
        <f aca="false">IFERROR(O28/K28,0)</f>
        <v>700</v>
      </c>
      <c r="AJ28" s="101" t="n">
        <f aca="false">VLOOKUP(D28,'Standard Cycle time'!C:D,2,0)</f>
        <v>5.25</v>
      </c>
      <c r="AK28" s="101" t="n">
        <f aca="false">AG28*V28*3600/O28</f>
        <v>5.14285714285714</v>
      </c>
      <c r="AL28" s="102" t="n">
        <f aca="false">AJ28/AK28</f>
        <v>1.02083333333333</v>
      </c>
      <c r="AM28" s="99" t="n">
        <f aca="false">AE28*AL28*AH28</f>
        <v>1.01145465253239</v>
      </c>
      <c r="AN28" s="103" t="n">
        <v>2218</v>
      </c>
      <c r="AO28" s="104"/>
      <c r="AP28" s="105" t="n">
        <v>0</v>
      </c>
      <c r="AQ28" s="105" t="n">
        <v>0</v>
      </c>
      <c r="AR28" s="105" t="n">
        <v>0</v>
      </c>
      <c r="AS28" s="105" t="n">
        <v>0</v>
      </c>
      <c r="AT28" s="105" t="n">
        <v>0</v>
      </c>
      <c r="AU28" s="105" t="n">
        <v>0</v>
      </c>
      <c r="AV28" s="105" t="n">
        <v>0</v>
      </c>
      <c r="AW28" s="105" t="n">
        <v>0</v>
      </c>
      <c r="AX28" s="105" t="n">
        <v>0</v>
      </c>
      <c r="AY28" s="105" t="n">
        <v>0</v>
      </c>
      <c r="AZ28" s="105" t="n">
        <v>0</v>
      </c>
      <c r="BA28" s="105" t="n">
        <v>0</v>
      </c>
      <c r="BB28" s="105" t="n">
        <v>0</v>
      </c>
      <c r="BC28" s="105" t="n">
        <v>0</v>
      </c>
      <c r="BD28" s="105" t="n">
        <v>0</v>
      </c>
      <c r="BE28" s="105" t="n">
        <v>0</v>
      </c>
      <c r="BF28" s="105" t="n">
        <v>0</v>
      </c>
      <c r="BG28" s="105" t="n">
        <v>0</v>
      </c>
      <c r="BH28" s="105" t="n">
        <v>0</v>
      </c>
      <c r="BI28" s="105" t="n">
        <v>0</v>
      </c>
      <c r="BJ28" s="105" t="n">
        <v>0</v>
      </c>
      <c r="BK28" s="105" t="n">
        <v>0</v>
      </c>
      <c r="BL28" s="105" t="n">
        <v>0</v>
      </c>
      <c r="BM28" s="105" t="n">
        <v>0</v>
      </c>
      <c r="BN28" s="105" t="n">
        <v>0</v>
      </c>
      <c r="BO28" s="105" t="n">
        <v>0</v>
      </c>
      <c r="BP28" s="105" t="n">
        <v>0</v>
      </c>
      <c r="BQ28" s="105" t="n">
        <v>0</v>
      </c>
      <c r="BR28" s="106" t="n">
        <f aca="false">SUM(AP28:BQ28)/60</f>
        <v>0</v>
      </c>
      <c r="BS28" s="106" t="n">
        <f aca="false">SUM(AP28:BR28)/60</f>
        <v>0</v>
      </c>
      <c r="BT28" s="107"/>
      <c r="BU28" s="107"/>
      <c r="BV28" s="107"/>
      <c r="BW28" s="107"/>
      <c r="BX28" s="107"/>
      <c r="BY28" s="107"/>
      <c r="BZ28" s="107"/>
      <c r="CA28" s="107"/>
      <c r="CB28" s="107"/>
      <c r="CC28" s="107"/>
      <c r="CD28" s="107"/>
      <c r="CE28" s="107"/>
      <c r="CF28" s="107"/>
      <c r="CG28" s="107"/>
      <c r="CH28" s="107"/>
      <c r="CI28" s="107"/>
      <c r="CJ28" s="107"/>
      <c r="CK28" s="107"/>
      <c r="CL28" s="107"/>
      <c r="CM28" s="107"/>
      <c r="CN28" s="107"/>
      <c r="CO28" s="107"/>
      <c r="CP28" s="107"/>
      <c r="CQ28" s="107"/>
      <c r="CR28" s="107"/>
      <c r="CS28" s="107"/>
      <c r="CT28" s="107"/>
      <c r="CU28" s="107"/>
      <c r="CV28" s="107"/>
    </row>
    <row r="29" s="74" customFormat="true" ht="14.9" hidden="true" customHeight="false" outlineLevel="0" collapsed="false">
      <c r="A29" s="74" t="n">
        <f aca="false">MONTH(B29)</f>
        <v>8</v>
      </c>
      <c r="B29" s="75" t="n">
        <v>44413</v>
      </c>
      <c r="C29" s="76" t="s">
        <v>51</v>
      </c>
      <c r="D29" s="77" t="str">
        <f aca="false">IFERROR(VLOOKUP(E:E,'Item Data Support Sheet'!A:O,7,0),"")</f>
        <v>NIPPLE POSTCURE</v>
      </c>
      <c r="E29" s="108" t="s">
        <v>62</v>
      </c>
      <c r="F29" s="80"/>
      <c r="G29" s="77" t="s">
        <v>149</v>
      </c>
      <c r="H29" s="79" t="str">
        <f aca="false">IFERROR(VLOOKUP(E:E,'Item Data Support Sheet'!A:O,2,0),"")</f>
        <v>NIPPLE S TYPE M SIZE POSTCURED</v>
      </c>
      <c r="I29" s="80" t="s">
        <v>196</v>
      </c>
      <c r="J29" s="80" t="s">
        <v>143</v>
      </c>
      <c r="K29" s="81" t="n">
        <v>2.5</v>
      </c>
      <c r="L29" s="82" t="n">
        <v>4000</v>
      </c>
      <c r="M29" s="83" t="n">
        <f aca="false">IFERROR(L29/K29,0)</f>
        <v>1600</v>
      </c>
      <c r="N29" s="84" t="n">
        <f aca="false">+O29+Q29+T29+U29</f>
        <v>3700</v>
      </c>
      <c r="O29" s="85" t="n">
        <v>3700</v>
      </c>
      <c r="P29" s="86" t="n">
        <v>0</v>
      </c>
      <c r="Q29" s="87" t="n">
        <v>0</v>
      </c>
      <c r="R29" s="88" t="n">
        <v>0</v>
      </c>
      <c r="S29" s="88" t="n">
        <v>0</v>
      </c>
      <c r="T29" s="88" t="n">
        <v>0</v>
      </c>
      <c r="U29" s="88" t="n">
        <v>0</v>
      </c>
      <c r="V29" s="89" t="n">
        <v>1</v>
      </c>
      <c r="W29" s="90" t="n">
        <f aca="false">IFERROR(O29/V29,0)</f>
        <v>3700</v>
      </c>
      <c r="X29" s="91" t="n">
        <f aca="false">O29/L29</f>
        <v>0.925</v>
      </c>
      <c r="Y29" s="92" t="str">
        <f aca="false">IFERROR(VLOOKUP(E:E,'Item Data Support Sheet'!A:J,6,0),0)</f>
        <v>FO012</v>
      </c>
      <c r="Z29" s="93" t="n">
        <f aca="false">IFERROR(VLOOKUP(E:E,'Item Data Support Sheet'!A:O,4,0),0)</f>
        <v>0</v>
      </c>
      <c r="AA29" s="93" t="n">
        <f aca="false">IFERROR(((N29)*(Z29/1000))+P29,0)</f>
        <v>0</v>
      </c>
      <c r="AB29" s="94" t="str">
        <f aca="false">IFERROR((O29*(Z29/1000)/(AA29))," ")</f>
        <v> </v>
      </c>
      <c r="AC29" s="95" t="n">
        <f aca="false">IFERROR((T29)/((T29)+O29),0)</f>
        <v>0</v>
      </c>
      <c r="AD29" s="96" t="n">
        <f aca="false">IFERROR(Q29/(Q29+N29),0)</f>
        <v>0</v>
      </c>
      <c r="AE29" s="91" t="n">
        <f aca="false">(N29-T29)/N29</f>
        <v>1</v>
      </c>
      <c r="AF29" s="97" t="n">
        <f aca="false">BR29</f>
        <v>0</v>
      </c>
      <c r="AG29" s="98" t="n">
        <f aca="false">K29-AF29</f>
        <v>2.5</v>
      </c>
      <c r="AH29" s="99" t="n">
        <f aca="false">IFERROR(AG29/K29," ")</f>
        <v>1</v>
      </c>
      <c r="AI29" s="100" t="n">
        <f aca="false">IFERROR(O29/K29,0)</f>
        <v>1480</v>
      </c>
      <c r="AJ29" s="101" t="n">
        <f aca="false">VLOOKUP(D29,'Standard Cycle time'!C:D,2,0)</f>
        <v>2.3</v>
      </c>
      <c r="AK29" s="101" t="n">
        <f aca="false">AG29*V29*3600/O29</f>
        <v>2.43243243243243</v>
      </c>
      <c r="AL29" s="102" t="n">
        <f aca="false">AJ29/AK29</f>
        <v>0.945555555555555</v>
      </c>
      <c r="AM29" s="99" t="n">
        <f aca="false">AE29*AL29*AH29</f>
        <v>0.945555555555555</v>
      </c>
      <c r="AN29" s="103" t="n">
        <v>2214</v>
      </c>
      <c r="AO29" s="104"/>
      <c r="AP29" s="105" t="n">
        <v>0</v>
      </c>
      <c r="AQ29" s="105" t="n">
        <v>0</v>
      </c>
      <c r="AR29" s="105" t="n">
        <v>0</v>
      </c>
      <c r="AS29" s="105" t="n">
        <v>0</v>
      </c>
      <c r="AT29" s="105" t="n">
        <v>0</v>
      </c>
      <c r="AU29" s="105" t="n">
        <v>0</v>
      </c>
      <c r="AV29" s="105" t="n">
        <v>0</v>
      </c>
      <c r="AW29" s="105" t="n">
        <v>0</v>
      </c>
      <c r="AX29" s="105" t="n">
        <v>0</v>
      </c>
      <c r="AY29" s="105" t="n">
        <v>0</v>
      </c>
      <c r="AZ29" s="105" t="n">
        <v>0</v>
      </c>
      <c r="BA29" s="105" t="n">
        <v>0</v>
      </c>
      <c r="BB29" s="105" t="n">
        <v>0</v>
      </c>
      <c r="BC29" s="105" t="n">
        <v>0</v>
      </c>
      <c r="BD29" s="105" t="n">
        <v>0</v>
      </c>
      <c r="BE29" s="105" t="n">
        <v>0</v>
      </c>
      <c r="BF29" s="105" t="n">
        <v>0</v>
      </c>
      <c r="BG29" s="105" t="n">
        <v>0</v>
      </c>
      <c r="BH29" s="105" t="n">
        <v>0</v>
      </c>
      <c r="BI29" s="105" t="n">
        <v>0</v>
      </c>
      <c r="BJ29" s="105" t="n">
        <v>0</v>
      </c>
      <c r="BK29" s="105" t="n">
        <v>0</v>
      </c>
      <c r="BL29" s="105" t="n">
        <v>0</v>
      </c>
      <c r="BM29" s="105" t="n">
        <v>0</v>
      </c>
      <c r="BN29" s="105" t="n">
        <v>0</v>
      </c>
      <c r="BO29" s="105" t="n">
        <v>0</v>
      </c>
      <c r="BP29" s="105" t="n">
        <v>0</v>
      </c>
      <c r="BQ29" s="105" t="n">
        <v>0</v>
      </c>
      <c r="BR29" s="106" t="n">
        <f aca="false">SUM(AP29:BQ29)/60</f>
        <v>0</v>
      </c>
      <c r="BS29" s="106" t="n">
        <f aca="false">SUM(AP29:BR29)/60</f>
        <v>0</v>
      </c>
      <c r="BT29" s="107"/>
      <c r="BU29" s="107"/>
      <c r="BV29" s="107"/>
      <c r="BW29" s="107"/>
      <c r="BX29" s="107"/>
      <c r="BY29" s="107"/>
      <c r="BZ29" s="107"/>
      <c r="CA29" s="107"/>
      <c r="CB29" s="107"/>
      <c r="CC29" s="107"/>
      <c r="CD29" s="107"/>
      <c r="CE29" s="107"/>
      <c r="CF29" s="107"/>
      <c r="CG29" s="107"/>
      <c r="CH29" s="107"/>
      <c r="CI29" s="107"/>
      <c r="CJ29" s="107"/>
      <c r="CK29" s="107"/>
      <c r="CL29" s="107"/>
      <c r="CM29" s="107"/>
      <c r="CN29" s="107"/>
      <c r="CO29" s="107"/>
      <c r="CP29" s="107"/>
      <c r="CQ29" s="107"/>
      <c r="CR29" s="107"/>
      <c r="CS29" s="107"/>
      <c r="CT29" s="107"/>
      <c r="CU29" s="107"/>
      <c r="CV29" s="107"/>
    </row>
    <row r="30" s="74" customFormat="true" ht="14.9" hidden="true" customHeight="false" outlineLevel="0" collapsed="false">
      <c r="A30" s="74" t="n">
        <f aca="false">MONTH(B30)</f>
        <v>8</v>
      </c>
      <c r="B30" s="75" t="n">
        <v>44413</v>
      </c>
      <c r="C30" s="76" t="s">
        <v>51</v>
      </c>
      <c r="D30" s="77" t="str">
        <f aca="false">IFERROR(VLOOKUP(E:E,'Item Data Support Sheet'!A:O,7,0),"")</f>
        <v>NIPPLE PUNCH</v>
      </c>
      <c r="E30" s="108" t="s">
        <v>60</v>
      </c>
      <c r="F30" s="80"/>
      <c r="G30" s="77" t="s">
        <v>54</v>
      </c>
      <c r="H30" s="79" t="str">
        <f aca="false">IFERROR(VLOOKUP(E:E,'Item Data Support Sheet'!A:O,2,0),"")</f>
        <v>NIPPLE S TYPE M SIZE PUNCHED</v>
      </c>
      <c r="I30" s="80" t="s">
        <v>197</v>
      </c>
      <c r="J30" s="80" t="s">
        <v>143</v>
      </c>
      <c r="K30" s="81" t="n">
        <v>8</v>
      </c>
      <c r="L30" s="82" t="n">
        <v>7036</v>
      </c>
      <c r="M30" s="83" t="n">
        <f aca="false">IFERROR(L30/K30,0)</f>
        <v>879.5</v>
      </c>
      <c r="N30" s="84" t="n">
        <f aca="false">+O30+Q30+T30+U30</f>
        <v>7000</v>
      </c>
      <c r="O30" s="85" t="n">
        <v>6998</v>
      </c>
      <c r="P30" s="86" t="n">
        <v>0</v>
      </c>
      <c r="Q30" s="87" t="n">
        <v>0</v>
      </c>
      <c r="R30" s="88" t="n">
        <v>0</v>
      </c>
      <c r="S30" s="88" t="n">
        <v>0</v>
      </c>
      <c r="T30" s="88" t="n">
        <v>2</v>
      </c>
      <c r="U30" s="88" t="n">
        <v>0</v>
      </c>
      <c r="V30" s="89" t="n">
        <v>1</v>
      </c>
      <c r="W30" s="90" t="n">
        <f aca="false">IFERROR(O30/V30,0)</f>
        <v>6998</v>
      </c>
      <c r="X30" s="91" t="n">
        <f aca="false">O30/L30</f>
        <v>0.994599204093235</v>
      </c>
      <c r="Y30" s="92" t="str">
        <f aca="false">IFERROR(VLOOKUP(E:E,'Item Data Support Sheet'!A:J,6,0),0)</f>
        <v>FO016</v>
      </c>
      <c r="Z30" s="93" t="n">
        <f aca="false">IFERROR(VLOOKUP(E:E,'Item Data Support Sheet'!A:O,4,0),0)</f>
        <v>0</v>
      </c>
      <c r="AA30" s="93" t="n">
        <f aca="false">IFERROR(((N30)*(Z30/1000))+P30,0)</f>
        <v>0</v>
      </c>
      <c r="AB30" s="94" t="str">
        <f aca="false">IFERROR((O30*(Z30/1000)/(AA30))," ")</f>
        <v> </v>
      </c>
      <c r="AC30" s="95" t="n">
        <f aca="false">IFERROR((T30)/((T30)+O30),0)</f>
        <v>0.000285714285714286</v>
      </c>
      <c r="AD30" s="96" t="n">
        <f aca="false">IFERROR(Q30/(Q30+N30),0)</f>
        <v>0</v>
      </c>
      <c r="AE30" s="91" t="n">
        <f aca="false">(N30-T30)/N30</f>
        <v>0.999714285714286</v>
      </c>
      <c r="AF30" s="97" t="n">
        <f aca="false">BR30</f>
        <v>0.666666666666667</v>
      </c>
      <c r="AG30" s="98" t="n">
        <f aca="false">K30-AF30</f>
        <v>7.33333333333333</v>
      </c>
      <c r="AH30" s="99" t="n">
        <f aca="false">IFERROR(AG30/K30," ")</f>
        <v>0.916666666666667</v>
      </c>
      <c r="AI30" s="100" t="n">
        <f aca="false">IFERROR(O30/K30,0)</f>
        <v>874.75</v>
      </c>
      <c r="AJ30" s="101" t="n">
        <f aca="false">VLOOKUP(D30,'Standard Cycle time'!C:D,2,0)</f>
        <v>3.5</v>
      </c>
      <c r="AK30" s="101" t="n">
        <f aca="false">AG30*V30*3600/O30</f>
        <v>3.77250643040869</v>
      </c>
      <c r="AL30" s="102" t="n">
        <f aca="false">AJ30/AK30</f>
        <v>0.927765151515152</v>
      </c>
      <c r="AM30" s="99" t="n">
        <f aca="false">AE30*AL30*AH30</f>
        <v>0.850208402777778</v>
      </c>
      <c r="AN30" s="103" t="s">
        <v>198</v>
      </c>
      <c r="AO30" s="109"/>
      <c r="AP30" s="105" t="n">
        <v>40</v>
      </c>
      <c r="AQ30" s="105" t="n">
        <v>0</v>
      </c>
      <c r="AR30" s="105" t="n">
        <v>0</v>
      </c>
      <c r="AS30" s="105" t="n">
        <v>0</v>
      </c>
      <c r="AT30" s="105" t="n">
        <v>0</v>
      </c>
      <c r="AU30" s="105" t="n">
        <v>0</v>
      </c>
      <c r="AV30" s="105" t="n">
        <v>0</v>
      </c>
      <c r="AW30" s="105" t="n">
        <v>0</v>
      </c>
      <c r="AX30" s="105" t="n">
        <v>0</v>
      </c>
      <c r="AY30" s="105" t="n">
        <v>0</v>
      </c>
      <c r="AZ30" s="105" t="n">
        <v>0</v>
      </c>
      <c r="BA30" s="105" t="n">
        <v>0</v>
      </c>
      <c r="BB30" s="105" t="n">
        <v>0</v>
      </c>
      <c r="BC30" s="105" t="n">
        <v>0</v>
      </c>
      <c r="BD30" s="105" t="n">
        <v>0</v>
      </c>
      <c r="BE30" s="105" t="n">
        <v>0</v>
      </c>
      <c r="BF30" s="105" t="n">
        <v>0</v>
      </c>
      <c r="BG30" s="105" t="n">
        <v>0</v>
      </c>
      <c r="BH30" s="105" t="n">
        <v>0</v>
      </c>
      <c r="BI30" s="105" t="n">
        <v>0</v>
      </c>
      <c r="BJ30" s="105" t="n">
        <v>0</v>
      </c>
      <c r="BK30" s="105" t="n">
        <v>0</v>
      </c>
      <c r="BL30" s="105" t="n">
        <v>0</v>
      </c>
      <c r="BM30" s="105" t="n">
        <v>0</v>
      </c>
      <c r="BN30" s="105" t="n">
        <v>0</v>
      </c>
      <c r="BO30" s="105" t="n">
        <v>0</v>
      </c>
      <c r="BP30" s="105" t="n">
        <v>0</v>
      </c>
      <c r="BQ30" s="105" t="n">
        <v>0</v>
      </c>
      <c r="BR30" s="106" t="n">
        <f aca="false">SUM(AP30:BQ30)/60</f>
        <v>0.666666666666667</v>
      </c>
      <c r="BS30" s="106" t="n">
        <f aca="false">SUM(AP30:BR30)/60</f>
        <v>0.677777777777778</v>
      </c>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row>
    <row r="31" s="74" customFormat="true" ht="14.9" hidden="true" customHeight="true" outlineLevel="0" collapsed="false">
      <c r="A31" s="74" t="n">
        <f aca="false">MONTH(B31)</f>
        <v>8</v>
      </c>
      <c r="B31" s="75" t="n">
        <v>44413</v>
      </c>
      <c r="C31" s="76" t="s">
        <v>51</v>
      </c>
      <c r="D31" s="77" t="str">
        <f aca="false">IFERROR(VLOOKUP(E:E,'Item Data Support Sheet'!A:O,7,0),"")</f>
        <v>CAP MOLDED</v>
      </c>
      <c r="E31" s="108" t="s">
        <v>199</v>
      </c>
      <c r="F31" s="80"/>
      <c r="G31" s="77" t="s">
        <v>200</v>
      </c>
      <c r="H31" s="79" t="str">
        <f aca="false">IFERROR(VLOOKUP(E:E,'Item Data Support Sheet'!A:O,2,0),"")</f>
        <v>CAP S TYPE MOLDED RED</v>
      </c>
      <c r="I31" s="80" t="s">
        <v>201</v>
      </c>
      <c r="J31" s="80" t="s">
        <v>143</v>
      </c>
      <c r="K31" s="81" t="n">
        <v>2</v>
      </c>
      <c r="L31" s="82" t="n">
        <v>1137</v>
      </c>
      <c r="M31" s="83" t="n">
        <f aca="false">IFERROR(L31/K31,0)</f>
        <v>568.5</v>
      </c>
      <c r="N31" s="84" t="n">
        <f aca="false">+O31+Q31+T31+U31</f>
        <v>1165</v>
      </c>
      <c r="O31" s="85" t="n">
        <v>1165</v>
      </c>
      <c r="P31" s="86" t="n">
        <v>0</v>
      </c>
      <c r="Q31" s="87" t="n">
        <v>0</v>
      </c>
      <c r="R31" s="88" t="n">
        <v>0</v>
      </c>
      <c r="S31" s="88" t="n">
        <v>0</v>
      </c>
      <c r="T31" s="88" t="n">
        <v>0</v>
      </c>
      <c r="U31" s="88" t="n">
        <v>0</v>
      </c>
      <c r="V31" s="89" t="n">
        <v>1</v>
      </c>
      <c r="W31" s="90" t="n">
        <f aca="false">IFERROR(O31/V31,0)</f>
        <v>1165</v>
      </c>
      <c r="X31" s="91" t="n">
        <f aca="false">O31/L31</f>
        <v>1.02462620932278</v>
      </c>
      <c r="Y31" s="92" t="str">
        <f aca="false">IFERROR(VLOOKUP(E:E,'Item Data Support Sheet'!A:J,6,0),0)</f>
        <v>FO153</v>
      </c>
      <c r="Z31" s="93" t="n">
        <f aca="false">IFERROR(VLOOKUP(E:E,'Item Data Support Sheet'!A:O,4,0),0)</f>
        <v>7.3</v>
      </c>
      <c r="AA31" s="93" t="n">
        <f aca="false">IFERROR(((N31)*(Z31/1000))+P31,0)</f>
        <v>8.5045</v>
      </c>
      <c r="AB31" s="94" t="n">
        <f aca="false">IFERROR((O31*(Z31/1000)/(AA31))," ")</f>
        <v>1</v>
      </c>
      <c r="AC31" s="95" t="n">
        <f aca="false">IFERROR((T31)/((T31)+O31),0)</f>
        <v>0</v>
      </c>
      <c r="AD31" s="96" t="n">
        <f aca="false">IFERROR(Q31/(Q31+N31),0)</f>
        <v>0</v>
      </c>
      <c r="AE31" s="91" t="n">
        <f aca="false">(N31-T31)/N31</f>
        <v>1</v>
      </c>
      <c r="AF31" s="97" t="n">
        <f aca="false">BR31</f>
        <v>0</v>
      </c>
      <c r="AG31" s="98" t="n">
        <f aca="false">K31-AF31</f>
        <v>2</v>
      </c>
      <c r="AH31" s="99" t="n">
        <f aca="false">IFERROR(AG31/K31," ")</f>
        <v>1</v>
      </c>
      <c r="AI31" s="100" t="n">
        <f aca="false">IFERROR(O31/K31,0)</f>
        <v>582.5</v>
      </c>
      <c r="AJ31" s="101" t="n">
        <f aca="false">VLOOKUP(D31,'Standard Cycle time'!C:D,2,0)</f>
        <v>6</v>
      </c>
      <c r="AK31" s="101" t="n">
        <f aca="false">AG31*V31*3600/O31</f>
        <v>6.18025751072961</v>
      </c>
      <c r="AL31" s="102" t="n">
        <f aca="false">AJ31/AK31</f>
        <v>0.970833333333333</v>
      </c>
      <c r="AM31" s="99" t="n">
        <f aca="false">AE31*AL31*AH31</f>
        <v>0.970833333333333</v>
      </c>
      <c r="AN31" s="103" t="n">
        <v>2686</v>
      </c>
      <c r="AO31" s="111" t="s">
        <v>202</v>
      </c>
      <c r="AP31" s="105" t="n">
        <v>0</v>
      </c>
      <c r="AQ31" s="105" t="n">
        <v>0</v>
      </c>
      <c r="AR31" s="105" t="n">
        <v>0</v>
      </c>
      <c r="AS31" s="105" t="n">
        <v>0</v>
      </c>
      <c r="AT31" s="105" t="n">
        <v>0</v>
      </c>
      <c r="AU31" s="105" t="n">
        <v>0</v>
      </c>
      <c r="AV31" s="105"/>
      <c r="AW31" s="105" t="n">
        <v>0</v>
      </c>
      <c r="AX31" s="105" t="n">
        <v>0</v>
      </c>
      <c r="AY31" s="105" t="n">
        <v>0</v>
      </c>
      <c r="AZ31" s="105" t="n">
        <v>0</v>
      </c>
      <c r="BA31" s="105" t="n">
        <v>0</v>
      </c>
      <c r="BB31" s="105"/>
      <c r="BC31" s="105" t="n">
        <v>0</v>
      </c>
      <c r="BD31" s="105" t="n">
        <v>0</v>
      </c>
      <c r="BE31" s="105" t="n">
        <v>0</v>
      </c>
      <c r="BF31" s="105" t="n">
        <v>0</v>
      </c>
      <c r="BG31" s="105" t="n">
        <v>0</v>
      </c>
      <c r="BH31" s="105" t="n">
        <v>0</v>
      </c>
      <c r="BI31" s="105" t="n">
        <v>0</v>
      </c>
      <c r="BJ31" s="105" t="n">
        <v>0</v>
      </c>
      <c r="BK31" s="105" t="n">
        <v>0</v>
      </c>
      <c r="BL31" s="105" t="n">
        <v>0</v>
      </c>
      <c r="BM31" s="105" t="n">
        <v>0</v>
      </c>
      <c r="BN31" s="105" t="n">
        <v>0</v>
      </c>
      <c r="BO31" s="105" t="n">
        <v>0</v>
      </c>
      <c r="BP31" s="105" t="n">
        <v>0</v>
      </c>
      <c r="BQ31" s="105" t="n">
        <v>0</v>
      </c>
      <c r="BR31" s="106" t="n">
        <f aca="false">SUM(AP31:BQ31)/60</f>
        <v>0</v>
      </c>
      <c r="BS31" s="106" t="n">
        <f aca="false">SUM(AP31:BR31)/60</f>
        <v>0</v>
      </c>
      <c r="BT31" s="107"/>
      <c r="BU31" s="107"/>
      <c r="BV31" s="107"/>
      <c r="BW31" s="107"/>
      <c r="BX31" s="107"/>
      <c r="BY31" s="107"/>
      <c r="BZ31" s="107"/>
      <c r="CA31" s="107"/>
      <c r="CB31" s="107"/>
      <c r="CC31" s="107"/>
      <c r="CD31" s="107"/>
      <c r="CE31" s="107"/>
      <c r="CF31" s="107"/>
      <c r="CG31" s="107"/>
      <c r="CH31" s="107"/>
      <c r="CI31" s="107"/>
      <c r="CJ31" s="107"/>
      <c r="CK31" s="107"/>
      <c r="CL31" s="107"/>
      <c r="CM31" s="107"/>
      <c r="CN31" s="107"/>
      <c r="CO31" s="107"/>
      <c r="CP31" s="107"/>
      <c r="CQ31" s="107"/>
      <c r="CR31" s="107"/>
      <c r="CS31" s="107"/>
      <c r="CT31" s="107"/>
      <c r="CU31" s="107"/>
      <c r="CV31" s="107"/>
    </row>
    <row r="32" s="74" customFormat="true" ht="14.9" hidden="true" customHeight="true" outlineLevel="0" collapsed="false">
      <c r="A32" s="74" t="n">
        <f aca="false">MONTH(B32)</f>
        <v>8</v>
      </c>
      <c r="B32" s="75" t="n">
        <v>44413</v>
      </c>
      <c r="C32" s="76" t="s">
        <v>51</v>
      </c>
      <c r="D32" s="77" t="str">
        <f aca="false">IFERROR(VLOOKUP(E:E,'Item Data Support Sheet'!A:O,7,0),"")</f>
        <v>CAP MOLDED</v>
      </c>
      <c r="E32" s="108" t="s">
        <v>199</v>
      </c>
      <c r="F32" s="80"/>
      <c r="G32" s="77" t="s">
        <v>200</v>
      </c>
      <c r="H32" s="79" t="str">
        <f aca="false">IFERROR(VLOOKUP(E:E,'Item Data Support Sheet'!A:O,2,0),"")</f>
        <v>CAP S TYPE MOLDED RED</v>
      </c>
      <c r="I32" s="80" t="s">
        <v>203</v>
      </c>
      <c r="J32" s="80" t="s">
        <v>143</v>
      </c>
      <c r="K32" s="81" t="n">
        <v>6</v>
      </c>
      <c r="L32" s="82" t="n">
        <v>4000</v>
      </c>
      <c r="M32" s="83" t="n">
        <f aca="false">IFERROR(L32/K32,0)</f>
        <v>666.666666666667</v>
      </c>
      <c r="N32" s="84" t="n">
        <f aca="false">+O32+Q32+T32+U32</f>
        <v>2524</v>
      </c>
      <c r="O32" s="85" t="n">
        <v>2500</v>
      </c>
      <c r="P32" s="86" t="n">
        <v>0.681</v>
      </c>
      <c r="Q32" s="87" t="n">
        <v>10</v>
      </c>
      <c r="R32" s="88" t="n">
        <v>0</v>
      </c>
      <c r="S32" s="88" t="n">
        <v>0</v>
      </c>
      <c r="T32" s="88" t="n">
        <v>6</v>
      </c>
      <c r="U32" s="88" t="n">
        <v>8</v>
      </c>
      <c r="V32" s="89" t="n">
        <v>1</v>
      </c>
      <c r="W32" s="90" t="n">
        <f aca="false">IFERROR(O32/V32,0)</f>
        <v>2500</v>
      </c>
      <c r="X32" s="91" t="n">
        <f aca="false">O32/L32</f>
        <v>0.625</v>
      </c>
      <c r="Y32" s="92" t="str">
        <f aca="false">IFERROR(VLOOKUP(E:E,'Item Data Support Sheet'!A:J,6,0),0)</f>
        <v>FO153</v>
      </c>
      <c r="Z32" s="93" t="n">
        <f aca="false">IFERROR(VLOOKUP(E:E,'Item Data Support Sheet'!A:O,4,0),0)</f>
        <v>7.3</v>
      </c>
      <c r="AA32" s="93" t="n">
        <f aca="false">IFERROR(((N32)*(Z32/1000))+P32,0)</f>
        <v>19.1062</v>
      </c>
      <c r="AB32" s="94" t="n">
        <f aca="false">IFERROR((O32*(Z32/1000)/(AA32))," ")</f>
        <v>0.955187321393056</v>
      </c>
      <c r="AC32" s="95" t="n">
        <f aca="false">IFERROR((T32)/((T32)+O32),0)</f>
        <v>0.00239425379090184</v>
      </c>
      <c r="AD32" s="96" t="n">
        <f aca="false">IFERROR(Q32/(Q32+N32),0)</f>
        <v>0.00394632991318074</v>
      </c>
      <c r="AE32" s="91" t="n">
        <f aca="false">(N32-T32)/N32</f>
        <v>0.997622820919176</v>
      </c>
      <c r="AF32" s="97" t="n">
        <f aca="false">BR32</f>
        <v>1</v>
      </c>
      <c r="AG32" s="98" t="n">
        <f aca="false">K32-AF32</f>
        <v>5</v>
      </c>
      <c r="AH32" s="99" t="n">
        <f aca="false">IFERROR(AG32/K32," ")</f>
        <v>0.833333333333333</v>
      </c>
      <c r="AI32" s="100" t="n">
        <f aca="false">IFERROR(O32/K32,0)</f>
        <v>416.666666666667</v>
      </c>
      <c r="AJ32" s="101" t="n">
        <f aca="false">VLOOKUP(D32,'Standard Cycle time'!C:D,2,0)</f>
        <v>6</v>
      </c>
      <c r="AK32" s="101" t="n">
        <f aca="false">AG32*V32*3600/O32</f>
        <v>7.2</v>
      </c>
      <c r="AL32" s="102" t="n">
        <f aca="false">AJ32/AK32</f>
        <v>0.833333333333333</v>
      </c>
      <c r="AM32" s="99" t="n">
        <f aca="false">AE32*AL32*AH32</f>
        <v>0.692793625638316</v>
      </c>
      <c r="AN32" s="103" t="n">
        <v>2687</v>
      </c>
      <c r="AO32" s="104"/>
      <c r="AP32" s="105" t="n">
        <v>0</v>
      </c>
      <c r="AQ32" s="105" t="n">
        <v>0</v>
      </c>
      <c r="AR32" s="105" t="n">
        <v>0</v>
      </c>
      <c r="AS32" s="105" t="n">
        <v>0</v>
      </c>
      <c r="AT32" s="105" t="n">
        <v>0</v>
      </c>
      <c r="AU32" s="105" t="n">
        <v>0</v>
      </c>
      <c r="AV32" s="105" t="n">
        <v>30</v>
      </c>
      <c r="AW32" s="105" t="n">
        <v>0</v>
      </c>
      <c r="AX32" s="105" t="n">
        <v>0</v>
      </c>
      <c r="AY32" s="105" t="n">
        <v>0</v>
      </c>
      <c r="AZ32" s="105" t="n">
        <v>0</v>
      </c>
      <c r="BA32" s="105" t="n">
        <v>0</v>
      </c>
      <c r="BB32" s="105" t="n">
        <v>30</v>
      </c>
      <c r="BC32" s="105" t="n">
        <v>0</v>
      </c>
      <c r="BD32" s="105" t="n">
        <v>0</v>
      </c>
      <c r="BE32" s="105" t="n">
        <v>0</v>
      </c>
      <c r="BF32" s="105" t="n">
        <v>0</v>
      </c>
      <c r="BG32" s="105" t="n">
        <v>0</v>
      </c>
      <c r="BH32" s="105" t="n">
        <v>0</v>
      </c>
      <c r="BI32" s="105" t="n">
        <v>0</v>
      </c>
      <c r="BJ32" s="105" t="n">
        <v>0</v>
      </c>
      <c r="BK32" s="105" t="n">
        <v>0</v>
      </c>
      <c r="BL32" s="105" t="n">
        <v>0</v>
      </c>
      <c r="BM32" s="105" t="n">
        <v>0</v>
      </c>
      <c r="BN32" s="105" t="n">
        <v>0</v>
      </c>
      <c r="BO32" s="105" t="n">
        <v>0</v>
      </c>
      <c r="BP32" s="105" t="n">
        <v>0</v>
      </c>
      <c r="BQ32" s="105" t="n">
        <v>0</v>
      </c>
      <c r="BR32" s="106" t="n">
        <f aca="false">SUM(AP32:BQ32)/60</f>
        <v>1</v>
      </c>
      <c r="BS32" s="106" t="n">
        <f aca="false">SUM(AP32:BR32)/60</f>
        <v>1.01666666666667</v>
      </c>
      <c r="BT32" s="107"/>
      <c r="BU32" s="107"/>
      <c r="BV32" s="107"/>
      <c r="BW32" s="107"/>
      <c r="BX32" s="107"/>
      <c r="BY32" s="107"/>
      <c r="BZ32" s="107"/>
      <c r="CA32" s="107"/>
      <c r="CB32" s="107"/>
      <c r="CC32" s="107"/>
      <c r="CD32" s="107"/>
      <c r="CE32" s="107"/>
      <c r="CF32" s="107"/>
      <c r="CG32" s="107"/>
      <c r="CH32" s="107"/>
      <c r="CI32" s="107"/>
      <c r="CJ32" s="107"/>
      <c r="CK32" s="107"/>
      <c r="CL32" s="107"/>
      <c r="CM32" s="107"/>
      <c r="CN32" s="107"/>
      <c r="CO32" s="107"/>
      <c r="CP32" s="107"/>
      <c r="CQ32" s="107"/>
      <c r="CR32" s="107"/>
      <c r="CS32" s="107"/>
      <c r="CT32" s="107"/>
      <c r="CU32" s="107"/>
      <c r="CV32" s="107"/>
    </row>
    <row r="33" s="74" customFormat="true" ht="14.9" hidden="true" customHeight="true" outlineLevel="0" collapsed="false">
      <c r="A33" s="74" t="n">
        <f aca="false">MONTH(B33)</f>
        <v>8</v>
      </c>
      <c r="B33" s="75" t="n">
        <v>44413</v>
      </c>
      <c r="C33" s="76" t="s">
        <v>63</v>
      </c>
      <c r="D33" s="77" t="str">
        <f aca="false">IFERROR(VLOOKUP(E:E,'Item Data Support Sheet'!A:O,7,0),"")</f>
        <v>BOTTLE PRINTED</v>
      </c>
      <c r="E33" s="108" t="s">
        <v>204</v>
      </c>
      <c r="F33" s="80"/>
      <c r="G33" s="77" t="s">
        <v>66</v>
      </c>
      <c r="H33" s="79" t="str">
        <f aca="false">IFERROR(VLOOKUP(E:E,'Item Data Support Sheet'!A:O,2,0),"")</f>
        <v>50 ML RPP BOTTLE PRINTED - BIRDS</v>
      </c>
      <c r="I33" s="80" t="s">
        <v>205</v>
      </c>
      <c r="J33" s="80" t="s">
        <v>161</v>
      </c>
      <c r="K33" s="81" t="n">
        <v>8.5</v>
      </c>
      <c r="L33" s="82" t="n">
        <v>1800</v>
      </c>
      <c r="M33" s="83" t="n">
        <f aca="false">IFERROR(L33/K33,0)</f>
        <v>211.764705882353</v>
      </c>
      <c r="N33" s="84" t="n">
        <f aca="false">+O33+Q33+T33+U33</f>
        <v>1807</v>
      </c>
      <c r="O33" s="85" t="n">
        <v>1654</v>
      </c>
      <c r="P33" s="86" t="n">
        <v>0</v>
      </c>
      <c r="Q33" s="87" t="n">
        <v>0</v>
      </c>
      <c r="R33" s="88" t="n">
        <v>232</v>
      </c>
      <c r="S33" s="88" t="n">
        <v>0</v>
      </c>
      <c r="T33" s="88" t="n">
        <v>153</v>
      </c>
      <c r="U33" s="88" t="n">
        <v>0</v>
      </c>
      <c r="V33" s="89" t="n">
        <v>6</v>
      </c>
      <c r="W33" s="90" t="n">
        <f aca="false">IFERROR(O33/V33,0)</f>
        <v>275.666666666667</v>
      </c>
      <c r="X33" s="91" t="n">
        <f aca="false">O33/L33</f>
        <v>0.918888888888889</v>
      </c>
      <c r="Y33" s="92" t="str">
        <f aca="false">IFERROR(VLOOKUP(E:E,'Item Data Support Sheet'!A:J,6,0),0)</f>
        <v>FO112</v>
      </c>
      <c r="Z33" s="93" t="n">
        <f aca="false">IFERROR(VLOOKUP(E:E,'Item Data Support Sheet'!A:O,4,0),0)</f>
        <v>17.015</v>
      </c>
      <c r="AA33" s="93" t="n">
        <f aca="false">IFERROR(((N33)*(Z33/1000))+P33,0)</f>
        <v>30.746105</v>
      </c>
      <c r="AB33" s="94" t="n">
        <f aca="false">IFERROR((O33*(Z33/1000)/(AA33))," ")</f>
        <v>0.915329275041505</v>
      </c>
      <c r="AC33" s="95" t="n">
        <f aca="false">IFERROR((T33)/((T33)+O33),0)</f>
        <v>0.0846707249584947</v>
      </c>
      <c r="AD33" s="96" t="n">
        <f aca="false">IFERROR(Q33/(Q33+N33),0)</f>
        <v>0</v>
      </c>
      <c r="AE33" s="91" t="n">
        <f aca="false">(N33-T33)/N33</f>
        <v>0.915329275041505</v>
      </c>
      <c r="AF33" s="97" t="n">
        <f aca="false">BR33</f>
        <v>5</v>
      </c>
      <c r="AG33" s="98" t="n">
        <f aca="false">K33-AF33</f>
        <v>3.5</v>
      </c>
      <c r="AH33" s="99" t="n">
        <f aca="false">IFERROR(AG33/K33," ")</f>
        <v>0.411764705882353</v>
      </c>
      <c r="AI33" s="100" t="n">
        <f aca="false">IFERROR(O33/K33,0)</f>
        <v>194.588235294118</v>
      </c>
      <c r="AJ33" s="101" t="n">
        <f aca="false">VLOOKUP(D33,'Standard Cycle time'!C:D,2,0)</f>
        <v>32.4</v>
      </c>
      <c r="AK33" s="101" t="n">
        <f aca="false">AG33*V33*3600/O33</f>
        <v>45.7073760580411</v>
      </c>
      <c r="AL33" s="102" t="n">
        <f aca="false">AJ33/AK33</f>
        <v>0.708857142857143</v>
      </c>
      <c r="AM33" s="99" t="n">
        <f aca="false">AE33*AL33*AH33</f>
        <v>0.267168462515056</v>
      </c>
      <c r="AN33" s="103" t="s">
        <v>206</v>
      </c>
      <c r="AO33" s="104" t="s">
        <v>207</v>
      </c>
      <c r="AP33" s="105" t="n">
        <v>50</v>
      </c>
      <c r="AQ33" s="105" t="n">
        <v>100</v>
      </c>
      <c r="AR33" s="105" t="n">
        <v>0</v>
      </c>
      <c r="AS33" s="105" t="n">
        <v>0</v>
      </c>
      <c r="AT33" s="105" t="n">
        <v>0</v>
      </c>
      <c r="AU33" s="105" t="n">
        <v>0</v>
      </c>
      <c r="AV33" s="105" t="n">
        <v>150</v>
      </c>
      <c r="AW33" s="105" t="n">
        <v>0</v>
      </c>
      <c r="AX33" s="105" t="n">
        <v>0</v>
      </c>
      <c r="AY33" s="105" t="n">
        <v>0</v>
      </c>
      <c r="AZ33" s="105" t="n">
        <v>0</v>
      </c>
      <c r="BA33" s="105" t="n">
        <v>0</v>
      </c>
      <c r="BB33" s="105" t="n">
        <v>0</v>
      </c>
      <c r="BC33" s="105" t="n">
        <v>0</v>
      </c>
      <c r="BD33" s="105" t="n">
        <v>0</v>
      </c>
      <c r="BE33" s="105" t="n">
        <v>0</v>
      </c>
      <c r="BF33" s="105" t="n">
        <v>0</v>
      </c>
      <c r="BG33" s="105" t="n">
        <v>0</v>
      </c>
      <c r="BH33" s="105" t="n">
        <v>0</v>
      </c>
      <c r="BI33" s="105" t="n">
        <v>0</v>
      </c>
      <c r="BJ33" s="105" t="n">
        <v>0</v>
      </c>
      <c r="BK33" s="105" t="n">
        <v>0</v>
      </c>
      <c r="BL33" s="105" t="n">
        <v>0</v>
      </c>
      <c r="BM33" s="105" t="n">
        <v>0</v>
      </c>
      <c r="BN33" s="105" t="n">
        <v>0</v>
      </c>
      <c r="BO33" s="105" t="n">
        <v>0</v>
      </c>
      <c r="BP33" s="105" t="n">
        <v>0</v>
      </c>
      <c r="BQ33" s="105" t="n">
        <v>0</v>
      </c>
      <c r="BR33" s="106" t="n">
        <f aca="false">SUM(AP33:BQ33)/60</f>
        <v>5</v>
      </c>
      <c r="BS33" s="106" t="n">
        <f aca="false">SUM(AP33:BR33)/60</f>
        <v>5.08333333333333</v>
      </c>
      <c r="BT33" s="107"/>
      <c r="BU33" s="107"/>
      <c r="BV33" s="107"/>
      <c r="BW33" s="107"/>
      <c r="BX33" s="107"/>
      <c r="BY33" s="107"/>
      <c r="BZ33" s="107"/>
      <c r="CA33" s="107"/>
      <c r="CB33" s="107"/>
      <c r="CC33" s="107"/>
      <c r="CD33" s="107"/>
      <c r="CE33" s="107"/>
      <c r="CF33" s="107"/>
      <c r="CG33" s="107"/>
      <c r="CH33" s="107"/>
      <c r="CI33" s="107"/>
      <c r="CJ33" s="107"/>
      <c r="CK33" s="107"/>
      <c r="CL33" s="107"/>
      <c r="CM33" s="107"/>
      <c r="CN33" s="107"/>
      <c r="CO33" s="107"/>
      <c r="CP33" s="107"/>
      <c r="CQ33" s="107"/>
      <c r="CR33" s="107"/>
      <c r="CS33" s="107"/>
      <c r="CT33" s="107"/>
      <c r="CU33" s="107"/>
      <c r="CV33" s="107"/>
    </row>
    <row r="34" s="74" customFormat="true" ht="14.9" hidden="true" customHeight="true" outlineLevel="0" collapsed="false">
      <c r="A34" s="74" t="n">
        <f aca="false">MONTH(B34)</f>
        <v>8</v>
      </c>
      <c r="B34" s="75" t="n">
        <v>44413</v>
      </c>
      <c r="C34" s="76" t="s">
        <v>63</v>
      </c>
      <c r="D34" s="77" t="str">
        <f aca="false">IFERROR(VLOOKUP(E:E,'Item Data Support Sheet'!A:O,7,0),"")</f>
        <v>NIPPLE PUNCH INSPECTED</v>
      </c>
      <c r="E34" s="108" t="s">
        <v>182</v>
      </c>
      <c r="F34" s="80"/>
      <c r="G34" s="77"/>
      <c r="H34" s="79" t="str">
        <f aca="false">IFERROR(VLOOKUP(E:E,'Item Data Support Sheet'!A:O,2,0),"")</f>
        <v>NIPPLE S TYPE M SIZE PUNCHED INSPECTED</v>
      </c>
      <c r="I34" s="80" t="s">
        <v>176</v>
      </c>
      <c r="J34" s="80" t="s">
        <v>158</v>
      </c>
      <c r="K34" s="81" t="n">
        <v>8.5</v>
      </c>
      <c r="L34" s="82" t="n">
        <v>14182</v>
      </c>
      <c r="M34" s="83" t="n">
        <f aca="false">IFERROR(L34/K34,0)</f>
        <v>1668.47058823529</v>
      </c>
      <c r="N34" s="84" t="n">
        <f aca="false">+O34+Q34+T34+U34</f>
        <v>15874</v>
      </c>
      <c r="O34" s="85" t="n">
        <v>15836</v>
      </c>
      <c r="P34" s="86" t="n">
        <v>0</v>
      </c>
      <c r="Q34" s="87" t="n">
        <v>0</v>
      </c>
      <c r="R34" s="88" t="n">
        <v>0</v>
      </c>
      <c r="S34" s="88" t="n">
        <v>0</v>
      </c>
      <c r="T34" s="88" t="n">
        <v>38</v>
      </c>
      <c r="U34" s="88" t="n">
        <v>0</v>
      </c>
      <c r="V34" s="89" t="n">
        <v>2</v>
      </c>
      <c r="W34" s="90" t="n">
        <f aca="false">IFERROR(O34/V34,0)</f>
        <v>7918</v>
      </c>
      <c r="X34" s="91" t="n">
        <f aca="false">O34/L34</f>
        <v>1.11662670991398</v>
      </c>
      <c r="Y34" s="92" t="str">
        <f aca="false">IFERROR(VLOOKUP(E:E,'Item Data Support Sheet'!A:J,6,0),0)</f>
        <v>FO105</v>
      </c>
      <c r="Z34" s="93" t="n">
        <f aca="false">IFERROR(VLOOKUP(E:E,'Item Data Support Sheet'!A:O,4,0),0)</f>
        <v>0</v>
      </c>
      <c r="AA34" s="93" t="n">
        <f aca="false">IFERROR(((N34)*(Z34/1000))+P34,0)</f>
        <v>0</v>
      </c>
      <c r="AB34" s="94" t="str">
        <f aca="false">IFERROR((O34*(Z34/1000)/(AA34))," ")</f>
        <v> </v>
      </c>
      <c r="AC34" s="95" t="n">
        <f aca="false">IFERROR((T34)/((T34)+O34),0)</f>
        <v>0.00239385158120197</v>
      </c>
      <c r="AD34" s="96" t="n">
        <f aca="false">IFERROR(Q34/(Q34+N34),0)</f>
        <v>0</v>
      </c>
      <c r="AE34" s="91" t="n">
        <f aca="false">(N34-T34)/N34</f>
        <v>0.997606148418798</v>
      </c>
      <c r="AF34" s="97" t="n">
        <f aca="false">BR34</f>
        <v>0.666666666666667</v>
      </c>
      <c r="AG34" s="98" t="n">
        <f aca="false">K34-AF34</f>
        <v>7.83333333333333</v>
      </c>
      <c r="AH34" s="99" t="n">
        <f aca="false">IFERROR(AG34/K34," ")</f>
        <v>0.92156862745098</v>
      </c>
      <c r="AI34" s="100" t="n">
        <f aca="false">IFERROR(O34/K34,0)</f>
        <v>1863.05882352941</v>
      </c>
      <c r="AJ34" s="101" t="n">
        <f aca="false">VLOOKUP(D34,'Standard Cycle time'!C:D,2,0)</f>
        <v>4</v>
      </c>
      <c r="AK34" s="101" t="n">
        <f aca="false">AG34*V34*3600/O34</f>
        <v>3.56150543066431</v>
      </c>
      <c r="AL34" s="102" t="n">
        <f aca="false">AJ34/AK34</f>
        <v>1.12312056737589</v>
      </c>
      <c r="AM34" s="99" t="n">
        <f aca="false">AE34*AL34*AH34</f>
        <v>1.03255496512157</v>
      </c>
      <c r="AN34" s="103" t="s">
        <v>208</v>
      </c>
      <c r="AO34" s="109"/>
      <c r="AP34" s="105" t="n">
        <v>40</v>
      </c>
      <c r="AQ34" s="105" t="n">
        <v>0</v>
      </c>
      <c r="AR34" s="105" t="n">
        <v>0</v>
      </c>
      <c r="AS34" s="105" t="n">
        <v>0</v>
      </c>
      <c r="AT34" s="105" t="n">
        <v>0</v>
      </c>
      <c r="AU34" s="105" t="n">
        <v>0</v>
      </c>
      <c r="AV34" s="105" t="n">
        <v>0</v>
      </c>
      <c r="AW34" s="105" t="n">
        <v>0</v>
      </c>
      <c r="AX34" s="105" t="n">
        <v>0</v>
      </c>
      <c r="AY34" s="105" t="n">
        <v>0</v>
      </c>
      <c r="AZ34" s="105" t="n">
        <v>0</v>
      </c>
      <c r="BA34" s="105" t="n">
        <v>0</v>
      </c>
      <c r="BB34" s="105" t="n">
        <v>0</v>
      </c>
      <c r="BC34" s="105" t="n">
        <v>0</v>
      </c>
      <c r="BD34" s="105" t="n">
        <v>0</v>
      </c>
      <c r="BE34" s="105" t="n">
        <v>0</v>
      </c>
      <c r="BF34" s="105" t="n">
        <v>0</v>
      </c>
      <c r="BG34" s="105" t="n">
        <v>0</v>
      </c>
      <c r="BH34" s="105" t="n">
        <v>0</v>
      </c>
      <c r="BI34" s="105" t="n">
        <v>0</v>
      </c>
      <c r="BJ34" s="105" t="n">
        <v>0</v>
      </c>
      <c r="BK34" s="105" t="n">
        <v>0</v>
      </c>
      <c r="BL34" s="105" t="n">
        <v>0</v>
      </c>
      <c r="BM34" s="105" t="n">
        <v>0</v>
      </c>
      <c r="BN34" s="105" t="n">
        <v>0</v>
      </c>
      <c r="BO34" s="105" t="n">
        <v>0</v>
      </c>
      <c r="BP34" s="105" t="n">
        <v>0</v>
      </c>
      <c r="BQ34" s="105" t="n">
        <v>0</v>
      </c>
      <c r="BR34" s="106" t="n">
        <f aca="false">SUM(AP34:BQ34)/60</f>
        <v>0.666666666666667</v>
      </c>
      <c r="BS34" s="106" t="n">
        <f aca="false">SUM(AP34:BR34)/60</f>
        <v>0.677777777777778</v>
      </c>
      <c r="BT34" s="107"/>
      <c r="BU34" s="107"/>
      <c r="BV34" s="107"/>
      <c r="BW34" s="107"/>
      <c r="BX34" s="107"/>
      <c r="BY34" s="107"/>
      <c r="BZ34" s="107"/>
      <c r="CA34" s="107"/>
      <c r="CB34" s="107"/>
      <c r="CC34" s="107"/>
      <c r="CD34" s="107"/>
      <c r="CE34" s="107"/>
      <c r="CF34" s="107"/>
      <c r="CG34" s="107"/>
      <c r="CH34" s="107"/>
      <c r="CI34" s="107"/>
      <c r="CJ34" s="107"/>
      <c r="CK34" s="107"/>
      <c r="CL34" s="107"/>
      <c r="CM34" s="107"/>
      <c r="CN34" s="107"/>
      <c r="CO34" s="107"/>
      <c r="CP34" s="107"/>
      <c r="CQ34" s="107"/>
      <c r="CR34" s="107"/>
      <c r="CS34" s="107"/>
      <c r="CT34" s="107"/>
      <c r="CU34" s="107"/>
      <c r="CV34" s="107"/>
    </row>
    <row r="35" s="74" customFormat="true" ht="14.9" hidden="true" customHeight="true" outlineLevel="0" collapsed="false">
      <c r="A35" s="74" t="n">
        <f aca="false">MONTH(B35)</f>
        <v>8</v>
      </c>
      <c r="B35" s="75" t="n">
        <v>44413</v>
      </c>
      <c r="C35" s="76" t="s">
        <v>70</v>
      </c>
      <c r="D35" s="77" t="str">
        <f aca="false">IFERROR(VLOOKUP(E:E,'Item Data Support Sheet'!A:O,7,0),"")</f>
        <v>NIPPLE MOLDED</v>
      </c>
      <c r="E35" s="108" t="s">
        <v>136</v>
      </c>
      <c r="F35" s="80" t="s">
        <v>137</v>
      </c>
      <c r="G35" s="77" t="s">
        <v>138</v>
      </c>
      <c r="H35" s="79" t="str">
        <f aca="false">IFERROR(VLOOKUP(E:E,'Item Data Support Sheet'!A:O,2,0),"")</f>
        <v>NIPPLE S TYPE M SIZE INJECTION</v>
      </c>
      <c r="I35" s="80" t="s">
        <v>209</v>
      </c>
      <c r="J35" s="80" t="s">
        <v>140</v>
      </c>
      <c r="K35" s="81" t="n">
        <v>8</v>
      </c>
      <c r="L35" s="82" t="n">
        <v>4815</v>
      </c>
      <c r="M35" s="83" t="n">
        <f aca="false">IFERROR(L35/K35,0)</f>
        <v>601.875</v>
      </c>
      <c r="N35" s="84" t="n">
        <f aca="false">+O35+Q35+T35+U35</f>
        <v>4610</v>
      </c>
      <c r="O35" s="85" t="n">
        <v>4500</v>
      </c>
      <c r="P35" s="86" t="n">
        <v>0</v>
      </c>
      <c r="Q35" s="87" t="n">
        <v>45</v>
      </c>
      <c r="R35" s="88" t="n">
        <v>0</v>
      </c>
      <c r="S35" s="88" t="n">
        <v>0</v>
      </c>
      <c r="T35" s="88" t="n">
        <v>65</v>
      </c>
      <c r="U35" s="88" t="n">
        <v>0</v>
      </c>
      <c r="V35" s="89" t="n">
        <v>1</v>
      </c>
      <c r="W35" s="90" t="n">
        <f aca="false">IFERROR(O35/V35,0)</f>
        <v>4500</v>
      </c>
      <c r="X35" s="91" t="n">
        <f aca="false">O35/L35</f>
        <v>0.934579439252336</v>
      </c>
      <c r="Y35" s="92" t="str">
        <f aca="false">IFERROR(VLOOKUP(E:E,'Item Data Support Sheet'!A:J,6,0),0)</f>
        <v>Silicon</v>
      </c>
      <c r="Z35" s="93" t="n">
        <f aca="false">IFERROR(VLOOKUP(E:E,'Item Data Support Sheet'!A:O,4,0),0)</f>
        <v>6.8</v>
      </c>
      <c r="AA35" s="93" t="n">
        <f aca="false">IFERROR(((N35)*(Z35/1000))+P35,0)</f>
        <v>31.348</v>
      </c>
      <c r="AB35" s="94" t="n">
        <f aca="false">IFERROR((O35*(Z35/1000)/(AA35))," ")</f>
        <v>0.976138828633406</v>
      </c>
      <c r="AC35" s="95" t="n">
        <f aca="false">IFERROR((T35)/((T35)+O35),0)</f>
        <v>0.0142387732749179</v>
      </c>
      <c r="AD35" s="96" t="n">
        <f aca="false">IFERROR(Q35/(Q35+N35),0)</f>
        <v>0.00966702470461869</v>
      </c>
      <c r="AE35" s="91" t="n">
        <f aca="false">(N35-T35)/N35</f>
        <v>0.98590021691974</v>
      </c>
      <c r="AF35" s="97" t="n">
        <f aca="false">BR35</f>
        <v>0.833333333333333</v>
      </c>
      <c r="AG35" s="98" t="n">
        <f aca="false">K35-AF35</f>
        <v>7.16666666666667</v>
      </c>
      <c r="AH35" s="99" t="n">
        <f aca="false">IFERROR(AG35/K35," ")</f>
        <v>0.895833333333333</v>
      </c>
      <c r="AI35" s="100" t="n">
        <f aca="false">IFERROR(O35/K35,0)</f>
        <v>562.5</v>
      </c>
      <c r="AJ35" s="101" t="n">
        <f aca="false">VLOOKUP(D35,'Standard Cycle time'!C:D,2,0)</f>
        <v>5.25</v>
      </c>
      <c r="AK35" s="101" t="n">
        <f aca="false">AG35*V35*3600/O35</f>
        <v>5.73333333333333</v>
      </c>
      <c r="AL35" s="102" t="n">
        <f aca="false">AJ35/AK35</f>
        <v>0.915697674418605</v>
      </c>
      <c r="AM35" s="99" t="n">
        <f aca="false">AE35*AL35*AH35</f>
        <v>0.808746271691974</v>
      </c>
      <c r="AN35" s="103" t="n">
        <v>2228</v>
      </c>
      <c r="AO35" s="104" t="s">
        <v>210</v>
      </c>
      <c r="AP35" s="105" t="n">
        <v>0</v>
      </c>
      <c r="AQ35" s="105" t="n">
        <v>0</v>
      </c>
      <c r="AR35" s="105" t="n">
        <v>0</v>
      </c>
      <c r="AS35" s="105" t="n">
        <v>0</v>
      </c>
      <c r="AT35" s="105" t="n">
        <v>0</v>
      </c>
      <c r="AU35" s="105" t="n">
        <v>50</v>
      </c>
      <c r="AV35" s="105" t="n">
        <v>0</v>
      </c>
      <c r="AW35" s="105" t="n">
        <v>0</v>
      </c>
      <c r="AX35" s="105" t="n">
        <v>0</v>
      </c>
      <c r="AY35" s="105" t="n">
        <v>0</v>
      </c>
      <c r="AZ35" s="105" t="n">
        <v>0</v>
      </c>
      <c r="BA35" s="105" t="n">
        <v>0</v>
      </c>
      <c r="BB35" s="105" t="n">
        <v>0</v>
      </c>
      <c r="BC35" s="105" t="n">
        <v>0</v>
      </c>
      <c r="BD35" s="105" t="n">
        <v>0</v>
      </c>
      <c r="BE35" s="105" t="n">
        <v>0</v>
      </c>
      <c r="BF35" s="105" t="n">
        <v>0</v>
      </c>
      <c r="BG35" s="105" t="n">
        <v>0</v>
      </c>
      <c r="BH35" s="105" t="n">
        <v>0</v>
      </c>
      <c r="BI35" s="105" t="n">
        <v>0</v>
      </c>
      <c r="BJ35" s="105" t="n">
        <v>0</v>
      </c>
      <c r="BK35" s="105" t="n">
        <v>0</v>
      </c>
      <c r="BL35" s="105" t="n">
        <v>0</v>
      </c>
      <c r="BM35" s="105" t="n">
        <v>0</v>
      </c>
      <c r="BN35" s="105" t="n">
        <v>0</v>
      </c>
      <c r="BO35" s="105" t="n">
        <v>0</v>
      </c>
      <c r="BP35" s="105" t="n">
        <v>0</v>
      </c>
      <c r="BQ35" s="105" t="n">
        <v>0</v>
      </c>
      <c r="BR35" s="106" t="n">
        <f aca="false">SUM(AP35:BQ35)/60</f>
        <v>0.833333333333333</v>
      </c>
      <c r="BS35" s="106" t="n">
        <f aca="false">SUM(AP35:BR35)/60</f>
        <v>0.847222222222222</v>
      </c>
      <c r="BT35" s="107"/>
      <c r="BU35" s="107"/>
      <c r="BV35" s="107"/>
      <c r="BW35" s="107"/>
      <c r="BX35" s="107"/>
      <c r="BY35" s="107"/>
      <c r="BZ35" s="107"/>
      <c r="CA35" s="107"/>
      <c r="CB35" s="107"/>
      <c r="CC35" s="107"/>
      <c r="CD35" s="107"/>
      <c r="CE35" s="107"/>
      <c r="CF35" s="107"/>
      <c r="CG35" s="107"/>
      <c r="CH35" s="107"/>
      <c r="CI35" s="107"/>
      <c r="CJ35" s="107"/>
      <c r="CK35" s="107"/>
      <c r="CL35" s="107"/>
      <c r="CM35" s="107"/>
      <c r="CN35" s="107"/>
      <c r="CO35" s="107"/>
      <c r="CP35" s="107"/>
      <c r="CQ35" s="107"/>
      <c r="CR35" s="107"/>
      <c r="CS35" s="107"/>
      <c r="CT35" s="107"/>
      <c r="CU35" s="107"/>
      <c r="CV35" s="107"/>
    </row>
    <row r="36" s="74" customFormat="true" ht="14.9" hidden="true" customHeight="true" outlineLevel="0" collapsed="false">
      <c r="A36" s="74" t="n">
        <f aca="false">MONTH(B36)</f>
        <v>8</v>
      </c>
      <c r="B36" s="75" t="n">
        <v>44413</v>
      </c>
      <c r="C36" s="76" t="s">
        <v>70</v>
      </c>
      <c r="D36" s="77" t="str">
        <f aca="false">IFERROR(VLOOKUP(E:E,'Item Data Support Sheet'!A:O,7,0),"")</f>
        <v>CAP MOLDED</v>
      </c>
      <c r="E36" s="108" t="s">
        <v>199</v>
      </c>
      <c r="F36" s="80"/>
      <c r="G36" s="77" t="s">
        <v>200</v>
      </c>
      <c r="H36" s="79" t="str">
        <f aca="false">IFERROR(VLOOKUP(E:E,'Item Data Support Sheet'!A:O,2,0),"")</f>
        <v>CAP S TYPE MOLDED RED</v>
      </c>
      <c r="I36" s="80" t="s">
        <v>203</v>
      </c>
      <c r="J36" s="80" t="s">
        <v>140</v>
      </c>
      <c r="K36" s="81" t="n">
        <v>8</v>
      </c>
      <c r="L36" s="82" t="n">
        <v>4137</v>
      </c>
      <c r="M36" s="83" t="n">
        <f aca="false">IFERROR(L36/K36,0)</f>
        <v>517.125</v>
      </c>
      <c r="N36" s="84" t="n">
        <f aca="false">+O36+Q36+T36+U36</f>
        <v>3805</v>
      </c>
      <c r="O36" s="85" t="n">
        <v>3800</v>
      </c>
      <c r="P36" s="86" t="n">
        <v>0.3</v>
      </c>
      <c r="Q36" s="87" t="n">
        <v>0</v>
      </c>
      <c r="R36" s="88" t="n">
        <v>0</v>
      </c>
      <c r="S36" s="88" t="n">
        <v>0</v>
      </c>
      <c r="T36" s="88" t="n">
        <v>5</v>
      </c>
      <c r="U36" s="88" t="n">
        <v>0</v>
      </c>
      <c r="V36" s="89" t="n">
        <v>1</v>
      </c>
      <c r="W36" s="90" t="n">
        <f aca="false">IFERROR(O36/V36,0)</f>
        <v>3800</v>
      </c>
      <c r="X36" s="91" t="n">
        <f aca="false">O36/L36</f>
        <v>0.918540004834421</v>
      </c>
      <c r="Y36" s="92" t="str">
        <f aca="false">IFERROR(VLOOKUP(E:E,'Item Data Support Sheet'!A:J,6,0),0)</f>
        <v>FO153</v>
      </c>
      <c r="Z36" s="93" t="n">
        <f aca="false">IFERROR(VLOOKUP(E:E,'Item Data Support Sheet'!A:O,4,0),0)</f>
        <v>7.3</v>
      </c>
      <c r="AA36" s="93" t="n">
        <f aca="false">IFERROR(((N36)*(Z36/1000))+P36,0)</f>
        <v>28.0765</v>
      </c>
      <c r="AB36" s="94" t="n">
        <f aca="false">IFERROR((O36*(Z36/1000)/(AA36))," ")</f>
        <v>0.988014887895571</v>
      </c>
      <c r="AC36" s="95" t="n">
        <f aca="false">IFERROR((T36)/((T36)+O36),0)</f>
        <v>0.00131406044678055</v>
      </c>
      <c r="AD36" s="96" t="n">
        <f aca="false">IFERROR(Q36/(Q36+N36),0)</f>
        <v>0</v>
      </c>
      <c r="AE36" s="91" t="n">
        <f aca="false">(N36-T36)/N36</f>
        <v>0.998685939553219</v>
      </c>
      <c r="AF36" s="97" t="n">
        <f aca="false">BR36</f>
        <v>0</v>
      </c>
      <c r="AG36" s="98" t="n">
        <f aca="false">K36-AF36</f>
        <v>8</v>
      </c>
      <c r="AH36" s="99" t="n">
        <f aca="false">IFERROR(AG36/K36," ")</f>
        <v>1</v>
      </c>
      <c r="AI36" s="100" t="n">
        <f aca="false">IFERROR(O36/K36,0)</f>
        <v>475</v>
      </c>
      <c r="AJ36" s="101" t="n">
        <f aca="false">VLOOKUP(D36,'Standard Cycle time'!C:D,2,0)</f>
        <v>6</v>
      </c>
      <c r="AK36" s="101" t="n">
        <f aca="false">AG36*V36*3600/O36</f>
        <v>7.57894736842105</v>
      </c>
      <c r="AL36" s="102" t="n">
        <f aca="false">AJ36/AK36</f>
        <v>0.791666666666667</v>
      </c>
      <c r="AM36" s="99" t="n">
        <f aca="false">AE36*AL36*AH36</f>
        <v>0.790626368812966</v>
      </c>
      <c r="AN36" s="103" t="n">
        <v>2687</v>
      </c>
      <c r="AO36" s="104"/>
      <c r="AP36" s="105" t="n">
        <v>0</v>
      </c>
      <c r="AQ36" s="105" t="n">
        <v>0</v>
      </c>
      <c r="AR36" s="105" t="n">
        <v>0</v>
      </c>
      <c r="AS36" s="105" t="n">
        <v>0</v>
      </c>
      <c r="AT36" s="105" t="n">
        <v>0</v>
      </c>
      <c r="AU36" s="105" t="n">
        <v>0</v>
      </c>
      <c r="AV36" s="105" t="n">
        <v>0</v>
      </c>
      <c r="AW36" s="105" t="n">
        <v>0</v>
      </c>
      <c r="AX36" s="105" t="n">
        <v>0</v>
      </c>
      <c r="AY36" s="105" t="n">
        <v>0</v>
      </c>
      <c r="AZ36" s="105" t="n">
        <v>0</v>
      </c>
      <c r="BA36" s="105" t="n">
        <v>0</v>
      </c>
      <c r="BB36" s="105" t="n">
        <v>0</v>
      </c>
      <c r="BC36" s="105" t="n">
        <v>0</v>
      </c>
      <c r="BD36" s="105" t="n">
        <v>0</v>
      </c>
      <c r="BE36" s="105" t="n">
        <v>0</v>
      </c>
      <c r="BF36" s="105" t="n">
        <v>0</v>
      </c>
      <c r="BG36" s="105" t="n">
        <v>0</v>
      </c>
      <c r="BH36" s="105" t="n">
        <v>0</v>
      </c>
      <c r="BI36" s="105" t="n">
        <v>0</v>
      </c>
      <c r="BJ36" s="105" t="n">
        <v>0</v>
      </c>
      <c r="BK36" s="105" t="n">
        <v>0</v>
      </c>
      <c r="BL36" s="105" t="n">
        <v>0</v>
      </c>
      <c r="BM36" s="105" t="n">
        <v>0</v>
      </c>
      <c r="BN36" s="105" t="n">
        <v>0</v>
      </c>
      <c r="BO36" s="105" t="n">
        <v>0</v>
      </c>
      <c r="BP36" s="105" t="n">
        <v>0</v>
      </c>
      <c r="BQ36" s="105" t="n">
        <v>0</v>
      </c>
      <c r="BR36" s="106" t="n">
        <f aca="false">SUM(AP36:BQ36)/60</f>
        <v>0</v>
      </c>
      <c r="BS36" s="106" t="n">
        <f aca="false">SUM(AP36:BR36)/60</f>
        <v>0</v>
      </c>
      <c r="BT36" s="107"/>
      <c r="BU36" s="107"/>
      <c r="BV36" s="107"/>
      <c r="BW36" s="107"/>
      <c r="BX36" s="107"/>
      <c r="BY36" s="107"/>
      <c r="BZ36" s="107"/>
      <c r="CA36" s="107"/>
      <c r="CB36" s="107"/>
      <c r="CC36" s="107"/>
      <c r="CD36" s="107"/>
      <c r="CE36" s="107"/>
      <c r="CF36" s="107"/>
      <c r="CG36" s="107"/>
      <c r="CH36" s="107"/>
      <c r="CI36" s="107"/>
      <c r="CJ36" s="107"/>
      <c r="CK36" s="107"/>
      <c r="CL36" s="107"/>
      <c r="CM36" s="107"/>
      <c r="CN36" s="107"/>
      <c r="CO36" s="107"/>
      <c r="CP36" s="107"/>
      <c r="CQ36" s="107"/>
      <c r="CR36" s="107"/>
      <c r="CS36" s="107"/>
      <c r="CT36" s="107"/>
      <c r="CU36" s="107"/>
      <c r="CV36" s="107"/>
    </row>
    <row r="37" s="74" customFormat="true" ht="14.9" hidden="true" customHeight="true" outlineLevel="0" collapsed="false">
      <c r="A37" s="74" t="n">
        <f aca="false">MONTH(B37)</f>
        <v>8</v>
      </c>
      <c r="B37" s="75" t="n">
        <v>44413</v>
      </c>
      <c r="C37" s="76" t="s">
        <v>70</v>
      </c>
      <c r="D37" s="77" t="str">
        <f aca="false">IFERROR(VLOOKUP(E:E,'Item Data Support Sheet'!A:O,7,0),"")</f>
        <v>NIPPLE PUNCH</v>
      </c>
      <c r="E37" s="108" t="s">
        <v>60</v>
      </c>
      <c r="F37" s="80"/>
      <c r="G37" s="77" t="s">
        <v>54</v>
      </c>
      <c r="H37" s="79" t="str">
        <f aca="false">IFERROR(VLOOKUP(E:E,'Item Data Support Sheet'!A:O,2,0),"")</f>
        <v>NIPPLE S TYPE M SIZE PUNCHED</v>
      </c>
      <c r="I37" s="80" t="s">
        <v>211</v>
      </c>
      <c r="J37" s="80" t="s">
        <v>140</v>
      </c>
      <c r="K37" s="81" t="n">
        <v>8</v>
      </c>
      <c r="L37" s="82" t="n">
        <v>7036</v>
      </c>
      <c r="M37" s="83" t="n">
        <f aca="false">IFERROR(L37/K37,0)</f>
        <v>879.5</v>
      </c>
      <c r="N37" s="84" t="n">
        <f aca="false">+O37+Q37+T37+U37</f>
        <v>7300</v>
      </c>
      <c r="O37" s="85" t="n">
        <f aca="false">4698+2600</f>
        <v>7298</v>
      </c>
      <c r="P37" s="86" t="n">
        <v>0</v>
      </c>
      <c r="Q37" s="87" t="n">
        <v>0</v>
      </c>
      <c r="R37" s="88" t="n">
        <v>0</v>
      </c>
      <c r="S37" s="88" t="n">
        <v>0</v>
      </c>
      <c r="T37" s="88" t="n">
        <v>2</v>
      </c>
      <c r="U37" s="88" t="n">
        <v>0</v>
      </c>
      <c r="V37" s="89" t="n">
        <v>1</v>
      </c>
      <c r="W37" s="90" t="n">
        <f aca="false">IFERROR(O37/V37,0)</f>
        <v>7298</v>
      </c>
      <c r="X37" s="91" t="n">
        <f aca="false">O37/L37</f>
        <v>1.03723706651507</v>
      </c>
      <c r="Y37" s="92" t="str">
        <f aca="false">IFERROR(VLOOKUP(E:E,'Item Data Support Sheet'!A:J,6,0),0)</f>
        <v>FO016</v>
      </c>
      <c r="Z37" s="93" t="n">
        <f aca="false">IFERROR(VLOOKUP(E:E,'Item Data Support Sheet'!A:O,4,0),0)</f>
        <v>0</v>
      </c>
      <c r="AA37" s="93" t="n">
        <f aca="false">IFERROR(((N37)*(Z37/1000))+P37,0)</f>
        <v>0</v>
      </c>
      <c r="AB37" s="94" t="str">
        <f aca="false">IFERROR((O37*(Z37/1000)/(AA37))," ")</f>
        <v> </v>
      </c>
      <c r="AC37" s="95" t="n">
        <f aca="false">IFERROR((T37)/((T37)+O37),0)</f>
        <v>0.000273972602739726</v>
      </c>
      <c r="AD37" s="96" t="n">
        <f aca="false">IFERROR(Q37/(Q37+N37),0)</f>
        <v>0</v>
      </c>
      <c r="AE37" s="91" t="n">
        <f aca="false">(N37-T37)/N37</f>
        <v>0.99972602739726</v>
      </c>
      <c r="AF37" s="97" t="n">
        <f aca="false">BR37</f>
        <v>0.666666666666667</v>
      </c>
      <c r="AG37" s="98" t="n">
        <f aca="false">K37-AF37</f>
        <v>7.33333333333333</v>
      </c>
      <c r="AH37" s="99" t="n">
        <f aca="false">IFERROR(AG37/K37," ")</f>
        <v>0.916666666666667</v>
      </c>
      <c r="AI37" s="100" t="n">
        <f aca="false">IFERROR(O37/K37,0)</f>
        <v>912.25</v>
      </c>
      <c r="AJ37" s="101" t="n">
        <f aca="false">VLOOKUP(D37,'Standard Cycle time'!C:D,2,0)</f>
        <v>3.5</v>
      </c>
      <c r="AK37" s="101" t="n">
        <f aca="false">AG37*V37*3600/O37</f>
        <v>3.61742943272129</v>
      </c>
      <c r="AL37" s="102" t="n">
        <f aca="false">AJ37/AK37</f>
        <v>0.967537878787879</v>
      </c>
      <c r="AM37" s="99" t="n">
        <f aca="false">AE37*AL37*AH37</f>
        <v>0.88666673325723</v>
      </c>
      <c r="AN37" s="103" t="s">
        <v>212</v>
      </c>
      <c r="AO37" s="109"/>
      <c r="AP37" s="105" t="n">
        <v>40</v>
      </c>
      <c r="AQ37" s="105" t="n">
        <v>0</v>
      </c>
      <c r="AR37" s="105" t="n">
        <v>0</v>
      </c>
      <c r="AS37" s="105" t="n">
        <v>0</v>
      </c>
      <c r="AT37" s="105" t="n">
        <v>0</v>
      </c>
      <c r="AU37" s="105" t="n">
        <v>0</v>
      </c>
      <c r="AV37" s="105" t="n">
        <v>0</v>
      </c>
      <c r="AW37" s="105" t="n">
        <v>0</v>
      </c>
      <c r="AX37" s="105" t="n">
        <v>0</v>
      </c>
      <c r="AY37" s="105" t="n">
        <v>0</v>
      </c>
      <c r="AZ37" s="105" t="n">
        <v>0</v>
      </c>
      <c r="BA37" s="105" t="n">
        <v>0</v>
      </c>
      <c r="BB37" s="105" t="n">
        <v>0</v>
      </c>
      <c r="BC37" s="105" t="n">
        <v>0</v>
      </c>
      <c r="BD37" s="105" t="n">
        <v>0</v>
      </c>
      <c r="BE37" s="105" t="n">
        <v>0</v>
      </c>
      <c r="BF37" s="105" t="n">
        <v>0</v>
      </c>
      <c r="BG37" s="105" t="n">
        <v>0</v>
      </c>
      <c r="BH37" s="105" t="n">
        <v>0</v>
      </c>
      <c r="BI37" s="105" t="n">
        <v>0</v>
      </c>
      <c r="BJ37" s="105" t="n">
        <v>0</v>
      </c>
      <c r="BK37" s="105" t="n">
        <v>0</v>
      </c>
      <c r="BL37" s="105" t="n">
        <v>0</v>
      </c>
      <c r="BM37" s="105" t="n">
        <v>0</v>
      </c>
      <c r="BN37" s="105" t="n">
        <v>0</v>
      </c>
      <c r="BO37" s="105" t="n">
        <v>0</v>
      </c>
      <c r="BP37" s="105" t="n">
        <v>0</v>
      </c>
      <c r="BQ37" s="105" t="n">
        <v>0</v>
      </c>
      <c r="BR37" s="106" t="n">
        <f aca="false">SUM(AP37:BQ37)/60</f>
        <v>0.666666666666667</v>
      </c>
      <c r="BS37" s="106" t="n">
        <f aca="false">SUM(AP37:BR37)/60</f>
        <v>0.677777777777778</v>
      </c>
      <c r="BT37" s="107"/>
      <c r="BU37" s="107"/>
      <c r="BV37" s="107"/>
      <c r="BW37" s="107"/>
      <c r="BX37" s="107"/>
      <c r="BY37" s="107"/>
      <c r="BZ37" s="107"/>
      <c r="CA37" s="107"/>
      <c r="CB37" s="107"/>
      <c r="CC37" s="107"/>
      <c r="CD37" s="107"/>
      <c r="CE37" s="107"/>
      <c r="CF37" s="107"/>
      <c r="CG37" s="107"/>
      <c r="CH37" s="107"/>
      <c r="CI37" s="107"/>
      <c r="CJ37" s="107"/>
      <c r="CK37" s="107"/>
      <c r="CL37" s="107"/>
      <c r="CM37" s="107"/>
      <c r="CN37" s="107"/>
      <c r="CO37" s="107"/>
      <c r="CP37" s="107"/>
      <c r="CQ37" s="107"/>
      <c r="CR37" s="107"/>
      <c r="CS37" s="107"/>
      <c r="CT37" s="107"/>
      <c r="CU37" s="107"/>
      <c r="CV37" s="107"/>
    </row>
    <row r="38" s="74" customFormat="true" ht="14.9" hidden="true" customHeight="true" outlineLevel="0" collapsed="false">
      <c r="A38" s="74" t="n">
        <f aca="false">MONTH(B38)</f>
        <v>8</v>
      </c>
      <c r="B38" s="75" t="n">
        <v>44413</v>
      </c>
      <c r="C38" s="76" t="s">
        <v>70</v>
      </c>
      <c r="D38" s="77" t="str">
        <f aca="false">IFERROR(VLOOKUP(E:E,'Item Data Support Sheet'!A:O,7,0),"")</f>
        <v>NIPPLE POSTCURE</v>
      </c>
      <c r="E38" s="108" t="s">
        <v>62</v>
      </c>
      <c r="F38" s="78"/>
      <c r="G38" s="77" t="s">
        <v>149</v>
      </c>
      <c r="H38" s="79" t="str">
        <f aca="false">IFERROR(VLOOKUP(E:E,'Item Data Support Sheet'!A:O,2,0),"")</f>
        <v>NIPPLE S TYPE M SIZE POSTCURED</v>
      </c>
      <c r="I38" s="80" t="s">
        <v>213</v>
      </c>
      <c r="J38" s="80" t="s">
        <v>140</v>
      </c>
      <c r="K38" s="81" t="n">
        <v>8</v>
      </c>
      <c r="L38" s="82" t="n">
        <v>10400</v>
      </c>
      <c r="M38" s="83" t="n">
        <f aca="false">IFERROR(L38/K38,0)</f>
        <v>1300</v>
      </c>
      <c r="N38" s="84" t="n">
        <f aca="false">+O38+Q38+T38+U38</f>
        <v>10400</v>
      </c>
      <c r="O38" s="85" t="n">
        <f aca="false">1000+2800+4000+2600</f>
        <v>10400</v>
      </c>
      <c r="P38" s="86" t="n">
        <v>0</v>
      </c>
      <c r="Q38" s="87" t="n">
        <v>0</v>
      </c>
      <c r="R38" s="88" t="n">
        <v>0</v>
      </c>
      <c r="S38" s="88" t="n">
        <v>0</v>
      </c>
      <c r="T38" s="88" t="n">
        <v>0</v>
      </c>
      <c r="U38" s="88" t="n">
        <v>0</v>
      </c>
      <c r="V38" s="89" t="n">
        <v>1</v>
      </c>
      <c r="W38" s="90" t="n">
        <f aca="false">IFERROR(O38/V38,0)</f>
        <v>10400</v>
      </c>
      <c r="X38" s="91" t="n">
        <f aca="false">O38/L38</f>
        <v>1</v>
      </c>
      <c r="Y38" s="92" t="str">
        <f aca="false">IFERROR(VLOOKUP(E:E,'Item Data Support Sheet'!A:J,6,0),0)</f>
        <v>FO012</v>
      </c>
      <c r="Z38" s="93" t="n">
        <f aca="false">IFERROR(VLOOKUP(E:E,'Item Data Support Sheet'!A:O,4,0),0)</f>
        <v>0</v>
      </c>
      <c r="AA38" s="93" t="n">
        <f aca="false">IFERROR(((N38)*(Z38/1000))+P38,0)</f>
        <v>0</v>
      </c>
      <c r="AB38" s="94" t="str">
        <f aca="false">IFERROR((O38*(Z38/1000)/(AA38))," ")</f>
        <v> </v>
      </c>
      <c r="AC38" s="95" t="n">
        <f aca="false">IFERROR((T38)/((T38)+O38),0)</f>
        <v>0</v>
      </c>
      <c r="AD38" s="96" t="n">
        <f aca="false">IFERROR(Q38/(Q38+N38),0)</f>
        <v>0</v>
      </c>
      <c r="AE38" s="91" t="n">
        <f aca="false">(N38-T38)/N38</f>
        <v>1</v>
      </c>
      <c r="AF38" s="97" t="n">
        <f aca="false">BR38</f>
        <v>0.666666666666667</v>
      </c>
      <c r="AG38" s="98" t="n">
        <f aca="false">K38-AF38</f>
        <v>7.33333333333333</v>
      </c>
      <c r="AH38" s="99" t="n">
        <f aca="false">IFERROR(AG38/K38," ")</f>
        <v>0.916666666666667</v>
      </c>
      <c r="AI38" s="100" t="n">
        <f aca="false">IFERROR(O38/K38,0)</f>
        <v>1300</v>
      </c>
      <c r="AJ38" s="101" t="n">
        <f aca="false">VLOOKUP(D38,'Standard Cycle time'!C:D,2,0)</f>
        <v>2.3</v>
      </c>
      <c r="AK38" s="101" t="n">
        <f aca="false">AG38*V38*3600/O38</f>
        <v>2.53846153846154</v>
      </c>
      <c r="AL38" s="102" t="n">
        <f aca="false">AJ38/AK38</f>
        <v>0.906060606060606</v>
      </c>
      <c r="AM38" s="99" t="n">
        <f aca="false">AE38*AL38*AH38</f>
        <v>0.830555555555555</v>
      </c>
      <c r="AN38" s="103" t="s">
        <v>214</v>
      </c>
      <c r="AO38" s="104"/>
      <c r="AP38" s="105" t="n">
        <v>40</v>
      </c>
      <c r="AQ38" s="105" t="n">
        <v>0</v>
      </c>
      <c r="AR38" s="105" t="n">
        <v>0</v>
      </c>
      <c r="AS38" s="105" t="n">
        <v>0</v>
      </c>
      <c r="AT38" s="105" t="n">
        <v>0</v>
      </c>
      <c r="AU38" s="105" t="n">
        <v>0</v>
      </c>
      <c r="AV38" s="105" t="n">
        <v>0</v>
      </c>
      <c r="AW38" s="105" t="n">
        <v>0</v>
      </c>
      <c r="AX38" s="105" t="n">
        <v>0</v>
      </c>
      <c r="AY38" s="105" t="n">
        <v>0</v>
      </c>
      <c r="AZ38" s="105" t="n">
        <v>0</v>
      </c>
      <c r="BA38" s="105" t="n">
        <v>0</v>
      </c>
      <c r="BB38" s="105" t="n">
        <v>0</v>
      </c>
      <c r="BC38" s="105" t="n">
        <v>0</v>
      </c>
      <c r="BD38" s="105" t="n">
        <v>0</v>
      </c>
      <c r="BE38" s="105" t="n">
        <v>0</v>
      </c>
      <c r="BF38" s="105" t="n">
        <v>0</v>
      </c>
      <c r="BG38" s="105" t="n">
        <v>0</v>
      </c>
      <c r="BH38" s="105" t="n">
        <v>0</v>
      </c>
      <c r="BI38" s="105" t="n">
        <v>0</v>
      </c>
      <c r="BJ38" s="105" t="n">
        <v>0</v>
      </c>
      <c r="BK38" s="105" t="n">
        <v>0</v>
      </c>
      <c r="BL38" s="105" t="n">
        <v>0</v>
      </c>
      <c r="BM38" s="105" t="n">
        <v>0</v>
      </c>
      <c r="BN38" s="105" t="n">
        <v>0</v>
      </c>
      <c r="BO38" s="105" t="n">
        <v>0</v>
      </c>
      <c r="BP38" s="105" t="n">
        <v>0</v>
      </c>
      <c r="BQ38" s="105" t="n">
        <v>0</v>
      </c>
      <c r="BR38" s="106" t="n">
        <f aca="false">SUM(AP38:BQ38)/60</f>
        <v>0.666666666666667</v>
      </c>
      <c r="BS38" s="106" t="n">
        <f aca="false">SUM(AP38:BR38)/60</f>
        <v>0.677777777777778</v>
      </c>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row>
    <row r="39" s="74" customFormat="true" ht="14.9" hidden="true" customHeight="true" outlineLevel="0" collapsed="false">
      <c r="A39" s="74" t="n">
        <f aca="false">MONTH(B39)</f>
        <v>8</v>
      </c>
      <c r="B39" s="75" t="n">
        <v>44413</v>
      </c>
      <c r="C39" s="76" t="s">
        <v>70</v>
      </c>
      <c r="D39" s="77" t="str">
        <f aca="false">IFERROR(VLOOKUP(E:E,'Item Data Support Sheet'!A:O,7,0),"")</f>
        <v>BOTTLE MOLDED</v>
      </c>
      <c r="E39" s="108" t="s">
        <v>215</v>
      </c>
      <c r="F39" s="78" t="s">
        <v>216</v>
      </c>
      <c r="G39" s="77" t="s">
        <v>74</v>
      </c>
      <c r="H39" s="79" t="str">
        <f aca="false">IFERROR(VLOOKUP(E:E,'Item Data Support Sheet'!A:O,2,0),"")</f>
        <v>KPP BOTTLE 200 ML MOULDED-WMG3B</v>
      </c>
      <c r="I39" s="80" t="s">
        <v>217</v>
      </c>
      <c r="J39" s="80" t="s">
        <v>140</v>
      </c>
      <c r="K39" s="81" t="n">
        <v>4</v>
      </c>
      <c r="L39" s="82" t="n">
        <v>2503</v>
      </c>
      <c r="M39" s="83" t="n">
        <f aca="false">IFERROR(L39/K39,0)</f>
        <v>625.75</v>
      </c>
      <c r="N39" s="84" t="n">
        <f aca="false">+O39+Q39+T39+U39</f>
        <v>1606</v>
      </c>
      <c r="O39" s="85" t="n">
        <f aca="false">14*108</f>
        <v>1512</v>
      </c>
      <c r="P39" s="86" t="n">
        <v>0.7</v>
      </c>
      <c r="Q39" s="87" t="n">
        <v>30</v>
      </c>
      <c r="R39" s="88" t="n">
        <v>0</v>
      </c>
      <c r="S39" s="88" t="n">
        <v>0</v>
      </c>
      <c r="T39" s="88" t="n">
        <v>56</v>
      </c>
      <c r="U39" s="88" t="n">
        <v>8</v>
      </c>
      <c r="V39" s="89" t="n">
        <v>1</v>
      </c>
      <c r="W39" s="90" t="n">
        <f aca="false">IFERROR(O39/V39,0)</f>
        <v>1512</v>
      </c>
      <c r="X39" s="91" t="n">
        <f aca="false">O39/L39</f>
        <v>0.604075109868158</v>
      </c>
      <c r="Y39" s="92" t="str">
        <f aca="false">IFERROR(VLOOKUP(E:E,'Item Data Support Sheet'!A:J,6,0),0)</f>
        <v>WMG3B</v>
      </c>
      <c r="Z39" s="93" t="n">
        <f aca="false">IFERROR(VLOOKUP(E:E,'Item Data Support Sheet'!A:O,4,0),0)</f>
        <v>28.6</v>
      </c>
      <c r="AA39" s="93" t="n">
        <f aca="false">IFERROR(((N39)*(Z39/1000))+P39,0)</f>
        <v>46.6316</v>
      </c>
      <c r="AB39" s="94" t="n">
        <f aca="false">IFERROR((O39*(Z39/1000)/(AA39))," ")</f>
        <v>0.927336827387437</v>
      </c>
      <c r="AC39" s="95" t="n">
        <f aca="false">IFERROR((T39)/((T39)+O39),0)</f>
        <v>0.0357142857142857</v>
      </c>
      <c r="AD39" s="96" t="n">
        <f aca="false">IFERROR(Q39/(Q39+N39),0)</f>
        <v>0.0183374083129584</v>
      </c>
      <c r="AE39" s="91" t="n">
        <f aca="false">(N39-T39)/N39</f>
        <v>0.965130759651307</v>
      </c>
      <c r="AF39" s="97" t="n">
        <f aca="false">BR39</f>
        <v>0</v>
      </c>
      <c r="AG39" s="98" t="n">
        <f aca="false">K39-AF39</f>
        <v>4</v>
      </c>
      <c r="AH39" s="99" t="n">
        <f aca="false">IFERROR(AG39/K39," ")</f>
        <v>1</v>
      </c>
      <c r="AI39" s="100" t="n">
        <f aca="false">IFERROR(O39/K39,0)</f>
        <v>378</v>
      </c>
      <c r="AJ39" s="101" t="n">
        <f aca="false">VLOOKUP(D39,'Standard Cycle time'!C:D,2,0)</f>
        <v>9</v>
      </c>
      <c r="AK39" s="101" t="n">
        <f aca="false">AG39*V39*3600/O39</f>
        <v>9.52380952380952</v>
      </c>
      <c r="AL39" s="102" t="n">
        <f aca="false">AJ39/AK39</f>
        <v>0.945</v>
      </c>
      <c r="AM39" s="99" t="n">
        <f aca="false">AE39*AL39*AH39</f>
        <v>0.912048567870486</v>
      </c>
      <c r="AN39" s="103" t="n">
        <v>2230</v>
      </c>
      <c r="AO39" s="104"/>
      <c r="AP39" s="105" t="n">
        <v>0</v>
      </c>
      <c r="AQ39" s="105" t="n">
        <v>0</v>
      </c>
      <c r="AR39" s="105" t="n">
        <v>0</v>
      </c>
      <c r="AS39" s="105" t="n">
        <v>0</v>
      </c>
      <c r="AT39" s="105" t="n">
        <v>0</v>
      </c>
      <c r="AU39" s="105" t="n">
        <v>0</v>
      </c>
      <c r="AV39" s="105" t="n">
        <v>0</v>
      </c>
      <c r="AW39" s="105" t="n">
        <v>0</v>
      </c>
      <c r="AX39" s="105" t="n">
        <v>0</v>
      </c>
      <c r="AY39" s="105" t="n">
        <v>0</v>
      </c>
      <c r="AZ39" s="105" t="n">
        <v>0</v>
      </c>
      <c r="BA39" s="105" t="n">
        <v>0</v>
      </c>
      <c r="BB39" s="105" t="n">
        <v>0</v>
      </c>
      <c r="BC39" s="105" t="n">
        <v>0</v>
      </c>
      <c r="BD39" s="105" t="n">
        <v>0</v>
      </c>
      <c r="BE39" s="105" t="n">
        <v>0</v>
      </c>
      <c r="BF39" s="105" t="n">
        <v>0</v>
      </c>
      <c r="BG39" s="105" t="n">
        <v>0</v>
      </c>
      <c r="BH39" s="105" t="n">
        <v>0</v>
      </c>
      <c r="BI39" s="105" t="n">
        <v>0</v>
      </c>
      <c r="BJ39" s="105" t="n">
        <v>0</v>
      </c>
      <c r="BK39" s="105" t="n">
        <v>0</v>
      </c>
      <c r="BL39" s="105" t="n">
        <v>0</v>
      </c>
      <c r="BM39" s="105" t="n">
        <v>0</v>
      </c>
      <c r="BN39" s="105" t="n">
        <v>0</v>
      </c>
      <c r="BO39" s="105" t="n">
        <v>0</v>
      </c>
      <c r="BP39" s="105" t="n">
        <v>0</v>
      </c>
      <c r="BQ39" s="105" t="n">
        <v>0</v>
      </c>
      <c r="BR39" s="106" t="n">
        <f aca="false">SUM(AP39:BQ39)/60</f>
        <v>0</v>
      </c>
      <c r="BS39" s="106" t="n">
        <f aca="false">SUM(AP39:BR39)/60</f>
        <v>0</v>
      </c>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c r="CP39" s="107"/>
      <c r="CQ39" s="107"/>
      <c r="CR39" s="107"/>
      <c r="CS39" s="107"/>
      <c r="CT39" s="107"/>
      <c r="CU39" s="107"/>
      <c r="CV39" s="107"/>
    </row>
    <row r="40" s="74" customFormat="true" ht="14.9" hidden="true" customHeight="true" outlineLevel="0" collapsed="false">
      <c r="A40" s="74" t="n">
        <f aca="false">MONTH(B40)</f>
        <v>8</v>
      </c>
      <c r="B40" s="75" t="n">
        <v>44413</v>
      </c>
      <c r="C40" s="76" t="s">
        <v>152</v>
      </c>
      <c r="D40" s="77" t="str">
        <f aca="false">IFERROR(VLOOKUP(E:E,'Item Data Support Sheet'!A:O,7,0),"")</f>
        <v>NIPPLE MOLDED</v>
      </c>
      <c r="E40" s="108" t="s">
        <v>136</v>
      </c>
      <c r="F40" s="80" t="s">
        <v>137</v>
      </c>
      <c r="G40" s="77" t="s">
        <v>138</v>
      </c>
      <c r="H40" s="79" t="str">
        <f aca="false">IFERROR(VLOOKUP(E:E,'Item Data Support Sheet'!A:O,2,0),"")</f>
        <v>NIPPLE S TYPE M SIZE INJECTION</v>
      </c>
      <c r="I40" s="80" t="s">
        <v>218</v>
      </c>
      <c r="J40" s="80" t="s">
        <v>148</v>
      </c>
      <c r="K40" s="81" t="n">
        <v>8</v>
      </c>
      <c r="L40" s="82" t="n">
        <v>4815</v>
      </c>
      <c r="M40" s="83" t="n">
        <f aca="false">IFERROR(L40/K40,0)</f>
        <v>601.875</v>
      </c>
      <c r="N40" s="84" t="n">
        <f aca="false">+O40+Q40+T40+U40</f>
        <v>5126</v>
      </c>
      <c r="O40" s="85" t="n">
        <v>5000</v>
      </c>
      <c r="P40" s="86" t="n">
        <v>0</v>
      </c>
      <c r="Q40" s="87" t="n">
        <v>70</v>
      </c>
      <c r="R40" s="88" t="n">
        <v>0</v>
      </c>
      <c r="S40" s="88" t="n">
        <v>0</v>
      </c>
      <c r="T40" s="88" t="n">
        <v>48</v>
      </c>
      <c r="U40" s="88" t="n">
        <v>8</v>
      </c>
      <c r="V40" s="89" t="n">
        <v>1</v>
      </c>
      <c r="W40" s="90" t="n">
        <f aca="false">IFERROR(O40/V40,0)</f>
        <v>5000</v>
      </c>
      <c r="X40" s="91" t="n">
        <f aca="false">O40/L40</f>
        <v>1.03842159916926</v>
      </c>
      <c r="Y40" s="92" t="str">
        <f aca="false">IFERROR(VLOOKUP(E:E,'Item Data Support Sheet'!A:J,6,0),0)</f>
        <v>Silicon</v>
      </c>
      <c r="Z40" s="93" t="n">
        <f aca="false">IFERROR(VLOOKUP(E:E,'Item Data Support Sheet'!A:O,4,0),0)</f>
        <v>6.8</v>
      </c>
      <c r="AA40" s="93" t="n">
        <f aca="false">IFERROR(((N40)*(Z40/1000))+P40,0)</f>
        <v>34.8568</v>
      </c>
      <c r="AB40" s="94" t="n">
        <f aca="false">IFERROR((O40*(Z40/1000)/(AA40))," ")</f>
        <v>0.975419430355053</v>
      </c>
      <c r="AC40" s="95" t="n">
        <f aca="false">IFERROR((T40)/((T40)+O40),0)</f>
        <v>0.00950871632329636</v>
      </c>
      <c r="AD40" s="96" t="n">
        <f aca="false">IFERROR(Q40/(Q40+N40),0)</f>
        <v>0.0134719014626636</v>
      </c>
      <c r="AE40" s="91" t="n">
        <f aca="false">(N40-T40)/N40</f>
        <v>0.990635973468591</v>
      </c>
      <c r="AF40" s="97" t="n">
        <f aca="false">BR40</f>
        <v>0.75</v>
      </c>
      <c r="AG40" s="98" t="n">
        <f aca="false">K40-AF40</f>
        <v>7.25</v>
      </c>
      <c r="AH40" s="99" t="n">
        <f aca="false">IFERROR(AG40/K40," ")</f>
        <v>0.90625</v>
      </c>
      <c r="AI40" s="100" t="n">
        <f aca="false">IFERROR(O40/K40,0)</f>
        <v>625</v>
      </c>
      <c r="AJ40" s="101" t="n">
        <f aca="false">VLOOKUP(D40,'Standard Cycle time'!C:D,2,0)</f>
        <v>5.25</v>
      </c>
      <c r="AK40" s="101" t="n">
        <f aca="false">AG40*V40*3600/O40</f>
        <v>5.22</v>
      </c>
      <c r="AL40" s="102" t="n">
        <f aca="false">AJ40/AK40</f>
        <v>1.00574712643678</v>
      </c>
      <c r="AM40" s="99" t="n">
        <f aca="false">AE40*AL40*AH40</f>
        <v>0.902923413317727</v>
      </c>
      <c r="AN40" s="103" t="s">
        <v>219</v>
      </c>
      <c r="AO40" s="104"/>
      <c r="AP40" s="105" t="n">
        <v>0</v>
      </c>
      <c r="AQ40" s="105" t="n">
        <v>0</v>
      </c>
      <c r="AR40" s="105" t="n">
        <v>0</v>
      </c>
      <c r="AS40" s="105" t="n">
        <v>0</v>
      </c>
      <c r="AT40" s="105" t="n">
        <v>0</v>
      </c>
      <c r="AU40" s="105" t="n">
        <v>0</v>
      </c>
      <c r="AV40" s="105" t="n">
        <v>45</v>
      </c>
      <c r="AW40" s="105" t="n">
        <v>0</v>
      </c>
      <c r="AX40" s="105" t="n">
        <v>0</v>
      </c>
      <c r="AY40" s="105" t="n">
        <v>0</v>
      </c>
      <c r="AZ40" s="105" t="n">
        <v>0</v>
      </c>
      <c r="BA40" s="105" t="n">
        <v>0</v>
      </c>
      <c r="BB40" s="105" t="n">
        <v>0</v>
      </c>
      <c r="BC40" s="105" t="n">
        <v>0</v>
      </c>
      <c r="BD40" s="105" t="n">
        <v>0</v>
      </c>
      <c r="BE40" s="105" t="n">
        <v>0</v>
      </c>
      <c r="BF40" s="105" t="n">
        <v>0</v>
      </c>
      <c r="BG40" s="105" t="n">
        <v>0</v>
      </c>
      <c r="BH40" s="105" t="n">
        <v>0</v>
      </c>
      <c r="BI40" s="105" t="n">
        <v>0</v>
      </c>
      <c r="BJ40" s="105" t="n">
        <v>0</v>
      </c>
      <c r="BK40" s="105" t="n">
        <v>0</v>
      </c>
      <c r="BL40" s="105" t="n">
        <v>0</v>
      </c>
      <c r="BM40" s="105" t="n">
        <v>0</v>
      </c>
      <c r="BN40" s="105" t="n">
        <v>0</v>
      </c>
      <c r="BO40" s="105" t="n">
        <v>0</v>
      </c>
      <c r="BP40" s="105" t="n">
        <v>0</v>
      </c>
      <c r="BQ40" s="105" t="n">
        <v>0</v>
      </c>
      <c r="BR40" s="106" t="n">
        <f aca="false">SUM(AP40:BQ40)/60</f>
        <v>0.75</v>
      </c>
      <c r="BS40" s="106" t="n">
        <f aca="false">SUM(AP40:BR40)/60</f>
        <v>0.7625</v>
      </c>
      <c r="BT40" s="107"/>
      <c r="BU40" s="107"/>
      <c r="BV40" s="107"/>
      <c r="BW40" s="107"/>
      <c r="BX40" s="107"/>
      <c r="BY40" s="107"/>
      <c r="BZ40" s="107"/>
      <c r="CA40" s="107"/>
      <c r="CB40" s="107"/>
      <c r="CC40" s="107"/>
      <c r="CD40" s="107"/>
      <c r="CE40" s="107"/>
      <c r="CF40" s="107"/>
      <c r="CG40" s="107"/>
      <c r="CH40" s="107"/>
      <c r="CI40" s="107"/>
      <c r="CJ40" s="107"/>
      <c r="CK40" s="107"/>
      <c r="CL40" s="107"/>
      <c r="CM40" s="107"/>
      <c r="CN40" s="107"/>
      <c r="CO40" s="107"/>
      <c r="CP40" s="107"/>
      <c r="CQ40" s="107"/>
      <c r="CR40" s="107"/>
      <c r="CS40" s="107"/>
      <c r="CT40" s="107"/>
      <c r="CU40" s="107"/>
      <c r="CV40" s="107"/>
    </row>
    <row r="41" s="74" customFormat="true" ht="14.9" hidden="true" customHeight="true" outlineLevel="0" collapsed="false">
      <c r="A41" s="74" t="n">
        <f aca="false">MONTH(B41)</f>
        <v>8</v>
      </c>
      <c r="B41" s="75" t="n">
        <v>44413</v>
      </c>
      <c r="C41" s="76" t="s">
        <v>152</v>
      </c>
      <c r="D41" s="77" t="str">
        <f aca="false">IFERROR(VLOOKUP(E:E,'Item Data Support Sheet'!A:O,7,0),"")</f>
        <v>BOTTLE MOLDED</v>
      </c>
      <c r="E41" s="108" t="s">
        <v>215</v>
      </c>
      <c r="F41" s="78" t="s">
        <v>73</v>
      </c>
      <c r="G41" s="77" t="s">
        <v>74</v>
      </c>
      <c r="H41" s="79" t="str">
        <f aca="false">IFERROR(VLOOKUP(E:E,'Item Data Support Sheet'!A:O,2,0),"")</f>
        <v>KPP BOTTLE 200 ML MOULDED-WMG3B</v>
      </c>
      <c r="I41" s="80" t="s">
        <v>220</v>
      </c>
      <c r="J41" s="80" t="s">
        <v>148</v>
      </c>
      <c r="K41" s="81" t="n">
        <v>8</v>
      </c>
      <c r="L41" s="82" t="n">
        <v>2503</v>
      </c>
      <c r="M41" s="83" t="n">
        <f aca="false">IFERROR(L41/K41,0)</f>
        <v>312.875</v>
      </c>
      <c r="N41" s="84" t="n">
        <f aca="false">+O41+Q41+T41+U41</f>
        <v>2986</v>
      </c>
      <c r="O41" s="85" t="n">
        <v>2916</v>
      </c>
      <c r="P41" s="86" t="n">
        <v>0</v>
      </c>
      <c r="Q41" s="87" t="n">
        <v>25</v>
      </c>
      <c r="R41" s="88" t="n">
        <v>0</v>
      </c>
      <c r="S41" s="88" t="n">
        <v>0</v>
      </c>
      <c r="T41" s="88" t="n">
        <v>45</v>
      </c>
      <c r="U41" s="88" t="n">
        <v>0</v>
      </c>
      <c r="V41" s="89" t="n">
        <v>1</v>
      </c>
      <c r="W41" s="90" t="n">
        <f aca="false">IFERROR(O41/V41,0)</f>
        <v>2916</v>
      </c>
      <c r="X41" s="91" t="n">
        <f aca="false">O41/L41</f>
        <v>1.16500199760288</v>
      </c>
      <c r="Y41" s="92" t="str">
        <f aca="false">IFERROR(VLOOKUP(E:E,'Item Data Support Sheet'!A:J,6,0),0)</f>
        <v>WMG3B</v>
      </c>
      <c r="Z41" s="93" t="n">
        <f aca="false">IFERROR(VLOOKUP(E:E,'Item Data Support Sheet'!A:O,4,0),0)</f>
        <v>28.6</v>
      </c>
      <c r="AA41" s="93" t="n">
        <f aca="false">IFERROR(((N41)*(Z41/1000))+P41,0)</f>
        <v>85.3996</v>
      </c>
      <c r="AB41" s="94" t="n">
        <f aca="false">IFERROR((O41*(Z41/1000)/(AA41))," ")</f>
        <v>0.976557267247153</v>
      </c>
      <c r="AC41" s="95" t="n">
        <f aca="false">IFERROR((T41)/((T41)+O41),0)</f>
        <v>0.0151975683890578</v>
      </c>
      <c r="AD41" s="96" t="n">
        <f aca="false">IFERROR(Q41/(Q41+N41),0)</f>
        <v>0.00830288940551312</v>
      </c>
      <c r="AE41" s="91" t="n">
        <f aca="false">(N41-T41)/N41</f>
        <v>0.984929671801742</v>
      </c>
      <c r="AF41" s="97" t="n">
        <f aca="false">BR41</f>
        <v>0</v>
      </c>
      <c r="AG41" s="98" t="n">
        <f aca="false">K41-AF41</f>
        <v>8</v>
      </c>
      <c r="AH41" s="99" t="n">
        <f aca="false">IFERROR(AG41/K41," ")</f>
        <v>1</v>
      </c>
      <c r="AI41" s="100" t="n">
        <f aca="false">IFERROR(O41/K41,0)</f>
        <v>364.5</v>
      </c>
      <c r="AJ41" s="101" t="n">
        <f aca="false">VLOOKUP(D41,'Standard Cycle time'!C:D,2,0)</f>
        <v>9</v>
      </c>
      <c r="AK41" s="101" t="n">
        <f aca="false">AG41*V41*3600/O41</f>
        <v>9.87654320987654</v>
      </c>
      <c r="AL41" s="102" t="n">
        <f aca="false">AJ41/AK41</f>
        <v>0.91125</v>
      </c>
      <c r="AM41" s="99" t="n">
        <f aca="false">AE41*AL41*AH41</f>
        <v>0.897517163429337</v>
      </c>
      <c r="AN41" s="103" t="n">
        <v>2232</v>
      </c>
      <c r="AO41" s="104"/>
      <c r="AP41" s="105" t="n">
        <v>0</v>
      </c>
      <c r="AQ41" s="105" t="n">
        <v>0</v>
      </c>
      <c r="AR41" s="105" t="n">
        <v>0</v>
      </c>
      <c r="AS41" s="105" t="n">
        <v>0</v>
      </c>
      <c r="AT41" s="105" t="n">
        <v>0</v>
      </c>
      <c r="AU41" s="105" t="n">
        <v>0</v>
      </c>
      <c r="AV41" s="105" t="n">
        <v>0</v>
      </c>
      <c r="AW41" s="105" t="n">
        <v>0</v>
      </c>
      <c r="AX41" s="105" t="n">
        <v>0</v>
      </c>
      <c r="AY41" s="105" t="n">
        <v>0</v>
      </c>
      <c r="AZ41" s="105" t="n">
        <v>0</v>
      </c>
      <c r="BA41" s="105" t="n">
        <v>0</v>
      </c>
      <c r="BB41" s="105" t="n">
        <v>0</v>
      </c>
      <c r="BC41" s="105" t="n">
        <v>0</v>
      </c>
      <c r="BD41" s="105" t="n">
        <v>0</v>
      </c>
      <c r="BE41" s="105" t="n">
        <v>0</v>
      </c>
      <c r="BF41" s="105" t="n">
        <v>0</v>
      </c>
      <c r="BG41" s="105" t="n">
        <v>0</v>
      </c>
      <c r="BH41" s="105" t="n">
        <v>0</v>
      </c>
      <c r="BI41" s="105" t="n">
        <v>0</v>
      </c>
      <c r="BJ41" s="105" t="n">
        <v>0</v>
      </c>
      <c r="BK41" s="105" t="n">
        <v>0</v>
      </c>
      <c r="BL41" s="105" t="n">
        <v>0</v>
      </c>
      <c r="BM41" s="105" t="n">
        <v>0</v>
      </c>
      <c r="BN41" s="105" t="n">
        <v>0</v>
      </c>
      <c r="BO41" s="105" t="n">
        <v>0</v>
      </c>
      <c r="BP41" s="105" t="n">
        <v>0</v>
      </c>
      <c r="BQ41" s="105" t="n">
        <v>0</v>
      </c>
      <c r="BR41" s="106" t="n">
        <f aca="false">SUM(AP41:BQ41)/60</f>
        <v>0</v>
      </c>
      <c r="BS41" s="106" t="n">
        <f aca="false">SUM(AP41:BR41)/60</f>
        <v>0</v>
      </c>
      <c r="BT41" s="107"/>
      <c r="BU41" s="107"/>
      <c r="BV41" s="107"/>
      <c r="BW41" s="107"/>
      <c r="BX41" s="107"/>
      <c r="BY41" s="107"/>
      <c r="BZ41" s="107"/>
      <c r="CA41" s="107"/>
      <c r="CB41" s="107"/>
      <c r="CC41" s="107"/>
      <c r="CD41" s="107"/>
      <c r="CE41" s="107"/>
      <c r="CF41" s="107"/>
      <c r="CG41" s="107"/>
      <c r="CH41" s="107"/>
      <c r="CI41" s="107"/>
      <c r="CJ41" s="107"/>
      <c r="CK41" s="107"/>
      <c r="CL41" s="107"/>
      <c r="CM41" s="107"/>
      <c r="CN41" s="107"/>
      <c r="CO41" s="107"/>
      <c r="CP41" s="107"/>
      <c r="CQ41" s="107"/>
      <c r="CR41" s="107"/>
      <c r="CS41" s="107"/>
      <c r="CT41" s="107"/>
      <c r="CU41" s="107"/>
      <c r="CV41" s="107"/>
    </row>
    <row r="42" s="74" customFormat="true" ht="14.9" hidden="true" customHeight="true" outlineLevel="0" collapsed="false">
      <c r="A42" s="74" t="n">
        <f aca="false">MONTH(B42)</f>
        <v>8</v>
      </c>
      <c r="B42" s="75" t="n">
        <v>44413</v>
      </c>
      <c r="C42" s="76" t="s">
        <v>152</v>
      </c>
      <c r="D42" s="77" t="str">
        <f aca="false">IFERROR(VLOOKUP(E:E,'Item Data Support Sheet'!A:O,7,0),"")</f>
        <v>CAP MOLDED</v>
      </c>
      <c r="E42" s="108" t="s">
        <v>199</v>
      </c>
      <c r="G42" s="80" t="s">
        <v>200</v>
      </c>
      <c r="H42" s="79" t="str">
        <f aca="false">IFERROR(VLOOKUP(E:E,'Item Data Support Sheet'!A:O,2,0),"")</f>
        <v>CAP S TYPE MOLDED RED</v>
      </c>
      <c r="I42" s="80" t="s">
        <v>221</v>
      </c>
      <c r="J42" s="80" t="s">
        <v>148</v>
      </c>
      <c r="K42" s="81" t="n">
        <v>8</v>
      </c>
      <c r="L42" s="82" t="n">
        <v>4137</v>
      </c>
      <c r="M42" s="83" t="n">
        <f aca="false">IFERROR(L42/K42,0)</f>
        <v>517.125</v>
      </c>
      <c r="N42" s="84" t="n">
        <f aca="false">+O42+Q42+T42+U42</f>
        <v>4012</v>
      </c>
      <c r="O42" s="85" t="n">
        <v>4000</v>
      </c>
      <c r="P42" s="86" t="n">
        <v>0</v>
      </c>
      <c r="Q42" s="87" t="n">
        <v>0</v>
      </c>
      <c r="R42" s="88" t="n">
        <v>0</v>
      </c>
      <c r="S42" s="88" t="n">
        <v>0</v>
      </c>
      <c r="T42" s="88" t="n">
        <v>4</v>
      </c>
      <c r="U42" s="88" t="n">
        <v>8</v>
      </c>
      <c r="V42" s="89" t="n">
        <v>1</v>
      </c>
      <c r="W42" s="90" t="n">
        <f aca="false">IFERROR(O42/V42,0)</f>
        <v>4000</v>
      </c>
      <c r="X42" s="91" t="n">
        <f aca="false">O42/L42</f>
        <v>0.96688421561518</v>
      </c>
      <c r="Y42" s="92" t="str">
        <f aca="false">IFERROR(VLOOKUP(E:E,'Item Data Support Sheet'!A:J,6,0),0)</f>
        <v>FO153</v>
      </c>
      <c r="Z42" s="93" t="n">
        <f aca="false">IFERROR(VLOOKUP(E:E,'Item Data Support Sheet'!A:O,4,0),0)</f>
        <v>7.3</v>
      </c>
      <c r="AA42" s="93" t="n">
        <f aca="false">IFERROR(((N42)*(Z42/1000))+P42,0)</f>
        <v>29.2876</v>
      </c>
      <c r="AB42" s="94" t="n">
        <f aca="false">IFERROR((O42*(Z42/1000)/(AA42))," ")</f>
        <v>0.997008973080758</v>
      </c>
      <c r="AC42" s="95" t="n">
        <f aca="false">IFERROR((T42)/((T42)+O42),0)</f>
        <v>0.000999000999000999</v>
      </c>
      <c r="AD42" s="96" t="n">
        <f aca="false">IFERROR(Q42/(Q42+N42),0)</f>
        <v>0</v>
      </c>
      <c r="AE42" s="91" t="n">
        <f aca="false">(N42-T42)/N42</f>
        <v>0.999002991026919</v>
      </c>
      <c r="AF42" s="97" t="n">
        <f aca="false">BR42</f>
        <v>0</v>
      </c>
      <c r="AG42" s="98" t="n">
        <f aca="false">K42-AF42</f>
        <v>8</v>
      </c>
      <c r="AH42" s="99" t="n">
        <f aca="false">IFERROR(AG42/K42," ")</f>
        <v>1</v>
      </c>
      <c r="AI42" s="100" t="n">
        <f aca="false">IFERROR(O42/K42,0)</f>
        <v>500</v>
      </c>
      <c r="AJ42" s="101" t="n">
        <f aca="false">VLOOKUP(D42,'Standard Cycle time'!C:D,2,0)</f>
        <v>6</v>
      </c>
      <c r="AK42" s="101" t="n">
        <f aca="false">AG42*V42*3600/O42</f>
        <v>7.2</v>
      </c>
      <c r="AL42" s="102" t="n">
        <f aca="false">AJ42/AK42</f>
        <v>0.833333333333333</v>
      </c>
      <c r="AM42" s="99" t="n">
        <f aca="false">AE42*AL42*AH42</f>
        <v>0.832502492522433</v>
      </c>
      <c r="AN42" s="103" t="n">
        <v>2687</v>
      </c>
      <c r="AO42" s="104"/>
      <c r="AP42" s="105" t="n">
        <v>0</v>
      </c>
      <c r="AQ42" s="105" t="n">
        <v>0</v>
      </c>
      <c r="AR42" s="105" t="n">
        <v>0</v>
      </c>
      <c r="AS42" s="105" t="n">
        <v>0</v>
      </c>
      <c r="AT42" s="105" t="n">
        <v>0</v>
      </c>
      <c r="AU42" s="105" t="n">
        <v>0</v>
      </c>
      <c r="AV42" s="105" t="n">
        <v>0</v>
      </c>
      <c r="AW42" s="105" t="n">
        <v>0</v>
      </c>
      <c r="AX42" s="105" t="n">
        <v>0</v>
      </c>
      <c r="AY42" s="105" t="n">
        <v>0</v>
      </c>
      <c r="AZ42" s="105" t="n">
        <v>0</v>
      </c>
      <c r="BA42" s="105" t="n">
        <v>0</v>
      </c>
      <c r="BB42" s="105" t="n">
        <v>0</v>
      </c>
      <c r="BC42" s="105" t="n">
        <v>0</v>
      </c>
      <c r="BD42" s="105" t="n">
        <v>0</v>
      </c>
      <c r="BE42" s="105" t="n">
        <v>0</v>
      </c>
      <c r="BF42" s="105" t="n">
        <v>0</v>
      </c>
      <c r="BG42" s="105" t="n">
        <v>0</v>
      </c>
      <c r="BH42" s="105" t="n">
        <v>0</v>
      </c>
      <c r="BI42" s="105" t="n">
        <v>0</v>
      </c>
      <c r="BJ42" s="105" t="n">
        <v>0</v>
      </c>
      <c r="BK42" s="105" t="n">
        <v>0</v>
      </c>
      <c r="BL42" s="105" t="n">
        <v>0</v>
      </c>
      <c r="BM42" s="105" t="n">
        <v>0</v>
      </c>
      <c r="BN42" s="105" t="n">
        <v>0</v>
      </c>
      <c r="BO42" s="105" t="n">
        <v>0</v>
      </c>
      <c r="BP42" s="105" t="n">
        <v>0</v>
      </c>
      <c r="BQ42" s="105" t="n">
        <v>0</v>
      </c>
      <c r="BR42" s="106" t="n">
        <f aca="false">SUM(AP42:BQ42)/60</f>
        <v>0</v>
      </c>
      <c r="BS42" s="106" t="n">
        <f aca="false">SUM(AP42:BR42)/60</f>
        <v>0</v>
      </c>
      <c r="BT42" s="107"/>
      <c r="BU42" s="107"/>
      <c r="BV42" s="107"/>
      <c r="BW42" s="107"/>
      <c r="BX42" s="107"/>
      <c r="BY42" s="107"/>
      <c r="BZ42" s="107"/>
      <c r="CA42" s="107"/>
      <c r="CB42" s="107"/>
      <c r="CC42" s="107"/>
      <c r="CD42" s="107"/>
      <c r="CE42" s="107"/>
      <c r="CF42" s="107"/>
      <c r="CG42" s="107"/>
      <c r="CH42" s="107"/>
      <c r="CI42" s="107"/>
      <c r="CJ42" s="107"/>
      <c r="CK42" s="107"/>
      <c r="CL42" s="107"/>
      <c r="CM42" s="107"/>
      <c r="CN42" s="107"/>
      <c r="CO42" s="107"/>
      <c r="CP42" s="107"/>
      <c r="CQ42" s="107"/>
      <c r="CR42" s="107"/>
      <c r="CS42" s="107"/>
      <c r="CT42" s="107"/>
      <c r="CU42" s="107"/>
      <c r="CV42" s="107"/>
    </row>
    <row r="43" s="74" customFormat="true" ht="14.9" hidden="true" customHeight="true" outlineLevel="0" collapsed="false">
      <c r="A43" s="74" t="n">
        <f aca="false">MONTH(B43)</f>
        <v>8</v>
      </c>
      <c r="B43" s="75" t="n">
        <v>44414</v>
      </c>
      <c r="C43" s="76" t="s">
        <v>51</v>
      </c>
      <c r="D43" s="77" t="str">
        <f aca="false">IFERROR(VLOOKUP(E:E,'Item Data Support Sheet'!A:O,7,0),"")</f>
        <v>NIPPLE MOLDED</v>
      </c>
      <c r="E43" s="108" t="s">
        <v>136</v>
      </c>
      <c r="F43" s="80" t="s">
        <v>137</v>
      </c>
      <c r="G43" s="77" t="s">
        <v>138</v>
      </c>
      <c r="H43" s="79" t="str">
        <f aca="false">IFERROR(VLOOKUP(E:E,'Item Data Support Sheet'!A:O,2,0),"")</f>
        <v>NIPPLE S TYPE M SIZE INJECTION</v>
      </c>
      <c r="I43" s="80" t="s">
        <v>222</v>
      </c>
      <c r="J43" s="80" t="s">
        <v>143</v>
      </c>
      <c r="K43" s="81" t="n">
        <v>8</v>
      </c>
      <c r="L43" s="82" t="n">
        <v>4815</v>
      </c>
      <c r="M43" s="83" t="n">
        <f aca="false">IFERROR(L43/K43,0)</f>
        <v>601.875</v>
      </c>
      <c r="N43" s="84" t="n">
        <f aca="false">+O43+Q43+T43+U43</f>
        <v>2788</v>
      </c>
      <c r="O43" s="85" t="n">
        <v>2600</v>
      </c>
      <c r="P43" s="86" t="n">
        <v>1.8</v>
      </c>
      <c r="Q43" s="87" t="n">
        <v>110</v>
      </c>
      <c r="R43" s="88" t="n">
        <v>0</v>
      </c>
      <c r="S43" s="88" t="n">
        <v>0</v>
      </c>
      <c r="T43" s="88" t="n">
        <v>70</v>
      </c>
      <c r="U43" s="88" t="n">
        <v>8</v>
      </c>
      <c r="V43" s="89" t="n">
        <v>1</v>
      </c>
      <c r="W43" s="90" t="n">
        <f aca="false">IFERROR(O43/V43,0)</f>
        <v>2600</v>
      </c>
      <c r="X43" s="91" t="n">
        <f aca="false">O43/L43</f>
        <v>0.539979231568017</v>
      </c>
      <c r="Y43" s="92" t="str">
        <f aca="false">IFERROR(VLOOKUP(E:E,'Item Data Support Sheet'!A:J,6,0),0)</f>
        <v>Silicon</v>
      </c>
      <c r="Z43" s="93" t="n">
        <f aca="false">IFERROR(VLOOKUP(E:E,'Item Data Support Sheet'!A:O,4,0),0)</f>
        <v>6.8</v>
      </c>
      <c r="AA43" s="93" t="n">
        <f aca="false">IFERROR(((N43)*(Z43/1000))+P43,0)</f>
        <v>20.7584</v>
      </c>
      <c r="AB43" s="94" t="n">
        <f aca="false">IFERROR((O43*(Z43/1000)/(AA43))," ")</f>
        <v>0.851703406813627</v>
      </c>
      <c r="AC43" s="95" t="n">
        <f aca="false">IFERROR((T43)/((T43)+O43),0)</f>
        <v>0.0262172284644195</v>
      </c>
      <c r="AD43" s="96" t="n">
        <f aca="false">IFERROR(Q43/(Q43+N43),0)</f>
        <v>0.0379572118702553</v>
      </c>
      <c r="AE43" s="91" t="n">
        <f aca="false">(N43-T43)/N43</f>
        <v>0.974892395982783</v>
      </c>
      <c r="AF43" s="97" t="n">
        <f aca="false">BR43</f>
        <v>4</v>
      </c>
      <c r="AG43" s="98" t="n">
        <f aca="false">K43-AF43</f>
        <v>4</v>
      </c>
      <c r="AH43" s="99" t="n">
        <f aca="false">IFERROR(AG43/K43," ")</f>
        <v>0.5</v>
      </c>
      <c r="AI43" s="100" t="n">
        <f aca="false">IFERROR(O43/K43,0)</f>
        <v>325</v>
      </c>
      <c r="AJ43" s="101" t="n">
        <f aca="false">VLOOKUP(D43,'Standard Cycle time'!C:D,2,0)</f>
        <v>5.25</v>
      </c>
      <c r="AK43" s="101" t="n">
        <f aca="false">AG43*V43*3600/O43</f>
        <v>5.53846153846154</v>
      </c>
      <c r="AL43" s="102" t="n">
        <f aca="false">AJ43/AK43</f>
        <v>0.947916666666667</v>
      </c>
      <c r="AM43" s="99" t="n">
        <f aca="false">AE43*AL43*AH43</f>
        <v>0.46205837517934</v>
      </c>
      <c r="AN43" s="103" t="n">
        <v>2236</v>
      </c>
      <c r="AO43" s="104" t="s">
        <v>223</v>
      </c>
      <c r="AP43" s="105" t="n">
        <v>0</v>
      </c>
      <c r="AQ43" s="105" t="n">
        <v>0</v>
      </c>
      <c r="AR43" s="105" t="n">
        <v>0</v>
      </c>
      <c r="AS43" s="105" t="n">
        <v>0</v>
      </c>
      <c r="AT43" s="105" t="n">
        <v>0</v>
      </c>
      <c r="AU43" s="105" t="n">
        <v>120</v>
      </c>
      <c r="AV43" s="105" t="n">
        <v>0</v>
      </c>
      <c r="AW43" s="105" t="n">
        <v>70</v>
      </c>
      <c r="AX43" s="105" t="n">
        <v>50</v>
      </c>
      <c r="AY43" s="105" t="n">
        <v>0</v>
      </c>
      <c r="AZ43" s="105" t="n">
        <v>0</v>
      </c>
      <c r="BA43" s="105" t="n">
        <v>0</v>
      </c>
      <c r="BB43" s="105" t="n">
        <v>0</v>
      </c>
      <c r="BC43" s="105" t="n">
        <v>0</v>
      </c>
      <c r="BD43" s="105" t="n">
        <v>0</v>
      </c>
      <c r="BE43" s="105" t="n">
        <v>0</v>
      </c>
      <c r="BF43" s="105" t="n">
        <v>0</v>
      </c>
      <c r="BG43" s="105" t="n">
        <v>0</v>
      </c>
      <c r="BH43" s="105" t="n">
        <v>0</v>
      </c>
      <c r="BI43" s="105" t="n">
        <v>0</v>
      </c>
      <c r="BJ43" s="105" t="n">
        <v>0</v>
      </c>
      <c r="BK43" s="105" t="n">
        <v>0</v>
      </c>
      <c r="BL43" s="105" t="n">
        <v>0</v>
      </c>
      <c r="BM43" s="105" t="n">
        <v>0</v>
      </c>
      <c r="BN43" s="105" t="n">
        <v>0</v>
      </c>
      <c r="BO43" s="105" t="n">
        <v>0</v>
      </c>
      <c r="BP43" s="105" t="n">
        <v>0</v>
      </c>
      <c r="BQ43" s="105" t="n">
        <v>0</v>
      </c>
      <c r="BR43" s="106" t="n">
        <f aca="false">SUM(AP43:BQ43)/60</f>
        <v>4</v>
      </c>
      <c r="BS43" s="106" t="n">
        <f aca="false">SUM(AP43:BR43)/60</f>
        <v>4.06666666666667</v>
      </c>
      <c r="BT43" s="107"/>
      <c r="BU43" s="107"/>
      <c r="BV43" s="107"/>
      <c r="BW43" s="107"/>
      <c r="BX43" s="107"/>
      <c r="BY43" s="107"/>
      <c r="BZ43" s="107"/>
      <c r="CA43" s="107"/>
      <c r="CB43" s="107"/>
      <c r="CC43" s="107"/>
      <c r="CD43" s="107"/>
      <c r="CE43" s="107"/>
      <c r="CF43" s="107"/>
      <c r="CG43" s="107"/>
      <c r="CH43" s="107"/>
      <c r="CI43" s="107"/>
      <c r="CJ43" s="107"/>
      <c r="CK43" s="107"/>
      <c r="CL43" s="107"/>
      <c r="CM43" s="107"/>
      <c r="CN43" s="107"/>
      <c r="CO43" s="107"/>
      <c r="CP43" s="107"/>
      <c r="CQ43" s="107"/>
      <c r="CR43" s="107"/>
      <c r="CS43" s="107"/>
      <c r="CT43" s="107"/>
      <c r="CU43" s="107"/>
      <c r="CV43" s="107"/>
    </row>
    <row r="44" s="74" customFormat="true" ht="14.9" hidden="true" customHeight="true" outlineLevel="0" collapsed="false">
      <c r="A44" s="74" t="n">
        <f aca="false">MONTH(B44)</f>
        <v>8</v>
      </c>
      <c r="B44" s="75" t="n">
        <v>44414</v>
      </c>
      <c r="C44" s="76" t="s">
        <v>51</v>
      </c>
      <c r="D44" s="77" t="str">
        <f aca="false">IFERROR(VLOOKUP(E:E,'Item Data Support Sheet'!A:O,7,0),"")</f>
        <v>NIPPLE PUNCH</v>
      </c>
      <c r="E44" s="108" t="s">
        <v>60</v>
      </c>
      <c r="F44" s="80"/>
      <c r="G44" s="77" t="s">
        <v>54</v>
      </c>
      <c r="H44" s="79" t="str">
        <f aca="false">IFERROR(VLOOKUP(E:E,'Item Data Support Sheet'!A:O,2,0),"")</f>
        <v>NIPPLE S TYPE M SIZE PUNCHED</v>
      </c>
      <c r="I44" s="80" t="s">
        <v>213</v>
      </c>
      <c r="J44" s="80" t="s">
        <v>143</v>
      </c>
      <c r="K44" s="81" t="n">
        <v>8</v>
      </c>
      <c r="L44" s="82" t="n">
        <v>7036</v>
      </c>
      <c r="M44" s="83" t="n">
        <f aca="false">IFERROR(L44/K44,0)</f>
        <v>879.5</v>
      </c>
      <c r="N44" s="84" t="n">
        <f aca="false">+O44+Q44+T44+U44</f>
        <v>6800</v>
      </c>
      <c r="O44" s="85" t="n">
        <f aca="false">6800-8</f>
        <v>6792</v>
      </c>
      <c r="P44" s="86" t="n">
        <v>0</v>
      </c>
      <c r="Q44" s="87" t="n">
        <v>0</v>
      </c>
      <c r="R44" s="88" t="n">
        <v>0</v>
      </c>
      <c r="S44" s="88" t="n">
        <v>0</v>
      </c>
      <c r="T44" s="88" t="n">
        <v>8</v>
      </c>
      <c r="U44" s="88" t="n">
        <v>0</v>
      </c>
      <c r="V44" s="89" t="n">
        <v>1</v>
      </c>
      <c r="W44" s="90" t="n">
        <f aca="false">IFERROR(O44/V44,0)</f>
        <v>6792</v>
      </c>
      <c r="X44" s="91" t="n">
        <f aca="false">O44/L44</f>
        <v>0.965321205230244</v>
      </c>
      <c r="Y44" s="92" t="str">
        <f aca="false">IFERROR(VLOOKUP(E:E,'Item Data Support Sheet'!A:J,6,0),0)</f>
        <v>FO016</v>
      </c>
      <c r="Z44" s="93" t="n">
        <f aca="false">IFERROR(VLOOKUP(E:E,'Item Data Support Sheet'!A:O,4,0),0)</f>
        <v>0</v>
      </c>
      <c r="AA44" s="93" t="n">
        <f aca="false">IFERROR(((N44)*(Z44/1000))+P44,0)</f>
        <v>0</v>
      </c>
      <c r="AB44" s="94" t="str">
        <f aca="false">IFERROR((O44*(Z44/1000)/(AA44))," ")</f>
        <v> </v>
      </c>
      <c r="AC44" s="95" t="n">
        <f aca="false">IFERROR((T44)/((T44)+O44),0)</f>
        <v>0.00117647058823529</v>
      </c>
      <c r="AD44" s="96" t="n">
        <f aca="false">IFERROR(Q44/(Q44+N44),0)</f>
        <v>0</v>
      </c>
      <c r="AE44" s="91" t="n">
        <f aca="false">(N44-T44)/N44</f>
        <v>0.998823529411765</v>
      </c>
      <c r="AF44" s="97" t="n">
        <f aca="false">BR44</f>
        <v>0.666666666666667</v>
      </c>
      <c r="AG44" s="98" t="n">
        <f aca="false">K44-AF44</f>
        <v>7.33333333333333</v>
      </c>
      <c r="AH44" s="99" t="n">
        <f aca="false">IFERROR(AG44/K44," ")</f>
        <v>0.916666666666667</v>
      </c>
      <c r="AI44" s="100" t="n">
        <f aca="false">IFERROR(O44/K44,0)</f>
        <v>849</v>
      </c>
      <c r="AJ44" s="101" t="n">
        <f aca="false">VLOOKUP(D44,'Standard Cycle time'!C:D,2,0)</f>
        <v>3.5</v>
      </c>
      <c r="AK44" s="101" t="n">
        <f aca="false">AG44*V44*3600/O44</f>
        <v>3.886925795053</v>
      </c>
      <c r="AL44" s="102" t="n">
        <f aca="false">AJ44/AK44</f>
        <v>0.900454545454545</v>
      </c>
      <c r="AM44" s="99" t="n">
        <f aca="false">AE44*AL44*AH44</f>
        <v>0.824445588235294</v>
      </c>
      <c r="AN44" s="103" t="s">
        <v>224</v>
      </c>
      <c r="AO44" s="109"/>
      <c r="AP44" s="105" t="n">
        <v>40</v>
      </c>
      <c r="AQ44" s="105" t="n">
        <v>0</v>
      </c>
      <c r="AR44" s="105" t="n">
        <v>0</v>
      </c>
      <c r="AS44" s="105" t="n">
        <v>0</v>
      </c>
      <c r="AT44" s="105" t="n">
        <v>0</v>
      </c>
      <c r="AU44" s="105" t="n">
        <v>0</v>
      </c>
      <c r="AV44" s="105" t="n">
        <v>0</v>
      </c>
      <c r="AW44" s="105" t="n">
        <v>0</v>
      </c>
      <c r="AX44" s="105" t="n">
        <v>0</v>
      </c>
      <c r="AY44" s="105" t="n">
        <v>0</v>
      </c>
      <c r="AZ44" s="105" t="n">
        <v>0</v>
      </c>
      <c r="BA44" s="105" t="n">
        <v>0</v>
      </c>
      <c r="BB44" s="105" t="n">
        <v>0</v>
      </c>
      <c r="BC44" s="105" t="n">
        <v>0</v>
      </c>
      <c r="BD44" s="105" t="n">
        <v>0</v>
      </c>
      <c r="BE44" s="105" t="n">
        <v>0</v>
      </c>
      <c r="BF44" s="105" t="n">
        <v>0</v>
      </c>
      <c r="BG44" s="105" t="n">
        <v>0</v>
      </c>
      <c r="BH44" s="105" t="n">
        <v>0</v>
      </c>
      <c r="BI44" s="105" t="n">
        <v>0</v>
      </c>
      <c r="BJ44" s="105" t="n">
        <v>0</v>
      </c>
      <c r="BK44" s="105" t="n">
        <v>0</v>
      </c>
      <c r="BL44" s="105" t="n">
        <v>0</v>
      </c>
      <c r="BM44" s="105" t="n">
        <v>0</v>
      </c>
      <c r="BN44" s="105" t="n">
        <v>0</v>
      </c>
      <c r="BO44" s="105" t="n">
        <v>0</v>
      </c>
      <c r="BP44" s="105" t="n">
        <v>0</v>
      </c>
      <c r="BQ44" s="105" t="n">
        <v>0</v>
      </c>
      <c r="BR44" s="106" t="n">
        <f aca="false">SUM(AP44:BQ44)/60</f>
        <v>0.666666666666667</v>
      </c>
      <c r="BS44" s="106" t="n">
        <f aca="false">SUM(AP44:BR44)/60</f>
        <v>0.677777777777778</v>
      </c>
      <c r="BT44" s="107"/>
      <c r="BU44" s="107"/>
      <c r="BV44" s="107"/>
      <c r="BW44" s="107"/>
      <c r="BX44" s="107"/>
      <c r="BY44" s="107"/>
      <c r="BZ44" s="107"/>
      <c r="CA44" s="107"/>
      <c r="CB44" s="107"/>
      <c r="CC44" s="107"/>
      <c r="CD44" s="107"/>
      <c r="CE44" s="107"/>
      <c r="CF44" s="107"/>
      <c r="CG44" s="107"/>
      <c r="CH44" s="107"/>
      <c r="CI44" s="107"/>
      <c r="CJ44" s="107"/>
      <c r="CK44" s="107"/>
      <c r="CL44" s="107"/>
      <c r="CM44" s="107"/>
      <c r="CN44" s="107"/>
      <c r="CO44" s="107"/>
      <c r="CP44" s="107"/>
      <c r="CQ44" s="107"/>
      <c r="CR44" s="107"/>
      <c r="CS44" s="107"/>
      <c r="CT44" s="107"/>
      <c r="CU44" s="107"/>
      <c r="CV44" s="107"/>
    </row>
    <row r="45" s="74" customFormat="true" ht="14.9" hidden="true" customHeight="true" outlineLevel="0" collapsed="false">
      <c r="A45" s="74" t="n">
        <f aca="false">MONTH(B45)</f>
        <v>8</v>
      </c>
      <c r="B45" s="75" t="n">
        <v>44414</v>
      </c>
      <c r="C45" s="76" t="s">
        <v>51</v>
      </c>
      <c r="D45" s="77" t="str">
        <f aca="false">IFERROR(VLOOKUP(E:E,'Item Data Support Sheet'!A:O,7,0),"")</f>
        <v>CAP MOLDED</v>
      </c>
      <c r="E45" s="108" t="s">
        <v>199</v>
      </c>
      <c r="F45" s="80"/>
      <c r="G45" s="77" t="s">
        <v>200</v>
      </c>
      <c r="H45" s="79" t="str">
        <f aca="false">IFERROR(VLOOKUP(E:E,'Item Data Support Sheet'!A:O,2,0),"")</f>
        <v>CAP S TYPE MOLDED RED</v>
      </c>
      <c r="I45" s="80" t="s">
        <v>225</v>
      </c>
      <c r="J45" s="80" t="s">
        <v>143</v>
      </c>
      <c r="K45" s="81" t="n">
        <v>8</v>
      </c>
      <c r="L45" s="82" t="n">
        <v>4137</v>
      </c>
      <c r="M45" s="83" t="n">
        <f aca="false">IFERROR(L45/K45,0)</f>
        <v>517.125</v>
      </c>
      <c r="N45" s="84" t="n">
        <f aca="false">+O45+Q45+T45+U45</f>
        <v>4910</v>
      </c>
      <c r="O45" s="85" t="n">
        <v>4900</v>
      </c>
      <c r="P45" s="86" t="n">
        <v>0</v>
      </c>
      <c r="Q45" s="87" t="n">
        <v>0</v>
      </c>
      <c r="R45" s="88" t="n">
        <v>0</v>
      </c>
      <c r="S45" s="88" t="n">
        <v>0</v>
      </c>
      <c r="T45" s="88" t="n">
        <v>10</v>
      </c>
      <c r="U45" s="88" t="n">
        <v>0</v>
      </c>
      <c r="V45" s="89" t="n">
        <v>1</v>
      </c>
      <c r="W45" s="90" t="n">
        <f aca="false">IFERROR(O45/V45,0)</f>
        <v>4900</v>
      </c>
      <c r="X45" s="91" t="n">
        <f aca="false">O45/L45</f>
        <v>1.1844331641286</v>
      </c>
      <c r="Y45" s="92" t="str">
        <f aca="false">IFERROR(VLOOKUP(E:E,'Item Data Support Sheet'!A:J,6,0),0)</f>
        <v>FO153</v>
      </c>
      <c r="Z45" s="93" t="n">
        <f aca="false">IFERROR(VLOOKUP(E:E,'Item Data Support Sheet'!A:O,4,0),0)</f>
        <v>7.3</v>
      </c>
      <c r="AA45" s="93" t="n">
        <f aca="false">IFERROR(((N45)*(Z45/1000))+P45,0)</f>
        <v>35.843</v>
      </c>
      <c r="AB45" s="94" t="n">
        <f aca="false">IFERROR((O45*(Z45/1000)/(AA45))," ")</f>
        <v>0.9979633401222</v>
      </c>
      <c r="AC45" s="95" t="n">
        <f aca="false">IFERROR((T45)/((T45)+O45),0)</f>
        <v>0.00203665987780041</v>
      </c>
      <c r="AD45" s="96" t="n">
        <f aca="false">IFERROR(Q45/(Q45+N45),0)</f>
        <v>0</v>
      </c>
      <c r="AE45" s="91" t="n">
        <f aca="false">(N45-T45)/N45</f>
        <v>0.9979633401222</v>
      </c>
      <c r="AF45" s="97" t="n">
        <f aca="false">BR45</f>
        <v>0</v>
      </c>
      <c r="AG45" s="98" t="n">
        <f aca="false">K45-AF45</f>
        <v>8</v>
      </c>
      <c r="AH45" s="99" t="n">
        <f aca="false">IFERROR(AG45/K45," ")</f>
        <v>1</v>
      </c>
      <c r="AI45" s="100" t="n">
        <f aca="false">IFERROR(O45/K45,0)</f>
        <v>612.5</v>
      </c>
      <c r="AJ45" s="101" t="n">
        <f aca="false">VLOOKUP(D45,'Standard Cycle time'!C:D,2,0)</f>
        <v>6</v>
      </c>
      <c r="AK45" s="101" t="n">
        <f aca="false">AG45*V45*3600/O45</f>
        <v>5.87755102040816</v>
      </c>
      <c r="AL45" s="102" t="n">
        <f aca="false">AJ45/AK45</f>
        <v>1.02083333333333</v>
      </c>
      <c r="AM45" s="99" t="n">
        <f aca="false">AE45*AL45*AH45</f>
        <v>1.01875424304141</v>
      </c>
      <c r="AN45" s="103" t="n">
        <v>2687</v>
      </c>
      <c r="AO45" s="104"/>
      <c r="AP45" s="105" t="n">
        <v>0</v>
      </c>
      <c r="AQ45" s="105" t="n">
        <v>0</v>
      </c>
      <c r="AR45" s="105" t="n">
        <v>0</v>
      </c>
      <c r="AS45" s="105" t="n">
        <v>0</v>
      </c>
      <c r="AT45" s="105" t="n">
        <v>0</v>
      </c>
      <c r="AU45" s="105" t="n">
        <v>0</v>
      </c>
      <c r="AV45" s="105" t="n">
        <v>0</v>
      </c>
      <c r="AW45" s="105" t="n">
        <v>0</v>
      </c>
      <c r="AX45" s="105" t="n">
        <v>0</v>
      </c>
      <c r="AY45" s="105" t="n">
        <v>0</v>
      </c>
      <c r="AZ45" s="105" t="n">
        <v>0</v>
      </c>
      <c r="BA45" s="105" t="n">
        <v>0</v>
      </c>
      <c r="BB45" s="105" t="n">
        <v>0</v>
      </c>
      <c r="BC45" s="105" t="n">
        <v>0</v>
      </c>
      <c r="BD45" s="105" t="n">
        <v>0</v>
      </c>
      <c r="BE45" s="105" t="n">
        <v>0</v>
      </c>
      <c r="BF45" s="105" t="n">
        <v>0</v>
      </c>
      <c r="BG45" s="105" t="n">
        <v>0</v>
      </c>
      <c r="BH45" s="105" t="n">
        <v>0</v>
      </c>
      <c r="BI45" s="105" t="n">
        <v>0</v>
      </c>
      <c r="BJ45" s="105" t="n">
        <v>0</v>
      </c>
      <c r="BK45" s="105" t="n">
        <v>0</v>
      </c>
      <c r="BL45" s="105" t="n">
        <v>0</v>
      </c>
      <c r="BM45" s="105" t="n">
        <v>0</v>
      </c>
      <c r="BN45" s="105" t="n">
        <v>0</v>
      </c>
      <c r="BO45" s="105" t="n">
        <v>0</v>
      </c>
      <c r="BP45" s="105" t="n">
        <v>0</v>
      </c>
      <c r="BQ45" s="105" t="n">
        <v>0</v>
      </c>
      <c r="BR45" s="106" t="n">
        <f aca="false">SUM(AP45:BQ45)/60</f>
        <v>0</v>
      </c>
      <c r="BS45" s="106" t="n">
        <f aca="false">SUM(AP45:BR45)/60</f>
        <v>0</v>
      </c>
      <c r="BT45" s="107"/>
      <c r="BU45" s="107"/>
      <c r="BV45" s="107"/>
      <c r="BW45" s="107"/>
      <c r="BX45" s="107"/>
      <c r="BY45" s="107"/>
      <c r="BZ45" s="107"/>
      <c r="CA45" s="107"/>
      <c r="CB45" s="107"/>
      <c r="CC45" s="107"/>
      <c r="CD45" s="107"/>
      <c r="CE45" s="107"/>
      <c r="CF45" s="107"/>
      <c r="CG45" s="107"/>
      <c r="CH45" s="107"/>
      <c r="CI45" s="107"/>
      <c r="CJ45" s="107"/>
      <c r="CK45" s="107"/>
      <c r="CL45" s="107"/>
      <c r="CM45" s="107"/>
      <c r="CN45" s="107"/>
      <c r="CO45" s="107"/>
      <c r="CP45" s="107"/>
      <c r="CQ45" s="107"/>
      <c r="CR45" s="107"/>
      <c r="CS45" s="107"/>
      <c r="CT45" s="107"/>
      <c r="CU45" s="107"/>
      <c r="CV45" s="107"/>
    </row>
    <row r="46" s="74" customFormat="true" ht="14.9" hidden="true" customHeight="true" outlineLevel="0" collapsed="false">
      <c r="A46" s="74" t="n">
        <f aca="false">MONTH(B46)</f>
        <v>8</v>
      </c>
      <c r="B46" s="75" t="n">
        <v>44414</v>
      </c>
      <c r="C46" s="76" t="s">
        <v>51</v>
      </c>
      <c r="D46" s="77" t="str">
        <f aca="false">IFERROR(VLOOKUP(E:E,'Item Data Support Sheet'!A:O,7,0),"")</f>
        <v>BOTTLE MOLDED</v>
      </c>
      <c r="E46" s="108" t="s">
        <v>215</v>
      </c>
      <c r="F46" s="78" t="s">
        <v>73</v>
      </c>
      <c r="G46" s="77" t="s">
        <v>74</v>
      </c>
      <c r="H46" s="79" t="str">
        <f aca="false">IFERROR(VLOOKUP(E:E,'Item Data Support Sheet'!A:O,2,0),"")</f>
        <v>KPP BOTTLE 200 ML MOULDED-WMG3B</v>
      </c>
      <c r="I46" s="80" t="s">
        <v>226</v>
      </c>
      <c r="J46" s="80" t="s">
        <v>143</v>
      </c>
      <c r="K46" s="81" t="n">
        <v>8</v>
      </c>
      <c r="L46" s="82" t="n">
        <v>2574</v>
      </c>
      <c r="M46" s="83" t="n">
        <f aca="false">IFERROR(L46/K46,0)</f>
        <v>321.75</v>
      </c>
      <c r="N46" s="84" t="n">
        <f aca="false">+O46+Q46+T46+U46</f>
        <v>2472</v>
      </c>
      <c r="O46" s="85" t="n">
        <f aca="false">22*108</f>
        <v>2376</v>
      </c>
      <c r="P46" s="86" t="n">
        <v>0.12</v>
      </c>
      <c r="Q46" s="87" t="n">
        <v>36</v>
      </c>
      <c r="R46" s="88" t="n">
        <v>0</v>
      </c>
      <c r="S46" s="88" t="n">
        <v>0</v>
      </c>
      <c r="T46" s="88" t="n">
        <v>52</v>
      </c>
      <c r="U46" s="88" t="n">
        <v>8</v>
      </c>
      <c r="V46" s="89" t="n">
        <v>1</v>
      </c>
      <c r="W46" s="90" t="n">
        <f aca="false">IFERROR(O46/V46,0)</f>
        <v>2376</v>
      </c>
      <c r="X46" s="91" t="n">
        <f aca="false">O46/L46</f>
        <v>0.923076923076923</v>
      </c>
      <c r="Y46" s="92" t="str">
        <f aca="false">IFERROR(VLOOKUP(E:E,'Item Data Support Sheet'!A:J,6,0),0)</f>
        <v>WMG3B</v>
      </c>
      <c r="Z46" s="93" t="n">
        <f aca="false">IFERROR(VLOOKUP(E:E,'Item Data Support Sheet'!A:O,4,0),0)</f>
        <v>28.6</v>
      </c>
      <c r="AA46" s="93" t="n">
        <f aca="false">IFERROR(((N46)*(Z46/1000))+P46,0)</f>
        <v>70.8192</v>
      </c>
      <c r="AB46" s="94" t="n">
        <f aca="false">IFERROR((O46*(Z46/1000)/(AA46))," ")</f>
        <v>0.959536396909313</v>
      </c>
      <c r="AC46" s="95" t="n">
        <f aca="false">IFERROR((T46)/((T46)+O46),0)</f>
        <v>0.0214168039538715</v>
      </c>
      <c r="AD46" s="96" t="n">
        <f aca="false">IFERROR(Q46/(Q46+N46),0)</f>
        <v>0.0143540669856459</v>
      </c>
      <c r="AE46" s="91" t="n">
        <f aca="false">(N46-T46)/N46</f>
        <v>0.978964401294498</v>
      </c>
      <c r="AF46" s="97" t="n">
        <f aca="false">BR46</f>
        <v>1</v>
      </c>
      <c r="AG46" s="98" t="n">
        <f aca="false">K46-AF46</f>
        <v>7</v>
      </c>
      <c r="AH46" s="99" t="n">
        <f aca="false">IFERROR(AG46/K46," ")</f>
        <v>0.875</v>
      </c>
      <c r="AI46" s="100" t="n">
        <f aca="false">IFERROR(O46/K46,0)</f>
        <v>297</v>
      </c>
      <c r="AJ46" s="101" t="n">
        <f aca="false">VLOOKUP(D46,'Standard Cycle time'!C:D,2,0)</f>
        <v>9</v>
      </c>
      <c r="AK46" s="101" t="n">
        <f aca="false">AG46*V46*3600/O46</f>
        <v>10.6060606060606</v>
      </c>
      <c r="AL46" s="102" t="n">
        <f aca="false">AJ46/AK46</f>
        <v>0.848571428571429</v>
      </c>
      <c r="AM46" s="99" t="n">
        <f aca="false">AE46*AL46*AH46</f>
        <v>0.726881067961165</v>
      </c>
      <c r="AN46" s="103" t="n">
        <v>2235</v>
      </c>
      <c r="AO46" s="104"/>
      <c r="AP46" s="105" t="n">
        <v>0</v>
      </c>
      <c r="AQ46" s="105" t="n">
        <v>0</v>
      </c>
      <c r="AR46" s="105" t="n">
        <v>0</v>
      </c>
      <c r="AS46" s="105" t="n">
        <v>0</v>
      </c>
      <c r="AT46" s="105" t="n">
        <v>0</v>
      </c>
      <c r="AU46" s="105" t="n">
        <v>0</v>
      </c>
      <c r="AV46" s="105" t="n">
        <v>60</v>
      </c>
      <c r="AW46" s="105" t="n">
        <v>0</v>
      </c>
      <c r="AX46" s="105" t="n">
        <v>0</v>
      </c>
      <c r="AY46" s="105" t="n">
        <v>0</v>
      </c>
      <c r="AZ46" s="105" t="n">
        <v>0</v>
      </c>
      <c r="BA46" s="105" t="n">
        <v>0</v>
      </c>
      <c r="BB46" s="105" t="n">
        <v>0</v>
      </c>
      <c r="BC46" s="105" t="n">
        <v>0</v>
      </c>
      <c r="BD46" s="105" t="n">
        <v>0</v>
      </c>
      <c r="BE46" s="105" t="n">
        <v>0</v>
      </c>
      <c r="BF46" s="105" t="n">
        <v>0</v>
      </c>
      <c r="BG46" s="105" t="n">
        <v>0</v>
      </c>
      <c r="BH46" s="105" t="n">
        <v>0</v>
      </c>
      <c r="BI46" s="105" t="n">
        <v>0</v>
      </c>
      <c r="BJ46" s="105" t="n">
        <v>0</v>
      </c>
      <c r="BK46" s="105" t="n">
        <v>0</v>
      </c>
      <c r="BL46" s="105" t="n">
        <v>0</v>
      </c>
      <c r="BM46" s="105" t="n">
        <v>0</v>
      </c>
      <c r="BN46" s="105" t="n">
        <v>0</v>
      </c>
      <c r="BO46" s="105" t="n">
        <v>0</v>
      </c>
      <c r="BP46" s="105" t="n">
        <v>0</v>
      </c>
      <c r="BQ46" s="105" t="n">
        <v>0</v>
      </c>
      <c r="BR46" s="106" t="n">
        <f aca="false">SUM(AP46:BQ46)/60</f>
        <v>1</v>
      </c>
      <c r="BS46" s="106" t="n">
        <f aca="false">SUM(AP46:BR46)/60</f>
        <v>1.01666666666667</v>
      </c>
      <c r="BT46" s="107"/>
      <c r="BU46" s="107"/>
      <c r="BV46" s="107"/>
      <c r="BW46" s="107"/>
      <c r="BX46" s="107"/>
      <c r="BY46" s="107"/>
      <c r="BZ46" s="107"/>
      <c r="CA46" s="107"/>
      <c r="CB46" s="107"/>
      <c r="CC46" s="107"/>
      <c r="CD46" s="107"/>
      <c r="CE46" s="107"/>
      <c r="CF46" s="107"/>
      <c r="CG46" s="107"/>
      <c r="CH46" s="107"/>
      <c r="CI46" s="107"/>
      <c r="CJ46" s="107"/>
      <c r="CK46" s="107"/>
      <c r="CL46" s="107"/>
      <c r="CM46" s="107"/>
      <c r="CN46" s="107"/>
      <c r="CO46" s="107"/>
      <c r="CP46" s="107"/>
      <c r="CQ46" s="107"/>
      <c r="CR46" s="107"/>
      <c r="CS46" s="107"/>
      <c r="CT46" s="107"/>
      <c r="CU46" s="107"/>
      <c r="CV46" s="107"/>
    </row>
    <row r="47" s="74" customFormat="true" ht="14.9" hidden="true" customHeight="true" outlineLevel="0" collapsed="false">
      <c r="A47" s="74" t="n">
        <f aca="false">MONTH(B47)</f>
        <v>8</v>
      </c>
      <c r="B47" s="75" t="n">
        <v>44414</v>
      </c>
      <c r="C47" s="76" t="s">
        <v>70</v>
      </c>
      <c r="D47" s="77" t="str">
        <f aca="false">IFERROR(VLOOKUP(E:E,'Item Data Support Sheet'!A:O,7,0),"")</f>
        <v>BOTTLE MOLDED</v>
      </c>
      <c r="E47" s="108" t="s">
        <v>215</v>
      </c>
      <c r="F47" s="78" t="s">
        <v>216</v>
      </c>
      <c r="G47" s="77" t="s">
        <v>74</v>
      </c>
      <c r="H47" s="79" t="str">
        <f aca="false">IFERROR(VLOOKUP(E:E,'Item Data Support Sheet'!A:O,2,0),"")</f>
        <v>KPP BOTTLE 200 ML MOULDED-WMG3B</v>
      </c>
      <c r="I47" s="80" t="s">
        <v>227</v>
      </c>
      <c r="J47" s="80" t="s">
        <v>140</v>
      </c>
      <c r="K47" s="81" t="n">
        <v>1.5</v>
      </c>
      <c r="L47" s="82" t="n">
        <v>500</v>
      </c>
      <c r="M47" s="83" t="n">
        <f aca="false">IFERROR(L47/K47,0)</f>
        <v>333.333333333333</v>
      </c>
      <c r="N47" s="84" t="n">
        <f aca="false">+O47+Q47+T47+U47</f>
        <v>533</v>
      </c>
      <c r="O47" s="85" t="n">
        <f aca="false">324+29+135</f>
        <v>488</v>
      </c>
      <c r="P47" s="86" t="n">
        <v>0.3</v>
      </c>
      <c r="Q47" s="87" t="n">
        <v>20</v>
      </c>
      <c r="R47" s="88" t="n">
        <v>0</v>
      </c>
      <c r="S47" s="88" t="n">
        <v>0</v>
      </c>
      <c r="T47" s="88" t="n">
        <v>25</v>
      </c>
      <c r="U47" s="88" t="n">
        <v>0</v>
      </c>
      <c r="V47" s="89" t="n">
        <v>1</v>
      </c>
      <c r="W47" s="90" t="n">
        <f aca="false">IFERROR(O47/V47,0)</f>
        <v>488</v>
      </c>
      <c r="X47" s="91" t="n">
        <f aca="false">O47/L47</f>
        <v>0.976</v>
      </c>
      <c r="Y47" s="92" t="str">
        <f aca="false">IFERROR(VLOOKUP(E:E,'Item Data Support Sheet'!A:J,6,0),0)</f>
        <v>WMG3B</v>
      </c>
      <c r="Z47" s="93" t="n">
        <f aca="false">IFERROR(VLOOKUP(E:E,'Item Data Support Sheet'!A:O,4,0),0)</f>
        <v>28.6</v>
      </c>
      <c r="AA47" s="93" t="n">
        <f aca="false">IFERROR(((N47)*(Z47/1000))+P47,0)</f>
        <v>15.5438</v>
      </c>
      <c r="AB47" s="94" t="n">
        <f aca="false">IFERROR((O47*(Z47/1000)/(AA47))," ")</f>
        <v>0.897901414068632</v>
      </c>
      <c r="AC47" s="95" t="n">
        <f aca="false">IFERROR((T47)/((T47)+O47),0)</f>
        <v>0.0487329434697856</v>
      </c>
      <c r="AD47" s="96" t="n">
        <f aca="false">IFERROR(Q47/(Q47+N47),0)</f>
        <v>0.0361663652802893</v>
      </c>
      <c r="AE47" s="91" t="n">
        <f aca="false">(N47-T47)/N47</f>
        <v>0.953095684803002</v>
      </c>
      <c r="AF47" s="97" t="n">
        <f aca="false">BR47</f>
        <v>0</v>
      </c>
      <c r="AG47" s="98" t="n">
        <f aca="false">K47-AF47</f>
        <v>1.5</v>
      </c>
      <c r="AH47" s="99" t="n">
        <f aca="false">IFERROR(AG47/K47," ")</f>
        <v>1</v>
      </c>
      <c r="AI47" s="100" t="n">
        <f aca="false">IFERROR(O47/K47,0)</f>
        <v>325.333333333333</v>
      </c>
      <c r="AJ47" s="101" t="n">
        <f aca="false">VLOOKUP(D47,'Standard Cycle time'!C:D,2,0)</f>
        <v>9</v>
      </c>
      <c r="AK47" s="101" t="n">
        <f aca="false">AG47*V47*3600/O47</f>
        <v>11.0655737704918</v>
      </c>
      <c r="AL47" s="102" t="n">
        <f aca="false">AJ47/AK47</f>
        <v>0.813333333333333</v>
      </c>
      <c r="AM47" s="99" t="n">
        <f aca="false">AE47*AL47*AH47</f>
        <v>0.775184490306442</v>
      </c>
      <c r="AN47" s="103" t="s">
        <v>228</v>
      </c>
      <c r="AO47" s="104"/>
      <c r="AP47" s="105" t="n">
        <v>0</v>
      </c>
      <c r="AQ47" s="105" t="n">
        <v>0</v>
      </c>
      <c r="AR47" s="105" t="n">
        <v>0</v>
      </c>
      <c r="AS47" s="105" t="n">
        <v>0</v>
      </c>
      <c r="AT47" s="105" t="n">
        <v>0</v>
      </c>
      <c r="AU47" s="105" t="n">
        <v>0</v>
      </c>
      <c r="AV47" s="105" t="n">
        <v>0</v>
      </c>
      <c r="AW47" s="105" t="n">
        <v>0</v>
      </c>
      <c r="AX47" s="105" t="n">
        <v>0</v>
      </c>
      <c r="AY47" s="105" t="n">
        <v>0</v>
      </c>
      <c r="AZ47" s="105" t="n">
        <v>0</v>
      </c>
      <c r="BA47" s="105" t="n">
        <v>0</v>
      </c>
      <c r="BB47" s="105" t="n">
        <v>0</v>
      </c>
      <c r="BC47" s="105" t="n">
        <v>0</v>
      </c>
      <c r="BD47" s="105" t="n">
        <v>0</v>
      </c>
      <c r="BE47" s="105" t="n">
        <v>0</v>
      </c>
      <c r="BF47" s="105" t="n">
        <v>0</v>
      </c>
      <c r="BG47" s="105" t="n">
        <v>0</v>
      </c>
      <c r="BH47" s="105" t="n">
        <v>0</v>
      </c>
      <c r="BI47" s="105" t="n">
        <v>0</v>
      </c>
      <c r="BJ47" s="105" t="n">
        <v>0</v>
      </c>
      <c r="BK47" s="105" t="n">
        <v>0</v>
      </c>
      <c r="BL47" s="105" t="n">
        <v>0</v>
      </c>
      <c r="BM47" s="105" t="n">
        <v>0</v>
      </c>
      <c r="BN47" s="105" t="n">
        <v>0</v>
      </c>
      <c r="BO47" s="105" t="n">
        <v>0</v>
      </c>
      <c r="BP47" s="105" t="n">
        <v>0</v>
      </c>
      <c r="BQ47" s="105" t="n">
        <v>0</v>
      </c>
      <c r="BR47" s="106" t="n">
        <f aca="false">SUM(AP47:BQ47)/60</f>
        <v>0</v>
      </c>
      <c r="BS47" s="106" t="n">
        <f aca="false">SUM(AP47:BR47)/60</f>
        <v>0</v>
      </c>
      <c r="BT47" s="107"/>
      <c r="BU47" s="107"/>
      <c r="BV47" s="107"/>
      <c r="BW47" s="107"/>
      <c r="BX47" s="107"/>
      <c r="BY47" s="107"/>
      <c r="BZ47" s="107"/>
      <c r="CA47" s="107"/>
      <c r="CB47" s="107"/>
      <c r="CC47" s="107"/>
      <c r="CD47" s="107"/>
      <c r="CE47" s="107"/>
      <c r="CF47" s="107"/>
      <c r="CG47" s="107"/>
      <c r="CH47" s="107"/>
      <c r="CI47" s="107"/>
      <c r="CJ47" s="107"/>
      <c r="CK47" s="107"/>
      <c r="CL47" s="107"/>
      <c r="CM47" s="107"/>
      <c r="CN47" s="107"/>
      <c r="CO47" s="107"/>
      <c r="CP47" s="107"/>
      <c r="CQ47" s="107"/>
      <c r="CR47" s="107"/>
      <c r="CS47" s="107"/>
      <c r="CT47" s="107"/>
      <c r="CU47" s="107"/>
      <c r="CV47" s="107"/>
    </row>
    <row r="48" s="74" customFormat="true" ht="14.9" hidden="true" customHeight="true" outlineLevel="0" collapsed="false">
      <c r="A48" s="74" t="n">
        <f aca="false">MONTH(B48)</f>
        <v>8</v>
      </c>
      <c r="B48" s="75" t="n">
        <v>44414</v>
      </c>
      <c r="C48" s="76" t="s">
        <v>63</v>
      </c>
      <c r="D48" s="77" t="str">
        <f aca="false">IFERROR(VLOOKUP(E:E,'Item Data Support Sheet'!A:O,7,0),"")</f>
        <v>BOTTLE PRINTED</v>
      </c>
      <c r="E48" s="108" t="s">
        <v>229</v>
      </c>
      <c r="F48" s="80"/>
      <c r="G48" s="77" t="s">
        <v>66</v>
      </c>
      <c r="H48" s="79" t="str">
        <f aca="false">IFERROR(VLOOKUP(E:E,'Item Data Support Sheet'!A:O,2,0),"")</f>
        <v>KPP BOTTLE 200 ML PRINTED-WMG3B</v>
      </c>
      <c r="I48" s="80" t="s">
        <v>230</v>
      </c>
      <c r="J48" s="80" t="s">
        <v>161</v>
      </c>
      <c r="K48" s="81" t="n">
        <v>8.5</v>
      </c>
      <c r="L48" s="82" t="n">
        <v>5100</v>
      </c>
      <c r="M48" s="83" t="n">
        <f aca="false">IFERROR(L48/K48,0)</f>
        <v>600</v>
      </c>
      <c r="N48" s="84" t="n">
        <f aca="false">+O48+Q48+T48+U48</f>
        <v>4889</v>
      </c>
      <c r="O48" s="85" t="n">
        <v>4752</v>
      </c>
      <c r="P48" s="86" t="n">
        <v>0</v>
      </c>
      <c r="Q48" s="87" t="n">
        <v>0</v>
      </c>
      <c r="R48" s="88" t="n">
        <v>43</v>
      </c>
      <c r="S48" s="88" t="n">
        <v>0</v>
      </c>
      <c r="T48" s="88" t="n">
        <v>137</v>
      </c>
      <c r="U48" s="88" t="n">
        <v>0</v>
      </c>
      <c r="V48" s="89" t="n">
        <v>6</v>
      </c>
      <c r="W48" s="90" t="n">
        <f aca="false">IFERROR(O48/V48,0)</f>
        <v>792</v>
      </c>
      <c r="X48" s="91" t="n">
        <f aca="false">O48/L48</f>
        <v>0.931764705882353</v>
      </c>
      <c r="Y48" s="92" t="str">
        <f aca="false">IFERROR(VLOOKUP(E:E,'Item Data Support Sheet'!A:J,6,0),0)</f>
        <v>FO043</v>
      </c>
      <c r="Z48" s="93" t="n">
        <f aca="false">IFERROR(VLOOKUP(E:E,'Item Data Support Sheet'!A:O,4,0),0)</f>
        <v>0</v>
      </c>
      <c r="AA48" s="93" t="n">
        <f aca="false">IFERROR(((N48)*(Z48/1000))+P48,0)</f>
        <v>0</v>
      </c>
      <c r="AB48" s="94" t="str">
        <f aca="false">IFERROR((O48*(Z48/1000)/(AA48))," ")</f>
        <v> </v>
      </c>
      <c r="AC48" s="95" t="n">
        <f aca="false">IFERROR((T48)/((T48)+O48),0)</f>
        <v>0.0280220904070362</v>
      </c>
      <c r="AD48" s="96" t="n">
        <f aca="false">IFERROR(Q48/(Q48+N48),0)</f>
        <v>0</v>
      </c>
      <c r="AE48" s="91" t="n">
        <f aca="false">(N48-T48)/N48</f>
        <v>0.971977909592964</v>
      </c>
      <c r="AF48" s="97" t="n">
        <f aca="false">BR48</f>
        <v>2.16666666666667</v>
      </c>
      <c r="AG48" s="98" t="n">
        <f aca="false">K48-AF48</f>
        <v>6.33333333333333</v>
      </c>
      <c r="AH48" s="99" t="n">
        <f aca="false">IFERROR(AG48/K48," ")</f>
        <v>0.745098039215686</v>
      </c>
      <c r="AI48" s="100" t="n">
        <f aca="false">IFERROR(O48/K48,0)</f>
        <v>559.058823529412</v>
      </c>
      <c r="AJ48" s="101" t="n">
        <f aca="false">VLOOKUP(D48,'Standard Cycle time'!C:D,2,0)</f>
        <v>32.4</v>
      </c>
      <c r="AK48" s="101" t="n">
        <f aca="false">AG48*V48*3600/O48</f>
        <v>28.7878787878788</v>
      </c>
      <c r="AL48" s="102" t="n">
        <f aca="false">AJ48/AK48</f>
        <v>1.12547368421053</v>
      </c>
      <c r="AM48" s="99" t="n">
        <f aca="false">AE48*AL48*AH48</f>
        <v>0.815089239950429</v>
      </c>
      <c r="AN48" s="103" t="s">
        <v>231</v>
      </c>
      <c r="AO48" s="110" t="s">
        <v>232</v>
      </c>
      <c r="AP48" s="105" t="n">
        <v>50</v>
      </c>
      <c r="AQ48" s="105" t="n">
        <v>80</v>
      </c>
      <c r="AR48" s="105" t="n">
        <v>0</v>
      </c>
      <c r="AS48" s="105" t="n">
        <v>0</v>
      </c>
      <c r="AT48" s="105" t="n">
        <v>0</v>
      </c>
      <c r="AU48" s="105" t="n">
        <v>0</v>
      </c>
      <c r="AV48" s="105" t="n">
        <v>0</v>
      </c>
      <c r="AW48" s="105" t="n">
        <v>0</v>
      </c>
      <c r="AX48" s="105" t="n">
        <v>0</v>
      </c>
      <c r="AY48" s="105" t="n">
        <v>0</v>
      </c>
      <c r="AZ48" s="105" t="n">
        <v>0</v>
      </c>
      <c r="BA48" s="105" t="n">
        <v>0</v>
      </c>
      <c r="BB48" s="105" t="n">
        <v>0</v>
      </c>
      <c r="BC48" s="105" t="n">
        <v>0</v>
      </c>
      <c r="BD48" s="105" t="n">
        <v>0</v>
      </c>
      <c r="BE48" s="105" t="n">
        <v>0</v>
      </c>
      <c r="BF48" s="105" t="n">
        <v>0</v>
      </c>
      <c r="BG48" s="105" t="n">
        <v>0</v>
      </c>
      <c r="BH48" s="105" t="n">
        <v>0</v>
      </c>
      <c r="BI48" s="105" t="n">
        <v>0</v>
      </c>
      <c r="BJ48" s="105" t="n">
        <v>0</v>
      </c>
      <c r="BK48" s="105" t="n">
        <v>0</v>
      </c>
      <c r="BL48" s="105" t="n">
        <v>0</v>
      </c>
      <c r="BM48" s="105" t="n">
        <v>0</v>
      </c>
      <c r="BN48" s="105" t="n">
        <v>0</v>
      </c>
      <c r="BO48" s="105" t="n">
        <v>0</v>
      </c>
      <c r="BP48" s="105" t="n">
        <v>0</v>
      </c>
      <c r="BQ48" s="105" t="n">
        <v>0</v>
      </c>
      <c r="BR48" s="106" t="n">
        <f aca="false">SUM(AP48:BQ48)/60</f>
        <v>2.16666666666667</v>
      </c>
      <c r="BS48" s="106" t="n">
        <f aca="false">SUM(AP48:BR48)/60</f>
        <v>2.20277777777778</v>
      </c>
      <c r="BT48" s="107"/>
      <c r="BU48" s="107"/>
      <c r="BV48" s="107"/>
      <c r="BW48" s="107"/>
      <c r="BX48" s="107"/>
      <c r="BY48" s="107"/>
      <c r="BZ48" s="107"/>
      <c r="CA48" s="107"/>
      <c r="CB48" s="107"/>
      <c r="CC48" s="107"/>
      <c r="CD48" s="107"/>
      <c r="CE48" s="107"/>
      <c r="CF48" s="107"/>
      <c r="CG48" s="107"/>
      <c r="CH48" s="107"/>
      <c r="CI48" s="107"/>
      <c r="CJ48" s="107"/>
      <c r="CK48" s="107"/>
      <c r="CL48" s="107"/>
      <c r="CM48" s="107"/>
      <c r="CN48" s="107"/>
      <c r="CO48" s="107"/>
      <c r="CP48" s="107"/>
      <c r="CQ48" s="107"/>
      <c r="CR48" s="107"/>
      <c r="CS48" s="107"/>
      <c r="CT48" s="107"/>
      <c r="CU48" s="107"/>
      <c r="CV48" s="107"/>
    </row>
    <row r="49" s="74" customFormat="true" ht="14.9" hidden="true" customHeight="true" outlineLevel="0" collapsed="false">
      <c r="A49" s="74" t="n">
        <f aca="false">MONTH(B49)</f>
        <v>8</v>
      </c>
      <c r="B49" s="75" t="n">
        <v>44414</v>
      </c>
      <c r="C49" s="76" t="s">
        <v>63</v>
      </c>
      <c r="D49" s="77" t="str">
        <f aca="false">IFERROR(VLOOKUP(E:E,'Item Data Support Sheet'!A:O,7,0),"")</f>
        <v>NIPPLE PUNCH INSPECTED</v>
      </c>
      <c r="E49" s="108" t="s">
        <v>182</v>
      </c>
      <c r="F49" s="80"/>
      <c r="G49" s="77"/>
      <c r="H49" s="79" t="str">
        <f aca="false">IFERROR(VLOOKUP(E:E,'Item Data Support Sheet'!A:O,2,0),"")</f>
        <v>NIPPLE S TYPE M SIZE PUNCHED INSPECTED</v>
      </c>
      <c r="I49" s="80" t="s">
        <v>233</v>
      </c>
      <c r="J49" s="80" t="s">
        <v>158</v>
      </c>
      <c r="K49" s="81" t="n">
        <v>8.5</v>
      </c>
      <c r="L49" s="82" t="n">
        <v>14182</v>
      </c>
      <c r="M49" s="83" t="n">
        <f aca="false">IFERROR(L49/K49,0)</f>
        <v>1668.47058823529</v>
      </c>
      <c r="N49" s="84" t="n">
        <f aca="false">+O49+Q49+T49+U49</f>
        <v>16090</v>
      </c>
      <c r="O49" s="85" t="n">
        <v>16038</v>
      </c>
      <c r="P49" s="86" t="n">
        <v>0</v>
      </c>
      <c r="Q49" s="87" t="n">
        <v>0</v>
      </c>
      <c r="R49" s="88" t="n">
        <v>0</v>
      </c>
      <c r="S49" s="88" t="n">
        <v>0</v>
      </c>
      <c r="T49" s="88" t="n">
        <v>52</v>
      </c>
      <c r="U49" s="88" t="n">
        <v>0</v>
      </c>
      <c r="V49" s="89" t="n">
        <v>2</v>
      </c>
      <c r="W49" s="90" t="n">
        <f aca="false">IFERROR(O49/V49,0)</f>
        <v>8019</v>
      </c>
      <c r="X49" s="91" t="n">
        <f aca="false">O49/L49</f>
        <v>1.13087011704978</v>
      </c>
      <c r="Y49" s="92" t="str">
        <f aca="false">IFERROR(VLOOKUP(E:E,'Item Data Support Sheet'!A:J,6,0),0)</f>
        <v>FO105</v>
      </c>
      <c r="Z49" s="93" t="n">
        <f aca="false">IFERROR(VLOOKUP(E:E,'Item Data Support Sheet'!A:O,4,0),0)</f>
        <v>0</v>
      </c>
      <c r="AA49" s="93" t="n">
        <f aca="false">IFERROR(((N49)*(Z49/1000))+P49,0)</f>
        <v>0</v>
      </c>
      <c r="AB49" s="94" t="str">
        <f aca="false">IFERROR((O49*(Z49/1000)/(AA49))," ")</f>
        <v> </v>
      </c>
      <c r="AC49" s="95" t="n">
        <f aca="false">IFERROR((T49)/((T49)+O49),0)</f>
        <v>0.00323182100683654</v>
      </c>
      <c r="AD49" s="96" t="n">
        <f aca="false">IFERROR(Q49/(Q49+N49),0)</f>
        <v>0</v>
      </c>
      <c r="AE49" s="91" t="n">
        <f aca="false">(N49-T49)/N49</f>
        <v>0.996768178993163</v>
      </c>
      <c r="AF49" s="97" t="n">
        <f aca="false">BR49</f>
        <v>0.833333333333333</v>
      </c>
      <c r="AG49" s="98" t="n">
        <f aca="false">K49-AF49</f>
        <v>7.66666666666667</v>
      </c>
      <c r="AH49" s="99" t="n">
        <f aca="false">IFERROR(AG49/K49," ")</f>
        <v>0.901960784313726</v>
      </c>
      <c r="AI49" s="100" t="n">
        <f aca="false">IFERROR(O49/K49,0)</f>
        <v>1886.82352941176</v>
      </c>
      <c r="AJ49" s="101" t="n">
        <f aca="false">VLOOKUP(D49,'Standard Cycle time'!C:D,2,0)</f>
        <v>4</v>
      </c>
      <c r="AK49" s="101" t="n">
        <f aca="false">AG49*V49*3600/O49</f>
        <v>3.44182566404789</v>
      </c>
      <c r="AL49" s="102" t="n">
        <f aca="false">AJ49/AK49</f>
        <v>1.16217391304348</v>
      </c>
      <c r="AM49" s="99" t="n">
        <f aca="false">AE49*AL49*AH49</f>
        <v>1.04484758527401</v>
      </c>
      <c r="AN49" s="103" t="s">
        <v>234</v>
      </c>
      <c r="AO49" s="109"/>
      <c r="AP49" s="105" t="n">
        <v>50</v>
      </c>
      <c r="AQ49" s="105" t="n">
        <v>0</v>
      </c>
      <c r="AR49" s="105" t="n">
        <v>0</v>
      </c>
      <c r="AS49" s="105" t="n">
        <v>0</v>
      </c>
      <c r="AT49" s="105" t="n">
        <v>0</v>
      </c>
      <c r="AU49" s="105" t="n">
        <v>0</v>
      </c>
      <c r="AV49" s="105" t="n">
        <v>0</v>
      </c>
      <c r="AW49" s="105" t="n">
        <v>0</v>
      </c>
      <c r="AX49" s="105" t="n">
        <v>0</v>
      </c>
      <c r="AY49" s="105" t="n">
        <v>0</v>
      </c>
      <c r="AZ49" s="105" t="n">
        <v>0</v>
      </c>
      <c r="BA49" s="105" t="n">
        <v>0</v>
      </c>
      <c r="BB49" s="105" t="n">
        <v>0</v>
      </c>
      <c r="BC49" s="105" t="n">
        <v>0</v>
      </c>
      <c r="BD49" s="105" t="n">
        <v>0</v>
      </c>
      <c r="BE49" s="105" t="n">
        <v>0</v>
      </c>
      <c r="BF49" s="105" t="n">
        <v>0</v>
      </c>
      <c r="BG49" s="105" t="n">
        <v>0</v>
      </c>
      <c r="BH49" s="105" t="n">
        <v>0</v>
      </c>
      <c r="BI49" s="105" t="n">
        <v>0</v>
      </c>
      <c r="BJ49" s="105" t="n">
        <v>0</v>
      </c>
      <c r="BK49" s="105" t="n">
        <v>0</v>
      </c>
      <c r="BL49" s="105" t="n">
        <v>0</v>
      </c>
      <c r="BM49" s="105" t="n">
        <v>0</v>
      </c>
      <c r="BN49" s="105" t="n">
        <v>0</v>
      </c>
      <c r="BO49" s="105" t="n">
        <v>0</v>
      </c>
      <c r="BP49" s="105" t="n">
        <v>0</v>
      </c>
      <c r="BQ49" s="105" t="n">
        <v>0</v>
      </c>
      <c r="BR49" s="106" t="n">
        <f aca="false">SUM(AP49:BQ49)/60</f>
        <v>0.833333333333333</v>
      </c>
      <c r="BS49" s="106" t="n">
        <f aca="false">SUM(AP49:BR49)/60</f>
        <v>0.847222222222222</v>
      </c>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c r="CP49" s="107"/>
      <c r="CQ49" s="107"/>
      <c r="CR49" s="107"/>
      <c r="CS49" s="107"/>
      <c r="CT49" s="107"/>
      <c r="CU49" s="107"/>
      <c r="CV49" s="107"/>
    </row>
    <row r="50" s="74" customFormat="true" ht="14.9" hidden="true" customHeight="true" outlineLevel="0" collapsed="false">
      <c r="A50" s="74" t="n">
        <f aca="false">MONTH(B50)</f>
        <v>8</v>
      </c>
      <c r="B50" s="75" t="n">
        <v>44414</v>
      </c>
      <c r="C50" s="76" t="s">
        <v>70</v>
      </c>
      <c r="D50" s="77" t="str">
        <f aca="false">IFERROR(VLOOKUP(E:E,'Item Data Support Sheet'!A:O,7,0),"")</f>
        <v>BOTTLE MOLDED</v>
      </c>
      <c r="E50" s="108" t="s">
        <v>235</v>
      </c>
      <c r="F50" s="80" t="s">
        <v>216</v>
      </c>
      <c r="G50" s="77" t="s">
        <v>74</v>
      </c>
      <c r="H50" s="79" t="str">
        <f aca="false">IFERROR(VLOOKUP(E:E,'Item Data Support Sheet'!A:O,2,0),"")</f>
        <v>KPP 200 ML BOTTLE MOLDED</v>
      </c>
      <c r="I50" s="80" t="s">
        <v>227</v>
      </c>
      <c r="J50" s="80" t="s">
        <v>140</v>
      </c>
      <c r="K50" s="81" t="n">
        <v>6</v>
      </c>
      <c r="L50" s="82" t="n">
        <v>2074</v>
      </c>
      <c r="M50" s="83" t="n">
        <f aca="false">IFERROR(L50/K50,0)</f>
        <v>345.666666666667</v>
      </c>
      <c r="N50" s="84" t="n">
        <f aca="false">+O50+Q50+T50+U50</f>
        <v>1386</v>
      </c>
      <c r="O50" s="85" t="n">
        <f aca="false">12*108</f>
        <v>1296</v>
      </c>
      <c r="P50" s="86" t="n">
        <v>0.6</v>
      </c>
      <c r="Q50" s="87" t="n">
        <v>52</v>
      </c>
      <c r="R50" s="88" t="n">
        <v>0</v>
      </c>
      <c r="S50" s="88" t="n">
        <v>0</v>
      </c>
      <c r="T50" s="88" t="n">
        <v>30</v>
      </c>
      <c r="U50" s="88" t="n">
        <v>8</v>
      </c>
      <c r="V50" s="89" t="n">
        <v>1</v>
      </c>
      <c r="W50" s="90" t="n">
        <f aca="false">IFERROR(O50/V50,0)</f>
        <v>1296</v>
      </c>
      <c r="X50" s="91" t="n">
        <f aca="false">O50/L50</f>
        <v>0.624879459980714</v>
      </c>
      <c r="Y50" s="92" t="str">
        <f aca="false">IFERROR(VLOOKUP(E:E,'Item Data Support Sheet'!A:J,6,0),0)</f>
        <v>HMC</v>
      </c>
      <c r="Z50" s="93" t="n">
        <f aca="false">IFERROR(VLOOKUP(E:E,'Item Data Support Sheet'!A:O,4,0),0)</f>
        <v>28.1</v>
      </c>
      <c r="AA50" s="93" t="n">
        <f aca="false">IFERROR(((N50)*(Z50/1000))+P50,0)</f>
        <v>39.5466</v>
      </c>
      <c r="AB50" s="94" t="n">
        <f aca="false">IFERROR((O50*(Z50/1000)/(AA50))," ")</f>
        <v>0.920878153874164</v>
      </c>
      <c r="AC50" s="95" t="n">
        <f aca="false">IFERROR((T50)/((T50)+O50),0)</f>
        <v>0.0226244343891403</v>
      </c>
      <c r="AD50" s="96" t="n">
        <f aca="false">IFERROR(Q50/(Q50+N50),0)</f>
        <v>0.0361613351877608</v>
      </c>
      <c r="AE50" s="91" t="n">
        <f aca="false">(N50-T50)/N50</f>
        <v>0.978354978354978</v>
      </c>
      <c r="AF50" s="97" t="n">
        <f aca="false">BR50</f>
        <v>2.16666666666667</v>
      </c>
      <c r="AG50" s="98" t="n">
        <f aca="false">K50-AF50</f>
        <v>3.83333333333333</v>
      </c>
      <c r="AH50" s="99" t="n">
        <f aca="false">IFERROR(AG50/K50," ")</f>
        <v>0.638888888888889</v>
      </c>
      <c r="AI50" s="100" t="n">
        <f aca="false">IFERROR(O50/K50,0)</f>
        <v>216</v>
      </c>
      <c r="AJ50" s="101" t="n">
        <f aca="false">VLOOKUP(D50,'Standard Cycle time'!C:D,2,0)</f>
        <v>9</v>
      </c>
      <c r="AK50" s="101" t="n">
        <f aca="false">AG50*V50*3600/O50</f>
        <v>10.6481481481481</v>
      </c>
      <c r="AL50" s="102" t="n">
        <f aca="false">AJ50/AK50</f>
        <v>0.845217391304348</v>
      </c>
      <c r="AM50" s="99" t="n">
        <f aca="false">AE50*AL50*AH50</f>
        <v>0.528311688311688</v>
      </c>
      <c r="AN50" s="103" t="n">
        <v>2253</v>
      </c>
      <c r="AO50" s="112" t="s">
        <v>236</v>
      </c>
      <c r="AP50" s="105" t="n">
        <v>0</v>
      </c>
      <c r="AQ50" s="105" t="n">
        <v>40</v>
      </c>
      <c r="AR50" s="105" t="n">
        <v>90</v>
      </c>
      <c r="AS50" s="105" t="n">
        <v>0</v>
      </c>
      <c r="AT50" s="105" t="n">
        <v>0</v>
      </c>
      <c r="AU50" s="105" t="n">
        <v>0</v>
      </c>
      <c r="AV50" s="105" t="n">
        <v>0</v>
      </c>
      <c r="AW50" s="105" t="n">
        <v>0</v>
      </c>
      <c r="AX50" s="105" t="n">
        <v>0</v>
      </c>
      <c r="AY50" s="105" t="n">
        <v>0</v>
      </c>
      <c r="AZ50" s="105" t="n">
        <v>0</v>
      </c>
      <c r="BA50" s="105" t="n">
        <v>0</v>
      </c>
      <c r="BB50" s="105" t="n">
        <v>0</v>
      </c>
      <c r="BC50" s="105" t="n">
        <v>0</v>
      </c>
      <c r="BD50" s="105" t="n">
        <v>0</v>
      </c>
      <c r="BE50" s="105" t="n">
        <v>0</v>
      </c>
      <c r="BF50" s="105" t="n">
        <v>0</v>
      </c>
      <c r="BG50" s="105" t="n">
        <v>0</v>
      </c>
      <c r="BH50" s="105" t="n">
        <v>0</v>
      </c>
      <c r="BI50" s="105" t="n">
        <v>0</v>
      </c>
      <c r="BJ50" s="105" t="n">
        <v>0</v>
      </c>
      <c r="BK50" s="105" t="n">
        <v>0</v>
      </c>
      <c r="BL50" s="105" t="n">
        <v>0</v>
      </c>
      <c r="BM50" s="105" t="n">
        <v>0</v>
      </c>
      <c r="BN50" s="105" t="n">
        <v>0</v>
      </c>
      <c r="BO50" s="105" t="n">
        <v>0</v>
      </c>
      <c r="BP50" s="105" t="n">
        <v>0</v>
      </c>
      <c r="BQ50" s="105" t="n">
        <v>0</v>
      </c>
      <c r="BR50" s="106" t="n">
        <f aca="false">SUM(AP50:BQ50)/60</f>
        <v>2.16666666666667</v>
      </c>
      <c r="BS50" s="106" t="n">
        <f aca="false">SUM(AP50:BR50)/60</f>
        <v>2.20277777777778</v>
      </c>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row>
    <row r="51" s="74" customFormat="true" ht="14.9" hidden="true" customHeight="true" outlineLevel="0" collapsed="false">
      <c r="A51" s="74" t="n">
        <f aca="false">MONTH(B51)</f>
        <v>8</v>
      </c>
      <c r="B51" s="75" t="n">
        <v>44414</v>
      </c>
      <c r="C51" s="76" t="s">
        <v>70</v>
      </c>
      <c r="D51" s="77" t="str">
        <f aca="false">IFERROR(VLOOKUP(E:E,'Item Data Support Sheet'!A:O,7,0),"")</f>
        <v>NIPPLE MOLDED</v>
      </c>
      <c r="E51" s="108" t="s">
        <v>136</v>
      </c>
      <c r="F51" s="80" t="s">
        <v>137</v>
      </c>
      <c r="G51" s="77" t="s">
        <v>138</v>
      </c>
      <c r="H51" s="79" t="str">
        <f aca="false">IFERROR(VLOOKUP(E:E,'Item Data Support Sheet'!A:O,2,0),"")</f>
        <v>NIPPLE S TYPE M SIZE INJECTION</v>
      </c>
      <c r="I51" s="80" t="s">
        <v>237</v>
      </c>
      <c r="J51" s="80" t="s">
        <v>140</v>
      </c>
      <c r="K51" s="81" t="n">
        <v>8</v>
      </c>
      <c r="L51" s="82" t="n">
        <v>4815</v>
      </c>
      <c r="M51" s="83" t="n">
        <f aca="false">IFERROR(L51/K51,0)</f>
        <v>601.875</v>
      </c>
      <c r="N51" s="84" t="n">
        <f aca="false">+O51+Q51+T51+U51</f>
        <v>5099</v>
      </c>
      <c r="O51" s="85" t="n">
        <v>5012</v>
      </c>
      <c r="P51" s="86" t="n">
        <v>0</v>
      </c>
      <c r="Q51" s="87" t="n">
        <v>27</v>
      </c>
      <c r="R51" s="88" t="n">
        <v>0</v>
      </c>
      <c r="S51" s="88" t="n">
        <v>0</v>
      </c>
      <c r="T51" s="88" t="n">
        <v>60</v>
      </c>
      <c r="U51" s="88" t="n">
        <v>0</v>
      </c>
      <c r="V51" s="89" t="n">
        <v>1</v>
      </c>
      <c r="W51" s="90" t="n">
        <f aca="false">IFERROR(O51/V51,0)</f>
        <v>5012</v>
      </c>
      <c r="X51" s="91" t="n">
        <f aca="false">O51/L51</f>
        <v>1.04091381100727</v>
      </c>
      <c r="Y51" s="92" t="str">
        <f aca="false">IFERROR(VLOOKUP(E:E,'Item Data Support Sheet'!A:J,6,0),0)</f>
        <v>Silicon</v>
      </c>
      <c r="Z51" s="93" t="n">
        <f aca="false">IFERROR(VLOOKUP(E:E,'Item Data Support Sheet'!A:O,4,0),0)</f>
        <v>6.8</v>
      </c>
      <c r="AA51" s="93" t="n">
        <f aca="false">IFERROR(((N51)*(Z51/1000))+P51,0)</f>
        <v>34.6732</v>
      </c>
      <c r="AB51" s="94" t="n">
        <f aca="false">IFERROR((O51*(Z51/1000)/(AA51))," ")</f>
        <v>0.982937830947244</v>
      </c>
      <c r="AC51" s="95" t="n">
        <f aca="false">IFERROR((T51)/((T51)+O51),0)</f>
        <v>0.0118296529968454</v>
      </c>
      <c r="AD51" s="96" t="n">
        <f aca="false">IFERROR(Q51/(Q51+N51),0)</f>
        <v>0.00526726492391728</v>
      </c>
      <c r="AE51" s="91" t="n">
        <f aca="false">(N51-T51)/N51</f>
        <v>0.988232986860169</v>
      </c>
      <c r="AF51" s="97" t="n">
        <f aca="false">BR51</f>
        <v>0.5</v>
      </c>
      <c r="AG51" s="98" t="n">
        <f aca="false">K51-AF51</f>
        <v>7.5</v>
      </c>
      <c r="AH51" s="99" t="n">
        <f aca="false">IFERROR(AG51/K51," ")</f>
        <v>0.9375</v>
      </c>
      <c r="AI51" s="100" t="n">
        <f aca="false">IFERROR(O51/K51,0)</f>
        <v>626.5</v>
      </c>
      <c r="AJ51" s="101" t="n">
        <f aca="false">VLOOKUP(D51,'Standard Cycle time'!C:D,2,0)</f>
        <v>5.25</v>
      </c>
      <c r="AK51" s="101" t="n">
        <f aca="false">AG51*V51*3600/O51</f>
        <v>5.38707102952913</v>
      </c>
      <c r="AL51" s="102" t="n">
        <f aca="false">AJ51/AK51</f>
        <v>0.974555555555556</v>
      </c>
      <c r="AM51" s="99" t="n">
        <f aca="false">AE51*AL51*AH51</f>
        <v>0.902894950807348</v>
      </c>
      <c r="AN51" s="103" t="n">
        <v>2263</v>
      </c>
      <c r="AO51" s="104"/>
      <c r="AP51" s="105" t="n">
        <v>0</v>
      </c>
      <c r="AQ51" s="105" t="n">
        <v>0</v>
      </c>
      <c r="AR51" s="105" t="n">
        <v>0</v>
      </c>
      <c r="AS51" s="105" t="n">
        <v>0</v>
      </c>
      <c r="AT51" s="105" t="n">
        <v>0</v>
      </c>
      <c r="AU51" s="105" t="n">
        <v>30</v>
      </c>
      <c r="AV51" s="105" t="n">
        <v>0</v>
      </c>
      <c r="AW51" s="105" t="n">
        <v>0</v>
      </c>
      <c r="AX51" s="105" t="n">
        <v>0</v>
      </c>
      <c r="AY51" s="105" t="n">
        <v>0</v>
      </c>
      <c r="AZ51" s="105" t="n">
        <v>0</v>
      </c>
      <c r="BA51" s="105" t="n">
        <v>0</v>
      </c>
      <c r="BB51" s="105" t="n">
        <v>0</v>
      </c>
      <c r="BC51" s="105" t="n">
        <v>0</v>
      </c>
      <c r="BD51" s="105" t="n">
        <v>0</v>
      </c>
      <c r="BE51" s="105" t="n">
        <v>0</v>
      </c>
      <c r="BF51" s="105" t="n">
        <v>0</v>
      </c>
      <c r="BG51" s="105" t="n">
        <v>0</v>
      </c>
      <c r="BH51" s="105" t="n">
        <v>0</v>
      </c>
      <c r="BI51" s="105" t="n">
        <v>0</v>
      </c>
      <c r="BJ51" s="105" t="n">
        <v>0</v>
      </c>
      <c r="BK51" s="105" t="n">
        <v>0</v>
      </c>
      <c r="BL51" s="105" t="n">
        <v>0</v>
      </c>
      <c r="BM51" s="105" t="n">
        <v>0</v>
      </c>
      <c r="BN51" s="105" t="n">
        <v>0</v>
      </c>
      <c r="BO51" s="105" t="n">
        <v>0</v>
      </c>
      <c r="BP51" s="105" t="n">
        <v>0</v>
      </c>
      <c r="BQ51" s="105" t="n">
        <v>0</v>
      </c>
      <c r="BR51" s="106" t="n">
        <f aca="false">SUM(AP51:BQ51)/60</f>
        <v>0.5</v>
      </c>
      <c r="BS51" s="106" t="n">
        <f aca="false">SUM(AP51:BR51)/60</f>
        <v>0.508333333333333</v>
      </c>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row>
    <row r="52" s="74" customFormat="true" ht="14.9" hidden="true" customHeight="true" outlineLevel="0" collapsed="false">
      <c r="A52" s="74" t="n">
        <f aca="false">MONTH(B52)</f>
        <v>8</v>
      </c>
      <c r="B52" s="75" t="n">
        <v>44414</v>
      </c>
      <c r="C52" s="76" t="s">
        <v>70</v>
      </c>
      <c r="D52" s="77" t="str">
        <f aca="false">IFERROR(VLOOKUP(E:E,'Item Data Support Sheet'!A:O,7,0),"")</f>
        <v>CAP MOLDED</v>
      </c>
      <c r="E52" s="108" t="s">
        <v>199</v>
      </c>
      <c r="F52" s="80"/>
      <c r="G52" s="77" t="s">
        <v>200</v>
      </c>
      <c r="H52" s="79" t="str">
        <f aca="false">IFERROR(VLOOKUP(E:E,'Item Data Support Sheet'!A:O,2,0),"")</f>
        <v>CAP S TYPE MOLDED RED</v>
      </c>
      <c r="I52" s="80" t="s">
        <v>238</v>
      </c>
      <c r="J52" s="80" t="s">
        <v>140</v>
      </c>
      <c r="K52" s="81" t="n">
        <v>8</v>
      </c>
      <c r="L52" s="82" t="n">
        <v>4137</v>
      </c>
      <c r="M52" s="83" t="n">
        <f aca="false">IFERROR(L52/K52,0)</f>
        <v>517.125</v>
      </c>
      <c r="N52" s="84" t="n">
        <f aca="false">+O52+Q52+T52+U52</f>
        <v>4505</v>
      </c>
      <c r="O52" s="85" t="n">
        <v>4500</v>
      </c>
      <c r="P52" s="86" t="n">
        <v>0</v>
      </c>
      <c r="Q52" s="87" t="n">
        <v>0</v>
      </c>
      <c r="R52" s="88" t="n">
        <v>0</v>
      </c>
      <c r="S52" s="88" t="n">
        <v>0</v>
      </c>
      <c r="T52" s="88" t="n">
        <v>5</v>
      </c>
      <c r="U52" s="88" t="n">
        <v>0</v>
      </c>
      <c r="V52" s="89" t="n">
        <v>1</v>
      </c>
      <c r="W52" s="90" t="n">
        <f aca="false">IFERROR(O52/V52,0)</f>
        <v>4500</v>
      </c>
      <c r="X52" s="91" t="n">
        <f aca="false">O52/L52</f>
        <v>1.08774474256708</v>
      </c>
      <c r="Y52" s="92" t="str">
        <f aca="false">IFERROR(VLOOKUP(E:E,'Item Data Support Sheet'!A:J,6,0),0)</f>
        <v>FO153</v>
      </c>
      <c r="Z52" s="93" t="n">
        <f aca="false">IFERROR(VLOOKUP(E:E,'Item Data Support Sheet'!A:O,4,0),0)</f>
        <v>7.3</v>
      </c>
      <c r="AA52" s="93" t="n">
        <f aca="false">IFERROR(((N52)*(Z52/1000))+P52,0)</f>
        <v>32.8865</v>
      </c>
      <c r="AB52" s="94" t="n">
        <f aca="false">IFERROR((O52*(Z52/1000)/(AA52))," ")</f>
        <v>0.99889012208657</v>
      </c>
      <c r="AC52" s="95" t="n">
        <f aca="false">IFERROR((T52)/((T52)+O52),0)</f>
        <v>0.00110987791342952</v>
      </c>
      <c r="AD52" s="96" t="n">
        <f aca="false">IFERROR(Q52/(Q52+N52),0)</f>
        <v>0</v>
      </c>
      <c r="AE52" s="91" t="n">
        <f aca="false">(N52-T52)/N52</f>
        <v>0.99889012208657</v>
      </c>
      <c r="AF52" s="97" t="n">
        <f aca="false">BR52</f>
        <v>0</v>
      </c>
      <c r="AG52" s="98" t="n">
        <f aca="false">K52-AF52</f>
        <v>8</v>
      </c>
      <c r="AH52" s="99" t="n">
        <f aca="false">IFERROR(AG52/K52," ")</f>
        <v>1</v>
      </c>
      <c r="AI52" s="100" t="n">
        <f aca="false">IFERROR(O52/K52,0)</f>
        <v>562.5</v>
      </c>
      <c r="AJ52" s="101" t="n">
        <f aca="false">VLOOKUP(D52,'Standard Cycle time'!C:D,2,0)</f>
        <v>6</v>
      </c>
      <c r="AK52" s="101" t="n">
        <f aca="false">AG52*V52*3600/O52</f>
        <v>6.4</v>
      </c>
      <c r="AL52" s="102" t="n">
        <f aca="false">AJ52/AK52</f>
        <v>0.9375</v>
      </c>
      <c r="AM52" s="99" t="n">
        <f aca="false">AE52*AL52*AH52</f>
        <v>0.93645948945616</v>
      </c>
      <c r="AN52" s="103" t="n">
        <v>2687</v>
      </c>
      <c r="AO52" s="104"/>
      <c r="AP52" s="105" t="n">
        <v>0</v>
      </c>
      <c r="AQ52" s="105" t="n">
        <v>0</v>
      </c>
      <c r="AR52" s="105" t="n">
        <v>0</v>
      </c>
      <c r="AS52" s="105" t="n">
        <v>0</v>
      </c>
      <c r="AT52" s="105" t="n">
        <v>0</v>
      </c>
      <c r="AU52" s="105" t="n">
        <v>0</v>
      </c>
      <c r="AV52" s="105" t="n">
        <v>0</v>
      </c>
      <c r="AW52" s="105" t="n">
        <v>0</v>
      </c>
      <c r="AX52" s="105" t="n">
        <v>0</v>
      </c>
      <c r="AY52" s="105" t="n">
        <v>0</v>
      </c>
      <c r="AZ52" s="105" t="n">
        <v>0</v>
      </c>
      <c r="BA52" s="105" t="n">
        <v>0</v>
      </c>
      <c r="BB52" s="105" t="n">
        <v>0</v>
      </c>
      <c r="BC52" s="105" t="n">
        <v>0</v>
      </c>
      <c r="BD52" s="105" t="n">
        <v>0</v>
      </c>
      <c r="BE52" s="105" t="n">
        <v>0</v>
      </c>
      <c r="BF52" s="105" t="n">
        <v>0</v>
      </c>
      <c r="BG52" s="105" t="n">
        <v>0</v>
      </c>
      <c r="BH52" s="105" t="n">
        <v>0</v>
      </c>
      <c r="BI52" s="105" t="n">
        <v>0</v>
      </c>
      <c r="BJ52" s="105" t="n">
        <v>0</v>
      </c>
      <c r="BK52" s="105" t="n">
        <v>0</v>
      </c>
      <c r="BL52" s="105" t="n">
        <v>0</v>
      </c>
      <c r="BM52" s="105" t="n">
        <v>0</v>
      </c>
      <c r="BN52" s="105" t="n">
        <v>0</v>
      </c>
      <c r="BO52" s="105" t="n">
        <v>0</v>
      </c>
      <c r="BP52" s="105" t="n">
        <v>0</v>
      </c>
      <c r="BQ52" s="105" t="n">
        <v>0</v>
      </c>
      <c r="BR52" s="106" t="n">
        <f aca="false">SUM(AP52:BQ52)/60</f>
        <v>0</v>
      </c>
      <c r="BS52" s="106" t="n">
        <f aca="false">SUM(AP52:BR52)/60</f>
        <v>0</v>
      </c>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row>
    <row r="53" s="74" customFormat="true" ht="14.9" hidden="true" customHeight="true" outlineLevel="0" collapsed="false">
      <c r="A53" s="74" t="n">
        <f aca="false">MONTH(B53)</f>
        <v>8</v>
      </c>
      <c r="B53" s="75" t="n">
        <v>44414</v>
      </c>
      <c r="C53" s="76" t="s">
        <v>70</v>
      </c>
      <c r="D53" s="77" t="str">
        <f aca="false">IFERROR(VLOOKUP(E:E,'Item Data Support Sheet'!A:O,7,0),"")</f>
        <v>NIPPLE POSTCURE</v>
      </c>
      <c r="E53" s="108" t="s">
        <v>62</v>
      </c>
      <c r="F53" s="80"/>
      <c r="G53" s="77" t="s">
        <v>149</v>
      </c>
      <c r="H53" s="79" t="str">
        <f aca="false">IFERROR(VLOOKUP(E:E,'Item Data Support Sheet'!A:O,2,0),"")</f>
        <v>NIPPLE S TYPE M SIZE POSTCURED</v>
      </c>
      <c r="I53" s="80" t="s">
        <v>239</v>
      </c>
      <c r="J53" s="80" t="s">
        <v>140</v>
      </c>
      <c r="K53" s="81" t="n">
        <v>8</v>
      </c>
      <c r="L53" s="82" t="n">
        <v>11500</v>
      </c>
      <c r="M53" s="83" t="n">
        <f aca="false">IFERROR(L53/K53,0)</f>
        <v>1437.5</v>
      </c>
      <c r="N53" s="84" t="n">
        <f aca="false">+O53+Q53+T53+U53</f>
        <v>11500</v>
      </c>
      <c r="O53" s="85" t="n">
        <v>11500</v>
      </c>
      <c r="P53" s="86" t="n">
        <v>0</v>
      </c>
      <c r="Q53" s="87" t="n">
        <v>0</v>
      </c>
      <c r="R53" s="88" t="n">
        <v>0</v>
      </c>
      <c r="S53" s="88" t="n">
        <v>0</v>
      </c>
      <c r="T53" s="88" t="n">
        <v>0</v>
      </c>
      <c r="U53" s="88" t="n">
        <v>0</v>
      </c>
      <c r="V53" s="89" t="n">
        <v>1</v>
      </c>
      <c r="W53" s="90" t="n">
        <f aca="false">IFERROR(O53/V53,0)</f>
        <v>11500</v>
      </c>
      <c r="X53" s="91" t="n">
        <f aca="false">O53/L53</f>
        <v>1</v>
      </c>
      <c r="Y53" s="92" t="str">
        <f aca="false">IFERROR(VLOOKUP(E:E,'Item Data Support Sheet'!A:J,6,0),0)</f>
        <v>FO012</v>
      </c>
      <c r="Z53" s="93" t="n">
        <f aca="false">IFERROR(VLOOKUP(E:E,'Item Data Support Sheet'!A:O,4,0),0)</f>
        <v>0</v>
      </c>
      <c r="AA53" s="93" t="n">
        <f aca="false">IFERROR(((N53)*(Z53/1000))+P53,0)</f>
        <v>0</v>
      </c>
      <c r="AB53" s="94" t="str">
        <f aca="false">IFERROR((O53*(Z53/1000)/(AA53))," ")</f>
        <v> </v>
      </c>
      <c r="AC53" s="95" t="n">
        <f aca="false">IFERROR((T53)/((T53)+O53),0)</f>
        <v>0</v>
      </c>
      <c r="AD53" s="96" t="n">
        <f aca="false">IFERROR(Q53/(Q53+N53),0)</f>
        <v>0</v>
      </c>
      <c r="AE53" s="91" t="n">
        <f aca="false">(N53-T53)/N53</f>
        <v>1</v>
      </c>
      <c r="AF53" s="97" t="n">
        <f aca="false">BR53</f>
        <v>0.666666666666667</v>
      </c>
      <c r="AG53" s="98" t="n">
        <f aca="false">K53-AF53</f>
        <v>7.33333333333333</v>
      </c>
      <c r="AH53" s="99" t="n">
        <f aca="false">IFERROR(AG53/K53," ")</f>
        <v>0.916666666666667</v>
      </c>
      <c r="AI53" s="100" t="n">
        <f aca="false">IFERROR(O53/K53,0)</f>
        <v>1437.5</v>
      </c>
      <c r="AJ53" s="101" t="n">
        <f aca="false">VLOOKUP(D53,'Standard Cycle time'!C:D,2,0)</f>
        <v>2.3</v>
      </c>
      <c r="AK53" s="101" t="n">
        <f aca="false">AG53*V53*3600/O53</f>
        <v>2.29565217391304</v>
      </c>
      <c r="AL53" s="102" t="n">
        <f aca="false">AJ53/AK53</f>
        <v>1.00189393939394</v>
      </c>
      <c r="AM53" s="99" t="n">
        <f aca="false">AE53*AL53*AH53</f>
        <v>0.918402777777778</v>
      </c>
      <c r="AN53" s="103" t="s">
        <v>240</v>
      </c>
      <c r="AO53" s="104"/>
      <c r="AP53" s="105" t="n">
        <v>40</v>
      </c>
      <c r="AQ53" s="105" t="n">
        <v>0</v>
      </c>
      <c r="AR53" s="105" t="n">
        <v>0</v>
      </c>
      <c r="AS53" s="105" t="n">
        <v>0</v>
      </c>
      <c r="AT53" s="105" t="n">
        <v>0</v>
      </c>
      <c r="AU53" s="105" t="n">
        <v>0</v>
      </c>
      <c r="AV53" s="105" t="n">
        <v>0</v>
      </c>
      <c r="AW53" s="105" t="n">
        <v>0</v>
      </c>
      <c r="AX53" s="105" t="n">
        <v>0</v>
      </c>
      <c r="AY53" s="105" t="n">
        <v>0</v>
      </c>
      <c r="AZ53" s="105" t="n">
        <v>0</v>
      </c>
      <c r="BA53" s="105" t="n">
        <v>0</v>
      </c>
      <c r="BB53" s="105" t="n">
        <v>0</v>
      </c>
      <c r="BC53" s="105" t="n">
        <v>0</v>
      </c>
      <c r="BD53" s="105" t="n">
        <v>0</v>
      </c>
      <c r="BE53" s="105" t="n">
        <v>0</v>
      </c>
      <c r="BF53" s="105" t="n">
        <v>0</v>
      </c>
      <c r="BG53" s="105" t="n">
        <v>0</v>
      </c>
      <c r="BH53" s="105" t="n">
        <v>0</v>
      </c>
      <c r="BI53" s="105" t="n">
        <v>0</v>
      </c>
      <c r="BJ53" s="105" t="n">
        <v>0</v>
      </c>
      <c r="BK53" s="105" t="n">
        <v>0</v>
      </c>
      <c r="BL53" s="105" t="n">
        <v>0</v>
      </c>
      <c r="BM53" s="105" t="n">
        <v>0</v>
      </c>
      <c r="BN53" s="105" t="n">
        <v>0</v>
      </c>
      <c r="BO53" s="105" t="n">
        <v>0</v>
      </c>
      <c r="BP53" s="105" t="n">
        <v>0</v>
      </c>
      <c r="BQ53" s="105" t="n">
        <v>0</v>
      </c>
      <c r="BR53" s="106" t="n">
        <f aca="false">SUM(AP53:BQ53)/60</f>
        <v>0.666666666666667</v>
      </c>
      <c r="BS53" s="106" t="n">
        <f aca="false">SUM(AP53:BR53)/60</f>
        <v>0.677777777777778</v>
      </c>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row>
    <row r="54" s="74" customFormat="true" ht="14.9" hidden="true" customHeight="true" outlineLevel="0" collapsed="false">
      <c r="A54" s="74" t="n">
        <f aca="false">MONTH(B54)</f>
        <v>8</v>
      </c>
      <c r="B54" s="75" t="n">
        <v>44414</v>
      </c>
      <c r="C54" s="76" t="s">
        <v>70</v>
      </c>
      <c r="D54" s="77" t="str">
        <f aca="false">IFERROR(VLOOKUP(E:E,'Item Data Support Sheet'!A:O,7,0),"")</f>
        <v>NIPPLE PUNCH</v>
      </c>
      <c r="E54" s="108" t="s">
        <v>60</v>
      </c>
      <c r="F54" s="80"/>
      <c r="G54" s="77" t="s">
        <v>54</v>
      </c>
      <c r="H54" s="79" t="str">
        <f aca="false">IFERROR(VLOOKUP(E:E,'Item Data Support Sheet'!A:O,2,0),"")</f>
        <v>NIPPLE S TYPE M SIZE PUNCHED</v>
      </c>
      <c r="I54" s="80" t="s">
        <v>241</v>
      </c>
      <c r="J54" s="80" t="s">
        <v>140</v>
      </c>
      <c r="K54" s="81" t="n">
        <v>8</v>
      </c>
      <c r="L54" s="82" t="n">
        <v>7036</v>
      </c>
      <c r="M54" s="83" t="n">
        <f aca="false">IFERROR(L54/K54,0)</f>
        <v>879.5</v>
      </c>
      <c r="N54" s="84" t="n">
        <f aca="false">+O54+Q54+T54+U54</f>
        <v>6100</v>
      </c>
      <c r="O54" s="85" t="n">
        <f aca="false">495+3000+2600</f>
        <v>6095</v>
      </c>
      <c r="P54" s="86" t="n">
        <v>0</v>
      </c>
      <c r="Q54" s="87" t="n">
        <v>0</v>
      </c>
      <c r="R54" s="88" t="n">
        <v>0</v>
      </c>
      <c r="S54" s="88" t="n">
        <v>0</v>
      </c>
      <c r="T54" s="88" t="n">
        <v>5</v>
      </c>
      <c r="U54" s="88" t="n">
        <v>0</v>
      </c>
      <c r="V54" s="89" t="n">
        <v>1</v>
      </c>
      <c r="W54" s="90" t="n">
        <f aca="false">IFERROR(O54/V54,0)</f>
        <v>6095</v>
      </c>
      <c r="X54" s="91" t="n">
        <f aca="false">O54/L54</f>
        <v>0.866259238203525</v>
      </c>
      <c r="Y54" s="92" t="str">
        <f aca="false">IFERROR(VLOOKUP(E:E,'Item Data Support Sheet'!A:J,6,0),0)</f>
        <v>FO016</v>
      </c>
      <c r="Z54" s="93" t="n">
        <f aca="false">IFERROR(VLOOKUP(E:E,'Item Data Support Sheet'!A:O,4,0),0)</f>
        <v>0</v>
      </c>
      <c r="AA54" s="93" t="n">
        <f aca="false">IFERROR(((N54)*(Z54/1000))+P54,0)</f>
        <v>0</v>
      </c>
      <c r="AB54" s="94" t="str">
        <f aca="false">IFERROR((O54*(Z54/1000)/(AA54))," ")</f>
        <v> </v>
      </c>
      <c r="AC54" s="95" t="n">
        <f aca="false">IFERROR((T54)/((T54)+O54),0)</f>
        <v>0.000819672131147541</v>
      </c>
      <c r="AD54" s="96" t="n">
        <f aca="false">IFERROR(Q54/(Q54+N54),0)</f>
        <v>0</v>
      </c>
      <c r="AE54" s="91" t="n">
        <f aca="false">(N54-T54)/N54</f>
        <v>0.999180327868852</v>
      </c>
      <c r="AF54" s="97" t="n">
        <f aca="false">BR54</f>
        <v>1.66666666666667</v>
      </c>
      <c r="AG54" s="98" t="n">
        <f aca="false">K54-AF54</f>
        <v>6.33333333333333</v>
      </c>
      <c r="AH54" s="99" t="n">
        <f aca="false">IFERROR(AG54/K54," ")</f>
        <v>0.791666666666667</v>
      </c>
      <c r="AI54" s="100" t="n">
        <f aca="false">IFERROR(O54/K54,0)</f>
        <v>761.875</v>
      </c>
      <c r="AJ54" s="101" t="n">
        <f aca="false">VLOOKUP(D54,'Standard Cycle time'!C:D,2,0)</f>
        <v>3.5</v>
      </c>
      <c r="AK54" s="101" t="n">
        <f aca="false">AG54*V54*3600/O54</f>
        <v>3.74077112387203</v>
      </c>
      <c r="AL54" s="102" t="n">
        <f aca="false">AJ54/AK54</f>
        <v>0.935635964912281</v>
      </c>
      <c r="AM54" s="99" t="n">
        <f aca="false">AE54*AL54*AH54</f>
        <v>0.74010466473133</v>
      </c>
      <c r="AN54" s="103" t="s">
        <v>242</v>
      </c>
      <c r="AO54" s="109" t="s">
        <v>243</v>
      </c>
      <c r="AP54" s="105" t="n">
        <v>40</v>
      </c>
      <c r="AQ54" s="105" t="n">
        <v>0</v>
      </c>
      <c r="AR54" s="105" t="n">
        <v>0</v>
      </c>
      <c r="AS54" s="105" t="n">
        <v>0</v>
      </c>
      <c r="AT54" s="105" t="n">
        <v>0</v>
      </c>
      <c r="AU54" s="105" t="n">
        <v>0</v>
      </c>
      <c r="AV54" s="105" t="n">
        <v>0</v>
      </c>
      <c r="AW54" s="105" t="n">
        <v>0</v>
      </c>
      <c r="AX54" s="105" t="n">
        <v>0</v>
      </c>
      <c r="AY54" s="105" t="n">
        <v>0</v>
      </c>
      <c r="AZ54" s="105" t="n">
        <v>0</v>
      </c>
      <c r="BA54" s="105" t="n">
        <v>0</v>
      </c>
      <c r="BB54" s="105" t="n">
        <v>0</v>
      </c>
      <c r="BC54" s="105" t="n">
        <v>0</v>
      </c>
      <c r="BD54" s="105" t="n">
        <v>0</v>
      </c>
      <c r="BE54" s="105" t="n">
        <v>0</v>
      </c>
      <c r="BF54" s="105" t="n">
        <v>60</v>
      </c>
      <c r="BG54" s="105" t="n">
        <v>0</v>
      </c>
      <c r="BH54" s="105" t="n">
        <v>0</v>
      </c>
      <c r="BI54" s="105" t="n">
        <v>0</v>
      </c>
      <c r="BJ54" s="105" t="n">
        <v>0</v>
      </c>
      <c r="BK54" s="105" t="n">
        <v>0</v>
      </c>
      <c r="BL54" s="105" t="n">
        <v>0</v>
      </c>
      <c r="BM54" s="105" t="n">
        <v>0</v>
      </c>
      <c r="BN54" s="105" t="n">
        <v>0</v>
      </c>
      <c r="BO54" s="105" t="n">
        <v>0</v>
      </c>
      <c r="BP54" s="105" t="n">
        <v>0</v>
      </c>
      <c r="BQ54" s="105" t="n">
        <v>0</v>
      </c>
      <c r="BR54" s="106" t="n">
        <f aca="false">SUM(AP54:BQ54)/60</f>
        <v>1.66666666666667</v>
      </c>
      <c r="BS54" s="106" t="n">
        <f aca="false">SUM(AP54:BR54)/60</f>
        <v>1.69444444444444</v>
      </c>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row>
    <row r="55" s="74" customFormat="true" ht="14.9" hidden="true" customHeight="true" outlineLevel="0" collapsed="false">
      <c r="A55" s="74" t="n">
        <f aca="false">MONTH(B55)</f>
        <v>8</v>
      </c>
      <c r="B55" s="75" t="n">
        <v>44414</v>
      </c>
      <c r="C55" s="76" t="s">
        <v>152</v>
      </c>
      <c r="D55" s="77" t="str">
        <f aca="false">IFERROR(VLOOKUP(E:E,'Item Data Support Sheet'!A:O,7,0),"")</f>
        <v>NIPPLE MOLDED</v>
      </c>
      <c r="E55" s="108" t="s">
        <v>244</v>
      </c>
      <c r="F55" s="80" t="s">
        <v>137</v>
      </c>
      <c r="G55" s="77" t="s">
        <v>138</v>
      </c>
      <c r="H55" s="79" t="str">
        <f aca="false">IFERROR(VLOOKUP(E:E,'Item Data Support Sheet'!A:O,2,0),"")</f>
        <v>NIPPLE S TYPE S SIZE INJECTION</v>
      </c>
      <c r="I55" s="80" t="s">
        <v>245</v>
      </c>
      <c r="J55" s="80" t="s">
        <v>148</v>
      </c>
      <c r="K55" s="81" t="n">
        <v>8</v>
      </c>
      <c r="L55" s="82" t="n">
        <v>4815</v>
      </c>
      <c r="M55" s="83" t="n">
        <f aca="false">IFERROR(L55/K55,0)</f>
        <v>601.875</v>
      </c>
      <c r="N55" s="84" t="n">
        <f aca="false">+O55+Q55+T55+U55</f>
        <v>3962</v>
      </c>
      <c r="O55" s="85" t="n">
        <v>3800</v>
      </c>
      <c r="P55" s="86" t="n">
        <v>0</v>
      </c>
      <c r="Q55" s="87" t="n">
        <v>90</v>
      </c>
      <c r="R55" s="88" t="n">
        <v>0</v>
      </c>
      <c r="S55" s="88" t="n">
        <v>0</v>
      </c>
      <c r="T55" s="88" t="n">
        <v>64</v>
      </c>
      <c r="U55" s="88" t="n">
        <v>8</v>
      </c>
      <c r="V55" s="89" t="n">
        <v>1</v>
      </c>
      <c r="W55" s="90" t="n">
        <f aca="false">IFERROR(O55/V55,0)</f>
        <v>3800</v>
      </c>
      <c r="X55" s="91" t="n">
        <f aca="false">O55/L55</f>
        <v>0.78920041536864</v>
      </c>
      <c r="Y55" s="92" t="str">
        <f aca="false">IFERROR(VLOOKUP(E:E,'Item Data Support Sheet'!A:J,6,0),0)</f>
        <v>Silicon</v>
      </c>
      <c r="Z55" s="93" t="n">
        <f aca="false">IFERROR(VLOOKUP(E:E,'Item Data Support Sheet'!A:O,4,0),0)</f>
        <v>6.8</v>
      </c>
      <c r="AA55" s="93" t="n">
        <f aca="false">IFERROR(((N55)*(Z55/1000))+P55,0)</f>
        <v>26.9416</v>
      </c>
      <c r="AB55" s="94" t="n">
        <f aca="false">IFERROR((O55*(Z55/1000)/(AA55))," ")</f>
        <v>0.959111559818274</v>
      </c>
      <c r="AC55" s="95" t="n">
        <f aca="false">IFERROR((T55)/((T55)+O55),0)</f>
        <v>0.0165631469979296</v>
      </c>
      <c r="AD55" s="96" t="n">
        <f aca="false">IFERROR(Q55/(Q55+N55),0)</f>
        <v>0.0222112537018756</v>
      </c>
      <c r="AE55" s="91" t="n">
        <f aca="false">(N55-T55)/N55</f>
        <v>0.983846542150429</v>
      </c>
      <c r="AF55" s="97" t="n">
        <f aca="false">BR55</f>
        <v>2</v>
      </c>
      <c r="AG55" s="98" t="n">
        <f aca="false">K55-AF55</f>
        <v>6</v>
      </c>
      <c r="AH55" s="99" t="n">
        <f aca="false">IFERROR(AG55/K55," ")</f>
        <v>0.75</v>
      </c>
      <c r="AI55" s="100" t="n">
        <f aca="false">IFERROR(O55/K55,0)</f>
        <v>475</v>
      </c>
      <c r="AJ55" s="101" t="n">
        <f aca="false">VLOOKUP(D55,'Standard Cycle time'!C:D,2,0)</f>
        <v>5.25</v>
      </c>
      <c r="AK55" s="101" t="n">
        <f aca="false">AG55*V55*3600/O55</f>
        <v>5.68421052631579</v>
      </c>
      <c r="AL55" s="102" t="n">
        <f aca="false">AJ55/AK55</f>
        <v>0.923611111111111</v>
      </c>
      <c r="AM55" s="99" t="n">
        <f aca="false">AE55*AL55*AH55</f>
        <v>0.681518698468787</v>
      </c>
      <c r="AN55" s="103" t="s">
        <v>246</v>
      </c>
      <c r="AO55" s="110" t="s">
        <v>247</v>
      </c>
      <c r="AP55" s="105" t="n">
        <v>0</v>
      </c>
      <c r="AQ55" s="105" t="n">
        <v>120</v>
      </c>
      <c r="AR55" s="105" t="n">
        <v>0</v>
      </c>
      <c r="AS55" s="105" t="n">
        <v>0</v>
      </c>
      <c r="AT55" s="105" t="n">
        <v>0</v>
      </c>
      <c r="AU55" s="105" t="n">
        <v>0</v>
      </c>
      <c r="AV55" s="105" t="n">
        <v>0</v>
      </c>
      <c r="AW55" s="105" t="n">
        <v>0</v>
      </c>
      <c r="AX55" s="105" t="n">
        <v>0</v>
      </c>
      <c r="AY55" s="105" t="n">
        <v>0</v>
      </c>
      <c r="AZ55" s="105" t="n">
        <v>0</v>
      </c>
      <c r="BA55" s="105" t="n">
        <v>0</v>
      </c>
      <c r="BB55" s="105" t="n">
        <v>0</v>
      </c>
      <c r="BC55" s="105" t="n">
        <v>0</v>
      </c>
      <c r="BD55" s="105" t="n">
        <v>0</v>
      </c>
      <c r="BE55" s="105" t="n">
        <v>0</v>
      </c>
      <c r="BF55" s="105" t="n">
        <v>0</v>
      </c>
      <c r="BG55" s="105" t="n">
        <v>0</v>
      </c>
      <c r="BH55" s="105" t="n">
        <v>0</v>
      </c>
      <c r="BI55" s="105" t="n">
        <v>0</v>
      </c>
      <c r="BJ55" s="105" t="n">
        <v>0</v>
      </c>
      <c r="BK55" s="105" t="n">
        <v>0</v>
      </c>
      <c r="BL55" s="105" t="n">
        <v>0</v>
      </c>
      <c r="BM55" s="105" t="n">
        <v>0</v>
      </c>
      <c r="BN55" s="105" t="n">
        <v>0</v>
      </c>
      <c r="BO55" s="105" t="n">
        <v>0</v>
      </c>
      <c r="BP55" s="105" t="n">
        <v>0</v>
      </c>
      <c r="BQ55" s="105" t="n">
        <v>0</v>
      </c>
      <c r="BR55" s="106" t="n">
        <f aca="false">SUM(AP55:BQ55)/60</f>
        <v>2</v>
      </c>
      <c r="BS55" s="106" t="n">
        <f aca="false">SUM(AP55:BR55)/60</f>
        <v>2.03333333333333</v>
      </c>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row>
    <row r="56" s="74" customFormat="true" ht="14.9" hidden="true" customHeight="true" outlineLevel="0" collapsed="false">
      <c r="A56" s="74" t="n">
        <f aca="false">MONTH(B56)</f>
        <v>8</v>
      </c>
      <c r="B56" s="75" t="n">
        <v>44414</v>
      </c>
      <c r="C56" s="76" t="s">
        <v>152</v>
      </c>
      <c r="D56" s="77" t="str">
        <f aca="false">IFERROR(VLOOKUP(E:E,'Item Data Support Sheet'!A:O,7,0),"")</f>
        <v>BOTTLE MOLDED</v>
      </c>
      <c r="E56" s="108" t="s">
        <v>235</v>
      </c>
      <c r="F56" s="80" t="s">
        <v>216</v>
      </c>
      <c r="G56" s="77" t="s">
        <v>74</v>
      </c>
      <c r="H56" s="79" t="str">
        <f aca="false">IFERROR(VLOOKUP(E:E,'Item Data Support Sheet'!A:O,2,0),"")</f>
        <v>KPP 200 ML BOTTLE MOLDED</v>
      </c>
      <c r="I56" s="80" t="s">
        <v>248</v>
      </c>
      <c r="J56" s="80" t="s">
        <v>148</v>
      </c>
      <c r="K56" s="81" t="n">
        <v>8</v>
      </c>
      <c r="L56" s="82" t="n">
        <v>2574</v>
      </c>
      <c r="M56" s="83" t="n">
        <f aca="false">IFERROR(L56/K56,0)</f>
        <v>321.75</v>
      </c>
      <c r="N56" s="84" t="n">
        <f aca="false">+O56+Q56+T56+U56</f>
        <v>3202</v>
      </c>
      <c r="O56" s="85" t="n">
        <v>3132</v>
      </c>
      <c r="P56" s="86" t="n">
        <v>0</v>
      </c>
      <c r="Q56" s="87" t="n">
        <v>0</v>
      </c>
      <c r="R56" s="88" t="n">
        <v>0</v>
      </c>
      <c r="S56" s="88" t="n">
        <v>0</v>
      </c>
      <c r="T56" s="88" t="n">
        <v>62</v>
      </c>
      <c r="U56" s="88" t="n">
        <v>8</v>
      </c>
      <c r="V56" s="89" t="n">
        <v>1</v>
      </c>
      <c r="W56" s="90" t="n">
        <f aca="false">IFERROR(O56/V56,0)</f>
        <v>3132</v>
      </c>
      <c r="X56" s="91" t="n">
        <f aca="false">O56/L56</f>
        <v>1.21678321678322</v>
      </c>
      <c r="Y56" s="92" t="str">
        <f aca="false">IFERROR(VLOOKUP(E:E,'Item Data Support Sheet'!A:J,6,0),0)</f>
        <v>HMC</v>
      </c>
      <c r="Z56" s="93" t="n">
        <f aca="false">IFERROR(VLOOKUP(E:E,'Item Data Support Sheet'!A:O,4,0),0)</f>
        <v>28.1</v>
      </c>
      <c r="AA56" s="93" t="n">
        <f aca="false">IFERROR(((N56)*(Z56/1000))+P56,0)</f>
        <v>89.9762</v>
      </c>
      <c r="AB56" s="94" t="n">
        <f aca="false">IFERROR((O56*(Z56/1000)/(AA56))," ")</f>
        <v>0.978138663335415</v>
      </c>
      <c r="AC56" s="95" t="n">
        <f aca="false">IFERROR((T56)/((T56)+O56),0)</f>
        <v>0.0194113963681904</v>
      </c>
      <c r="AD56" s="96" t="n">
        <f aca="false">IFERROR(Q56/(Q56+N56),0)</f>
        <v>0</v>
      </c>
      <c r="AE56" s="91" t="n">
        <f aca="false">(N56-T56)/N56</f>
        <v>0.980637101811368</v>
      </c>
      <c r="AF56" s="97" t="n">
        <f aca="false">BR56</f>
        <v>0</v>
      </c>
      <c r="AG56" s="98" t="n">
        <f aca="false">K56-AF56</f>
        <v>8</v>
      </c>
      <c r="AH56" s="99" t="n">
        <f aca="false">IFERROR(AG56/K56," ")</f>
        <v>1</v>
      </c>
      <c r="AI56" s="100" t="n">
        <f aca="false">IFERROR(O56/K56,0)</f>
        <v>391.5</v>
      </c>
      <c r="AJ56" s="101" t="n">
        <f aca="false">VLOOKUP(D56,'Standard Cycle time'!C:D,2,0)</f>
        <v>9</v>
      </c>
      <c r="AK56" s="101" t="n">
        <f aca="false">AG56*V56*3600/O56</f>
        <v>9.19540229885057</v>
      </c>
      <c r="AL56" s="102" t="n">
        <f aca="false">AJ56/AK56</f>
        <v>0.97875</v>
      </c>
      <c r="AM56" s="99" t="n">
        <f aca="false">AE56*AL56*AH56</f>
        <v>0.959798563397876</v>
      </c>
      <c r="AN56" s="103" t="s">
        <v>249</v>
      </c>
      <c r="AO56" s="104"/>
      <c r="AP56" s="105" t="n">
        <v>0</v>
      </c>
      <c r="AQ56" s="105" t="n">
        <v>0</v>
      </c>
      <c r="AR56" s="105" t="n">
        <v>0</v>
      </c>
      <c r="AS56" s="105" t="n">
        <v>0</v>
      </c>
      <c r="AT56" s="105" t="n">
        <v>0</v>
      </c>
      <c r="AU56" s="105" t="n">
        <v>0</v>
      </c>
      <c r="AV56" s="105" t="n">
        <v>0</v>
      </c>
      <c r="AW56" s="105" t="n">
        <v>0</v>
      </c>
      <c r="AX56" s="105" t="n">
        <v>0</v>
      </c>
      <c r="AY56" s="105" t="n">
        <v>0</v>
      </c>
      <c r="AZ56" s="105" t="n">
        <v>0</v>
      </c>
      <c r="BA56" s="105" t="n">
        <v>0</v>
      </c>
      <c r="BB56" s="105" t="n">
        <v>0</v>
      </c>
      <c r="BC56" s="105" t="n">
        <v>0</v>
      </c>
      <c r="BD56" s="105" t="n">
        <v>0</v>
      </c>
      <c r="BE56" s="105" t="n">
        <v>0</v>
      </c>
      <c r="BF56" s="105" t="n">
        <v>0</v>
      </c>
      <c r="BG56" s="105" t="n">
        <v>0</v>
      </c>
      <c r="BH56" s="105" t="n">
        <v>0</v>
      </c>
      <c r="BI56" s="105" t="n">
        <v>0</v>
      </c>
      <c r="BJ56" s="105" t="n">
        <v>0</v>
      </c>
      <c r="BK56" s="105" t="n">
        <v>0</v>
      </c>
      <c r="BL56" s="105" t="n">
        <v>0</v>
      </c>
      <c r="BM56" s="105" t="n">
        <v>0</v>
      </c>
      <c r="BN56" s="105" t="n">
        <v>0</v>
      </c>
      <c r="BO56" s="105" t="n">
        <v>0</v>
      </c>
      <c r="BP56" s="105" t="n">
        <v>0</v>
      </c>
      <c r="BQ56" s="105" t="n">
        <v>0</v>
      </c>
      <c r="BR56" s="106" t="n">
        <f aca="false">SUM(AP56:BQ56)/60</f>
        <v>0</v>
      </c>
      <c r="BS56" s="106" t="n">
        <f aca="false">SUM(AP56:BR56)/60</f>
        <v>0</v>
      </c>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row>
    <row r="57" s="74" customFormat="true" ht="14.9" hidden="true" customHeight="true" outlineLevel="0" collapsed="false">
      <c r="A57" s="74" t="n">
        <f aca="false">MONTH(B57)</f>
        <v>8</v>
      </c>
      <c r="B57" s="75" t="n">
        <v>44414</v>
      </c>
      <c r="C57" s="76" t="s">
        <v>152</v>
      </c>
      <c r="D57" s="77" t="str">
        <f aca="false">IFERROR(VLOOKUP(E:E,'Item Data Support Sheet'!A:O,7,0),"")</f>
        <v>CAP MOLDED</v>
      </c>
      <c r="E57" s="108" t="s">
        <v>199</v>
      </c>
      <c r="F57" s="80"/>
      <c r="G57" s="77" t="s">
        <v>200</v>
      </c>
      <c r="H57" s="79" t="str">
        <f aca="false">IFERROR(VLOOKUP(E:E,'Item Data Support Sheet'!A:O,2,0),"")</f>
        <v>CAP S TYPE MOLDED RED</v>
      </c>
      <c r="I57" s="80" t="s">
        <v>250</v>
      </c>
      <c r="J57" s="80" t="s">
        <v>148</v>
      </c>
      <c r="K57" s="81" t="n">
        <v>8</v>
      </c>
      <c r="L57" s="82" t="n">
        <v>4137</v>
      </c>
      <c r="M57" s="83" t="n">
        <f aca="false">IFERROR(L57/K57,0)</f>
        <v>517.125</v>
      </c>
      <c r="N57" s="84" t="n">
        <f aca="false">+O57+Q57+T57+U57</f>
        <v>3906</v>
      </c>
      <c r="O57" s="85" t="n">
        <v>3895</v>
      </c>
      <c r="P57" s="86" t="n">
        <v>0</v>
      </c>
      <c r="Q57" s="87" t="n">
        <v>0</v>
      </c>
      <c r="R57" s="88" t="n">
        <v>0</v>
      </c>
      <c r="S57" s="88" t="n">
        <v>0</v>
      </c>
      <c r="T57" s="88" t="n">
        <v>3</v>
      </c>
      <c r="U57" s="88" t="n">
        <v>8</v>
      </c>
      <c r="V57" s="89" t="n">
        <v>1</v>
      </c>
      <c r="W57" s="90" t="n">
        <f aca="false">IFERROR(O57/V57,0)</f>
        <v>3895</v>
      </c>
      <c r="X57" s="91" t="n">
        <f aca="false">O57/L57</f>
        <v>0.941503504955282</v>
      </c>
      <c r="Y57" s="92" t="str">
        <f aca="false">IFERROR(VLOOKUP(E:E,'Item Data Support Sheet'!A:J,6,0),0)</f>
        <v>FO153</v>
      </c>
      <c r="Z57" s="93" t="n">
        <f aca="false">IFERROR(VLOOKUP(E:E,'Item Data Support Sheet'!A:O,4,0),0)</f>
        <v>7.3</v>
      </c>
      <c r="AA57" s="93" t="n">
        <f aca="false">IFERROR(((N57)*(Z57/1000))+P57,0)</f>
        <v>28.5138</v>
      </c>
      <c r="AB57" s="94" t="n">
        <f aca="false">IFERROR((O57*(Z57/1000)/(AA57))," ")</f>
        <v>0.997183819764465</v>
      </c>
      <c r="AC57" s="95" t="n">
        <f aca="false">IFERROR((T57)/((T57)+O57),0)</f>
        <v>0.000769625448948179</v>
      </c>
      <c r="AD57" s="96" t="n">
        <f aca="false">IFERROR(Q57/(Q57+N57),0)</f>
        <v>0</v>
      </c>
      <c r="AE57" s="91" t="n">
        <f aca="false">(N57-T57)/N57</f>
        <v>0.999231950844854</v>
      </c>
      <c r="AF57" s="97" t="n">
        <f aca="false">BR57</f>
        <v>1.16666666666667</v>
      </c>
      <c r="AG57" s="98" t="n">
        <f aca="false">K57-AF57</f>
        <v>6.83333333333333</v>
      </c>
      <c r="AH57" s="99" t="n">
        <f aca="false">IFERROR(AG57/K57," ")</f>
        <v>0.854166666666667</v>
      </c>
      <c r="AI57" s="100" t="n">
        <f aca="false">IFERROR(O57/K57,0)</f>
        <v>486.875</v>
      </c>
      <c r="AJ57" s="101" t="n">
        <f aca="false">VLOOKUP(D57,'Standard Cycle time'!C:D,2,0)</f>
        <v>6</v>
      </c>
      <c r="AK57" s="101" t="n">
        <f aca="false">AG57*V57*3600/O57</f>
        <v>6.31578947368421</v>
      </c>
      <c r="AL57" s="102" t="n">
        <f aca="false">AJ57/AK57</f>
        <v>0.95</v>
      </c>
      <c r="AM57" s="99" t="n">
        <f aca="false">AE57*AL57*AH57</f>
        <v>0.81083509344598</v>
      </c>
      <c r="AN57" s="103" t="n">
        <v>2687</v>
      </c>
      <c r="AO57" s="110" t="s">
        <v>251</v>
      </c>
      <c r="AP57" s="105" t="n">
        <v>0</v>
      </c>
      <c r="AQ57" s="105" t="n">
        <v>70</v>
      </c>
      <c r="AR57" s="105" t="n">
        <v>0</v>
      </c>
      <c r="AS57" s="105" t="n">
        <v>0</v>
      </c>
      <c r="AT57" s="105" t="n">
        <v>0</v>
      </c>
      <c r="AU57" s="105" t="n">
        <v>0</v>
      </c>
      <c r="AV57" s="105" t="n">
        <v>0</v>
      </c>
      <c r="AW57" s="105" t="n">
        <v>0</v>
      </c>
      <c r="AX57" s="105" t="n">
        <v>0</v>
      </c>
      <c r="AY57" s="105" t="n">
        <v>0</v>
      </c>
      <c r="AZ57" s="105" t="n">
        <v>0</v>
      </c>
      <c r="BA57" s="105" t="n">
        <v>0</v>
      </c>
      <c r="BB57" s="105" t="n">
        <v>0</v>
      </c>
      <c r="BC57" s="105" t="n">
        <v>0</v>
      </c>
      <c r="BD57" s="105" t="n">
        <v>0</v>
      </c>
      <c r="BE57" s="105" t="n">
        <v>0</v>
      </c>
      <c r="BF57" s="105" t="n">
        <v>0</v>
      </c>
      <c r="BG57" s="105" t="n">
        <v>0</v>
      </c>
      <c r="BH57" s="105" t="n">
        <v>0</v>
      </c>
      <c r="BI57" s="105" t="n">
        <v>0</v>
      </c>
      <c r="BJ57" s="105" t="n">
        <v>0</v>
      </c>
      <c r="BK57" s="105" t="n">
        <v>0</v>
      </c>
      <c r="BL57" s="105" t="n">
        <v>0</v>
      </c>
      <c r="BM57" s="105" t="n">
        <v>0</v>
      </c>
      <c r="BN57" s="105" t="n">
        <v>0</v>
      </c>
      <c r="BO57" s="105" t="n">
        <v>0</v>
      </c>
      <c r="BP57" s="105" t="n">
        <v>0</v>
      </c>
      <c r="BQ57" s="105" t="n">
        <v>0</v>
      </c>
      <c r="BR57" s="106" t="n">
        <f aca="false">SUM(AP57:BQ57)/60</f>
        <v>1.16666666666667</v>
      </c>
      <c r="BS57" s="106" t="n">
        <f aca="false">SUM(AP57:BR57)/60</f>
        <v>1.18611111111111</v>
      </c>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row>
    <row r="58" s="74" customFormat="true" ht="14.9" hidden="true" customHeight="true" outlineLevel="0" collapsed="false">
      <c r="A58" s="74" t="n">
        <f aca="false">MONTH(B58)</f>
        <v>8</v>
      </c>
      <c r="B58" s="75" t="n">
        <v>44415</v>
      </c>
      <c r="C58" s="76" t="s">
        <v>51</v>
      </c>
      <c r="D58" s="77" t="str">
        <f aca="false">IFERROR(VLOOKUP(E:E,'Item Data Support Sheet'!A:O,7,0),"")</f>
        <v>NIPPLE MOLDED</v>
      </c>
      <c r="E58" s="108" t="s">
        <v>244</v>
      </c>
      <c r="F58" s="80" t="s">
        <v>137</v>
      </c>
      <c r="G58" s="77" t="s">
        <v>138</v>
      </c>
      <c r="H58" s="79" t="str">
        <f aca="false">IFERROR(VLOOKUP(E:E,'Item Data Support Sheet'!A:O,2,0),"")</f>
        <v>NIPPLE S TYPE S SIZE INJECTION</v>
      </c>
      <c r="I58" s="80" t="s">
        <v>252</v>
      </c>
      <c r="J58" s="80" t="s">
        <v>143</v>
      </c>
      <c r="K58" s="81" t="n">
        <v>8</v>
      </c>
      <c r="L58" s="82" t="n">
        <v>4815</v>
      </c>
      <c r="M58" s="83" t="n">
        <f aca="false">IFERROR(L58/K58,0)</f>
        <v>601.875</v>
      </c>
      <c r="N58" s="84" t="n">
        <f aca="false">+O58+Q58+T58+U58</f>
        <v>5465</v>
      </c>
      <c r="O58" s="85" t="n">
        <v>5400</v>
      </c>
      <c r="P58" s="86" t="n">
        <v>0</v>
      </c>
      <c r="Q58" s="87" t="n">
        <v>0</v>
      </c>
      <c r="R58" s="88" t="n">
        <v>0</v>
      </c>
      <c r="S58" s="88" t="n">
        <v>0</v>
      </c>
      <c r="T58" s="88" t="n">
        <v>57</v>
      </c>
      <c r="U58" s="88" t="n">
        <v>8</v>
      </c>
      <c r="V58" s="89" t="n">
        <v>1</v>
      </c>
      <c r="W58" s="90" t="n">
        <f aca="false">IFERROR(O58/V58,0)</f>
        <v>5400</v>
      </c>
      <c r="X58" s="91" t="n">
        <f aca="false">O58/L58</f>
        <v>1.1214953271028</v>
      </c>
      <c r="Y58" s="92" t="str">
        <f aca="false">IFERROR(VLOOKUP(E:E,'Item Data Support Sheet'!A:J,6,0),0)</f>
        <v>Silicon</v>
      </c>
      <c r="Z58" s="93" t="n">
        <f aca="false">IFERROR(VLOOKUP(E:E,'Item Data Support Sheet'!A:O,4,0),0)</f>
        <v>6.8</v>
      </c>
      <c r="AA58" s="93" t="n">
        <f aca="false">IFERROR(((N58)*(Z58/1000))+P58,0)</f>
        <v>37.162</v>
      </c>
      <c r="AB58" s="94" t="n">
        <f aca="false">IFERROR((O58*(Z58/1000)/(AA58))," ")</f>
        <v>0.988106129917658</v>
      </c>
      <c r="AC58" s="95" t="n">
        <f aca="false">IFERROR((T58)/((T58)+O58),0)</f>
        <v>0.0104452996151732</v>
      </c>
      <c r="AD58" s="96" t="n">
        <f aca="false">IFERROR(Q58/(Q58+N58),0)</f>
        <v>0</v>
      </c>
      <c r="AE58" s="91" t="n">
        <f aca="false">(N58-T58)/N58</f>
        <v>0.989569990850869</v>
      </c>
      <c r="AF58" s="97" t="n">
        <f aca="false">BR58</f>
        <v>0</v>
      </c>
      <c r="AG58" s="98" t="n">
        <f aca="false">K58-AF58</f>
        <v>8</v>
      </c>
      <c r="AH58" s="99" t="n">
        <f aca="false">IFERROR(AG58/K58," ")</f>
        <v>1</v>
      </c>
      <c r="AI58" s="100" t="n">
        <f aca="false">IFERROR(O58/K58,0)</f>
        <v>675</v>
      </c>
      <c r="AJ58" s="101" t="n">
        <f aca="false">VLOOKUP(D58,'Standard Cycle time'!C:D,2,0)</f>
        <v>5.25</v>
      </c>
      <c r="AK58" s="101" t="n">
        <f aca="false">AG58*V58*3600/O58</f>
        <v>5.33333333333333</v>
      </c>
      <c r="AL58" s="102" t="n">
        <f aca="false">AJ58/AK58</f>
        <v>0.984375</v>
      </c>
      <c r="AM58" s="99" t="n">
        <f aca="false">AE58*AL58*AH58</f>
        <v>0.974107959743824</v>
      </c>
      <c r="AN58" s="103" t="n">
        <v>2271</v>
      </c>
      <c r="AO58" s="104"/>
      <c r="AP58" s="105" t="n">
        <v>0</v>
      </c>
      <c r="AQ58" s="105" t="n">
        <v>0</v>
      </c>
      <c r="AR58" s="105" t="n">
        <v>0</v>
      </c>
      <c r="AS58" s="105" t="n">
        <v>0</v>
      </c>
      <c r="AT58" s="105" t="n">
        <v>0</v>
      </c>
      <c r="AU58" s="105" t="n">
        <v>0</v>
      </c>
      <c r="AV58" s="105" t="n">
        <v>0</v>
      </c>
      <c r="AW58" s="105" t="n">
        <v>0</v>
      </c>
      <c r="AX58" s="105" t="n">
        <v>0</v>
      </c>
      <c r="AY58" s="105" t="n">
        <v>0</v>
      </c>
      <c r="AZ58" s="105" t="n">
        <v>0</v>
      </c>
      <c r="BA58" s="105" t="n">
        <v>0</v>
      </c>
      <c r="BB58" s="105" t="n">
        <v>0</v>
      </c>
      <c r="BC58" s="105" t="n">
        <v>0</v>
      </c>
      <c r="BD58" s="105" t="n">
        <v>0</v>
      </c>
      <c r="BE58" s="105" t="n">
        <v>0</v>
      </c>
      <c r="BF58" s="105" t="n">
        <v>0</v>
      </c>
      <c r="BG58" s="105" t="n">
        <v>0</v>
      </c>
      <c r="BH58" s="105" t="n">
        <v>0</v>
      </c>
      <c r="BI58" s="105" t="n">
        <v>0</v>
      </c>
      <c r="BJ58" s="105" t="n">
        <v>0</v>
      </c>
      <c r="BK58" s="105" t="n">
        <v>0</v>
      </c>
      <c r="BL58" s="105" t="n">
        <v>0</v>
      </c>
      <c r="BM58" s="105" t="n">
        <v>0</v>
      </c>
      <c r="BN58" s="105" t="n">
        <v>0</v>
      </c>
      <c r="BO58" s="105" t="n">
        <v>0</v>
      </c>
      <c r="BP58" s="105" t="n">
        <v>0</v>
      </c>
      <c r="BQ58" s="105" t="n">
        <v>0</v>
      </c>
      <c r="BR58" s="106" t="n">
        <f aca="false">SUM(AP58:BQ58)/60</f>
        <v>0</v>
      </c>
      <c r="BS58" s="106" t="n">
        <f aca="false">SUM(AP58:BR58)/60</f>
        <v>0</v>
      </c>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row>
    <row r="59" s="74" customFormat="true" ht="14.9" hidden="true" customHeight="true" outlineLevel="0" collapsed="false">
      <c r="A59" s="74" t="n">
        <f aca="false">MONTH(B59)</f>
        <v>8</v>
      </c>
      <c r="B59" s="75" t="n">
        <v>44415</v>
      </c>
      <c r="C59" s="76" t="s">
        <v>51</v>
      </c>
      <c r="D59" s="77" t="str">
        <f aca="false">IFERROR(VLOOKUP(E:E,'Item Data Support Sheet'!A:O,7,0),"")</f>
        <v>NIPPLE PUNCH</v>
      </c>
      <c r="E59" s="108" t="s">
        <v>60</v>
      </c>
      <c r="F59" s="80"/>
      <c r="G59" s="77" t="s">
        <v>54</v>
      </c>
      <c r="H59" s="79" t="str">
        <f aca="false">IFERROR(VLOOKUP(E:E,'Item Data Support Sheet'!A:O,2,0),"")</f>
        <v>NIPPLE S TYPE M SIZE PUNCHED</v>
      </c>
      <c r="I59" s="80" t="s">
        <v>253</v>
      </c>
      <c r="J59" s="80" t="s">
        <v>143</v>
      </c>
      <c r="K59" s="81" t="n">
        <v>8</v>
      </c>
      <c r="L59" s="82" t="n">
        <v>7036</v>
      </c>
      <c r="M59" s="83" t="n">
        <f aca="false">IFERROR(L59/K59,0)</f>
        <v>879.5</v>
      </c>
      <c r="N59" s="84" t="n">
        <f aca="false">+O59+Q59+T59+U59</f>
        <v>7000</v>
      </c>
      <c r="O59" s="85" t="n">
        <v>6994</v>
      </c>
      <c r="P59" s="86" t="n">
        <v>0</v>
      </c>
      <c r="Q59" s="87" t="n">
        <v>0</v>
      </c>
      <c r="R59" s="88" t="n">
        <v>0</v>
      </c>
      <c r="S59" s="88" t="n">
        <v>0</v>
      </c>
      <c r="T59" s="88" t="n">
        <v>6</v>
      </c>
      <c r="U59" s="88" t="n">
        <v>0</v>
      </c>
      <c r="V59" s="89" t="n">
        <v>1</v>
      </c>
      <c r="W59" s="90" t="n">
        <f aca="false">IFERROR(O59/V59,0)</f>
        <v>6994</v>
      </c>
      <c r="X59" s="91" t="n">
        <f aca="false">O59/L59</f>
        <v>0.994030699260944</v>
      </c>
      <c r="Y59" s="92" t="str">
        <f aca="false">IFERROR(VLOOKUP(E:E,'Item Data Support Sheet'!A:J,6,0),0)</f>
        <v>FO016</v>
      </c>
      <c r="Z59" s="93" t="n">
        <f aca="false">IFERROR(VLOOKUP(E:E,'Item Data Support Sheet'!A:O,4,0),0)</f>
        <v>0</v>
      </c>
      <c r="AA59" s="93" t="n">
        <f aca="false">IFERROR(((N59)*(Z59/1000))+P59,0)</f>
        <v>0</v>
      </c>
      <c r="AB59" s="94" t="str">
        <f aca="false">IFERROR((O59*(Z59/1000)/(AA59))," ")</f>
        <v> </v>
      </c>
      <c r="AC59" s="95" t="n">
        <f aca="false">IFERROR((T59)/((T59)+O59),0)</f>
        <v>0.000857142857142857</v>
      </c>
      <c r="AD59" s="96" t="n">
        <f aca="false">IFERROR(Q59/(Q59+N59),0)</f>
        <v>0</v>
      </c>
      <c r="AE59" s="91" t="n">
        <f aca="false">(N59-T59)/N59</f>
        <v>0.999142857142857</v>
      </c>
      <c r="AF59" s="97" t="n">
        <f aca="false">BR59</f>
        <v>0.5</v>
      </c>
      <c r="AG59" s="98" t="n">
        <f aca="false">K59-AF59</f>
        <v>7.5</v>
      </c>
      <c r="AH59" s="99" t="n">
        <f aca="false">IFERROR(AG59/K59," ")</f>
        <v>0.9375</v>
      </c>
      <c r="AI59" s="100" t="n">
        <f aca="false">IFERROR(O59/K59,0)</f>
        <v>874.25</v>
      </c>
      <c r="AJ59" s="101" t="n">
        <f aca="false">VLOOKUP(D59,'Standard Cycle time'!C:D,2,0)</f>
        <v>3.5</v>
      </c>
      <c r="AK59" s="101" t="n">
        <f aca="false">AG59*V59*3600/O59</f>
        <v>3.86045181584215</v>
      </c>
      <c r="AL59" s="102" t="n">
        <f aca="false">AJ59/AK59</f>
        <v>0.90662962962963</v>
      </c>
      <c r="AM59" s="99" t="n">
        <f aca="false">AE59*AL59*AH59</f>
        <v>0.849236736111111</v>
      </c>
      <c r="AN59" s="103" t="s">
        <v>254</v>
      </c>
      <c r="AO59" s="109"/>
      <c r="AP59" s="105" t="n">
        <v>0</v>
      </c>
      <c r="AQ59" s="105" t="n">
        <v>0</v>
      </c>
      <c r="AR59" s="105" t="n">
        <v>0</v>
      </c>
      <c r="AS59" s="105" t="n">
        <v>0</v>
      </c>
      <c r="AT59" s="105" t="n">
        <v>0</v>
      </c>
      <c r="AU59" s="105" t="n">
        <v>0</v>
      </c>
      <c r="AV59" s="105" t="n">
        <v>0</v>
      </c>
      <c r="AW59" s="105" t="n">
        <v>0</v>
      </c>
      <c r="AX59" s="105" t="n">
        <v>0</v>
      </c>
      <c r="AY59" s="105" t="n">
        <v>0</v>
      </c>
      <c r="AZ59" s="105" t="n">
        <v>0</v>
      </c>
      <c r="BA59" s="105" t="n">
        <v>0</v>
      </c>
      <c r="BB59" s="105" t="n">
        <v>0</v>
      </c>
      <c r="BC59" s="105" t="n">
        <v>0</v>
      </c>
      <c r="BD59" s="105" t="n">
        <v>0</v>
      </c>
      <c r="BE59" s="105" t="n">
        <v>0</v>
      </c>
      <c r="BF59" s="105" t="n">
        <v>0</v>
      </c>
      <c r="BG59" s="105" t="n">
        <v>0</v>
      </c>
      <c r="BH59" s="105" t="n">
        <v>0</v>
      </c>
      <c r="BI59" s="105" t="n">
        <v>0</v>
      </c>
      <c r="BJ59" s="105" t="n">
        <v>0</v>
      </c>
      <c r="BK59" s="105" t="n">
        <v>0</v>
      </c>
      <c r="BL59" s="105" t="n">
        <v>0</v>
      </c>
      <c r="BM59" s="105" t="n">
        <v>0</v>
      </c>
      <c r="BN59" s="105" t="n">
        <v>0</v>
      </c>
      <c r="BO59" s="105" t="n">
        <v>0</v>
      </c>
      <c r="BP59" s="105" t="n">
        <v>0</v>
      </c>
      <c r="BQ59" s="105" t="n">
        <v>30</v>
      </c>
      <c r="BR59" s="106" t="n">
        <f aca="false">SUM(AP59:BQ59)/60</f>
        <v>0.5</v>
      </c>
      <c r="BS59" s="106" t="n">
        <f aca="false">SUM(AP59:BR59)/60</f>
        <v>0.508333333333333</v>
      </c>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row>
    <row r="60" s="74" customFormat="true" ht="14.9" hidden="true" customHeight="true" outlineLevel="0" collapsed="false">
      <c r="A60" s="74" t="n">
        <f aca="false">MONTH(B60)</f>
        <v>8</v>
      </c>
      <c r="B60" s="75" t="n">
        <v>44415</v>
      </c>
      <c r="C60" s="76" t="s">
        <v>51</v>
      </c>
      <c r="D60" s="77" t="str">
        <f aca="false">IFERROR(VLOOKUP(E:E,'Item Data Support Sheet'!A:O,7,0),"")</f>
        <v>NIPPLE POSTCURE</v>
      </c>
      <c r="E60" s="108" t="s">
        <v>62</v>
      </c>
      <c r="F60" s="80"/>
      <c r="G60" s="77" t="s">
        <v>149</v>
      </c>
      <c r="H60" s="79" t="str">
        <f aca="false">IFERROR(VLOOKUP(E:E,'Item Data Support Sheet'!A:O,2,0),"")</f>
        <v>NIPPLE S TYPE M SIZE POSTCURED</v>
      </c>
      <c r="I60" s="80" t="s">
        <v>255</v>
      </c>
      <c r="J60" s="80" t="s">
        <v>143</v>
      </c>
      <c r="K60" s="81" t="n">
        <v>5</v>
      </c>
      <c r="L60" s="82" t="n">
        <v>5036</v>
      </c>
      <c r="M60" s="83" t="n">
        <f aca="false">IFERROR(L60/K60,0)</f>
        <v>1007.2</v>
      </c>
      <c r="N60" s="84" t="n">
        <f aca="false">+O60+Q60+T60+U60</f>
        <v>8612</v>
      </c>
      <c r="O60" s="85" t="n">
        <f aca="false">3600+5012</f>
        <v>8612</v>
      </c>
      <c r="P60" s="86" t="n">
        <v>0</v>
      </c>
      <c r="Q60" s="87" t="n">
        <v>0</v>
      </c>
      <c r="R60" s="88" t="n">
        <v>0</v>
      </c>
      <c r="S60" s="88" t="n">
        <v>0</v>
      </c>
      <c r="T60" s="88" t="n">
        <v>0</v>
      </c>
      <c r="U60" s="88" t="n">
        <v>0</v>
      </c>
      <c r="V60" s="89" t="n">
        <v>1</v>
      </c>
      <c r="W60" s="90" t="n">
        <f aca="false">IFERROR(O60/V60,0)</f>
        <v>8612</v>
      </c>
      <c r="X60" s="91" t="n">
        <f aca="false">O60/L60</f>
        <v>1.71008737092931</v>
      </c>
      <c r="Y60" s="92" t="str">
        <f aca="false">IFERROR(VLOOKUP(E:E,'Item Data Support Sheet'!A:J,6,0),0)</f>
        <v>FO012</v>
      </c>
      <c r="Z60" s="93" t="n">
        <f aca="false">IFERROR(VLOOKUP(E:E,'Item Data Support Sheet'!A:O,4,0),0)</f>
        <v>0</v>
      </c>
      <c r="AA60" s="93" t="n">
        <f aca="false">IFERROR(((N60)*(Z60/1000))+P60,0)</f>
        <v>0</v>
      </c>
      <c r="AB60" s="94" t="str">
        <f aca="false">IFERROR((O60*(Z60/1000)/(AA60))," ")</f>
        <v> </v>
      </c>
      <c r="AC60" s="95" t="n">
        <f aca="false">IFERROR((T60)/((T60)+O60),0)</f>
        <v>0</v>
      </c>
      <c r="AD60" s="96" t="n">
        <f aca="false">IFERROR(Q60/(Q60+N60),0)</f>
        <v>0</v>
      </c>
      <c r="AE60" s="91" t="n">
        <f aca="false">(N60-T60)/N60</f>
        <v>1</v>
      </c>
      <c r="AF60" s="97" t="n">
        <f aca="false">BR60</f>
        <v>0</v>
      </c>
      <c r="AG60" s="98" t="n">
        <f aca="false">K60-AF60</f>
        <v>5</v>
      </c>
      <c r="AH60" s="99" t="n">
        <f aca="false">IFERROR(AG60/K60," ")</f>
        <v>1</v>
      </c>
      <c r="AI60" s="100" t="n">
        <f aca="false">IFERROR(O60/K60,0)</f>
        <v>1722.4</v>
      </c>
      <c r="AJ60" s="101" t="n">
        <f aca="false">VLOOKUP(D60,'Standard Cycle time'!C:D,2,0)</f>
        <v>2.3</v>
      </c>
      <c r="AK60" s="101" t="n">
        <f aca="false">AG60*V60*3600/O60</f>
        <v>2.0901068276823</v>
      </c>
      <c r="AL60" s="102" t="n">
        <f aca="false">AJ60/AK60</f>
        <v>1.10042222222222</v>
      </c>
      <c r="AM60" s="99" t="n">
        <f aca="false">AE60*AL60*AH60</f>
        <v>1.10042222222222</v>
      </c>
      <c r="AN60" s="103" t="s">
        <v>256</v>
      </c>
      <c r="AO60" s="104"/>
      <c r="AP60" s="105" t="n">
        <v>0</v>
      </c>
      <c r="AQ60" s="105" t="n">
        <v>0</v>
      </c>
      <c r="AR60" s="105" t="n">
        <v>0</v>
      </c>
      <c r="AS60" s="105" t="n">
        <v>0</v>
      </c>
      <c r="AT60" s="105" t="n">
        <v>0</v>
      </c>
      <c r="AU60" s="105" t="n">
        <v>0</v>
      </c>
      <c r="AV60" s="105" t="n">
        <v>0</v>
      </c>
      <c r="AW60" s="105" t="n">
        <v>0</v>
      </c>
      <c r="AX60" s="105" t="n">
        <v>0</v>
      </c>
      <c r="AY60" s="105" t="n">
        <v>0</v>
      </c>
      <c r="AZ60" s="105" t="n">
        <v>0</v>
      </c>
      <c r="BA60" s="105" t="n">
        <v>0</v>
      </c>
      <c r="BB60" s="105" t="n">
        <v>0</v>
      </c>
      <c r="BC60" s="105" t="n">
        <v>0</v>
      </c>
      <c r="BD60" s="105" t="n">
        <v>0</v>
      </c>
      <c r="BE60" s="105" t="n">
        <v>0</v>
      </c>
      <c r="BF60" s="105" t="n">
        <v>0</v>
      </c>
      <c r="BG60" s="105" t="n">
        <v>0</v>
      </c>
      <c r="BH60" s="105" t="n">
        <v>0</v>
      </c>
      <c r="BI60" s="105" t="n">
        <v>0</v>
      </c>
      <c r="BJ60" s="105" t="n">
        <v>0</v>
      </c>
      <c r="BK60" s="105" t="n">
        <v>0</v>
      </c>
      <c r="BL60" s="105" t="n">
        <v>0</v>
      </c>
      <c r="BM60" s="105" t="n">
        <v>0</v>
      </c>
      <c r="BN60" s="105" t="n">
        <v>0</v>
      </c>
      <c r="BO60" s="105" t="n">
        <v>0</v>
      </c>
      <c r="BP60" s="105" t="n">
        <v>0</v>
      </c>
      <c r="BQ60" s="105" t="n">
        <v>0</v>
      </c>
      <c r="BR60" s="106" t="n">
        <f aca="false">SUM(AP60:BQ60)/60</f>
        <v>0</v>
      </c>
      <c r="BS60" s="106" t="n">
        <f aca="false">SUM(AP60:BR60)/60</f>
        <v>0</v>
      </c>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row>
    <row r="61" s="74" customFormat="true" ht="14.9" hidden="true" customHeight="true" outlineLevel="0" collapsed="false">
      <c r="A61" s="74" t="n">
        <f aca="false">MONTH(B61)</f>
        <v>8</v>
      </c>
      <c r="B61" s="75" t="n">
        <v>44415</v>
      </c>
      <c r="C61" s="76" t="s">
        <v>51</v>
      </c>
      <c r="D61" s="77" t="str">
        <f aca="false">IFERROR(VLOOKUP(E:E,'Item Data Support Sheet'!A:O,7,0),"")</f>
        <v>NIPPLE POSTCURE</v>
      </c>
      <c r="E61" s="108" t="s">
        <v>57</v>
      </c>
      <c r="F61" s="78"/>
      <c r="G61" s="77" t="s">
        <v>149</v>
      </c>
      <c r="H61" s="79" t="str">
        <f aca="false">IFERROR(VLOOKUP(E:E,'Item Data Support Sheet'!A:O,2,0),"")</f>
        <v>NIPPLE S TYPE S SIZE POSTCURED</v>
      </c>
      <c r="I61" s="80" t="s">
        <v>257</v>
      </c>
      <c r="J61" s="80" t="s">
        <v>143</v>
      </c>
      <c r="K61" s="81" t="n">
        <v>5</v>
      </c>
      <c r="L61" s="82" t="n">
        <v>2000</v>
      </c>
      <c r="M61" s="83" t="n">
        <f aca="false">IFERROR(L61/K61,0)</f>
        <v>400</v>
      </c>
      <c r="N61" s="84" t="n">
        <f aca="false">+O61+Q61+T61+U61</f>
        <v>6800</v>
      </c>
      <c r="O61" s="85" t="n">
        <f aca="false">3800+3000</f>
        <v>6800</v>
      </c>
      <c r="P61" s="86" t="n">
        <v>0</v>
      </c>
      <c r="Q61" s="87" t="n">
        <v>0</v>
      </c>
      <c r="R61" s="88" t="n">
        <v>0</v>
      </c>
      <c r="S61" s="88" t="n">
        <v>0</v>
      </c>
      <c r="T61" s="88" t="n">
        <v>0</v>
      </c>
      <c r="U61" s="88" t="n">
        <v>0</v>
      </c>
      <c r="V61" s="89" t="n">
        <v>1</v>
      </c>
      <c r="W61" s="90" t="n">
        <f aca="false">IFERROR(O61/V61,0)</f>
        <v>6800</v>
      </c>
      <c r="X61" s="91" t="n">
        <f aca="false">O61/L61</f>
        <v>3.4</v>
      </c>
      <c r="Y61" s="92" t="str">
        <f aca="false">IFERROR(VLOOKUP(E:E,'Item Data Support Sheet'!A:J,6,0),0)</f>
        <v>FO011</v>
      </c>
      <c r="Z61" s="93" t="n">
        <f aca="false">IFERROR(VLOOKUP(E:E,'Item Data Support Sheet'!A:O,4,0),0)</f>
        <v>0</v>
      </c>
      <c r="AA61" s="93" t="n">
        <f aca="false">IFERROR(((N61)*(Z61/1000))+P61,0)</f>
        <v>0</v>
      </c>
      <c r="AB61" s="94" t="str">
        <f aca="false">IFERROR((O61*(Z61/1000)/(AA61))," ")</f>
        <v> </v>
      </c>
      <c r="AC61" s="95" t="n">
        <f aca="false">IFERROR((T61)/((T61)+O61),0)</f>
        <v>0</v>
      </c>
      <c r="AD61" s="96" t="n">
        <f aca="false">IFERROR(Q61/(Q61+N61),0)</f>
        <v>0</v>
      </c>
      <c r="AE61" s="91" t="n">
        <f aca="false">(N61-T61)/N61</f>
        <v>1</v>
      </c>
      <c r="AF61" s="97" t="n">
        <f aca="false">BR61</f>
        <v>0</v>
      </c>
      <c r="AG61" s="98" t="n">
        <f aca="false">K61-AF61</f>
        <v>5</v>
      </c>
      <c r="AH61" s="99" t="n">
        <f aca="false">IFERROR(AG61/K61," ")</f>
        <v>1</v>
      </c>
      <c r="AI61" s="100" t="n">
        <f aca="false">IFERROR(O61/K61,0)</f>
        <v>1360</v>
      </c>
      <c r="AJ61" s="101" t="n">
        <f aca="false">VLOOKUP(D61,'Standard Cycle time'!C:D,2,0)</f>
        <v>2.3</v>
      </c>
      <c r="AK61" s="101" t="n">
        <f aca="false">AG61*V61*3600/O61</f>
        <v>2.64705882352941</v>
      </c>
      <c r="AL61" s="102" t="n">
        <f aca="false">AJ61/AK61</f>
        <v>0.868888888888889</v>
      </c>
      <c r="AM61" s="99" t="n">
        <f aca="false">AE61*AL61*AH61</f>
        <v>0.868888888888889</v>
      </c>
      <c r="AN61" s="103" t="s">
        <v>258</v>
      </c>
      <c r="AO61" s="104"/>
      <c r="AP61" s="105" t="n">
        <v>0</v>
      </c>
      <c r="AQ61" s="105" t="n">
        <v>0</v>
      </c>
      <c r="AR61" s="105" t="n">
        <v>0</v>
      </c>
      <c r="AS61" s="105" t="n">
        <v>0</v>
      </c>
      <c r="AT61" s="105" t="n">
        <v>0</v>
      </c>
      <c r="AU61" s="105" t="n">
        <v>0</v>
      </c>
      <c r="AV61" s="105" t="n">
        <v>0</v>
      </c>
      <c r="AW61" s="105" t="n">
        <v>0</v>
      </c>
      <c r="AX61" s="105" t="n">
        <v>0</v>
      </c>
      <c r="AY61" s="105" t="n">
        <v>0</v>
      </c>
      <c r="AZ61" s="105" t="n">
        <v>0</v>
      </c>
      <c r="BA61" s="105" t="n">
        <v>0</v>
      </c>
      <c r="BB61" s="105" t="n">
        <v>0</v>
      </c>
      <c r="BC61" s="105" t="n">
        <v>0</v>
      </c>
      <c r="BD61" s="105" t="n">
        <v>0</v>
      </c>
      <c r="BE61" s="105" t="n">
        <v>0</v>
      </c>
      <c r="BF61" s="105" t="n">
        <v>0</v>
      </c>
      <c r="BG61" s="105" t="n">
        <v>0</v>
      </c>
      <c r="BH61" s="105" t="n">
        <v>0</v>
      </c>
      <c r="BI61" s="105" t="n">
        <v>0</v>
      </c>
      <c r="BJ61" s="105" t="n">
        <v>0</v>
      </c>
      <c r="BK61" s="105" t="n">
        <v>0</v>
      </c>
      <c r="BL61" s="105" t="n">
        <v>0</v>
      </c>
      <c r="BM61" s="105" t="n">
        <v>0</v>
      </c>
      <c r="BN61" s="105" t="n">
        <v>0</v>
      </c>
      <c r="BO61" s="105" t="n">
        <v>0</v>
      </c>
      <c r="BP61" s="105" t="n">
        <v>0</v>
      </c>
      <c r="BQ61" s="105" t="n">
        <v>0</v>
      </c>
      <c r="BR61" s="106" t="n">
        <f aca="false">SUM(AP61:BQ61)/60</f>
        <v>0</v>
      </c>
      <c r="BS61" s="106" t="n">
        <f aca="false">SUM(AP61:BR61)/60</f>
        <v>0</v>
      </c>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row>
    <row r="62" s="74" customFormat="true" ht="14.9" hidden="true" customHeight="true" outlineLevel="0" collapsed="false">
      <c r="A62" s="74" t="n">
        <f aca="false">MONTH(B62)</f>
        <v>8</v>
      </c>
      <c r="B62" s="75" t="n">
        <v>44415</v>
      </c>
      <c r="C62" s="76" t="s">
        <v>51</v>
      </c>
      <c r="D62" s="77" t="str">
        <f aca="false">IFERROR(VLOOKUP(E:E,'Item Data Support Sheet'!A:O,7,0),"")</f>
        <v>BOTTLE MOLDED</v>
      </c>
      <c r="E62" s="108" t="s">
        <v>235</v>
      </c>
      <c r="F62" s="78" t="s">
        <v>216</v>
      </c>
      <c r="G62" s="77" t="s">
        <v>74</v>
      </c>
      <c r="H62" s="79" t="str">
        <f aca="false">IFERROR(VLOOKUP(E:E,'Item Data Support Sheet'!A:O,2,0),"")</f>
        <v>KPP 200 ML BOTTLE MOLDED</v>
      </c>
      <c r="I62" s="80" t="s">
        <v>259</v>
      </c>
      <c r="J62" s="80" t="s">
        <v>143</v>
      </c>
      <c r="K62" s="81" t="n">
        <v>8</v>
      </c>
      <c r="L62" s="82" t="n">
        <v>2574</v>
      </c>
      <c r="M62" s="83" t="n">
        <f aca="false">IFERROR(L62/K62,0)</f>
        <v>321.75</v>
      </c>
      <c r="N62" s="84" t="n">
        <f aca="false">+O62+Q62+T62+U62</f>
        <v>3038</v>
      </c>
      <c r="O62" s="85" t="n">
        <f aca="false">27*108</f>
        <v>2916</v>
      </c>
      <c r="P62" s="86" t="n">
        <v>0.2</v>
      </c>
      <c r="Q62" s="87" t="n">
        <v>50</v>
      </c>
      <c r="R62" s="88" t="n">
        <v>0</v>
      </c>
      <c r="S62" s="88" t="n">
        <v>0</v>
      </c>
      <c r="T62" s="88" t="n">
        <v>64</v>
      </c>
      <c r="U62" s="88" t="n">
        <v>8</v>
      </c>
      <c r="V62" s="89" t="n">
        <v>1</v>
      </c>
      <c r="W62" s="90" t="n">
        <f aca="false">IFERROR(O62/V62,0)</f>
        <v>2916</v>
      </c>
      <c r="X62" s="91" t="n">
        <f aca="false">O62/L62</f>
        <v>1.13286713286713</v>
      </c>
      <c r="Y62" s="92" t="str">
        <f aca="false">IFERROR(VLOOKUP(E:E,'Item Data Support Sheet'!A:J,6,0),0)</f>
        <v>HMC</v>
      </c>
      <c r="Z62" s="93" t="n">
        <f aca="false">IFERROR(VLOOKUP(E:E,'Item Data Support Sheet'!A:O,4,0),0)</f>
        <v>28.1</v>
      </c>
      <c r="AA62" s="93" t="n">
        <f aca="false">IFERROR(((N62)*(Z62/1000))+P62,0)</f>
        <v>85.5678</v>
      </c>
      <c r="AB62" s="94" t="n">
        <f aca="false">IFERROR((O62*(Z62/1000)/(AA62))," ")</f>
        <v>0.957598535897849</v>
      </c>
      <c r="AC62" s="95" t="n">
        <f aca="false">IFERROR((T62)/((T62)+O62),0)</f>
        <v>0.0214765100671141</v>
      </c>
      <c r="AD62" s="96" t="n">
        <f aca="false">IFERROR(Q62/(Q62+N62),0)</f>
        <v>0.0161917098445596</v>
      </c>
      <c r="AE62" s="91" t="n">
        <f aca="false">(N62-T62)/N62</f>
        <v>0.978933508887426</v>
      </c>
      <c r="AF62" s="97" t="n">
        <f aca="false">BR62</f>
        <v>0</v>
      </c>
      <c r="AG62" s="98" t="n">
        <f aca="false">K62-AF62</f>
        <v>8</v>
      </c>
      <c r="AH62" s="99" t="n">
        <f aca="false">IFERROR(AG62/K62," ")</f>
        <v>1</v>
      </c>
      <c r="AI62" s="100" t="n">
        <f aca="false">IFERROR(O62/K62,0)</f>
        <v>364.5</v>
      </c>
      <c r="AJ62" s="101" t="n">
        <f aca="false">VLOOKUP(D62,'Standard Cycle time'!C:D,2,0)</f>
        <v>9</v>
      </c>
      <c r="AK62" s="101" t="n">
        <f aca="false">AG62*V62*3600/O62</f>
        <v>9.87654320987654</v>
      </c>
      <c r="AL62" s="102" t="n">
        <f aca="false">AJ62/AK62</f>
        <v>0.91125</v>
      </c>
      <c r="AM62" s="99" t="n">
        <f aca="false">AE62*AL62*AH62</f>
        <v>0.892053159973667</v>
      </c>
      <c r="AN62" s="103" t="n">
        <v>2270</v>
      </c>
      <c r="AO62" s="104" t="s">
        <v>260</v>
      </c>
      <c r="AP62" s="105" t="n">
        <v>0</v>
      </c>
      <c r="AQ62" s="105" t="n">
        <v>0</v>
      </c>
      <c r="AR62" s="105" t="n">
        <v>0</v>
      </c>
      <c r="AS62" s="105" t="n">
        <v>0</v>
      </c>
      <c r="AT62" s="105" t="n">
        <v>0</v>
      </c>
      <c r="AU62" s="105" t="n">
        <v>0</v>
      </c>
      <c r="AV62" s="105" t="n">
        <v>0</v>
      </c>
      <c r="AW62" s="105" t="n">
        <v>0</v>
      </c>
      <c r="AX62" s="105" t="n">
        <v>0</v>
      </c>
      <c r="AY62" s="105" t="n">
        <v>0</v>
      </c>
      <c r="AZ62" s="105" t="n">
        <v>0</v>
      </c>
      <c r="BA62" s="105" t="n">
        <v>0</v>
      </c>
      <c r="BB62" s="105" t="n">
        <v>0</v>
      </c>
      <c r="BC62" s="105" t="n">
        <v>0</v>
      </c>
      <c r="BD62" s="105" t="n">
        <v>0</v>
      </c>
      <c r="BE62" s="105" t="n">
        <v>0</v>
      </c>
      <c r="BF62" s="105" t="n">
        <v>0</v>
      </c>
      <c r="BG62" s="105" t="n">
        <v>0</v>
      </c>
      <c r="BH62" s="105" t="n">
        <v>0</v>
      </c>
      <c r="BI62" s="105" t="n">
        <v>0</v>
      </c>
      <c r="BJ62" s="105" t="n">
        <v>0</v>
      </c>
      <c r="BK62" s="105" t="n">
        <v>0</v>
      </c>
      <c r="BL62" s="105" t="n">
        <v>0</v>
      </c>
      <c r="BM62" s="105" t="n">
        <v>0</v>
      </c>
      <c r="BN62" s="105" t="n">
        <v>0</v>
      </c>
      <c r="BO62" s="105" t="n">
        <v>0</v>
      </c>
      <c r="BP62" s="105" t="n">
        <v>0</v>
      </c>
      <c r="BQ62" s="105" t="n">
        <v>0</v>
      </c>
      <c r="BR62" s="106" t="n">
        <f aca="false">SUM(AP62:BQ62)/60</f>
        <v>0</v>
      </c>
      <c r="BS62" s="106" t="n">
        <f aca="false">SUM(AP62:BR62)/60</f>
        <v>0</v>
      </c>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row>
    <row r="63" s="74" customFormat="true" ht="14.9" hidden="true" customHeight="true" outlineLevel="0" collapsed="false">
      <c r="A63" s="74" t="n">
        <f aca="false">MONTH(B63)</f>
        <v>8</v>
      </c>
      <c r="B63" s="75" t="n">
        <v>44415</v>
      </c>
      <c r="C63" s="76" t="s">
        <v>51</v>
      </c>
      <c r="D63" s="77" t="str">
        <f aca="false">IFERROR(VLOOKUP(E:E,'Item Data Support Sheet'!A:O,7,0),"")</f>
        <v>CAP MOLDED</v>
      </c>
      <c r="E63" s="108" t="s">
        <v>261</v>
      </c>
      <c r="F63" s="80"/>
      <c r="G63" s="77" t="s">
        <v>200</v>
      </c>
      <c r="H63" s="79" t="str">
        <f aca="false">IFERROR(VLOOKUP(E:E,'Item Data Support Sheet'!A:O,2,0),"")</f>
        <v>CAP S TYPE MOLDED PINK</v>
      </c>
      <c r="I63" s="80" t="s">
        <v>262</v>
      </c>
      <c r="J63" s="80" t="s">
        <v>143</v>
      </c>
      <c r="K63" s="81" t="n">
        <v>8</v>
      </c>
      <c r="L63" s="82" t="n">
        <v>4137</v>
      </c>
      <c r="M63" s="83" t="n">
        <f aca="false">IFERROR(L63/K63,0)</f>
        <v>517.125</v>
      </c>
      <c r="N63" s="84" t="n">
        <f aca="false">+O63+Q63+T63+U63</f>
        <v>4712</v>
      </c>
      <c r="O63" s="85" t="n">
        <v>4700</v>
      </c>
      <c r="P63" s="86" t="n">
        <v>0.38</v>
      </c>
      <c r="Q63" s="87" t="n">
        <v>0</v>
      </c>
      <c r="R63" s="88" t="n">
        <v>0</v>
      </c>
      <c r="S63" s="88" t="n">
        <v>0</v>
      </c>
      <c r="T63" s="88" t="n">
        <v>4</v>
      </c>
      <c r="U63" s="88" t="n">
        <v>8</v>
      </c>
      <c r="V63" s="89" t="n">
        <v>1</v>
      </c>
      <c r="W63" s="90" t="n">
        <f aca="false">IFERROR(O63/V63,0)</f>
        <v>4700</v>
      </c>
      <c r="X63" s="91" t="n">
        <f aca="false">O63/L63</f>
        <v>1.13608895334784</v>
      </c>
      <c r="Y63" s="92" t="str">
        <f aca="false">IFERROR(VLOOKUP(E:E,'Item Data Support Sheet'!A:J,6,0),0)</f>
        <v>RM000123</v>
      </c>
      <c r="Z63" s="93" t="n">
        <f aca="false">IFERROR(VLOOKUP(E:E,'Item Data Support Sheet'!A:O,4,0),0)</f>
        <v>7.3</v>
      </c>
      <c r="AA63" s="93" t="n">
        <f aca="false">IFERROR(((N63)*(Z63/1000))+P63,0)</f>
        <v>34.7776</v>
      </c>
      <c r="AB63" s="94" t="n">
        <f aca="false">IFERROR((O63*(Z63/1000)/(AA63))," ")</f>
        <v>0.986554563857196</v>
      </c>
      <c r="AC63" s="95" t="n">
        <f aca="false">IFERROR((T63)/((T63)+O63),0)</f>
        <v>0.000850340136054422</v>
      </c>
      <c r="AD63" s="96" t="n">
        <f aca="false">IFERROR(Q63/(Q63+N63),0)</f>
        <v>0</v>
      </c>
      <c r="AE63" s="91" t="n">
        <f aca="false">(N63-T63)/N63</f>
        <v>0.999151103565365</v>
      </c>
      <c r="AF63" s="97" t="n">
        <f aca="false">BR63</f>
        <v>0</v>
      </c>
      <c r="AG63" s="98" t="n">
        <f aca="false">K63-AF63</f>
        <v>8</v>
      </c>
      <c r="AH63" s="99" t="n">
        <f aca="false">IFERROR(AG63/K63," ")</f>
        <v>1</v>
      </c>
      <c r="AI63" s="100" t="n">
        <f aca="false">IFERROR(O63/K63,0)</f>
        <v>587.5</v>
      </c>
      <c r="AJ63" s="101" t="n">
        <f aca="false">VLOOKUP(D63,'Standard Cycle time'!C:D,2,0)</f>
        <v>6</v>
      </c>
      <c r="AK63" s="101" t="n">
        <f aca="false">AG63*V63*3600/O63</f>
        <v>6.12765957446809</v>
      </c>
      <c r="AL63" s="102" t="n">
        <f aca="false">AJ63/AK63</f>
        <v>0.979166666666667</v>
      </c>
      <c r="AM63" s="99" t="n">
        <f aca="false">AE63*AL63*AH63</f>
        <v>0.97833545557442</v>
      </c>
      <c r="AN63" s="103" t="n">
        <v>2688</v>
      </c>
      <c r="AO63" s="110" t="s">
        <v>263</v>
      </c>
      <c r="AP63" s="105" t="n">
        <v>0</v>
      </c>
      <c r="AQ63" s="105" t="n">
        <v>0</v>
      </c>
      <c r="AR63" s="105" t="n">
        <v>0</v>
      </c>
      <c r="AS63" s="105" t="n">
        <v>0</v>
      </c>
      <c r="AT63" s="105" t="n">
        <v>0</v>
      </c>
      <c r="AU63" s="105" t="n">
        <v>0</v>
      </c>
      <c r="AV63" s="105" t="n">
        <v>0</v>
      </c>
      <c r="AW63" s="105" t="n">
        <v>0</v>
      </c>
      <c r="AX63" s="105" t="n">
        <v>0</v>
      </c>
      <c r="AY63" s="105" t="n">
        <v>0</v>
      </c>
      <c r="AZ63" s="105" t="n">
        <v>0</v>
      </c>
      <c r="BA63" s="105" t="n">
        <v>0</v>
      </c>
      <c r="BB63" s="105" t="n">
        <v>0</v>
      </c>
      <c r="BC63" s="105" t="n">
        <v>0</v>
      </c>
      <c r="BD63" s="105" t="n">
        <v>0</v>
      </c>
      <c r="BE63" s="105" t="n">
        <v>0</v>
      </c>
      <c r="BF63" s="105" t="n">
        <v>0</v>
      </c>
      <c r="BG63" s="105" t="n">
        <v>0</v>
      </c>
      <c r="BH63" s="105" t="n">
        <v>0</v>
      </c>
      <c r="BI63" s="105" t="n">
        <v>0</v>
      </c>
      <c r="BJ63" s="105" t="n">
        <v>0</v>
      </c>
      <c r="BK63" s="105" t="n">
        <v>0</v>
      </c>
      <c r="BL63" s="105" t="n">
        <v>0</v>
      </c>
      <c r="BM63" s="105" t="n">
        <v>0</v>
      </c>
      <c r="BN63" s="105" t="n">
        <v>0</v>
      </c>
      <c r="BO63" s="105" t="n">
        <v>0</v>
      </c>
      <c r="BP63" s="105" t="n">
        <v>0</v>
      </c>
      <c r="BQ63" s="105" t="n">
        <v>0</v>
      </c>
      <c r="BR63" s="106" t="n">
        <f aca="false">SUM(AP63:BQ63)/60</f>
        <v>0</v>
      </c>
      <c r="BS63" s="106" t="n">
        <f aca="false">SUM(AP63:BR63)/60</f>
        <v>0</v>
      </c>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row>
    <row r="64" s="74" customFormat="true" ht="14.9" hidden="true" customHeight="true" outlineLevel="0" collapsed="false">
      <c r="A64" s="74" t="n">
        <f aca="false">MONTH(B64)</f>
        <v>8</v>
      </c>
      <c r="B64" s="75" t="n">
        <v>44415</v>
      </c>
      <c r="C64" s="76" t="s">
        <v>63</v>
      </c>
      <c r="D64" s="77" t="str">
        <f aca="false">IFERROR(VLOOKUP(E:E,'Item Data Support Sheet'!A:O,7,0),"")</f>
        <v>NIPPLE PUNCH INSPECTED</v>
      </c>
      <c r="E64" s="108" t="s">
        <v>182</v>
      </c>
      <c r="F64" s="80"/>
      <c r="G64" s="77"/>
      <c r="H64" s="79" t="str">
        <f aca="false">IFERROR(VLOOKUP(E:E,'Item Data Support Sheet'!A:O,2,0),"")</f>
        <v>NIPPLE S TYPE M SIZE PUNCHED INSPECTED</v>
      </c>
      <c r="I64" s="80" t="s">
        <v>264</v>
      </c>
      <c r="J64" s="80" t="s">
        <v>158</v>
      </c>
      <c r="K64" s="81" t="n">
        <v>8.5</v>
      </c>
      <c r="L64" s="82" t="n">
        <v>14182</v>
      </c>
      <c r="M64" s="83" t="n">
        <f aca="false">IFERROR(L64/K64,0)</f>
        <v>1668.47058823529</v>
      </c>
      <c r="N64" s="84" t="n">
        <f aca="false">+O64+Q64+T64+U64</f>
        <v>15089</v>
      </c>
      <c r="O64" s="85" t="n">
        <v>14937</v>
      </c>
      <c r="P64" s="86" t="n">
        <v>0</v>
      </c>
      <c r="Q64" s="87" t="n">
        <v>0</v>
      </c>
      <c r="R64" s="88" t="n">
        <v>0</v>
      </c>
      <c r="S64" s="88" t="n">
        <v>0</v>
      </c>
      <c r="T64" s="88" t="n">
        <v>152</v>
      </c>
      <c r="U64" s="88" t="n">
        <v>0</v>
      </c>
      <c r="V64" s="89" t="n">
        <v>2</v>
      </c>
      <c r="W64" s="90" t="n">
        <f aca="false">IFERROR(O64/V64,0)</f>
        <v>7468.5</v>
      </c>
      <c r="X64" s="91" t="n">
        <f aca="false">O64/L64</f>
        <v>1.05323649696799</v>
      </c>
      <c r="Y64" s="92" t="str">
        <f aca="false">IFERROR(VLOOKUP(E:E,'Item Data Support Sheet'!A:J,6,0),0)</f>
        <v>FO105</v>
      </c>
      <c r="Z64" s="93" t="n">
        <f aca="false">IFERROR(VLOOKUP(E:E,'Item Data Support Sheet'!A:O,4,0),0)</f>
        <v>0</v>
      </c>
      <c r="AA64" s="93" t="n">
        <f aca="false">IFERROR(((N64)*(Z64/1000))+P64,0)</f>
        <v>0</v>
      </c>
      <c r="AB64" s="94" t="str">
        <f aca="false">IFERROR((O64*(Z64/1000)/(AA64))," ")</f>
        <v> </v>
      </c>
      <c r="AC64" s="95" t="n">
        <f aca="false">IFERROR((T64)/((T64)+O64),0)</f>
        <v>0.0100735635230963</v>
      </c>
      <c r="AD64" s="96" t="n">
        <f aca="false">IFERROR(Q64/(Q64+N64),0)</f>
        <v>0</v>
      </c>
      <c r="AE64" s="91" t="n">
        <f aca="false">(N64-T64)/N64</f>
        <v>0.989926436476904</v>
      </c>
      <c r="AF64" s="97" t="n">
        <f aca="false">BR64</f>
        <v>0.833333333333333</v>
      </c>
      <c r="AG64" s="98" t="n">
        <f aca="false">K64-AF64</f>
        <v>7.66666666666667</v>
      </c>
      <c r="AH64" s="99" t="n">
        <f aca="false">IFERROR(AG64/K64," ")</f>
        <v>0.901960784313726</v>
      </c>
      <c r="AI64" s="100" t="n">
        <f aca="false">IFERROR(O64/K64,0)</f>
        <v>1757.29411764706</v>
      </c>
      <c r="AJ64" s="101" t="n">
        <f aca="false">VLOOKUP(D64,'Standard Cycle time'!C:D,2,0)</f>
        <v>4</v>
      </c>
      <c r="AK64" s="101" t="n">
        <f aca="false">AG64*V64*3600/O64</f>
        <v>3.69552118899377</v>
      </c>
      <c r="AL64" s="102" t="n">
        <f aca="false">AJ64/AK64</f>
        <v>1.08239130434783</v>
      </c>
      <c r="AM64" s="99" t="n">
        <f aca="false">AE64*AL64*AH64</f>
        <v>0.966439946513432</v>
      </c>
      <c r="AN64" s="103" t="s">
        <v>265</v>
      </c>
      <c r="AO64" s="109"/>
      <c r="AP64" s="105" t="n">
        <v>50</v>
      </c>
      <c r="AQ64" s="105" t="n">
        <v>0</v>
      </c>
      <c r="AR64" s="105" t="n">
        <v>0</v>
      </c>
      <c r="AS64" s="105" t="n">
        <v>0</v>
      </c>
      <c r="AT64" s="105" t="n">
        <v>0</v>
      </c>
      <c r="AU64" s="105" t="n">
        <v>0</v>
      </c>
      <c r="AV64" s="105" t="n">
        <v>0</v>
      </c>
      <c r="AW64" s="105" t="n">
        <v>0</v>
      </c>
      <c r="AX64" s="105" t="n">
        <v>0</v>
      </c>
      <c r="AY64" s="105" t="n">
        <v>0</v>
      </c>
      <c r="AZ64" s="105" t="n">
        <v>0</v>
      </c>
      <c r="BA64" s="105" t="n">
        <v>0</v>
      </c>
      <c r="BB64" s="105" t="n">
        <v>0</v>
      </c>
      <c r="BC64" s="105" t="n">
        <v>0</v>
      </c>
      <c r="BD64" s="105" t="n">
        <v>0</v>
      </c>
      <c r="BE64" s="105" t="n">
        <v>0</v>
      </c>
      <c r="BF64" s="105" t="n">
        <v>0</v>
      </c>
      <c r="BG64" s="105" t="n">
        <v>0</v>
      </c>
      <c r="BH64" s="105" t="n">
        <v>0</v>
      </c>
      <c r="BI64" s="105" t="n">
        <v>0</v>
      </c>
      <c r="BJ64" s="105" t="n">
        <v>0</v>
      </c>
      <c r="BK64" s="105" t="n">
        <v>0</v>
      </c>
      <c r="BL64" s="105" t="n">
        <v>0</v>
      </c>
      <c r="BM64" s="105" t="n">
        <v>0</v>
      </c>
      <c r="BN64" s="105" t="n">
        <v>0</v>
      </c>
      <c r="BO64" s="105" t="n">
        <v>0</v>
      </c>
      <c r="BP64" s="105" t="n">
        <v>0</v>
      </c>
      <c r="BQ64" s="105" t="n">
        <v>0</v>
      </c>
      <c r="BR64" s="106" t="n">
        <f aca="false">SUM(AP64:BQ64)/60</f>
        <v>0.833333333333333</v>
      </c>
      <c r="BS64" s="106" t="n">
        <f aca="false">SUM(AP64:BR64)/60</f>
        <v>0.847222222222222</v>
      </c>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row>
    <row r="65" s="74" customFormat="true" ht="14.9" hidden="true" customHeight="true" outlineLevel="0" collapsed="false">
      <c r="A65" s="74" t="n">
        <f aca="false">MONTH(B65)</f>
        <v>8</v>
      </c>
      <c r="B65" s="75" t="n">
        <v>44415</v>
      </c>
      <c r="C65" s="76" t="s">
        <v>63</v>
      </c>
      <c r="D65" s="77" t="str">
        <f aca="false">IFERROR(VLOOKUP(E:E,'Item Data Support Sheet'!A:O,7,0),"")</f>
        <v>BOTTLE PRINTED</v>
      </c>
      <c r="E65" s="108" t="s">
        <v>229</v>
      </c>
      <c r="F65" s="80"/>
      <c r="G65" s="77" t="s">
        <v>66</v>
      </c>
      <c r="H65" s="79" t="str">
        <f aca="false">IFERROR(VLOOKUP(E:E,'Item Data Support Sheet'!A:O,2,0),"")</f>
        <v>KPP BOTTLE 200 ML PRINTED-WMG3B</v>
      </c>
      <c r="I65" s="80" t="s">
        <v>266</v>
      </c>
      <c r="J65" s="80" t="s">
        <v>161</v>
      </c>
      <c r="K65" s="81" t="n">
        <v>3.5</v>
      </c>
      <c r="L65" s="82" t="n">
        <v>2125</v>
      </c>
      <c r="M65" s="83" t="n">
        <f aca="false">IFERROR(L65/K65,0)</f>
        <v>607.142857142857</v>
      </c>
      <c r="N65" s="84" t="n">
        <f aca="false">+O65+Q65+T65+U65</f>
        <v>2017</v>
      </c>
      <c r="O65" s="85" t="n">
        <v>1989</v>
      </c>
      <c r="P65" s="86" t="n">
        <v>0</v>
      </c>
      <c r="Q65" s="87" t="n">
        <v>0</v>
      </c>
      <c r="R65" s="88" t="n">
        <v>12</v>
      </c>
      <c r="S65" s="88" t="n">
        <v>0</v>
      </c>
      <c r="T65" s="88" t="n">
        <v>28</v>
      </c>
      <c r="U65" s="88" t="n">
        <v>0</v>
      </c>
      <c r="V65" s="89" t="n">
        <v>6</v>
      </c>
      <c r="W65" s="90" t="n">
        <f aca="false">IFERROR(O65/V65,0)</f>
        <v>331.5</v>
      </c>
      <c r="X65" s="91" t="n">
        <f aca="false">O65/L65</f>
        <v>0.936</v>
      </c>
      <c r="Y65" s="92" t="str">
        <f aca="false">IFERROR(VLOOKUP(E:E,'Item Data Support Sheet'!A:J,6,0),0)</f>
        <v>FO043</v>
      </c>
      <c r="Z65" s="93" t="n">
        <f aca="false">IFERROR(VLOOKUP(E:E,'Item Data Support Sheet'!A:O,4,0),0)</f>
        <v>0</v>
      </c>
      <c r="AA65" s="93" t="n">
        <f aca="false">IFERROR(((N65)*(Z65/1000))+P65,0)</f>
        <v>0</v>
      </c>
      <c r="AB65" s="94" t="str">
        <f aca="false">IFERROR((O65*(Z65/1000)/(AA65))," ")</f>
        <v> </v>
      </c>
      <c r="AC65" s="95" t="n">
        <f aca="false">IFERROR((T65)/((T65)+O65),0)</f>
        <v>0.0138820029747149</v>
      </c>
      <c r="AD65" s="96" t="n">
        <f aca="false">IFERROR(Q65/(Q65+N65),0)</f>
        <v>0</v>
      </c>
      <c r="AE65" s="91" t="n">
        <f aca="false">(N65-T65)/N65</f>
        <v>0.986117997025285</v>
      </c>
      <c r="AF65" s="97" t="n">
        <f aca="false">BR65</f>
        <v>0.333333333333333</v>
      </c>
      <c r="AG65" s="98" t="n">
        <f aca="false">K65-AF65</f>
        <v>3.16666666666667</v>
      </c>
      <c r="AH65" s="99" t="n">
        <f aca="false">IFERROR(AG65/K65," ")</f>
        <v>0.904761904761905</v>
      </c>
      <c r="AI65" s="100" t="n">
        <f aca="false">IFERROR(O65/K65,0)</f>
        <v>568.285714285714</v>
      </c>
      <c r="AJ65" s="101" t="n">
        <f aca="false">VLOOKUP(D65,'Standard Cycle time'!C:D,2,0)</f>
        <v>32.4</v>
      </c>
      <c r="AK65" s="101" t="n">
        <f aca="false">AG65*V65*3600/O65</f>
        <v>34.3891402714932</v>
      </c>
      <c r="AL65" s="102" t="n">
        <f aca="false">AJ65/AK65</f>
        <v>0.942157894736842</v>
      </c>
      <c r="AM65" s="99" t="n">
        <f aca="false">AE65*AL65*AH65</f>
        <v>0.840595155464268</v>
      </c>
      <c r="AN65" s="113" t="n">
        <v>22882290</v>
      </c>
      <c r="AO65" s="104"/>
      <c r="AP65" s="105" t="n">
        <v>20</v>
      </c>
      <c r="AQ65" s="105" t="n">
        <v>0</v>
      </c>
      <c r="AR65" s="105" t="n">
        <v>0</v>
      </c>
      <c r="AS65" s="105" t="n">
        <v>0</v>
      </c>
      <c r="AT65" s="105" t="n">
        <v>0</v>
      </c>
      <c r="AU65" s="105" t="n">
        <v>0</v>
      </c>
      <c r="AV65" s="105" t="n">
        <v>0</v>
      </c>
      <c r="AW65" s="105" t="n">
        <v>0</v>
      </c>
      <c r="AX65" s="105" t="n">
        <v>0</v>
      </c>
      <c r="AY65" s="105" t="n">
        <v>0</v>
      </c>
      <c r="AZ65" s="105" t="n">
        <v>0</v>
      </c>
      <c r="BA65" s="105" t="n">
        <v>0</v>
      </c>
      <c r="BB65" s="105" t="n">
        <v>0</v>
      </c>
      <c r="BC65" s="105" t="n">
        <v>0</v>
      </c>
      <c r="BD65" s="105" t="n">
        <v>0</v>
      </c>
      <c r="BE65" s="105" t="n">
        <v>0</v>
      </c>
      <c r="BF65" s="105" t="n">
        <v>0</v>
      </c>
      <c r="BG65" s="105" t="n">
        <v>0</v>
      </c>
      <c r="BH65" s="105" t="n">
        <v>0</v>
      </c>
      <c r="BI65" s="105" t="n">
        <v>0</v>
      </c>
      <c r="BJ65" s="105" t="n">
        <v>0</v>
      </c>
      <c r="BK65" s="105" t="n">
        <v>0</v>
      </c>
      <c r="BL65" s="105" t="n">
        <v>0</v>
      </c>
      <c r="BM65" s="105" t="n">
        <v>0</v>
      </c>
      <c r="BN65" s="105" t="n">
        <v>0</v>
      </c>
      <c r="BO65" s="105" t="n">
        <v>0</v>
      </c>
      <c r="BP65" s="105" t="n">
        <v>0</v>
      </c>
      <c r="BQ65" s="105" t="n">
        <v>0</v>
      </c>
      <c r="BR65" s="106" t="n">
        <f aca="false">SUM(AP65:BQ65)/60</f>
        <v>0.333333333333333</v>
      </c>
      <c r="BS65" s="106" t="n">
        <f aca="false">SUM(AP65:BR65)/60</f>
        <v>0.338888888888889</v>
      </c>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row>
    <row r="66" s="74" customFormat="true" ht="14.9" hidden="true" customHeight="true" outlineLevel="0" collapsed="false">
      <c r="A66" s="74" t="n">
        <f aca="false">MONTH(B66)</f>
        <v>8</v>
      </c>
      <c r="B66" s="75" t="n">
        <v>44415</v>
      </c>
      <c r="C66" s="76" t="s">
        <v>63</v>
      </c>
      <c r="D66" s="77" t="str">
        <f aca="false">IFERROR(VLOOKUP(E:E,'Item Data Support Sheet'!A:O,7,0),"")</f>
        <v>BOTTLE PRINTED</v>
      </c>
      <c r="E66" s="108" t="s">
        <v>267</v>
      </c>
      <c r="F66" s="80"/>
      <c r="G66" s="77" t="s">
        <v>66</v>
      </c>
      <c r="H66" s="79" t="str">
        <f aca="false">IFERROR(VLOOKUP(E:E,'Item Data Support Sheet'!A:O,2,0),"")</f>
        <v>KPP 200 BOTTLE PRINTED (WMG3B) W/O OZ &amp; W/BIS LOGO</v>
      </c>
      <c r="I66" s="80" t="s">
        <v>268</v>
      </c>
      <c r="J66" s="80" t="s">
        <v>161</v>
      </c>
      <c r="K66" s="81" t="n">
        <v>0.8</v>
      </c>
      <c r="L66" s="82" t="n">
        <v>638</v>
      </c>
      <c r="M66" s="83" t="n">
        <f aca="false">IFERROR(L66/K66,0)</f>
        <v>797.5</v>
      </c>
      <c r="N66" s="84" t="n">
        <f aca="false">+O66+Q66+T66+U66</f>
        <v>487</v>
      </c>
      <c r="O66" s="85" t="n">
        <v>467</v>
      </c>
      <c r="P66" s="86" t="n">
        <v>0</v>
      </c>
      <c r="Q66" s="87" t="n">
        <v>0</v>
      </c>
      <c r="R66" s="88" t="n">
        <v>0</v>
      </c>
      <c r="S66" s="88" t="n">
        <v>0</v>
      </c>
      <c r="T66" s="88" t="n">
        <v>20</v>
      </c>
      <c r="U66" s="88" t="n">
        <v>0</v>
      </c>
      <c r="V66" s="89" t="n">
        <v>6</v>
      </c>
      <c r="W66" s="90" t="n">
        <f aca="false">IFERROR(O66/V66,0)</f>
        <v>77.8333333333333</v>
      </c>
      <c r="X66" s="91" t="n">
        <f aca="false">O66/L66</f>
        <v>0.731974921630094</v>
      </c>
      <c r="Y66" s="92" t="str">
        <f aca="false">IFERROR(VLOOKUP(E:E,'Item Data Support Sheet'!A:J,6,0),0)</f>
        <v>FO043</v>
      </c>
      <c r="Z66" s="93" t="n">
        <f aca="false">IFERROR(VLOOKUP(E:E,'Item Data Support Sheet'!A:O,4,0),0)</f>
        <v>0</v>
      </c>
      <c r="AA66" s="93" t="n">
        <f aca="false">IFERROR(((N66)*(Z66/1000))+P66,0)</f>
        <v>0</v>
      </c>
      <c r="AB66" s="94" t="str">
        <f aca="false">IFERROR((O66*(Z66/1000)/(AA66))," ")</f>
        <v> </v>
      </c>
      <c r="AC66" s="95" t="n">
        <f aca="false">IFERROR((T66)/((T66)+O66),0)</f>
        <v>0.0410677618069815</v>
      </c>
      <c r="AD66" s="96" t="n">
        <f aca="false">IFERROR(Q66/(Q66+N66),0)</f>
        <v>0</v>
      </c>
      <c r="AE66" s="91" t="n">
        <f aca="false">(N66-T66)/N66</f>
        <v>0.958932238193018</v>
      </c>
      <c r="AF66" s="97" t="n">
        <f aca="false">BR66</f>
        <v>0</v>
      </c>
      <c r="AG66" s="98" t="n">
        <f aca="false">K66-AF66</f>
        <v>0.8</v>
      </c>
      <c r="AH66" s="99" t="n">
        <f aca="false">IFERROR(AG66/K66," ")</f>
        <v>1</v>
      </c>
      <c r="AI66" s="100" t="n">
        <f aca="false">IFERROR(O66/K66,0)</f>
        <v>583.75</v>
      </c>
      <c r="AJ66" s="101" t="n">
        <f aca="false">VLOOKUP(D66,'Standard Cycle time'!C:D,2,0)</f>
        <v>32.4</v>
      </c>
      <c r="AK66" s="101" t="n">
        <f aca="false">AG66*V66*3600/O66</f>
        <v>37.0021413276231</v>
      </c>
      <c r="AL66" s="102" t="n">
        <f aca="false">AJ66/AK66</f>
        <v>0.875625</v>
      </c>
      <c r="AM66" s="99" t="n">
        <f aca="false">AE66*AL66*AH66</f>
        <v>0.839665041067761</v>
      </c>
      <c r="AN66" s="103" t="s">
        <v>269</v>
      </c>
      <c r="AO66" s="104"/>
      <c r="AP66" s="105" t="n">
        <v>0</v>
      </c>
      <c r="AQ66" s="105" t="n">
        <v>0</v>
      </c>
      <c r="AR66" s="105" t="n">
        <v>0</v>
      </c>
      <c r="AS66" s="105" t="n">
        <v>0</v>
      </c>
      <c r="AT66" s="105" t="n">
        <v>0</v>
      </c>
      <c r="AU66" s="105" t="n">
        <v>0</v>
      </c>
      <c r="AV66" s="105" t="n">
        <v>0</v>
      </c>
      <c r="AW66" s="105" t="n">
        <v>0</v>
      </c>
      <c r="AX66" s="105" t="n">
        <v>0</v>
      </c>
      <c r="AY66" s="105" t="n">
        <v>0</v>
      </c>
      <c r="AZ66" s="105" t="n">
        <v>0</v>
      </c>
      <c r="BA66" s="105" t="n">
        <v>0</v>
      </c>
      <c r="BB66" s="105" t="n">
        <v>0</v>
      </c>
      <c r="BC66" s="105" t="n">
        <v>0</v>
      </c>
      <c r="BD66" s="105" t="n">
        <v>0</v>
      </c>
      <c r="BE66" s="105" t="n">
        <v>0</v>
      </c>
      <c r="BF66" s="105" t="n">
        <v>0</v>
      </c>
      <c r="BG66" s="105" t="n">
        <v>0</v>
      </c>
      <c r="BH66" s="105" t="n">
        <v>0</v>
      </c>
      <c r="BI66" s="105" t="n">
        <v>0</v>
      </c>
      <c r="BJ66" s="105" t="n">
        <v>0</v>
      </c>
      <c r="BK66" s="105" t="n">
        <v>0</v>
      </c>
      <c r="BL66" s="105" t="n">
        <v>0</v>
      </c>
      <c r="BM66" s="105" t="n">
        <v>0</v>
      </c>
      <c r="BN66" s="105" t="n">
        <v>0</v>
      </c>
      <c r="BO66" s="105" t="n">
        <v>0</v>
      </c>
      <c r="BP66" s="105" t="n">
        <v>0</v>
      </c>
      <c r="BQ66" s="105" t="n">
        <v>0</v>
      </c>
      <c r="BR66" s="106" t="n">
        <f aca="false">SUM(AP66:BQ66)/60</f>
        <v>0</v>
      </c>
      <c r="BS66" s="106" t="n">
        <f aca="false">SUM(AP66:BR66)/60</f>
        <v>0</v>
      </c>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row>
    <row r="67" s="74" customFormat="true" ht="14.9" hidden="true" customHeight="true" outlineLevel="0" collapsed="false">
      <c r="A67" s="74" t="n">
        <f aca="false">MONTH(B67)</f>
        <v>8</v>
      </c>
      <c r="B67" s="75" t="n">
        <v>44415</v>
      </c>
      <c r="C67" s="76" t="s">
        <v>63</v>
      </c>
      <c r="D67" s="77" t="str">
        <f aca="false">IFERROR(VLOOKUP(E:E,'Item Data Support Sheet'!A:O,7,0),"")</f>
        <v>BOTTLE PRINTED</v>
      </c>
      <c r="E67" s="108" t="s">
        <v>270</v>
      </c>
      <c r="F67" s="108"/>
      <c r="G67" s="77" t="s">
        <v>66</v>
      </c>
      <c r="H67" s="79" t="str">
        <f aca="false">IFERROR(VLOOKUP(E:E,'Item Data Support Sheet'!A:O,2,0),"")</f>
        <v>RPP 120 ML BOTTLE PRINTED</v>
      </c>
      <c r="I67" s="80" t="s">
        <v>271</v>
      </c>
      <c r="J67" s="80" t="s">
        <v>161</v>
      </c>
      <c r="K67" s="81" t="n">
        <v>4</v>
      </c>
      <c r="L67" s="82" t="n">
        <v>2550</v>
      </c>
      <c r="M67" s="83" t="n">
        <f aca="false">IFERROR(L67/K67,0)</f>
        <v>637.5</v>
      </c>
      <c r="N67" s="84" t="n">
        <f aca="false">+O67+Q67+T67+U67</f>
        <v>2538</v>
      </c>
      <c r="O67" s="85" t="n">
        <v>2520</v>
      </c>
      <c r="P67" s="86" t="n">
        <v>0</v>
      </c>
      <c r="Q67" s="87" t="n">
        <v>0</v>
      </c>
      <c r="R67" s="88" t="n">
        <v>11</v>
      </c>
      <c r="S67" s="88" t="n">
        <v>0</v>
      </c>
      <c r="T67" s="88" t="n">
        <v>18</v>
      </c>
      <c r="U67" s="88" t="n">
        <v>0</v>
      </c>
      <c r="V67" s="89" t="n">
        <v>6</v>
      </c>
      <c r="W67" s="90" t="n">
        <f aca="false">IFERROR(O67/V67,0)</f>
        <v>420</v>
      </c>
      <c r="X67" s="91" t="n">
        <f aca="false">O67/L67</f>
        <v>0.988235294117647</v>
      </c>
      <c r="Y67" s="92" t="str">
        <f aca="false">IFERROR(VLOOKUP(E:E,'Item Data Support Sheet'!A:J,6,0),0)</f>
        <v>FO004</v>
      </c>
      <c r="Z67" s="93" t="n">
        <f aca="false">IFERROR(VLOOKUP(E:E,'Item Data Support Sheet'!A:O,4,0),0)</f>
        <v>0</v>
      </c>
      <c r="AA67" s="93" t="n">
        <f aca="false">IFERROR(((N67)*(Z67/1000))+P67,0)</f>
        <v>0</v>
      </c>
      <c r="AB67" s="94" t="str">
        <f aca="false">IFERROR((O67*(Z67/1000)/(AA67))," ")</f>
        <v> </v>
      </c>
      <c r="AC67" s="95" t="n">
        <f aca="false">IFERROR((T67)/((T67)+O67),0)</f>
        <v>0.00709219858156028</v>
      </c>
      <c r="AD67" s="96" t="n">
        <f aca="false">IFERROR(Q67/(Q67+N67),0)</f>
        <v>0</v>
      </c>
      <c r="AE67" s="91" t="n">
        <f aca="false">(N67-T67)/N67</f>
        <v>0.99290780141844</v>
      </c>
      <c r="AF67" s="97" t="n">
        <f aca="false">BR67</f>
        <v>0.5</v>
      </c>
      <c r="AG67" s="98" t="n">
        <f aca="false">K67-AF67</f>
        <v>3.5</v>
      </c>
      <c r="AH67" s="99" t="n">
        <f aca="false">IFERROR(AG67/K67," ")</f>
        <v>0.875</v>
      </c>
      <c r="AI67" s="100" t="n">
        <f aca="false">IFERROR(O67/K67,0)</f>
        <v>630</v>
      </c>
      <c r="AJ67" s="101" t="n">
        <f aca="false">VLOOKUP(D67,'Standard Cycle time'!C:D,2,0)</f>
        <v>32.4</v>
      </c>
      <c r="AK67" s="101" t="n">
        <f aca="false">AG67*V67*3600/O67</f>
        <v>30</v>
      </c>
      <c r="AL67" s="102" t="n">
        <f aca="false">AJ67/AK67</f>
        <v>1.08</v>
      </c>
      <c r="AM67" s="99" t="n">
        <f aca="false">AE67*AL67*AH67</f>
        <v>0.938297872340425</v>
      </c>
      <c r="AN67" s="103" t="s">
        <v>272</v>
      </c>
      <c r="AO67" s="104"/>
      <c r="AP67" s="105" t="n">
        <v>30</v>
      </c>
      <c r="AQ67" s="105" t="n">
        <v>0</v>
      </c>
      <c r="AR67" s="105" t="n">
        <v>0</v>
      </c>
      <c r="AS67" s="105" t="n">
        <v>0</v>
      </c>
      <c r="AT67" s="105" t="n">
        <v>0</v>
      </c>
      <c r="AU67" s="105" t="n">
        <v>0</v>
      </c>
      <c r="AV67" s="105" t="n">
        <v>0</v>
      </c>
      <c r="AW67" s="105" t="n">
        <v>0</v>
      </c>
      <c r="AX67" s="105" t="n">
        <v>0</v>
      </c>
      <c r="AY67" s="105" t="n">
        <v>0</v>
      </c>
      <c r="AZ67" s="105" t="n">
        <v>0</v>
      </c>
      <c r="BA67" s="105" t="n">
        <v>0</v>
      </c>
      <c r="BB67" s="105" t="n">
        <v>0</v>
      </c>
      <c r="BC67" s="105" t="n">
        <v>0</v>
      </c>
      <c r="BD67" s="105" t="n">
        <v>0</v>
      </c>
      <c r="BE67" s="105" t="n">
        <v>0</v>
      </c>
      <c r="BF67" s="105" t="n">
        <v>0</v>
      </c>
      <c r="BG67" s="105" t="n">
        <v>0</v>
      </c>
      <c r="BH67" s="105" t="n">
        <v>0</v>
      </c>
      <c r="BI67" s="105" t="n">
        <v>0</v>
      </c>
      <c r="BJ67" s="105" t="n">
        <v>0</v>
      </c>
      <c r="BK67" s="105" t="n">
        <v>0</v>
      </c>
      <c r="BL67" s="105" t="n">
        <v>0</v>
      </c>
      <c r="BM67" s="105" t="n">
        <v>0</v>
      </c>
      <c r="BN67" s="105" t="n">
        <v>0</v>
      </c>
      <c r="BO67" s="105" t="n">
        <v>0</v>
      </c>
      <c r="BP67" s="105" t="n">
        <v>0</v>
      </c>
      <c r="BQ67" s="105" t="n">
        <v>0</v>
      </c>
      <c r="BR67" s="106" t="n">
        <f aca="false">SUM(AP67:BQ67)/60</f>
        <v>0.5</v>
      </c>
      <c r="BS67" s="106" t="n">
        <f aca="false">SUM(AP67:BR67)/60</f>
        <v>0.508333333333333</v>
      </c>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row>
    <row r="68" s="74" customFormat="true" ht="14.9" hidden="true" customHeight="true" outlineLevel="0" collapsed="false">
      <c r="A68" s="74" t="n">
        <f aca="false">MONTH(B68)</f>
        <v>8</v>
      </c>
      <c r="B68" s="75" t="n">
        <v>44415</v>
      </c>
      <c r="C68" s="76" t="s">
        <v>70</v>
      </c>
      <c r="D68" s="77" t="str">
        <f aca="false">IFERROR(VLOOKUP(E:E,'Item Data Support Sheet'!A:O,7,0),"")</f>
        <v>NIPPLE PUNCH</v>
      </c>
      <c r="E68" s="108" t="s">
        <v>60</v>
      </c>
      <c r="F68" s="80"/>
      <c r="G68" s="77" t="s">
        <v>54</v>
      </c>
      <c r="H68" s="79" t="str">
        <f aca="false">IFERROR(VLOOKUP(E:E,'Item Data Support Sheet'!A:O,2,0),"")</f>
        <v>NIPPLE S TYPE M SIZE PUNCHED</v>
      </c>
      <c r="I68" s="80" t="s">
        <v>273</v>
      </c>
      <c r="J68" s="80" t="s">
        <v>140</v>
      </c>
      <c r="K68" s="81" t="n">
        <v>8</v>
      </c>
      <c r="L68" s="82" t="n">
        <v>7036</v>
      </c>
      <c r="M68" s="83" t="n">
        <f aca="false">IFERROR(L68/K68,0)</f>
        <v>879.5</v>
      </c>
      <c r="N68" s="84" t="n">
        <f aca="false">+O68+Q68+T68+U68</f>
        <v>6600</v>
      </c>
      <c r="O68" s="85" t="n">
        <f aca="false">2000+4600</f>
        <v>6600</v>
      </c>
      <c r="P68" s="86" t="n">
        <v>0</v>
      </c>
      <c r="Q68" s="87" t="n">
        <v>0</v>
      </c>
      <c r="R68" s="88" t="n">
        <v>0</v>
      </c>
      <c r="S68" s="88" t="n">
        <v>0</v>
      </c>
      <c r="T68" s="88" t="n">
        <v>0</v>
      </c>
      <c r="U68" s="88" t="n">
        <v>0</v>
      </c>
      <c r="V68" s="89" t="n">
        <v>1</v>
      </c>
      <c r="W68" s="90" t="n">
        <f aca="false">IFERROR(O68/V68,0)</f>
        <v>6600</v>
      </c>
      <c r="X68" s="91" t="n">
        <f aca="false">O68/L68</f>
        <v>0.938032973280273</v>
      </c>
      <c r="Y68" s="92" t="str">
        <f aca="false">IFERROR(VLOOKUP(E:E,'Item Data Support Sheet'!A:J,6,0),0)</f>
        <v>FO016</v>
      </c>
      <c r="Z68" s="93" t="n">
        <f aca="false">IFERROR(VLOOKUP(E:E,'Item Data Support Sheet'!A:O,4,0),0)</f>
        <v>0</v>
      </c>
      <c r="AA68" s="93" t="n">
        <f aca="false">IFERROR(((N68)*(Z68/1000))+P68,0)</f>
        <v>0</v>
      </c>
      <c r="AB68" s="94" t="str">
        <f aca="false">IFERROR((O68*(Z68/1000)/(AA68))," ")</f>
        <v> </v>
      </c>
      <c r="AC68" s="95" t="n">
        <f aca="false">IFERROR((T68)/((T68)+O68),0)</f>
        <v>0</v>
      </c>
      <c r="AD68" s="96" t="n">
        <f aca="false">IFERROR(Q68/(Q68+N68),0)</f>
        <v>0</v>
      </c>
      <c r="AE68" s="91" t="n">
        <f aca="false">(N68-T68)/N68</f>
        <v>1</v>
      </c>
      <c r="AF68" s="97" t="n">
        <f aca="false">BR68</f>
        <v>0.666666666666667</v>
      </c>
      <c r="AG68" s="98" t="n">
        <f aca="false">K68-AF68</f>
        <v>7.33333333333333</v>
      </c>
      <c r="AH68" s="99" t="n">
        <f aca="false">IFERROR(AG68/K68," ")</f>
        <v>0.916666666666667</v>
      </c>
      <c r="AI68" s="100" t="n">
        <f aca="false">IFERROR(O68/K68,0)</f>
        <v>825</v>
      </c>
      <c r="AJ68" s="101" t="n">
        <f aca="false">VLOOKUP(D68,'Standard Cycle time'!C:D,2,0)</f>
        <v>3.5</v>
      </c>
      <c r="AK68" s="101" t="n">
        <f aca="false">AG68*V68*3600/O68</f>
        <v>4</v>
      </c>
      <c r="AL68" s="102" t="n">
        <f aca="false">AJ68/AK68</f>
        <v>0.875</v>
      </c>
      <c r="AM68" s="99" t="n">
        <f aca="false">AE68*AL68*AH68</f>
        <v>0.802083333333333</v>
      </c>
      <c r="AN68" s="103" t="s">
        <v>274</v>
      </c>
      <c r="AO68" s="109" t="s">
        <v>275</v>
      </c>
      <c r="AP68" s="105" t="n">
        <v>40</v>
      </c>
      <c r="AQ68" s="105" t="n">
        <v>0</v>
      </c>
      <c r="AR68" s="105" t="n">
        <v>0</v>
      </c>
      <c r="AS68" s="105" t="n">
        <v>0</v>
      </c>
      <c r="AT68" s="105" t="n">
        <v>0</v>
      </c>
      <c r="AU68" s="105" t="n">
        <v>0</v>
      </c>
      <c r="AV68" s="105" t="n">
        <v>0</v>
      </c>
      <c r="AW68" s="105" t="n">
        <v>0</v>
      </c>
      <c r="AX68" s="105" t="n">
        <v>0</v>
      </c>
      <c r="AY68" s="105" t="n">
        <v>0</v>
      </c>
      <c r="AZ68" s="105" t="n">
        <v>0</v>
      </c>
      <c r="BA68" s="105" t="n">
        <v>0</v>
      </c>
      <c r="BB68" s="105" t="n">
        <v>0</v>
      </c>
      <c r="BC68" s="105" t="n">
        <v>0</v>
      </c>
      <c r="BD68" s="105" t="n">
        <v>0</v>
      </c>
      <c r="BE68" s="105" t="n">
        <v>0</v>
      </c>
      <c r="BF68" s="105" t="n">
        <v>0</v>
      </c>
      <c r="BG68" s="105" t="n">
        <v>0</v>
      </c>
      <c r="BH68" s="105" t="n">
        <v>0</v>
      </c>
      <c r="BI68" s="105" t="n">
        <v>0</v>
      </c>
      <c r="BJ68" s="105" t="n">
        <v>0</v>
      </c>
      <c r="BK68" s="105" t="n">
        <v>0</v>
      </c>
      <c r="BL68" s="105" t="n">
        <v>0</v>
      </c>
      <c r="BM68" s="105" t="n">
        <v>0</v>
      </c>
      <c r="BN68" s="105" t="n">
        <v>0</v>
      </c>
      <c r="BO68" s="105" t="n">
        <v>0</v>
      </c>
      <c r="BP68" s="105" t="n">
        <v>0</v>
      </c>
      <c r="BQ68" s="105" t="n">
        <v>0</v>
      </c>
      <c r="BR68" s="106" t="n">
        <f aca="false">SUM(AP68:BQ68)/60</f>
        <v>0.666666666666667</v>
      </c>
      <c r="BS68" s="106" t="n">
        <f aca="false">SUM(AP68:BR68)/60</f>
        <v>0.677777777777778</v>
      </c>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row>
    <row r="69" s="74" customFormat="true" ht="14.9" hidden="true" customHeight="true" outlineLevel="0" collapsed="false">
      <c r="A69" s="74" t="n">
        <f aca="false">MONTH(B69)</f>
        <v>8</v>
      </c>
      <c r="B69" s="75" t="n">
        <v>44415</v>
      </c>
      <c r="C69" s="76" t="s">
        <v>70</v>
      </c>
      <c r="D69" s="77" t="str">
        <f aca="false">IFERROR(VLOOKUP(E:E,'Item Data Support Sheet'!A:O,7,0),"")</f>
        <v>CAP MOLDED</v>
      </c>
      <c r="E69" s="108" t="s">
        <v>261</v>
      </c>
      <c r="F69" s="80"/>
      <c r="G69" s="77" t="s">
        <v>200</v>
      </c>
      <c r="H69" s="79" t="str">
        <f aca="false">IFERROR(VLOOKUP(E:E,'Item Data Support Sheet'!A:O,2,0),"")</f>
        <v>CAP S TYPE MOLDED PINK</v>
      </c>
      <c r="I69" s="80" t="s">
        <v>262</v>
      </c>
      <c r="J69" s="80" t="s">
        <v>140</v>
      </c>
      <c r="K69" s="81" t="n">
        <v>3</v>
      </c>
      <c r="L69" s="82" t="n">
        <v>1500</v>
      </c>
      <c r="M69" s="83" t="n">
        <f aca="false">IFERROR(L69/K69,0)</f>
        <v>500</v>
      </c>
      <c r="N69" s="84" t="n">
        <f aca="false">+O69+Q69+T69+U69</f>
        <v>1500</v>
      </c>
      <c r="O69" s="85" t="n">
        <v>1500</v>
      </c>
      <c r="P69" s="86" t="n">
        <v>0</v>
      </c>
      <c r="Q69" s="87" t="n">
        <v>0</v>
      </c>
      <c r="R69" s="88" t="n">
        <v>0</v>
      </c>
      <c r="S69" s="88" t="n">
        <v>0</v>
      </c>
      <c r="T69" s="88" t="n">
        <v>0</v>
      </c>
      <c r="U69" s="88" t="n">
        <v>0</v>
      </c>
      <c r="V69" s="89" t="n">
        <v>1</v>
      </c>
      <c r="W69" s="90" t="n">
        <f aca="false">IFERROR(O69/V69,0)</f>
        <v>1500</v>
      </c>
      <c r="X69" s="91" t="n">
        <f aca="false">O69/L69</f>
        <v>1</v>
      </c>
      <c r="Y69" s="92" t="str">
        <f aca="false">IFERROR(VLOOKUP(E:E,'Item Data Support Sheet'!A:J,6,0),0)</f>
        <v>RM000123</v>
      </c>
      <c r="Z69" s="93" t="n">
        <f aca="false">IFERROR(VLOOKUP(E:E,'Item Data Support Sheet'!A:O,4,0),0)</f>
        <v>7.3</v>
      </c>
      <c r="AA69" s="93" t="n">
        <f aca="false">IFERROR(((N69)*(Z69/1000))+P69,0)</f>
        <v>10.95</v>
      </c>
      <c r="AB69" s="94" t="n">
        <f aca="false">IFERROR((O69*(Z69/1000)/(AA69))," ")</f>
        <v>1</v>
      </c>
      <c r="AC69" s="95" t="n">
        <f aca="false">IFERROR((T69)/((T69)+O69),0)</f>
        <v>0</v>
      </c>
      <c r="AD69" s="96" t="n">
        <f aca="false">IFERROR(Q69/(Q69+N69),0)</f>
        <v>0</v>
      </c>
      <c r="AE69" s="91" t="n">
        <f aca="false">(N69-T69)/N69</f>
        <v>1</v>
      </c>
      <c r="AF69" s="97" t="n">
        <f aca="false">BR69</f>
        <v>0</v>
      </c>
      <c r="AG69" s="98" t="n">
        <f aca="false">K69-AF69</f>
        <v>3</v>
      </c>
      <c r="AH69" s="99" t="n">
        <f aca="false">IFERROR(AG69/K69," ")</f>
        <v>1</v>
      </c>
      <c r="AI69" s="100" t="n">
        <f aca="false">IFERROR(O69/K69,0)</f>
        <v>500</v>
      </c>
      <c r="AJ69" s="101" t="n">
        <f aca="false">VLOOKUP(D69,'Standard Cycle time'!C:D,2,0)</f>
        <v>6</v>
      </c>
      <c r="AK69" s="101" t="n">
        <f aca="false">AG69*V69*3600/O69</f>
        <v>7.2</v>
      </c>
      <c r="AL69" s="102" t="n">
        <f aca="false">AJ69/AK69</f>
        <v>0.833333333333333</v>
      </c>
      <c r="AM69" s="99" t="n">
        <f aca="false">AE69*AL69*AH69</f>
        <v>0.833333333333333</v>
      </c>
      <c r="AN69" s="103" t="n">
        <v>2688</v>
      </c>
      <c r="AO69" s="104"/>
      <c r="AP69" s="105" t="n">
        <v>0</v>
      </c>
      <c r="AQ69" s="105" t="n">
        <v>0</v>
      </c>
      <c r="AR69" s="105" t="n">
        <v>0</v>
      </c>
      <c r="AS69" s="105" t="n">
        <v>0</v>
      </c>
      <c r="AT69" s="105" t="n">
        <v>0</v>
      </c>
      <c r="AU69" s="105" t="n">
        <v>0</v>
      </c>
      <c r="AV69" s="105" t="n">
        <v>0</v>
      </c>
      <c r="AW69" s="105" t="n">
        <v>0</v>
      </c>
      <c r="AX69" s="105" t="n">
        <v>0</v>
      </c>
      <c r="AY69" s="105" t="n">
        <v>0</v>
      </c>
      <c r="AZ69" s="105" t="n">
        <v>0</v>
      </c>
      <c r="BA69" s="105" t="n">
        <v>0</v>
      </c>
      <c r="BB69" s="105" t="n">
        <v>0</v>
      </c>
      <c r="BC69" s="105" t="n">
        <v>0</v>
      </c>
      <c r="BD69" s="105" t="n">
        <v>0</v>
      </c>
      <c r="BE69" s="105" t="n">
        <v>0</v>
      </c>
      <c r="BF69" s="105" t="n">
        <v>0</v>
      </c>
      <c r="BG69" s="105" t="n">
        <v>0</v>
      </c>
      <c r="BH69" s="105" t="n">
        <v>0</v>
      </c>
      <c r="BI69" s="105" t="n">
        <v>0</v>
      </c>
      <c r="BJ69" s="105" t="n">
        <v>0</v>
      </c>
      <c r="BK69" s="105" t="n">
        <v>0</v>
      </c>
      <c r="BL69" s="105" t="n">
        <v>0</v>
      </c>
      <c r="BM69" s="105" t="n">
        <v>0</v>
      </c>
      <c r="BN69" s="105" t="n">
        <v>0</v>
      </c>
      <c r="BO69" s="105" t="n">
        <v>0</v>
      </c>
      <c r="BP69" s="105" t="n">
        <v>0</v>
      </c>
      <c r="BQ69" s="105" t="n">
        <v>0</v>
      </c>
      <c r="BR69" s="106" t="n">
        <f aca="false">SUM(AP69:BQ69)/60</f>
        <v>0</v>
      </c>
      <c r="BS69" s="106" t="n">
        <f aca="false">SUM(AP69:BR69)/60</f>
        <v>0</v>
      </c>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row>
    <row r="70" s="74" customFormat="true" ht="14.9" hidden="true" customHeight="true" outlineLevel="0" collapsed="false">
      <c r="A70" s="74" t="n">
        <f aca="false">MONTH(B70)</f>
        <v>8</v>
      </c>
      <c r="B70" s="75" t="n">
        <v>44415</v>
      </c>
      <c r="C70" s="76" t="s">
        <v>70</v>
      </c>
      <c r="D70" s="77" t="str">
        <f aca="false">IFERROR(VLOOKUP(E:E,'Item Data Support Sheet'!A:O,7,0),"")</f>
        <v>CAP MOLDED</v>
      </c>
      <c r="E70" s="108" t="s">
        <v>261</v>
      </c>
      <c r="F70" s="80"/>
      <c r="G70" s="77" t="s">
        <v>200</v>
      </c>
      <c r="H70" s="79" t="str">
        <f aca="false">IFERROR(VLOOKUP(E:E,'Item Data Support Sheet'!A:O,2,0),"")</f>
        <v>CAP S TYPE MOLDED PINK</v>
      </c>
      <c r="I70" s="80" t="s">
        <v>276</v>
      </c>
      <c r="J70" s="80" t="s">
        <v>140</v>
      </c>
      <c r="K70" s="81" t="n">
        <v>5</v>
      </c>
      <c r="L70" s="82" t="n">
        <f aca="false">4137-1500</f>
        <v>2637</v>
      </c>
      <c r="M70" s="83" t="n">
        <f aca="false">IFERROR(L70/K70,0)</f>
        <v>527.4</v>
      </c>
      <c r="N70" s="84" t="n">
        <f aca="false">+O70+Q70+T70+U70</f>
        <v>3000</v>
      </c>
      <c r="O70" s="85" t="n">
        <v>3000</v>
      </c>
      <c r="P70" s="86" t="n">
        <v>0</v>
      </c>
      <c r="Q70" s="87" t="n">
        <v>0</v>
      </c>
      <c r="R70" s="88" t="n">
        <v>0</v>
      </c>
      <c r="S70" s="88" t="n">
        <v>0</v>
      </c>
      <c r="T70" s="88" t="n">
        <v>0</v>
      </c>
      <c r="U70" s="88" t="n">
        <v>0</v>
      </c>
      <c r="V70" s="89" t="n">
        <v>1</v>
      </c>
      <c r="W70" s="90" t="n">
        <f aca="false">IFERROR(O70/V70,0)</f>
        <v>3000</v>
      </c>
      <c r="X70" s="91" t="n">
        <f aca="false">O70/L70</f>
        <v>1.13765642775882</v>
      </c>
      <c r="Y70" s="92" t="str">
        <f aca="false">IFERROR(VLOOKUP(E:E,'Item Data Support Sheet'!A:J,6,0),0)</f>
        <v>RM000123</v>
      </c>
      <c r="Z70" s="93" t="n">
        <f aca="false">IFERROR(VLOOKUP(E:E,'Item Data Support Sheet'!A:O,4,0),0)</f>
        <v>7.3</v>
      </c>
      <c r="AA70" s="93" t="n">
        <f aca="false">IFERROR(((N70)*(Z70/1000))+P70,0)</f>
        <v>21.9</v>
      </c>
      <c r="AB70" s="94" t="n">
        <f aca="false">IFERROR((O70*(Z70/1000)/(AA70))," ")</f>
        <v>1</v>
      </c>
      <c r="AC70" s="95" t="n">
        <f aca="false">IFERROR((T70)/((T70)+O70),0)</f>
        <v>0</v>
      </c>
      <c r="AD70" s="96" t="n">
        <f aca="false">IFERROR(Q70/(Q70+N70),0)</f>
        <v>0</v>
      </c>
      <c r="AE70" s="91" t="n">
        <f aca="false">(N70-T70)/N70</f>
        <v>1</v>
      </c>
      <c r="AF70" s="97" t="n">
        <f aca="false">BR70</f>
        <v>0</v>
      </c>
      <c r="AG70" s="98" t="n">
        <f aca="false">K70-AF70</f>
        <v>5</v>
      </c>
      <c r="AH70" s="99" t="n">
        <f aca="false">IFERROR(AG70/K70," ")</f>
        <v>1</v>
      </c>
      <c r="AI70" s="100" t="n">
        <f aca="false">IFERROR(O70/K70,0)</f>
        <v>600</v>
      </c>
      <c r="AJ70" s="101" t="n">
        <f aca="false">VLOOKUP(D70,'Standard Cycle time'!C:D,2,0)</f>
        <v>6</v>
      </c>
      <c r="AK70" s="101" t="n">
        <f aca="false">AG70*V70*3600/O70</f>
        <v>6</v>
      </c>
      <c r="AL70" s="102" t="n">
        <f aca="false">AJ70/AK70</f>
        <v>1</v>
      </c>
      <c r="AM70" s="99" t="n">
        <f aca="false">AE70*AL70*AH70</f>
        <v>1</v>
      </c>
      <c r="AN70" s="103" t="n">
        <v>2689</v>
      </c>
      <c r="AO70" s="104"/>
      <c r="AP70" s="105" t="n">
        <v>0</v>
      </c>
      <c r="AQ70" s="105" t="n">
        <v>0</v>
      </c>
      <c r="AR70" s="105" t="n">
        <v>0</v>
      </c>
      <c r="AS70" s="105" t="n">
        <v>0</v>
      </c>
      <c r="AT70" s="105" t="n">
        <v>0</v>
      </c>
      <c r="AU70" s="105" t="n">
        <v>0</v>
      </c>
      <c r="AV70" s="105" t="n">
        <v>0</v>
      </c>
      <c r="AW70" s="105" t="n">
        <v>0</v>
      </c>
      <c r="AX70" s="105" t="n">
        <v>0</v>
      </c>
      <c r="AY70" s="105" t="n">
        <v>0</v>
      </c>
      <c r="AZ70" s="105" t="n">
        <v>0</v>
      </c>
      <c r="BA70" s="105" t="n">
        <v>0</v>
      </c>
      <c r="BB70" s="105" t="n">
        <v>0</v>
      </c>
      <c r="BC70" s="105" t="n">
        <v>0</v>
      </c>
      <c r="BD70" s="105" t="n">
        <v>0</v>
      </c>
      <c r="BE70" s="105" t="n">
        <v>0</v>
      </c>
      <c r="BF70" s="105" t="n">
        <v>0</v>
      </c>
      <c r="BG70" s="105" t="n">
        <v>0</v>
      </c>
      <c r="BH70" s="105" t="n">
        <v>0</v>
      </c>
      <c r="BI70" s="105" t="n">
        <v>0</v>
      </c>
      <c r="BJ70" s="105" t="n">
        <v>0</v>
      </c>
      <c r="BK70" s="105" t="n">
        <v>0</v>
      </c>
      <c r="BL70" s="105" t="n">
        <v>0</v>
      </c>
      <c r="BM70" s="105" t="n">
        <v>0</v>
      </c>
      <c r="BN70" s="105" t="n">
        <v>0</v>
      </c>
      <c r="BO70" s="105" t="n">
        <v>0</v>
      </c>
      <c r="BP70" s="105" t="n">
        <v>0</v>
      </c>
      <c r="BQ70" s="105" t="n">
        <v>0</v>
      </c>
      <c r="BR70" s="106" t="n">
        <f aca="false">SUM(AP70:BQ70)/60</f>
        <v>0</v>
      </c>
      <c r="BS70" s="106" t="n">
        <f aca="false">SUM(AP70:BR70)/60</f>
        <v>0</v>
      </c>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row>
    <row r="71" s="74" customFormat="true" ht="14.9" hidden="true" customHeight="true" outlineLevel="0" collapsed="false">
      <c r="A71" s="74" t="n">
        <f aca="false">MONTH(B71)</f>
        <v>8</v>
      </c>
      <c r="B71" s="75" t="n">
        <v>44415</v>
      </c>
      <c r="C71" s="76" t="s">
        <v>70</v>
      </c>
      <c r="D71" s="77" t="str">
        <f aca="false">IFERROR(VLOOKUP(E:E,'Item Data Support Sheet'!A:O,7,0),"")</f>
        <v>NIPPLE MOLDED</v>
      </c>
      <c r="E71" s="108" t="s">
        <v>244</v>
      </c>
      <c r="F71" s="80" t="s">
        <v>137</v>
      </c>
      <c r="G71" s="77" t="s">
        <v>138</v>
      </c>
      <c r="H71" s="79" t="str">
        <f aca="false">IFERROR(VLOOKUP(E:E,'Item Data Support Sheet'!A:O,2,0),"")</f>
        <v>NIPPLE S TYPE S SIZE INJECTION</v>
      </c>
      <c r="I71" s="80" t="s">
        <v>277</v>
      </c>
      <c r="J71" s="80" t="s">
        <v>140</v>
      </c>
      <c r="K71" s="81" t="n">
        <v>8</v>
      </c>
      <c r="L71" s="82" t="n">
        <v>4815</v>
      </c>
      <c r="M71" s="83" t="n">
        <f aca="false">IFERROR(L71/K71,0)</f>
        <v>601.875</v>
      </c>
      <c r="N71" s="84" t="n">
        <f aca="false">+O71+Q71+T71+U71</f>
        <v>5065</v>
      </c>
      <c r="O71" s="85" t="n">
        <v>5000</v>
      </c>
      <c r="P71" s="86" t="n">
        <v>0</v>
      </c>
      <c r="Q71" s="87" t="n">
        <v>21</v>
      </c>
      <c r="R71" s="88" t="n">
        <v>0</v>
      </c>
      <c r="S71" s="88" t="n">
        <v>0</v>
      </c>
      <c r="T71" s="88" t="n">
        <v>44</v>
      </c>
      <c r="U71" s="88" t="n">
        <v>0</v>
      </c>
      <c r="V71" s="89" t="n">
        <v>1</v>
      </c>
      <c r="W71" s="90" t="n">
        <f aca="false">IFERROR(O71/V71,0)</f>
        <v>5000</v>
      </c>
      <c r="X71" s="91" t="n">
        <f aca="false">O71/L71</f>
        <v>1.03842159916926</v>
      </c>
      <c r="Y71" s="92" t="str">
        <f aca="false">IFERROR(VLOOKUP(E:E,'Item Data Support Sheet'!A:J,6,0),0)</f>
        <v>Silicon</v>
      </c>
      <c r="Z71" s="93" t="n">
        <f aca="false">IFERROR(VLOOKUP(E:E,'Item Data Support Sheet'!A:O,4,0),0)</f>
        <v>6.8</v>
      </c>
      <c r="AA71" s="93" t="n">
        <f aca="false">IFERROR(((N71)*(Z71/1000))+P71,0)</f>
        <v>34.442</v>
      </c>
      <c r="AB71" s="94" t="n">
        <f aca="false">IFERROR((O71*(Z71/1000)/(AA71))," ")</f>
        <v>0.987166831194472</v>
      </c>
      <c r="AC71" s="95" t="n">
        <f aca="false">IFERROR((T71)/((T71)+O71),0)</f>
        <v>0.00872323552735924</v>
      </c>
      <c r="AD71" s="96" t="n">
        <f aca="false">IFERROR(Q71/(Q71+N71),0)</f>
        <v>0.00412898151789225</v>
      </c>
      <c r="AE71" s="91" t="n">
        <f aca="false">(N71-T71)/N71</f>
        <v>0.991312931885489</v>
      </c>
      <c r="AF71" s="97" t="n">
        <f aca="false">BR71</f>
        <v>0.5</v>
      </c>
      <c r="AG71" s="98" t="n">
        <f aca="false">K71-AF71</f>
        <v>7.5</v>
      </c>
      <c r="AH71" s="99" t="n">
        <f aca="false">IFERROR(AG71/K71," ")</f>
        <v>0.9375</v>
      </c>
      <c r="AI71" s="100" t="n">
        <f aca="false">IFERROR(O71/K71,0)</f>
        <v>625</v>
      </c>
      <c r="AJ71" s="101" t="n">
        <f aca="false">VLOOKUP(D71,'Standard Cycle time'!C:D,2,0)</f>
        <v>5.25</v>
      </c>
      <c r="AK71" s="101" t="n">
        <f aca="false">AG71*V71*3600/O71</f>
        <v>5.4</v>
      </c>
      <c r="AL71" s="102" t="n">
        <f aca="false">AJ71/AK71</f>
        <v>0.972222222222222</v>
      </c>
      <c r="AM71" s="99" t="n">
        <f aca="false">AE71*AL71*AH71</f>
        <v>0.903540432708128</v>
      </c>
      <c r="AN71" s="103" t="n">
        <v>2282</v>
      </c>
      <c r="AO71" s="104"/>
      <c r="AP71" s="105" t="n">
        <v>0</v>
      </c>
      <c r="AQ71" s="105" t="n">
        <v>0</v>
      </c>
      <c r="AR71" s="105" t="n">
        <v>0</v>
      </c>
      <c r="AS71" s="105" t="n">
        <v>0</v>
      </c>
      <c r="AT71" s="105" t="n">
        <v>0</v>
      </c>
      <c r="AU71" s="105" t="n">
        <v>30</v>
      </c>
      <c r="AV71" s="105" t="n">
        <v>0</v>
      </c>
      <c r="AW71" s="105" t="n">
        <v>0</v>
      </c>
      <c r="AX71" s="105" t="n">
        <v>0</v>
      </c>
      <c r="AY71" s="105" t="n">
        <v>0</v>
      </c>
      <c r="AZ71" s="105" t="n">
        <v>0</v>
      </c>
      <c r="BA71" s="105" t="n">
        <v>0</v>
      </c>
      <c r="BB71" s="105" t="n">
        <v>0</v>
      </c>
      <c r="BC71" s="105" t="n">
        <v>0</v>
      </c>
      <c r="BD71" s="105" t="n">
        <v>0</v>
      </c>
      <c r="BE71" s="105" t="n">
        <v>0</v>
      </c>
      <c r="BF71" s="105" t="n">
        <v>0</v>
      </c>
      <c r="BG71" s="105" t="n">
        <v>0</v>
      </c>
      <c r="BH71" s="105" t="n">
        <v>0</v>
      </c>
      <c r="BI71" s="105" t="n">
        <v>0</v>
      </c>
      <c r="BJ71" s="105" t="n">
        <v>0</v>
      </c>
      <c r="BK71" s="105" t="n">
        <v>0</v>
      </c>
      <c r="BL71" s="105" t="n">
        <v>0</v>
      </c>
      <c r="BM71" s="105" t="n">
        <v>0</v>
      </c>
      <c r="BN71" s="105" t="n">
        <v>0</v>
      </c>
      <c r="BO71" s="105" t="n">
        <v>0</v>
      </c>
      <c r="BP71" s="105" t="n">
        <v>0</v>
      </c>
      <c r="BQ71" s="105" t="n">
        <v>0</v>
      </c>
      <c r="BR71" s="106" t="n">
        <f aca="false">SUM(AP71:BQ71)/60</f>
        <v>0.5</v>
      </c>
      <c r="BS71" s="106" t="n">
        <f aca="false">SUM(AP71:BR71)/60</f>
        <v>0.508333333333333</v>
      </c>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row>
    <row r="72" s="74" customFormat="true" ht="14.9" hidden="true" customHeight="true" outlineLevel="0" collapsed="false">
      <c r="A72" s="74" t="n">
        <f aca="false">MONTH(B72)</f>
        <v>8</v>
      </c>
      <c r="B72" s="75" t="n">
        <v>44415</v>
      </c>
      <c r="C72" s="76" t="s">
        <v>70</v>
      </c>
      <c r="D72" s="77" t="str">
        <f aca="false">IFERROR(VLOOKUP(E:E,'Item Data Support Sheet'!A:O,7,0),"")</f>
        <v>BOTTLE MOLDED</v>
      </c>
      <c r="E72" s="108" t="s">
        <v>235</v>
      </c>
      <c r="F72" s="80" t="s">
        <v>216</v>
      </c>
      <c r="G72" s="77" t="s">
        <v>74</v>
      </c>
      <c r="H72" s="79" t="str">
        <f aca="false">IFERROR(VLOOKUP(E:E,'Item Data Support Sheet'!A:O,2,0),"")</f>
        <v>KPP 200 ML BOTTLE MOLDED</v>
      </c>
      <c r="I72" s="80" t="s">
        <v>278</v>
      </c>
      <c r="J72" s="80" t="s">
        <v>140</v>
      </c>
      <c r="K72" s="81" t="n">
        <v>8</v>
      </c>
      <c r="L72" s="82" t="n">
        <v>2574</v>
      </c>
      <c r="M72" s="83" t="n">
        <f aca="false">IFERROR(L72/K72,0)</f>
        <v>321.75</v>
      </c>
      <c r="N72" s="84" t="n">
        <f aca="false">+O72+Q72+T72+U72</f>
        <v>3114</v>
      </c>
      <c r="O72" s="85" t="n">
        <f aca="false">28*108</f>
        <v>3024</v>
      </c>
      <c r="P72" s="86" t="n">
        <v>0</v>
      </c>
      <c r="Q72" s="87" t="n">
        <v>30</v>
      </c>
      <c r="R72" s="88" t="n">
        <v>0</v>
      </c>
      <c r="S72" s="88" t="n">
        <v>0</v>
      </c>
      <c r="T72" s="88" t="n">
        <v>60</v>
      </c>
      <c r="U72" s="88" t="n">
        <v>0</v>
      </c>
      <c r="V72" s="89" t="n">
        <v>1</v>
      </c>
      <c r="W72" s="90" t="n">
        <f aca="false">IFERROR(O72/V72,0)</f>
        <v>3024</v>
      </c>
      <c r="X72" s="91" t="n">
        <f aca="false">O72/L72</f>
        <v>1.17482517482517</v>
      </c>
      <c r="Y72" s="92" t="str">
        <f aca="false">IFERROR(VLOOKUP(E:E,'Item Data Support Sheet'!A:J,6,0),0)</f>
        <v>HMC</v>
      </c>
      <c r="Z72" s="93" t="n">
        <f aca="false">IFERROR(VLOOKUP(E:E,'Item Data Support Sheet'!A:O,4,0),0)</f>
        <v>28.1</v>
      </c>
      <c r="AA72" s="93" t="n">
        <f aca="false">IFERROR(((N72)*(Z72/1000))+P72,0)</f>
        <v>87.5034</v>
      </c>
      <c r="AB72" s="94" t="n">
        <f aca="false">IFERROR((O72*(Z72/1000)/(AA72))," ")</f>
        <v>0.971098265895954</v>
      </c>
      <c r="AC72" s="95" t="n">
        <f aca="false">IFERROR((T72)/((T72)+O72),0)</f>
        <v>0.0194552529182879</v>
      </c>
      <c r="AD72" s="96" t="n">
        <f aca="false">IFERROR(Q72/(Q72+N72),0)</f>
        <v>0.00954198473282443</v>
      </c>
      <c r="AE72" s="91" t="n">
        <f aca="false">(N72-T72)/N72</f>
        <v>0.980732177263969</v>
      </c>
      <c r="AF72" s="97" t="n">
        <f aca="false">BR72</f>
        <v>0</v>
      </c>
      <c r="AG72" s="98" t="n">
        <f aca="false">K72-AF72</f>
        <v>8</v>
      </c>
      <c r="AH72" s="99" t="n">
        <f aca="false">IFERROR(AG72/K72," ")</f>
        <v>1</v>
      </c>
      <c r="AI72" s="100" t="n">
        <f aca="false">IFERROR(O72/K72,0)</f>
        <v>378</v>
      </c>
      <c r="AJ72" s="101" t="n">
        <f aca="false">VLOOKUP(D72,'Standard Cycle time'!C:D,2,0)</f>
        <v>9</v>
      </c>
      <c r="AK72" s="101" t="n">
        <f aca="false">AG72*V72*3600/O72</f>
        <v>9.52380952380952</v>
      </c>
      <c r="AL72" s="102" t="n">
        <f aca="false">AJ72/AK72</f>
        <v>0.945</v>
      </c>
      <c r="AM72" s="99" t="n">
        <f aca="false">AE72*AL72*AH72</f>
        <v>0.926791907514451</v>
      </c>
      <c r="AN72" s="103" t="n">
        <v>2283</v>
      </c>
      <c r="AO72" s="104"/>
      <c r="AP72" s="105" t="n">
        <v>0</v>
      </c>
      <c r="AQ72" s="105" t="n">
        <v>0</v>
      </c>
      <c r="AR72" s="105" t="n">
        <v>0</v>
      </c>
      <c r="AS72" s="105" t="n">
        <v>0</v>
      </c>
      <c r="AT72" s="105" t="n">
        <v>0</v>
      </c>
      <c r="AU72" s="105" t="n">
        <v>0</v>
      </c>
      <c r="AV72" s="105" t="n">
        <v>0</v>
      </c>
      <c r="AW72" s="105" t="n">
        <v>0</v>
      </c>
      <c r="AX72" s="105" t="n">
        <v>0</v>
      </c>
      <c r="AY72" s="105" t="n">
        <v>0</v>
      </c>
      <c r="AZ72" s="105" t="n">
        <v>0</v>
      </c>
      <c r="BA72" s="105" t="n">
        <v>0</v>
      </c>
      <c r="BB72" s="105" t="n">
        <v>0</v>
      </c>
      <c r="BC72" s="105" t="n">
        <v>0</v>
      </c>
      <c r="BD72" s="105" t="n">
        <v>0</v>
      </c>
      <c r="BE72" s="105" t="n">
        <v>0</v>
      </c>
      <c r="BF72" s="105" t="n">
        <v>0</v>
      </c>
      <c r="BG72" s="105" t="n">
        <v>0</v>
      </c>
      <c r="BH72" s="105" t="n">
        <v>0</v>
      </c>
      <c r="BI72" s="105" t="n">
        <v>0</v>
      </c>
      <c r="BJ72" s="105" t="n">
        <v>0</v>
      </c>
      <c r="BK72" s="105" t="n">
        <v>0</v>
      </c>
      <c r="BL72" s="105" t="n">
        <v>0</v>
      </c>
      <c r="BM72" s="105" t="n">
        <v>0</v>
      </c>
      <c r="BN72" s="105" t="n">
        <v>0</v>
      </c>
      <c r="BO72" s="105" t="n">
        <v>0</v>
      </c>
      <c r="BP72" s="105" t="n">
        <v>0</v>
      </c>
      <c r="BQ72" s="105" t="n">
        <v>0</v>
      </c>
      <c r="BR72" s="106" t="n">
        <f aca="false">SUM(AP72:BQ72)/60</f>
        <v>0</v>
      </c>
      <c r="BS72" s="106" t="n">
        <f aca="false">SUM(AP72:BR72)/60</f>
        <v>0</v>
      </c>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row>
    <row r="73" s="74" customFormat="true" ht="14.9" hidden="true" customHeight="true" outlineLevel="0" collapsed="false">
      <c r="A73" s="74" t="n">
        <f aca="false">MONTH(B73)</f>
        <v>8</v>
      </c>
      <c r="B73" s="75" t="n">
        <v>44415</v>
      </c>
      <c r="C73" s="76" t="s">
        <v>152</v>
      </c>
      <c r="D73" s="77" t="str">
        <f aca="false">IFERROR(VLOOKUP(E:E,'Item Data Support Sheet'!A:O,7,0),"")</f>
        <v>NIPPLE MOLDED</v>
      </c>
      <c r="E73" s="108" t="s">
        <v>244</v>
      </c>
      <c r="F73" s="80" t="s">
        <v>137</v>
      </c>
      <c r="G73" s="77" t="s">
        <v>138</v>
      </c>
      <c r="H73" s="79" t="str">
        <f aca="false">IFERROR(VLOOKUP(E:E,'Item Data Support Sheet'!A:O,2,0),"")</f>
        <v>NIPPLE S TYPE S SIZE INJECTION</v>
      </c>
      <c r="I73" s="80" t="s">
        <v>279</v>
      </c>
      <c r="J73" s="80" t="s">
        <v>148</v>
      </c>
      <c r="K73" s="81" t="n">
        <v>8</v>
      </c>
      <c r="L73" s="82" t="n">
        <v>4815</v>
      </c>
      <c r="M73" s="83" t="n">
        <f aca="false">IFERROR(L73/K73,0)</f>
        <v>601.875</v>
      </c>
      <c r="N73" s="84" t="n">
        <f aca="false">+O73+Q73+T73+U73</f>
        <v>4678</v>
      </c>
      <c r="O73" s="85" t="n">
        <v>4600</v>
      </c>
      <c r="P73" s="86" t="n">
        <v>0.58</v>
      </c>
      <c r="Q73" s="87" t="n">
        <v>30</v>
      </c>
      <c r="R73" s="88" t="n">
        <v>0</v>
      </c>
      <c r="S73" s="88" t="n">
        <v>0</v>
      </c>
      <c r="T73" s="88" t="n">
        <v>40</v>
      </c>
      <c r="U73" s="88" t="n">
        <v>8</v>
      </c>
      <c r="V73" s="89" t="n">
        <v>1</v>
      </c>
      <c r="W73" s="90" t="n">
        <f aca="false">IFERROR(O73/V73,0)</f>
        <v>4600</v>
      </c>
      <c r="X73" s="91" t="n">
        <f aca="false">O73/L73</f>
        <v>0.955347871235722</v>
      </c>
      <c r="Y73" s="92" t="str">
        <f aca="false">IFERROR(VLOOKUP(E:E,'Item Data Support Sheet'!A:J,6,0),0)</f>
        <v>Silicon</v>
      </c>
      <c r="Z73" s="93" t="n">
        <f aca="false">IFERROR(VLOOKUP(E:E,'Item Data Support Sheet'!A:O,4,0),0)</f>
        <v>6.8</v>
      </c>
      <c r="AA73" s="93" t="n">
        <f aca="false">IFERROR(((N73)*(Z73/1000))+P73,0)</f>
        <v>32.3904</v>
      </c>
      <c r="AB73" s="94" t="n">
        <f aca="false">IFERROR((O73*(Z73/1000)/(AA73))," ")</f>
        <v>0.96571823750247</v>
      </c>
      <c r="AC73" s="95" t="n">
        <f aca="false">IFERROR((T73)/((T73)+O73),0)</f>
        <v>0.00862068965517241</v>
      </c>
      <c r="AD73" s="96" t="n">
        <f aca="false">IFERROR(Q73/(Q73+N73),0)</f>
        <v>0.00637213254035684</v>
      </c>
      <c r="AE73" s="91" t="n">
        <f aca="false">(N73-T73)/N73</f>
        <v>0.991449337323643</v>
      </c>
      <c r="AF73" s="97" t="n">
        <f aca="false">BR73</f>
        <v>1.5</v>
      </c>
      <c r="AG73" s="98" t="n">
        <f aca="false">K73-AF73</f>
        <v>6.5</v>
      </c>
      <c r="AH73" s="99" t="n">
        <f aca="false">IFERROR(AG73/K73," ")</f>
        <v>0.8125</v>
      </c>
      <c r="AI73" s="100" t="n">
        <f aca="false">IFERROR(O73/K73,0)</f>
        <v>575</v>
      </c>
      <c r="AJ73" s="101" t="n">
        <f aca="false">VLOOKUP(D73,'Standard Cycle time'!C:D,2,0)</f>
        <v>5.25</v>
      </c>
      <c r="AK73" s="101" t="n">
        <f aca="false">AG73*V73*3600/O73</f>
        <v>5.08695652173913</v>
      </c>
      <c r="AL73" s="102" t="n">
        <f aca="false">AJ73/AK73</f>
        <v>1.03205128205128</v>
      </c>
      <c r="AM73" s="99" t="n">
        <f aca="false">AE73*AL73*AH73</f>
        <v>0.831371579734929</v>
      </c>
      <c r="AN73" s="103" t="n">
        <v>2284</v>
      </c>
      <c r="AO73" s="104"/>
      <c r="AP73" s="105" t="n">
        <v>0</v>
      </c>
      <c r="AQ73" s="105" t="n">
        <v>0</v>
      </c>
      <c r="AR73" s="105" t="n">
        <v>0</v>
      </c>
      <c r="AS73" s="105" t="n">
        <v>0</v>
      </c>
      <c r="AT73" s="105" t="n">
        <v>0</v>
      </c>
      <c r="AU73" s="105" t="n">
        <v>0</v>
      </c>
      <c r="AV73" s="105" t="n">
        <v>0</v>
      </c>
      <c r="AW73" s="105" t="n">
        <v>0</v>
      </c>
      <c r="AX73" s="105" t="n">
        <v>0</v>
      </c>
      <c r="AY73" s="105" t="n">
        <v>0</v>
      </c>
      <c r="AZ73" s="105" t="n">
        <v>0</v>
      </c>
      <c r="BA73" s="105" t="n">
        <v>0</v>
      </c>
      <c r="BB73" s="105" t="n">
        <v>90</v>
      </c>
      <c r="BC73" s="105" t="n">
        <v>0</v>
      </c>
      <c r="BD73" s="105" t="n">
        <v>0</v>
      </c>
      <c r="BE73" s="105" t="n">
        <v>0</v>
      </c>
      <c r="BF73" s="105" t="n">
        <v>0</v>
      </c>
      <c r="BG73" s="105" t="n">
        <v>0</v>
      </c>
      <c r="BH73" s="105" t="n">
        <v>0</v>
      </c>
      <c r="BI73" s="105" t="n">
        <v>0</v>
      </c>
      <c r="BJ73" s="105" t="n">
        <v>0</v>
      </c>
      <c r="BK73" s="105" t="n">
        <v>0</v>
      </c>
      <c r="BL73" s="105" t="n">
        <v>0</v>
      </c>
      <c r="BM73" s="105" t="n">
        <v>0</v>
      </c>
      <c r="BN73" s="105" t="n">
        <v>0</v>
      </c>
      <c r="BO73" s="105" t="n">
        <v>0</v>
      </c>
      <c r="BP73" s="105" t="n">
        <v>0</v>
      </c>
      <c r="BQ73" s="105" t="n">
        <v>0</v>
      </c>
      <c r="BR73" s="106" t="n">
        <f aca="false">SUM(AP73:BQ73)/60</f>
        <v>1.5</v>
      </c>
      <c r="BS73" s="106" t="n">
        <f aca="false">SUM(AP73:BR73)/60</f>
        <v>1.525</v>
      </c>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row>
    <row r="74" s="74" customFormat="true" ht="14.9" hidden="true" customHeight="true" outlineLevel="0" collapsed="false">
      <c r="A74" s="74" t="n">
        <f aca="false">MONTH(B74)</f>
        <v>8</v>
      </c>
      <c r="B74" s="75" t="n">
        <v>44415</v>
      </c>
      <c r="C74" s="76" t="s">
        <v>152</v>
      </c>
      <c r="D74" s="77" t="str">
        <f aca="false">IFERROR(VLOOKUP(E:E,'Item Data Support Sheet'!A:O,7,0),"")</f>
        <v>BOTTLE MOLDED</v>
      </c>
      <c r="E74" s="108" t="s">
        <v>235</v>
      </c>
      <c r="F74" s="80" t="s">
        <v>216</v>
      </c>
      <c r="G74" s="77" t="s">
        <v>74</v>
      </c>
      <c r="H74" s="79" t="str">
        <f aca="false">IFERROR(VLOOKUP(E:E,'Item Data Support Sheet'!A:O,2,0),"")</f>
        <v>KPP 200 ML BOTTLE MOLDED</v>
      </c>
      <c r="I74" s="80" t="s">
        <v>280</v>
      </c>
      <c r="J74" s="80" t="s">
        <v>148</v>
      </c>
      <c r="K74" s="81" t="n">
        <v>8</v>
      </c>
      <c r="L74" s="82" t="n">
        <v>2574</v>
      </c>
      <c r="M74" s="83" t="n">
        <f aca="false">IFERROR(L74/K74,0)</f>
        <v>321.75</v>
      </c>
      <c r="N74" s="84" t="n">
        <f aca="false">+O74+Q74+T74+U74</f>
        <v>3012</v>
      </c>
      <c r="O74" s="85" t="n">
        <v>2916</v>
      </c>
      <c r="P74" s="86" t="n">
        <v>0</v>
      </c>
      <c r="Q74" s="87" t="n">
        <v>34</v>
      </c>
      <c r="R74" s="88" t="n">
        <v>0</v>
      </c>
      <c r="S74" s="88" t="n">
        <v>0</v>
      </c>
      <c r="T74" s="88" t="n">
        <v>54</v>
      </c>
      <c r="U74" s="88" t="n">
        <v>8</v>
      </c>
      <c r="V74" s="89" t="n">
        <v>1</v>
      </c>
      <c r="W74" s="90" t="n">
        <f aca="false">IFERROR(O74/V74,0)</f>
        <v>2916</v>
      </c>
      <c r="X74" s="91" t="n">
        <f aca="false">O74/L74</f>
        <v>1.13286713286713</v>
      </c>
      <c r="Y74" s="92" t="str">
        <f aca="false">IFERROR(VLOOKUP(E:E,'Item Data Support Sheet'!A:J,6,0),0)</f>
        <v>HMC</v>
      </c>
      <c r="Z74" s="93" t="n">
        <f aca="false">IFERROR(VLOOKUP(E:E,'Item Data Support Sheet'!A:O,4,0),0)</f>
        <v>28.1</v>
      </c>
      <c r="AA74" s="93" t="n">
        <f aca="false">IFERROR(((N74)*(Z74/1000))+P74,0)</f>
        <v>84.6372</v>
      </c>
      <c r="AB74" s="94" t="n">
        <f aca="false">IFERROR((O74*(Z74/1000)/(AA74))," ")</f>
        <v>0.968127490039841</v>
      </c>
      <c r="AC74" s="95" t="n">
        <f aca="false">IFERROR((T74)/((T74)+O74),0)</f>
        <v>0.0181818181818182</v>
      </c>
      <c r="AD74" s="96" t="n">
        <f aca="false">IFERROR(Q74/(Q74+N74),0)</f>
        <v>0.0111621799080762</v>
      </c>
      <c r="AE74" s="91" t="n">
        <f aca="false">(N74-T74)/N74</f>
        <v>0.98207171314741</v>
      </c>
      <c r="AF74" s="97" t="n">
        <f aca="false">BR74</f>
        <v>0.5</v>
      </c>
      <c r="AG74" s="98" t="n">
        <f aca="false">K74-AF74</f>
        <v>7.5</v>
      </c>
      <c r="AH74" s="99" t="n">
        <f aca="false">IFERROR(AG74/K74," ")</f>
        <v>0.9375</v>
      </c>
      <c r="AI74" s="100" t="n">
        <f aca="false">IFERROR(O74/K74,0)</f>
        <v>364.5</v>
      </c>
      <c r="AJ74" s="101" t="n">
        <f aca="false">VLOOKUP(D74,'Standard Cycle time'!C:D,2,0)</f>
        <v>9</v>
      </c>
      <c r="AK74" s="101" t="n">
        <f aca="false">AG74*V74*3600/O74</f>
        <v>9.25925925925926</v>
      </c>
      <c r="AL74" s="102" t="n">
        <f aca="false">AJ74/AK74</f>
        <v>0.972</v>
      </c>
      <c r="AM74" s="99" t="n">
        <f aca="false">AE74*AL74*AH74</f>
        <v>0.894912848605578</v>
      </c>
      <c r="AN74" s="103" t="n">
        <v>2285</v>
      </c>
      <c r="AO74" s="104"/>
      <c r="AP74" s="105" t="n">
        <v>0</v>
      </c>
      <c r="AQ74" s="105" t="n">
        <v>0</v>
      </c>
      <c r="AR74" s="105" t="n">
        <v>0</v>
      </c>
      <c r="AS74" s="105" t="n">
        <v>0</v>
      </c>
      <c r="AT74" s="105" t="n">
        <v>0</v>
      </c>
      <c r="AU74" s="105" t="n">
        <v>0</v>
      </c>
      <c r="AV74" s="105" t="n">
        <v>0</v>
      </c>
      <c r="AW74" s="105" t="n">
        <v>0</v>
      </c>
      <c r="AX74" s="105" t="n">
        <v>0</v>
      </c>
      <c r="AY74" s="105" t="n">
        <v>0</v>
      </c>
      <c r="AZ74" s="105" t="n">
        <v>0</v>
      </c>
      <c r="BA74" s="105" t="n">
        <v>0</v>
      </c>
      <c r="BB74" s="105" t="n">
        <v>30</v>
      </c>
      <c r="BC74" s="105" t="n">
        <v>0</v>
      </c>
      <c r="BD74" s="105" t="n">
        <v>0</v>
      </c>
      <c r="BE74" s="105" t="n">
        <v>0</v>
      </c>
      <c r="BF74" s="105" t="n">
        <v>0</v>
      </c>
      <c r="BG74" s="105" t="n">
        <v>0</v>
      </c>
      <c r="BH74" s="105" t="n">
        <v>0</v>
      </c>
      <c r="BI74" s="105" t="n">
        <v>0</v>
      </c>
      <c r="BJ74" s="105" t="n">
        <v>0</v>
      </c>
      <c r="BK74" s="105" t="n">
        <v>0</v>
      </c>
      <c r="BL74" s="105" t="n">
        <v>0</v>
      </c>
      <c r="BM74" s="105" t="n">
        <v>0</v>
      </c>
      <c r="BN74" s="105" t="n">
        <v>0</v>
      </c>
      <c r="BO74" s="105" t="n">
        <v>0</v>
      </c>
      <c r="BP74" s="105" t="n">
        <v>0</v>
      </c>
      <c r="BQ74" s="105" t="n">
        <v>0</v>
      </c>
      <c r="BR74" s="106" t="n">
        <f aca="false">SUM(AP74:BQ74)/60</f>
        <v>0.5</v>
      </c>
      <c r="BS74" s="106" t="n">
        <f aca="false">SUM(AP74:BR74)/60</f>
        <v>0.508333333333333</v>
      </c>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row>
    <row r="75" s="74" customFormat="true" ht="14.9" hidden="true" customHeight="true" outlineLevel="0" collapsed="false">
      <c r="A75" s="74" t="n">
        <f aca="false">MONTH(B75)</f>
        <v>8</v>
      </c>
      <c r="B75" s="75" t="n">
        <v>44415</v>
      </c>
      <c r="C75" s="76" t="s">
        <v>152</v>
      </c>
      <c r="D75" s="77" t="str">
        <f aca="false">IFERROR(VLOOKUP(E:E,'Item Data Support Sheet'!A:O,7,0),"")</f>
        <v>CAP MOLDED</v>
      </c>
      <c r="E75" s="108" t="s">
        <v>261</v>
      </c>
      <c r="F75" s="80"/>
      <c r="G75" s="77" t="s">
        <v>200</v>
      </c>
      <c r="H75" s="79" t="str">
        <f aca="false">IFERROR(VLOOKUP(E:E,'Item Data Support Sheet'!A:O,2,0),"")</f>
        <v>CAP S TYPE MOLDED PINK</v>
      </c>
      <c r="I75" s="80" t="s">
        <v>281</v>
      </c>
      <c r="J75" s="80" t="s">
        <v>148</v>
      </c>
      <c r="K75" s="81" t="n">
        <v>3</v>
      </c>
      <c r="L75" s="82" t="n">
        <v>1557</v>
      </c>
      <c r="M75" s="83" t="n">
        <f aca="false">IFERROR(L75/K75,0)</f>
        <v>519</v>
      </c>
      <c r="N75" s="84" t="n">
        <f aca="false">+O75+Q75+T75+U75</f>
        <v>1572</v>
      </c>
      <c r="O75" s="85" t="n">
        <v>1560</v>
      </c>
      <c r="P75" s="86" t="n">
        <v>0</v>
      </c>
      <c r="Q75" s="87" t="n">
        <v>0</v>
      </c>
      <c r="R75" s="88" t="n">
        <v>0</v>
      </c>
      <c r="S75" s="88" t="n">
        <v>0</v>
      </c>
      <c r="T75" s="88" t="n">
        <v>8</v>
      </c>
      <c r="U75" s="88" t="n">
        <v>4</v>
      </c>
      <c r="V75" s="89" t="n">
        <v>1</v>
      </c>
      <c r="W75" s="90" t="n">
        <f aca="false">IFERROR(O75/V75,0)</f>
        <v>1560</v>
      </c>
      <c r="X75" s="91" t="n">
        <f aca="false">O75/L75</f>
        <v>1.0019267822736</v>
      </c>
      <c r="Y75" s="92" t="str">
        <f aca="false">IFERROR(VLOOKUP(E:E,'Item Data Support Sheet'!A:J,6,0),0)</f>
        <v>RM000123</v>
      </c>
      <c r="Z75" s="93" t="n">
        <f aca="false">IFERROR(VLOOKUP(E:E,'Item Data Support Sheet'!A:O,4,0),0)</f>
        <v>7.3</v>
      </c>
      <c r="AA75" s="93" t="n">
        <f aca="false">IFERROR(((N75)*(Z75/1000))+P75,0)</f>
        <v>11.4756</v>
      </c>
      <c r="AB75" s="94" t="n">
        <f aca="false">IFERROR((O75*(Z75/1000)/(AA75))," ")</f>
        <v>0.992366412213741</v>
      </c>
      <c r="AC75" s="95" t="n">
        <f aca="false">IFERROR((T75)/((T75)+O75),0)</f>
        <v>0.00510204081632653</v>
      </c>
      <c r="AD75" s="96" t="n">
        <f aca="false">IFERROR(Q75/(Q75+N75),0)</f>
        <v>0</v>
      </c>
      <c r="AE75" s="91" t="n">
        <f aca="false">(N75-T75)/N75</f>
        <v>0.994910941475827</v>
      </c>
      <c r="AF75" s="97" t="n">
        <f aca="false">BR75</f>
        <v>0.333333333333333</v>
      </c>
      <c r="AG75" s="98" t="n">
        <f aca="false">K75-AF75</f>
        <v>2.66666666666667</v>
      </c>
      <c r="AH75" s="99" t="n">
        <f aca="false">IFERROR(AG75/K75," ")</f>
        <v>0.888888888888889</v>
      </c>
      <c r="AI75" s="100" t="n">
        <f aca="false">IFERROR(O75/K75,0)</f>
        <v>520</v>
      </c>
      <c r="AJ75" s="101" t="n">
        <f aca="false">VLOOKUP(D75,'Standard Cycle time'!C:D,2,0)</f>
        <v>6</v>
      </c>
      <c r="AK75" s="101" t="n">
        <f aca="false">AG75*V75*3600/O75</f>
        <v>6.15384615384615</v>
      </c>
      <c r="AL75" s="102" t="n">
        <f aca="false">AJ75/AK75</f>
        <v>0.975</v>
      </c>
      <c r="AM75" s="99" t="n">
        <f aca="false">AE75*AL75*AH75</f>
        <v>0.86225614927905</v>
      </c>
      <c r="AN75" s="103" t="n">
        <v>2689</v>
      </c>
      <c r="AO75" s="104"/>
      <c r="AP75" s="105" t="n">
        <v>0</v>
      </c>
      <c r="AQ75" s="105" t="n">
        <v>0</v>
      </c>
      <c r="AR75" s="105" t="n">
        <v>0</v>
      </c>
      <c r="AS75" s="105" t="n">
        <v>0</v>
      </c>
      <c r="AT75" s="105" t="n">
        <v>0</v>
      </c>
      <c r="AU75" s="105" t="n">
        <v>0</v>
      </c>
      <c r="AV75" s="105" t="n">
        <v>0</v>
      </c>
      <c r="AW75" s="105" t="n">
        <v>0</v>
      </c>
      <c r="AX75" s="105" t="n">
        <v>0</v>
      </c>
      <c r="AY75" s="105" t="n">
        <v>0</v>
      </c>
      <c r="AZ75" s="105" t="n">
        <v>0</v>
      </c>
      <c r="BA75" s="105" t="n">
        <v>0</v>
      </c>
      <c r="BB75" s="105" t="n">
        <v>0</v>
      </c>
      <c r="BC75" s="105" t="n">
        <v>0</v>
      </c>
      <c r="BD75" s="105" t="n">
        <v>0</v>
      </c>
      <c r="BE75" s="105" t="n">
        <v>0</v>
      </c>
      <c r="BF75" s="105" t="n">
        <v>0</v>
      </c>
      <c r="BG75" s="105" t="n">
        <v>0</v>
      </c>
      <c r="BH75" s="105" t="n">
        <v>0</v>
      </c>
      <c r="BI75" s="105" t="n">
        <v>0</v>
      </c>
      <c r="BJ75" s="105" t="n">
        <v>0</v>
      </c>
      <c r="BK75" s="105" t="n">
        <v>0</v>
      </c>
      <c r="BL75" s="105" t="n">
        <v>0</v>
      </c>
      <c r="BM75" s="105" t="n">
        <v>20</v>
      </c>
      <c r="BN75" s="105" t="n">
        <v>0</v>
      </c>
      <c r="BO75" s="105" t="n">
        <v>0</v>
      </c>
      <c r="BP75" s="105" t="n">
        <v>0</v>
      </c>
      <c r="BQ75" s="105" t="n">
        <v>0</v>
      </c>
      <c r="BR75" s="106" t="n">
        <f aca="false">SUM(AP75:BQ75)/60</f>
        <v>0.333333333333333</v>
      </c>
      <c r="BS75" s="106" t="n">
        <f aca="false">SUM(AP75:BR75)/60</f>
        <v>0.338888888888889</v>
      </c>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row>
    <row r="76" s="74" customFormat="true" ht="14.9" hidden="true" customHeight="true" outlineLevel="0" collapsed="false">
      <c r="A76" s="74" t="n">
        <f aca="false">MONTH(B76)</f>
        <v>8</v>
      </c>
      <c r="B76" s="75" t="n">
        <v>44415</v>
      </c>
      <c r="C76" s="76" t="s">
        <v>152</v>
      </c>
      <c r="D76" s="77" t="str">
        <f aca="false">IFERROR(VLOOKUP(E:E,'Item Data Support Sheet'!A:O,7,0),"")</f>
        <v>CAP MOLDED</v>
      </c>
      <c r="E76" s="108" t="s">
        <v>261</v>
      </c>
      <c r="F76" s="80"/>
      <c r="G76" s="77" t="s">
        <v>200</v>
      </c>
      <c r="H76" s="79" t="str">
        <f aca="false">IFERROR(VLOOKUP(E:E,'Item Data Support Sheet'!A:O,2,0),"")</f>
        <v>CAP S TYPE MOLDED PINK</v>
      </c>
      <c r="I76" s="80" t="s">
        <v>282</v>
      </c>
      <c r="J76" s="80" t="s">
        <v>148</v>
      </c>
      <c r="K76" s="81" t="n">
        <v>5</v>
      </c>
      <c r="L76" s="82" t="n">
        <v>2580</v>
      </c>
      <c r="M76" s="83" t="n">
        <f aca="false">IFERROR(L76/K76,0)</f>
        <v>516</v>
      </c>
      <c r="N76" s="84" t="n">
        <f aca="false">+O76+Q76+T76+U76</f>
        <v>2588</v>
      </c>
      <c r="O76" s="85" t="n">
        <v>2580</v>
      </c>
      <c r="P76" s="114" t="n">
        <v>0.09</v>
      </c>
      <c r="Q76" s="87" t="n">
        <v>0</v>
      </c>
      <c r="R76" s="88" t="n">
        <v>0</v>
      </c>
      <c r="S76" s="88" t="n">
        <v>0</v>
      </c>
      <c r="T76" s="88" t="n">
        <v>4</v>
      </c>
      <c r="U76" s="88" t="n">
        <v>4</v>
      </c>
      <c r="V76" s="89" t="n">
        <v>1</v>
      </c>
      <c r="W76" s="90" t="n">
        <f aca="false">IFERROR(O76/V76,0)</f>
        <v>2580</v>
      </c>
      <c r="X76" s="91" t="n">
        <f aca="false">O76/L76</f>
        <v>1</v>
      </c>
      <c r="Y76" s="92" t="str">
        <f aca="false">IFERROR(VLOOKUP(E:E,'Item Data Support Sheet'!A:J,6,0),0)</f>
        <v>RM000123</v>
      </c>
      <c r="Z76" s="93" t="n">
        <f aca="false">IFERROR(VLOOKUP(E:E,'Item Data Support Sheet'!A:O,4,0),0)</f>
        <v>7.3</v>
      </c>
      <c r="AA76" s="93" t="n">
        <f aca="false">IFERROR(((N76)*(Z76/1000))+P76,0)</f>
        <v>18.9824</v>
      </c>
      <c r="AB76" s="94" t="n">
        <f aca="false">IFERROR((O76*(Z76/1000)/(AA76))," ")</f>
        <v>0.992182231962239</v>
      </c>
      <c r="AC76" s="95" t="n">
        <f aca="false">IFERROR((T76)/((T76)+O76),0)</f>
        <v>0.00154798761609907</v>
      </c>
      <c r="AD76" s="96" t="n">
        <f aca="false">IFERROR(Q76/(Q76+N76),0)</f>
        <v>0</v>
      </c>
      <c r="AE76" s="91" t="n">
        <f aca="false">(N76-T76)/N76</f>
        <v>0.998454404945904</v>
      </c>
      <c r="AF76" s="97" t="n">
        <f aca="false">BR76</f>
        <v>0.333333333333333</v>
      </c>
      <c r="AG76" s="98" t="n">
        <f aca="false">K76-AF76</f>
        <v>4.66666666666667</v>
      </c>
      <c r="AH76" s="99" t="n">
        <f aca="false">IFERROR(AG76/K76," ")</f>
        <v>0.933333333333333</v>
      </c>
      <c r="AI76" s="100" t="n">
        <f aca="false">IFERROR(O76/K76,0)</f>
        <v>516</v>
      </c>
      <c r="AJ76" s="101" t="n">
        <f aca="false">VLOOKUP(D76,'Standard Cycle time'!C:D,2,0)</f>
        <v>6</v>
      </c>
      <c r="AK76" s="101" t="n">
        <f aca="false">AG76*V76*3600/O76</f>
        <v>6.51162790697674</v>
      </c>
      <c r="AL76" s="102" t="n">
        <f aca="false">AJ76/AK76</f>
        <v>0.921428571428571</v>
      </c>
      <c r="AM76" s="99" t="n">
        <f aca="false">AE76*AL76*AH76</f>
        <v>0.858670788253478</v>
      </c>
      <c r="AN76" s="103" t="n">
        <v>2688</v>
      </c>
      <c r="AO76" s="104"/>
      <c r="AP76" s="105" t="n">
        <v>0</v>
      </c>
      <c r="AQ76" s="105" t="n">
        <v>0</v>
      </c>
      <c r="AR76" s="105" t="n">
        <v>0</v>
      </c>
      <c r="AS76" s="105" t="n">
        <v>0</v>
      </c>
      <c r="AT76" s="105" t="n">
        <v>0</v>
      </c>
      <c r="AU76" s="105" t="n">
        <v>0</v>
      </c>
      <c r="AV76" s="105" t="n">
        <v>0</v>
      </c>
      <c r="AW76" s="105" t="n">
        <v>0</v>
      </c>
      <c r="AX76" s="105" t="n">
        <v>0</v>
      </c>
      <c r="AY76" s="105" t="n">
        <v>0</v>
      </c>
      <c r="AZ76" s="105" t="n">
        <v>0</v>
      </c>
      <c r="BA76" s="105" t="n">
        <v>0</v>
      </c>
      <c r="BB76" s="105" t="n">
        <v>20</v>
      </c>
      <c r="BC76" s="105" t="n">
        <v>0</v>
      </c>
      <c r="BD76" s="105" t="n">
        <v>0</v>
      </c>
      <c r="BE76" s="105" t="n">
        <v>0</v>
      </c>
      <c r="BF76" s="105" t="n">
        <v>0</v>
      </c>
      <c r="BG76" s="105" t="n">
        <v>0</v>
      </c>
      <c r="BH76" s="105" t="n">
        <v>0</v>
      </c>
      <c r="BI76" s="105" t="n">
        <v>0</v>
      </c>
      <c r="BJ76" s="105" t="n">
        <v>0</v>
      </c>
      <c r="BK76" s="105" t="n">
        <v>0</v>
      </c>
      <c r="BL76" s="105" t="n">
        <v>0</v>
      </c>
      <c r="BM76" s="105" t="n">
        <v>0</v>
      </c>
      <c r="BN76" s="105" t="n">
        <v>0</v>
      </c>
      <c r="BO76" s="105" t="n">
        <v>0</v>
      </c>
      <c r="BP76" s="105" t="n">
        <v>0</v>
      </c>
      <c r="BQ76" s="105" t="n">
        <v>0</v>
      </c>
      <c r="BR76" s="106" t="n">
        <f aca="false">SUM(AP76:BQ76)/60</f>
        <v>0.333333333333333</v>
      </c>
      <c r="BS76" s="106" t="n">
        <f aca="false">SUM(AP76:BR76)/60</f>
        <v>0.338888888888889</v>
      </c>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row>
    <row r="77" s="74" customFormat="true" ht="14.9" hidden="true" customHeight="true" outlineLevel="0" collapsed="false">
      <c r="A77" s="74" t="n">
        <f aca="false">MONTH(B77)</f>
        <v>8</v>
      </c>
      <c r="B77" s="75" t="n">
        <v>44417</v>
      </c>
      <c r="C77" s="76" t="s">
        <v>51</v>
      </c>
      <c r="D77" s="77" t="str">
        <f aca="false">IFERROR(VLOOKUP(E:E,'Item Data Support Sheet'!A:O,7,0),"")</f>
        <v>NIPPLE MOLDED</v>
      </c>
      <c r="E77" s="108" t="s">
        <v>244</v>
      </c>
      <c r="F77" s="80" t="s">
        <v>137</v>
      </c>
      <c r="G77" s="77" t="s">
        <v>138</v>
      </c>
      <c r="H77" s="79" t="str">
        <f aca="false">IFERROR(VLOOKUP(E:E,'Item Data Support Sheet'!A:O,2,0),"")</f>
        <v>NIPPLE S TYPE S SIZE INJECTION</v>
      </c>
      <c r="I77" s="80" t="s">
        <v>283</v>
      </c>
      <c r="J77" s="80" t="s">
        <v>148</v>
      </c>
      <c r="K77" s="81" t="n">
        <v>8</v>
      </c>
      <c r="L77" s="82" t="n">
        <v>3600</v>
      </c>
      <c r="M77" s="83" t="n">
        <f aca="false">IFERROR(L77/K77,0)</f>
        <v>450</v>
      </c>
      <c r="N77" s="84" t="n">
        <f aca="false">+O77+Q77+T77+U77</f>
        <v>4605</v>
      </c>
      <c r="O77" s="85" t="n">
        <v>4500</v>
      </c>
      <c r="P77" s="86" t="n">
        <v>0.32</v>
      </c>
      <c r="Q77" s="87" t="n">
        <v>48</v>
      </c>
      <c r="R77" s="88" t="n">
        <v>0</v>
      </c>
      <c r="S77" s="88" t="n">
        <v>0</v>
      </c>
      <c r="T77" s="88" t="n">
        <v>49</v>
      </c>
      <c r="U77" s="88" t="n">
        <v>8</v>
      </c>
      <c r="V77" s="89" t="n">
        <v>1</v>
      </c>
      <c r="W77" s="90" t="n">
        <f aca="false">IFERROR(O77/V77,0)</f>
        <v>4500</v>
      </c>
      <c r="X77" s="91" t="n">
        <f aca="false">O77/L77</f>
        <v>1.25</v>
      </c>
      <c r="Y77" s="92" t="str">
        <f aca="false">IFERROR(VLOOKUP(E:E,'Item Data Support Sheet'!A:J,6,0),0)</f>
        <v>Silicon</v>
      </c>
      <c r="Z77" s="93" t="n">
        <f aca="false">IFERROR(VLOOKUP(E:E,'Item Data Support Sheet'!A:O,4,0),0)</f>
        <v>6.8</v>
      </c>
      <c r="AA77" s="93" t="n">
        <f aca="false">IFERROR(((N77)*(Z77/1000))+P77,0)</f>
        <v>31.634</v>
      </c>
      <c r="AB77" s="94" t="n">
        <f aca="false">IFERROR((O77*(Z77/1000)/(AA77))," ")</f>
        <v>0.967313649870393</v>
      </c>
      <c r="AC77" s="95" t="n">
        <f aca="false">IFERROR((T77)/((T77)+O77),0)</f>
        <v>0.0107715981534403</v>
      </c>
      <c r="AD77" s="96" t="n">
        <f aca="false">IFERROR(Q77/(Q77+N77),0)</f>
        <v>0.0103159252095422</v>
      </c>
      <c r="AE77" s="91" t="n">
        <f aca="false">(N77-T77)/N77</f>
        <v>0.989359391965255</v>
      </c>
      <c r="AF77" s="97" t="n">
        <f aca="false">BR77</f>
        <v>1.5</v>
      </c>
      <c r="AG77" s="98" t="n">
        <f aca="false">K77-AF77</f>
        <v>6.5</v>
      </c>
      <c r="AH77" s="99" t="n">
        <f aca="false">IFERROR(AG77/K77," ")</f>
        <v>0.8125</v>
      </c>
      <c r="AI77" s="100" t="n">
        <f aca="false">IFERROR(O77/K77,0)</f>
        <v>562.5</v>
      </c>
      <c r="AJ77" s="101" t="n">
        <f aca="false">VLOOKUP(D77,'Standard Cycle time'!C:D,2,0)</f>
        <v>5.25</v>
      </c>
      <c r="AK77" s="101" t="n">
        <f aca="false">AG77*V77*3600/O77</f>
        <v>5.2</v>
      </c>
      <c r="AL77" s="102" t="n">
        <f aca="false">AJ77/AK77</f>
        <v>1.00961538461538</v>
      </c>
      <c r="AM77" s="99" t="n">
        <f aca="false">AE77*AL77*AH77</f>
        <v>0.811583876221498</v>
      </c>
      <c r="AN77" s="103" t="n">
        <v>2292</v>
      </c>
      <c r="AO77" s="104" t="s">
        <v>284</v>
      </c>
      <c r="AP77" s="105" t="n">
        <v>0</v>
      </c>
      <c r="AQ77" s="105" t="n">
        <v>0</v>
      </c>
      <c r="AR77" s="105" t="n">
        <v>0</v>
      </c>
      <c r="AS77" s="105" t="n">
        <v>0</v>
      </c>
      <c r="AT77" s="105" t="n">
        <v>0</v>
      </c>
      <c r="AU77" s="105" t="n">
        <v>0</v>
      </c>
      <c r="AV77" s="105" t="n">
        <v>0</v>
      </c>
      <c r="AW77" s="105" t="n">
        <v>0</v>
      </c>
      <c r="AX77" s="105" t="n">
        <v>0</v>
      </c>
      <c r="AY77" s="105" t="n">
        <v>0</v>
      </c>
      <c r="AZ77" s="105" t="n">
        <v>0</v>
      </c>
      <c r="BA77" s="105" t="n">
        <v>0</v>
      </c>
      <c r="BB77" s="105" t="n">
        <v>90</v>
      </c>
      <c r="BC77" s="105" t="n">
        <v>0</v>
      </c>
      <c r="BD77" s="105" t="n">
        <v>0</v>
      </c>
      <c r="BE77" s="105" t="n">
        <v>0</v>
      </c>
      <c r="BF77" s="105" t="n">
        <v>0</v>
      </c>
      <c r="BG77" s="105" t="n">
        <v>0</v>
      </c>
      <c r="BH77" s="105" t="n">
        <v>0</v>
      </c>
      <c r="BI77" s="105" t="n">
        <v>0</v>
      </c>
      <c r="BJ77" s="105" t="n">
        <v>0</v>
      </c>
      <c r="BK77" s="105" t="n">
        <v>0</v>
      </c>
      <c r="BL77" s="105" t="n">
        <v>0</v>
      </c>
      <c r="BM77" s="105" t="n">
        <v>0</v>
      </c>
      <c r="BN77" s="105" t="n">
        <v>0</v>
      </c>
      <c r="BO77" s="105" t="n">
        <v>0</v>
      </c>
      <c r="BP77" s="105" t="n">
        <v>0</v>
      </c>
      <c r="BQ77" s="105" t="n">
        <v>0</v>
      </c>
      <c r="BR77" s="106" t="n">
        <f aca="false">SUM(AP77:BQ77)/60</f>
        <v>1.5</v>
      </c>
      <c r="BS77" s="106" t="n">
        <f aca="false">SUM(AP77:BR77)/60</f>
        <v>1.525</v>
      </c>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row>
    <row r="78" s="74" customFormat="true" ht="14.9" hidden="true" customHeight="true" outlineLevel="0" collapsed="false">
      <c r="A78" s="74" t="n">
        <f aca="false">MONTH(B78)</f>
        <v>8</v>
      </c>
      <c r="B78" s="75" t="n">
        <v>44417</v>
      </c>
      <c r="C78" s="76" t="s">
        <v>51</v>
      </c>
      <c r="D78" s="77" t="str">
        <f aca="false">IFERROR(VLOOKUP(E:E,'Item Data Support Sheet'!A:O,7,0),"")</f>
        <v>BOTTLE MOLDED</v>
      </c>
      <c r="E78" s="108" t="s">
        <v>235</v>
      </c>
      <c r="F78" s="80" t="s">
        <v>216</v>
      </c>
      <c r="G78" s="77" t="s">
        <v>74</v>
      </c>
      <c r="H78" s="79" t="str">
        <f aca="false">IFERROR(VLOOKUP(E:E,'Item Data Support Sheet'!A:O,2,0),"")</f>
        <v>KPP 200 ML BOTTLE MOLDED</v>
      </c>
      <c r="I78" s="80" t="s">
        <v>285</v>
      </c>
      <c r="J78" s="80" t="s">
        <v>148</v>
      </c>
      <c r="K78" s="81" t="n">
        <v>8</v>
      </c>
      <c r="L78" s="82" t="n">
        <v>2574</v>
      </c>
      <c r="M78" s="83" t="n">
        <f aca="false">IFERROR(L78/K78,0)</f>
        <v>321.75</v>
      </c>
      <c r="N78" s="84" t="n">
        <f aca="false">+O78+Q78+T78+U78</f>
        <v>2278</v>
      </c>
      <c r="O78" s="85" t="n">
        <v>2160</v>
      </c>
      <c r="P78" s="86" t="n">
        <v>0.185</v>
      </c>
      <c r="Q78" s="87" t="n">
        <v>60</v>
      </c>
      <c r="R78" s="88" t="n">
        <v>0</v>
      </c>
      <c r="S78" s="88" t="n">
        <v>0</v>
      </c>
      <c r="T78" s="88" t="n">
        <v>50</v>
      </c>
      <c r="U78" s="88" t="n">
        <v>8</v>
      </c>
      <c r="V78" s="89" t="n">
        <v>1</v>
      </c>
      <c r="W78" s="90" t="n">
        <f aca="false">IFERROR(O78/V78,0)</f>
        <v>2160</v>
      </c>
      <c r="X78" s="91" t="n">
        <f aca="false">O78/L78</f>
        <v>0.839160839160839</v>
      </c>
      <c r="Y78" s="92" t="str">
        <f aca="false">IFERROR(VLOOKUP(E:E,'Item Data Support Sheet'!A:J,6,0),0)</f>
        <v>HMC</v>
      </c>
      <c r="Z78" s="93" t="n">
        <f aca="false">IFERROR(VLOOKUP(E:E,'Item Data Support Sheet'!A:O,4,0),0)</f>
        <v>28.1</v>
      </c>
      <c r="AA78" s="93" t="n">
        <f aca="false">IFERROR(((N78)*(Z78/1000))+P78,0)</f>
        <v>64.1968</v>
      </c>
      <c r="AB78" s="94" t="n">
        <f aca="false">IFERROR((O78*(Z78/1000)/(AA78))," ")</f>
        <v>0.945467686862897</v>
      </c>
      <c r="AC78" s="95" t="n">
        <f aca="false">IFERROR((T78)/((T78)+O78),0)</f>
        <v>0.0226244343891403</v>
      </c>
      <c r="AD78" s="96" t="n">
        <f aca="false">IFERROR(Q78/(Q78+N78),0)</f>
        <v>0.0256629597946963</v>
      </c>
      <c r="AE78" s="91" t="n">
        <f aca="false">(N78-T78)/N78</f>
        <v>0.978050921861282</v>
      </c>
      <c r="AF78" s="97" t="n">
        <f aca="false">BR78</f>
        <v>2.5</v>
      </c>
      <c r="AG78" s="98" t="n">
        <f aca="false">K78-AF78</f>
        <v>5.5</v>
      </c>
      <c r="AH78" s="99" t="n">
        <f aca="false">IFERROR(AG78/K78," ")</f>
        <v>0.6875</v>
      </c>
      <c r="AI78" s="100" t="n">
        <f aca="false">IFERROR(O78/K78,0)</f>
        <v>270</v>
      </c>
      <c r="AJ78" s="101" t="n">
        <f aca="false">VLOOKUP(D78,'Standard Cycle time'!C:D,2,0)</f>
        <v>9</v>
      </c>
      <c r="AK78" s="101" t="n">
        <f aca="false">AG78*V78*3600/O78</f>
        <v>9.16666666666667</v>
      </c>
      <c r="AL78" s="102" t="n">
        <f aca="false">AJ78/AK78</f>
        <v>0.981818181818182</v>
      </c>
      <c r="AM78" s="99" t="n">
        <f aca="false">AE78*AL78*AH78</f>
        <v>0.660184372256365</v>
      </c>
      <c r="AN78" s="103" t="n">
        <v>2287</v>
      </c>
      <c r="AO78" s="104" t="s">
        <v>286</v>
      </c>
      <c r="AP78" s="105" t="n">
        <v>0</v>
      </c>
      <c r="AQ78" s="105" t="n">
        <v>0</v>
      </c>
      <c r="AR78" s="105" t="n">
        <v>0</v>
      </c>
      <c r="AS78" s="105" t="n">
        <v>0</v>
      </c>
      <c r="AT78" s="105" t="n">
        <v>0</v>
      </c>
      <c r="AU78" s="105" t="n">
        <v>0</v>
      </c>
      <c r="AV78" s="105" t="n">
        <v>0</v>
      </c>
      <c r="AW78" s="105" t="n">
        <v>0</v>
      </c>
      <c r="AX78" s="105" t="n">
        <v>0</v>
      </c>
      <c r="AY78" s="105" t="n">
        <v>0</v>
      </c>
      <c r="AZ78" s="105" t="n">
        <v>0</v>
      </c>
      <c r="BA78" s="105" t="n">
        <v>0</v>
      </c>
      <c r="BB78" s="105" t="n">
        <v>150</v>
      </c>
      <c r="BC78" s="105" t="n">
        <v>0</v>
      </c>
      <c r="BD78" s="105" t="n">
        <v>0</v>
      </c>
      <c r="BE78" s="105" t="n">
        <v>0</v>
      </c>
      <c r="BF78" s="105" t="n">
        <v>0</v>
      </c>
      <c r="BG78" s="105" t="n">
        <v>0</v>
      </c>
      <c r="BH78" s="105" t="n">
        <v>0</v>
      </c>
      <c r="BI78" s="105" t="n">
        <v>0</v>
      </c>
      <c r="BJ78" s="105" t="n">
        <v>0</v>
      </c>
      <c r="BK78" s="105" t="n">
        <v>0</v>
      </c>
      <c r="BL78" s="105" t="n">
        <v>0</v>
      </c>
      <c r="BM78" s="105" t="n">
        <v>0</v>
      </c>
      <c r="BN78" s="105" t="n">
        <v>0</v>
      </c>
      <c r="BO78" s="105" t="n">
        <v>0</v>
      </c>
      <c r="BP78" s="105" t="n">
        <v>0</v>
      </c>
      <c r="BQ78" s="105" t="n">
        <v>0</v>
      </c>
      <c r="BR78" s="106" t="n">
        <f aca="false">SUM(AP78:BQ78)/60</f>
        <v>2.5</v>
      </c>
      <c r="BS78" s="106" t="n">
        <f aca="false">SUM(AP78:BR78)/60</f>
        <v>2.54166666666667</v>
      </c>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row>
    <row r="79" s="74" customFormat="true" ht="14.9" hidden="true" customHeight="true" outlineLevel="0" collapsed="false">
      <c r="A79" s="74" t="n">
        <f aca="false">MONTH(B79)</f>
        <v>8</v>
      </c>
      <c r="B79" s="75" t="n">
        <v>44417</v>
      </c>
      <c r="C79" s="76" t="s">
        <v>51</v>
      </c>
      <c r="D79" s="77" t="str">
        <f aca="false">IFERROR(VLOOKUP(E:E,'Item Data Support Sheet'!A:O,7,0),"")</f>
        <v>CAP MOLDED</v>
      </c>
      <c r="E79" s="108" t="s">
        <v>261</v>
      </c>
      <c r="F79" s="80"/>
      <c r="G79" s="77" t="s">
        <v>200</v>
      </c>
      <c r="H79" s="79" t="str">
        <f aca="false">IFERROR(VLOOKUP(E:E,'Item Data Support Sheet'!A:O,2,0),"")</f>
        <v>CAP S TYPE MOLDED PINK</v>
      </c>
      <c r="I79" s="80" t="s">
        <v>287</v>
      </c>
      <c r="J79" s="80" t="s">
        <v>148</v>
      </c>
      <c r="K79" s="81" t="n">
        <v>8</v>
      </c>
      <c r="L79" s="82" t="n">
        <v>4137</v>
      </c>
      <c r="M79" s="83" t="n">
        <f aca="false">IFERROR(L79/K79,0)</f>
        <v>517.125</v>
      </c>
      <c r="N79" s="84" t="n">
        <f aca="false">+O79+Q79+T79+U79</f>
        <v>3612</v>
      </c>
      <c r="O79" s="85" t="n">
        <v>3600</v>
      </c>
      <c r="P79" s="86" t="n">
        <v>0</v>
      </c>
      <c r="Q79" s="87" t="n">
        <v>0</v>
      </c>
      <c r="R79" s="88" t="n">
        <v>0</v>
      </c>
      <c r="S79" s="88" t="n">
        <v>0</v>
      </c>
      <c r="T79" s="88" t="n">
        <v>4</v>
      </c>
      <c r="U79" s="88" t="n">
        <v>8</v>
      </c>
      <c r="V79" s="89" t="n">
        <v>1</v>
      </c>
      <c r="W79" s="90" t="n">
        <f aca="false">IFERROR(O79/V79,0)</f>
        <v>3600</v>
      </c>
      <c r="X79" s="91" t="n">
        <f aca="false">O79/L79</f>
        <v>0.870195794053662</v>
      </c>
      <c r="Y79" s="92" t="str">
        <f aca="false">IFERROR(VLOOKUP(E:E,'Item Data Support Sheet'!A:J,6,0),0)</f>
        <v>RM000123</v>
      </c>
      <c r="Z79" s="93" t="n">
        <f aca="false">IFERROR(VLOOKUP(E:E,'Item Data Support Sheet'!A:O,4,0),0)</f>
        <v>7.3</v>
      </c>
      <c r="AA79" s="93" t="n">
        <f aca="false">IFERROR(((N79)*(Z79/1000))+P79,0)</f>
        <v>26.3676</v>
      </c>
      <c r="AB79" s="94" t="n">
        <f aca="false">IFERROR((O79*(Z79/1000)/(AA79))," ")</f>
        <v>0.996677740863787</v>
      </c>
      <c r="AC79" s="95" t="n">
        <f aca="false">IFERROR((T79)/((T79)+O79),0)</f>
        <v>0.00110987791342952</v>
      </c>
      <c r="AD79" s="96" t="n">
        <f aca="false">IFERROR(Q79/(Q79+N79),0)</f>
        <v>0</v>
      </c>
      <c r="AE79" s="91" t="n">
        <f aca="false">(N79-T79)/N79</f>
        <v>0.998892580287929</v>
      </c>
      <c r="AF79" s="97" t="n">
        <f aca="false">BR79</f>
        <v>1.5</v>
      </c>
      <c r="AG79" s="98" t="n">
        <f aca="false">K79-AF79</f>
        <v>6.5</v>
      </c>
      <c r="AH79" s="99" t="n">
        <f aca="false">IFERROR(AG79/K79," ")</f>
        <v>0.8125</v>
      </c>
      <c r="AI79" s="100" t="n">
        <f aca="false">IFERROR(O79/K79,0)</f>
        <v>450</v>
      </c>
      <c r="AJ79" s="101" t="n">
        <f aca="false">VLOOKUP(D79,'Standard Cycle time'!C:D,2,0)</f>
        <v>6</v>
      </c>
      <c r="AK79" s="101" t="n">
        <f aca="false">AG79*V79*3600/O79</f>
        <v>6.5</v>
      </c>
      <c r="AL79" s="102" t="n">
        <f aca="false">AJ79/AK79</f>
        <v>0.923076923076923</v>
      </c>
      <c r="AM79" s="99" t="n">
        <f aca="false">AE79*AL79*AH79</f>
        <v>0.749169435215947</v>
      </c>
      <c r="AN79" s="103" t="n">
        <v>2688</v>
      </c>
      <c r="AO79" s="104" t="s">
        <v>288</v>
      </c>
      <c r="AP79" s="105" t="n">
        <v>0</v>
      </c>
      <c r="AQ79" s="105" t="n">
        <v>0</v>
      </c>
      <c r="AR79" s="105" t="n">
        <v>0</v>
      </c>
      <c r="AS79" s="105" t="n">
        <v>0</v>
      </c>
      <c r="AT79" s="105" t="n">
        <v>0</v>
      </c>
      <c r="AU79" s="105" t="n">
        <v>0</v>
      </c>
      <c r="AV79" s="105" t="n">
        <v>0</v>
      </c>
      <c r="AW79" s="105" t="n">
        <v>0</v>
      </c>
      <c r="AX79" s="105" t="n">
        <v>0</v>
      </c>
      <c r="AY79" s="105" t="n">
        <v>0</v>
      </c>
      <c r="AZ79" s="105" t="n">
        <v>0</v>
      </c>
      <c r="BA79" s="105" t="n">
        <v>0</v>
      </c>
      <c r="BB79" s="105" t="n">
        <v>90</v>
      </c>
      <c r="BC79" s="105" t="n">
        <v>0</v>
      </c>
      <c r="BD79" s="105" t="n">
        <v>0</v>
      </c>
      <c r="BE79" s="105" t="n">
        <v>0</v>
      </c>
      <c r="BF79" s="105" t="n">
        <v>0</v>
      </c>
      <c r="BG79" s="105" t="n">
        <v>0</v>
      </c>
      <c r="BH79" s="105" t="n">
        <v>0</v>
      </c>
      <c r="BI79" s="105" t="n">
        <v>0</v>
      </c>
      <c r="BJ79" s="105" t="n">
        <v>0</v>
      </c>
      <c r="BK79" s="105" t="n">
        <v>0</v>
      </c>
      <c r="BL79" s="105" t="n">
        <v>0</v>
      </c>
      <c r="BM79" s="105" t="n">
        <v>0</v>
      </c>
      <c r="BN79" s="105" t="n">
        <v>0</v>
      </c>
      <c r="BO79" s="105" t="n">
        <v>0</v>
      </c>
      <c r="BP79" s="105" t="n">
        <v>0</v>
      </c>
      <c r="BQ79" s="105" t="n">
        <v>0</v>
      </c>
      <c r="BR79" s="106" t="n">
        <f aca="false">SUM(AP79:BQ79)/60</f>
        <v>1.5</v>
      </c>
      <c r="BS79" s="106" t="n">
        <f aca="false">SUM(AP79:BR79)/60</f>
        <v>1.525</v>
      </c>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row>
    <row r="80" s="74" customFormat="true" ht="14.9" hidden="true" customHeight="true" outlineLevel="0" collapsed="false">
      <c r="A80" s="74" t="n">
        <f aca="false">MONTH(B80)</f>
        <v>8</v>
      </c>
      <c r="B80" s="75" t="n">
        <v>44417</v>
      </c>
      <c r="C80" s="76" t="s">
        <v>51</v>
      </c>
      <c r="D80" s="77" t="str">
        <f aca="false">IFERROR(VLOOKUP(E:E,'Item Data Support Sheet'!A:O,7,0),"")</f>
        <v>NIPPLE POSTCURE</v>
      </c>
      <c r="E80" s="108" t="s">
        <v>57</v>
      </c>
      <c r="F80" s="80"/>
      <c r="G80" s="77" t="s">
        <v>149</v>
      </c>
      <c r="H80" s="79" t="str">
        <f aca="false">IFERROR(VLOOKUP(E:E,'Item Data Support Sheet'!A:O,2,0),"")</f>
        <v>NIPPLE S TYPE S SIZE POSTCURED</v>
      </c>
      <c r="I80" s="80" t="s">
        <v>289</v>
      </c>
      <c r="J80" s="80" t="s">
        <v>148</v>
      </c>
      <c r="K80" s="81" t="n">
        <v>2.5</v>
      </c>
      <c r="L80" s="82" t="n">
        <v>3400</v>
      </c>
      <c r="M80" s="83" t="n">
        <f aca="false">IFERROR(L80/K80,0)</f>
        <v>1360</v>
      </c>
      <c r="N80" s="84" t="n">
        <f aca="false">+O80+Q80+T80+U80</f>
        <v>3400</v>
      </c>
      <c r="O80" s="85" t="n">
        <v>3400</v>
      </c>
      <c r="P80" s="86" t="n">
        <v>0</v>
      </c>
      <c r="Q80" s="87" t="n">
        <v>0</v>
      </c>
      <c r="R80" s="88" t="n">
        <v>0</v>
      </c>
      <c r="S80" s="88" t="n">
        <v>0</v>
      </c>
      <c r="T80" s="88" t="n">
        <v>0</v>
      </c>
      <c r="U80" s="88" t="n">
        <v>0</v>
      </c>
      <c r="V80" s="89" t="n">
        <v>1</v>
      </c>
      <c r="W80" s="90" t="n">
        <f aca="false">IFERROR(O80/V80,0)</f>
        <v>3400</v>
      </c>
      <c r="X80" s="91" t="n">
        <f aca="false">O80/L80</f>
        <v>1</v>
      </c>
      <c r="Y80" s="92" t="str">
        <f aca="false">IFERROR(VLOOKUP(E:E,'Item Data Support Sheet'!A:J,6,0),0)</f>
        <v>FO011</v>
      </c>
      <c r="Z80" s="93" t="n">
        <f aca="false">IFERROR(VLOOKUP(E:E,'Item Data Support Sheet'!A:O,4,0),0)</f>
        <v>0</v>
      </c>
      <c r="AA80" s="93" t="n">
        <f aca="false">IFERROR(((N80)*(Z80/1000))+P80,0)</f>
        <v>0</v>
      </c>
      <c r="AB80" s="94" t="str">
        <f aca="false">IFERROR((O80*(Z80/1000)/(AA80))," ")</f>
        <v> </v>
      </c>
      <c r="AC80" s="95" t="n">
        <f aca="false">IFERROR((T80)/((T80)+O80),0)</f>
        <v>0</v>
      </c>
      <c r="AD80" s="96" t="n">
        <f aca="false">IFERROR(Q80/(Q80+N80),0)</f>
        <v>0</v>
      </c>
      <c r="AE80" s="91" t="n">
        <f aca="false">(N80-T80)/N80</f>
        <v>1</v>
      </c>
      <c r="AF80" s="97" t="n">
        <f aca="false">BR80</f>
        <v>0</v>
      </c>
      <c r="AG80" s="98" t="n">
        <f aca="false">K80-AF80</f>
        <v>2.5</v>
      </c>
      <c r="AH80" s="99" t="n">
        <f aca="false">IFERROR(AG80/K80," ")</f>
        <v>1</v>
      </c>
      <c r="AI80" s="100" t="n">
        <f aca="false">IFERROR(O80/K80,0)</f>
        <v>1360</v>
      </c>
      <c r="AJ80" s="101" t="n">
        <f aca="false">VLOOKUP(D80,'Standard Cycle time'!C:D,2,0)</f>
        <v>2.3</v>
      </c>
      <c r="AK80" s="101" t="n">
        <f aca="false">AG80*V80*3600/O80</f>
        <v>2.64705882352941</v>
      </c>
      <c r="AL80" s="102" t="n">
        <f aca="false">AJ80/AK80</f>
        <v>0.868888888888889</v>
      </c>
      <c r="AM80" s="99" t="n">
        <f aca="false">AE80*AL80*AH80</f>
        <v>0.868888888888889</v>
      </c>
      <c r="AN80" s="103" t="n">
        <v>2293</v>
      </c>
      <c r="AO80" s="104"/>
      <c r="AP80" s="105" t="n">
        <v>0</v>
      </c>
      <c r="AQ80" s="105" t="n">
        <v>0</v>
      </c>
      <c r="AR80" s="105" t="n">
        <v>0</v>
      </c>
      <c r="AS80" s="105" t="n">
        <v>0</v>
      </c>
      <c r="AT80" s="105" t="n">
        <v>0</v>
      </c>
      <c r="AU80" s="105" t="n">
        <v>0</v>
      </c>
      <c r="AV80" s="105" t="n">
        <v>0</v>
      </c>
      <c r="AW80" s="105" t="n">
        <v>0</v>
      </c>
      <c r="AX80" s="105" t="n">
        <v>0</v>
      </c>
      <c r="AY80" s="105" t="n">
        <v>0</v>
      </c>
      <c r="AZ80" s="105" t="n">
        <v>0</v>
      </c>
      <c r="BA80" s="105" t="n">
        <v>0</v>
      </c>
      <c r="BB80" s="105" t="n">
        <v>0</v>
      </c>
      <c r="BC80" s="105" t="n">
        <v>0</v>
      </c>
      <c r="BD80" s="105" t="n">
        <v>0</v>
      </c>
      <c r="BE80" s="105" t="n">
        <v>0</v>
      </c>
      <c r="BF80" s="105" t="n">
        <v>0</v>
      </c>
      <c r="BG80" s="105" t="n">
        <v>0</v>
      </c>
      <c r="BH80" s="105" t="n">
        <v>0</v>
      </c>
      <c r="BI80" s="105" t="n">
        <v>0</v>
      </c>
      <c r="BJ80" s="105" t="n">
        <v>0</v>
      </c>
      <c r="BK80" s="105" t="n">
        <v>0</v>
      </c>
      <c r="BL80" s="105" t="n">
        <v>0</v>
      </c>
      <c r="BM80" s="105" t="n">
        <v>0</v>
      </c>
      <c r="BN80" s="105" t="n">
        <v>0</v>
      </c>
      <c r="BO80" s="105" t="n">
        <v>0</v>
      </c>
      <c r="BP80" s="105" t="n">
        <v>0</v>
      </c>
      <c r="BQ80" s="105" t="n">
        <v>0</v>
      </c>
      <c r="BR80" s="106" t="n">
        <f aca="false">SUM(AP80:BQ80)/60</f>
        <v>0</v>
      </c>
      <c r="BS80" s="106" t="n">
        <f aca="false">SUM(AP80:BR80)/60</f>
        <v>0</v>
      </c>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row>
    <row r="81" s="74" customFormat="true" ht="14.9" hidden="true" customHeight="true" outlineLevel="0" collapsed="false">
      <c r="A81" s="74" t="n">
        <f aca="false">MONTH(B81)</f>
        <v>8</v>
      </c>
      <c r="B81" s="75" t="n">
        <v>44417</v>
      </c>
      <c r="C81" s="76" t="s">
        <v>51</v>
      </c>
      <c r="D81" s="77" t="str">
        <f aca="false">IFERROR(VLOOKUP(E:E,'Item Data Support Sheet'!A:O,7,0),"")</f>
        <v>NIPPLE PUNCH</v>
      </c>
      <c r="E81" s="80" t="s">
        <v>60</v>
      </c>
      <c r="F81" s="78"/>
      <c r="G81" s="77" t="s">
        <v>54</v>
      </c>
      <c r="H81" s="79" t="str">
        <f aca="false">IFERROR(VLOOKUP(E:E,'Item Data Support Sheet'!A:O,2,0),"")</f>
        <v>NIPPLE S TYPE M SIZE PUNCHED</v>
      </c>
      <c r="I81" s="80" t="s">
        <v>290</v>
      </c>
      <c r="J81" s="80" t="s">
        <v>148</v>
      </c>
      <c r="K81" s="81" t="n">
        <v>4</v>
      </c>
      <c r="L81" s="82" t="n">
        <v>3000</v>
      </c>
      <c r="M81" s="83" t="n">
        <f aca="false">IFERROR(L81/K81,0)</f>
        <v>750</v>
      </c>
      <c r="N81" s="84" t="n">
        <f aca="false">+O81+Q81+T81+U81</f>
        <v>2992</v>
      </c>
      <c r="O81" s="85" t="n">
        <f aca="false">3012-20</f>
        <v>2992</v>
      </c>
      <c r="P81" s="86" t="n">
        <v>0</v>
      </c>
      <c r="Q81" s="87" t="n">
        <v>0</v>
      </c>
      <c r="R81" s="88" t="n">
        <v>0</v>
      </c>
      <c r="S81" s="88" t="n">
        <v>0</v>
      </c>
      <c r="T81" s="88" t="n">
        <v>0</v>
      </c>
      <c r="U81" s="88" t="n">
        <v>0</v>
      </c>
      <c r="V81" s="89" t="n">
        <v>1</v>
      </c>
      <c r="W81" s="90" t="n">
        <f aca="false">IFERROR(O81/V81,0)</f>
        <v>2992</v>
      </c>
      <c r="X81" s="91" t="n">
        <f aca="false">O81/L81</f>
        <v>0.997333333333333</v>
      </c>
      <c r="Y81" s="92" t="str">
        <f aca="false">IFERROR(VLOOKUP(E:E,'Item Data Support Sheet'!A:J,6,0),0)</f>
        <v>FO016</v>
      </c>
      <c r="Z81" s="93" t="n">
        <f aca="false">IFERROR(VLOOKUP(E:E,'Item Data Support Sheet'!A:O,4,0),0)</f>
        <v>0</v>
      </c>
      <c r="AA81" s="93" t="n">
        <f aca="false">IFERROR(((N81)*(Z81/1000))+P81,0)</f>
        <v>0</v>
      </c>
      <c r="AB81" s="94" t="str">
        <f aca="false">IFERROR((O81*(Z81/1000)/(AA81))," ")</f>
        <v> </v>
      </c>
      <c r="AC81" s="95" t="n">
        <f aca="false">IFERROR((T81)/((T81)+O81),0)</f>
        <v>0</v>
      </c>
      <c r="AD81" s="96" t="n">
        <f aca="false">IFERROR(Q81/(Q81+N81),0)</f>
        <v>0</v>
      </c>
      <c r="AE81" s="91" t="n">
        <f aca="false">(N81-T81)/N81</f>
        <v>1</v>
      </c>
      <c r="AF81" s="97" t="n">
        <f aca="false">BR81</f>
        <v>1</v>
      </c>
      <c r="AG81" s="98" t="n">
        <f aca="false">K81-AF81</f>
        <v>3</v>
      </c>
      <c r="AH81" s="99" t="n">
        <f aca="false">IFERROR(AG81/K81," ")</f>
        <v>0.75</v>
      </c>
      <c r="AI81" s="100" t="n">
        <f aca="false">IFERROR(O81/K81,0)</f>
        <v>748</v>
      </c>
      <c r="AJ81" s="101" t="n">
        <f aca="false">VLOOKUP(D81,'Standard Cycle time'!C:D,2,0)</f>
        <v>3.5</v>
      </c>
      <c r="AK81" s="101" t="n">
        <f aca="false">AG81*V81*3600/O81</f>
        <v>3.6096256684492</v>
      </c>
      <c r="AL81" s="102" t="n">
        <f aca="false">AJ81/AK81</f>
        <v>0.96962962962963</v>
      </c>
      <c r="AM81" s="99" t="n">
        <f aca="false">AE81*AL81*AH81</f>
        <v>0.727222222222222</v>
      </c>
      <c r="AN81" s="103" t="n">
        <v>2297</v>
      </c>
      <c r="AO81" s="109" t="s">
        <v>247</v>
      </c>
      <c r="AP81" s="105" t="n">
        <v>30</v>
      </c>
      <c r="AQ81" s="105" t="n">
        <v>0</v>
      </c>
      <c r="AR81" s="105" t="n">
        <v>0</v>
      </c>
      <c r="AS81" s="105" t="n">
        <v>0</v>
      </c>
      <c r="AT81" s="105" t="n">
        <v>0</v>
      </c>
      <c r="AU81" s="105" t="n">
        <v>0</v>
      </c>
      <c r="AV81" s="105" t="n">
        <v>30</v>
      </c>
      <c r="AW81" s="105" t="n">
        <v>0</v>
      </c>
      <c r="AX81" s="105" t="n">
        <v>0</v>
      </c>
      <c r="AY81" s="105" t="n">
        <v>0</v>
      </c>
      <c r="AZ81" s="105" t="n">
        <v>0</v>
      </c>
      <c r="BA81" s="105" t="n">
        <v>0</v>
      </c>
      <c r="BB81" s="105" t="n">
        <v>0</v>
      </c>
      <c r="BC81" s="105" t="n">
        <v>0</v>
      </c>
      <c r="BD81" s="105" t="n">
        <v>0</v>
      </c>
      <c r="BE81" s="105" t="n">
        <v>0</v>
      </c>
      <c r="BF81" s="105" t="n">
        <v>0</v>
      </c>
      <c r="BG81" s="105" t="n">
        <v>0</v>
      </c>
      <c r="BH81" s="105" t="n">
        <v>0</v>
      </c>
      <c r="BI81" s="105" t="n">
        <v>0</v>
      </c>
      <c r="BJ81" s="105" t="n">
        <v>0</v>
      </c>
      <c r="BK81" s="105" t="n">
        <v>0</v>
      </c>
      <c r="BL81" s="105" t="n">
        <v>0</v>
      </c>
      <c r="BM81" s="105" t="n">
        <v>0</v>
      </c>
      <c r="BN81" s="105" t="n">
        <v>0</v>
      </c>
      <c r="BO81" s="105" t="n">
        <v>0</v>
      </c>
      <c r="BP81" s="105" t="n">
        <v>0</v>
      </c>
      <c r="BQ81" s="105" t="n">
        <v>0</v>
      </c>
      <c r="BR81" s="106" t="n">
        <f aca="false">SUM(AP81:BQ81)/60</f>
        <v>1</v>
      </c>
      <c r="BS81" s="106" t="n">
        <f aca="false">SUM(AP81:BR81)/60</f>
        <v>1.01666666666667</v>
      </c>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row>
    <row r="82" s="74" customFormat="true" ht="14.9" hidden="true" customHeight="true" outlineLevel="0" collapsed="false">
      <c r="A82" s="74" t="n">
        <f aca="false">MONTH(B82)</f>
        <v>8</v>
      </c>
      <c r="B82" s="75" t="n">
        <v>44417</v>
      </c>
      <c r="C82" s="76" t="s">
        <v>51</v>
      </c>
      <c r="D82" s="77" t="str">
        <f aca="false">IFERROR(VLOOKUP(E:E,'Item Data Support Sheet'!A:O,7,0),"")</f>
        <v>NIPPLE PUNCH</v>
      </c>
      <c r="E82" s="108" t="s">
        <v>53</v>
      </c>
      <c r="F82" s="80"/>
      <c r="G82" s="77" t="s">
        <v>54</v>
      </c>
      <c r="H82" s="79" t="str">
        <f aca="false">IFERROR(VLOOKUP(E:E,'Item Data Support Sheet'!A:O,2,0),"")</f>
        <v>NIPPLE S TYPE S SIZE PUNCHED</v>
      </c>
      <c r="I82" s="80" t="s">
        <v>291</v>
      </c>
      <c r="J82" s="80" t="s">
        <v>148</v>
      </c>
      <c r="K82" s="81" t="n">
        <v>4</v>
      </c>
      <c r="L82" s="82" t="n">
        <v>2036</v>
      </c>
      <c r="M82" s="83" t="n">
        <f aca="false">IFERROR(L82/K82,0)</f>
        <v>509</v>
      </c>
      <c r="N82" s="84" t="n">
        <f aca="false">+O82+Q82+T82+U82</f>
        <v>3000</v>
      </c>
      <c r="O82" s="85" t="n">
        <v>2992</v>
      </c>
      <c r="P82" s="86" t="n">
        <v>0</v>
      </c>
      <c r="Q82" s="87" t="n">
        <v>0</v>
      </c>
      <c r="R82" s="88" t="n">
        <v>0</v>
      </c>
      <c r="S82" s="88" t="n">
        <v>0</v>
      </c>
      <c r="T82" s="88" t="n">
        <v>0</v>
      </c>
      <c r="U82" s="88" t="n">
        <v>8</v>
      </c>
      <c r="V82" s="89" t="n">
        <v>1</v>
      </c>
      <c r="W82" s="90" t="n">
        <f aca="false">IFERROR(O82/V82,0)</f>
        <v>2992</v>
      </c>
      <c r="X82" s="91" t="n">
        <f aca="false">O82/L82</f>
        <v>1.46954813359529</v>
      </c>
      <c r="Y82" s="92" t="str">
        <f aca="false">IFERROR(VLOOKUP(E:E,'Item Data Support Sheet'!A:J,6,0),0)</f>
        <v>FO015</v>
      </c>
      <c r="Z82" s="93" t="n">
        <f aca="false">IFERROR(VLOOKUP(E:E,'Item Data Support Sheet'!A:O,4,0),0)</f>
        <v>0</v>
      </c>
      <c r="AA82" s="93" t="n">
        <f aca="false">IFERROR(((N82)*(Z82/1000))+P82,0)</f>
        <v>0</v>
      </c>
      <c r="AB82" s="94" t="str">
        <f aca="false">IFERROR((O82*(Z82/1000)/(AA82))," ")</f>
        <v> </v>
      </c>
      <c r="AC82" s="95" t="n">
        <f aca="false">IFERROR((T82)/((T82)+O82),0)</f>
        <v>0</v>
      </c>
      <c r="AD82" s="96" t="n">
        <f aca="false">IFERROR(Q82/(Q82+N82),0)</f>
        <v>0</v>
      </c>
      <c r="AE82" s="91" t="n">
        <f aca="false">(N82-T82)/N82</f>
        <v>1</v>
      </c>
      <c r="AF82" s="97" t="n">
        <f aca="false">BR82</f>
        <v>1</v>
      </c>
      <c r="AG82" s="98" t="n">
        <f aca="false">K82-AF82</f>
        <v>3</v>
      </c>
      <c r="AH82" s="99" t="n">
        <f aca="false">IFERROR(AG82/K82," ")</f>
        <v>0.75</v>
      </c>
      <c r="AI82" s="100" t="n">
        <f aca="false">IFERROR(O82/K82,0)</f>
        <v>748</v>
      </c>
      <c r="AJ82" s="101" t="n">
        <f aca="false">VLOOKUP(D82,'Standard Cycle time'!C:D,2,0)</f>
        <v>3.5</v>
      </c>
      <c r="AK82" s="101" t="n">
        <f aca="false">AG82*V82*3600/O82</f>
        <v>3.6096256684492</v>
      </c>
      <c r="AL82" s="102" t="n">
        <f aca="false">AJ82/AK82</f>
        <v>0.96962962962963</v>
      </c>
      <c r="AM82" s="99" t="n">
        <f aca="false">AE82*AL82*AH82</f>
        <v>0.727222222222222</v>
      </c>
      <c r="AN82" s="103" t="n">
        <v>2295</v>
      </c>
      <c r="AO82" s="109" t="s">
        <v>292</v>
      </c>
      <c r="AP82" s="105" t="n">
        <v>0</v>
      </c>
      <c r="AQ82" s="105" t="n">
        <v>30</v>
      </c>
      <c r="AR82" s="105" t="n">
        <v>0</v>
      </c>
      <c r="AS82" s="105" t="n">
        <v>0</v>
      </c>
      <c r="AT82" s="105" t="n">
        <v>0</v>
      </c>
      <c r="AU82" s="105" t="n">
        <v>0</v>
      </c>
      <c r="AV82" s="105" t="n">
        <v>0</v>
      </c>
      <c r="AW82" s="105" t="n">
        <v>0</v>
      </c>
      <c r="AX82" s="105" t="n">
        <v>0</v>
      </c>
      <c r="AY82" s="105" t="n">
        <v>0</v>
      </c>
      <c r="AZ82" s="105" t="n">
        <v>0</v>
      </c>
      <c r="BA82" s="105" t="n">
        <v>30</v>
      </c>
      <c r="BB82" s="105" t="n">
        <v>0</v>
      </c>
      <c r="BC82" s="105" t="n">
        <v>0</v>
      </c>
      <c r="BD82" s="105" t="n">
        <v>0</v>
      </c>
      <c r="BE82" s="105" t="n">
        <v>0</v>
      </c>
      <c r="BF82" s="105" t="n">
        <v>0</v>
      </c>
      <c r="BG82" s="105" t="n">
        <v>0</v>
      </c>
      <c r="BH82" s="105" t="n">
        <v>0</v>
      </c>
      <c r="BI82" s="105" t="n">
        <v>0</v>
      </c>
      <c r="BJ82" s="105" t="n">
        <v>0</v>
      </c>
      <c r="BK82" s="105" t="n">
        <v>0</v>
      </c>
      <c r="BL82" s="105" t="n">
        <v>0</v>
      </c>
      <c r="BM82" s="105" t="n">
        <v>0</v>
      </c>
      <c r="BN82" s="105" t="n">
        <v>0</v>
      </c>
      <c r="BO82" s="105" t="n">
        <v>0</v>
      </c>
      <c r="BP82" s="105" t="n">
        <v>0</v>
      </c>
      <c r="BQ82" s="105" t="n">
        <v>0</v>
      </c>
      <c r="BR82" s="106" t="n">
        <f aca="false">SUM(AP82:BQ82)/60</f>
        <v>1</v>
      </c>
      <c r="BS82" s="106" t="n">
        <f aca="false">SUM(AP82:BR82)/60</f>
        <v>1.01666666666667</v>
      </c>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row>
    <row r="83" s="74" customFormat="true" ht="14.9" hidden="true" customHeight="true" outlineLevel="0" collapsed="false">
      <c r="A83" s="74" t="n">
        <f aca="false">MONTH(B83)</f>
        <v>8</v>
      </c>
      <c r="B83" s="75" t="n">
        <v>44417</v>
      </c>
      <c r="C83" s="76" t="s">
        <v>63</v>
      </c>
      <c r="D83" s="77" t="str">
        <f aca="false">IFERROR(VLOOKUP(E:E,'Item Data Support Sheet'!A:O,7,0),"")</f>
        <v>BOTTLE PRINTED</v>
      </c>
      <c r="E83" s="108" t="s">
        <v>270</v>
      </c>
      <c r="F83" s="80"/>
      <c r="G83" s="77" t="s">
        <v>66</v>
      </c>
      <c r="H83" s="79" t="str">
        <f aca="false">IFERROR(VLOOKUP(E:E,'Item Data Support Sheet'!A:O,2,0),"")</f>
        <v>RPP 120 ML BOTTLE PRINTED</v>
      </c>
      <c r="I83" s="80" t="s">
        <v>293</v>
      </c>
      <c r="J83" s="80" t="s">
        <v>161</v>
      </c>
      <c r="K83" s="81" t="n">
        <v>8.5</v>
      </c>
      <c r="L83" s="82" t="n">
        <v>5100</v>
      </c>
      <c r="M83" s="83" t="n">
        <f aca="false">IFERROR(L83/K83,0)</f>
        <v>600</v>
      </c>
      <c r="N83" s="84" t="n">
        <f aca="false">+O83+Q83+T83+U83</f>
        <v>6353</v>
      </c>
      <c r="O83" s="85" t="n">
        <v>6322</v>
      </c>
      <c r="P83" s="86" t="n">
        <v>0</v>
      </c>
      <c r="Q83" s="87" t="n">
        <v>0</v>
      </c>
      <c r="R83" s="88" t="n">
        <v>54</v>
      </c>
      <c r="S83" s="88" t="n">
        <v>0</v>
      </c>
      <c r="T83" s="88" t="n">
        <v>31</v>
      </c>
      <c r="U83" s="88" t="n">
        <v>0</v>
      </c>
      <c r="V83" s="89" t="n">
        <v>6</v>
      </c>
      <c r="W83" s="90" t="n">
        <f aca="false">IFERROR(O83/V83,0)</f>
        <v>1053.66666666667</v>
      </c>
      <c r="X83" s="91" t="n">
        <f aca="false">O83/L83</f>
        <v>1.23960784313725</v>
      </c>
      <c r="Y83" s="92" t="str">
        <f aca="false">IFERROR(VLOOKUP(E:E,'Item Data Support Sheet'!A:J,6,0),0)</f>
        <v>FO004</v>
      </c>
      <c r="Z83" s="93" t="n">
        <f aca="false">IFERROR(VLOOKUP(E:E,'Item Data Support Sheet'!A:O,4,0),0)</f>
        <v>0</v>
      </c>
      <c r="AA83" s="93" t="n">
        <f aca="false">IFERROR(((N83)*(Z83/1000))+P83,0)</f>
        <v>0</v>
      </c>
      <c r="AB83" s="94" t="str">
        <f aca="false">IFERROR((O83*(Z83/1000)/(AA83))," ")</f>
        <v> </v>
      </c>
      <c r="AC83" s="95" t="n">
        <f aca="false">IFERROR((T83)/((T83)+O83),0)</f>
        <v>0.00487958444829215</v>
      </c>
      <c r="AD83" s="96" t="n">
        <f aca="false">IFERROR(Q83/(Q83+N83),0)</f>
        <v>0</v>
      </c>
      <c r="AE83" s="91" t="n">
        <f aca="false">(N83-T83)/N83</f>
        <v>0.995120415551708</v>
      </c>
      <c r="AF83" s="97" t="n">
        <f aca="false">BR83</f>
        <v>0.833333333333333</v>
      </c>
      <c r="AG83" s="98" t="n">
        <f aca="false">K83-AF83</f>
        <v>7.66666666666667</v>
      </c>
      <c r="AH83" s="99" t="n">
        <f aca="false">IFERROR(AG83/K83," ")</f>
        <v>0.901960784313726</v>
      </c>
      <c r="AI83" s="100" t="n">
        <f aca="false">IFERROR(O83/K83,0)</f>
        <v>743.764705882353</v>
      </c>
      <c r="AJ83" s="101" t="n">
        <f aca="false">VLOOKUP(D83,'Standard Cycle time'!C:D,2,0)</f>
        <v>32.4</v>
      </c>
      <c r="AK83" s="101" t="n">
        <f aca="false">AG83*V83*3600/O83</f>
        <v>26.1942423283771</v>
      </c>
      <c r="AL83" s="102" t="n">
        <f aca="false">AJ83/AK83</f>
        <v>1.23691304347826</v>
      </c>
      <c r="AM83" s="99" t="n">
        <f aca="false">AE83*AL83*AH83</f>
        <v>1.11020316478551</v>
      </c>
      <c r="AN83" s="103" t="s">
        <v>294</v>
      </c>
      <c r="AO83" s="104"/>
      <c r="AP83" s="105" t="n">
        <v>50</v>
      </c>
      <c r="AQ83" s="105" t="n">
        <v>0</v>
      </c>
      <c r="AR83" s="105" t="n">
        <v>0</v>
      </c>
      <c r="AS83" s="105" t="n">
        <v>0</v>
      </c>
      <c r="AT83" s="105" t="n">
        <v>0</v>
      </c>
      <c r="AU83" s="105" t="n">
        <v>0</v>
      </c>
      <c r="AV83" s="105" t="n">
        <v>0</v>
      </c>
      <c r="AW83" s="105" t="n">
        <v>0</v>
      </c>
      <c r="AX83" s="105" t="n">
        <v>0</v>
      </c>
      <c r="AY83" s="105" t="n">
        <v>0</v>
      </c>
      <c r="AZ83" s="105" t="n">
        <v>0</v>
      </c>
      <c r="BA83" s="105" t="n">
        <v>0</v>
      </c>
      <c r="BB83" s="105" t="n">
        <v>0</v>
      </c>
      <c r="BC83" s="105" t="n">
        <v>0</v>
      </c>
      <c r="BD83" s="105" t="n">
        <v>0</v>
      </c>
      <c r="BE83" s="105" t="n">
        <v>0</v>
      </c>
      <c r="BF83" s="105" t="n">
        <v>0</v>
      </c>
      <c r="BG83" s="105" t="n">
        <v>0</v>
      </c>
      <c r="BH83" s="105" t="n">
        <v>0</v>
      </c>
      <c r="BI83" s="105" t="n">
        <v>0</v>
      </c>
      <c r="BJ83" s="105" t="n">
        <v>0</v>
      </c>
      <c r="BK83" s="105" t="n">
        <v>0</v>
      </c>
      <c r="BL83" s="105" t="n">
        <v>0</v>
      </c>
      <c r="BM83" s="105" t="n">
        <v>0</v>
      </c>
      <c r="BN83" s="105" t="n">
        <v>0</v>
      </c>
      <c r="BO83" s="105" t="n">
        <v>0</v>
      </c>
      <c r="BP83" s="105" t="n">
        <v>0</v>
      </c>
      <c r="BQ83" s="105" t="n">
        <v>0</v>
      </c>
      <c r="BR83" s="106" t="n">
        <f aca="false">SUM(AP83:BQ83)/60</f>
        <v>0.833333333333333</v>
      </c>
      <c r="BS83" s="106" t="n">
        <f aca="false">SUM(AP83:BR83)/60</f>
        <v>0.847222222222222</v>
      </c>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row>
    <row r="84" s="74" customFormat="true" ht="14.9" hidden="true" customHeight="true" outlineLevel="0" collapsed="false">
      <c r="A84" s="74" t="n">
        <f aca="false">MONTH(B84)</f>
        <v>8</v>
      </c>
      <c r="B84" s="75" t="n">
        <v>44417</v>
      </c>
      <c r="C84" s="76" t="s">
        <v>63</v>
      </c>
      <c r="D84" s="77" t="str">
        <f aca="false">IFERROR(VLOOKUP(E:E,'Item Data Support Sheet'!A:O,7,0),"")</f>
        <v>NIPPLE PUNCH INSPECTED</v>
      </c>
      <c r="E84" s="108" t="s">
        <v>182</v>
      </c>
      <c r="F84" s="78"/>
      <c r="G84" s="77"/>
      <c r="H84" s="79" t="str">
        <f aca="false">IFERROR(VLOOKUP(E:E,'Item Data Support Sheet'!A:O,2,0),"")</f>
        <v>NIPPLE S TYPE M SIZE PUNCHED INSPECTED</v>
      </c>
      <c r="I84" s="80" t="s">
        <v>295</v>
      </c>
      <c r="J84" s="80" t="s">
        <v>158</v>
      </c>
      <c r="K84" s="81" t="n">
        <v>4.5</v>
      </c>
      <c r="L84" s="82" t="n">
        <v>8091</v>
      </c>
      <c r="M84" s="83" t="n">
        <f aca="false">IFERROR(L84/K84,0)</f>
        <v>1798</v>
      </c>
      <c r="N84" s="84" t="n">
        <f aca="false">+O84+Q84+T84+U84</f>
        <v>7612</v>
      </c>
      <c r="O84" s="85" t="n">
        <v>7570</v>
      </c>
      <c r="P84" s="86" t="n">
        <v>0</v>
      </c>
      <c r="Q84" s="87" t="n">
        <v>0</v>
      </c>
      <c r="R84" s="88" t="n">
        <v>0</v>
      </c>
      <c r="S84" s="88" t="n">
        <v>0</v>
      </c>
      <c r="T84" s="88" t="n">
        <v>42</v>
      </c>
      <c r="U84" s="88" t="n">
        <v>0</v>
      </c>
      <c r="V84" s="89" t="n">
        <v>2</v>
      </c>
      <c r="W84" s="90" t="n">
        <f aca="false">IFERROR(O84/V84,0)</f>
        <v>3785</v>
      </c>
      <c r="X84" s="91" t="n">
        <f aca="false">O84/L84</f>
        <v>0.935607465084662</v>
      </c>
      <c r="Y84" s="92" t="str">
        <f aca="false">IFERROR(VLOOKUP(E:E,'Item Data Support Sheet'!A:J,6,0),0)</f>
        <v>FO105</v>
      </c>
      <c r="Z84" s="93" t="n">
        <f aca="false">IFERROR(VLOOKUP(E:E,'Item Data Support Sheet'!A:O,4,0),0)</f>
        <v>0</v>
      </c>
      <c r="AA84" s="93" t="n">
        <f aca="false">IFERROR(((N84)*(Z84/1000))+P84,0)</f>
        <v>0</v>
      </c>
      <c r="AB84" s="94" t="str">
        <f aca="false">IFERROR((O84*(Z84/1000)/(AA84))," ")</f>
        <v> </v>
      </c>
      <c r="AC84" s="95" t="n">
        <f aca="false">IFERROR((T84)/((T84)+O84),0)</f>
        <v>0.00551760378349974</v>
      </c>
      <c r="AD84" s="96" t="n">
        <f aca="false">IFERROR(Q84/(Q84+N84),0)</f>
        <v>0</v>
      </c>
      <c r="AE84" s="91" t="n">
        <f aca="false">(N84-T84)/N84</f>
        <v>0.9944823962165</v>
      </c>
      <c r="AF84" s="97" t="n">
        <f aca="false">BR84</f>
        <v>0.666666666666667</v>
      </c>
      <c r="AG84" s="98" t="n">
        <f aca="false">K84-AF84</f>
        <v>3.83333333333333</v>
      </c>
      <c r="AH84" s="99" t="n">
        <f aca="false">IFERROR(AG84/K84," ")</f>
        <v>0.851851851851852</v>
      </c>
      <c r="AI84" s="100" t="n">
        <f aca="false">IFERROR(O84/K84,0)</f>
        <v>1682.22222222222</v>
      </c>
      <c r="AJ84" s="101" t="n">
        <f aca="false">VLOOKUP(D84,'Standard Cycle time'!C:D,2,0)</f>
        <v>4</v>
      </c>
      <c r="AK84" s="101" t="n">
        <f aca="false">AG84*V84*3600/O84</f>
        <v>3.64597093791281</v>
      </c>
      <c r="AL84" s="102" t="n">
        <f aca="false">AJ84/AK84</f>
        <v>1.09710144927536</v>
      </c>
      <c r="AM84" s="99" t="n">
        <f aca="false">AE84*AL84*AH84</f>
        <v>0.929411325846779</v>
      </c>
      <c r="AN84" s="103" t="s">
        <v>296</v>
      </c>
      <c r="AO84" s="109"/>
      <c r="AP84" s="105" t="n">
        <v>40</v>
      </c>
      <c r="AQ84" s="105" t="n">
        <v>0</v>
      </c>
      <c r="AR84" s="105" t="n">
        <v>0</v>
      </c>
      <c r="AS84" s="105" t="n">
        <v>0</v>
      </c>
      <c r="AT84" s="105" t="n">
        <v>0</v>
      </c>
      <c r="AU84" s="105" t="n">
        <v>0</v>
      </c>
      <c r="AV84" s="105" t="n">
        <v>0</v>
      </c>
      <c r="AW84" s="105" t="n">
        <v>0</v>
      </c>
      <c r="AX84" s="105" t="n">
        <v>0</v>
      </c>
      <c r="AY84" s="105" t="n">
        <v>0</v>
      </c>
      <c r="AZ84" s="105" t="n">
        <v>0</v>
      </c>
      <c r="BA84" s="105" t="n">
        <v>0</v>
      </c>
      <c r="BB84" s="105" t="n">
        <v>0</v>
      </c>
      <c r="BC84" s="105" t="n">
        <v>0</v>
      </c>
      <c r="BD84" s="105" t="n">
        <v>0</v>
      </c>
      <c r="BE84" s="105" t="n">
        <v>0</v>
      </c>
      <c r="BF84" s="105" t="n">
        <v>0</v>
      </c>
      <c r="BG84" s="105" t="n">
        <v>0</v>
      </c>
      <c r="BH84" s="105" t="n">
        <v>0</v>
      </c>
      <c r="BI84" s="105" t="n">
        <v>0</v>
      </c>
      <c r="BJ84" s="105" t="n">
        <v>0</v>
      </c>
      <c r="BK84" s="105" t="n">
        <v>0</v>
      </c>
      <c r="BL84" s="105" t="n">
        <v>0</v>
      </c>
      <c r="BM84" s="105" t="n">
        <v>0</v>
      </c>
      <c r="BN84" s="105" t="n">
        <v>0</v>
      </c>
      <c r="BO84" s="105" t="n">
        <v>0</v>
      </c>
      <c r="BP84" s="105" t="n">
        <v>0</v>
      </c>
      <c r="BQ84" s="105" t="n">
        <v>0</v>
      </c>
      <c r="BR84" s="106" t="n">
        <f aca="false">SUM(AP84:BQ84)/60</f>
        <v>0.666666666666667</v>
      </c>
      <c r="BS84" s="106" t="n">
        <f aca="false">SUM(AP84:BR84)/60</f>
        <v>0.677777777777778</v>
      </c>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row>
    <row r="85" s="74" customFormat="true" ht="14.9" hidden="true" customHeight="true" outlineLevel="0" collapsed="false">
      <c r="A85" s="74" t="n">
        <f aca="false">MONTH(B85)</f>
        <v>8</v>
      </c>
      <c r="B85" s="75" t="n">
        <v>44417</v>
      </c>
      <c r="C85" s="76" t="s">
        <v>63</v>
      </c>
      <c r="D85" s="77" t="str">
        <f aca="false">IFERROR(VLOOKUP(E:E,'Item Data Support Sheet'!A:O,7,0),"")</f>
        <v>NIPPLE PUNCH INSPECTED</v>
      </c>
      <c r="E85" s="108" t="s">
        <v>297</v>
      </c>
      <c r="F85" s="80"/>
      <c r="G85" s="77"/>
      <c r="H85" s="79" t="str">
        <f aca="false">IFERROR(VLOOKUP(E:E,'Item Data Support Sheet'!A:O,2,0),"")</f>
        <v>NIPPLE S TYPE S SIZE PUNCHED INSPECTED</v>
      </c>
      <c r="I85" s="80" t="s">
        <v>291</v>
      </c>
      <c r="J85" s="80" t="s">
        <v>158</v>
      </c>
      <c r="K85" s="81" t="n">
        <v>4</v>
      </c>
      <c r="L85" s="82" t="n">
        <v>6091</v>
      </c>
      <c r="M85" s="83" t="n">
        <f aca="false">IFERROR(L85/K85,0)</f>
        <v>1522.75</v>
      </c>
      <c r="N85" s="84" t="n">
        <f aca="false">+O85+Q85+T85+U85</f>
        <v>4792</v>
      </c>
      <c r="O85" s="85" t="n">
        <v>4772</v>
      </c>
      <c r="P85" s="86" t="n">
        <v>0</v>
      </c>
      <c r="Q85" s="87" t="n">
        <v>0</v>
      </c>
      <c r="R85" s="88" t="n">
        <v>0</v>
      </c>
      <c r="S85" s="88" t="n">
        <v>0</v>
      </c>
      <c r="T85" s="88" t="n">
        <v>20</v>
      </c>
      <c r="U85" s="88" t="n">
        <v>0</v>
      </c>
      <c r="V85" s="89" t="n">
        <v>2</v>
      </c>
      <c r="W85" s="90" t="n">
        <f aca="false">IFERROR(O85/V85,0)</f>
        <v>2386</v>
      </c>
      <c r="X85" s="91" t="n">
        <f aca="false">O85/L85</f>
        <v>0.783450993268757</v>
      </c>
      <c r="Y85" s="92" t="str">
        <f aca="false">IFERROR(VLOOKUP(E:E,'Item Data Support Sheet'!A:J,6,0),0)</f>
        <v>FO104</v>
      </c>
      <c r="Z85" s="93" t="n">
        <f aca="false">IFERROR(VLOOKUP(E:E,'Item Data Support Sheet'!A:O,4,0),0)</f>
        <v>0</v>
      </c>
      <c r="AA85" s="93" t="n">
        <f aca="false">IFERROR(((N85)*(Z85/1000))+P85,0)</f>
        <v>0</v>
      </c>
      <c r="AB85" s="94" t="str">
        <f aca="false">IFERROR((O85*(Z85/1000)/(AA85))," ")</f>
        <v> </v>
      </c>
      <c r="AC85" s="95" t="n">
        <f aca="false">IFERROR((T85)/((T85)+O85),0)</f>
        <v>0.00417362270450751</v>
      </c>
      <c r="AD85" s="96" t="n">
        <f aca="false">IFERROR(Q85/(Q85+N85),0)</f>
        <v>0</v>
      </c>
      <c r="AE85" s="91" t="n">
        <f aca="false">(N85-T85)/N85</f>
        <v>0.995826377295492</v>
      </c>
      <c r="AF85" s="97" t="n">
        <f aca="false">BR85</f>
        <v>1.66666666666667</v>
      </c>
      <c r="AG85" s="98" t="n">
        <f aca="false">K85-AF85</f>
        <v>2.33333333333333</v>
      </c>
      <c r="AH85" s="99" t="n">
        <f aca="false">IFERROR(AG85/K85," ")</f>
        <v>0.583333333333333</v>
      </c>
      <c r="AI85" s="100" t="n">
        <f aca="false">IFERROR(O85/K85,0)</f>
        <v>1193</v>
      </c>
      <c r="AJ85" s="101" t="n">
        <f aca="false">VLOOKUP(D85,'Standard Cycle time'!C:D,2,0)</f>
        <v>4</v>
      </c>
      <c r="AK85" s="101" t="n">
        <f aca="false">AG85*V85*3600/O85</f>
        <v>3.52053646269908</v>
      </c>
      <c r="AL85" s="102" t="n">
        <f aca="false">AJ85/AK85</f>
        <v>1.13619047619048</v>
      </c>
      <c r="AM85" s="99" t="n">
        <f aca="false">AE85*AL85*AH85</f>
        <v>0.660011593396401</v>
      </c>
      <c r="AN85" s="103" t="s">
        <v>298</v>
      </c>
      <c r="AO85" s="109" t="s">
        <v>184</v>
      </c>
      <c r="AP85" s="105" t="n">
        <v>10</v>
      </c>
      <c r="AQ85" s="105" t="n">
        <v>0</v>
      </c>
      <c r="AR85" s="105" t="n">
        <v>0</v>
      </c>
      <c r="AS85" s="105" t="n">
        <v>90</v>
      </c>
      <c r="AT85" s="105" t="n">
        <v>0</v>
      </c>
      <c r="AU85" s="105" t="n">
        <v>0</v>
      </c>
      <c r="AV85" s="105" t="n">
        <v>0</v>
      </c>
      <c r="AW85" s="105" t="n">
        <v>0</v>
      </c>
      <c r="AX85" s="105" t="n">
        <v>0</v>
      </c>
      <c r="AY85" s="105" t="n">
        <v>0</v>
      </c>
      <c r="AZ85" s="105" t="n">
        <v>0</v>
      </c>
      <c r="BA85" s="105" t="n">
        <v>0</v>
      </c>
      <c r="BB85" s="105" t="n">
        <v>0</v>
      </c>
      <c r="BC85" s="105" t="n">
        <v>0</v>
      </c>
      <c r="BD85" s="105" t="n">
        <v>0</v>
      </c>
      <c r="BE85" s="105" t="n">
        <v>0</v>
      </c>
      <c r="BF85" s="105" t="n">
        <v>0</v>
      </c>
      <c r="BG85" s="105" t="n">
        <v>0</v>
      </c>
      <c r="BH85" s="105" t="n">
        <v>0</v>
      </c>
      <c r="BI85" s="105" t="n">
        <v>0</v>
      </c>
      <c r="BJ85" s="105" t="n">
        <v>0</v>
      </c>
      <c r="BK85" s="105" t="n">
        <v>0</v>
      </c>
      <c r="BL85" s="105" t="n">
        <v>0</v>
      </c>
      <c r="BM85" s="105" t="n">
        <v>0</v>
      </c>
      <c r="BN85" s="105" t="n">
        <v>0</v>
      </c>
      <c r="BO85" s="105" t="n">
        <v>0</v>
      </c>
      <c r="BP85" s="105" t="n">
        <v>0</v>
      </c>
      <c r="BQ85" s="105" t="n">
        <v>0</v>
      </c>
      <c r="BR85" s="106" t="n">
        <f aca="false">SUM(AP85:BQ85)/60</f>
        <v>1.66666666666667</v>
      </c>
      <c r="BS85" s="106" t="n">
        <f aca="false">SUM(AP85:BR85)/60</f>
        <v>1.69444444444444</v>
      </c>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row>
    <row r="86" s="74" customFormat="true" ht="14.9" hidden="true" customHeight="true" outlineLevel="0" collapsed="false">
      <c r="A86" s="74" t="n">
        <f aca="false">MONTH(B86)</f>
        <v>8</v>
      </c>
      <c r="B86" s="75" t="n">
        <v>44417</v>
      </c>
      <c r="C86" s="76" t="s">
        <v>70</v>
      </c>
      <c r="D86" s="77" t="str">
        <f aca="false">IFERROR(VLOOKUP(E:E,'Item Data Support Sheet'!A:O,7,0),"")</f>
        <v>NIPPLE PUNCH</v>
      </c>
      <c r="E86" s="108" t="s">
        <v>53</v>
      </c>
      <c r="F86" s="80"/>
      <c r="G86" s="77" t="s">
        <v>54</v>
      </c>
      <c r="H86" s="79" t="str">
        <f aca="false">IFERROR(VLOOKUP(E:E,'Item Data Support Sheet'!A:O,2,0),"")</f>
        <v>NIPPLE S TYPE S SIZE PUNCHED</v>
      </c>
      <c r="I86" s="80" t="s">
        <v>299</v>
      </c>
      <c r="J86" s="80" t="s">
        <v>140</v>
      </c>
      <c r="K86" s="81" t="n">
        <v>8</v>
      </c>
      <c r="L86" s="82" t="n">
        <v>7036</v>
      </c>
      <c r="M86" s="83" t="n">
        <f aca="false">IFERROR(L86/K86,0)</f>
        <v>879.5</v>
      </c>
      <c r="N86" s="84" t="n">
        <f aca="false">+O86+Q86+T86+U86</f>
        <v>6200</v>
      </c>
      <c r="O86" s="85" t="n">
        <f aca="false">1800+4400</f>
        <v>6200</v>
      </c>
      <c r="P86" s="86" t="n">
        <v>0</v>
      </c>
      <c r="Q86" s="87" t="n">
        <v>0</v>
      </c>
      <c r="R86" s="88" t="n">
        <v>0</v>
      </c>
      <c r="S86" s="88" t="n">
        <v>0</v>
      </c>
      <c r="T86" s="88" t="n">
        <v>0</v>
      </c>
      <c r="U86" s="88" t="n">
        <v>0</v>
      </c>
      <c r="V86" s="89" t="n">
        <v>1</v>
      </c>
      <c r="W86" s="90" t="n">
        <f aca="false">IFERROR(O86/V86,0)</f>
        <v>6200</v>
      </c>
      <c r="X86" s="91" t="n">
        <f aca="false">O86/L86</f>
        <v>0.881182490051165</v>
      </c>
      <c r="Y86" s="92" t="str">
        <f aca="false">IFERROR(VLOOKUP(E:E,'Item Data Support Sheet'!A:J,6,0),0)</f>
        <v>FO015</v>
      </c>
      <c r="Z86" s="93" t="n">
        <f aca="false">IFERROR(VLOOKUP(E:E,'Item Data Support Sheet'!A:O,4,0),0)</f>
        <v>0</v>
      </c>
      <c r="AA86" s="93" t="n">
        <f aca="false">IFERROR(((N86)*(Z86/1000))+P86,0)</f>
        <v>0</v>
      </c>
      <c r="AB86" s="94" t="str">
        <f aca="false">IFERROR((O86*(Z86/1000)/(AA86))," ")</f>
        <v> </v>
      </c>
      <c r="AC86" s="95" t="n">
        <f aca="false">IFERROR((T86)/((T86)+O86),0)</f>
        <v>0</v>
      </c>
      <c r="AD86" s="96" t="n">
        <f aca="false">IFERROR(Q86/(Q86+N86),0)</f>
        <v>0</v>
      </c>
      <c r="AE86" s="91" t="n">
        <f aca="false">(N86-T86)/N86</f>
        <v>1</v>
      </c>
      <c r="AF86" s="97" t="n">
        <f aca="false">BR86</f>
        <v>0.666666666666667</v>
      </c>
      <c r="AG86" s="98" t="n">
        <f aca="false">K86-AF86</f>
        <v>7.33333333333333</v>
      </c>
      <c r="AH86" s="99" t="n">
        <f aca="false">IFERROR(AG86/K86," ")</f>
        <v>0.916666666666667</v>
      </c>
      <c r="AI86" s="100" t="n">
        <f aca="false">IFERROR(O86/K86,0)</f>
        <v>775</v>
      </c>
      <c r="AJ86" s="101" t="n">
        <f aca="false">VLOOKUP(D86,'Standard Cycle time'!C:D,2,0)</f>
        <v>3.5</v>
      </c>
      <c r="AK86" s="101" t="n">
        <f aca="false">AG86*V86*3600/O86</f>
        <v>4.25806451612903</v>
      </c>
      <c r="AL86" s="102" t="n">
        <f aca="false">AJ86/AK86</f>
        <v>0.821969696969697</v>
      </c>
      <c r="AM86" s="99" t="n">
        <f aca="false">AE86*AL86*AH86</f>
        <v>0.753472222222222</v>
      </c>
      <c r="AN86" s="103" t="s">
        <v>300</v>
      </c>
      <c r="AO86" s="109"/>
      <c r="AP86" s="105" t="n">
        <v>40</v>
      </c>
      <c r="AQ86" s="105" t="n">
        <v>0</v>
      </c>
      <c r="AR86" s="105" t="n">
        <v>0</v>
      </c>
      <c r="AS86" s="105" t="n">
        <v>0</v>
      </c>
      <c r="AT86" s="105" t="n">
        <v>0</v>
      </c>
      <c r="AU86" s="105" t="n">
        <v>0</v>
      </c>
      <c r="AV86" s="105" t="n">
        <v>0</v>
      </c>
      <c r="AW86" s="105" t="n">
        <v>0</v>
      </c>
      <c r="AX86" s="105" t="n">
        <v>0</v>
      </c>
      <c r="AY86" s="105" t="n">
        <v>0</v>
      </c>
      <c r="AZ86" s="105" t="n">
        <v>0</v>
      </c>
      <c r="BA86" s="105" t="n">
        <v>0</v>
      </c>
      <c r="BB86" s="105" t="n">
        <v>0</v>
      </c>
      <c r="BC86" s="105" t="n">
        <v>0</v>
      </c>
      <c r="BD86" s="105" t="n">
        <v>0</v>
      </c>
      <c r="BE86" s="105" t="n">
        <v>0</v>
      </c>
      <c r="BF86" s="105" t="n">
        <v>0</v>
      </c>
      <c r="BG86" s="105" t="n">
        <v>0</v>
      </c>
      <c r="BH86" s="105" t="n">
        <v>0</v>
      </c>
      <c r="BI86" s="105" t="n">
        <v>0</v>
      </c>
      <c r="BJ86" s="105" t="n">
        <v>0</v>
      </c>
      <c r="BK86" s="105" t="n">
        <v>0</v>
      </c>
      <c r="BL86" s="105" t="n">
        <v>0</v>
      </c>
      <c r="BM86" s="105" t="n">
        <v>0</v>
      </c>
      <c r="BN86" s="105" t="n">
        <v>0</v>
      </c>
      <c r="BO86" s="105" t="n">
        <v>0</v>
      </c>
      <c r="BP86" s="105" t="n">
        <v>0</v>
      </c>
      <c r="BQ86" s="105" t="n">
        <v>0</v>
      </c>
      <c r="BR86" s="106" t="n">
        <f aca="false">SUM(AP86:BQ86)/60</f>
        <v>0.666666666666667</v>
      </c>
      <c r="BS86" s="106" t="n">
        <f aca="false">SUM(AP86:BR86)/60</f>
        <v>0.677777777777778</v>
      </c>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row>
    <row r="87" s="74" customFormat="true" ht="14.9" hidden="true" customHeight="true" outlineLevel="0" collapsed="false">
      <c r="A87" s="74" t="n">
        <f aca="false">MONTH(B87)</f>
        <v>8</v>
      </c>
      <c r="B87" s="75" t="n">
        <v>44417</v>
      </c>
      <c r="C87" s="76" t="s">
        <v>70</v>
      </c>
      <c r="D87" s="77" t="str">
        <f aca="false">IFERROR(VLOOKUP(E:E,'Item Data Support Sheet'!A:O,7,0),"")</f>
        <v>BOTTLE MOLDED</v>
      </c>
      <c r="E87" s="108" t="s">
        <v>235</v>
      </c>
      <c r="F87" s="78" t="s">
        <v>216</v>
      </c>
      <c r="G87" s="77" t="s">
        <v>74</v>
      </c>
      <c r="H87" s="79" t="str">
        <f aca="false">IFERROR(VLOOKUP(E:E,'Item Data Support Sheet'!A:O,2,0),"")</f>
        <v>KPP 200 ML BOTTLE MOLDED</v>
      </c>
      <c r="I87" s="80" t="s">
        <v>301</v>
      </c>
      <c r="J87" s="80" t="s">
        <v>140</v>
      </c>
      <c r="K87" s="81" t="n">
        <v>8</v>
      </c>
      <c r="L87" s="82" t="n">
        <v>2574</v>
      </c>
      <c r="M87" s="83" t="n">
        <f aca="false">IFERROR(L87/K87,0)</f>
        <v>321.75</v>
      </c>
      <c r="N87" s="84" t="n">
        <f aca="false">+O87+Q87+T87+U87</f>
        <v>3117</v>
      </c>
      <c r="O87" s="85" t="n">
        <f aca="false">28*108</f>
        <v>3024</v>
      </c>
      <c r="P87" s="86" t="n">
        <v>0.15</v>
      </c>
      <c r="Q87" s="87" t="n">
        <v>35</v>
      </c>
      <c r="R87" s="88" t="n">
        <v>0</v>
      </c>
      <c r="S87" s="88" t="n">
        <v>0</v>
      </c>
      <c r="T87" s="88" t="n">
        <v>58</v>
      </c>
      <c r="U87" s="88" t="n">
        <v>0</v>
      </c>
      <c r="V87" s="89" t="n">
        <v>1</v>
      </c>
      <c r="W87" s="90" t="n">
        <f aca="false">IFERROR(O87/V87,0)</f>
        <v>3024</v>
      </c>
      <c r="X87" s="91" t="n">
        <f aca="false">O87/L87</f>
        <v>1.17482517482517</v>
      </c>
      <c r="Y87" s="92" t="str">
        <f aca="false">IFERROR(VLOOKUP(E:E,'Item Data Support Sheet'!A:J,6,0),0)</f>
        <v>HMC</v>
      </c>
      <c r="Z87" s="93" t="n">
        <f aca="false">IFERROR(VLOOKUP(E:E,'Item Data Support Sheet'!A:O,4,0),0)</f>
        <v>28.1</v>
      </c>
      <c r="AA87" s="93" t="n">
        <f aca="false">IFERROR(((N87)*(Z87/1000))+P87,0)</f>
        <v>87.7377</v>
      </c>
      <c r="AB87" s="94" t="n">
        <f aca="false">IFERROR((O87*(Z87/1000)/(AA87))," ")</f>
        <v>0.968504987023822</v>
      </c>
      <c r="AC87" s="95" t="n">
        <f aca="false">IFERROR((T87)/((T87)+O87),0)</f>
        <v>0.0188189487345879</v>
      </c>
      <c r="AD87" s="96" t="n">
        <f aca="false">IFERROR(Q87/(Q87+N87),0)</f>
        <v>0.0111040609137056</v>
      </c>
      <c r="AE87" s="91" t="n">
        <f aca="false">(N87-T87)/N87</f>
        <v>0.981392364453</v>
      </c>
      <c r="AF87" s="97" t="n">
        <f aca="false">BR87</f>
        <v>0</v>
      </c>
      <c r="AG87" s="98" t="n">
        <f aca="false">K87-AF87</f>
        <v>8</v>
      </c>
      <c r="AH87" s="99" t="n">
        <f aca="false">IFERROR(AG87/K87," ")</f>
        <v>1</v>
      </c>
      <c r="AI87" s="100" t="n">
        <f aca="false">IFERROR(O87/K87,0)</f>
        <v>378</v>
      </c>
      <c r="AJ87" s="101" t="n">
        <f aca="false">VLOOKUP(D87,'Standard Cycle time'!C:D,2,0)</f>
        <v>9</v>
      </c>
      <c r="AK87" s="101" t="n">
        <f aca="false">AG87*V87*3600/O87</f>
        <v>9.52380952380952</v>
      </c>
      <c r="AL87" s="102" t="n">
        <f aca="false">AJ87/AK87</f>
        <v>0.945</v>
      </c>
      <c r="AM87" s="99" t="n">
        <f aca="false">AE87*AL87*AH87</f>
        <v>0.927415784408085</v>
      </c>
      <c r="AN87" s="103" t="n">
        <v>2303</v>
      </c>
      <c r="AO87" s="104"/>
      <c r="AP87" s="105" t="n">
        <v>0</v>
      </c>
      <c r="AQ87" s="105" t="n">
        <v>0</v>
      </c>
      <c r="AR87" s="105" t="n">
        <v>0</v>
      </c>
      <c r="AS87" s="105" t="n">
        <v>0</v>
      </c>
      <c r="AT87" s="105" t="n">
        <v>0</v>
      </c>
      <c r="AU87" s="105" t="n">
        <v>0</v>
      </c>
      <c r="AV87" s="105" t="n">
        <v>0</v>
      </c>
      <c r="AW87" s="105" t="n">
        <v>0</v>
      </c>
      <c r="AX87" s="105" t="n">
        <v>0</v>
      </c>
      <c r="AY87" s="105" t="n">
        <v>0</v>
      </c>
      <c r="AZ87" s="105" t="n">
        <v>0</v>
      </c>
      <c r="BA87" s="105" t="n">
        <v>0</v>
      </c>
      <c r="BB87" s="105" t="n">
        <v>0</v>
      </c>
      <c r="BC87" s="105" t="n">
        <v>0</v>
      </c>
      <c r="BD87" s="105" t="n">
        <v>0</v>
      </c>
      <c r="BE87" s="105" t="n">
        <v>0</v>
      </c>
      <c r="BF87" s="105" t="n">
        <v>0</v>
      </c>
      <c r="BG87" s="105" t="n">
        <v>0</v>
      </c>
      <c r="BH87" s="105" t="n">
        <v>0</v>
      </c>
      <c r="BI87" s="105" t="n">
        <v>0</v>
      </c>
      <c r="BJ87" s="105" t="n">
        <v>0</v>
      </c>
      <c r="BK87" s="105" t="n">
        <v>0</v>
      </c>
      <c r="BL87" s="105" t="n">
        <v>0</v>
      </c>
      <c r="BM87" s="105" t="n">
        <v>0</v>
      </c>
      <c r="BN87" s="105" t="n">
        <v>0</v>
      </c>
      <c r="BO87" s="105" t="n">
        <v>0</v>
      </c>
      <c r="BP87" s="105" t="n">
        <v>0</v>
      </c>
      <c r="BQ87" s="105" t="n">
        <v>0</v>
      </c>
      <c r="BR87" s="106" t="n">
        <f aca="false">SUM(AP87:BQ87)/60</f>
        <v>0</v>
      </c>
      <c r="BS87" s="106" t="n">
        <f aca="false">SUM(AP87:BR87)/60</f>
        <v>0</v>
      </c>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row>
    <row r="88" s="74" customFormat="true" ht="14.9" hidden="true" customHeight="true" outlineLevel="0" collapsed="false">
      <c r="A88" s="74" t="n">
        <f aca="false">MONTH(B88)</f>
        <v>8</v>
      </c>
      <c r="B88" s="75" t="n">
        <v>44417</v>
      </c>
      <c r="C88" s="76" t="s">
        <v>70</v>
      </c>
      <c r="D88" s="77" t="str">
        <f aca="false">IFERROR(VLOOKUP(E:E,'Item Data Support Sheet'!A:O,7,0),"")</f>
        <v>NIPPLE MOLDED</v>
      </c>
      <c r="E88" s="108" t="s">
        <v>244</v>
      </c>
      <c r="F88" s="80" t="s">
        <v>137</v>
      </c>
      <c r="G88" s="77" t="s">
        <v>138</v>
      </c>
      <c r="H88" s="79" t="str">
        <f aca="false">IFERROR(VLOOKUP(E:E,'Item Data Support Sheet'!A:O,2,0),"")</f>
        <v>NIPPLE S TYPE S SIZE INJECTION</v>
      </c>
      <c r="I88" s="80" t="s">
        <v>302</v>
      </c>
      <c r="J88" s="80" t="s">
        <v>140</v>
      </c>
      <c r="K88" s="81" t="n">
        <v>8</v>
      </c>
      <c r="L88" s="82" t="n">
        <v>4815</v>
      </c>
      <c r="M88" s="83" t="n">
        <f aca="false">IFERROR(L88/K88,0)</f>
        <v>601.875</v>
      </c>
      <c r="N88" s="84" t="n">
        <f aca="false">+O88+Q88+T88+U88</f>
        <v>3770</v>
      </c>
      <c r="O88" s="85" t="n">
        <v>3700</v>
      </c>
      <c r="P88" s="86" t="n">
        <v>0</v>
      </c>
      <c r="Q88" s="87" t="n">
        <v>30</v>
      </c>
      <c r="R88" s="88" t="n">
        <v>0</v>
      </c>
      <c r="S88" s="88" t="n">
        <v>0</v>
      </c>
      <c r="T88" s="88" t="n">
        <v>40</v>
      </c>
      <c r="U88" s="88" t="n">
        <v>0</v>
      </c>
      <c r="V88" s="89" t="n">
        <v>1</v>
      </c>
      <c r="W88" s="90" t="n">
        <f aca="false">IFERROR(O88/V88,0)</f>
        <v>3700</v>
      </c>
      <c r="X88" s="91" t="n">
        <f aca="false">O88/L88</f>
        <v>0.768431983385254</v>
      </c>
      <c r="Y88" s="92" t="str">
        <f aca="false">IFERROR(VLOOKUP(E:E,'Item Data Support Sheet'!A:J,6,0),0)</f>
        <v>Silicon</v>
      </c>
      <c r="Z88" s="93" t="n">
        <f aca="false">IFERROR(VLOOKUP(E:E,'Item Data Support Sheet'!A:O,4,0),0)</f>
        <v>6.8</v>
      </c>
      <c r="AA88" s="93" t="n">
        <f aca="false">IFERROR(((N88)*(Z88/1000))+P88,0)</f>
        <v>25.636</v>
      </c>
      <c r="AB88" s="94" t="n">
        <f aca="false">IFERROR((O88*(Z88/1000)/(AA88))," ")</f>
        <v>0.981432360742705</v>
      </c>
      <c r="AC88" s="95" t="n">
        <f aca="false">IFERROR((T88)/((T88)+O88),0)</f>
        <v>0.0106951871657754</v>
      </c>
      <c r="AD88" s="96" t="n">
        <f aca="false">IFERROR(Q88/(Q88+N88),0)</f>
        <v>0.00789473684210526</v>
      </c>
      <c r="AE88" s="91" t="n">
        <f aca="false">(N88-T88)/N88</f>
        <v>0.989389920424403</v>
      </c>
      <c r="AF88" s="97" t="n">
        <f aca="false">BR88</f>
        <v>1.5</v>
      </c>
      <c r="AG88" s="98" t="n">
        <f aca="false">K88-AF88</f>
        <v>6.5</v>
      </c>
      <c r="AH88" s="99" t="n">
        <f aca="false">IFERROR(AG88/K88," ")</f>
        <v>0.8125</v>
      </c>
      <c r="AI88" s="100" t="n">
        <f aca="false">IFERROR(O88/K88,0)</f>
        <v>462.5</v>
      </c>
      <c r="AJ88" s="101" t="n">
        <f aca="false">VLOOKUP(D88,'Standard Cycle time'!C:D,2,0)</f>
        <v>5.25</v>
      </c>
      <c r="AK88" s="101" t="n">
        <f aca="false">AG88*V88*3600/O88</f>
        <v>6.32432432432432</v>
      </c>
      <c r="AL88" s="102" t="n">
        <f aca="false">AJ88/AK88</f>
        <v>0.830128205128205</v>
      </c>
      <c r="AM88" s="99" t="n">
        <f aca="false">AE88*AL88*AH88</f>
        <v>0.667322889036251</v>
      </c>
      <c r="AN88" s="103" t="n">
        <v>2304</v>
      </c>
      <c r="AO88" s="109"/>
      <c r="AP88" s="105" t="n">
        <v>0</v>
      </c>
      <c r="AQ88" s="105" t="n">
        <v>0</v>
      </c>
      <c r="AR88" s="105" t="n">
        <v>0</v>
      </c>
      <c r="AS88" s="105" t="n">
        <v>0</v>
      </c>
      <c r="AT88" s="105" t="n">
        <v>0</v>
      </c>
      <c r="AU88" s="105" t="n">
        <v>60</v>
      </c>
      <c r="AV88" s="105" t="n">
        <v>30</v>
      </c>
      <c r="AW88" s="105" t="n">
        <v>0</v>
      </c>
      <c r="AX88" s="105" t="n">
        <v>0</v>
      </c>
      <c r="AY88" s="105" t="n">
        <v>0</v>
      </c>
      <c r="AZ88" s="105" t="n">
        <v>0</v>
      </c>
      <c r="BA88" s="105" t="n">
        <v>0</v>
      </c>
      <c r="BB88" s="105" t="n">
        <v>0</v>
      </c>
      <c r="BC88" s="105" t="n">
        <v>0</v>
      </c>
      <c r="BD88" s="105" t="n">
        <v>0</v>
      </c>
      <c r="BE88" s="105" t="n">
        <v>0</v>
      </c>
      <c r="BF88" s="105" t="n">
        <v>0</v>
      </c>
      <c r="BG88" s="105" t="n">
        <v>0</v>
      </c>
      <c r="BH88" s="105" t="n">
        <v>0</v>
      </c>
      <c r="BI88" s="105" t="n">
        <v>0</v>
      </c>
      <c r="BJ88" s="105" t="n">
        <v>0</v>
      </c>
      <c r="BK88" s="105" t="n">
        <v>0</v>
      </c>
      <c r="BL88" s="105" t="n">
        <v>0</v>
      </c>
      <c r="BM88" s="105" t="n">
        <v>0</v>
      </c>
      <c r="BN88" s="105" t="n">
        <v>0</v>
      </c>
      <c r="BO88" s="105" t="n">
        <v>0</v>
      </c>
      <c r="BP88" s="105" t="n">
        <v>0</v>
      </c>
      <c r="BQ88" s="105" t="n">
        <v>0</v>
      </c>
      <c r="BR88" s="106" t="n">
        <f aca="false">SUM(AP88:BQ88)/60</f>
        <v>1.5</v>
      </c>
      <c r="BS88" s="106" t="n">
        <f aca="false">SUM(AP88:BR88)/60</f>
        <v>1.525</v>
      </c>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row>
    <row r="89" s="74" customFormat="true" ht="14.9" hidden="true" customHeight="true" outlineLevel="0" collapsed="false">
      <c r="A89" s="74" t="n">
        <f aca="false">MONTH(B89)</f>
        <v>8</v>
      </c>
      <c r="B89" s="75" t="n">
        <v>44417</v>
      </c>
      <c r="C89" s="76" t="s">
        <v>70</v>
      </c>
      <c r="D89" s="77" t="str">
        <f aca="false">IFERROR(VLOOKUP(E:E,'Item Data Support Sheet'!A:O,7,0),"")</f>
        <v>CAP MOLDED</v>
      </c>
      <c r="E89" s="108" t="s">
        <v>261</v>
      </c>
      <c r="F89" s="80"/>
      <c r="G89" s="77" t="s">
        <v>200</v>
      </c>
      <c r="H89" s="79" t="str">
        <f aca="false">IFERROR(VLOOKUP(E:E,'Item Data Support Sheet'!A:O,2,0),"")</f>
        <v>CAP S TYPE MOLDED PINK</v>
      </c>
      <c r="I89" s="80" t="s">
        <v>303</v>
      </c>
      <c r="J89" s="80" t="s">
        <v>140</v>
      </c>
      <c r="K89" s="81" t="n">
        <v>8</v>
      </c>
      <c r="L89" s="82" t="n">
        <v>4137</v>
      </c>
      <c r="M89" s="83" t="n">
        <f aca="false">IFERROR(L89/K89,0)</f>
        <v>517.125</v>
      </c>
      <c r="N89" s="84" t="n">
        <f aca="false">+O89+Q89+T89+U89</f>
        <v>3752</v>
      </c>
      <c r="O89" s="85" t="n">
        <v>3750</v>
      </c>
      <c r="P89" s="86" t="n">
        <v>0</v>
      </c>
      <c r="Q89" s="87" t="n">
        <v>0</v>
      </c>
      <c r="R89" s="88" t="n">
        <v>0</v>
      </c>
      <c r="S89" s="88" t="n">
        <v>0</v>
      </c>
      <c r="T89" s="88" t="n">
        <v>2</v>
      </c>
      <c r="U89" s="88" t="n">
        <v>0</v>
      </c>
      <c r="V89" s="89" t="n">
        <v>1</v>
      </c>
      <c r="W89" s="90" t="n">
        <f aca="false">IFERROR(O89/V89,0)</f>
        <v>3750</v>
      </c>
      <c r="X89" s="91" t="n">
        <f aca="false">O89/L89</f>
        <v>0.906453952139231</v>
      </c>
      <c r="Y89" s="92" t="str">
        <f aca="false">IFERROR(VLOOKUP(E:E,'Item Data Support Sheet'!A:J,6,0),0)</f>
        <v>RM000123</v>
      </c>
      <c r="Z89" s="93" t="n">
        <f aca="false">IFERROR(VLOOKUP(E:E,'Item Data Support Sheet'!A:O,4,0),0)</f>
        <v>7.3</v>
      </c>
      <c r="AA89" s="93" t="n">
        <f aca="false">IFERROR(((N89)*(Z89/1000))+P89,0)</f>
        <v>27.3896</v>
      </c>
      <c r="AB89" s="94" t="n">
        <f aca="false">IFERROR((O89*(Z89/1000)/(AA89))," ")</f>
        <v>0.999466950959488</v>
      </c>
      <c r="AC89" s="95" t="n">
        <f aca="false">IFERROR((T89)/((T89)+O89),0)</f>
        <v>0.000533049040511727</v>
      </c>
      <c r="AD89" s="96" t="n">
        <f aca="false">IFERROR(Q89/(Q89+N89),0)</f>
        <v>0</v>
      </c>
      <c r="AE89" s="91" t="n">
        <f aca="false">(N89-T89)/N89</f>
        <v>0.999466950959488</v>
      </c>
      <c r="AF89" s="97" t="n">
        <f aca="false">BR89</f>
        <v>0</v>
      </c>
      <c r="AG89" s="98" t="n">
        <f aca="false">K89-AF89</f>
        <v>8</v>
      </c>
      <c r="AH89" s="99" t="n">
        <f aca="false">IFERROR(AG89/K89," ")</f>
        <v>1</v>
      </c>
      <c r="AI89" s="100" t="n">
        <f aca="false">IFERROR(O89/K89,0)</f>
        <v>468.75</v>
      </c>
      <c r="AJ89" s="101" t="n">
        <f aca="false">VLOOKUP(D89,'Standard Cycle time'!C:D,2,0)</f>
        <v>6</v>
      </c>
      <c r="AK89" s="101" t="n">
        <f aca="false">AG89*V89*3600/O89</f>
        <v>7.68</v>
      </c>
      <c r="AL89" s="102" t="n">
        <f aca="false">AJ89/AK89</f>
        <v>0.78125</v>
      </c>
      <c r="AM89" s="99" t="n">
        <f aca="false">AE89*AL89*AH89</f>
        <v>0.7808335554371</v>
      </c>
      <c r="AN89" s="103" t="n">
        <v>2689</v>
      </c>
      <c r="AO89" s="104"/>
      <c r="AP89" s="105" t="n">
        <v>0</v>
      </c>
      <c r="AQ89" s="105" t="n">
        <v>0</v>
      </c>
      <c r="AR89" s="105" t="n">
        <v>0</v>
      </c>
      <c r="AS89" s="105" t="n">
        <v>0</v>
      </c>
      <c r="AT89" s="105" t="n">
        <v>0</v>
      </c>
      <c r="AU89" s="105" t="n">
        <v>0</v>
      </c>
      <c r="AV89" s="105" t="n">
        <v>0</v>
      </c>
      <c r="AW89" s="105" t="n">
        <v>0</v>
      </c>
      <c r="AX89" s="105" t="n">
        <v>0</v>
      </c>
      <c r="AY89" s="105" t="n">
        <v>0</v>
      </c>
      <c r="AZ89" s="105" t="n">
        <v>0</v>
      </c>
      <c r="BA89" s="105" t="n">
        <v>0</v>
      </c>
      <c r="BB89" s="105" t="n">
        <v>0</v>
      </c>
      <c r="BC89" s="105" t="n">
        <v>0</v>
      </c>
      <c r="BD89" s="105" t="n">
        <v>0</v>
      </c>
      <c r="BE89" s="105" t="n">
        <v>0</v>
      </c>
      <c r="BF89" s="105" t="n">
        <v>0</v>
      </c>
      <c r="BG89" s="105" t="n">
        <v>0</v>
      </c>
      <c r="BH89" s="105" t="n">
        <v>0</v>
      </c>
      <c r="BI89" s="105" t="n">
        <v>0</v>
      </c>
      <c r="BJ89" s="105" t="n">
        <v>0</v>
      </c>
      <c r="BK89" s="105" t="n">
        <v>0</v>
      </c>
      <c r="BL89" s="105" t="n">
        <v>0</v>
      </c>
      <c r="BM89" s="105" t="n">
        <v>0</v>
      </c>
      <c r="BN89" s="105" t="n">
        <v>0</v>
      </c>
      <c r="BO89" s="105" t="n">
        <v>0</v>
      </c>
      <c r="BP89" s="105" t="n">
        <v>0</v>
      </c>
      <c r="BQ89" s="105" t="n">
        <v>0</v>
      </c>
      <c r="BR89" s="106" t="n">
        <f aca="false">SUM(AP89:BQ89)/60</f>
        <v>0</v>
      </c>
      <c r="BS89" s="106" t="n">
        <f aca="false">SUM(AP89:BR89)/60</f>
        <v>0</v>
      </c>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row>
    <row r="90" s="74" customFormat="true" ht="14.9" hidden="true" customHeight="true" outlineLevel="0" collapsed="false">
      <c r="A90" s="74" t="n">
        <f aca="false">MONTH(B90)</f>
        <v>8</v>
      </c>
      <c r="B90" s="75" t="n">
        <v>44417</v>
      </c>
      <c r="C90" s="76" t="s">
        <v>70</v>
      </c>
      <c r="D90" s="77" t="str">
        <f aca="false">IFERROR(VLOOKUP(E:E,'Item Data Support Sheet'!A:O,7,0),"")</f>
        <v>NIPPLE POSTCURE</v>
      </c>
      <c r="E90" s="108" t="s">
        <v>57</v>
      </c>
      <c r="F90" s="80"/>
      <c r="G90" s="77" t="s">
        <v>149</v>
      </c>
      <c r="H90" s="79" t="str">
        <f aca="false">IFERROR(VLOOKUP(E:E,'Item Data Support Sheet'!A:O,2,0),"")</f>
        <v>NIPPLE S TYPE S SIZE POSTCURED</v>
      </c>
      <c r="I90" s="80" t="s">
        <v>304</v>
      </c>
      <c r="J90" s="80" t="s">
        <v>140</v>
      </c>
      <c r="K90" s="81" t="n">
        <v>8</v>
      </c>
      <c r="L90" s="82" t="n">
        <v>9000</v>
      </c>
      <c r="M90" s="83" t="n">
        <f aca="false">IFERROR(L90/K90,0)</f>
        <v>1125</v>
      </c>
      <c r="N90" s="84" t="n">
        <f aca="false">+O90+Q90+T90+U90</f>
        <v>9600</v>
      </c>
      <c r="O90" s="85" t="n">
        <f aca="false">4000+4000+1600</f>
        <v>9600</v>
      </c>
      <c r="P90" s="86" t="n">
        <v>0</v>
      </c>
      <c r="Q90" s="87" t="n">
        <v>0</v>
      </c>
      <c r="R90" s="88" t="n">
        <v>0</v>
      </c>
      <c r="S90" s="88" t="n">
        <v>0</v>
      </c>
      <c r="T90" s="88" t="n">
        <v>0</v>
      </c>
      <c r="U90" s="88" t="n">
        <v>0</v>
      </c>
      <c r="V90" s="89" t="n">
        <v>1</v>
      </c>
      <c r="W90" s="90" t="n">
        <f aca="false">IFERROR(O90/V90,0)</f>
        <v>9600</v>
      </c>
      <c r="X90" s="91" t="n">
        <f aca="false">O90/L90</f>
        <v>1.06666666666667</v>
      </c>
      <c r="Y90" s="92" t="str">
        <f aca="false">IFERROR(VLOOKUP(E:E,'Item Data Support Sheet'!A:J,6,0),0)</f>
        <v>FO011</v>
      </c>
      <c r="Z90" s="93" t="n">
        <f aca="false">IFERROR(VLOOKUP(E:E,'Item Data Support Sheet'!A:O,4,0),0)</f>
        <v>0</v>
      </c>
      <c r="AA90" s="93" t="n">
        <f aca="false">IFERROR(((N90)*(Z90/1000))+P90,0)</f>
        <v>0</v>
      </c>
      <c r="AB90" s="94" t="str">
        <f aca="false">IFERROR((O90*(Z90/1000)/(AA90))," ")</f>
        <v> </v>
      </c>
      <c r="AC90" s="95" t="n">
        <f aca="false">IFERROR((T90)/((T90)+O90),0)</f>
        <v>0</v>
      </c>
      <c r="AD90" s="96" t="n">
        <f aca="false">IFERROR(Q90/(Q90+N90),0)</f>
        <v>0</v>
      </c>
      <c r="AE90" s="91" t="n">
        <f aca="false">(N90-T90)/N90</f>
        <v>1</v>
      </c>
      <c r="AF90" s="97" t="n">
        <f aca="false">BR90</f>
        <v>0.666666666666667</v>
      </c>
      <c r="AG90" s="98" t="n">
        <f aca="false">K90-AF90</f>
        <v>7.33333333333333</v>
      </c>
      <c r="AH90" s="99" t="n">
        <f aca="false">IFERROR(AG90/K90," ")</f>
        <v>0.916666666666667</v>
      </c>
      <c r="AI90" s="100" t="n">
        <f aca="false">IFERROR(O90/K90,0)</f>
        <v>1200</v>
      </c>
      <c r="AJ90" s="101" t="n">
        <f aca="false">VLOOKUP(D90,'Standard Cycle time'!C:D,2,0)</f>
        <v>2.3</v>
      </c>
      <c r="AK90" s="101" t="n">
        <f aca="false">AG90*V90*3600/O90</f>
        <v>2.75</v>
      </c>
      <c r="AL90" s="102" t="n">
        <f aca="false">AJ90/AK90</f>
        <v>0.836363636363636</v>
      </c>
      <c r="AM90" s="99" t="n">
        <f aca="false">AE90*AL90*AH90</f>
        <v>0.766666666666667</v>
      </c>
      <c r="AN90" s="103" t="s">
        <v>305</v>
      </c>
      <c r="AO90" s="104"/>
      <c r="AP90" s="105" t="n">
        <v>40</v>
      </c>
      <c r="AQ90" s="105" t="n">
        <v>0</v>
      </c>
      <c r="AR90" s="105" t="n">
        <v>0</v>
      </c>
      <c r="AS90" s="105" t="n">
        <v>0</v>
      </c>
      <c r="AT90" s="105" t="n">
        <v>0</v>
      </c>
      <c r="AU90" s="105" t="n">
        <v>0</v>
      </c>
      <c r="AV90" s="105" t="n">
        <v>0</v>
      </c>
      <c r="AW90" s="105" t="n">
        <v>0</v>
      </c>
      <c r="AX90" s="105" t="n">
        <v>0</v>
      </c>
      <c r="AY90" s="105" t="n">
        <v>0</v>
      </c>
      <c r="AZ90" s="105" t="n">
        <v>0</v>
      </c>
      <c r="BA90" s="105" t="n">
        <v>0</v>
      </c>
      <c r="BB90" s="105" t="n">
        <v>0</v>
      </c>
      <c r="BC90" s="105" t="n">
        <v>0</v>
      </c>
      <c r="BD90" s="105" t="n">
        <v>0</v>
      </c>
      <c r="BE90" s="105" t="n">
        <v>0</v>
      </c>
      <c r="BF90" s="105" t="n">
        <v>0</v>
      </c>
      <c r="BG90" s="105" t="n">
        <v>0</v>
      </c>
      <c r="BH90" s="105" t="n">
        <v>0</v>
      </c>
      <c r="BI90" s="105" t="n">
        <v>0</v>
      </c>
      <c r="BJ90" s="105" t="n">
        <v>0</v>
      </c>
      <c r="BK90" s="105" t="n">
        <v>0</v>
      </c>
      <c r="BL90" s="105" t="n">
        <v>0</v>
      </c>
      <c r="BM90" s="105" t="n">
        <v>0</v>
      </c>
      <c r="BN90" s="105" t="n">
        <v>0</v>
      </c>
      <c r="BO90" s="105" t="n">
        <v>0</v>
      </c>
      <c r="BP90" s="105" t="n">
        <v>0</v>
      </c>
      <c r="BQ90" s="105" t="n">
        <v>0</v>
      </c>
      <c r="BR90" s="106" t="n">
        <f aca="false">SUM(AP90:BQ90)/60</f>
        <v>0.666666666666667</v>
      </c>
      <c r="BS90" s="106" t="n">
        <f aca="false">SUM(AP90:BR90)/60</f>
        <v>0.677777777777778</v>
      </c>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row>
    <row r="91" s="74" customFormat="true" ht="14.9" hidden="true" customHeight="true" outlineLevel="0" collapsed="false">
      <c r="A91" s="74" t="n">
        <f aca="false">MONTH(B91)</f>
        <v>8</v>
      </c>
      <c r="B91" s="75" t="n">
        <v>44417</v>
      </c>
      <c r="C91" s="76" t="s">
        <v>152</v>
      </c>
      <c r="D91" s="77" t="str">
        <f aca="false">IFERROR(VLOOKUP(E:E,'Item Data Support Sheet'!A:O,7,0),"")</f>
        <v>BOTTLE MOLDED</v>
      </c>
      <c r="E91" s="108" t="s">
        <v>235</v>
      </c>
      <c r="F91" s="78" t="s">
        <v>216</v>
      </c>
      <c r="G91" s="77" t="s">
        <v>74</v>
      </c>
      <c r="H91" s="79" t="str">
        <f aca="false">IFERROR(VLOOKUP(E:E,'Item Data Support Sheet'!A:O,2,0),"")</f>
        <v>KPP 200 ML BOTTLE MOLDED</v>
      </c>
      <c r="I91" s="80" t="s">
        <v>306</v>
      </c>
      <c r="J91" s="80" t="s">
        <v>143</v>
      </c>
      <c r="K91" s="81" t="n">
        <v>8</v>
      </c>
      <c r="L91" s="82" t="n">
        <v>2574</v>
      </c>
      <c r="M91" s="83" t="n">
        <f aca="false">IFERROR(L91/K91,0)</f>
        <v>321.75</v>
      </c>
      <c r="N91" s="84" t="n">
        <f aca="false">+O91+Q91+T91+U91</f>
        <v>3498</v>
      </c>
      <c r="O91" s="85" t="n">
        <f aca="false">2808+548</f>
        <v>3356</v>
      </c>
      <c r="P91" s="86" t="n">
        <v>0</v>
      </c>
      <c r="Q91" s="87" t="n">
        <v>26</v>
      </c>
      <c r="R91" s="88" t="n">
        <v>0</v>
      </c>
      <c r="S91" s="88" t="n">
        <v>0</v>
      </c>
      <c r="T91" s="88" t="n">
        <f aca="false">60+48</f>
        <v>108</v>
      </c>
      <c r="U91" s="88" t="n">
        <v>8</v>
      </c>
      <c r="V91" s="89" t="n">
        <v>1</v>
      </c>
      <c r="W91" s="90" t="n">
        <f aca="false">IFERROR(O91/V91,0)</f>
        <v>3356</v>
      </c>
      <c r="X91" s="91" t="n">
        <f aca="false">O91/L91</f>
        <v>1.3038073038073</v>
      </c>
      <c r="Y91" s="92" t="str">
        <f aca="false">IFERROR(VLOOKUP(E:E,'Item Data Support Sheet'!A:J,6,0),0)</f>
        <v>HMC</v>
      </c>
      <c r="Z91" s="93" t="n">
        <f aca="false">IFERROR(VLOOKUP(E:E,'Item Data Support Sheet'!A:O,4,0),0)</f>
        <v>28.1</v>
      </c>
      <c r="AA91" s="93" t="n">
        <f aca="false">IFERROR(((N91)*(Z91/1000))+P91,0)</f>
        <v>98.2938</v>
      </c>
      <c r="AB91" s="94" t="n">
        <f aca="false">IFERROR((O91*(Z91/1000)/(AA91))," ")</f>
        <v>0.959405374499714</v>
      </c>
      <c r="AC91" s="95" t="n">
        <f aca="false">IFERROR((T91)/((T91)+O91),0)</f>
        <v>0.0311778290993072</v>
      </c>
      <c r="AD91" s="96" t="n">
        <f aca="false">IFERROR(Q91/(Q91+N91),0)</f>
        <v>0.00737797956867196</v>
      </c>
      <c r="AE91" s="91" t="n">
        <f aca="false">(N91-T91)/N91</f>
        <v>0.969125214408233</v>
      </c>
      <c r="AF91" s="97" t="n">
        <f aca="false">BR91</f>
        <v>0.5</v>
      </c>
      <c r="AG91" s="98" t="n">
        <f aca="false">K91-AF91</f>
        <v>7.5</v>
      </c>
      <c r="AH91" s="99" t="n">
        <f aca="false">IFERROR(AG91/K91," ")</f>
        <v>0.9375</v>
      </c>
      <c r="AI91" s="100" t="n">
        <f aca="false">IFERROR(O91/K91,0)</f>
        <v>419.5</v>
      </c>
      <c r="AJ91" s="101" t="n">
        <f aca="false">VLOOKUP(D91,'Standard Cycle time'!C:D,2,0)</f>
        <v>9</v>
      </c>
      <c r="AK91" s="101" t="n">
        <f aca="false">AG91*V91*3600/O91</f>
        <v>8.04529201430274</v>
      </c>
      <c r="AL91" s="102" t="n">
        <f aca="false">AJ91/AK91</f>
        <v>1.11866666666667</v>
      </c>
      <c r="AM91" s="99" t="n">
        <f aca="false">AE91*AL91*AH91</f>
        <v>1.01637006861063</v>
      </c>
      <c r="AN91" s="113" t="s">
        <v>307</v>
      </c>
      <c r="AO91" s="104" t="s">
        <v>308</v>
      </c>
      <c r="AP91" s="105" t="n">
        <v>0</v>
      </c>
      <c r="AQ91" s="105" t="n">
        <v>0</v>
      </c>
      <c r="AR91" s="105" t="n">
        <v>0</v>
      </c>
      <c r="AS91" s="105" t="n">
        <v>0</v>
      </c>
      <c r="AT91" s="105" t="n">
        <v>0</v>
      </c>
      <c r="AU91" s="105" t="n">
        <v>0</v>
      </c>
      <c r="AV91" s="105" t="n">
        <v>0</v>
      </c>
      <c r="AW91" s="105" t="n">
        <v>0</v>
      </c>
      <c r="AX91" s="105" t="n">
        <v>0</v>
      </c>
      <c r="AY91" s="105" t="n">
        <v>0</v>
      </c>
      <c r="AZ91" s="105" t="n">
        <v>30</v>
      </c>
      <c r="BA91" s="105" t="n">
        <v>0</v>
      </c>
      <c r="BB91" s="105" t="n">
        <v>0</v>
      </c>
      <c r="BC91" s="105" t="n">
        <v>0</v>
      </c>
      <c r="BD91" s="105" t="n">
        <v>0</v>
      </c>
      <c r="BE91" s="105" t="n">
        <v>0</v>
      </c>
      <c r="BF91" s="105" t="n">
        <v>0</v>
      </c>
      <c r="BG91" s="105" t="n">
        <v>0</v>
      </c>
      <c r="BH91" s="105" t="n">
        <v>0</v>
      </c>
      <c r="BI91" s="105" t="n">
        <v>0</v>
      </c>
      <c r="BJ91" s="105" t="n">
        <v>0</v>
      </c>
      <c r="BK91" s="105" t="n">
        <v>0</v>
      </c>
      <c r="BL91" s="105" t="n">
        <v>0</v>
      </c>
      <c r="BM91" s="105" t="n">
        <v>0</v>
      </c>
      <c r="BN91" s="105" t="n">
        <v>0</v>
      </c>
      <c r="BO91" s="105" t="n">
        <v>0</v>
      </c>
      <c r="BP91" s="105" t="n">
        <v>0</v>
      </c>
      <c r="BQ91" s="105" t="n">
        <v>0</v>
      </c>
      <c r="BR91" s="106" t="n">
        <f aca="false">SUM(AP91:BQ91)/60</f>
        <v>0.5</v>
      </c>
      <c r="BS91" s="106" t="n">
        <f aca="false">SUM(AP91:BR91)/60</f>
        <v>0.508333333333333</v>
      </c>
      <c r="BT91" s="107"/>
      <c r="BU91" s="107"/>
      <c r="BV91" s="107"/>
      <c r="BW91" s="107"/>
      <c r="BX91" s="107"/>
      <c r="BY91" s="107"/>
      <c r="BZ91" s="107"/>
      <c r="CA91" s="107"/>
      <c r="CB91" s="107"/>
      <c r="CC91" s="107"/>
      <c r="CD91" s="107"/>
      <c r="CE91" s="107"/>
      <c r="CF91" s="107"/>
      <c r="CG91" s="107"/>
      <c r="CH91" s="107"/>
      <c r="CI91" s="107"/>
      <c r="CJ91" s="107"/>
      <c r="CK91" s="107"/>
      <c r="CL91" s="107"/>
      <c r="CM91" s="107"/>
      <c r="CN91" s="107"/>
      <c r="CO91" s="107"/>
      <c r="CP91" s="107"/>
      <c r="CQ91" s="107"/>
      <c r="CR91" s="107"/>
      <c r="CS91" s="107"/>
      <c r="CT91" s="107"/>
      <c r="CU91" s="107"/>
      <c r="CV91" s="107"/>
    </row>
    <row r="92" s="74" customFormat="true" ht="14.9" hidden="true" customHeight="true" outlineLevel="0" collapsed="false">
      <c r="A92" s="74" t="n">
        <f aca="false">MONTH(B92)</f>
        <v>8</v>
      </c>
      <c r="B92" s="75" t="n">
        <v>44417</v>
      </c>
      <c r="C92" s="76" t="s">
        <v>152</v>
      </c>
      <c r="D92" s="77" t="str">
        <f aca="false">IFERROR(VLOOKUP(E:E,'Item Data Support Sheet'!A:O,7,0),"")</f>
        <v>NIPPLE MOLDED</v>
      </c>
      <c r="E92" s="108" t="s">
        <v>244</v>
      </c>
      <c r="F92" s="80" t="s">
        <v>137</v>
      </c>
      <c r="G92" s="77" t="s">
        <v>138</v>
      </c>
      <c r="H92" s="79" t="str">
        <f aca="false">IFERROR(VLOOKUP(E:E,'Item Data Support Sheet'!A:O,2,0),"")</f>
        <v>NIPPLE S TYPE S SIZE INJECTION</v>
      </c>
      <c r="I92" s="80" t="s">
        <v>309</v>
      </c>
      <c r="J92" s="80" t="s">
        <v>143</v>
      </c>
      <c r="K92" s="81" t="n">
        <v>8</v>
      </c>
      <c r="L92" s="82" t="n">
        <v>4815</v>
      </c>
      <c r="M92" s="83" t="n">
        <f aca="false">IFERROR(L92/K92,0)</f>
        <v>601.875</v>
      </c>
      <c r="N92" s="84" t="n">
        <f aca="false">+O92+Q92+T92+U92</f>
        <v>5086</v>
      </c>
      <c r="O92" s="85" t="n">
        <v>5000</v>
      </c>
      <c r="P92" s="86" t="n">
        <v>0</v>
      </c>
      <c r="Q92" s="87" t="n">
        <v>34</v>
      </c>
      <c r="R92" s="88" t="n">
        <v>0</v>
      </c>
      <c r="S92" s="88" t="n">
        <v>0</v>
      </c>
      <c r="T92" s="88" t="n">
        <v>52</v>
      </c>
      <c r="U92" s="88" t="n">
        <v>0</v>
      </c>
      <c r="V92" s="89" t="n">
        <v>1</v>
      </c>
      <c r="W92" s="90" t="n">
        <f aca="false">IFERROR(O92/V92,0)</f>
        <v>5000</v>
      </c>
      <c r="X92" s="91" t="n">
        <f aca="false">O92/L92</f>
        <v>1.03842159916926</v>
      </c>
      <c r="Y92" s="92" t="str">
        <f aca="false">IFERROR(VLOOKUP(E:E,'Item Data Support Sheet'!A:J,6,0),0)</f>
        <v>Silicon</v>
      </c>
      <c r="Z92" s="93" t="n">
        <f aca="false">IFERROR(VLOOKUP(E:E,'Item Data Support Sheet'!A:O,4,0),0)</f>
        <v>6.8</v>
      </c>
      <c r="AA92" s="93" t="n">
        <f aca="false">IFERROR(((N92)*(Z92/1000))+P92,0)</f>
        <v>34.5848</v>
      </c>
      <c r="AB92" s="94" t="n">
        <f aca="false">IFERROR((O92*(Z92/1000)/(AA92))," ")</f>
        <v>0.983090837593394</v>
      </c>
      <c r="AC92" s="95" t="n">
        <f aca="false">IFERROR((T92)/((T92)+O92),0)</f>
        <v>0.0102929532858274</v>
      </c>
      <c r="AD92" s="96" t="n">
        <f aca="false">IFERROR(Q92/(Q92+N92),0)</f>
        <v>0.006640625</v>
      </c>
      <c r="AE92" s="91" t="n">
        <f aca="false">(N92-T92)/N92</f>
        <v>0.989775855289029</v>
      </c>
      <c r="AF92" s="97" t="n">
        <f aca="false">BR92</f>
        <v>0.5</v>
      </c>
      <c r="AG92" s="98" t="n">
        <f aca="false">K92-AF92</f>
        <v>7.5</v>
      </c>
      <c r="AH92" s="99" t="n">
        <f aca="false">IFERROR(AG92/K92," ")</f>
        <v>0.9375</v>
      </c>
      <c r="AI92" s="100" t="n">
        <f aca="false">IFERROR(O92/K92,0)</f>
        <v>625</v>
      </c>
      <c r="AJ92" s="101" t="n">
        <f aca="false">VLOOKUP(D92,'Standard Cycle time'!C:D,2,0)</f>
        <v>5.25</v>
      </c>
      <c r="AK92" s="101" t="n">
        <f aca="false">AG92*V92*3600/O92</f>
        <v>5.4</v>
      </c>
      <c r="AL92" s="102" t="n">
        <f aca="false">AJ92/AK92</f>
        <v>0.972222222222222</v>
      </c>
      <c r="AM92" s="99" t="n">
        <f aca="false">AE92*AL92*AH92</f>
        <v>0.902139451435312</v>
      </c>
      <c r="AN92" s="103" t="n">
        <v>2311</v>
      </c>
      <c r="AO92" s="104"/>
      <c r="AP92" s="105" t="n">
        <v>0</v>
      </c>
      <c r="AQ92" s="105" t="n">
        <v>0</v>
      </c>
      <c r="AR92" s="105" t="n">
        <v>0</v>
      </c>
      <c r="AS92" s="105" t="n">
        <v>0</v>
      </c>
      <c r="AT92" s="105" t="n">
        <v>0</v>
      </c>
      <c r="AU92" s="105" t="n">
        <v>30</v>
      </c>
      <c r="AV92" s="105" t="n">
        <v>0</v>
      </c>
      <c r="AW92" s="105" t="n">
        <v>0</v>
      </c>
      <c r="AX92" s="105" t="n">
        <v>0</v>
      </c>
      <c r="AY92" s="105" t="n">
        <v>0</v>
      </c>
      <c r="AZ92" s="105" t="n">
        <v>0</v>
      </c>
      <c r="BA92" s="105" t="n">
        <v>0</v>
      </c>
      <c r="BB92" s="105" t="n">
        <v>0</v>
      </c>
      <c r="BC92" s="105" t="n">
        <v>0</v>
      </c>
      <c r="BD92" s="105" t="n">
        <v>0</v>
      </c>
      <c r="BE92" s="105" t="n">
        <v>0</v>
      </c>
      <c r="BF92" s="105" t="n">
        <v>0</v>
      </c>
      <c r="BG92" s="105" t="n">
        <v>0</v>
      </c>
      <c r="BH92" s="105" t="n">
        <v>0</v>
      </c>
      <c r="BI92" s="105" t="n">
        <v>0</v>
      </c>
      <c r="BJ92" s="105" t="n">
        <v>0</v>
      </c>
      <c r="BK92" s="105" t="n">
        <v>0</v>
      </c>
      <c r="BL92" s="105" t="n">
        <v>0</v>
      </c>
      <c r="BM92" s="105" t="n">
        <v>0</v>
      </c>
      <c r="BN92" s="105" t="n">
        <v>0</v>
      </c>
      <c r="BO92" s="105" t="n">
        <v>0</v>
      </c>
      <c r="BP92" s="105" t="n">
        <v>0</v>
      </c>
      <c r="BQ92" s="105" t="n">
        <v>0</v>
      </c>
      <c r="BR92" s="106" t="n">
        <f aca="false">SUM(AP92:BQ92)/60</f>
        <v>0.5</v>
      </c>
      <c r="BS92" s="106" t="n">
        <f aca="false">SUM(AP92:BR92)/60</f>
        <v>0.508333333333333</v>
      </c>
      <c r="BT92" s="107"/>
      <c r="BU92" s="107"/>
      <c r="BV92" s="107"/>
      <c r="BW92" s="107"/>
      <c r="BX92" s="107"/>
      <c r="BY92" s="107"/>
      <c r="BZ92" s="107"/>
      <c r="CA92" s="107"/>
      <c r="CB92" s="107"/>
      <c r="CC92" s="107"/>
      <c r="CD92" s="107"/>
      <c r="CE92" s="107"/>
      <c r="CF92" s="107"/>
      <c r="CG92" s="107"/>
      <c r="CH92" s="107"/>
      <c r="CI92" s="107"/>
      <c r="CJ92" s="107"/>
      <c r="CK92" s="107"/>
      <c r="CL92" s="107"/>
      <c r="CM92" s="107"/>
      <c r="CN92" s="107"/>
      <c r="CO92" s="107"/>
      <c r="CP92" s="107"/>
      <c r="CQ92" s="107"/>
      <c r="CR92" s="107"/>
      <c r="CS92" s="107"/>
      <c r="CT92" s="107"/>
      <c r="CU92" s="107"/>
      <c r="CV92" s="107"/>
    </row>
    <row r="93" s="74" customFormat="true" ht="14.9" hidden="true" customHeight="true" outlineLevel="0" collapsed="false">
      <c r="A93" s="74" t="n">
        <f aca="false">MONTH(B93)</f>
        <v>8</v>
      </c>
      <c r="B93" s="75" t="n">
        <v>44417</v>
      </c>
      <c r="C93" s="76" t="s">
        <v>152</v>
      </c>
      <c r="D93" s="77" t="str">
        <f aca="false">IFERROR(VLOOKUP(E:E,'Item Data Support Sheet'!A:O,7,0),"")</f>
        <v>CAP MOLDED</v>
      </c>
      <c r="E93" s="108" t="s">
        <v>261</v>
      </c>
      <c r="F93" s="80"/>
      <c r="G93" s="77" t="s">
        <v>200</v>
      </c>
      <c r="H93" s="79" t="str">
        <f aca="false">IFERROR(VLOOKUP(E:E,'Item Data Support Sheet'!A:O,2,0),"")</f>
        <v>CAP S TYPE MOLDED PINK</v>
      </c>
      <c r="I93" s="80" t="s">
        <v>310</v>
      </c>
      <c r="J93" s="80" t="s">
        <v>143</v>
      </c>
      <c r="K93" s="81" t="n">
        <v>8</v>
      </c>
      <c r="L93" s="82" t="n">
        <v>4137</v>
      </c>
      <c r="M93" s="83" t="n">
        <f aca="false">IFERROR(L93/K93,0)</f>
        <v>517.125</v>
      </c>
      <c r="N93" s="84" t="n">
        <f aca="false">+O93+Q93+T93+U93</f>
        <v>4320</v>
      </c>
      <c r="O93" s="85" t="n">
        <v>4300</v>
      </c>
      <c r="P93" s="86" t="n">
        <v>0</v>
      </c>
      <c r="Q93" s="87" t="n">
        <v>0</v>
      </c>
      <c r="R93" s="88" t="n">
        <v>0</v>
      </c>
      <c r="S93" s="88" t="n">
        <v>0</v>
      </c>
      <c r="T93" s="88" t="n">
        <v>4</v>
      </c>
      <c r="U93" s="88" t="n">
        <v>16</v>
      </c>
      <c r="V93" s="89" t="n">
        <v>1</v>
      </c>
      <c r="W93" s="90" t="n">
        <f aca="false">IFERROR(O93/V93,0)</f>
        <v>4300</v>
      </c>
      <c r="X93" s="91" t="n">
        <f aca="false">O93/L93</f>
        <v>1.03940053178632</v>
      </c>
      <c r="Y93" s="92" t="str">
        <f aca="false">IFERROR(VLOOKUP(E:E,'Item Data Support Sheet'!A:J,6,0),0)</f>
        <v>RM000123</v>
      </c>
      <c r="Z93" s="93" t="n">
        <f aca="false">IFERROR(VLOOKUP(E:E,'Item Data Support Sheet'!A:O,4,0),0)</f>
        <v>7.3</v>
      </c>
      <c r="AA93" s="93" t="n">
        <f aca="false">IFERROR(((N93)*(Z93/1000))+P93,0)</f>
        <v>31.536</v>
      </c>
      <c r="AB93" s="94" t="n">
        <f aca="false">IFERROR((O93*(Z93/1000)/(AA93))," ")</f>
        <v>0.99537037037037</v>
      </c>
      <c r="AC93" s="95" t="n">
        <f aca="false">IFERROR((T93)/((T93)+O93),0)</f>
        <v>0.000929368029739777</v>
      </c>
      <c r="AD93" s="96" t="n">
        <f aca="false">IFERROR(Q93/(Q93+N93),0)</f>
        <v>0</v>
      </c>
      <c r="AE93" s="91" t="n">
        <f aca="false">(N93-T93)/N93</f>
        <v>0.999074074074074</v>
      </c>
      <c r="AF93" s="97" t="n">
        <f aca="false">BR93</f>
        <v>0</v>
      </c>
      <c r="AG93" s="98" t="n">
        <f aca="false">K93-AF93</f>
        <v>8</v>
      </c>
      <c r="AH93" s="99" t="n">
        <f aca="false">IFERROR(AG93/K93," ")</f>
        <v>1</v>
      </c>
      <c r="AI93" s="100" t="n">
        <f aca="false">IFERROR(O93/K93,0)</f>
        <v>537.5</v>
      </c>
      <c r="AJ93" s="101" t="n">
        <f aca="false">VLOOKUP(D93,'Standard Cycle time'!C:D,2,0)</f>
        <v>6</v>
      </c>
      <c r="AK93" s="101" t="n">
        <f aca="false">AG93*V93*3600/O93</f>
        <v>6.69767441860465</v>
      </c>
      <c r="AL93" s="102" t="n">
        <f aca="false">AJ93/AK93</f>
        <v>0.895833333333333</v>
      </c>
      <c r="AM93" s="99" t="n">
        <f aca="false">AE93*AL93*AH93</f>
        <v>0.895003858024691</v>
      </c>
      <c r="AN93" s="103" t="n">
        <v>2689</v>
      </c>
      <c r="AO93" s="104"/>
      <c r="AP93" s="105" t="n">
        <v>0</v>
      </c>
      <c r="AQ93" s="105" t="n">
        <v>0</v>
      </c>
      <c r="AR93" s="105" t="n">
        <v>0</v>
      </c>
      <c r="AS93" s="105" t="n">
        <v>0</v>
      </c>
      <c r="AT93" s="105" t="n">
        <v>0</v>
      </c>
      <c r="AU93" s="105" t="n">
        <v>0</v>
      </c>
      <c r="AV93" s="105" t="n">
        <v>0</v>
      </c>
      <c r="AW93" s="105" t="n">
        <v>0</v>
      </c>
      <c r="AX93" s="105" t="n">
        <v>0</v>
      </c>
      <c r="AY93" s="105" t="n">
        <v>0</v>
      </c>
      <c r="AZ93" s="105" t="n">
        <v>0</v>
      </c>
      <c r="BA93" s="105" t="n">
        <v>0</v>
      </c>
      <c r="BB93" s="105" t="n">
        <v>0</v>
      </c>
      <c r="BC93" s="105" t="n">
        <v>0</v>
      </c>
      <c r="BD93" s="105" t="n">
        <v>0</v>
      </c>
      <c r="BE93" s="105" t="n">
        <v>0</v>
      </c>
      <c r="BF93" s="105" t="n">
        <v>0</v>
      </c>
      <c r="BG93" s="105" t="n">
        <v>0</v>
      </c>
      <c r="BH93" s="105" t="n">
        <v>0</v>
      </c>
      <c r="BI93" s="105" t="n">
        <v>0</v>
      </c>
      <c r="BJ93" s="105" t="n">
        <v>0</v>
      </c>
      <c r="BK93" s="105" t="n">
        <v>0</v>
      </c>
      <c r="BL93" s="105" t="n">
        <v>0</v>
      </c>
      <c r="BM93" s="105" t="n">
        <v>0</v>
      </c>
      <c r="BN93" s="105" t="n">
        <v>0</v>
      </c>
      <c r="BO93" s="105" t="n">
        <v>0</v>
      </c>
      <c r="BP93" s="105" t="n">
        <v>0</v>
      </c>
      <c r="BQ93" s="105" t="n">
        <v>0</v>
      </c>
      <c r="BR93" s="106" t="n">
        <f aca="false">SUM(AP93:BQ93)/60</f>
        <v>0</v>
      </c>
      <c r="BS93" s="106" t="n">
        <f aca="false">SUM(AP93:BR93)/60</f>
        <v>0</v>
      </c>
      <c r="BT93" s="107"/>
      <c r="BU93" s="107"/>
      <c r="BV93" s="107"/>
      <c r="BW93" s="107"/>
      <c r="BX93" s="107"/>
      <c r="BY93" s="107"/>
      <c r="BZ93" s="107"/>
      <c r="CA93" s="107"/>
      <c r="CB93" s="107"/>
      <c r="CC93" s="107"/>
      <c r="CD93" s="107"/>
      <c r="CE93" s="107"/>
      <c r="CF93" s="107"/>
      <c r="CG93" s="107"/>
      <c r="CH93" s="107"/>
      <c r="CI93" s="107"/>
      <c r="CJ93" s="107"/>
      <c r="CK93" s="107"/>
      <c r="CL93" s="107"/>
      <c r="CM93" s="107"/>
      <c r="CN93" s="107"/>
      <c r="CO93" s="107"/>
      <c r="CP93" s="107"/>
      <c r="CQ93" s="107"/>
      <c r="CR93" s="107"/>
      <c r="CS93" s="107"/>
      <c r="CT93" s="107"/>
      <c r="CU93" s="107"/>
      <c r="CV93" s="107"/>
    </row>
    <row r="94" s="74" customFormat="true" ht="14.9" hidden="true" customHeight="true" outlineLevel="0" collapsed="false">
      <c r="A94" s="74" t="n">
        <f aca="false">MONTH(B94)</f>
        <v>8</v>
      </c>
      <c r="B94" s="75" t="n">
        <v>44417</v>
      </c>
      <c r="C94" s="76" t="s">
        <v>152</v>
      </c>
      <c r="D94" s="77" t="str">
        <f aca="false">IFERROR(VLOOKUP(E:E,'Item Data Support Sheet'!A:O,7,0),"")</f>
        <v>NIPPLE POSTCURE</v>
      </c>
      <c r="E94" s="108" t="s">
        <v>57</v>
      </c>
      <c r="F94" s="80"/>
      <c r="G94" s="77" t="s">
        <v>149</v>
      </c>
      <c r="H94" s="79" t="str">
        <f aca="false">IFERROR(VLOOKUP(E:E,'Item Data Support Sheet'!A:O,2,0),"")</f>
        <v>NIPPLE S TYPE S SIZE POSTCURED</v>
      </c>
      <c r="I94" s="80" t="s">
        <v>311</v>
      </c>
      <c r="J94" s="80" t="s">
        <v>143</v>
      </c>
      <c r="K94" s="81" t="n">
        <v>8</v>
      </c>
      <c r="L94" s="82" t="n">
        <v>7000</v>
      </c>
      <c r="M94" s="83" t="n">
        <f aca="false">IFERROR(L94/K94,0)</f>
        <v>875</v>
      </c>
      <c r="N94" s="84" t="n">
        <f aca="false">+O94+Q94+T94+U94</f>
        <v>10200</v>
      </c>
      <c r="O94" s="85" t="n">
        <f aca="false">3500+3700+3000</f>
        <v>10200</v>
      </c>
      <c r="P94" s="86" t="n">
        <v>0</v>
      </c>
      <c r="Q94" s="87" t="n">
        <v>0</v>
      </c>
      <c r="R94" s="88" t="n">
        <v>0</v>
      </c>
      <c r="S94" s="88" t="n">
        <v>0</v>
      </c>
      <c r="T94" s="88" t="n">
        <v>0</v>
      </c>
      <c r="U94" s="88" t="n">
        <v>0</v>
      </c>
      <c r="V94" s="89" t="n">
        <v>1</v>
      </c>
      <c r="W94" s="90" t="n">
        <f aca="false">IFERROR(O94/V94,0)</f>
        <v>10200</v>
      </c>
      <c r="X94" s="91" t="n">
        <f aca="false">O94/L94</f>
        <v>1.45714285714286</v>
      </c>
      <c r="Y94" s="92" t="str">
        <f aca="false">IFERROR(VLOOKUP(E:E,'Item Data Support Sheet'!A:J,6,0),0)</f>
        <v>FO011</v>
      </c>
      <c r="Z94" s="93" t="n">
        <f aca="false">IFERROR(VLOOKUP(E:E,'Item Data Support Sheet'!A:O,4,0),0)</f>
        <v>0</v>
      </c>
      <c r="AA94" s="93" t="n">
        <f aca="false">IFERROR(((N94)*(Z94/1000))+P94,0)</f>
        <v>0</v>
      </c>
      <c r="AB94" s="94" t="str">
        <f aca="false">IFERROR((O94*(Z94/1000)/(AA94))," ")</f>
        <v> </v>
      </c>
      <c r="AC94" s="95" t="n">
        <f aca="false">IFERROR((T94)/((T94)+O94),0)</f>
        <v>0</v>
      </c>
      <c r="AD94" s="96" t="n">
        <f aca="false">IFERROR(Q94/(Q94+N94),0)</f>
        <v>0</v>
      </c>
      <c r="AE94" s="91" t="n">
        <f aca="false">(N94-T94)/N94</f>
        <v>1</v>
      </c>
      <c r="AF94" s="97" t="n">
        <f aca="false">BR94</f>
        <v>0.666666666666667</v>
      </c>
      <c r="AG94" s="98" t="n">
        <f aca="false">K94-AF94</f>
        <v>7.33333333333333</v>
      </c>
      <c r="AH94" s="99" t="n">
        <f aca="false">IFERROR(AG94/K94," ")</f>
        <v>0.916666666666667</v>
      </c>
      <c r="AI94" s="100" t="n">
        <f aca="false">IFERROR(O94/K94,0)</f>
        <v>1275</v>
      </c>
      <c r="AJ94" s="101" t="n">
        <f aca="false">VLOOKUP(D94,'Standard Cycle time'!C:D,2,0)</f>
        <v>2.3</v>
      </c>
      <c r="AK94" s="101" t="n">
        <f aca="false">AG94*V94*3600/O94</f>
        <v>2.58823529411765</v>
      </c>
      <c r="AL94" s="102" t="n">
        <f aca="false">AJ94/AK94</f>
        <v>0.888636363636364</v>
      </c>
      <c r="AM94" s="99" t="n">
        <f aca="false">AE94*AL94*AH94</f>
        <v>0.814583333333333</v>
      </c>
      <c r="AN94" s="103" t="s">
        <v>312</v>
      </c>
      <c r="AO94" s="104" t="s">
        <v>313</v>
      </c>
      <c r="AP94" s="105" t="n">
        <v>40</v>
      </c>
      <c r="AQ94" s="105" t="n">
        <v>0</v>
      </c>
      <c r="AR94" s="105" t="n">
        <v>0</v>
      </c>
      <c r="AS94" s="105" t="n">
        <v>0</v>
      </c>
      <c r="AT94" s="105" t="n">
        <v>0</v>
      </c>
      <c r="AU94" s="105" t="n">
        <v>0</v>
      </c>
      <c r="AV94" s="105" t="n">
        <v>0</v>
      </c>
      <c r="AW94" s="105" t="n">
        <v>0</v>
      </c>
      <c r="AX94" s="105" t="n">
        <v>0</v>
      </c>
      <c r="AY94" s="105" t="n">
        <v>0</v>
      </c>
      <c r="AZ94" s="105" t="n">
        <v>0</v>
      </c>
      <c r="BA94" s="105" t="n">
        <v>0</v>
      </c>
      <c r="BB94" s="105" t="n">
        <v>0</v>
      </c>
      <c r="BC94" s="105" t="n">
        <v>0</v>
      </c>
      <c r="BD94" s="105" t="n">
        <v>0</v>
      </c>
      <c r="BE94" s="105" t="n">
        <v>0</v>
      </c>
      <c r="BF94" s="105" t="n">
        <v>0</v>
      </c>
      <c r="BG94" s="105" t="n">
        <v>0</v>
      </c>
      <c r="BH94" s="105" t="n">
        <v>0</v>
      </c>
      <c r="BI94" s="105" t="n">
        <v>0</v>
      </c>
      <c r="BJ94" s="105" t="n">
        <v>0</v>
      </c>
      <c r="BK94" s="105" t="n">
        <v>0</v>
      </c>
      <c r="BL94" s="105" t="n">
        <v>0</v>
      </c>
      <c r="BM94" s="105" t="n">
        <v>0</v>
      </c>
      <c r="BN94" s="105" t="n">
        <v>0</v>
      </c>
      <c r="BO94" s="105" t="n">
        <v>0</v>
      </c>
      <c r="BP94" s="105" t="n">
        <v>0</v>
      </c>
      <c r="BQ94" s="105" t="n">
        <v>0</v>
      </c>
      <c r="BR94" s="106" t="n">
        <f aca="false">SUM(AP94:BQ94)/60</f>
        <v>0.666666666666667</v>
      </c>
      <c r="BS94" s="106" t="n">
        <f aca="false">SUM(AP94:BR94)/60</f>
        <v>0.677777777777778</v>
      </c>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row>
    <row r="95" s="74" customFormat="true" ht="14.9" hidden="true" customHeight="true" outlineLevel="0" collapsed="false">
      <c r="A95" s="74" t="n">
        <f aca="false">MONTH(B95)</f>
        <v>8</v>
      </c>
      <c r="B95" s="75" t="n">
        <v>44418</v>
      </c>
      <c r="C95" s="76" t="s">
        <v>51</v>
      </c>
      <c r="D95" s="77" t="str">
        <f aca="false">IFERROR(VLOOKUP(E:E,'Item Data Support Sheet'!A:O,7,0),"")</f>
        <v>CAP MOLDED</v>
      </c>
      <c r="E95" s="108" t="s">
        <v>261</v>
      </c>
      <c r="F95" s="80"/>
      <c r="G95" s="77" t="s">
        <v>200</v>
      </c>
      <c r="H95" s="79" t="str">
        <f aca="false">IFERROR(VLOOKUP(E:E,'Item Data Support Sheet'!A:O,2,0),"")</f>
        <v>CAP S TYPE MOLDED PINK</v>
      </c>
      <c r="I95" s="80" t="s">
        <v>314</v>
      </c>
      <c r="J95" s="80" t="s">
        <v>148</v>
      </c>
      <c r="K95" s="81" t="n">
        <v>1</v>
      </c>
      <c r="L95" s="82" t="n">
        <v>550</v>
      </c>
      <c r="M95" s="83" t="n">
        <f aca="false">IFERROR(L95/K95,0)</f>
        <v>550</v>
      </c>
      <c r="N95" s="84" t="n">
        <f aca="false">+O95+Q95+T95+U95</f>
        <v>550</v>
      </c>
      <c r="O95" s="85" t="n">
        <v>550</v>
      </c>
      <c r="P95" s="86" t="n">
        <v>0</v>
      </c>
      <c r="Q95" s="87" t="n">
        <v>0</v>
      </c>
      <c r="R95" s="88" t="n">
        <v>0</v>
      </c>
      <c r="S95" s="88" t="n">
        <v>0</v>
      </c>
      <c r="T95" s="88" t="n">
        <v>0</v>
      </c>
      <c r="U95" s="88" t="n">
        <v>0</v>
      </c>
      <c r="V95" s="89" t="n">
        <v>1</v>
      </c>
      <c r="W95" s="90" t="n">
        <f aca="false">IFERROR(O95/V95,0)</f>
        <v>550</v>
      </c>
      <c r="X95" s="91" t="n">
        <f aca="false">O95/L95</f>
        <v>1</v>
      </c>
      <c r="Y95" s="92" t="str">
        <f aca="false">IFERROR(VLOOKUP(E:E,'Item Data Support Sheet'!A:J,6,0),0)</f>
        <v>RM000123</v>
      </c>
      <c r="Z95" s="93" t="n">
        <f aca="false">IFERROR(VLOOKUP(E:E,'Item Data Support Sheet'!A:O,4,0),0)</f>
        <v>7.3</v>
      </c>
      <c r="AA95" s="93" t="n">
        <f aca="false">IFERROR(((N95)*(Z95/1000))+P95,0)</f>
        <v>4.015</v>
      </c>
      <c r="AB95" s="94" t="n">
        <f aca="false">IFERROR((O95*(Z95/1000)/(AA95))," ")</f>
        <v>1</v>
      </c>
      <c r="AC95" s="95" t="n">
        <f aca="false">IFERROR((T95)/((T95)+O95),0)</f>
        <v>0</v>
      </c>
      <c r="AD95" s="96" t="n">
        <f aca="false">IFERROR(Q95/(Q95+N95),0)</f>
        <v>0</v>
      </c>
      <c r="AE95" s="91" t="n">
        <f aca="false">(N95-T95)/N95</f>
        <v>1</v>
      </c>
      <c r="AF95" s="97" t="n">
        <f aca="false">BR95</f>
        <v>0</v>
      </c>
      <c r="AG95" s="98" t="n">
        <f aca="false">K95-AF95</f>
        <v>1</v>
      </c>
      <c r="AH95" s="99" t="n">
        <f aca="false">IFERROR(AG95/K95," ")</f>
        <v>1</v>
      </c>
      <c r="AI95" s="100" t="n">
        <f aca="false">IFERROR(O95/K95,0)</f>
        <v>550</v>
      </c>
      <c r="AJ95" s="101" t="n">
        <f aca="false">VLOOKUP(D95,'Standard Cycle time'!C:D,2,0)</f>
        <v>6</v>
      </c>
      <c r="AK95" s="101" t="n">
        <f aca="false">AG95*V95*3600/O95</f>
        <v>6.54545454545455</v>
      </c>
      <c r="AL95" s="102" t="n">
        <f aca="false">AJ95/AK95</f>
        <v>0.916666666666667</v>
      </c>
      <c r="AM95" s="99" t="n">
        <f aca="false">AE95*AL95*AH95</f>
        <v>0.916666666666667</v>
      </c>
      <c r="AN95" s="103" t="n">
        <v>2689</v>
      </c>
      <c r="AO95" s="104"/>
      <c r="AP95" s="105" t="n">
        <v>0</v>
      </c>
      <c r="AQ95" s="105" t="n">
        <v>0</v>
      </c>
      <c r="AR95" s="105" t="n">
        <v>0</v>
      </c>
      <c r="AS95" s="105" t="n">
        <v>0</v>
      </c>
      <c r="AT95" s="105" t="n">
        <v>0</v>
      </c>
      <c r="AU95" s="105" t="n">
        <v>0</v>
      </c>
      <c r="AV95" s="105" t="n">
        <v>0</v>
      </c>
      <c r="AW95" s="105" t="n">
        <v>0</v>
      </c>
      <c r="AX95" s="105" t="n">
        <v>0</v>
      </c>
      <c r="AY95" s="105" t="n">
        <v>0</v>
      </c>
      <c r="AZ95" s="105" t="n">
        <v>0</v>
      </c>
      <c r="BA95" s="105" t="n">
        <v>0</v>
      </c>
      <c r="BB95" s="105" t="n">
        <v>0</v>
      </c>
      <c r="BC95" s="105" t="n">
        <v>0</v>
      </c>
      <c r="BD95" s="105" t="n">
        <v>0</v>
      </c>
      <c r="BE95" s="105" t="n">
        <v>0</v>
      </c>
      <c r="BF95" s="105" t="n">
        <v>0</v>
      </c>
      <c r="BG95" s="105" t="n">
        <v>0</v>
      </c>
      <c r="BH95" s="105" t="n">
        <v>0</v>
      </c>
      <c r="BI95" s="105" t="n">
        <v>0</v>
      </c>
      <c r="BJ95" s="105" t="n">
        <v>0</v>
      </c>
      <c r="BK95" s="105" t="n">
        <v>0</v>
      </c>
      <c r="BL95" s="105" t="n">
        <v>0</v>
      </c>
      <c r="BM95" s="105" t="n">
        <v>0</v>
      </c>
      <c r="BN95" s="105" t="n">
        <v>0</v>
      </c>
      <c r="BO95" s="105" t="n">
        <v>0</v>
      </c>
      <c r="BP95" s="105" t="n">
        <v>0</v>
      </c>
      <c r="BQ95" s="105" t="n">
        <v>0</v>
      </c>
      <c r="BR95" s="106" t="n">
        <f aca="false">SUM(AP95:BQ95)/60</f>
        <v>0</v>
      </c>
      <c r="BS95" s="106" t="n">
        <f aca="false">SUM(AP95:BR95)/60</f>
        <v>0</v>
      </c>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row>
    <row r="96" s="74" customFormat="true" ht="14.9" hidden="true" customHeight="true" outlineLevel="0" collapsed="false">
      <c r="A96" s="74" t="n">
        <f aca="false">MONTH(B96)</f>
        <v>8</v>
      </c>
      <c r="B96" s="75" t="n">
        <v>44418</v>
      </c>
      <c r="C96" s="76" t="s">
        <v>51</v>
      </c>
      <c r="D96" s="77" t="str">
        <f aca="false">IFERROR(VLOOKUP(E:E,'Item Data Support Sheet'!A:O,7,0),"")</f>
        <v>CAP MOLDED</v>
      </c>
      <c r="E96" s="108" t="s">
        <v>261</v>
      </c>
      <c r="F96" s="80"/>
      <c r="G96" s="77" t="s">
        <v>200</v>
      </c>
      <c r="H96" s="79" t="str">
        <f aca="false">IFERROR(VLOOKUP(E:E,'Item Data Support Sheet'!A:O,2,0),"")</f>
        <v>CAP S TYPE MOLDED PINK</v>
      </c>
      <c r="I96" s="80" t="s">
        <v>315</v>
      </c>
      <c r="J96" s="80" t="s">
        <v>148</v>
      </c>
      <c r="K96" s="81" t="n">
        <v>7</v>
      </c>
      <c r="L96" s="82" t="n">
        <v>3587</v>
      </c>
      <c r="M96" s="83" t="n">
        <f aca="false">IFERROR(L96/K96,0)</f>
        <v>512.428571428571</v>
      </c>
      <c r="N96" s="84" t="n">
        <f aca="false">+O96+Q96+T96+U96</f>
        <v>3402</v>
      </c>
      <c r="O96" s="85" t="n">
        <v>3390</v>
      </c>
      <c r="P96" s="86" t="n">
        <v>0</v>
      </c>
      <c r="Q96" s="87" t="n">
        <v>0</v>
      </c>
      <c r="R96" s="88" t="n">
        <v>0</v>
      </c>
      <c r="S96" s="88" t="n">
        <v>0</v>
      </c>
      <c r="T96" s="88" t="n">
        <v>4</v>
      </c>
      <c r="U96" s="88" t="n">
        <v>8</v>
      </c>
      <c r="V96" s="89" t="n">
        <v>1</v>
      </c>
      <c r="W96" s="90" t="n">
        <f aca="false">IFERROR(O96/V96,0)</f>
        <v>3390</v>
      </c>
      <c r="X96" s="91" t="n">
        <f aca="false">O96/L96</f>
        <v>0.945079453582381</v>
      </c>
      <c r="Y96" s="92" t="str">
        <f aca="false">IFERROR(VLOOKUP(E:E,'Item Data Support Sheet'!A:J,6,0),0)</f>
        <v>RM000123</v>
      </c>
      <c r="Z96" s="93" t="n">
        <f aca="false">IFERROR(VLOOKUP(E:E,'Item Data Support Sheet'!A:O,4,0),0)</f>
        <v>7.3</v>
      </c>
      <c r="AA96" s="93" t="n">
        <f aca="false">IFERROR(((N96)*(Z96/1000))+P96,0)</f>
        <v>24.8346</v>
      </c>
      <c r="AB96" s="94" t="n">
        <f aca="false">IFERROR((O96*(Z96/1000)/(AA96))," ")</f>
        <v>0.99647266313933</v>
      </c>
      <c r="AC96" s="95" t="n">
        <f aca="false">IFERROR((T96)/((T96)+O96),0)</f>
        <v>0.00117855038302887</v>
      </c>
      <c r="AD96" s="96" t="n">
        <f aca="false">IFERROR(Q96/(Q96+N96),0)</f>
        <v>0</v>
      </c>
      <c r="AE96" s="91" t="n">
        <f aca="false">(N96-T96)/N96</f>
        <v>0.998824221046443</v>
      </c>
      <c r="AF96" s="97" t="n">
        <f aca="false">BR96</f>
        <v>0.75</v>
      </c>
      <c r="AG96" s="98" t="n">
        <f aca="false">K96-AF96</f>
        <v>6.25</v>
      </c>
      <c r="AH96" s="99" t="n">
        <f aca="false">IFERROR(AG96/K96," ")</f>
        <v>0.892857142857143</v>
      </c>
      <c r="AI96" s="100" t="n">
        <f aca="false">IFERROR(O96/K96,0)</f>
        <v>484.285714285714</v>
      </c>
      <c r="AJ96" s="101" t="n">
        <f aca="false">VLOOKUP(D96,'Standard Cycle time'!C:D,2,0)</f>
        <v>6</v>
      </c>
      <c r="AK96" s="101" t="n">
        <f aca="false">AG96*V96*3600/O96</f>
        <v>6.63716814159292</v>
      </c>
      <c r="AL96" s="102" t="n">
        <f aca="false">AJ96/AK96</f>
        <v>0.904</v>
      </c>
      <c r="AM96" s="99" t="n">
        <f aca="false">AE96*AL96*AH96</f>
        <v>0.806193835558915</v>
      </c>
      <c r="AN96" s="103" t="n">
        <v>2688</v>
      </c>
      <c r="AO96" s="104"/>
      <c r="AP96" s="105" t="n">
        <v>0</v>
      </c>
      <c r="AQ96" s="105" t="n">
        <v>0</v>
      </c>
      <c r="AR96" s="105" t="n">
        <v>0</v>
      </c>
      <c r="AS96" s="105" t="n">
        <v>0</v>
      </c>
      <c r="AT96" s="105" t="n">
        <v>0</v>
      </c>
      <c r="AU96" s="105" t="n">
        <v>0</v>
      </c>
      <c r="AV96" s="105" t="n">
        <v>0</v>
      </c>
      <c r="AW96" s="105" t="n">
        <v>0</v>
      </c>
      <c r="AX96" s="105" t="n">
        <v>0</v>
      </c>
      <c r="AY96" s="105" t="n">
        <v>0</v>
      </c>
      <c r="AZ96" s="105" t="n">
        <v>0</v>
      </c>
      <c r="BA96" s="105" t="n">
        <v>0</v>
      </c>
      <c r="BB96" s="105" t="n">
        <v>0</v>
      </c>
      <c r="BC96" s="105" t="n">
        <v>0</v>
      </c>
      <c r="BD96" s="105" t="n">
        <v>0</v>
      </c>
      <c r="BE96" s="105" t="n">
        <v>0</v>
      </c>
      <c r="BF96" s="105" t="n">
        <v>0</v>
      </c>
      <c r="BG96" s="105" t="n">
        <v>0</v>
      </c>
      <c r="BH96" s="105" t="n">
        <v>0</v>
      </c>
      <c r="BI96" s="105" t="n">
        <v>0</v>
      </c>
      <c r="BJ96" s="105" t="n">
        <v>0</v>
      </c>
      <c r="BK96" s="105" t="n">
        <v>0</v>
      </c>
      <c r="BL96" s="105" t="n">
        <v>0</v>
      </c>
      <c r="BM96" s="105" t="n">
        <v>45</v>
      </c>
      <c r="BN96" s="105" t="n">
        <v>0</v>
      </c>
      <c r="BO96" s="105" t="n">
        <v>0</v>
      </c>
      <c r="BP96" s="105" t="n">
        <v>0</v>
      </c>
      <c r="BQ96" s="105" t="n">
        <v>0</v>
      </c>
      <c r="BR96" s="106" t="n">
        <f aca="false">SUM(AP96:BQ96)/60</f>
        <v>0.75</v>
      </c>
      <c r="BS96" s="106" t="n">
        <f aca="false">SUM(AP96:BR96)/60</f>
        <v>0.7625</v>
      </c>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row>
    <row r="97" s="74" customFormat="true" ht="14.9" hidden="true" customHeight="true" outlineLevel="0" collapsed="false">
      <c r="A97" s="74" t="n">
        <f aca="false">MONTH(B97)</f>
        <v>8</v>
      </c>
      <c r="B97" s="75" t="n">
        <v>44418</v>
      </c>
      <c r="C97" s="76" t="s">
        <v>51</v>
      </c>
      <c r="D97" s="77" t="str">
        <f aca="false">IFERROR(VLOOKUP(E:E,'Item Data Support Sheet'!A:O,7,0),"")</f>
        <v>NIPPLE MOLDED</v>
      </c>
      <c r="E97" s="108" t="s">
        <v>244</v>
      </c>
      <c r="F97" s="80" t="s">
        <v>137</v>
      </c>
      <c r="G97" s="77" t="s">
        <v>138</v>
      </c>
      <c r="H97" s="79" t="str">
        <f aca="false">IFERROR(VLOOKUP(E:E,'Item Data Support Sheet'!A:O,2,0),"")</f>
        <v>NIPPLE S TYPE S SIZE INJECTION</v>
      </c>
      <c r="I97" s="80" t="s">
        <v>316</v>
      </c>
      <c r="J97" s="80" t="s">
        <v>148</v>
      </c>
      <c r="K97" s="81" t="n">
        <v>8</v>
      </c>
      <c r="L97" s="82" t="n">
        <v>4815</v>
      </c>
      <c r="M97" s="83" t="n">
        <f aca="false">IFERROR(L97/K97,0)</f>
        <v>601.875</v>
      </c>
      <c r="N97" s="84" t="n">
        <f aca="false">+O97+Q97+T97+U97</f>
        <v>5405</v>
      </c>
      <c r="O97" s="85" t="n">
        <v>5300</v>
      </c>
      <c r="P97" s="86" t="n">
        <v>0</v>
      </c>
      <c r="Q97" s="87" t="n">
        <v>30</v>
      </c>
      <c r="R97" s="88" t="n">
        <v>0</v>
      </c>
      <c r="S97" s="88"/>
      <c r="T97" s="88" t="n">
        <v>67</v>
      </c>
      <c r="U97" s="88" t="n">
        <v>8</v>
      </c>
      <c r="V97" s="89" t="n">
        <v>1</v>
      </c>
      <c r="W97" s="90" t="n">
        <f aca="false">IFERROR(O97/V97,0)</f>
        <v>5300</v>
      </c>
      <c r="X97" s="91" t="n">
        <f aca="false">O97/L97</f>
        <v>1.10072689511942</v>
      </c>
      <c r="Y97" s="92" t="str">
        <f aca="false">IFERROR(VLOOKUP(E:E,'Item Data Support Sheet'!A:J,6,0),0)</f>
        <v>Silicon</v>
      </c>
      <c r="Z97" s="93" t="n">
        <f aca="false">IFERROR(VLOOKUP(E:E,'Item Data Support Sheet'!A:O,4,0),0)</f>
        <v>6.8</v>
      </c>
      <c r="AA97" s="93" t="n">
        <f aca="false">IFERROR(((N97)*(Z97/1000))+P97,0)</f>
        <v>36.754</v>
      </c>
      <c r="AB97" s="94" t="n">
        <f aca="false">IFERROR((O97*(Z97/1000)/(AA97))," ")</f>
        <v>0.980573543015726</v>
      </c>
      <c r="AC97" s="95" t="n">
        <f aca="false">IFERROR((T97)/((T97)+O97),0)</f>
        <v>0.0124836966648034</v>
      </c>
      <c r="AD97" s="96" t="n">
        <f aca="false">IFERROR(Q97/(Q97+N97),0)</f>
        <v>0.00551977920883165</v>
      </c>
      <c r="AE97" s="91" t="n">
        <f aca="false">(N97-T97)/N97</f>
        <v>0.987604070305273</v>
      </c>
      <c r="AF97" s="97" t="n">
        <f aca="false">BR97</f>
        <v>0</v>
      </c>
      <c r="AG97" s="98" t="n">
        <f aca="false">K97-AF97</f>
        <v>8</v>
      </c>
      <c r="AH97" s="99" t="n">
        <f aca="false">IFERROR(AG97/K97," ")</f>
        <v>1</v>
      </c>
      <c r="AI97" s="100" t="n">
        <f aca="false">IFERROR(O97/K97,0)</f>
        <v>662.5</v>
      </c>
      <c r="AJ97" s="101" t="n">
        <f aca="false">VLOOKUP(D97,'Standard Cycle time'!C:D,2,0)</f>
        <v>5.25</v>
      </c>
      <c r="AK97" s="101" t="n">
        <f aca="false">AG97*V97*3600/O97</f>
        <v>5.43396226415094</v>
      </c>
      <c r="AL97" s="102" t="n">
        <f aca="false">AJ97/AK97</f>
        <v>0.966145833333333</v>
      </c>
      <c r="AM97" s="99" t="n">
        <f aca="false">AE97*AL97*AH97</f>
        <v>0.95416955750848</v>
      </c>
      <c r="AN97" s="103" t="s">
        <v>317</v>
      </c>
      <c r="AO97" s="104"/>
      <c r="AP97" s="105" t="n">
        <v>0</v>
      </c>
      <c r="AQ97" s="105" t="n">
        <v>0</v>
      </c>
      <c r="AR97" s="105" t="n">
        <v>0</v>
      </c>
      <c r="AS97" s="105" t="n">
        <v>0</v>
      </c>
      <c r="AT97" s="105" t="n">
        <v>0</v>
      </c>
      <c r="AU97" s="105" t="n">
        <v>0</v>
      </c>
      <c r="AV97" s="105" t="n">
        <v>0</v>
      </c>
      <c r="AW97" s="105" t="n">
        <v>0</v>
      </c>
      <c r="AX97" s="105" t="n">
        <v>0</v>
      </c>
      <c r="AY97" s="105" t="n">
        <v>0</v>
      </c>
      <c r="AZ97" s="105" t="n">
        <v>0</v>
      </c>
      <c r="BA97" s="105" t="n">
        <v>0</v>
      </c>
      <c r="BB97" s="105" t="n">
        <v>0</v>
      </c>
      <c r="BC97" s="105" t="n">
        <v>0</v>
      </c>
      <c r="BD97" s="105" t="n">
        <v>0</v>
      </c>
      <c r="BE97" s="105" t="n">
        <v>0</v>
      </c>
      <c r="BF97" s="105" t="n">
        <v>0</v>
      </c>
      <c r="BG97" s="105" t="n">
        <v>0</v>
      </c>
      <c r="BH97" s="105" t="n">
        <v>0</v>
      </c>
      <c r="BI97" s="105" t="n">
        <v>0</v>
      </c>
      <c r="BJ97" s="105" t="n">
        <v>0</v>
      </c>
      <c r="BK97" s="105" t="n">
        <v>0</v>
      </c>
      <c r="BL97" s="105" t="n">
        <v>0</v>
      </c>
      <c r="BM97" s="105" t="n">
        <v>0</v>
      </c>
      <c r="BN97" s="105" t="n">
        <v>0</v>
      </c>
      <c r="BO97" s="105" t="n">
        <v>0</v>
      </c>
      <c r="BP97" s="105" t="n">
        <v>0</v>
      </c>
      <c r="BQ97" s="105" t="n">
        <v>0</v>
      </c>
      <c r="BR97" s="106" t="n">
        <f aca="false">SUM(AP97:BQ97)/60</f>
        <v>0</v>
      </c>
      <c r="BS97" s="106" t="n">
        <f aca="false">SUM(AP97:BR97)/60</f>
        <v>0</v>
      </c>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row>
    <row r="98" s="74" customFormat="true" ht="14.9" hidden="true" customHeight="true" outlineLevel="0" collapsed="false">
      <c r="A98" s="74" t="n">
        <f aca="false">MONTH(B98)</f>
        <v>8</v>
      </c>
      <c r="B98" s="75" t="n">
        <v>44418</v>
      </c>
      <c r="C98" s="76" t="s">
        <v>51</v>
      </c>
      <c r="D98" s="77" t="str">
        <f aca="false">IFERROR(VLOOKUP(E:E,'Item Data Support Sheet'!A:O,7,0),"")</f>
        <v>NIPPLE PUNCH</v>
      </c>
      <c r="E98" s="108" t="s">
        <v>53</v>
      </c>
      <c r="F98" s="80"/>
      <c r="G98" s="77" t="s">
        <v>54</v>
      </c>
      <c r="H98" s="79" t="str">
        <f aca="false">IFERROR(VLOOKUP(E:E,'Item Data Support Sheet'!A:O,2,0),"")</f>
        <v>NIPPLE S TYPE S SIZE PUNCHED</v>
      </c>
      <c r="I98" s="80" t="s">
        <v>318</v>
      </c>
      <c r="J98" s="80" t="s">
        <v>148</v>
      </c>
      <c r="K98" s="81" t="n">
        <v>8</v>
      </c>
      <c r="L98" s="82" t="n">
        <v>7036</v>
      </c>
      <c r="M98" s="83" t="n">
        <f aca="false">IFERROR(L98/K98,0)</f>
        <v>879.5</v>
      </c>
      <c r="N98" s="84" t="n">
        <f aca="false">+O98+Q98+T98+U98</f>
        <v>7000</v>
      </c>
      <c r="O98" s="85" t="n">
        <v>7000</v>
      </c>
      <c r="P98" s="86" t="n">
        <v>0</v>
      </c>
      <c r="Q98" s="87" t="n">
        <v>0</v>
      </c>
      <c r="R98" s="88" t="n">
        <v>0</v>
      </c>
      <c r="S98" s="88" t="n">
        <v>0</v>
      </c>
      <c r="T98" s="88" t="n">
        <v>0</v>
      </c>
      <c r="U98" s="88" t="n">
        <v>0</v>
      </c>
      <c r="V98" s="89" t="n">
        <v>1</v>
      </c>
      <c r="W98" s="90" t="n">
        <f aca="false">IFERROR(O98/V98,0)</f>
        <v>7000</v>
      </c>
      <c r="X98" s="91" t="n">
        <f aca="false">O98/L98</f>
        <v>0.99488345650938</v>
      </c>
      <c r="Y98" s="92" t="str">
        <f aca="false">IFERROR(VLOOKUP(E:E,'Item Data Support Sheet'!A:J,6,0),0)</f>
        <v>FO015</v>
      </c>
      <c r="Z98" s="93" t="n">
        <f aca="false">IFERROR(VLOOKUP(E:E,'Item Data Support Sheet'!A:O,4,0),0)</f>
        <v>0</v>
      </c>
      <c r="AA98" s="93" t="n">
        <f aca="false">IFERROR(((N98)*(Z98/1000))+P98,0)</f>
        <v>0</v>
      </c>
      <c r="AB98" s="94" t="str">
        <f aca="false">IFERROR((O98*(Z98/1000)/(AA98))," ")</f>
        <v> </v>
      </c>
      <c r="AC98" s="95" t="n">
        <f aca="false">IFERROR((T98)/((T98)+O98),0)</f>
        <v>0</v>
      </c>
      <c r="AD98" s="96" t="n">
        <f aca="false">IFERROR(Q98/(Q98+N98),0)</f>
        <v>0</v>
      </c>
      <c r="AE98" s="91" t="n">
        <f aca="false">(N98-T98)/N98</f>
        <v>1</v>
      </c>
      <c r="AF98" s="97" t="n">
        <f aca="false">BR98</f>
        <v>0.666666666666667</v>
      </c>
      <c r="AG98" s="98" t="n">
        <f aca="false">K98-AF98</f>
        <v>7.33333333333333</v>
      </c>
      <c r="AH98" s="99" t="n">
        <f aca="false">IFERROR(AG98/K98," ")</f>
        <v>0.916666666666667</v>
      </c>
      <c r="AI98" s="100" t="n">
        <f aca="false">IFERROR(O98/K98,0)</f>
        <v>875</v>
      </c>
      <c r="AJ98" s="101" t="n">
        <f aca="false">VLOOKUP(D98,'Standard Cycle time'!C:D,2,0)</f>
        <v>3.5</v>
      </c>
      <c r="AK98" s="101" t="n">
        <f aca="false">AG98*V98*3600/O98</f>
        <v>3.77142857142857</v>
      </c>
      <c r="AL98" s="102" t="n">
        <f aca="false">AJ98/AK98</f>
        <v>0.928030303030303</v>
      </c>
      <c r="AM98" s="99" t="n">
        <f aca="false">AE98*AL98*AH98</f>
        <v>0.850694444444444</v>
      </c>
      <c r="AN98" s="103" t="s">
        <v>319</v>
      </c>
      <c r="AO98" s="109"/>
      <c r="AP98" s="105" t="n">
        <v>40</v>
      </c>
      <c r="AQ98" s="105" t="n">
        <v>0</v>
      </c>
      <c r="AR98" s="105" t="n">
        <v>0</v>
      </c>
      <c r="AS98" s="105" t="n">
        <v>0</v>
      </c>
      <c r="AT98" s="105" t="n">
        <v>0</v>
      </c>
      <c r="AU98" s="105" t="n">
        <v>0</v>
      </c>
      <c r="AV98" s="105" t="n">
        <v>0</v>
      </c>
      <c r="AW98" s="105" t="n">
        <v>0</v>
      </c>
      <c r="AX98" s="105" t="n">
        <v>0</v>
      </c>
      <c r="AY98" s="105" t="n">
        <v>0</v>
      </c>
      <c r="AZ98" s="105" t="n">
        <v>0</v>
      </c>
      <c r="BA98" s="105" t="n">
        <v>0</v>
      </c>
      <c r="BB98" s="105" t="n">
        <v>0</v>
      </c>
      <c r="BC98" s="105" t="n">
        <v>0</v>
      </c>
      <c r="BD98" s="105" t="n">
        <v>0</v>
      </c>
      <c r="BE98" s="105" t="n">
        <v>0</v>
      </c>
      <c r="BF98" s="105" t="n">
        <v>0</v>
      </c>
      <c r="BG98" s="105" t="n">
        <v>0</v>
      </c>
      <c r="BH98" s="105" t="n">
        <v>0</v>
      </c>
      <c r="BI98" s="105" t="n">
        <v>0</v>
      </c>
      <c r="BJ98" s="105" t="n">
        <v>0</v>
      </c>
      <c r="BK98" s="105" t="n">
        <v>0</v>
      </c>
      <c r="BL98" s="105" t="n">
        <v>0</v>
      </c>
      <c r="BM98" s="105" t="n">
        <v>0</v>
      </c>
      <c r="BN98" s="105" t="n">
        <v>0</v>
      </c>
      <c r="BO98" s="105" t="n">
        <v>0</v>
      </c>
      <c r="BP98" s="105" t="n">
        <v>0</v>
      </c>
      <c r="BQ98" s="105" t="n">
        <v>0</v>
      </c>
      <c r="BR98" s="106" t="n">
        <f aca="false">SUM(AP98:BQ98)/60</f>
        <v>0.666666666666667</v>
      </c>
      <c r="BS98" s="106" t="n">
        <f aca="false">SUM(AP98:BR98)/60</f>
        <v>0.677777777777778</v>
      </c>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row>
    <row r="99" s="74" customFormat="true" ht="14.9" hidden="true" customHeight="true" outlineLevel="0" collapsed="false">
      <c r="A99" s="74" t="n">
        <f aca="false">MONTH(B99)</f>
        <v>8</v>
      </c>
      <c r="B99" s="75" t="n">
        <v>44418</v>
      </c>
      <c r="C99" s="76" t="s">
        <v>63</v>
      </c>
      <c r="D99" s="77" t="str">
        <f aca="false">IFERROR(VLOOKUP(E:E,'Item Data Support Sheet'!A:O,7,0),"")</f>
        <v>BOTTLE PRINTED</v>
      </c>
      <c r="E99" s="108" t="s">
        <v>320</v>
      </c>
      <c r="F99" s="80"/>
      <c r="G99" s="77" t="s">
        <v>66</v>
      </c>
      <c r="H99" s="79" t="str">
        <f aca="false">IFERROR(VLOOKUP(E:E,'Item Data Support Sheet'!A:O,2,0),"")</f>
        <v>KPP 200 ML BOTTLE PRINTED</v>
      </c>
      <c r="I99" s="80" t="s">
        <v>321</v>
      </c>
      <c r="J99" s="80" t="s">
        <v>161</v>
      </c>
      <c r="K99" s="81" t="n">
        <v>8.5</v>
      </c>
      <c r="L99" s="82" t="n">
        <v>5100</v>
      </c>
      <c r="M99" s="83" t="n">
        <f aca="false">IFERROR(L99/K99,0)</f>
        <v>600</v>
      </c>
      <c r="N99" s="84" t="n">
        <f aca="false">+O99+Q99+T99+U99</f>
        <v>5324</v>
      </c>
      <c r="O99" s="85" t="n">
        <v>5292</v>
      </c>
      <c r="P99" s="86" t="n">
        <v>0</v>
      </c>
      <c r="Q99" s="87" t="n">
        <v>0</v>
      </c>
      <c r="R99" s="88" t="n">
        <v>52</v>
      </c>
      <c r="S99" s="88" t="n">
        <v>0</v>
      </c>
      <c r="T99" s="88" t="n">
        <v>32</v>
      </c>
      <c r="U99" s="88" t="n">
        <v>0</v>
      </c>
      <c r="V99" s="89" t="n">
        <v>6</v>
      </c>
      <c r="W99" s="90" t="n">
        <f aca="false">IFERROR(O99/V99,0)</f>
        <v>882</v>
      </c>
      <c r="X99" s="91" t="n">
        <f aca="false">O99/L99</f>
        <v>1.03764705882353</v>
      </c>
      <c r="Y99" s="92" t="str">
        <f aca="false">IFERROR(VLOOKUP(E:E,'Item Data Support Sheet'!A:J,6,0),0)</f>
        <v>FO002</v>
      </c>
      <c r="Z99" s="93" t="n">
        <f aca="false">IFERROR(VLOOKUP(E:E,'Item Data Support Sheet'!A:O,4,0),0)</f>
        <v>0</v>
      </c>
      <c r="AA99" s="93" t="n">
        <f aca="false">IFERROR(((N99)*(Z99/1000))+P99,0)</f>
        <v>0</v>
      </c>
      <c r="AB99" s="94" t="str">
        <f aca="false">IFERROR((O99*(Z99/1000)/(AA99))," ")</f>
        <v> </v>
      </c>
      <c r="AC99" s="95" t="n">
        <f aca="false">IFERROR((T99)/((T99)+O99),0)</f>
        <v>0.00601051840721262</v>
      </c>
      <c r="AD99" s="96" t="n">
        <f aca="false">IFERROR(Q99/(Q99+N99),0)</f>
        <v>0</v>
      </c>
      <c r="AE99" s="91" t="n">
        <f aca="false">(N99-T99)/N99</f>
        <v>0.993989481592787</v>
      </c>
      <c r="AF99" s="97" t="n">
        <f aca="false">BR99</f>
        <v>0.833333333333333</v>
      </c>
      <c r="AG99" s="98" t="n">
        <f aca="false">K99-AF99</f>
        <v>7.66666666666667</v>
      </c>
      <c r="AH99" s="99" t="n">
        <f aca="false">IFERROR(AG99/K99," ")</f>
        <v>0.901960784313726</v>
      </c>
      <c r="AI99" s="100" t="n">
        <f aca="false">IFERROR(O99/K99,0)</f>
        <v>622.588235294118</v>
      </c>
      <c r="AJ99" s="101" t="n">
        <f aca="false">VLOOKUP(D99,'Standard Cycle time'!C:D,2,0)</f>
        <v>32.4</v>
      </c>
      <c r="AK99" s="101" t="n">
        <f aca="false">AG99*V99*3600/O99</f>
        <v>31.2925170068027</v>
      </c>
      <c r="AL99" s="102" t="n">
        <f aca="false">AJ99/AK99</f>
        <v>1.03539130434783</v>
      </c>
      <c r="AM99" s="99" t="n">
        <f aca="false">AE99*AL99*AH99</f>
        <v>0.928269235868652</v>
      </c>
      <c r="AN99" s="103" t="s">
        <v>322</v>
      </c>
      <c r="AO99" s="104"/>
      <c r="AP99" s="105" t="n">
        <v>50</v>
      </c>
      <c r="AQ99" s="105" t="n">
        <v>0</v>
      </c>
      <c r="AR99" s="105" t="n">
        <v>0</v>
      </c>
      <c r="AS99" s="105" t="n">
        <v>0</v>
      </c>
      <c r="AT99" s="105" t="n">
        <v>0</v>
      </c>
      <c r="AU99" s="105" t="n">
        <v>0</v>
      </c>
      <c r="AV99" s="105" t="n">
        <v>0</v>
      </c>
      <c r="AW99" s="105" t="n">
        <v>0</v>
      </c>
      <c r="AX99" s="105" t="n">
        <v>0</v>
      </c>
      <c r="AY99" s="105" t="n">
        <v>0</v>
      </c>
      <c r="AZ99" s="105" t="n">
        <v>0</v>
      </c>
      <c r="BA99" s="105" t="n">
        <v>0</v>
      </c>
      <c r="BB99" s="105" t="n">
        <v>0</v>
      </c>
      <c r="BC99" s="105" t="n">
        <v>0</v>
      </c>
      <c r="BD99" s="105" t="n">
        <v>0</v>
      </c>
      <c r="BE99" s="105" t="n">
        <v>0</v>
      </c>
      <c r="BF99" s="105" t="n">
        <v>0</v>
      </c>
      <c r="BG99" s="105" t="n">
        <v>0</v>
      </c>
      <c r="BH99" s="105" t="n">
        <v>0</v>
      </c>
      <c r="BI99" s="105" t="n">
        <v>0</v>
      </c>
      <c r="BJ99" s="105" t="n">
        <v>0</v>
      </c>
      <c r="BK99" s="105" t="n">
        <v>0</v>
      </c>
      <c r="BL99" s="105" t="n">
        <v>0</v>
      </c>
      <c r="BM99" s="105" t="n">
        <v>0</v>
      </c>
      <c r="BN99" s="105" t="n">
        <v>0</v>
      </c>
      <c r="BO99" s="105" t="n">
        <v>0</v>
      </c>
      <c r="BP99" s="105" t="n">
        <v>0</v>
      </c>
      <c r="BQ99" s="105" t="n">
        <v>0</v>
      </c>
      <c r="BR99" s="106" t="n">
        <f aca="false">SUM(AP99:BQ99)/60</f>
        <v>0.833333333333333</v>
      </c>
      <c r="BS99" s="106" t="n">
        <f aca="false">SUM(AP99:BR99)/60</f>
        <v>0.847222222222222</v>
      </c>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row>
    <row r="100" s="74" customFormat="true" ht="14.9" hidden="true" customHeight="true" outlineLevel="0" collapsed="false">
      <c r="A100" s="74" t="n">
        <f aca="false">MONTH(B100)</f>
        <v>8</v>
      </c>
      <c r="B100" s="75" t="n">
        <v>44418</v>
      </c>
      <c r="C100" s="76" t="s">
        <v>63</v>
      </c>
      <c r="D100" s="77" t="str">
        <f aca="false">IFERROR(VLOOKUP(E:E,'Item Data Support Sheet'!A:O,7,0),"")</f>
        <v>NIPPLE PUNCH INSPECTED</v>
      </c>
      <c r="E100" s="108" t="s">
        <v>297</v>
      </c>
      <c r="F100" s="80"/>
      <c r="G100" s="77"/>
      <c r="H100" s="79" t="str">
        <f aca="false">IFERROR(VLOOKUP(E:E,'Item Data Support Sheet'!A:O,2,0),"")</f>
        <v>NIPPLE S TYPE S SIZE PUNCHED INSPECTED</v>
      </c>
      <c r="I100" s="80" t="s">
        <v>323</v>
      </c>
      <c r="J100" s="80" t="s">
        <v>158</v>
      </c>
      <c r="K100" s="81" t="n">
        <v>8.5</v>
      </c>
      <c r="L100" s="82" t="n">
        <v>14182</v>
      </c>
      <c r="M100" s="83" t="n">
        <f aca="false">IFERROR(L100/K100,0)</f>
        <v>1668.47058823529</v>
      </c>
      <c r="N100" s="84" t="n">
        <f aca="false">+O100+Q100+T100+U100</f>
        <v>14000</v>
      </c>
      <c r="O100" s="85" t="n">
        <v>13925</v>
      </c>
      <c r="P100" s="86" t="n">
        <v>0</v>
      </c>
      <c r="Q100" s="87" t="n">
        <v>0</v>
      </c>
      <c r="R100" s="88" t="n">
        <v>0</v>
      </c>
      <c r="S100" s="88" t="n">
        <v>0</v>
      </c>
      <c r="T100" s="88" t="n">
        <v>75</v>
      </c>
      <c r="U100" s="88" t="n">
        <v>0</v>
      </c>
      <c r="V100" s="89" t="n">
        <v>2</v>
      </c>
      <c r="W100" s="90" t="n">
        <f aca="false">IFERROR(O100/V100,0)</f>
        <v>6962.5</v>
      </c>
      <c r="X100" s="91" t="n">
        <f aca="false">O100/L100</f>
        <v>0.98187843745593</v>
      </c>
      <c r="Y100" s="92" t="str">
        <f aca="false">IFERROR(VLOOKUP(E:E,'Item Data Support Sheet'!A:J,6,0),0)</f>
        <v>FO104</v>
      </c>
      <c r="Z100" s="93" t="n">
        <f aca="false">IFERROR(VLOOKUP(E:E,'Item Data Support Sheet'!A:O,4,0),0)</f>
        <v>0</v>
      </c>
      <c r="AA100" s="93" t="n">
        <f aca="false">IFERROR(((N100)*(Z100/1000))+P100,0)</f>
        <v>0</v>
      </c>
      <c r="AB100" s="94" t="str">
        <f aca="false">IFERROR((O100*(Z100/1000)/(AA100))," ")</f>
        <v> </v>
      </c>
      <c r="AC100" s="95" t="n">
        <f aca="false">IFERROR((T100)/((T100)+O100),0)</f>
        <v>0.00535714285714286</v>
      </c>
      <c r="AD100" s="96" t="n">
        <f aca="false">IFERROR(Q100/(Q100+N100),0)</f>
        <v>0</v>
      </c>
      <c r="AE100" s="91" t="n">
        <f aca="false">(N100-T100)/N100</f>
        <v>0.994642857142857</v>
      </c>
      <c r="AF100" s="97" t="n">
        <f aca="false">BR100</f>
        <v>0.833333333333333</v>
      </c>
      <c r="AG100" s="98" t="n">
        <f aca="false">K100-AF100</f>
        <v>7.66666666666667</v>
      </c>
      <c r="AH100" s="99" t="n">
        <f aca="false">IFERROR(AG100/K100," ")</f>
        <v>0.901960784313726</v>
      </c>
      <c r="AI100" s="100" t="n">
        <f aca="false">IFERROR(O100/K100,0)</f>
        <v>1638.23529411765</v>
      </c>
      <c r="AJ100" s="101" t="n">
        <f aca="false">VLOOKUP(D100,'Standard Cycle time'!C:D,2,0)</f>
        <v>4</v>
      </c>
      <c r="AK100" s="101" t="n">
        <f aca="false">AG100*V100*3600/O100</f>
        <v>3.96409335727109</v>
      </c>
      <c r="AL100" s="102" t="n">
        <f aca="false">AJ100/AK100</f>
        <v>1.00905797101449</v>
      </c>
      <c r="AM100" s="99" t="n">
        <f aca="false">AE100*AL100*AH100</f>
        <v>0.905255018674136</v>
      </c>
      <c r="AN100" s="103" t="s">
        <v>324</v>
      </c>
      <c r="AO100" s="109"/>
      <c r="AP100" s="105" t="n">
        <v>50</v>
      </c>
      <c r="AQ100" s="105" t="n">
        <v>0</v>
      </c>
      <c r="AR100" s="105" t="n">
        <v>0</v>
      </c>
      <c r="AS100" s="105" t="n">
        <v>0</v>
      </c>
      <c r="AT100" s="105" t="n">
        <v>0</v>
      </c>
      <c r="AU100" s="105" t="n">
        <v>0</v>
      </c>
      <c r="AV100" s="105" t="n">
        <v>0</v>
      </c>
      <c r="AW100" s="105" t="n">
        <v>0</v>
      </c>
      <c r="AX100" s="105" t="n">
        <v>0</v>
      </c>
      <c r="AY100" s="105" t="n">
        <v>0</v>
      </c>
      <c r="AZ100" s="105" t="n">
        <v>0</v>
      </c>
      <c r="BA100" s="105" t="n">
        <v>0</v>
      </c>
      <c r="BB100" s="105" t="n">
        <v>0</v>
      </c>
      <c r="BC100" s="105" t="n">
        <v>0</v>
      </c>
      <c r="BD100" s="105" t="n">
        <v>0</v>
      </c>
      <c r="BE100" s="105" t="n">
        <v>0</v>
      </c>
      <c r="BF100" s="105" t="n">
        <v>0</v>
      </c>
      <c r="BG100" s="105" t="n">
        <v>0</v>
      </c>
      <c r="BH100" s="105" t="n">
        <v>0</v>
      </c>
      <c r="BI100" s="105" t="n">
        <v>0</v>
      </c>
      <c r="BJ100" s="105" t="n">
        <v>0</v>
      </c>
      <c r="BK100" s="105" t="n">
        <v>0</v>
      </c>
      <c r="BL100" s="105" t="n">
        <v>0</v>
      </c>
      <c r="BM100" s="105" t="n">
        <v>0</v>
      </c>
      <c r="BN100" s="105" t="n">
        <v>0</v>
      </c>
      <c r="BO100" s="105" t="n">
        <v>0</v>
      </c>
      <c r="BP100" s="105" t="n">
        <v>0</v>
      </c>
      <c r="BQ100" s="105" t="n">
        <v>0</v>
      </c>
      <c r="BR100" s="106" t="n">
        <f aca="false">SUM(AP100:BQ100)/60</f>
        <v>0.833333333333333</v>
      </c>
      <c r="BS100" s="106" t="n">
        <f aca="false">SUM(AP100:BR100)/60</f>
        <v>0.847222222222222</v>
      </c>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row>
    <row r="101" s="74" customFormat="true" ht="14.9" hidden="true" customHeight="true" outlineLevel="0" collapsed="false">
      <c r="A101" s="74" t="n">
        <f aca="false">MONTH(B101)</f>
        <v>8</v>
      </c>
      <c r="B101" s="75" t="n">
        <v>44418</v>
      </c>
      <c r="C101" s="76" t="s">
        <v>70</v>
      </c>
      <c r="D101" s="77" t="str">
        <f aca="false">IFERROR(VLOOKUP(E:E,'Item Data Support Sheet'!A:O,7,0),"")</f>
        <v>NIPPLE PUNCH</v>
      </c>
      <c r="E101" s="108" t="s">
        <v>53</v>
      </c>
      <c r="F101" s="115"/>
      <c r="G101" s="77" t="s">
        <v>54</v>
      </c>
      <c r="H101" s="79" t="str">
        <f aca="false">IFERROR(VLOOKUP(E:E,'Item Data Support Sheet'!A:O,2,0),"")</f>
        <v>NIPPLE S TYPE S SIZE PUNCHED</v>
      </c>
      <c r="I101" s="80" t="s">
        <v>325</v>
      </c>
      <c r="J101" s="80" t="s">
        <v>140</v>
      </c>
      <c r="K101" s="81" t="n">
        <v>8</v>
      </c>
      <c r="L101" s="82" t="n">
        <v>7036</v>
      </c>
      <c r="M101" s="83" t="n">
        <f aca="false">IFERROR(L101/K101,0)</f>
        <v>879.5</v>
      </c>
      <c r="N101" s="84" t="n">
        <f aca="false">+O101+Q101+T101+U101</f>
        <v>7100</v>
      </c>
      <c r="O101" s="85" t="n">
        <f aca="false">2600+4500</f>
        <v>7100</v>
      </c>
      <c r="P101" s="86" t="n">
        <v>0</v>
      </c>
      <c r="Q101" s="87" t="n">
        <v>0</v>
      </c>
      <c r="R101" s="88" t="n">
        <v>0</v>
      </c>
      <c r="S101" s="88" t="n">
        <v>0</v>
      </c>
      <c r="T101" s="88" t="n">
        <v>0</v>
      </c>
      <c r="U101" s="88" t="n">
        <v>0</v>
      </c>
      <c r="V101" s="89" t="n">
        <v>1</v>
      </c>
      <c r="W101" s="90" t="n">
        <f aca="false">IFERROR(O101/V101,0)</f>
        <v>7100</v>
      </c>
      <c r="X101" s="91" t="n">
        <f aca="false">O101/L101</f>
        <v>1.00909607731666</v>
      </c>
      <c r="Y101" s="92" t="str">
        <f aca="false">IFERROR(VLOOKUP(E:E,'Item Data Support Sheet'!A:J,6,0),0)</f>
        <v>FO015</v>
      </c>
      <c r="Z101" s="93" t="n">
        <f aca="false">IFERROR(VLOOKUP(E:E,'Item Data Support Sheet'!A:O,4,0),0)</f>
        <v>0</v>
      </c>
      <c r="AA101" s="93" t="n">
        <f aca="false">IFERROR(((N101)*(Z101/1000))+P101,0)</f>
        <v>0</v>
      </c>
      <c r="AB101" s="94" t="str">
        <f aca="false">IFERROR((O101*(Z101/1000)/(AA101))," ")</f>
        <v> </v>
      </c>
      <c r="AC101" s="95" t="n">
        <f aca="false">IFERROR((T101)/((T101)+O101),0)</f>
        <v>0</v>
      </c>
      <c r="AD101" s="96" t="n">
        <f aca="false">IFERROR(Q101/(Q101+N101),0)</f>
        <v>0</v>
      </c>
      <c r="AE101" s="91" t="n">
        <f aca="false">(N101-T101)/N101</f>
        <v>1</v>
      </c>
      <c r="AF101" s="97" t="n">
        <f aca="false">BR101</f>
        <v>0.666666666666667</v>
      </c>
      <c r="AG101" s="98" t="n">
        <f aca="false">K101-AF101</f>
        <v>7.33333333333333</v>
      </c>
      <c r="AH101" s="99" t="n">
        <f aca="false">IFERROR(AG101/K101," ")</f>
        <v>0.916666666666667</v>
      </c>
      <c r="AI101" s="100" t="n">
        <f aca="false">IFERROR(O101/K101,0)</f>
        <v>887.5</v>
      </c>
      <c r="AJ101" s="101" t="n">
        <f aca="false">VLOOKUP(D101,'Standard Cycle time'!C:D,2,0)</f>
        <v>3.5</v>
      </c>
      <c r="AK101" s="101" t="n">
        <f aca="false">AG101*V101*3600/O101</f>
        <v>3.71830985915493</v>
      </c>
      <c r="AL101" s="102" t="n">
        <f aca="false">AJ101/AK101</f>
        <v>0.941287878787879</v>
      </c>
      <c r="AM101" s="99" t="n">
        <f aca="false">AE101*AL101*AH101</f>
        <v>0.862847222222222</v>
      </c>
      <c r="AN101" s="103" t="s">
        <v>326</v>
      </c>
      <c r="AO101" s="109"/>
      <c r="AP101" s="105" t="n">
        <v>40</v>
      </c>
      <c r="AQ101" s="105" t="n">
        <v>0</v>
      </c>
      <c r="AR101" s="105" t="n">
        <v>0</v>
      </c>
      <c r="AS101" s="105" t="n">
        <v>0</v>
      </c>
      <c r="AT101" s="105" t="n">
        <v>0</v>
      </c>
      <c r="AU101" s="105" t="n">
        <v>0</v>
      </c>
      <c r="AV101" s="105" t="n">
        <v>0</v>
      </c>
      <c r="AW101" s="105" t="n">
        <v>0</v>
      </c>
      <c r="AX101" s="105" t="n">
        <v>0</v>
      </c>
      <c r="AY101" s="105" t="n">
        <v>0</v>
      </c>
      <c r="AZ101" s="105" t="n">
        <v>0</v>
      </c>
      <c r="BA101" s="105" t="n">
        <v>0</v>
      </c>
      <c r="BB101" s="105" t="n">
        <v>0</v>
      </c>
      <c r="BC101" s="105" t="n">
        <v>0</v>
      </c>
      <c r="BD101" s="105" t="n">
        <v>0</v>
      </c>
      <c r="BE101" s="105" t="n">
        <v>0</v>
      </c>
      <c r="BF101" s="105" t="n">
        <v>0</v>
      </c>
      <c r="BG101" s="105" t="n">
        <v>0</v>
      </c>
      <c r="BH101" s="105" t="n">
        <v>0</v>
      </c>
      <c r="BI101" s="105" t="n">
        <v>0</v>
      </c>
      <c r="BJ101" s="105" t="n">
        <v>0</v>
      </c>
      <c r="BK101" s="105" t="n">
        <v>0</v>
      </c>
      <c r="BL101" s="105" t="n">
        <v>0</v>
      </c>
      <c r="BM101" s="105" t="n">
        <v>0</v>
      </c>
      <c r="BN101" s="105" t="n">
        <v>0</v>
      </c>
      <c r="BO101" s="105" t="n">
        <v>0</v>
      </c>
      <c r="BP101" s="105" t="n">
        <v>0</v>
      </c>
      <c r="BQ101" s="105" t="n">
        <v>0</v>
      </c>
      <c r="BR101" s="106" t="n">
        <f aca="false">SUM(AP101:BQ101)/60</f>
        <v>0.666666666666667</v>
      </c>
      <c r="BS101" s="106" t="n">
        <f aca="false">SUM(AP101:BR101)/60</f>
        <v>0.677777777777778</v>
      </c>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row>
    <row r="102" s="74" customFormat="true" ht="14.9" hidden="true" customHeight="true" outlineLevel="0" collapsed="false">
      <c r="A102" s="74" t="n">
        <f aca="false">MONTH(B102)</f>
        <v>8</v>
      </c>
      <c r="B102" s="75" t="n">
        <v>44418</v>
      </c>
      <c r="C102" s="76" t="s">
        <v>70</v>
      </c>
      <c r="D102" s="77" t="str">
        <f aca="false">IFERROR(VLOOKUP(E:E,'Item Data Support Sheet'!A:O,7,0),"")</f>
        <v>NIPPLE MOLDED</v>
      </c>
      <c r="E102" s="108" t="s">
        <v>244</v>
      </c>
      <c r="F102" s="80" t="s">
        <v>137</v>
      </c>
      <c r="G102" s="77" t="s">
        <v>138</v>
      </c>
      <c r="H102" s="79" t="str">
        <f aca="false">IFERROR(VLOOKUP(E:E,'Item Data Support Sheet'!A:O,2,0),"")</f>
        <v>NIPPLE S TYPE S SIZE INJECTION</v>
      </c>
      <c r="I102" s="80" t="s">
        <v>327</v>
      </c>
      <c r="J102" s="80" t="s">
        <v>140</v>
      </c>
      <c r="K102" s="81" t="n">
        <v>8</v>
      </c>
      <c r="L102" s="82" t="n">
        <v>4815</v>
      </c>
      <c r="M102" s="83" t="n">
        <f aca="false">IFERROR(L102/K102,0)</f>
        <v>601.875</v>
      </c>
      <c r="N102" s="84" t="n">
        <f aca="false">+O102+Q102+T102+U102</f>
        <v>5109</v>
      </c>
      <c r="O102" s="85" t="n">
        <v>5000</v>
      </c>
      <c r="P102" s="86" t="n">
        <v>0</v>
      </c>
      <c r="Q102" s="87" t="n">
        <v>40</v>
      </c>
      <c r="R102" s="88" t="n">
        <v>0</v>
      </c>
      <c r="S102" s="88" t="n">
        <v>0</v>
      </c>
      <c r="T102" s="88" t="n">
        <v>69</v>
      </c>
      <c r="U102" s="88" t="n">
        <v>0</v>
      </c>
      <c r="V102" s="89" t="n">
        <v>1</v>
      </c>
      <c r="W102" s="90" t="n">
        <f aca="false">IFERROR(O102/V102,0)</f>
        <v>5000</v>
      </c>
      <c r="X102" s="91" t="n">
        <f aca="false">O102/L102</f>
        <v>1.03842159916926</v>
      </c>
      <c r="Y102" s="92" t="str">
        <f aca="false">IFERROR(VLOOKUP(E:E,'Item Data Support Sheet'!A:J,6,0),0)</f>
        <v>Silicon</v>
      </c>
      <c r="Z102" s="93" t="n">
        <f aca="false">IFERROR(VLOOKUP(E:E,'Item Data Support Sheet'!A:O,4,0),0)</f>
        <v>6.8</v>
      </c>
      <c r="AA102" s="93" t="n">
        <f aca="false">IFERROR(((N102)*(Z102/1000))+P102,0)</f>
        <v>34.7412</v>
      </c>
      <c r="AB102" s="94" t="n">
        <f aca="false">IFERROR((O102*(Z102/1000)/(AA102))," ")</f>
        <v>0.978665100802505</v>
      </c>
      <c r="AC102" s="95" t="n">
        <f aca="false">IFERROR((T102)/((T102)+O102),0)</f>
        <v>0.0136121522982837</v>
      </c>
      <c r="AD102" s="96" t="n">
        <f aca="false">IFERROR(Q102/(Q102+N102),0)</f>
        <v>0.00776849873761895</v>
      </c>
      <c r="AE102" s="91" t="n">
        <f aca="false">(N102-T102)/N102</f>
        <v>0.986494421608925</v>
      </c>
      <c r="AF102" s="97" t="n">
        <f aca="false">BR102</f>
        <v>0</v>
      </c>
      <c r="AG102" s="98" t="n">
        <f aca="false">K102-AF102</f>
        <v>8</v>
      </c>
      <c r="AH102" s="99" t="n">
        <f aca="false">IFERROR(AG102/K102," ")</f>
        <v>1</v>
      </c>
      <c r="AI102" s="100" t="n">
        <f aca="false">IFERROR(O102/K102,0)</f>
        <v>625</v>
      </c>
      <c r="AJ102" s="101" t="n">
        <f aca="false">VLOOKUP(D102,'Standard Cycle time'!C:D,2,0)</f>
        <v>5.25</v>
      </c>
      <c r="AK102" s="101" t="n">
        <f aca="false">AG102*V102*3600/O102</f>
        <v>5.76</v>
      </c>
      <c r="AL102" s="102" t="n">
        <f aca="false">AJ102/AK102</f>
        <v>0.911458333333333</v>
      </c>
      <c r="AM102" s="99" t="n">
        <f aca="false">AE102*AL102*AH102</f>
        <v>0.899148561362302</v>
      </c>
      <c r="AN102" s="103" t="s">
        <v>328</v>
      </c>
      <c r="AO102" s="104"/>
      <c r="AP102" s="105" t="n">
        <v>0</v>
      </c>
      <c r="AQ102" s="105" t="n">
        <v>0</v>
      </c>
      <c r="AR102" s="105" t="n">
        <v>0</v>
      </c>
      <c r="AS102" s="105" t="n">
        <v>0</v>
      </c>
      <c r="AT102" s="105" t="n">
        <v>0</v>
      </c>
      <c r="AU102" s="105" t="n">
        <v>0</v>
      </c>
      <c r="AV102" s="105" t="n">
        <v>0</v>
      </c>
      <c r="AW102" s="105" t="n">
        <v>0</v>
      </c>
      <c r="AX102" s="105" t="n">
        <v>0</v>
      </c>
      <c r="AY102" s="105" t="n">
        <v>0</v>
      </c>
      <c r="AZ102" s="105" t="n">
        <v>0</v>
      </c>
      <c r="BA102" s="105" t="n">
        <v>0</v>
      </c>
      <c r="BB102" s="105" t="n">
        <v>0</v>
      </c>
      <c r="BC102" s="105" t="n">
        <v>0</v>
      </c>
      <c r="BD102" s="105" t="n">
        <v>0</v>
      </c>
      <c r="BE102" s="105" t="n">
        <v>0</v>
      </c>
      <c r="BF102" s="105" t="n">
        <v>0</v>
      </c>
      <c r="BG102" s="105" t="n">
        <v>0</v>
      </c>
      <c r="BH102" s="105" t="n">
        <v>0</v>
      </c>
      <c r="BI102" s="105" t="n">
        <v>0</v>
      </c>
      <c r="BJ102" s="105" t="n">
        <v>0</v>
      </c>
      <c r="BK102" s="105" t="n">
        <v>0</v>
      </c>
      <c r="BL102" s="105" t="n">
        <v>0</v>
      </c>
      <c r="BM102" s="105" t="n">
        <v>0</v>
      </c>
      <c r="BN102" s="105" t="n">
        <v>0</v>
      </c>
      <c r="BO102" s="105" t="n">
        <v>0</v>
      </c>
      <c r="BP102" s="105" t="n">
        <v>0</v>
      </c>
      <c r="BQ102" s="105" t="n">
        <v>0</v>
      </c>
      <c r="BR102" s="106" t="n">
        <f aca="false">SUM(AP102:BQ102)/60</f>
        <v>0</v>
      </c>
      <c r="BS102" s="106" t="n">
        <f aca="false">SUM(AP102:BR102)/60</f>
        <v>0</v>
      </c>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row>
    <row r="103" s="74" customFormat="true" ht="14.9" hidden="true" customHeight="true" outlineLevel="0" collapsed="false">
      <c r="A103" s="74" t="n">
        <f aca="false">MONTH(B103)</f>
        <v>8</v>
      </c>
      <c r="B103" s="75" t="n">
        <v>44418</v>
      </c>
      <c r="C103" s="76" t="s">
        <v>70</v>
      </c>
      <c r="D103" s="77" t="str">
        <f aca="false">IFERROR(VLOOKUP(E:E,'Item Data Support Sheet'!A:O,7,0),"")</f>
        <v>NIPPLE POSTCURE</v>
      </c>
      <c r="E103" s="108" t="s">
        <v>57</v>
      </c>
      <c r="F103" s="80"/>
      <c r="G103" s="77" t="s">
        <v>149</v>
      </c>
      <c r="H103" s="79" t="str">
        <f aca="false">IFERROR(VLOOKUP(E:E,'Item Data Support Sheet'!A:O,2,0),"")</f>
        <v>NIPPLE S TYPE S SIZE POSTCURED</v>
      </c>
      <c r="I103" s="80" t="s">
        <v>329</v>
      </c>
      <c r="J103" s="80" t="s">
        <v>140</v>
      </c>
      <c r="K103" s="81" t="n">
        <v>8</v>
      </c>
      <c r="L103" s="82" t="n">
        <v>11000</v>
      </c>
      <c r="M103" s="83" t="n">
        <f aca="false">IFERROR(L103/K103,0)</f>
        <v>1375</v>
      </c>
      <c r="N103" s="84" t="n">
        <f aca="false">+O103+Q103+T103+U103</f>
        <v>11300</v>
      </c>
      <c r="O103" s="85" t="n">
        <f aca="false">4000+3300+4000</f>
        <v>11300</v>
      </c>
      <c r="P103" s="86" t="n">
        <v>0</v>
      </c>
      <c r="Q103" s="87" t="n">
        <v>0</v>
      </c>
      <c r="R103" s="88" t="n">
        <v>0</v>
      </c>
      <c r="S103" s="88" t="n">
        <v>0</v>
      </c>
      <c r="T103" s="88" t="n">
        <v>0</v>
      </c>
      <c r="U103" s="88" t="n">
        <v>0</v>
      </c>
      <c r="V103" s="89" t="n">
        <v>1</v>
      </c>
      <c r="W103" s="90" t="n">
        <f aca="false">IFERROR(O103/V103,0)</f>
        <v>11300</v>
      </c>
      <c r="X103" s="91" t="n">
        <f aca="false">O103/L103</f>
        <v>1.02727272727273</v>
      </c>
      <c r="Y103" s="92" t="str">
        <f aca="false">IFERROR(VLOOKUP(E:E,'Item Data Support Sheet'!A:J,6,0),0)</f>
        <v>FO011</v>
      </c>
      <c r="Z103" s="93" t="n">
        <f aca="false">IFERROR(VLOOKUP(E:E,'Item Data Support Sheet'!A:O,4,0),0)</f>
        <v>0</v>
      </c>
      <c r="AA103" s="93" t="n">
        <f aca="false">IFERROR(((N103)*(Z103/1000))+P103,0)</f>
        <v>0</v>
      </c>
      <c r="AB103" s="94" t="str">
        <f aca="false">IFERROR((O103*(Z103/1000)/(AA103))," ")</f>
        <v> </v>
      </c>
      <c r="AC103" s="95" t="n">
        <f aca="false">IFERROR((T103)/((T103)+O103),0)</f>
        <v>0</v>
      </c>
      <c r="AD103" s="96" t="n">
        <f aca="false">IFERROR(Q103/(Q103+N103),0)</f>
        <v>0</v>
      </c>
      <c r="AE103" s="91" t="n">
        <f aca="false">(N103-T103)/N103</f>
        <v>1</v>
      </c>
      <c r="AF103" s="97" t="n">
        <f aca="false">BR103</f>
        <v>0</v>
      </c>
      <c r="AG103" s="98" t="n">
        <f aca="false">K103-AF103</f>
        <v>8</v>
      </c>
      <c r="AH103" s="99" t="n">
        <f aca="false">IFERROR(AG103/K103," ")</f>
        <v>1</v>
      </c>
      <c r="AI103" s="100" t="n">
        <f aca="false">IFERROR(O103/K103,0)</f>
        <v>1412.5</v>
      </c>
      <c r="AJ103" s="101" t="n">
        <f aca="false">VLOOKUP(D103,'Standard Cycle time'!C:D,2,0)</f>
        <v>2.3</v>
      </c>
      <c r="AK103" s="101" t="n">
        <f aca="false">AG103*V103*3600/O103</f>
        <v>2.54867256637168</v>
      </c>
      <c r="AL103" s="102" t="n">
        <f aca="false">AJ103/AK103</f>
        <v>0.902430555555556</v>
      </c>
      <c r="AM103" s="99" t="n">
        <f aca="false">AE103*AL103*AH103</f>
        <v>0.902430555555556</v>
      </c>
      <c r="AN103" s="103" t="s">
        <v>330</v>
      </c>
      <c r="AO103" s="104"/>
      <c r="AP103" s="105" t="n">
        <v>40</v>
      </c>
      <c r="AQ103" s="105" t="n">
        <v>0</v>
      </c>
      <c r="AR103" s="105" t="n">
        <v>0</v>
      </c>
      <c r="AS103" s="105" t="n">
        <v>0</v>
      </c>
      <c r="AT103" s="105" t="n">
        <v>0</v>
      </c>
      <c r="AU103" s="105" t="n">
        <v>0</v>
      </c>
      <c r="AV103" s="105" t="n">
        <v>0</v>
      </c>
      <c r="AW103" s="105" t="n">
        <v>0</v>
      </c>
      <c r="AX103" s="105" t="n">
        <v>0</v>
      </c>
      <c r="AY103" s="105" t="n">
        <v>0</v>
      </c>
      <c r="AZ103" s="105" t="n">
        <v>0</v>
      </c>
      <c r="BA103" s="105" t="n">
        <v>0</v>
      </c>
      <c r="BB103" s="105" t="n">
        <v>0</v>
      </c>
      <c r="BC103" s="105" t="n">
        <v>0</v>
      </c>
      <c r="BD103" s="105" t="n">
        <v>0</v>
      </c>
      <c r="BE103" s="105" t="n">
        <v>0</v>
      </c>
      <c r="BF103" s="105" t="n">
        <v>0</v>
      </c>
      <c r="BG103" s="105" t="n">
        <v>0</v>
      </c>
      <c r="BH103" s="105" t="n">
        <v>0</v>
      </c>
      <c r="BI103" s="105" t="n">
        <v>0</v>
      </c>
      <c r="BJ103" s="105" t="n">
        <v>0</v>
      </c>
      <c r="BK103" s="105" t="n">
        <v>0</v>
      </c>
      <c r="BL103" s="105" t="n">
        <v>0</v>
      </c>
      <c r="BM103" s="105" t="n">
        <v>0</v>
      </c>
      <c r="BN103" s="105" t="n">
        <v>0</v>
      </c>
      <c r="BO103" s="105" t="n">
        <v>0</v>
      </c>
      <c r="BP103" s="105" t="n">
        <v>0</v>
      </c>
      <c r="BQ103" s="105" t="n">
        <v>0</v>
      </c>
      <c r="BR103" s="106"/>
      <c r="BS103" s="106"/>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row>
    <row r="104" s="74" customFormat="true" ht="14.9" hidden="true" customHeight="true" outlineLevel="0" collapsed="false">
      <c r="A104" s="74" t="n">
        <f aca="false">MONTH(B104)</f>
        <v>8</v>
      </c>
      <c r="B104" s="75" t="n">
        <v>44418</v>
      </c>
      <c r="C104" s="76" t="s">
        <v>70</v>
      </c>
      <c r="D104" s="77" t="str">
        <f aca="false">IFERROR(VLOOKUP(E:E,'Item Data Support Sheet'!A:O,7,0),"")</f>
        <v>CAP MOLDED</v>
      </c>
      <c r="E104" s="108" t="s">
        <v>261</v>
      </c>
      <c r="F104" s="80"/>
      <c r="G104" s="77" t="s">
        <v>200</v>
      </c>
      <c r="H104" s="79" t="str">
        <f aca="false">IFERROR(VLOOKUP(E:E,'Item Data Support Sheet'!A:O,2,0),"")</f>
        <v>CAP S TYPE MOLDED PINK</v>
      </c>
      <c r="I104" s="80" t="s">
        <v>331</v>
      </c>
      <c r="J104" s="80" t="s">
        <v>140</v>
      </c>
      <c r="K104" s="81" t="n">
        <v>8</v>
      </c>
      <c r="L104" s="82" t="n">
        <v>4137</v>
      </c>
      <c r="M104" s="83" t="n">
        <f aca="false">IFERROR(L104/K104,0)</f>
        <v>517.125</v>
      </c>
      <c r="N104" s="84" t="n">
        <f aca="false">+O104+Q104+T104+U104</f>
        <v>4320</v>
      </c>
      <c r="O104" s="85" t="n">
        <v>4320</v>
      </c>
      <c r="P104" s="86" t="n">
        <v>0</v>
      </c>
      <c r="Q104" s="87" t="n">
        <v>0</v>
      </c>
      <c r="R104" s="88" t="n">
        <v>0</v>
      </c>
      <c r="S104" s="88" t="n">
        <v>0</v>
      </c>
      <c r="T104" s="88" t="n">
        <v>0</v>
      </c>
      <c r="U104" s="88" t="n">
        <v>0</v>
      </c>
      <c r="V104" s="89" t="n">
        <v>1</v>
      </c>
      <c r="W104" s="90" t="n">
        <f aca="false">IFERROR(O104/V104,0)</f>
        <v>4320</v>
      </c>
      <c r="X104" s="91" t="n">
        <f aca="false">O104/L104</f>
        <v>1.04423495286439</v>
      </c>
      <c r="Y104" s="92" t="str">
        <f aca="false">IFERROR(VLOOKUP(E:E,'Item Data Support Sheet'!A:J,6,0),0)</f>
        <v>RM000123</v>
      </c>
      <c r="Z104" s="93" t="n">
        <f aca="false">IFERROR(VLOOKUP(E:E,'Item Data Support Sheet'!A:O,4,0),0)</f>
        <v>7.3</v>
      </c>
      <c r="AA104" s="93" t="n">
        <f aca="false">IFERROR(((N104)*(Z104/1000))+P104,0)</f>
        <v>31.536</v>
      </c>
      <c r="AB104" s="94" t="n">
        <f aca="false">IFERROR((O104*(Z104/1000)/(AA104))," ")</f>
        <v>1</v>
      </c>
      <c r="AC104" s="95" t="n">
        <f aca="false">IFERROR((T104)/((T104)+O104),0)</f>
        <v>0</v>
      </c>
      <c r="AD104" s="96" t="n">
        <f aca="false">IFERROR(Q104/(Q104+N104),0)</f>
        <v>0</v>
      </c>
      <c r="AE104" s="91" t="n">
        <f aca="false">(N104-T104)/N104</f>
        <v>1</v>
      </c>
      <c r="AF104" s="97" t="n">
        <f aca="false">BR104</f>
        <v>0</v>
      </c>
      <c r="AG104" s="98" t="n">
        <f aca="false">K104-AF104</f>
        <v>8</v>
      </c>
      <c r="AH104" s="99" t="n">
        <f aca="false">IFERROR(AG104/K104," ")</f>
        <v>1</v>
      </c>
      <c r="AI104" s="100" t="n">
        <f aca="false">IFERROR(O104/K104,0)</f>
        <v>540</v>
      </c>
      <c r="AJ104" s="101" t="n">
        <f aca="false">VLOOKUP(D104,'Standard Cycle time'!C:D,2,0)</f>
        <v>6</v>
      </c>
      <c r="AK104" s="101" t="n">
        <f aca="false">AG104*V104*3600/O104</f>
        <v>6.66666666666667</v>
      </c>
      <c r="AL104" s="102" t="n">
        <f aca="false">AJ104/AK104</f>
        <v>0.9</v>
      </c>
      <c r="AM104" s="99" t="n">
        <f aca="false">AE104*AL104*AH104</f>
        <v>0.9</v>
      </c>
      <c r="AN104" s="103" t="n">
        <v>2689</v>
      </c>
      <c r="AO104" s="104"/>
      <c r="AP104" s="105" t="n">
        <v>0</v>
      </c>
      <c r="AQ104" s="105" t="n">
        <v>0</v>
      </c>
      <c r="AR104" s="105" t="n">
        <v>0</v>
      </c>
      <c r="AS104" s="105" t="n">
        <v>0</v>
      </c>
      <c r="AT104" s="105" t="n">
        <v>0</v>
      </c>
      <c r="AU104" s="105" t="n">
        <v>0</v>
      </c>
      <c r="AV104" s="105" t="n">
        <v>0</v>
      </c>
      <c r="AW104" s="105" t="n">
        <v>0</v>
      </c>
      <c r="AX104" s="105" t="n">
        <v>0</v>
      </c>
      <c r="AY104" s="105" t="n">
        <v>0</v>
      </c>
      <c r="AZ104" s="105" t="n">
        <v>0</v>
      </c>
      <c r="BA104" s="105" t="n">
        <v>0</v>
      </c>
      <c r="BB104" s="105" t="n">
        <v>0</v>
      </c>
      <c r="BC104" s="105" t="n">
        <v>0</v>
      </c>
      <c r="BD104" s="105" t="n">
        <v>0</v>
      </c>
      <c r="BE104" s="105" t="n">
        <v>0</v>
      </c>
      <c r="BF104" s="105" t="n">
        <v>0</v>
      </c>
      <c r="BG104" s="105" t="n">
        <v>0</v>
      </c>
      <c r="BH104" s="105" t="n">
        <v>0</v>
      </c>
      <c r="BI104" s="105" t="n">
        <v>0</v>
      </c>
      <c r="BJ104" s="105" t="n">
        <v>0</v>
      </c>
      <c r="BK104" s="105" t="n">
        <v>0</v>
      </c>
      <c r="BL104" s="105" t="n">
        <v>0</v>
      </c>
      <c r="BM104" s="105" t="n">
        <v>0</v>
      </c>
      <c r="BN104" s="105" t="n">
        <v>0</v>
      </c>
      <c r="BO104" s="105" t="n">
        <v>0</v>
      </c>
      <c r="BP104" s="105" t="n">
        <v>0</v>
      </c>
      <c r="BQ104" s="105" t="n">
        <v>0</v>
      </c>
      <c r="BR104" s="106" t="n">
        <f aca="false">SUM(AP104:BQ104)/60</f>
        <v>0</v>
      </c>
      <c r="BS104" s="106" t="n">
        <f aca="false">SUM(AP104:BR104)/60</f>
        <v>0</v>
      </c>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row>
    <row r="105" s="74" customFormat="true" ht="14.9" hidden="true" customHeight="true" outlineLevel="0" collapsed="false">
      <c r="A105" s="74" t="n">
        <f aca="false">MONTH(B105)</f>
        <v>8</v>
      </c>
      <c r="B105" s="75" t="n">
        <v>44418</v>
      </c>
      <c r="C105" s="76" t="s">
        <v>152</v>
      </c>
      <c r="D105" s="77" t="str">
        <f aca="false">IFERROR(VLOOKUP(E:E,'Item Data Support Sheet'!A:O,7,0),"")</f>
        <v>BOTTLE MOLDED</v>
      </c>
      <c r="E105" s="108" t="s">
        <v>69</v>
      </c>
      <c r="F105" s="78" t="s">
        <v>73</v>
      </c>
      <c r="G105" s="77" t="s">
        <v>74</v>
      </c>
      <c r="H105" s="79" t="str">
        <f aca="false">IFERROR(VLOOKUP(E:E,'Item Data Support Sheet'!A:O,2,0),"")</f>
        <v>KPP 240 ML BOTTLE MOLDED</v>
      </c>
      <c r="I105" s="80" t="s">
        <v>332</v>
      </c>
      <c r="J105" s="80" t="s">
        <v>143</v>
      </c>
      <c r="K105" s="81" t="n">
        <v>8</v>
      </c>
      <c r="L105" s="82" t="n">
        <v>2574</v>
      </c>
      <c r="M105" s="83" t="n">
        <f aca="false">IFERROR(L105/K105,0)</f>
        <v>321.75</v>
      </c>
      <c r="N105" s="84" t="n">
        <f aca="false">+O105+Q105+T105+U105</f>
        <v>1773</v>
      </c>
      <c r="O105" s="85" t="n">
        <f aca="false">15*108</f>
        <v>1620</v>
      </c>
      <c r="P105" s="86" t="n">
        <v>0.23</v>
      </c>
      <c r="Q105" s="87" t="n">
        <f aca="false">48+59</f>
        <v>107</v>
      </c>
      <c r="R105" s="88" t="n">
        <v>0</v>
      </c>
      <c r="S105" s="88" t="n">
        <v>0</v>
      </c>
      <c r="T105" s="88" t="n">
        <v>38</v>
      </c>
      <c r="U105" s="88" t="n">
        <v>8</v>
      </c>
      <c r="V105" s="89" t="n">
        <v>1</v>
      </c>
      <c r="W105" s="90" t="n">
        <f aca="false">IFERROR(O105/V105,0)</f>
        <v>1620</v>
      </c>
      <c r="X105" s="91" t="n">
        <f aca="false">O105/L105</f>
        <v>0.629370629370629</v>
      </c>
      <c r="Y105" s="92" t="str">
        <f aca="false">IFERROR(VLOOKUP(E:E,'Item Data Support Sheet'!A:J,6,0),0)</f>
        <v>HMC</v>
      </c>
      <c r="Z105" s="93" t="n">
        <f aca="false">IFERROR(VLOOKUP(E:E,'Item Data Support Sheet'!A:O,4,0),0)</f>
        <v>32.1</v>
      </c>
      <c r="AA105" s="93" t="n">
        <f aca="false">IFERROR(((N105)*(Z105/1000))+P105,0)</f>
        <v>57.1433</v>
      </c>
      <c r="AB105" s="94" t="n">
        <f aca="false">IFERROR((O105*(Z105/1000)/(AA105))," ")</f>
        <v>0.910027947283409</v>
      </c>
      <c r="AC105" s="95" t="n">
        <f aca="false">IFERROR((T105)/((T105)+O105),0)</f>
        <v>0.02291917973462</v>
      </c>
      <c r="AD105" s="96" t="n">
        <f aca="false">IFERROR(Q105/(Q105+N105),0)</f>
        <v>0.0569148936170213</v>
      </c>
      <c r="AE105" s="91" t="n">
        <f aca="false">(N105-T105)/N105</f>
        <v>0.978567399887197</v>
      </c>
      <c r="AF105" s="97" t="n">
        <f aca="false">BR105</f>
        <v>3.33333333333333</v>
      </c>
      <c r="AG105" s="98" t="n">
        <f aca="false">K105-AF105</f>
        <v>4.66666666666667</v>
      </c>
      <c r="AH105" s="99" t="n">
        <f aca="false">IFERROR(AG105/K105," ")</f>
        <v>0.583333333333333</v>
      </c>
      <c r="AI105" s="100" t="n">
        <f aca="false">IFERROR(O105/K105,0)</f>
        <v>202.5</v>
      </c>
      <c r="AJ105" s="101" t="n">
        <f aca="false">VLOOKUP(D105,'Standard Cycle time'!C:D,2,0)</f>
        <v>9</v>
      </c>
      <c r="AK105" s="101" t="n">
        <f aca="false">AG105*V105*3600/O105</f>
        <v>10.3703703703704</v>
      </c>
      <c r="AL105" s="102" t="n">
        <f aca="false">AJ105/AK105</f>
        <v>0.867857142857143</v>
      </c>
      <c r="AM105" s="99" t="n">
        <f aca="false">AE105*AL105*AH105</f>
        <v>0.495399746192893</v>
      </c>
      <c r="AN105" s="103" t="n">
        <v>2372</v>
      </c>
      <c r="AO105" s="104" t="s">
        <v>333</v>
      </c>
      <c r="AP105" s="105" t="n">
        <v>0</v>
      </c>
      <c r="AQ105" s="105" t="n">
        <v>0</v>
      </c>
      <c r="AR105" s="105" t="n">
        <v>150</v>
      </c>
      <c r="AS105" s="105" t="n">
        <v>0</v>
      </c>
      <c r="AT105" s="105" t="n">
        <v>0</v>
      </c>
      <c r="AU105" s="105" t="n">
        <v>0</v>
      </c>
      <c r="AV105" s="105" t="n">
        <v>20</v>
      </c>
      <c r="AW105" s="105" t="n">
        <v>30</v>
      </c>
      <c r="AX105" s="105" t="n">
        <v>0</v>
      </c>
      <c r="AY105" s="105" t="n">
        <v>0</v>
      </c>
      <c r="AZ105" s="105" t="n">
        <v>0</v>
      </c>
      <c r="BA105" s="105" t="n">
        <v>0</v>
      </c>
      <c r="BB105" s="105" t="n">
        <v>0</v>
      </c>
      <c r="BC105" s="105" t="n">
        <v>0</v>
      </c>
      <c r="BD105" s="105" t="n">
        <v>0</v>
      </c>
      <c r="BE105" s="105" t="n">
        <v>0</v>
      </c>
      <c r="BF105" s="105" t="n">
        <v>0</v>
      </c>
      <c r="BG105" s="105" t="n">
        <v>0</v>
      </c>
      <c r="BH105" s="105" t="n">
        <v>0</v>
      </c>
      <c r="BI105" s="105" t="n">
        <v>0</v>
      </c>
      <c r="BJ105" s="105" t="n">
        <v>0</v>
      </c>
      <c r="BK105" s="105" t="n">
        <v>0</v>
      </c>
      <c r="BL105" s="105" t="n">
        <v>0</v>
      </c>
      <c r="BM105" s="105" t="n">
        <v>0</v>
      </c>
      <c r="BN105" s="105" t="n">
        <v>0</v>
      </c>
      <c r="BO105" s="105" t="n">
        <v>0</v>
      </c>
      <c r="BP105" s="105" t="n">
        <v>0</v>
      </c>
      <c r="BQ105" s="105" t="n">
        <v>0</v>
      </c>
      <c r="BR105" s="106" t="n">
        <f aca="false">SUM(AP105:BQ105)/60</f>
        <v>3.33333333333333</v>
      </c>
      <c r="BS105" s="106" t="n">
        <f aca="false">SUM(AP105:BR105)/60</f>
        <v>3.38888888888889</v>
      </c>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row>
    <row r="106" s="74" customFormat="true" ht="14.9" hidden="true" customHeight="true" outlineLevel="0" collapsed="false">
      <c r="A106" s="74" t="n">
        <f aca="false">MONTH(B106)</f>
        <v>8</v>
      </c>
      <c r="B106" s="75" t="n">
        <v>44418</v>
      </c>
      <c r="C106" s="76" t="s">
        <v>152</v>
      </c>
      <c r="D106" s="77" t="str">
        <f aca="false">IFERROR(VLOOKUP(E:E,'Item Data Support Sheet'!A:O,7,0),"")</f>
        <v>NIPPLE MOLDED</v>
      </c>
      <c r="E106" s="108" t="s">
        <v>244</v>
      </c>
      <c r="F106" s="80" t="s">
        <v>137</v>
      </c>
      <c r="G106" s="77" t="s">
        <v>138</v>
      </c>
      <c r="H106" s="79" t="str">
        <f aca="false">IFERROR(VLOOKUP(E:E,'Item Data Support Sheet'!A:O,2,0),"")</f>
        <v>NIPPLE S TYPE S SIZE INJECTION</v>
      </c>
      <c r="I106" s="80" t="s">
        <v>334</v>
      </c>
      <c r="J106" s="80" t="s">
        <v>143</v>
      </c>
      <c r="K106" s="81" t="n">
        <v>8</v>
      </c>
      <c r="L106" s="82" t="n">
        <v>4815</v>
      </c>
      <c r="M106" s="83" t="n">
        <f aca="false">IFERROR(L106/K106,0)</f>
        <v>601.875</v>
      </c>
      <c r="N106" s="84" t="n">
        <f aca="false">+O106+Q106+T106+U106</f>
        <v>5090</v>
      </c>
      <c r="O106" s="85" t="n">
        <v>5000</v>
      </c>
      <c r="P106" s="86" t="n">
        <v>0</v>
      </c>
      <c r="Q106" s="87" t="n">
        <v>32</v>
      </c>
      <c r="R106" s="88" t="n">
        <v>0</v>
      </c>
      <c r="S106" s="88" t="n">
        <v>0</v>
      </c>
      <c r="T106" s="88" t="n">
        <v>50</v>
      </c>
      <c r="U106" s="88" t="n">
        <v>8</v>
      </c>
      <c r="V106" s="89" t="n">
        <v>1</v>
      </c>
      <c r="W106" s="90" t="n">
        <f aca="false">IFERROR(O106/V106,0)</f>
        <v>5000</v>
      </c>
      <c r="X106" s="91" t="n">
        <f aca="false">O106/L106</f>
        <v>1.03842159916926</v>
      </c>
      <c r="Y106" s="92" t="str">
        <f aca="false">IFERROR(VLOOKUP(E:E,'Item Data Support Sheet'!A:J,6,0),0)</f>
        <v>Silicon</v>
      </c>
      <c r="Z106" s="93" t="n">
        <f aca="false">IFERROR(VLOOKUP(E:E,'Item Data Support Sheet'!A:O,4,0),0)</f>
        <v>6.8</v>
      </c>
      <c r="AA106" s="93" t="n">
        <f aca="false">IFERROR(((N106)*(Z106/1000))+P106,0)</f>
        <v>34.612</v>
      </c>
      <c r="AB106" s="94" t="n">
        <f aca="false">IFERROR((O106*(Z106/1000)/(AA106))," ")</f>
        <v>0.982318271119843</v>
      </c>
      <c r="AC106" s="95" t="n">
        <f aca="false">IFERROR((T106)/((T106)+O106),0)</f>
        <v>0.0099009900990099</v>
      </c>
      <c r="AD106" s="96" t="n">
        <f aca="false">IFERROR(Q106/(Q106+N106),0)</f>
        <v>0.00624755954705193</v>
      </c>
      <c r="AE106" s="91" t="n">
        <f aca="false">(N106-T106)/N106</f>
        <v>0.990176817288802</v>
      </c>
      <c r="AF106" s="97" t="n">
        <f aca="false">BR106</f>
        <v>0</v>
      </c>
      <c r="AG106" s="98" t="n">
        <f aca="false">K106-AF106</f>
        <v>8</v>
      </c>
      <c r="AH106" s="99" t="n">
        <f aca="false">IFERROR(AG106/K106," ")</f>
        <v>1</v>
      </c>
      <c r="AI106" s="100" t="n">
        <f aca="false">IFERROR(O106/K106,0)</f>
        <v>625</v>
      </c>
      <c r="AJ106" s="101" t="n">
        <f aca="false">VLOOKUP(D106,'Standard Cycle time'!C:D,2,0)</f>
        <v>5.25</v>
      </c>
      <c r="AK106" s="101" t="n">
        <f aca="false">AG106*V106*3600/O106</f>
        <v>5.76</v>
      </c>
      <c r="AL106" s="102" t="n">
        <f aca="false">AJ106/AK106</f>
        <v>0.911458333333333</v>
      </c>
      <c r="AM106" s="99" t="n">
        <f aca="false">AE106*AL106*AH106</f>
        <v>0.902504911591356</v>
      </c>
      <c r="AN106" s="103" t="n">
        <v>2341</v>
      </c>
      <c r="AO106" s="104"/>
      <c r="AP106" s="105" t="n">
        <v>0</v>
      </c>
      <c r="AQ106" s="105" t="n">
        <v>0</v>
      </c>
      <c r="AR106" s="105" t="n">
        <v>0</v>
      </c>
      <c r="AS106" s="105" t="n">
        <v>0</v>
      </c>
      <c r="AT106" s="105" t="n">
        <v>0</v>
      </c>
      <c r="AU106" s="105" t="n">
        <v>0</v>
      </c>
      <c r="AV106" s="105" t="n">
        <v>0</v>
      </c>
      <c r="AW106" s="105" t="n">
        <v>0</v>
      </c>
      <c r="AX106" s="105" t="n">
        <v>0</v>
      </c>
      <c r="AY106" s="105" t="n">
        <v>0</v>
      </c>
      <c r="AZ106" s="105" t="n">
        <v>0</v>
      </c>
      <c r="BA106" s="105" t="n">
        <v>0</v>
      </c>
      <c r="BB106" s="105" t="n">
        <v>0</v>
      </c>
      <c r="BC106" s="105" t="n">
        <v>0</v>
      </c>
      <c r="BD106" s="105" t="n">
        <v>0</v>
      </c>
      <c r="BE106" s="105" t="n">
        <v>0</v>
      </c>
      <c r="BF106" s="105" t="n">
        <v>0</v>
      </c>
      <c r="BG106" s="105" t="n">
        <v>0</v>
      </c>
      <c r="BH106" s="105" t="n">
        <v>0</v>
      </c>
      <c r="BI106" s="105" t="n">
        <v>0</v>
      </c>
      <c r="BJ106" s="105" t="n">
        <v>0</v>
      </c>
      <c r="BK106" s="105" t="n">
        <v>0</v>
      </c>
      <c r="BL106" s="105" t="n">
        <v>0</v>
      </c>
      <c r="BM106" s="105" t="n">
        <v>0</v>
      </c>
      <c r="BN106" s="105" t="n">
        <v>0</v>
      </c>
      <c r="BO106" s="105" t="n">
        <v>0</v>
      </c>
      <c r="BP106" s="105" t="n">
        <v>0</v>
      </c>
      <c r="BQ106" s="105" t="n">
        <v>0</v>
      </c>
      <c r="BR106" s="106" t="n">
        <f aca="false">SUM(AP106:BQ106)/60</f>
        <v>0</v>
      </c>
      <c r="BS106" s="106" t="n">
        <f aca="false">SUM(AP106:BR106)/60</f>
        <v>0</v>
      </c>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row>
    <row r="107" s="74" customFormat="true" ht="14.9" hidden="true" customHeight="true" outlineLevel="0" collapsed="false">
      <c r="A107" s="74" t="n">
        <f aca="false">MONTH(B107)</f>
        <v>8</v>
      </c>
      <c r="B107" s="75" t="n">
        <v>44418</v>
      </c>
      <c r="C107" s="76" t="s">
        <v>152</v>
      </c>
      <c r="D107" s="77" t="str">
        <f aca="false">IFERROR(VLOOKUP(E:E,'Item Data Support Sheet'!A:O,7,0),"")</f>
        <v>CAP MOLDED</v>
      </c>
      <c r="E107" s="108" t="s">
        <v>261</v>
      </c>
      <c r="F107" s="80"/>
      <c r="G107" s="77" t="s">
        <v>200</v>
      </c>
      <c r="H107" s="79" t="str">
        <f aca="false">IFERROR(VLOOKUP(E:E,'Item Data Support Sheet'!A:O,2,0),"")</f>
        <v>CAP S TYPE MOLDED PINK</v>
      </c>
      <c r="I107" s="80" t="s">
        <v>335</v>
      </c>
      <c r="J107" s="80" t="s">
        <v>143</v>
      </c>
      <c r="K107" s="81" t="n">
        <v>8</v>
      </c>
      <c r="L107" s="82" t="n">
        <v>4137</v>
      </c>
      <c r="M107" s="83" t="n">
        <f aca="false">IFERROR(L107/K107,0)</f>
        <v>517.125</v>
      </c>
      <c r="N107" s="84" t="n">
        <f aca="false">+O107+Q107+T107+U107</f>
        <v>3800</v>
      </c>
      <c r="O107" s="85" t="n">
        <v>3788</v>
      </c>
      <c r="P107" s="86" t="n">
        <v>0</v>
      </c>
      <c r="Q107" s="87" t="n">
        <v>0</v>
      </c>
      <c r="R107" s="88" t="n">
        <v>0</v>
      </c>
      <c r="S107" s="88" t="n">
        <v>0</v>
      </c>
      <c r="T107" s="88" t="n">
        <v>4</v>
      </c>
      <c r="U107" s="88" t="n">
        <v>8</v>
      </c>
      <c r="V107" s="89" t="n">
        <v>1</v>
      </c>
      <c r="W107" s="90" t="n">
        <f aca="false">IFERROR(O107/V107,0)</f>
        <v>3788</v>
      </c>
      <c r="X107" s="91" t="n">
        <f aca="false">O107/L107</f>
        <v>0.915639352187575</v>
      </c>
      <c r="Y107" s="92" t="str">
        <f aca="false">IFERROR(VLOOKUP(E:E,'Item Data Support Sheet'!A:J,6,0),0)</f>
        <v>RM000123</v>
      </c>
      <c r="Z107" s="93" t="n">
        <f aca="false">IFERROR(VLOOKUP(E:E,'Item Data Support Sheet'!A:O,4,0),0)</f>
        <v>7.3</v>
      </c>
      <c r="AA107" s="93" t="n">
        <f aca="false">IFERROR(((N107)*(Z107/1000))+P107,0)</f>
        <v>27.74</v>
      </c>
      <c r="AB107" s="94" t="n">
        <f aca="false">IFERROR((O107*(Z107/1000)/(AA107))," ")</f>
        <v>0.996842105263158</v>
      </c>
      <c r="AC107" s="95" t="n">
        <f aca="false">IFERROR((T107)/((T107)+O107),0)</f>
        <v>0.00105485232067511</v>
      </c>
      <c r="AD107" s="96" t="n">
        <f aca="false">IFERROR(Q107/(Q107+N107),0)</f>
        <v>0</v>
      </c>
      <c r="AE107" s="91" t="n">
        <f aca="false">(N107-T107)/N107</f>
        <v>0.998947368421053</v>
      </c>
      <c r="AF107" s="97" t="n">
        <f aca="false">BR107</f>
        <v>1</v>
      </c>
      <c r="AG107" s="98" t="n">
        <f aca="false">K107-AF107</f>
        <v>7</v>
      </c>
      <c r="AH107" s="99" t="n">
        <f aca="false">IFERROR(AG107/K107," ")</f>
        <v>0.875</v>
      </c>
      <c r="AI107" s="100" t="n">
        <f aca="false">IFERROR(O107/K107,0)</f>
        <v>473.5</v>
      </c>
      <c r="AJ107" s="101" t="n">
        <f aca="false">VLOOKUP(D107,'Standard Cycle time'!C:D,2,0)</f>
        <v>6</v>
      </c>
      <c r="AK107" s="101" t="n">
        <f aca="false">AG107*V107*3600/O107</f>
        <v>6.65258711721225</v>
      </c>
      <c r="AL107" s="102" t="n">
        <f aca="false">AJ107/AK107</f>
        <v>0.901904761904762</v>
      </c>
      <c r="AM107" s="99" t="n">
        <f aca="false">AE107*AL107*AH107</f>
        <v>0.788335964912281</v>
      </c>
      <c r="AN107" s="103" t="n">
        <v>2688</v>
      </c>
      <c r="AO107" s="104" t="s">
        <v>336</v>
      </c>
      <c r="AP107" s="105" t="n">
        <v>0</v>
      </c>
      <c r="AQ107" s="105" t="n">
        <v>30</v>
      </c>
      <c r="AR107" s="105" t="n">
        <v>0</v>
      </c>
      <c r="AS107" s="105" t="n">
        <v>0</v>
      </c>
      <c r="AT107" s="105" t="n">
        <v>0</v>
      </c>
      <c r="AU107" s="105" t="n">
        <v>0</v>
      </c>
      <c r="AV107" s="105" t="n">
        <v>30</v>
      </c>
      <c r="AW107" s="105" t="n">
        <v>0</v>
      </c>
      <c r="AX107" s="105" t="n">
        <v>0</v>
      </c>
      <c r="AY107" s="105" t="n">
        <v>0</v>
      </c>
      <c r="AZ107" s="105" t="n">
        <v>0</v>
      </c>
      <c r="BA107" s="105" t="n">
        <v>0</v>
      </c>
      <c r="BB107" s="105" t="n">
        <v>0</v>
      </c>
      <c r="BC107" s="105" t="n">
        <v>0</v>
      </c>
      <c r="BD107" s="105" t="n">
        <v>0</v>
      </c>
      <c r="BE107" s="105" t="n">
        <v>0</v>
      </c>
      <c r="BF107" s="105" t="n">
        <v>0</v>
      </c>
      <c r="BG107" s="105" t="n">
        <v>0</v>
      </c>
      <c r="BH107" s="105" t="n">
        <v>0</v>
      </c>
      <c r="BI107" s="105" t="n">
        <v>0</v>
      </c>
      <c r="BJ107" s="105" t="n">
        <v>0</v>
      </c>
      <c r="BK107" s="105" t="n">
        <v>0</v>
      </c>
      <c r="BL107" s="105" t="n">
        <v>0</v>
      </c>
      <c r="BM107" s="105" t="n">
        <v>0</v>
      </c>
      <c r="BN107" s="105" t="n">
        <v>0</v>
      </c>
      <c r="BO107" s="105" t="n">
        <v>0</v>
      </c>
      <c r="BP107" s="105" t="n">
        <v>0</v>
      </c>
      <c r="BQ107" s="105" t="n">
        <v>0</v>
      </c>
      <c r="BR107" s="106" t="n">
        <f aca="false">SUM(AP107:BQ107)/60</f>
        <v>1</v>
      </c>
      <c r="BS107" s="106" t="n">
        <f aca="false">SUM(AP107:BR107)/60</f>
        <v>1.01666666666667</v>
      </c>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row>
    <row r="108" s="74" customFormat="true" ht="14.9" hidden="true" customHeight="true" outlineLevel="0" collapsed="false">
      <c r="A108" s="74" t="n">
        <f aca="false">MONTH(B108)</f>
        <v>8</v>
      </c>
      <c r="B108" s="75" t="n">
        <v>44418</v>
      </c>
      <c r="C108" s="76" t="s">
        <v>152</v>
      </c>
      <c r="D108" s="77" t="str">
        <f aca="false">IFERROR(VLOOKUP(E:E,'Item Data Support Sheet'!A:O,7,0),"")</f>
        <v>NIPPLE POSTCURE</v>
      </c>
      <c r="E108" s="108" t="s">
        <v>57</v>
      </c>
      <c r="F108" s="80"/>
      <c r="G108" s="77" t="s">
        <v>149</v>
      </c>
      <c r="H108" s="79" t="str">
        <f aca="false">IFERROR(VLOOKUP(E:E,'Item Data Support Sheet'!A:O,2,0),"")</f>
        <v>NIPPLE S TYPE S SIZE POSTCURED</v>
      </c>
      <c r="I108" s="80" t="s">
        <v>337</v>
      </c>
      <c r="J108" s="80" t="s">
        <v>143</v>
      </c>
      <c r="K108" s="81" t="n">
        <v>4</v>
      </c>
      <c r="L108" s="82" t="n">
        <v>7000</v>
      </c>
      <c r="M108" s="83" t="n">
        <f aca="false">IFERROR(L108/K108,0)</f>
        <v>1750</v>
      </c>
      <c r="N108" s="84" t="n">
        <f aca="false">+O108+Q108+T108+U108</f>
        <v>5000</v>
      </c>
      <c r="O108" s="85" t="n">
        <v>5000</v>
      </c>
      <c r="P108" s="86" t="n">
        <v>0</v>
      </c>
      <c r="Q108" s="87" t="n">
        <v>0</v>
      </c>
      <c r="R108" s="88" t="n">
        <v>0</v>
      </c>
      <c r="S108" s="88" t="n">
        <v>0</v>
      </c>
      <c r="T108" s="88" t="n">
        <v>0</v>
      </c>
      <c r="U108" s="88" t="n">
        <v>0</v>
      </c>
      <c r="V108" s="89" t="n">
        <v>1</v>
      </c>
      <c r="W108" s="90" t="n">
        <f aca="false">IFERROR(O108/V108,0)</f>
        <v>5000</v>
      </c>
      <c r="X108" s="91" t="n">
        <f aca="false">O108/L108</f>
        <v>0.714285714285714</v>
      </c>
      <c r="Y108" s="92" t="str">
        <f aca="false">IFERROR(VLOOKUP(E:E,'Item Data Support Sheet'!A:J,6,0),0)</f>
        <v>FO011</v>
      </c>
      <c r="Z108" s="93" t="n">
        <f aca="false">IFERROR(VLOOKUP(E:E,'Item Data Support Sheet'!A:O,4,0),0)</f>
        <v>0</v>
      </c>
      <c r="AA108" s="93" t="n">
        <f aca="false">IFERROR(((N108)*(Z108/1000))+P108,0)</f>
        <v>0</v>
      </c>
      <c r="AB108" s="94" t="str">
        <f aca="false">IFERROR((O108*(Z108/1000)/(AA108))," ")</f>
        <v> </v>
      </c>
      <c r="AC108" s="95" t="n">
        <f aca="false">IFERROR((T108)/((T108)+O108),0)</f>
        <v>0</v>
      </c>
      <c r="AD108" s="96" t="n">
        <f aca="false">IFERROR(Q108/(Q108+N108),0)</f>
        <v>0</v>
      </c>
      <c r="AE108" s="91" t="n">
        <f aca="false">(N108-T108)/N108</f>
        <v>1</v>
      </c>
      <c r="AF108" s="97" t="n">
        <f aca="false">BR108</f>
        <v>0</v>
      </c>
      <c r="AG108" s="98" t="n">
        <f aca="false">K108-AF108</f>
        <v>4</v>
      </c>
      <c r="AH108" s="99" t="n">
        <f aca="false">IFERROR(AG108/K108," ")</f>
        <v>1</v>
      </c>
      <c r="AI108" s="100" t="n">
        <f aca="false">IFERROR(O108/K108,0)</f>
        <v>1250</v>
      </c>
      <c r="AJ108" s="101" t="n">
        <f aca="false">VLOOKUP(D108,'Standard Cycle time'!C:D,2,0)</f>
        <v>2.3</v>
      </c>
      <c r="AK108" s="101" t="n">
        <f aca="false">AG108*V108*3600/O108</f>
        <v>2.88</v>
      </c>
      <c r="AL108" s="102" t="n">
        <f aca="false">AJ108/AK108</f>
        <v>0.798611111111111</v>
      </c>
      <c r="AM108" s="99" t="n">
        <f aca="false">AE108*AL108*AH108</f>
        <v>0.798611111111111</v>
      </c>
      <c r="AN108" s="103" t="s">
        <v>338</v>
      </c>
      <c r="AO108" s="104" t="s">
        <v>339</v>
      </c>
      <c r="AP108" s="105"/>
      <c r="AQ108" s="105" t="n">
        <v>0</v>
      </c>
      <c r="AR108" s="105" t="n">
        <v>0</v>
      </c>
      <c r="AS108" s="105" t="n">
        <v>0</v>
      </c>
      <c r="AT108" s="105" t="n">
        <v>0</v>
      </c>
      <c r="AU108" s="105" t="n">
        <v>0</v>
      </c>
      <c r="AV108" s="105" t="n">
        <v>0</v>
      </c>
      <c r="AW108" s="105" t="n">
        <v>0</v>
      </c>
      <c r="AX108" s="105" t="n">
        <v>0</v>
      </c>
      <c r="AY108" s="105" t="n">
        <v>0</v>
      </c>
      <c r="AZ108" s="105" t="n">
        <v>0</v>
      </c>
      <c r="BA108" s="105" t="n">
        <v>0</v>
      </c>
      <c r="BB108" s="105" t="n">
        <v>0</v>
      </c>
      <c r="BC108" s="105" t="n">
        <v>0</v>
      </c>
      <c r="BD108" s="105" t="n">
        <v>0</v>
      </c>
      <c r="BE108" s="105" t="n">
        <v>0</v>
      </c>
      <c r="BF108" s="105" t="n">
        <v>0</v>
      </c>
      <c r="BG108" s="105" t="n">
        <v>0</v>
      </c>
      <c r="BH108" s="105" t="n">
        <v>0</v>
      </c>
      <c r="BI108" s="105" t="n">
        <v>0</v>
      </c>
      <c r="BJ108" s="105" t="n">
        <v>0</v>
      </c>
      <c r="BK108" s="105" t="n">
        <v>0</v>
      </c>
      <c r="BL108" s="105" t="n">
        <v>0</v>
      </c>
      <c r="BM108" s="105" t="n">
        <v>0</v>
      </c>
      <c r="BN108" s="105" t="n">
        <v>0</v>
      </c>
      <c r="BO108" s="105" t="n">
        <v>0</v>
      </c>
      <c r="BP108" s="105" t="n">
        <v>0</v>
      </c>
      <c r="BQ108" s="105" t="n">
        <v>0</v>
      </c>
      <c r="BR108" s="106" t="n">
        <f aca="false">SUM(AP108:BQ108)/60</f>
        <v>0</v>
      </c>
      <c r="BS108" s="106" t="n">
        <f aca="false">SUM(AP108:BR108)/60</f>
        <v>0</v>
      </c>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row>
    <row r="109" s="74" customFormat="true" ht="14.9" hidden="true" customHeight="true" outlineLevel="0" collapsed="false">
      <c r="A109" s="74" t="n">
        <f aca="false">MONTH(B109)</f>
        <v>8</v>
      </c>
      <c r="B109" s="75" t="n">
        <v>44419</v>
      </c>
      <c r="C109" s="76" t="s">
        <v>51</v>
      </c>
      <c r="D109" s="77" t="str">
        <f aca="false">IFERROR(VLOOKUP(E:E,'Item Data Support Sheet'!A:O,7,0),"")</f>
        <v>NIPPLE MOLDED</v>
      </c>
      <c r="E109" s="108" t="s">
        <v>244</v>
      </c>
      <c r="F109" s="80" t="s">
        <v>137</v>
      </c>
      <c r="G109" s="77" t="s">
        <v>138</v>
      </c>
      <c r="H109" s="79" t="str">
        <f aca="false">IFERROR(VLOOKUP(E:E,'Item Data Support Sheet'!A:O,2,0),"")</f>
        <v>NIPPLE S TYPE S SIZE INJECTION</v>
      </c>
      <c r="I109" s="80" t="s">
        <v>340</v>
      </c>
      <c r="J109" s="80" t="s">
        <v>148</v>
      </c>
      <c r="K109" s="81" t="n">
        <v>8</v>
      </c>
      <c r="L109" s="82" t="n">
        <v>4815</v>
      </c>
      <c r="M109" s="83" t="n">
        <f aca="false">IFERROR(L109/K109,0)</f>
        <v>601.875</v>
      </c>
      <c r="N109" s="84" t="n">
        <f aca="false">+O109+Q109+T109+U109</f>
        <v>4959</v>
      </c>
      <c r="O109" s="85" t="n">
        <v>4820</v>
      </c>
      <c r="P109" s="86" t="n">
        <f aca="false">1.36+3.26+3.26+57</f>
        <v>64.88</v>
      </c>
      <c r="Q109" s="87" t="n">
        <v>70</v>
      </c>
      <c r="R109" s="88" t="n">
        <v>0</v>
      </c>
      <c r="S109" s="88" t="n">
        <v>0</v>
      </c>
      <c r="T109" s="88" t="n">
        <v>61</v>
      </c>
      <c r="U109" s="88" t="n">
        <v>8</v>
      </c>
      <c r="V109" s="89" t="n">
        <v>1</v>
      </c>
      <c r="W109" s="90" t="n">
        <f aca="false">IFERROR(O109/V109,0)</f>
        <v>4820</v>
      </c>
      <c r="X109" s="91" t="n">
        <f aca="false">O109/L109</f>
        <v>1.00103842159917</v>
      </c>
      <c r="Y109" s="92" t="str">
        <f aca="false">IFERROR(VLOOKUP(E:E,'Item Data Support Sheet'!A:J,6,0),0)</f>
        <v>Silicon</v>
      </c>
      <c r="Z109" s="93" t="n">
        <f aca="false">IFERROR(VLOOKUP(E:E,'Item Data Support Sheet'!A:O,4,0),0)</f>
        <v>6.8</v>
      </c>
      <c r="AA109" s="93" t="n">
        <f aca="false">IFERROR(((N109)*(Z109/1000))+P109,0)</f>
        <v>98.6012</v>
      </c>
      <c r="AB109" s="94" t="n">
        <f aca="false">IFERROR((O109*(Z109/1000)/(AA109))," ")</f>
        <v>0.332409747548711</v>
      </c>
      <c r="AC109" s="95" t="n">
        <f aca="false">IFERROR((T109)/((T109)+O109),0)</f>
        <v>0.0124974390493751</v>
      </c>
      <c r="AD109" s="96" t="n">
        <f aca="false">IFERROR(Q109/(Q109+N109),0)</f>
        <v>0.0139192682441837</v>
      </c>
      <c r="AE109" s="91" t="n">
        <f aca="false">(N109-T109)/N109</f>
        <v>0.987699132889695</v>
      </c>
      <c r="AF109" s="97" t="n">
        <f aca="false">BR109</f>
        <v>0.75</v>
      </c>
      <c r="AG109" s="98" t="n">
        <f aca="false">K109-AF109</f>
        <v>7.25</v>
      </c>
      <c r="AH109" s="99" t="n">
        <f aca="false">IFERROR(AG109/K109," ")</f>
        <v>0.90625</v>
      </c>
      <c r="AI109" s="100" t="n">
        <f aca="false">IFERROR(O109/K109,0)</f>
        <v>602.5</v>
      </c>
      <c r="AJ109" s="101" t="n">
        <f aca="false">VLOOKUP(D109,'Standard Cycle time'!C:D,2,0)</f>
        <v>5.25</v>
      </c>
      <c r="AK109" s="101" t="n">
        <f aca="false">AG109*V109*3600/O109</f>
        <v>5.4149377593361</v>
      </c>
      <c r="AL109" s="102" t="n">
        <f aca="false">AJ109/AK109</f>
        <v>0.969540229885057</v>
      </c>
      <c r="AM109" s="99" t="n">
        <f aca="false">AE109*AL109*AH109</f>
        <v>0.867837727700477</v>
      </c>
      <c r="AN109" s="103" t="n">
        <v>2359</v>
      </c>
      <c r="AO109" s="110" t="s">
        <v>154</v>
      </c>
      <c r="AP109" s="105" t="n">
        <v>0</v>
      </c>
      <c r="AQ109" s="105" t="n">
        <v>0</v>
      </c>
      <c r="AR109" s="105" t="n">
        <v>0</v>
      </c>
      <c r="AS109" s="105" t="n">
        <v>0</v>
      </c>
      <c r="AT109" s="105" t="n">
        <v>0</v>
      </c>
      <c r="AU109" s="105" t="n">
        <v>0</v>
      </c>
      <c r="AV109" s="105" t="n">
        <v>0</v>
      </c>
      <c r="AW109" s="105" t="n">
        <v>0</v>
      </c>
      <c r="AX109" s="105" t="n">
        <v>45</v>
      </c>
      <c r="AY109" s="105" t="n">
        <v>0</v>
      </c>
      <c r="AZ109" s="105" t="n">
        <v>0</v>
      </c>
      <c r="BA109" s="105" t="n">
        <v>0</v>
      </c>
      <c r="BB109" s="105" t="n">
        <v>0</v>
      </c>
      <c r="BC109" s="105" t="n">
        <v>0</v>
      </c>
      <c r="BD109" s="105" t="n">
        <v>0</v>
      </c>
      <c r="BE109" s="105" t="n">
        <v>0</v>
      </c>
      <c r="BF109" s="105" t="n">
        <v>0</v>
      </c>
      <c r="BG109" s="105" t="n">
        <v>0</v>
      </c>
      <c r="BH109" s="105" t="n">
        <v>0</v>
      </c>
      <c r="BI109" s="105" t="n">
        <v>0</v>
      </c>
      <c r="BJ109" s="105" t="n">
        <v>0</v>
      </c>
      <c r="BK109" s="105" t="n">
        <v>0</v>
      </c>
      <c r="BL109" s="105" t="n">
        <v>0</v>
      </c>
      <c r="BM109" s="105" t="n">
        <v>0</v>
      </c>
      <c r="BN109" s="105" t="n">
        <v>0</v>
      </c>
      <c r="BO109" s="105" t="n">
        <v>0</v>
      </c>
      <c r="BP109" s="105" t="n">
        <v>0</v>
      </c>
      <c r="BQ109" s="105" t="n">
        <v>0</v>
      </c>
      <c r="BR109" s="106" t="n">
        <f aca="false">SUM(AP109:BQ109)/60</f>
        <v>0.75</v>
      </c>
      <c r="BS109" s="106" t="n">
        <f aca="false">SUM(AP109:BR109)/60</f>
        <v>0.7625</v>
      </c>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row>
    <row r="110" s="74" customFormat="true" ht="14.9" hidden="true" customHeight="true" outlineLevel="0" collapsed="false">
      <c r="A110" s="74" t="n">
        <f aca="false">MONTH(B110)</f>
        <v>8</v>
      </c>
      <c r="B110" s="75" t="n">
        <v>44419</v>
      </c>
      <c r="C110" s="76" t="s">
        <v>51</v>
      </c>
      <c r="D110" s="77" t="str">
        <f aca="false">IFERROR(VLOOKUP(E:E,'Item Data Support Sheet'!A:O,7,0),"")</f>
        <v>NIPPLE PUNCH</v>
      </c>
      <c r="E110" s="108" t="s">
        <v>53</v>
      </c>
      <c r="F110" s="78"/>
      <c r="G110" s="77" t="s">
        <v>54</v>
      </c>
      <c r="H110" s="79" t="str">
        <f aca="false">IFERROR(VLOOKUP(E:E,'Item Data Support Sheet'!A:O,2,0),"")</f>
        <v>NIPPLE S TYPE S SIZE PUNCHED</v>
      </c>
      <c r="I110" s="80" t="s">
        <v>341</v>
      </c>
      <c r="J110" s="80" t="s">
        <v>148</v>
      </c>
      <c r="K110" s="81" t="n">
        <v>8</v>
      </c>
      <c r="L110" s="82" t="n">
        <v>7036</v>
      </c>
      <c r="M110" s="83" t="n">
        <f aca="false">IFERROR(L110/K110,0)</f>
        <v>879.5</v>
      </c>
      <c r="N110" s="84" t="n">
        <f aca="false">+O110+Q110+T110+U110</f>
        <v>6700</v>
      </c>
      <c r="O110" s="85" t="n">
        <v>6700</v>
      </c>
      <c r="P110" s="86" t="n">
        <v>0</v>
      </c>
      <c r="Q110" s="87" t="n">
        <v>0</v>
      </c>
      <c r="R110" s="88" t="n">
        <v>0</v>
      </c>
      <c r="S110" s="88" t="n">
        <v>0</v>
      </c>
      <c r="T110" s="88" t="n">
        <v>0</v>
      </c>
      <c r="U110" s="88" t="n">
        <v>0</v>
      </c>
      <c r="V110" s="89" t="n">
        <v>1</v>
      </c>
      <c r="W110" s="90" t="n">
        <f aca="false">IFERROR(O110/V110,0)</f>
        <v>6700</v>
      </c>
      <c r="X110" s="91" t="n">
        <f aca="false">O110/L110</f>
        <v>0.95224559408755</v>
      </c>
      <c r="Y110" s="92" t="str">
        <f aca="false">IFERROR(VLOOKUP(E:E,'Item Data Support Sheet'!A:J,6,0),0)</f>
        <v>FO015</v>
      </c>
      <c r="Z110" s="93" t="n">
        <f aca="false">IFERROR(VLOOKUP(E:E,'Item Data Support Sheet'!A:O,4,0),0)</f>
        <v>0</v>
      </c>
      <c r="AA110" s="93" t="n">
        <f aca="false">IFERROR(((N110)*(Z110/1000))+P110,0)</f>
        <v>0</v>
      </c>
      <c r="AB110" s="94" t="str">
        <f aca="false">IFERROR((O110*(Z110/1000)/(AA110))," ")</f>
        <v> </v>
      </c>
      <c r="AC110" s="95" t="n">
        <f aca="false">IFERROR((T110)/((T110)+O110),0)</f>
        <v>0</v>
      </c>
      <c r="AD110" s="96" t="n">
        <f aca="false">IFERROR(Q110/(Q110+N110),0)</f>
        <v>0</v>
      </c>
      <c r="AE110" s="91" t="n">
        <f aca="false">(N110-T110)/N110</f>
        <v>1</v>
      </c>
      <c r="AF110" s="97" t="n">
        <f aca="false">BR110</f>
        <v>0.666666666666667</v>
      </c>
      <c r="AG110" s="98" t="n">
        <f aca="false">K110-AF110</f>
        <v>7.33333333333333</v>
      </c>
      <c r="AH110" s="99" t="n">
        <f aca="false">IFERROR(AG110/K110," ")</f>
        <v>0.916666666666667</v>
      </c>
      <c r="AI110" s="100" t="n">
        <f aca="false">IFERROR(O110/K110,0)</f>
        <v>837.5</v>
      </c>
      <c r="AJ110" s="101" t="n">
        <f aca="false">VLOOKUP(D110,'Standard Cycle time'!C:D,2,0)</f>
        <v>3.5</v>
      </c>
      <c r="AK110" s="101" t="n">
        <f aca="false">AG110*V110*3600/O110</f>
        <v>3.94029850746269</v>
      </c>
      <c r="AL110" s="102" t="n">
        <f aca="false">AJ110/AK110</f>
        <v>0.888257575757576</v>
      </c>
      <c r="AM110" s="99" t="n">
        <f aca="false">AE110*AL110*AH110</f>
        <v>0.814236111111111</v>
      </c>
      <c r="AN110" s="113" t="s">
        <v>342</v>
      </c>
      <c r="AO110" s="109"/>
      <c r="AP110" s="105" t="n">
        <v>40</v>
      </c>
      <c r="AQ110" s="105" t="n">
        <v>0</v>
      </c>
      <c r="AR110" s="105" t="n">
        <v>0</v>
      </c>
      <c r="AS110" s="105" t="n">
        <v>0</v>
      </c>
      <c r="AT110" s="105" t="n">
        <v>0</v>
      </c>
      <c r="AU110" s="105" t="n">
        <v>0</v>
      </c>
      <c r="AV110" s="105" t="n">
        <v>0</v>
      </c>
      <c r="AW110" s="105" t="n">
        <v>0</v>
      </c>
      <c r="AX110" s="105" t="n">
        <v>0</v>
      </c>
      <c r="AY110" s="105" t="n">
        <v>0</v>
      </c>
      <c r="AZ110" s="105" t="n">
        <v>0</v>
      </c>
      <c r="BA110" s="105" t="n">
        <v>0</v>
      </c>
      <c r="BB110" s="105" t="n">
        <v>0</v>
      </c>
      <c r="BC110" s="105" t="n">
        <v>0</v>
      </c>
      <c r="BD110" s="105" t="n">
        <v>0</v>
      </c>
      <c r="BE110" s="105" t="n">
        <v>0</v>
      </c>
      <c r="BF110" s="105" t="n">
        <v>0</v>
      </c>
      <c r="BG110" s="105" t="n">
        <v>0</v>
      </c>
      <c r="BH110" s="105" t="n">
        <v>0</v>
      </c>
      <c r="BI110" s="105" t="n">
        <v>0</v>
      </c>
      <c r="BJ110" s="105" t="n">
        <v>0</v>
      </c>
      <c r="BK110" s="105" t="n">
        <v>0</v>
      </c>
      <c r="BL110" s="105" t="n">
        <v>0</v>
      </c>
      <c r="BM110" s="105" t="n">
        <v>0</v>
      </c>
      <c r="BN110" s="105" t="n">
        <v>0</v>
      </c>
      <c r="BO110" s="105" t="n">
        <v>0</v>
      </c>
      <c r="BP110" s="105" t="n">
        <v>0</v>
      </c>
      <c r="BQ110" s="105" t="n">
        <v>0</v>
      </c>
      <c r="BR110" s="106" t="n">
        <f aca="false">SUM(AP110:BQ110)/60</f>
        <v>0.666666666666667</v>
      </c>
      <c r="BS110" s="106" t="n">
        <f aca="false">SUM(AP110:BR110)/60</f>
        <v>0.677777777777778</v>
      </c>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row>
    <row r="111" s="74" customFormat="true" ht="14.9" hidden="true" customHeight="true" outlineLevel="0" collapsed="false">
      <c r="A111" s="74" t="n">
        <f aca="false">MONTH(B111)</f>
        <v>8</v>
      </c>
      <c r="B111" s="75" t="n">
        <v>44419</v>
      </c>
      <c r="C111" s="76" t="s">
        <v>51</v>
      </c>
      <c r="D111" s="77" t="str">
        <f aca="false">IFERROR(VLOOKUP(E:E,'Item Data Support Sheet'!A:O,7,0),"")</f>
        <v>CAP MOLDED</v>
      </c>
      <c r="E111" s="108" t="s">
        <v>343</v>
      </c>
      <c r="F111" s="80"/>
      <c r="G111" s="77" t="s">
        <v>200</v>
      </c>
      <c r="H111" s="79" t="str">
        <f aca="false">IFERROR(VLOOKUP(E:E,'Item Data Support Sheet'!A:O,2,0),"")</f>
        <v>CAP S TYPE MOLDED BLUE</v>
      </c>
      <c r="I111" s="80" t="s">
        <v>344</v>
      </c>
      <c r="J111" s="80" t="s">
        <v>148</v>
      </c>
      <c r="K111" s="81" t="n">
        <v>8</v>
      </c>
      <c r="L111" s="82" t="n">
        <v>4137</v>
      </c>
      <c r="M111" s="83" t="n">
        <f aca="false">IFERROR(L111/K111,0)</f>
        <v>517.125</v>
      </c>
      <c r="N111" s="84" t="n">
        <f aca="false">+O111+Q111+T111+U111</f>
        <v>4372</v>
      </c>
      <c r="O111" s="85" t="n">
        <v>4300</v>
      </c>
      <c r="P111" s="86" t="n">
        <v>0</v>
      </c>
      <c r="Q111" s="87" t="n">
        <v>41</v>
      </c>
      <c r="R111" s="88" t="n">
        <v>0</v>
      </c>
      <c r="S111" s="88" t="n">
        <v>0</v>
      </c>
      <c r="T111" s="88" t="n">
        <v>23</v>
      </c>
      <c r="U111" s="88" t="n">
        <v>8</v>
      </c>
      <c r="V111" s="89" t="n">
        <v>1</v>
      </c>
      <c r="W111" s="90" t="n">
        <f aca="false">IFERROR(O111/V111,0)</f>
        <v>4300</v>
      </c>
      <c r="X111" s="91" t="n">
        <f aca="false">O111/L111</f>
        <v>1.03940053178632</v>
      </c>
      <c r="Y111" s="92" t="str">
        <f aca="false">IFERROR(VLOOKUP(E:E,'Item Data Support Sheet'!A:J,6,0),0)</f>
        <v>RM000114</v>
      </c>
      <c r="Z111" s="93" t="n">
        <f aca="false">IFERROR(VLOOKUP(E:E,'Item Data Support Sheet'!A:O,4,0),0)</f>
        <v>7.3</v>
      </c>
      <c r="AA111" s="93" t="n">
        <f aca="false">IFERROR(((N111)*(Z111/1000))+P111,0)</f>
        <v>31.9156</v>
      </c>
      <c r="AB111" s="94" t="n">
        <f aca="false">IFERROR((O111*(Z111/1000)/(AA111))," ")</f>
        <v>0.983531564501372</v>
      </c>
      <c r="AC111" s="95" t="n">
        <f aca="false">IFERROR((T111)/((T111)+O111),0)</f>
        <v>0.00532037936618089</v>
      </c>
      <c r="AD111" s="96" t="n">
        <f aca="false">IFERROR(Q111/(Q111+N111),0)</f>
        <v>0.00929073192839338</v>
      </c>
      <c r="AE111" s="91" t="n">
        <f aca="false">(N111-T111)/N111</f>
        <v>0.994739249771272</v>
      </c>
      <c r="AF111" s="97" t="n">
        <f aca="false">BR111</f>
        <v>0.5</v>
      </c>
      <c r="AG111" s="98" t="n">
        <f aca="false">K111-AF111</f>
        <v>7.5</v>
      </c>
      <c r="AH111" s="99" t="n">
        <f aca="false">IFERROR(AG111/K111," ")</f>
        <v>0.9375</v>
      </c>
      <c r="AI111" s="100" t="n">
        <f aca="false">IFERROR(O111/K111,0)</f>
        <v>537.5</v>
      </c>
      <c r="AJ111" s="101" t="n">
        <f aca="false">VLOOKUP(D111,'Standard Cycle time'!C:D,2,0)</f>
        <v>6</v>
      </c>
      <c r="AK111" s="101" t="n">
        <f aca="false">AG111*V111*3600/O111</f>
        <v>6.27906976744186</v>
      </c>
      <c r="AL111" s="102" t="n">
        <f aca="false">AJ111/AK111</f>
        <v>0.955555555555556</v>
      </c>
      <c r="AM111" s="99" t="n">
        <f aca="false">AE111*AL111*AH111</f>
        <v>0.891120577920098</v>
      </c>
      <c r="AN111" s="103" t="n">
        <v>2690</v>
      </c>
      <c r="AO111" s="110" t="s">
        <v>345</v>
      </c>
      <c r="AP111" s="105" t="n">
        <v>0</v>
      </c>
      <c r="AQ111" s="105" t="n">
        <v>30</v>
      </c>
      <c r="AR111" s="105" t="n">
        <v>0</v>
      </c>
      <c r="AS111" s="105" t="n">
        <v>0</v>
      </c>
      <c r="AT111" s="105" t="n">
        <v>0</v>
      </c>
      <c r="AU111" s="105" t="n">
        <v>0</v>
      </c>
      <c r="AV111" s="105" t="n">
        <v>0</v>
      </c>
      <c r="AW111" s="105" t="n">
        <v>0</v>
      </c>
      <c r="AX111" s="105" t="n">
        <v>0</v>
      </c>
      <c r="AY111" s="105" t="n">
        <v>0</v>
      </c>
      <c r="AZ111" s="105" t="n">
        <v>0</v>
      </c>
      <c r="BA111" s="105" t="n">
        <v>0</v>
      </c>
      <c r="BB111" s="105" t="n">
        <v>0</v>
      </c>
      <c r="BC111" s="105" t="n">
        <v>0</v>
      </c>
      <c r="BD111" s="105" t="n">
        <v>0</v>
      </c>
      <c r="BE111" s="105" t="n">
        <v>0</v>
      </c>
      <c r="BF111" s="105" t="n">
        <v>0</v>
      </c>
      <c r="BG111" s="105" t="n">
        <v>0</v>
      </c>
      <c r="BH111" s="105" t="n">
        <v>0</v>
      </c>
      <c r="BI111" s="105" t="n">
        <v>0</v>
      </c>
      <c r="BJ111" s="105" t="n">
        <v>0</v>
      </c>
      <c r="BK111" s="105" t="n">
        <v>0</v>
      </c>
      <c r="BL111" s="105" t="n">
        <v>0</v>
      </c>
      <c r="BM111" s="105" t="n">
        <v>0</v>
      </c>
      <c r="BN111" s="105" t="n">
        <v>0</v>
      </c>
      <c r="BO111" s="105" t="n">
        <v>0</v>
      </c>
      <c r="BP111" s="105" t="n">
        <v>0</v>
      </c>
      <c r="BQ111" s="105" t="n">
        <v>0</v>
      </c>
      <c r="BR111" s="106" t="n">
        <f aca="false">SUM(AP111:BQ111)/60</f>
        <v>0.5</v>
      </c>
      <c r="BS111" s="106" t="n">
        <f aca="false">SUM(AP111:BR111)/60</f>
        <v>0.508333333333333</v>
      </c>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row>
    <row r="112" s="74" customFormat="true" ht="14.9" hidden="true" customHeight="true" outlineLevel="0" collapsed="false">
      <c r="A112" s="74" t="n">
        <f aca="false">MONTH(B112)</f>
        <v>8</v>
      </c>
      <c r="B112" s="75" t="n">
        <v>44419</v>
      </c>
      <c r="C112" s="76" t="s">
        <v>51</v>
      </c>
      <c r="D112" s="77" t="str">
        <f aca="false">IFERROR(VLOOKUP(E:E,'Item Data Support Sheet'!A:O,7,0),"")</f>
        <v>NIPPLE POSTCURE</v>
      </c>
      <c r="E112" s="108" t="s">
        <v>57</v>
      </c>
      <c r="F112" s="80"/>
      <c r="G112" s="77" t="s">
        <v>149</v>
      </c>
      <c r="H112" s="79" t="str">
        <f aca="false">IFERROR(VLOOKUP(E:E,'Item Data Support Sheet'!A:O,2,0),"")</f>
        <v>NIPPLE S TYPE S SIZE POSTCURED</v>
      </c>
      <c r="I112" s="80" t="s">
        <v>346</v>
      </c>
      <c r="J112" s="80" t="s">
        <v>148</v>
      </c>
      <c r="K112" s="81" t="n">
        <v>2</v>
      </c>
      <c r="L112" s="82" t="n">
        <v>3000</v>
      </c>
      <c r="M112" s="83" t="n">
        <f aca="false">IFERROR(L112/K112,0)</f>
        <v>1500</v>
      </c>
      <c r="N112" s="84" t="n">
        <f aca="false">+O112+Q112+T112+U112</f>
        <v>3000</v>
      </c>
      <c r="O112" s="85" t="n">
        <v>3000</v>
      </c>
      <c r="P112" s="86" t="n">
        <v>0</v>
      </c>
      <c r="Q112" s="87" t="n">
        <v>0</v>
      </c>
      <c r="R112" s="88" t="n">
        <v>0</v>
      </c>
      <c r="S112" s="88" t="n">
        <v>0</v>
      </c>
      <c r="T112" s="88" t="n">
        <v>0</v>
      </c>
      <c r="U112" s="88" t="n">
        <v>0</v>
      </c>
      <c r="V112" s="89" t="n">
        <v>1</v>
      </c>
      <c r="W112" s="90" t="n">
        <f aca="false">IFERROR(O112/V112,0)</f>
        <v>3000</v>
      </c>
      <c r="X112" s="91" t="n">
        <f aca="false">O112/L112</f>
        <v>1</v>
      </c>
      <c r="Y112" s="92" t="str">
        <f aca="false">IFERROR(VLOOKUP(E:E,'Item Data Support Sheet'!A:J,6,0),0)</f>
        <v>FO011</v>
      </c>
      <c r="Z112" s="93" t="n">
        <f aca="false">IFERROR(VLOOKUP(E:E,'Item Data Support Sheet'!A:O,4,0),0)</f>
        <v>0</v>
      </c>
      <c r="AA112" s="93" t="n">
        <f aca="false">IFERROR(((N112)*(Z112/1000))+P112,0)</f>
        <v>0</v>
      </c>
      <c r="AB112" s="94" t="str">
        <f aca="false">IFERROR((O112*(Z112/1000)/(AA112))," ")</f>
        <v> </v>
      </c>
      <c r="AC112" s="95" t="n">
        <f aca="false">IFERROR((T112)/((T112)+O112),0)</f>
        <v>0</v>
      </c>
      <c r="AD112" s="96" t="n">
        <f aca="false">IFERROR(Q112/(Q112+N112),0)</f>
        <v>0</v>
      </c>
      <c r="AE112" s="91" t="n">
        <f aca="false">(N112-T112)/N112</f>
        <v>1</v>
      </c>
      <c r="AF112" s="97" t="n">
        <f aca="false">BR112</f>
        <v>0</v>
      </c>
      <c r="AG112" s="98" t="n">
        <f aca="false">K112-AF112</f>
        <v>2</v>
      </c>
      <c r="AH112" s="99" t="n">
        <f aca="false">IFERROR(AG112/K112," ")</f>
        <v>1</v>
      </c>
      <c r="AI112" s="100" t="n">
        <f aca="false">IFERROR(O112/K112,0)</f>
        <v>1500</v>
      </c>
      <c r="AJ112" s="101" t="n">
        <f aca="false">VLOOKUP(D112,'Standard Cycle time'!C:D,2,0)</f>
        <v>2.3</v>
      </c>
      <c r="AK112" s="101" t="n">
        <f aca="false">AG112*V112*3600/O112</f>
        <v>2.4</v>
      </c>
      <c r="AL112" s="102" t="n">
        <f aca="false">AJ112/AK112</f>
        <v>0.958333333333333</v>
      </c>
      <c r="AM112" s="99" t="n">
        <f aca="false">AE112*AL112*AH112</f>
        <v>0.958333333333333</v>
      </c>
      <c r="AN112" s="103" t="s">
        <v>347</v>
      </c>
      <c r="AO112" s="104"/>
      <c r="AP112" s="105" t="n">
        <v>0</v>
      </c>
      <c r="AQ112" s="105" t="n">
        <v>0</v>
      </c>
      <c r="AR112" s="105" t="n">
        <v>0</v>
      </c>
      <c r="AS112" s="105" t="n">
        <v>0</v>
      </c>
      <c r="AT112" s="105" t="n">
        <v>0</v>
      </c>
      <c r="AU112" s="105" t="n">
        <v>0</v>
      </c>
      <c r="AV112" s="105" t="n">
        <v>0</v>
      </c>
      <c r="AW112" s="105" t="n">
        <v>0</v>
      </c>
      <c r="AX112" s="105" t="n">
        <v>0</v>
      </c>
      <c r="AY112" s="105" t="n">
        <v>0</v>
      </c>
      <c r="AZ112" s="105" t="n">
        <v>0</v>
      </c>
      <c r="BA112" s="105" t="n">
        <v>0</v>
      </c>
      <c r="BB112" s="105" t="n">
        <v>0</v>
      </c>
      <c r="BC112" s="105" t="n">
        <v>0</v>
      </c>
      <c r="BD112" s="105" t="n">
        <v>0</v>
      </c>
      <c r="BE112" s="105" t="n">
        <v>0</v>
      </c>
      <c r="BF112" s="105" t="n">
        <v>0</v>
      </c>
      <c r="BG112" s="105" t="n">
        <v>0</v>
      </c>
      <c r="BH112" s="105" t="n">
        <v>0</v>
      </c>
      <c r="BI112" s="105" t="n">
        <v>0</v>
      </c>
      <c r="BJ112" s="105" t="n">
        <v>0</v>
      </c>
      <c r="BK112" s="105" t="n">
        <v>0</v>
      </c>
      <c r="BL112" s="105" t="n">
        <v>0</v>
      </c>
      <c r="BM112" s="105" t="n">
        <v>0</v>
      </c>
      <c r="BN112" s="105" t="n">
        <v>0</v>
      </c>
      <c r="BO112" s="105" t="n">
        <v>0</v>
      </c>
      <c r="BP112" s="105" t="n">
        <v>0</v>
      </c>
      <c r="BQ112" s="105" t="n">
        <v>0</v>
      </c>
      <c r="BR112" s="106" t="n">
        <f aca="false">SUM(AP112:BQ112)/60</f>
        <v>0</v>
      </c>
      <c r="BS112" s="106" t="n">
        <f aca="false">SUM(AP112:BR112)/60</f>
        <v>0</v>
      </c>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row>
    <row r="113" s="74" customFormat="true" ht="14.9" hidden="true" customHeight="true" outlineLevel="0" collapsed="false">
      <c r="A113" s="74" t="n">
        <f aca="false">MONTH(B113)</f>
        <v>8</v>
      </c>
      <c r="B113" s="75" t="n">
        <v>44419</v>
      </c>
      <c r="C113" s="76" t="s">
        <v>63</v>
      </c>
      <c r="D113" s="77" t="str">
        <f aca="false">IFERROR(VLOOKUP(E:E,'Item Data Support Sheet'!A:O,7,0),"")</f>
        <v>BOTTLE PRINTED</v>
      </c>
      <c r="E113" s="108" t="s">
        <v>320</v>
      </c>
      <c r="F113" s="80"/>
      <c r="G113" s="77" t="s">
        <v>66</v>
      </c>
      <c r="H113" s="79" t="str">
        <f aca="false">IFERROR(VLOOKUP(E:E,'Item Data Support Sheet'!A:O,2,0),"")</f>
        <v>KPP 200 ML BOTTLE PRINTED</v>
      </c>
      <c r="I113" s="80" t="s">
        <v>348</v>
      </c>
      <c r="J113" s="80" t="s">
        <v>161</v>
      </c>
      <c r="K113" s="81" t="n">
        <v>8.5</v>
      </c>
      <c r="L113" s="82" t="n">
        <v>5100</v>
      </c>
      <c r="M113" s="83" t="n">
        <f aca="false">IFERROR(L113/K113,0)</f>
        <v>600</v>
      </c>
      <c r="N113" s="84" t="n">
        <f aca="false">+O113+Q113+T113+U113</f>
        <v>5928</v>
      </c>
      <c r="O113" s="85" t="n">
        <v>5899</v>
      </c>
      <c r="P113" s="86" t="n">
        <v>0</v>
      </c>
      <c r="Q113" s="87" t="n">
        <v>0</v>
      </c>
      <c r="R113" s="88" t="n">
        <v>56</v>
      </c>
      <c r="S113" s="88" t="n">
        <v>0</v>
      </c>
      <c r="T113" s="88" t="n">
        <v>29</v>
      </c>
      <c r="U113" s="88" t="n">
        <v>0</v>
      </c>
      <c r="V113" s="89" t="n">
        <v>6</v>
      </c>
      <c r="W113" s="90" t="n">
        <f aca="false">IFERROR(O113/V113,0)</f>
        <v>983.166666666667</v>
      </c>
      <c r="X113" s="91" t="n">
        <f aca="false">O113/L113</f>
        <v>1.15666666666667</v>
      </c>
      <c r="Y113" s="92" t="str">
        <f aca="false">IFERROR(VLOOKUP(E:E,'Item Data Support Sheet'!A:J,6,0),0)</f>
        <v>FO002</v>
      </c>
      <c r="Z113" s="93" t="n">
        <f aca="false">IFERROR(VLOOKUP(E:E,'Item Data Support Sheet'!A:O,4,0),0)</f>
        <v>0</v>
      </c>
      <c r="AA113" s="93" t="n">
        <f aca="false">IFERROR(((N113)*(Z113/1000))+P113,0)</f>
        <v>0</v>
      </c>
      <c r="AB113" s="94" t="str">
        <f aca="false">IFERROR((O113*(Z113/1000)/(AA113))," ")</f>
        <v> </v>
      </c>
      <c r="AC113" s="95" t="n">
        <f aca="false">IFERROR((T113)/((T113)+O113),0)</f>
        <v>0.00489203778677463</v>
      </c>
      <c r="AD113" s="96" t="n">
        <f aca="false">IFERROR(Q113/(Q113+N113),0)</f>
        <v>0</v>
      </c>
      <c r="AE113" s="91" t="n">
        <f aca="false">(N113-T113)/N113</f>
        <v>0.995107962213225</v>
      </c>
      <c r="AF113" s="97" t="n">
        <f aca="false">BR113</f>
        <v>0.833333333333333</v>
      </c>
      <c r="AG113" s="98" t="n">
        <f aca="false">K113-AF113</f>
        <v>7.66666666666667</v>
      </c>
      <c r="AH113" s="99" t="n">
        <f aca="false">IFERROR(AG113/K113," ")</f>
        <v>0.901960784313726</v>
      </c>
      <c r="AI113" s="100" t="n">
        <f aca="false">IFERROR(O113/K113,0)</f>
        <v>694</v>
      </c>
      <c r="AJ113" s="101" t="n">
        <f aca="false">VLOOKUP(D113,'Standard Cycle time'!C:D,2,0)</f>
        <v>32.4</v>
      </c>
      <c r="AK113" s="101" t="n">
        <f aca="false">AG113*V113*3600/O113</f>
        <v>28.0725546702831</v>
      </c>
      <c r="AL113" s="102" t="n">
        <f aca="false">AJ113/AK113</f>
        <v>1.15415217391304</v>
      </c>
      <c r="AM113" s="99" t="n">
        <f aca="false">AE113*AL113*AH113</f>
        <v>1.03590738866397</v>
      </c>
      <c r="AN113" s="103" t="s">
        <v>349</v>
      </c>
      <c r="AO113" s="104"/>
      <c r="AP113" s="105" t="n">
        <v>50</v>
      </c>
      <c r="AQ113" s="105" t="n">
        <v>0</v>
      </c>
      <c r="AR113" s="105" t="n">
        <v>0</v>
      </c>
      <c r="AS113" s="105" t="n">
        <v>0</v>
      </c>
      <c r="AT113" s="105" t="n">
        <v>0</v>
      </c>
      <c r="AU113" s="105" t="n">
        <v>0</v>
      </c>
      <c r="AV113" s="105" t="n">
        <v>0</v>
      </c>
      <c r="AW113" s="105" t="n">
        <v>0</v>
      </c>
      <c r="AX113" s="105" t="n">
        <v>0</v>
      </c>
      <c r="AY113" s="105" t="n">
        <v>0</v>
      </c>
      <c r="AZ113" s="105" t="n">
        <v>0</v>
      </c>
      <c r="BA113" s="105" t="n">
        <v>0</v>
      </c>
      <c r="BB113" s="105" t="n">
        <v>0</v>
      </c>
      <c r="BC113" s="105" t="n">
        <v>0</v>
      </c>
      <c r="BD113" s="105" t="n">
        <v>0</v>
      </c>
      <c r="BE113" s="105" t="n">
        <v>0</v>
      </c>
      <c r="BF113" s="105" t="n">
        <v>0</v>
      </c>
      <c r="BG113" s="105" t="n">
        <v>0</v>
      </c>
      <c r="BH113" s="105" t="n">
        <v>0</v>
      </c>
      <c r="BI113" s="105" t="n">
        <v>0</v>
      </c>
      <c r="BJ113" s="105" t="n">
        <v>0</v>
      </c>
      <c r="BK113" s="105" t="n">
        <v>0</v>
      </c>
      <c r="BL113" s="105" t="n">
        <v>0</v>
      </c>
      <c r="BM113" s="105" t="n">
        <v>0</v>
      </c>
      <c r="BN113" s="105" t="n">
        <v>0</v>
      </c>
      <c r="BO113" s="105" t="n">
        <v>0</v>
      </c>
      <c r="BP113" s="105" t="n">
        <v>0</v>
      </c>
      <c r="BQ113" s="105" t="n">
        <v>0</v>
      </c>
      <c r="BR113" s="106" t="n">
        <f aca="false">SUM(AP113:BQ113)/60</f>
        <v>0.833333333333333</v>
      </c>
      <c r="BS113" s="106" t="n">
        <f aca="false">SUM(AP113:BR113)/60</f>
        <v>0.847222222222222</v>
      </c>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row>
    <row r="114" s="74" customFormat="true" ht="14.9" hidden="true" customHeight="true" outlineLevel="0" collapsed="false">
      <c r="A114" s="74" t="n">
        <f aca="false">MONTH(B114)</f>
        <v>8</v>
      </c>
      <c r="B114" s="75" t="n">
        <v>44419</v>
      </c>
      <c r="C114" s="76" t="s">
        <v>63</v>
      </c>
      <c r="D114" s="77" t="str">
        <f aca="false">IFERROR(VLOOKUP(E:E,'Item Data Support Sheet'!A:O,7,0),"")</f>
        <v>NIPPLE PUNCH INSPECTED</v>
      </c>
      <c r="E114" s="108" t="s">
        <v>297</v>
      </c>
      <c r="F114" s="80"/>
      <c r="G114" s="77"/>
      <c r="H114" s="79" t="str">
        <f aca="false">IFERROR(VLOOKUP(E:E,'Item Data Support Sheet'!A:O,2,0),"")</f>
        <v>NIPPLE S TYPE S SIZE PUNCHED INSPECTED</v>
      </c>
      <c r="I114" s="80" t="s">
        <v>350</v>
      </c>
      <c r="J114" s="80" t="s">
        <v>158</v>
      </c>
      <c r="K114" s="81" t="n">
        <v>8.5</v>
      </c>
      <c r="L114" s="82" t="n">
        <v>14182</v>
      </c>
      <c r="M114" s="83" t="n">
        <f aca="false">IFERROR(L114/K114,0)</f>
        <v>1668.47058823529</v>
      </c>
      <c r="N114" s="84" t="n">
        <f aca="false">+O114+Q114+T114+U114</f>
        <v>13200</v>
      </c>
      <c r="O114" s="85" t="n">
        <v>13116</v>
      </c>
      <c r="P114" s="86" t="n">
        <v>0</v>
      </c>
      <c r="Q114" s="87" t="n">
        <v>0</v>
      </c>
      <c r="R114" s="88" t="n">
        <v>0</v>
      </c>
      <c r="S114" s="88" t="n">
        <v>0</v>
      </c>
      <c r="T114" s="88" t="n">
        <v>84</v>
      </c>
      <c r="U114" s="88" t="n">
        <v>0</v>
      </c>
      <c r="V114" s="89" t="n">
        <v>2</v>
      </c>
      <c r="W114" s="90" t="n">
        <f aca="false">IFERROR(O114/V114,0)</f>
        <v>6558</v>
      </c>
      <c r="X114" s="91" t="n">
        <f aca="false">O114/L114</f>
        <v>0.924834296996192</v>
      </c>
      <c r="Y114" s="92" t="str">
        <f aca="false">IFERROR(VLOOKUP(E:E,'Item Data Support Sheet'!A:J,6,0),0)</f>
        <v>FO104</v>
      </c>
      <c r="Z114" s="93" t="n">
        <f aca="false">IFERROR(VLOOKUP(E:E,'Item Data Support Sheet'!A:O,4,0),0)</f>
        <v>0</v>
      </c>
      <c r="AA114" s="93" t="n">
        <f aca="false">IFERROR(((N114)*(Z114/1000))+P114,0)</f>
        <v>0</v>
      </c>
      <c r="AB114" s="94" t="str">
        <f aca="false">IFERROR((O114*(Z114/1000)/(AA114))," ")</f>
        <v> </v>
      </c>
      <c r="AC114" s="95" t="n">
        <f aca="false">IFERROR((T114)/((T114)+O114),0)</f>
        <v>0.00636363636363636</v>
      </c>
      <c r="AD114" s="96" t="n">
        <f aca="false">IFERROR(Q114/(Q114+N114),0)</f>
        <v>0</v>
      </c>
      <c r="AE114" s="91" t="n">
        <f aca="false">(N114-T114)/N114</f>
        <v>0.993636363636364</v>
      </c>
      <c r="AF114" s="97" t="n">
        <f aca="false">BR114</f>
        <v>1.5</v>
      </c>
      <c r="AG114" s="98" t="n">
        <f aca="false">K114-AF114</f>
        <v>7</v>
      </c>
      <c r="AH114" s="99" t="n">
        <f aca="false">IFERROR(AG114/K114," ")</f>
        <v>0.823529411764706</v>
      </c>
      <c r="AI114" s="100" t="n">
        <f aca="false">IFERROR(O114/K114,0)</f>
        <v>1543.05882352941</v>
      </c>
      <c r="AJ114" s="101" t="n">
        <f aca="false">VLOOKUP(D114,'Standard Cycle time'!C:D,2,0)</f>
        <v>4</v>
      </c>
      <c r="AK114" s="101" t="n">
        <f aca="false">AG114*V114*3600/O114</f>
        <v>3.84263494967978</v>
      </c>
      <c r="AL114" s="102" t="n">
        <f aca="false">AJ114/AK114</f>
        <v>1.04095238095238</v>
      </c>
      <c r="AM114" s="99" t="n">
        <f aca="false">AE114*AL114*AH114</f>
        <v>0.851799643493761</v>
      </c>
      <c r="AN114" s="103" t="s">
        <v>351</v>
      </c>
      <c r="AO114" s="109"/>
      <c r="AP114" s="105" t="n">
        <v>50</v>
      </c>
      <c r="AQ114" s="105" t="n">
        <v>0</v>
      </c>
      <c r="AR114" s="105" t="n">
        <v>0</v>
      </c>
      <c r="AS114" s="105" t="n">
        <v>40</v>
      </c>
      <c r="AT114" s="105" t="n">
        <v>0</v>
      </c>
      <c r="AU114" s="105" t="n">
        <v>0</v>
      </c>
      <c r="AV114" s="105" t="n">
        <v>0</v>
      </c>
      <c r="AW114" s="105" t="n">
        <v>0</v>
      </c>
      <c r="AX114" s="105" t="n">
        <v>0</v>
      </c>
      <c r="AY114" s="105" t="n">
        <v>0</v>
      </c>
      <c r="AZ114" s="105" t="n">
        <v>0</v>
      </c>
      <c r="BA114" s="105" t="n">
        <v>0</v>
      </c>
      <c r="BB114" s="105" t="n">
        <v>0</v>
      </c>
      <c r="BC114" s="105" t="n">
        <v>0</v>
      </c>
      <c r="BD114" s="105" t="n">
        <v>0</v>
      </c>
      <c r="BE114" s="105" t="n">
        <v>0</v>
      </c>
      <c r="BF114" s="105" t="n">
        <v>0</v>
      </c>
      <c r="BG114" s="105" t="n">
        <v>0</v>
      </c>
      <c r="BH114" s="105" t="n">
        <v>0</v>
      </c>
      <c r="BI114" s="105" t="n">
        <v>0</v>
      </c>
      <c r="BJ114" s="105" t="n">
        <v>0</v>
      </c>
      <c r="BK114" s="105" t="n">
        <v>0</v>
      </c>
      <c r="BL114" s="105" t="n">
        <v>0</v>
      </c>
      <c r="BM114" s="105" t="n">
        <v>0</v>
      </c>
      <c r="BN114" s="105" t="n">
        <v>0</v>
      </c>
      <c r="BO114" s="105" t="n">
        <v>0</v>
      </c>
      <c r="BP114" s="105" t="n">
        <v>0</v>
      </c>
      <c r="BQ114" s="105" t="n">
        <v>0</v>
      </c>
      <c r="BR114" s="106" t="n">
        <f aca="false">SUM(AP114:BQ114)/60</f>
        <v>1.5</v>
      </c>
      <c r="BS114" s="106" t="n">
        <f aca="false">SUM(AP114:BR114)/60</f>
        <v>1.525</v>
      </c>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row>
    <row r="115" s="74" customFormat="true" ht="14.9" hidden="true" customHeight="true" outlineLevel="0" collapsed="false">
      <c r="A115" s="74" t="n">
        <f aca="false">MONTH(B115)</f>
        <v>8</v>
      </c>
      <c r="B115" s="75" t="n">
        <v>44419</v>
      </c>
      <c r="C115" s="76" t="s">
        <v>70</v>
      </c>
      <c r="D115" s="77" t="str">
        <f aca="false">IFERROR(VLOOKUP(E:E,'Item Data Support Sheet'!A:O,7,0),"")</f>
        <v>NIPPLE PUNCH</v>
      </c>
      <c r="E115" s="80" t="s">
        <v>53</v>
      </c>
      <c r="F115" s="80"/>
      <c r="G115" s="77" t="s">
        <v>54</v>
      </c>
      <c r="H115" s="79" t="str">
        <f aca="false">IFERROR(VLOOKUP(E:E,'Item Data Support Sheet'!A:O,2,0),"")</f>
        <v>NIPPLE S TYPE S SIZE PUNCHED</v>
      </c>
      <c r="I115" s="80" t="s">
        <v>329</v>
      </c>
      <c r="J115" s="80" t="s">
        <v>140</v>
      </c>
      <c r="K115" s="81" t="n">
        <v>8</v>
      </c>
      <c r="L115" s="82" t="n">
        <v>7036</v>
      </c>
      <c r="M115" s="83" t="n">
        <f aca="false">IFERROR(L115/K115,0)</f>
        <v>879.5</v>
      </c>
      <c r="N115" s="84" t="n">
        <f aca="false">+O115+Q115+T115+U115</f>
        <v>7300</v>
      </c>
      <c r="O115" s="85" t="n">
        <v>7300</v>
      </c>
      <c r="P115" s="86" t="n">
        <v>0</v>
      </c>
      <c r="Q115" s="87" t="n">
        <v>0</v>
      </c>
      <c r="R115" s="88" t="n">
        <v>0</v>
      </c>
      <c r="S115" s="88" t="n">
        <v>0</v>
      </c>
      <c r="T115" s="88" t="n">
        <v>0</v>
      </c>
      <c r="U115" s="88" t="n">
        <v>0</v>
      </c>
      <c r="V115" s="89" t="n">
        <v>1</v>
      </c>
      <c r="W115" s="90" t="n">
        <f aca="false">IFERROR(O115/V115,0)</f>
        <v>7300</v>
      </c>
      <c r="X115" s="91" t="n">
        <f aca="false">O115/L115</f>
        <v>1.03752131893121</v>
      </c>
      <c r="Y115" s="92" t="str">
        <f aca="false">IFERROR(VLOOKUP(E:E,'Item Data Support Sheet'!A:J,6,0),0)</f>
        <v>FO015</v>
      </c>
      <c r="Z115" s="93" t="n">
        <f aca="false">IFERROR(VLOOKUP(E:E,'Item Data Support Sheet'!A:O,4,0),0)</f>
        <v>0</v>
      </c>
      <c r="AA115" s="93" t="n">
        <f aca="false">IFERROR(((N115)*(Z115/1000))+P115,0)</f>
        <v>0</v>
      </c>
      <c r="AB115" s="94" t="str">
        <f aca="false">IFERROR((O115*(Z115/1000)/(AA115))," ")</f>
        <v> </v>
      </c>
      <c r="AC115" s="95" t="n">
        <f aca="false">IFERROR((T115)/((T115)+O115),0)</f>
        <v>0</v>
      </c>
      <c r="AD115" s="96" t="n">
        <f aca="false">IFERROR(Q115/(Q115+N115),0)</f>
        <v>0</v>
      </c>
      <c r="AE115" s="91" t="n">
        <f aca="false">(N115-T115)/N115</f>
        <v>1</v>
      </c>
      <c r="AF115" s="97" t="n">
        <f aca="false">BR115</f>
        <v>0.666666666666667</v>
      </c>
      <c r="AG115" s="98" t="n">
        <f aca="false">K115-AF115</f>
        <v>7.33333333333333</v>
      </c>
      <c r="AH115" s="99" t="n">
        <f aca="false">IFERROR(AG115/K115," ")</f>
        <v>0.916666666666667</v>
      </c>
      <c r="AI115" s="100" t="n">
        <f aca="false">IFERROR(O115/K115,0)</f>
        <v>912.5</v>
      </c>
      <c r="AJ115" s="101" t="n">
        <f aca="false">VLOOKUP(D115,'Standard Cycle time'!C:D,2,0)</f>
        <v>3.5</v>
      </c>
      <c r="AK115" s="101" t="n">
        <f aca="false">AG115*V115*3600/O115</f>
        <v>3.61643835616438</v>
      </c>
      <c r="AL115" s="102" t="n">
        <f aca="false">AJ115/AK115</f>
        <v>0.96780303030303</v>
      </c>
      <c r="AM115" s="99" t="n">
        <f aca="false">AE115*AL115*AH115</f>
        <v>0.887152777777778</v>
      </c>
      <c r="AN115" s="103" t="s">
        <v>352</v>
      </c>
      <c r="AO115" s="109"/>
      <c r="AP115" s="105" t="n">
        <v>40</v>
      </c>
      <c r="AQ115" s="105" t="n">
        <v>0</v>
      </c>
      <c r="AR115" s="105" t="n">
        <v>0</v>
      </c>
      <c r="AS115" s="105" t="n">
        <v>0</v>
      </c>
      <c r="AT115" s="105" t="n">
        <v>0</v>
      </c>
      <c r="AU115" s="105" t="n">
        <v>0</v>
      </c>
      <c r="AV115" s="105" t="n">
        <v>0</v>
      </c>
      <c r="AW115" s="105" t="n">
        <v>0</v>
      </c>
      <c r="AX115" s="105" t="n">
        <v>0</v>
      </c>
      <c r="AY115" s="105" t="n">
        <v>0</v>
      </c>
      <c r="AZ115" s="105" t="n">
        <v>0</v>
      </c>
      <c r="BA115" s="105" t="n">
        <v>0</v>
      </c>
      <c r="BB115" s="105" t="n">
        <v>0</v>
      </c>
      <c r="BC115" s="105" t="n">
        <v>0</v>
      </c>
      <c r="BD115" s="105" t="n">
        <v>0</v>
      </c>
      <c r="BE115" s="105" t="n">
        <v>0</v>
      </c>
      <c r="BF115" s="105" t="n">
        <v>0</v>
      </c>
      <c r="BG115" s="105" t="n">
        <v>0</v>
      </c>
      <c r="BH115" s="105" t="n">
        <v>0</v>
      </c>
      <c r="BI115" s="105" t="n">
        <v>0</v>
      </c>
      <c r="BJ115" s="105" t="n">
        <v>0</v>
      </c>
      <c r="BK115" s="105" t="n">
        <v>0</v>
      </c>
      <c r="BL115" s="105" t="n">
        <v>0</v>
      </c>
      <c r="BM115" s="105" t="n">
        <v>0</v>
      </c>
      <c r="BN115" s="105" t="n">
        <v>0</v>
      </c>
      <c r="BO115" s="105" t="n">
        <v>0</v>
      </c>
      <c r="BP115" s="105" t="n">
        <v>0</v>
      </c>
      <c r="BQ115" s="105" t="n">
        <v>0</v>
      </c>
      <c r="BR115" s="106" t="n">
        <f aca="false">SUM(AP115:BQ115)/60</f>
        <v>0.666666666666667</v>
      </c>
      <c r="BS115" s="106" t="n">
        <f aca="false">SUM(AP115:BR115)/60</f>
        <v>0.677777777777778</v>
      </c>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row>
    <row r="116" s="74" customFormat="true" ht="14.9" hidden="true" customHeight="true" outlineLevel="0" collapsed="false">
      <c r="A116" s="74" t="n">
        <f aca="false">MONTH(B116)</f>
        <v>8</v>
      </c>
      <c r="B116" s="75" t="n">
        <v>44419</v>
      </c>
      <c r="C116" s="76" t="s">
        <v>70</v>
      </c>
      <c r="D116" s="77" t="str">
        <f aca="false">IFERROR(VLOOKUP(E:E,'Item Data Support Sheet'!A:O,7,0),"")</f>
        <v>NIPPLE POSTCURE</v>
      </c>
      <c r="E116" s="80" t="s">
        <v>57</v>
      </c>
      <c r="F116" s="80"/>
      <c r="G116" s="77" t="s">
        <v>149</v>
      </c>
      <c r="H116" s="79" t="str">
        <f aca="false">IFERROR(VLOOKUP(E:E,'Item Data Support Sheet'!A:O,2,0),"")</f>
        <v>NIPPLE S TYPE S SIZE POSTCURED</v>
      </c>
      <c r="I116" s="80" t="s">
        <v>353</v>
      </c>
      <c r="J116" s="80" t="s">
        <v>140</v>
      </c>
      <c r="K116" s="81" t="n">
        <v>8</v>
      </c>
      <c r="L116" s="82" t="n">
        <v>7091</v>
      </c>
      <c r="M116" s="83" t="n">
        <f aca="false">IFERROR(L116/K116,0)</f>
        <v>886.375</v>
      </c>
      <c r="N116" s="84" t="n">
        <f aca="false">+O116+Q116+T116+U116</f>
        <v>6820</v>
      </c>
      <c r="O116" s="85" t="n">
        <f aca="false">2820+4000</f>
        <v>6820</v>
      </c>
      <c r="P116" s="86" t="n">
        <v>0</v>
      </c>
      <c r="Q116" s="87" t="n">
        <v>0</v>
      </c>
      <c r="R116" s="88" t="n">
        <v>0</v>
      </c>
      <c r="S116" s="88" t="n">
        <v>0</v>
      </c>
      <c r="T116" s="88" t="n">
        <v>0</v>
      </c>
      <c r="U116" s="88" t="n">
        <v>0</v>
      </c>
      <c r="V116" s="89" t="n">
        <v>1</v>
      </c>
      <c r="W116" s="90" t="n">
        <f aca="false">IFERROR(O116/V116,0)</f>
        <v>6820</v>
      </c>
      <c r="X116" s="91" t="n">
        <f aca="false">O116/L116</f>
        <v>0.961782541249471</v>
      </c>
      <c r="Y116" s="92" t="str">
        <f aca="false">IFERROR(VLOOKUP(E:E,'Item Data Support Sheet'!A:J,6,0),0)</f>
        <v>FO011</v>
      </c>
      <c r="Z116" s="93" t="n">
        <f aca="false">IFERROR(VLOOKUP(E:E,'Item Data Support Sheet'!A:O,4,0),0)</f>
        <v>0</v>
      </c>
      <c r="AA116" s="93" t="n">
        <f aca="false">IFERROR(((N116)*(Z116/1000))+P116,0)</f>
        <v>0</v>
      </c>
      <c r="AB116" s="94" t="str">
        <f aca="false">IFERROR((O116*(Z116/1000)/(AA116))," ")</f>
        <v> </v>
      </c>
      <c r="AC116" s="95" t="n">
        <f aca="false">IFERROR((T116)/((T116)+O116),0)</f>
        <v>0</v>
      </c>
      <c r="AD116" s="96" t="n">
        <f aca="false">IFERROR(Q116/(Q116+N116),0)</f>
        <v>0</v>
      </c>
      <c r="AE116" s="91" t="n">
        <f aca="false">(N116-T116)/N116</f>
        <v>1</v>
      </c>
      <c r="AF116" s="97" t="n">
        <f aca="false">BR116</f>
        <v>2.66666666666667</v>
      </c>
      <c r="AG116" s="98" t="n">
        <f aca="false">K116-AF116</f>
        <v>5.33333333333333</v>
      </c>
      <c r="AH116" s="99" t="n">
        <f aca="false">IFERROR(AG116/K116," ")</f>
        <v>0.666666666666667</v>
      </c>
      <c r="AI116" s="100" t="n">
        <f aca="false">IFERROR(O116/K116,0)</f>
        <v>852.5</v>
      </c>
      <c r="AJ116" s="101" t="n">
        <f aca="false">VLOOKUP(D116,'Standard Cycle time'!C:D,2,0)</f>
        <v>2.3</v>
      </c>
      <c r="AK116" s="101" t="n">
        <f aca="false">AG116*V116*3600/O116</f>
        <v>2.81524926686217</v>
      </c>
      <c r="AL116" s="102" t="n">
        <f aca="false">AJ116/AK116</f>
        <v>0.816979166666667</v>
      </c>
      <c r="AM116" s="99" t="n">
        <f aca="false">AE116*AL116*AH116</f>
        <v>0.544652777777778</v>
      </c>
      <c r="AN116" s="103" t="n">
        <v>2369</v>
      </c>
      <c r="AO116" s="104" t="s">
        <v>339</v>
      </c>
      <c r="AP116" s="105" t="n">
        <v>40</v>
      </c>
      <c r="AQ116" s="105" t="n">
        <v>0</v>
      </c>
      <c r="AR116" s="105" t="n">
        <v>0</v>
      </c>
      <c r="AS116" s="105" t="n">
        <v>120</v>
      </c>
      <c r="AT116" s="105" t="n">
        <v>0</v>
      </c>
      <c r="AU116" s="105" t="n">
        <v>0</v>
      </c>
      <c r="AV116" s="105" t="n">
        <v>0</v>
      </c>
      <c r="AW116" s="105" t="n">
        <v>0</v>
      </c>
      <c r="AX116" s="105" t="n">
        <v>0</v>
      </c>
      <c r="AY116" s="105" t="n">
        <v>0</v>
      </c>
      <c r="AZ116" s="105" t="n">
        <v>0</v>
      </c>
      <c r="BA116" s="105" t="n">
        <v>0</v>
      </c>
      <c r="BB116" s="105" t="n">
        <v>0</v>
      </c>
      <c r="BC116" s="105" t="n">
        <v>0</v>
      </c>
      <c r="BD116" s="105" t="n">
        <v>0</v>
      </c>
      <c r="BE116" s="105" t="n">
        <v>0</v>
      </c>
      <c r="BF116" s="105" t="n">
        <v>0</v>
      </c>
      <c r="BG116" s="105" t="n">
        <v>0</v>
      </c>
      <c r="BH116" s="105" t="n">
        <v>0</v>
      </c>
      <c r="BI116" s="105" t="n">
        <v>0</v>
      </c>
      <c r="BJ116" s="105" t="n">
        <v>0</v>
      </c>
      <c r="BK116" s="105" t="n">
        <v>0</v>
      </c>
      <c r="BL116" s="105" t="n">
        <v>0</v>
      </c>
      <c r="BM116" s="105" t="n">
        <v>0</v>
      </c>
      <c r="BN116" s="105" t="n">
        <v>0</v>
      </c>
      <c r="BO116" s="105" t="n">
        <v>0</v>
      </c>
      <c r="BP116" s="105" t="n">
        <v>0</v>
      </c>
      <c r="BQ116" s="105" t="n">
        <v>0</v>
      </c>
      <c r="BR116" s="106" t="n">
        <f aca="false">SUM(AP116:BQ116)/60</f>
        <v>2.66666666666667</v>
      </c>
      <c r="BS116" s="106" t="n">
        <f aca="false">SUM(AP116:BR116)/60</f>
        <v>2.71111111111111</v>
      </c>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row>
    <row r="117" s="74" customFormat="true" ht="14.9" hidden="true" customHeight="true" outlineLevel="0" collapsed="false">
      <c r="A117" s="74" t="n">
        <f aca="false">MONTH(B117)</f>
        <v>8</v>
      </c>
      <c r="B117" s="75" t="n">
        <v>44419</v>
      </c>
      <c r="C117" s="76" t="s">
        <v>70</v>
      </c>
      <c r="D117" s="77" t="str">
        <f aca="false">IFERROR(VLOOKUP(E:E,'Item Data Support Sheet'!A:O,7,0),"")</f>
        <v>NIPPLE MOLDED</v>
      </c>
      <c r="E117" s="80" t="s">
        <v>244</v>
      </c>
      <c r="F117" s="80" t="s">
        <v>137</v>
      </c>
      <c r="G117" s="77" t="s">
        <v>138</v>
      </c>
      <c r="H117" s="79" t="str">
        <f aca="false">IFERROR(VLOOKUP(E:E,'Item Data Support Sheet'!A:O,2,0),"")</f>
        <v>NIPPLE S TYPE S SIZE INJECTION</v>
      </c>
      <c r="I117" s="80" t="s">
        <v>354</v>
      </c>
      <c r="J117" s="80" t="s">
        <v>140</v>
      </c>
      <c r="K117" s="81" t="n">
        <v>8</v>
      </c>
      <c r="L117" s="82" t="n">
        <v>4815</v>
      </c>
      <c r="M117" s="83" t="n">
        <f aca="false">IFERROR(L117/K117,0)</f>
        <v>601.875</v>
      </c>
      <c r="N117" s="84" t="n">
        <f aca="false">+O117+Q117+T117+U117</f>
        <v>4586</v>
      </c>
      <c r="O117" s="85" t="n">
        <v>4500</v>
      </c>
      <c r="P117" s="86" t="n">
        <v>0</v>
      </c>
      <c r="Q117" s="87" t="n">
        <v>35</v>
      </c>
      <c r="R117" s="88" t="n">
        <v>0</v>
      </c>
      <c r="S117" s="88" t="n">
        <v>0</v>
      </c>
      <c r="T117" s="88" t="n">
        <v>51</v>
      </c>
      <c r="U117" s="88" t="n">
        <v>0</v>
      </c>
      <c r="V117" s="89" t="n">
        <v>1</v>
      </c>
      <c r="W117" s="90" t="n">
        <f aca="false">IFERROR(O117/V117,0)</f>
        <v>4500</v>
      </c>
      <c r="X117" s="91" t="n">
        <f aca="false">O117/L117</f>
        <v>0.934579439252336</v>
      </c>
      <c r="Y117" s="92" t="str">
        <f aca="false">IFERROR(VLOOKUP(E:E,'Item Data Support Sheet'!A:J,6,0),0)</f>
        <v>Silicon</v>
      </c>
      <c r="Z117" s="93" t="n">
        <f aca="false">IFERROR(VLOOKUP(E:E,'Item Data Support Sheet'!A:O,4,0),0)</f>
        <v>6.8</v>
      </c>
      <c r="AA117" s="93" t="n">
        <f aca="false">IFERROR(((N117)*(Z117/1000))+P117,0)</f>
        <v>31.1848</v>
      </c>
      <c r="AB117" s="94" t="n">
        <f aca="false">IFERROR((O117*(Z117/1000)/(AA117))," ")</f>
        <v>0.981247274313127</v>
      </c>
      <c r="AC117" s="95" t="n">
        <f aca="false">IFERROR((T117)/((T117)+O117),0)</f>
        <v>0.011206328279499</v>
      </c>
      <c r="AD117" s="96" t="n">
        <f aca="false">IFERROR(Q117/(Q117+N117),0)</f>
        <v>0.00757411815624324</v>
      </c>
      <c r="AE117" s="91" t="n">
        <f aca="false">(N117-T117)/N117</f>
        <v>0.988879197557785</v>
      </c>
      <c r="AF117" s="97" t="n">
        <f aca="false">BR117</f>
        <v>0</v>
      </c>
      <c r="AG117" s="98" t="n">
        <f aca="false">K117-AF117</f>
        <v>8</v>
      </c>
      <c r="AH117" s="99" t="n">
        <f aca="false">IFERROR(AG117/K117," ")</f>
        <v>1</v>
      </c>
      <c r="AI117" s="100" t="n">
        <f aca="false">IFERROR(O117/K117,0)</f>
        <v>562.5</v>
      </c>
      <c r="AJ117" s="101" t="n">
        <f aca="false">VLOOKUP(D117,'Standard Cycle time'!C:D,2,0)</f>
        <v>5.25</v>
      </c>
      <c r="AK117" s="101" t="n">
        <f aca="false">AG117*V117*3600/O117</f>
        <v>6.4</v>
      </c>
      <c r="AL117" s="102" t="n">
        <f aca="false">AJ117/AK117</f>
        <v>0.8203125</v>
      </c>
      <c r="AM117" s="99" t="n">
        <f aca="false">AE117*AL117*AH117</f>
        <v>0.81118996674662</v>
      </c>
      <c r="AN117" s="103" t="n">
        <v>2370</v>
      </c>
      <c r="AO117" s="104"/>
      <c r="AP117" s="105" t="n">
        <v>0</v>
      </c>
      <c r="AQ117" s="105" t="n">
        <v>0</v>
      </c>
      <c r="AR117" s="105" t="n">
        <v>0</v>
      </c>
      <c r="AS117" s="105" t="n">
        <v>0</v>
      </c>
      <c r="AT117" s="105" t="n">
        <v>0</v>
      </c>
      <c r="AU117" s="105" t="n">
        <v>0</v>
      </c>
      <c r="AV117" s="105" t="n">
        <v>0</v>
      </c>
      <c r="AW117" s="105" t="n">
        <v>0</v>
      </c>
      <c r="AX117" s="105" t="n">
        <v>0</v>
      </c>
      <c r="AY117" s="105" t="n">
        <v>0</v>
      </c>
      <c r="AZ117" s="105" t="n">
        <v>0</v>
      </c>
      <c r="BA117" s="105" t="n">
        <v>0</v>
      </c>
      <c r="BB117" s="105" t="n">
        <v>0</v>
      </c>
      <c r="BC117" s="105" t="n">
        <v>0</v>
      </c>
      <c r="BD117" s="105" t="n">
        <v>0</v>
      </c>
      <c r="BE117" s="105" t="n">
        <v>0</v>
      </c>
      <c r="BF117" s="105" t="n">
        <v>0</v>
      </c>
      <c r="BG117" s="105" t="n">
        <v>0</v>
      </c>
      <c r="BH117" s="105" t="n">
        <v>0</v>
      </c>
      <c r="BI117" s="105" t="n">
        <v>0</v>
      </c>
      <c r="BJ117" s="105" t="n">
        <v>0</v>
      </c>
      <c r="BK117" s="105" t="n">
        <v>0</v>
      </c>
      <c r="BL117" s="105" t="n">
        <v>0</v>
      </c>
      <c r="BM117" s="105" t="n">
        <v>0</v>
      </c>
      <c r="BN117" s="105" t="n">
        <v>0</v>
      </c>
      <c r="BO117" s="105" t="n">
        <v>0</v>
      </c>
      <c r="BP117" s="105" t="n">
        <v>0</v>
      </c>
      <c r="BQ117" s="105" t="n">
        <v>0</v>
      </c>
      <c r="BR117" s="106" t="n">
        <f aca="false">SUM(AP117:BQ117)/60</f>
        <v>0</v>
      </c>
      <c r="BS117" s="106" t="n">
        <f aca="false">SUM(AP117:BR117)/60</f>
        <v>0</v>
      </c>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row>
    <row r="118" s="74" customFormat="true" ht="14.9" hidden="true" customHeight="true" outlineLevel="0" collapsed="false">
      <c r="A118" s="74" t="n">
        <f aca="false">MONTH(B118)</f>
        <v>8</v>
      </c>
      <c r="B118" s="75" t="n">
        <v>44419</v>
      </c>
      <c r="C118" s="76" t="s">
        <v>70</v>
      </c>
      <c r="D118" s="77" t="str">
        <f aca="false">IFERROR(VLOOKUP(E:E,'Item Data Support Sheet'!A:O,7,0),"")</f>
        <v>CAP MOLDED</v>
      </c>
      <c r="E118" s="80" t="s">
        <v>343</v>
      </c>
      <c r="F118" s="80"/>
      <c r="G118" s="77" t="s">
        <v>200</v>
      </c>
      <c r="H118" s="79" t="str">
        <f aca="false">IFERROR(VLOOKUP(E:E,'Item Data Support Sheet'!A:O,2,0),"")</f>
        <v>CAP S TYPE MOLDED BLUE</v>
      </c>
      <c r="I118" s="80" t="s">
        <v>355</v>
      </c>
      <c r="J118" s="80" t="s">
        <v>140</v>
      </c>
      <c r="K118" s="81" t="n">
        <v>2</v>
      </c>
      <c r="L118" s="82" t="n">
        <v>1040</v>
      </c>
      <c r="M118" s="83" t="n">
        <f aca="false">IFERROR(L118/K118,0)</f>
        <v>520</v>
      </c>
      <c r="N118" s="84" t="n">
        <f aca="false">+O118+Q118+T118+U118</f>
        <v>1040</v>
      </c>
      <c r="O118" s="85" t="n">
        <v>1040</v>
      </c>
      <c r="P118" s="86" t="n">
        <v>0</v>
      </c>
      <c r="Q118" s="87" t="n">
        <v>0</v>
      </c>
      <c r="R118" s="88" t="n">
        <v>0</v>
      </c>
      <c r="S118" s="88" t="n">
        <v>0</v>
      </c>
      <c r="T118" s="88" t="n">
        <v>0</v>
      </c>
      <c r="U118" s="88" t="n">
        <v>0</v>
      </c>
      <c r="V118" s="89" t="n">
        <v>1</v>
      </c>
      <c r="W118" s="90" t="n">
        <f aca="false">IFERROR(O118/V118,0)</f>
        <v>1040</v>
      </c>
      <c r="X118" s="91" t="n">
        <f aca="false">O118/L118</f>
        <v>1</v>
      </c>
      <c r="Y118" s="92" t="str">
        <f aca="false">IFERROR(VLOOKUP(E:E,'Item Data Support Sheet'!A:J,6,0),0)</f>
        <v>RM000114</v>
      </c>
      <c r="Z118" s="93" t="n">
        <f aca="false">IFERROR(VLOOKUP(E:E,'Item Data Support Sheet'!A:O,4,0),0)</f>
        <v>7.3</v>
      </c>
      <c r="AA118" s="93" t="n">
        <f aca="false">IFERROR(((N118)*(Z118/1000))+P118,0)</f>
        <v>7.592</v>
      </c>
      <c r="AB118" s="94" t="n">
        <f aca="false">IFERROR((O118*(Z118/1000)/(AA118))," ")</f>
        <v>1</v>
      </c>
      <c r="AC118" s="95" t="n">
        <f aca="false">IFERROR((T118)/((T118)+O118),0)</f>
        <v>0</v>
      </c>
      <c r="AD118" s="96" t="n">
        <f aca="false">IFERROR(Q118/(Q118+N118),0)</f>
        <v>0</v>
      </c>
      <c r="AE118" s="91" t="n">
        <f aca="false">(N118-T118)/N118</f>
        <v>1</v>
      </c>
      <c r="AF118" s="97" t="n">
        <f aca="false">BR118</f>
        <v>0</v>
      </c>
      <c r="AG118" s="98" t="n">
        <f aca="false">K118-AF118</f>
        <v>2</v>
      </c>
      <c r="AH118" s="99" t="n">
        <f aca="false">IFERROR(AG118/K118," ")</f>
        <v>1</v>
      </c>
      <c r="AI118" s="100" t="n">
        <f aca="false">IFERROR(O118/K118,0)</f>
        <v>520</v>
      </c>
      <c r="AJ118" s="101" t="n">
        <f aca="false">VLOOKUP(D118,'Standard Cycle time'!C:D,2,0)</f>
        <v>6</v>
      </c>
      <c r="AK118" s="101" t="n">
        <f aca="false">AG118*V118*3600/O118</f>
        <v>6.92307692307692</v>
      </c>
      <c r="AL118" s="102" t="n">
        <f aca="false">AJ118/AK118</f>
        <v>0.866666666666667</v>
      </c>
      <c r="AM118" s="99" t="n">
        <f aca="false">AE118*AL118*AH118</f>
        <v>0.866666666666667</v>
      </c>
      <c r="AN118" s="103" t="n">
        <v>2690</v>
      </c>
      <c r="AO118" s="104"/>
      <c r="AP118" s="105" t="n">
        <v>0</v>
      </c>
      <c r="AQ118" s="105" t="n">
        <v>0</v>
      </c>
      <c r="AR118" s="105" t="n">
        <v>0</v>
      </c>
      <c r="AS118" s="105" t="n">
        <v>0</v>
      </c>
      <c r="AT118" s="105" t="n">
        <v>0</v>
      </c>
      <c r="AU118" s="105" t="n">
        <v>0</v>
      </c>
      <c r="AV118" s="105" t="n">
        <v>0</v>
      </c>
      <c r="AW118" s="105" t="n">
        <v>0</v>
      </c>
      <c r="AX118" s="105" t="n">
        <v>0</v>
      </c>
      <c r="AY118" s="105" t="n">
        <v>0</v>
      </c>
      <c r="AZ118" s="105" t="n">
        <v>0</v>
      </c>
      <c r="BA118" s="105" t="n">
        <v>0</v>
      </c>
      <c r="BB118" s="105" t="n">
        <v>0</v>
      </c>
      <c r="BC118" s="105" t="n">
        <v>0</v>
      </c>
      <c r="BD118" s="105" t="n">
        <v>0</v>
      </c>
      <c r="BE118" s="105" t="n">
        <v>0</v>
      </c>
      <c r="BF118" s="105" t="n">
        <v>0</v>
      </c>
      <c r="BG118" s="105" t="n">
        <v>0</v>
      </c>
      <c r="BH118" s="105" t="n">
        <v>0</v>
      </c>
      <c r="BI118" s="105" t="n">
        <v>0</v>
      </c>
      <c r="BJ118" s="105" t="n">
        <v>0</v>
      </c>
      <c r="BK118" s="105" t="n">
        <v>0</v>
      </c>
      <c r="BL118" s="105" t="n">
        <v>0</v>
      </c>
      <c r="BM118" s="105" t="n">
        <v>0</v>
      </c>
      <c r="BN118" s="105" t="n">
        <v>0</v>
      </c>
      <c r="BO118" s="105" t="n">
        <v>0</v>
      </c>
      <c r="BP118" s="105" t="n">
        <v>0</v>
      </c>
      <c r="BQ118" s="105" t="n">
        <v>0</v>
      </c>
      <c r="BR118" s="106" t="n">
        <f aca="false">SUM(AP118:BQ118)/60</f>
        <v>0</v>
      </c>
      <c r="BS118" s="106" t="n">
        <f aca="false">SUM(AP118:BR118)/60</f>
        <v>0</v>
      </c>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row>
    <row r="119" s="74" customFormat="true" ht="14.9" hidden="true" customHeight="true" outlineLevel="0" collapsed="false">
      <c r="A119" s="74" t="n">
        <f aca="false">MONTH(B119)</f>
        <v>8</v>
      </c>
      <c r="B119" s="75" t="n">
        <v>44419</v>
      </c>
      <c r="C119" s="76" t="s">
        <v>70</v>
      </c>
      <c r="D119" s="77" t="str">
        <f aca="false">IFERROR(VLOOKUP(E:E,'Item Data Support Sheet'!A:O,7,0),"")</f>
        <v>CAP MOLDED</v>
      </c>
      <c r="E119" s="80" t="s">
        <v>343</v>
      </c>
      <c r="F119" s="80"/>
      <c r="G119" s="77" t="s">
        <v>200</v>
      </c>
      <c r="H119" s="79" t="str">
        <f aca="false">IFERROR(VLOOKUP(E:E,'Item Data Support Sheet'!A:O,2,0),"")</f>
        <v>CAP S TYPE MOLDED BLUE</v>
      </c>
      <c r="I119" s="80" t="s">
        <v>356</v>
      </c>
      <c r="J119" s="80" t="s">
        <v>140</v>
      </c>
      <c r="K119" s="81" t="n">
        <v>6</v>
      </c>
      <c r="L119" s="82" t="n">
        <f aca="false">4137-1040</f>
        <v>3097</v>
      </c>
      <c r="M119" s="83" t="n">
        <f aca="false">IFERROR(L119/K119,0)</f>
        <v>516.166666666667</v>
      </c>
      <c r="N119" s="84" t="n">
        <f aca="false">+O119+Q119+T119+U119</f>
        <v>3505</v>
      </c>
      <c r="O119" s="85" t="n">
        <v>3500</v>
      </c>
      <c r="P119" s="86" t="n">
        <v>0</v>
      </c>
      <c r="Q119" s="87" t="n">
        <v>0</v>
      </c>
      <c r="R119" s="88" t="n">
        <v>0</v>
      </c>
      <c r="S119" s="88" t="n">
        <v>0</v>
      </c>
      <c r="T119" s="88" t="n">
        <v>5</v>
      </c>
      <c r="U119" s="88" t="n">
        <v>0</v>
      </c>
      <c r="V119" s="89" t="n">
        <v>1</v>
      </c>
      <c r="W119" s="90" t="n">
        <f aca="false">IFERROR(O119/V119,0)</f>
        <v>3500</v>
      </c>
      <c r="X119" s="91" t="n">
        <f aca="false">O119/L119</f>
        <v>1.13012592831773</v>
      </c>
      <c r="Y119" s="92" t="str">
        <f aca="false">IFERROR(VLOOKUP(E:E,'Item Data Support Sheet'!A:J,6,0),0)</f>
        <v>RM000114</v>
      </c>
      <c r="Z119" s="93" t="n">
        <f aca="false">IFERROR(VLOOKUP(E:E,'Item Data Support Sheet'!A:O,4,0),0)</f>
        <v>7.3</v>
      </c>
      <c r="AA119" s="93" t="n">
        <f aca="false">IFERROR(((N119)*(Z119/1000))+P119,0)</f>
        <v>25.5865</v>
      </c>
      <c r="AB119" s="94" t="n">
        <f aca="false">IFERROR((O119*(Z119/1000)/(AA119))," ")</f>
        <v>0.998573466476462</v>
      </c>
      <c r="AC119" s="95" t="n">
        <f aca="false">IFERROR((T119)/((T119)+O119),0)</f>
        <v>0.0014265335235378</v>
      </c>
      <c r="AD119" s="96" t="n">
        <f aca="false">IFERROR(Q119/(Q119+N119),0)</f>
        <v>0</v>
      </c>
      <c r="AE119" s="91" t="n">
        <f aca="false">(N119-T119)/N119</f>
        <v>0.998573466476462</v>
      </c>
      <c r="AF119" s="97" t="n">
        <f aca="false">BR119</f>
        <v>0</v>
      </c>
      <c r="AG119" s="98" t="n">
        <f aca="false">K119-AF119</f>
        <v>6</v>
      </c>
      <c r="AH119" s="99" t="n">
        <f aca="false">IFERROR(AG119/K119," ")</f>
        <v>1</v>
      </c>
      <c r="AI119" s="100" t="n">
        <f aca="false">IFERROR(O119/K119,0)</f>
        <v>583.333333333333</v>
      </c>
      <c r="AJ119" s="101" t="n">
        <f aca="false">VLOOKUP(D119,'Standard Cycle time'!C:D,2,0)</f>
        <v>6</v>
      </c>
      <c r="AK119" s="101" t="n">
        <f aca="false">AG119*V119*3600/O119</f>
        <v>6.17142857142857</v>
      </c>
      <c r="AL119" s="102" t="n">
        <f aca="false">AJ119/AK119</f>
        <v>0.972222222222222</v>
      </c>
      <c r="AM119" s="99" t="n">
        <f aca="false">AE119*AL119*AH119</f>
        <v>0.970835314629894</v>
      </c>
      <c r="AN119" s="103" t="n">
        <v>2691</v>
      </c>
      <c r="AO119" s="104"/>
      <c r="AP119" s="105" t="n">
        <v>0</v>
      </c>
      <c r="AQ119" s="105" t="n">
        <v>0</v>
      </c>
      <c r="AR119" s="105" t="n">
        <v>0</v>
      </c>
      <c r="AS119" s="105" t="n">
        <v>0</v>
      </c>
      <c r="AT119" s="105" t="n">
        <v>0</v>
      </c>
      <c r="AU119" s="105" t="n">
        <v>0</v>
      </c>
      <c r="AV119" s="105" t="n">
        <v>0</v>
      </c>
      <c r="AW119" s="105" t="n">
        <v>0</v>
      </c>
      <c r="AX119" s="105" t="n">
        <v>0</v>
      </c>
      <c r="AY119" s="105" t="n">
        <v>0</v>
      </c>
      <c r="AZ119" s="105" t="n">
        <v>0</v>
      </c>
      <c r="BA119" s="105" t="n">
        <v>0</v>
      </c>
      <c r="BB119" s="105" t="n">
        <v>0</v>
      </c>
      <c r="BC119" s="105" t="n">
        <v>0</v>
      </c>
      <c r="BD119" s="105" t="n">
        <v>0</v>
      </c>
      <c r="BE119" s="105" t="n">
        <v>0</v>
      </c>
      <c r="BF119" s="105" t="n">
        <v>0</v>
      </c>
      <c r="BG119" s="105" t="n">
        <v>0</v>
      </c>
      <c r="BH119" s="105" t="n">
        <v>0</v>
      </c>
      <c r="BI119" s="105" t="n">
        <v>0</v>
      </c>
      <c r="BJ119" s="105" t="n">
        <v>0</v>
      </c>
      <c r="BK119" s="105" t="n">
        <v>0</v>
      </c>
      <c r="BL119" s="105" t="n">
        <v>0</v>
      </c>
      <c r="BM119" s="105" t="n">
        <v>0</v>
      </c>
      <c r="BN119" s="105" t="n">
        <v>0</v>
      </c>
      <c r="BO119" s="105" t="n">
        <v>0</v>
      </c>
      <c r="BP119" s="105" t="n">
        <v>0</v>
      </c>
      <c r="BQ119" s="105" t="n">
        <v>0</v>
      </c>
      <c r="BR119" s="106" t="n">
        <f aca="false">SUM(AP119:BQ119)/60</f>
        <v>0</v>
      </c>
      <c r="BS119" s="106" t="n">
        <f aca="false">SUM(AP119:BR119)/60</f>
        <v>0</v>
      </c>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row>
    <row r="120" s="74" customFormat="true" ht="14.9" hidden="true" customHeight="true" outlineLevel="0" collapsed="false">
      <c r="A120" s="74" t="n">
        <f aca="false">MONTH(B120)</f>
        <v>8</v>
      </c>
      <c r="B120" s="75" t="n">
        <v>44419</v>
      </c>
      <c r="C120" s="76" t="s">
        <v>152</v>
      </c>
      <c r="D120" s="77" t="str">
        <f aca="false">IFERROR(VLOOKUP(E:E,'Item Data Support Sheet'!A:O,7,0),"")</f>
        <v>BOTTLE MOLDED</v>
      </c>
      <c r="E120" s="80" t="s">
        <v>357</v>
      </c>
      <c r="F120" s="80" t="s">
        <v>79</v>
      </c>
      <c r="G120" s="77" t="s">
        <v>80</v>
      </c>
      <c r="H120" s="79" t="str">
        <f aca="false">IFERROR(VLOOKUP(E:E,'Item Data Support Sheet'!A:O,2,0),"")</f>
        <v>KPP 120 ML BOTTLE MOLDED</v>
      </c>
      <c r="I120" s="80" t="s">
        <v>358</v>
      </c>
      <c r="J120" s="80" t="s">
        <v>143</v>
      </c>
      <c r="K120" s="81" t="n">
        <v>1.2</v>
      </c>
      <c r="L120" s="82" t="n">
        <v>500</v>
      </c>
      <c r="M120" s="83" t="n">
        <f aca="false">IFERROR(L120/K120,0)</f>
        <v>416.666666666667</v>
      </c>
      <c r="N120" s="84" t="n">
        <f aca="false">+O120+Q120+T120+U120</f>
        <v>489</v>
      </c>
      <c r="O120" s="85" t="n">
        <f aca="false">360+93</f>
        <v>453</v>
      </c>
      <c r="P120" s="86" t="n">
        <v>0.25</v>
      </c>
      <c r="Q120" s="87" t="n">
        <v>18</v>
      </c>
      <c r="R120" s="88" t="n">
        <v>0</v>
      </c>
      <c r="S120" s="88" t="n">
        <v>0</v>
      </c>
      <c r="T120" s="88" t="n">
        <v>10</v>
      </c>
      <c r="U120" s="88" t="n">
        <v>8</v>
      </c>
      <c r="V120" s="89" t="n">
        <v>1</v>
      </c>
      <c r="W120" s="90" t="n">
        <f aca="false">IFERROR(O120/V120,0)</f>
        <v>453</v>
      </c>
      <c r="X120" s="91" t="n">
        <f aca="false">O120/L120</f>
        <v>0.906</v>
      </c>
      <c r="Y120" s="92" t="str">
        <f aca="false">IFERROR(VLOOKUP(E:E,'Item Data Support Sheet'!A:J,6,0),0)</f>
        <v>HMC</v>
      </c>
      <c r="Z120" s="93" t="n">
        <f aca="false">IFERROR(VLOOKUP(E:E,'Item Data Support Sheet'!A:O,4,0),0)</f>
        <v>21.3</v>
      </c>
      <c r="AA120" s="93" t="n">
        <f aca="false">IFERROR(((N120)*(Z120/1000))+P120,0)</f>
        <v>10.6657</v>
      </c>
      <c r="AB120" s="94" t="n">
        <f aca="false">IFERROR((O120*(Z120/1000)/(AA120))," ")</f>
        <v>0.90466636038891</v>
      </c>
      <c r="AC120" s="95" t="n">
        <f aca="false">IFERROR((T120)/((T120)+O120),0)</f>
        <v>0.0215982721382289</v>
      </c>
      <c r="AD120" s="96" t="n">
        <f aca="false">IFERROR(Q120/(Q120+N120),0)</f>
        <v>0.0355029585798817</v>
      </c>
      <c r="AE120" s="91" t="n">
        <f aca="false">(N120-T120)/N120</f>
        <v>0.979550102249489</v>
      </c>
      <c r="AF120" s="97" t="n">
        <f aca="false">BR120</f>
        <v>0</v>
      </c>
      <c r="AG120" s="98" t="n">
        <f aca="false">K120-AF120</f>
        <v>1.2</v>
      </c>
      <c r="AH120" s="99" t="n">
        <f aca="false">IFERROR(AG120/K120," ")</f>
        <v>1</v>
      </c>
      <c r="AI120" s="100" t="n">
        <f aca="false">IFERROR(O120/K120,0)</f>
        <v>377.5</v>
      </c>
      <c r="AJ120" s="101" t="n">
        <f aca="false">VLOOKUP(D120,'Standard Cycle time'!C:D,2,0)</f>
        <v>9</v>
      </c>
      <c r="AK120" s="101" t="n">
        <f aca="false">AG120*V120*3600/O120</f>
        <v>9.5364238410596</v>
      </c>
      <c r="AL120" s="102" t="n">
        <f aca="false">AJ120/AK120</f>
        <v>0.94375</v>
      </c>
      <c r="AM120" s="99" t="n">
        <f aca="false">AE120*AL120*AH120</f>
        <v>0.924450408997955</v>
      </c>
      <c r="AN120" s="103" t="n">
        <v>2373</v>
      </c>
      <c r="AO120" s="104" t="s">
        <v>359</v>
      </c>
      <c r="AP120" s="105" t="n">
        <v>0</v>
      </c>
      <c r="AQ120" s="105" t="n">
        <v>0</v>
      </c>
      <c r="AR120" s="105" t="n">
        <v>0</v>
      </c>
      <c r="AS120" s="105" t="n">
        <v>0</v>
      </c>
      <c r="AT120" s="105" t="n">
        <v>0</v>
      </c>
      <c r="AU120" s="105" t="n">
        <v>0</v>
      </c>
      <c r="AV120" s="105" t="n">
        <v>0</v>
      </c>
      <c r="AW120" s="105" t="n">
        <v>0</v>
      </c>
      <c r="AX120" s="105" t="n">
        <v>0</v>
      </c>
      <c r="AY120" s="105" t="n">
        <v>0</v>
      </c>
      <c r="AZ120" s="105" t="n">
        <v>0</v>
      </c>
      <c r="BA120" s="105" t="n">
        <v>0</v>
      </c>
      <c r="BB120" s="105" t="n">
        <v>0</v>
      </c>
      <c r="BC120" s="105" t="n">
        <v>0</v>
      </c>
      <c r="BD120" s="105" t="n">
        <v>0</v>
      </c>
      <c r="BE120" s="105" t="n">
        <v>0</v>
      </c>
      <c r="BF120" s="105" t="n">
        <v>0</v>
      </c>
      <c r="BG120" s="105" t="n">
        <v>0</v>
      </c>
      <c r="BH120" s="105" t="n">
        <v>0</v>
      </c>
      <c r="BI120" s="105" t="n">
        <v>0</v>
      </c>
      <c r="BJ120" s="105" t="n">
        <v>0</v>
      </c>
      <c r="BK120" s="105" t="n">
        <v>0</v>
      </c>
      <c r="BL120" s="105" t="n">
        <v>0</v>
      </c>
      <c r="BM120" s="105" t="n">
        <v>0</v>
      </c>
      <c r="BN120" s="105" t="n">
        <v>0</v>
      </c>
      <c r="BO120" s="105" t="n">
        <v>0</v>
      </c>
      <c r="BP120" s="105" t="n">
        <v>0</v>
      </c>
      <c r="BQ120" s="105" t="n">
        <v>0</v>
      </c>
      <c r="BR120" s="106" t="n">
        <f aca="false">SUM(AP120:BQ120)/60</f>
        <v>0</v>
      </c>
      <c r="BS120" s="106" t="n">
        <f aca="false">SUM(AP120:BR120)/60</f>
        <v>0</v>
      </c>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row>
    <row r="121" s="74" customFormat="true" ht="14.9" hidden="true" customHeight="true" outlineLevel="0" collapsed="false">
      <c r="A121" s="74" t="n">
        <f aca="false">MONTH(B121)</f>
        <v>8</v>
      </c>
      <c r="B121" s="75" t="n">
        <v>44419</v>
      </c>
      <c r="C121" s="76" t="s">
        <v>152</v>
      </c>
      <c r="D121" s="77" t="str">
        <f aca="false">IFERROR(VLOOKUP(E:E,'Item Data Support Sheet'!A:O,7,0),"")</f>
        <v>NIPPLE MOLDED</v>
      </c>
      <c r="E121" s="80" t="s">
        <v>244</v>
      </c>
      <c r="F121" s="80" t="s">
        <v>137</v>
      </c>
      <c r="G121" s="77" t="s">
        <v>138</v>
      </c>
      <c r="H121" s="79" t="str">
        <f aca="false">IFERROR(VLOOKUP(E:E,'Item Data Support Sheet'!A:O,2,0),"")</f>
        <v>NIPPLE S TYPE S SIZE INJECTION</v>
      </c>
      <c r="I121" s="80" t="s">
        <v>360</v>
      </c>
      <c r="J121" s="80" t="s">
        <v>143</v>
      </c>
      <c r="K121" s="81" t="n">
        <v>8</v>
      </c>
      <c r="L121" s="82" t="n">
        <v>4815</v>
      </c>
      <c r="M121" s="83" t="n">
        <f aca="false">IFERROR(L121/K121,0)</f>
        <v>601.875</v>
      </c>
      <c r="N121" s="84" t="n">
        <f aca="false">+O121+Q121+T121+U121</f>
        <v>5373</v>
      </c>
      <c r="O121" s="85" t="n">
        <v>5300</v>
      </c>
      <c r="P121" s="86" t="n">
        <v>0</v>
      </c>
      <c r="Q121" s="87" t="n">
        <v>0</v>
      </c>
      <c r="R121" s="88" t="n">
        <v>0</v>
      </c>
      <c r="S121" s="88" t="n">
        <v>0</v>
      </c>
      <c r="T121" s="88" t="n">
        <v>65</v>
      </c>
      <c r="U121" s="88" t="n">
        <v>8</v>
      </c>
      <c r="V121" s="89" t="n">
        <v>1</v>
      </c>
      <c r="W121" s="90" t="n">
        <f aca="false">IFERROR(O121/V121,0)</f>
        <v>5300</v>
      </c>
      <c r="X121" s="91" t="n">
        <f aca="false">O121/L121</f>
        <v>1.10072689511942</v>
      </c>
      <c r="Y121" s="92" t="str">
        <f aca="false">IFERROR(VLOOKUP(E:E,'Item Data Support Sheet'!A:J,6,0),0)</f>
        <v>Silicon</v>
      </c>
      <c r="Z121" s="93" t="n">
        <f aca="false">IFERROR(VLOOKUP(E:E,'Item Data Support Sheet'!A:O,4,0),0)</f>
        <v>6.8</v>
      </c>
      <c r="AA121" s="93" t="n">
        <f aca="false">IFERROR(((N121)*(Z121/1000))+P121,0)</f>
        <v>36.5364</v>
      </c>
      <c r="AB121" s="94" t="n">
        <f aca="false">IFERROR((O121*(Z121/1000)/(AA121))," ")</f>
        <v>0.98641354922762</v>
      </c>
      <c r="AC121" s="95" t="n">
        <f aca="false">IFERROR((T121)/((T121)+O121),0)</f>
        <v>0.0121155638397018</v>
      </c>
      <c r="AD121" s="96" t="n">
        <f aca="false">IFERROR(Q121/(Q121+N121),0)</f>
        <v>0</v>
      </c>
      <c r="AE121" s="91" t="n">
        <f aca="false">(N121-T121)/N121</f>
        <v>0.987902475339661</v>
      </c>
      <c r="AF121" s="97" t="n">
        <f aca="false">BR121</f>
        <v>0</v>
      </c>
      <c r="AG121" s="98" t="n">
        <f aca="false">K121-AF121</f>
        <v>8</v>
      </c>
      <c r="AH121" s="99" t="n">
        <f aca="false">IFERROR(AG121/K121," ")</f>
        <v>1</v>
      </c>
      <c r="AI121" s="100" t="n">
        <f aca="false">IFERROR(O121/K121,0)</f>
        <v>662.5</v>
      </c>
      <c r="AJ121" s="101" t="n">
        <f aca="false">VLOOKUP(D121,'Standard Cycle time'!C:D,2,0)</f>
        <v>5.25</v>
      </c>
      <c r="AK121" s="101" t="n">
        <f aca="false">AG121*V121*3600/O121</f>
        <v>5.43396226415094</v>
      </c>
      <c r="AL121" s="102" t="n">
        <f aca="false">AJ121/AK121</f>
        <v>0.966145833333333</v>
      </c>
      <c r="AM121" s="99" t="n">
        <f aca="false">AE121*AL121*AH121</f>
        <v>0.9544578602891</v>
      </c>
      <c r="AN121" s="103" t="n">
        <v>2374</v>
      </c>
      <c r="AO121" s="104"/>
      <c r="AP121" s="105" t="n">
        <v>0</v>
      </c>
      <c r="AQ121" s="105" t="n">
        <v>0</v>
      </c>
      <c r="AR121" s="105" t="n">
        <v>0</v>
      </c>
      <c r="AS121" s="105" t="n">
        <v>0</v>
      </c>
      <c r="AT121" s="105" t="n">
        <v>0</v>
      </c>
      <c r="AU121" s="105" t="n">
        <v>0</v>
      </c>
      <c r="AV121" s="105" t="n">
        <v>0</v>
      </c>
      <c r="AW121" s="105" t="n">
        <v>0</v>
      </c>
      <c r="AX121" s="105" t="n">
        <v>0</v>
      </c>
      <c r="AY121" s="105" t="n">
        <v>0</v>
      </c>
      <c r="AZ121" s="105" t="n">
        <v>0</v>
      </c>
      <c r="BA121" s="105" t="n">
        <v>0</v>
      </c>
      <c r="BB121" s="105" t="n">
        <v>0</v>
      </c>
      <c r="BC121" s="105" t="n">
        <v>0</v>
      </c>
      <c r="BD121" s="105" t="n">
        <v>0</v>
      </c>
      <c r="BE121" s="105" t="n">
        <v>0</v>
      </c>
      <c r="BF121" s="105" t="n">
        <v>0</v>
      </c>
      <c r="BG121" s="105" t="n">
        <v>0</v>
      </c>
      <c r="BH121" s="105" t="n">
        <v>0</v>
      </c>
      <c r="BI121" s="105" t="n">
        <v>0</v>
      </c>
      <c r="BJ121" s="105" t="n">
        <v>0</v>
      </c>
      <c r="BK121" s="105" t="n">
        <v>0</v>
      </c>
      <c r="BL121" s="105" t="n">
        <v>0</v>
      </c>
      <c r="BM121" s="105" t="n">
        <v>0</v>
      </c>
      <c r="BN121" s="105" t="n">
        <v>0</v>
      </c>
      <c r="BO121" s="105" t="n">
        <v>0</v>
      </c>
      <c r="BP121" s="105" t="n">
        <v>0</v>
      </c>
      <c r="BQ121" s="105" t="n">
        <v>0</v>
      </c>
      <c r="BR121" s="106" t="n">
        <f aca="false">SUM(AP121:BQ121)/60</f>
        <v>0</v>
      </c>
      <c r="BS121" s="106" t="n">
        <f aca="false">SUM(AP121:BR121)/60</f>
        <v>0</v>
      </c>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row>
    <row r="122" s="74" customFormat="true" ht="14.9" hidden="true" customHeight="true" outlineLevel="0" collapsed="false">
      <c r="A122" s="74" t="n">
        <f aca="false">MONTH(B122)</f>
        <v>8</v>
      </c>
      <c r="B122" s="75" t="n">
        <v>44419</v>
      </c>
      <c r="C122" s="76" t="s">
        <v>152</v>
      </c>
      <c r="D122" s="77" t="str">
        <f aca="false">IFERROR(VLOOKUP(E:E,'Item Data Support Sheet'!A:O,7,0),"")</f>
        <v>NIPPLE POSTCURE</v>
      </c>
      <c r="E122" s="108" t="s">
        <v>57</v>
      </c>
      <c r="F122" s="80"/>
      <c r="G122" s="77" t="s">
        <v>149</v>
      </c>
      <c r="H122" s="79" t="str">
        <f aca="false">IFERROR(VLOOKUP(E:E,'Item Data Support Sheet'!A:O,2,0),"")</f>
        <v>NIPPLE S TYPE S SIZE POSTCURED</v>
      </c>
      <c r="I122" s="80" t="s">
        <v>361</v>
      </c>
      <c r="J122" s="80" t="s">
        <v>143</v>
      </c>
      <c r="K122" s="81" t="n">
        <v>4</v>
      </c>
      <c r="L122" s="82" t="n">
        <v>7000</v>
      </c>
      <c r="M122" s="83" t="n">
        <f aca="false">IFERROR(L122/K122,0)</f>
        <v>1750</v>
      </c>
      <c r="N122" s="84" t="n">
        <f aca="false">+O122+Q122+T122+U122</f>
        <v>5500</v>
      </c>
      <c r="O122" s="85" t="n">
        <v>5500</v>
      </c>
      <c r="P122" s="86" t="n">
        <v>0</v>
      </c>
      <c r="Q122" s="87" t="n">
        <v>0</v>
      </c>
      <c r="R122" s="88" t="n">
        <v>0</v>
      </c>
      <c r="S122" s="88" t="n">
        <v>0</v>
      </c>
      <c r="T122" s="88" t="n">
        <v>0</v>
      </c>
      <c r="U122" s="88" t="n">
        <v>0</v>
      </c>
      <c r="V122" s="89" t="n">
        <v>1</v>
      </c>
      <c r="W122" s="90" t="n">
        <f aca="false">IFERROR(O122/V122,0)</f>
        <v>5500</v>
      </c>
      <c r="X122" s="91" t="n">
        <f aca="false">O122/L122</f>
        <v>0.785714285714286</v>
      </c>
      <c r="Y122" s="92" t="str">
        <f aca="false">IFERROR(VLOOKUP(E:E,'Item Data Support Sheet'!A:J,6,0),0)</f>
        <v>FO011</v>
      </c>
      <c r="Z122" s="93" t="n">
        <f aca="false">IFERROR(VLOOKUP(E:E,'Item Data Support Sheet'!A:O,4,0),0)</f>
        <v>0</v>
      </c>
      <c r="AA122" s="93" t="n">
        <f aca="false">IFERROR(((N122)*(Z122/1000))+P122,0)</f>
        <v>0</v>
      </c>
      <c r="AB122" s="94" t="str">
        <f aca="false">IFERROR((O122*(Z122/1000)/(AA122))," ")</f>
        <v> </v>
      </c>
      <c r="AC122" s="95" t="n">
        <f aca="false">IFERROR((T122)/((T122)+O122),0)</f>
        <v>0</v>
      </c>
      <c r="AD122" s="96" t="n">
        <f aca="false">IFERROR(Q122/(Q122+N122),0)</f>
        <v>0</v>
      </c>
      <c r="AE122" s="91" t="n">
        <f aca="false">(N122-T122)/N122</f>
        <v>1</v>
      </c>
      <c r="AF122" s="97" t="n">
        <f aca="false">BR122</f>
        <v>0</v>
      </c>
      <c r="AG122" s="98" t="n">
        <f aca="false">K122-AF122</f>
        <v>4</v>
      </c>
      <c r="AH122" s="99" t="n">
        <f aca="false">IFERROR(AG122/K122," ")</f>
        <v>1</v>
      </c>
      <c r="AI122" s="100" t="n">
        <f aca="false">IFERROR(O122/K122,0)</f>
        <v>1375</v>
      </c>
      <c r="AJ122" s="101" t="n">
        <f aca="false">VLOOKUP(D122,'Standard Cycle time'!C:D,2,0)</f>
        <v>2.3</v>
      </c>
      <c r="AK122" s="101" t="n">
        <f aca="false">AG122*V122*3600/O122</f>
        <v>2.61818181818182</v>
      </c>
      <c r="AL122" s="102" t="n">
        <f aca="false">AJ122/AK122</f>
        <v>0.878472222222222</v>
      </c>
      <c r="AM122" s="99" t="n">
        <f aca="false">AE122*AL122*AH122</f>
        <v>0.878472222222222</v>
      </c>
      <c r="AN122" s="103" t="s">
        <v>362</v>
      </c>
      <c r="AO122" s="104" t="s">
        <v>339</v>
      </c>
      <c r="AP122" s="105"/>
      <c r="AQ122" s="105" t="n">
        <v>0</v>
      </c>
      <c r="AR122" s="105" t="n">
        <v>0</v>
      </c>
      <c r="AS122" s="105" t="n">
        <v>0</v>
      </c>
      <c r="AT122" s="105" t="n">
        <v>0</v>
      </c>
      <c r="AU122" s="105" t="n">
        <v>0</v>
      </c>
      <c r="AV122" s="105" t="n">
        <v>0</v>
      </c>
      <c r="AW122" s="105" t="n">
        <v>0</v>
      </c>
      <c r="AX122" s="105" t="n">
        <v>0</v>
      </c>
      <c r="AY122" s="105" t="n">
        <v>0</v>
      </c>
      <c r="AZ122" s="105" t="n">
        <v>0</v>
      </c>
      <c r="BA122" s="105" t="n">
        <v>0</v>
      </c>
      <c r="BB122" s="105" t="n">
        <v>0</v>
      </c>
      <c r="BC122" s="105" t="n">
        <v>0</v>
      </c>
      <c r="BD122" s="105" t="n">
        <v>0</v>
      </c>
      <c r="BE122" s="105" t="n">
        <v>0</v>
      </c>
      <c r="BF122" s="105" t="n">
        <v>0</v>
      </c>
      <c r="BG122" s="105" t="n">
        <v>0</v>
      </c>
      <c r="BH122" s="105" t="n">
        <v>0</v>
      </c>
      <c r="BI122" s="105" t="n">
        <v>0</v>
      </c>
      <c r="BJ122" s="105" t="n">
        <v>0</v>
      </c>
      <c r="BK122" s="105" t="n">
        <v>0</v>
      </c>
      <c r="BL122" s="105" t="n">
        <v>0</v>
      </c>
      <c r="BM122" s="105" t="n">
        <v>0</v>
      </c>
      <c r="BN122" s="105" t="n">
        <v>0</v>
      </c>
      <c r="BO122" s="105" t="n">
        <v>0</v>
      </c>
      <c r="BP122" s="105" t="n">
        <v>0</v>
      </c>
      <c r="BQ122" s="105" t="n">
        <v>0</v>
      </c>
      <c r="BR122" s="106" t="n">
        <f aca="false">SUM(AP122:BQ122)/60</f>
        <v>0</v>
      </c>
      <c r="BS122" s="106" t="n">
        <f aca="false">SUM(AP122:BR122)/60</f>
        <v>0</v>
      </c>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row>
    <row r="123" s="74" customFormat="true" ht="14.9" hidden="true" customHeight="true" outlineLevel="0" collapsed="false">
      <c r="A123" s="74" t="n">
        <f aca="false">MONTH(B123)</f>
        <v>8</v>
      </c>
      <c r="B123" s="75" t="n">
        <v>44419</v>
      </c>
      <c r="C123" s="76" t="s">
        <v>152</v>
      </c>
      <c r="D123" s="77" t="str">
        <f aca="false">IFERROR(VLOOKUP(E:E,'Item Data Support Sheet'!A:O,7,0),"")</f>
        <v>CAP MOLDED</v>
      </c>
      <c r="E123" s="80" t="s">
        <v>343</v>
      </c>
      <c r="F123" s="80"/>
      <c r="G123" s="77" t="s">
        <v>200</v>
      </c>
      <c r="H123" s="79" t="str">
        <f aca="false">IFERROR(VLOOKUP(E:E,'Item Data Support Sheet'!A:O,2,0),"")</f>
        <v>CAP S TYPE MOLDED BLUE</v>
      </c>
      <c r="I123" s="80" t="s">
        <v>363</v>
      </c>
      <c r="J123" s="80" t="s">
        <v>143</v>
      </c>
      <c r="K123" s="81" t="n">
        <v>8</v>
      </c>
      <c r="L123" s="82" t="n">
        <v>7091</v>
      </c>
      <c r="M123" s="83" t="n">
        <f aca="false">IFERROR(L123/K123,0)</f>
        <v>886.375</v>
      </c>
      <c r="N123" s="84" t="n">
        <f aca="false">+O123+Q123+T123+U123</f>
        <v>4223</v>
      </c>
      <c r="O123" s="85" t="n">
        <v>4200</v>
      </c>
      <c r="P123" s="86" t="n">
        <v>0.15</v>
      </c>
      <c r="Q123" s="87" t="n">
        <v>0</v>
      </c>
      <c r="R123" s="88" t="n">
        <v>0</v>
      </c>
      <c r="S123" s="88" t="n">
        <v>0</v>
      </c>
      <c r="T123" s="88" t="n">
        <v>15</v>
      </c>
      <c r="U123" s="88" t="n">
        <v>8</v>
      </c>
      <c r="V123" s="89" t="n">
        <v>1</v>
      </c>
      <c r="W123" s="90" t="n">
        <f aca="false">IFERROR(O123/V123,0)</f>
        <v>4200</v>
      </c>
      <c r="X123" s="91" t="n">
        <f aca="false">O123/L123</f>
        <v>0.592300098716683</v>
      </c>
      <c r="Y123" s="92" t="str">
        <f aca="false">IFERROR(VLOOKUP(E:E,'Item Data Support Sheet'!A:J,6,0),0)</f>
        <v>RM000114</v>
      </c>
      <c r="Z123" s="93" t="n">
        <f aca="false">IFERROR(VLOOKUP(E:E,'Item Data Support Sheet'!A:O,4,0),0)</f>
        <v>7.3</v>
      </c>
      <c r="AA123" s="93" t="n">
        <f aca="false">IFERROR(((N123)*(Z123/1000))+P123,0)</f>
        <v>30.9779</v>
      </c>
      <c r="AB123" s="94" t="n">
        <f aca="false">IFERROR((O123*(Z123/1000)/(AA123))," ")</f>
        <v>0.989737845367181</v>
      </c>
      <c r="AC123" s="95" t="n">
        <f aca="false">IFERROR((T123)/((T123)+O123),0)</f>
        <v>0.00355871886120996</v>
      </c>
      <c r="AD123" s="96" t="n">
        <f aca="false">IFERROR(Q123/(Q123+N123),0)</f>
        <v>0</v>
      </c>
      <c r="AE123" s="91" t="n">
        <f aca="false">(N123-T123)/N123</f>
        <v>0.996448022732655</v>
      </c>
      <c r="AF123" s="97" t="n">
        <f aca="false">BR123</f>
        <v>0</v>
      </c>
      <c r="AG123" s="98" t="n">
        <f aca="false">K123-AF123</f>
        <v>8</v>
      </c>
      <c r="AH123" s="99" t="n">
        <f aca="false">IFERROR(AG123/K123," ")</f>
        <v>1</v>
      </c>
      <c r="AI123" s="100" t="n">
        <f aca="false">IFERROR(O123/K123,0)</f>
        <v>525</v>
      </c>
      <c r="AJ123" s="101" t="n">
        <f aca="false">VLOOKUP(D123,'Standard Cycle time'!C:D,2,0)</f>
        <v>6</v>
      </c>
      <c r="AK123" s="101" t="n">
        <f aca="false">AG123*V123*3600/O123</f>
        <v>6.85714285714286</v>
      </c>
      <c r="AL123" s="102" t="n">
        <f aca="false">AJ123/AK123</f>
        <v>0.875</v>
      </c>
      <c r="AM123" s="99" t="n">
        <f aca="false">AE123*AL123*AH123</f>
        <v>0.871892019891073</v>
      </c>
      <c r="AN123" s="103" t="n">
        <v>2691</v>
      </c>
      <c r="AO123" s="104"/>
      <c r="AP123" s="105" t="n">
        <v>0</v>
      </c>
      <c r="AQ123" s="105" t="n">
        <v>0</v>
      </c>
      <c r="AR123" s="105" t="n">
        <v>0</v>
      </c>
      <c r="AS123" s="105" t="n">
        <v>0</v>
      </c>
      <c r="AT123" s="105" t="n">
        <v>0</v>
      </c>
      <c r="AU123" s="105" t="n">
        <v>0</v>
      </c>
      <c r="AV123" s="105" t="n">
        <v>0</v>
      </c>
      <c r="AW123" s="105" t="n">
        <v>0</v>
      </c>
      <c r="AX123" s="105" t="n">
        <v>0</v>
      </c>
      <c r="AY123" s="105" t="n">
        <v>0</v>
      </c>
      <c r="AZ123" s="105" t="n">
        <v>0</v>
      </c>
      <c r="BA123" s="105" t="n">
        <v>0</v>
      </c>
      <c r="BB123" s="105" t="n">
        <v>0</v>
      </c>
      <c r="BC123" s="105" t="n">
        <v>0</v>
      </c>
      <c r="BD123" s="105" t="n">
        <v>0</v>
      </c>
      <c r="BE123" s="105" t="n">
        <v>0</v>
      </c>
      <c r="BF123" s="105" t="n">
        <v>0</v>
      </c>
      <c r="BG123" s="105" t="n">
        <v>0</v>
      </c>
      <c r="BH123" s="105" t="n">
        <v>0</v>
      </c>
      <c r="BI123" s="105" t="n">
        <v>0</v>
      </c>
      <c r="BJ123" s="105" t="n">
        <v>0</v>
      </c>
      <c r="BK123" s="105" t="n">
        <v>0</v>
      </c>
      <c r="BL123" s="105" t="n">
        <v>0</v>
      </c>
      <c r="BM123" s="105" t="n">
        <v>0</v>
      </c>
      <c r="BN123" s="105" t="n">
        <v>0</v>
      </c>
      <c r="BO123" s="105" t="n">
        <v>0</v>
      </c>
      <c r="BP123" s="105" t="n">
        <v>0</v>
      </c>
      <c r="BQ123" s="105" t="n">
        <v>0</v>
      </c>
      <c r="BR123" s="106" t="n">
        <f aca="false">SUM(AP123:BQ123)/60</f>
        <v>0</v>
      </c>
      <c r="BS123" s="106" t="n">
        <f aca="false">SUM(AP123:BR123)/60</f>
        <v>0</v>
      </c>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row>
    <row r="124" s="74" customFormat="true" ht="14.9" hidden="true" customHeight="true" outlineLevel="0" collapsed="false">
      <c r="A124" s="74" t="n">
        <f aca="false">MONTH(B124)</f>
        <v>8</v>
      </c>
      <c r="B124" s="75" t="n">
        <v>44420</v>
      </c>
      <c r="C124" s="76" t="s">
        <v>51</v>
      </c>
      <c r="D124" s="77" t="str">
        <f aca="false">IFERROR(VLOOKUP(E:E,'Item Data Support Sheet'!A:O,7,0),"")</f>
        <v>NIPPLE MOLDED</v>
      </c>
      <c r="E124" s="108" t="s">
        <v>244</v>
      </c>
      <c r="F124" s="80" t="s">
        <v>137</v>
      </c>
      <c r="G124" s="77" t="s">
        <v>138</v>
      </c>
      <c r="H124" s="79" t="str">
        <f aca="false">IFERROR(VLOOKUP(E:E,'Item Data Support Sheet'!A:O,2,0),"")</f>
        <v>NIPPLE S TYPE S SIZE INJECTION</v>
      </c>
      <c r="I124" s="80" t="s">
        <v>364</v>
      </c>
      <c r="J124" s="80" t="s">
        <v>148</v>
      </c>
      <c r="K124" s="81" t="n">
        <v>8</v>
      </c>
      <c r="L124" s="82" t="n">
        <v>4815</v>
      </c>
      <c r="M124" s="83" t="n">
        <f aca="false">IFERROR(L124/K124,0)</f>
        <v>601.875</v>
      </c>
      <c r="N124" s="84" t="n">
        <f aca="false">+O124+Q124+T124+U124</f>
        <v>5096</v>
      </c>
      <c r="O124" s="85" t="n">
        <v>5000</v>
      </c>
      <c r="P124" s="86" t="n">
        <v>0</v>
      </c>
      <c r="Q124" s="87" t="n">
        <v>30</v>
      </c>
      <c r="R124" s="88" t="n">
        <v>0</v>
      </c>
      <c r="S124" s="88" t="n">
        <v>0</v>
      </c>
      <c r="T124" s="88" t="n">
        <v>58</v>
      </c>
      <c r="U124" s="88" t="n">
        <v>8</v>
      </c>
      <c r="V124" s="89" t="n">
        <v>1</v>
      </c>
      <c r="W124" s="90" t="n">
        <f aca="false">IFERROR(O124/V124,0)</f>
        <v>5000</v>
      </c>
      <c r="X124" s="91" t="n">
        <f aca="false">O124/L124</f>
        <v>1.03842159916926</v>
      </c>
      <c r="Y124" s="92" t="str">
        <f aca="false">IFERROR(VLOOKUP(E:E,'Item Data Support Sheet'!A:J,6,0),0)</f>
        <v>Silicon</v>
      </c>
      <c r="Z124" s="93" t="n">
        <f aca="false">IFERROR(VLOOKUP(E:E,'Item Data Support Sheet'!A:O,4,0),0)</f>
        <v>6.8</v>
      </c>
      <c r="AA124" s="93" t="n">
        <f aca="false">IFERROR(((N124)*(Z124/1000))+P124,0)</f>
        <v>34.6528</v>
      </c>
      <c r="AB124" s="94" t="n">
        <f aca="false">IFERROR((O124*(Z124/1000)/(AA124))," ")</f>
        <v>0.98116169544741</v>
      </c>
      <c r="AC124" s="95" t="n">
        <f aca="false">IFERROR((T124)/((T124)+O124),0)</f>
        <v>0.0114669829972321</v>
      </c>
      <c r="AD124" s="96" t="n">
        <f aca="false">IFERROR(Q124/(Q124+N124),0)</f>
        <v>0.00585251658213032</v>
      </c>
      <c r="AE124" s="91" t="n">
        <f aca="false">(N124-T124)/N124</f>
        <v>0.98861852433281</v>
      </c>
      <c r="AF124" s="97" t="n">
        <f aca="false">BR124</f>
        <v>0.75</v>
      </c>
      <c r="AG124" s="98" t="n">
        <f aca="false">K124-AF124</f>
        <v>7.25</v>
      </c>
      <c r="AH124" s="99" t="n">
        <f aca="false">IFERROR(AG124/K124," ")</f>
        <v>0.90625</v>
      </c>
      <c r="AI124" s="100" t="n">
        <f aca="false">IFERROR(O124/K124,0)</f>
        <v>625</v>
      </c>
      <c r="AJ124" s="101" t="n">
        <f aca="false">VLOOKUP(D124,'Standard Cycle time'!C:D,2,0)</f>
        <v>5.25</v>
      </c>
      <c r="AK124" s="101" t="n">
        <f aca="false">AG124*V124*3600/O124</f>
        <v>5.22</v>
      </c>
      <c r="AL124" s="102" t="n">
        <f aca="false">AJ124/AK124</f>
        <v>1.00574712643678</v>
      </c>
      <c r="AM124" s="99" t="n">
        <f aca="false">AE124*AL124*AH124</f>
        <v>0.901084592490843</v>
      </c>
      <c r="AN124" s="103" t="s">
        <v>365</v>
      </c>
      <c r="AO124" s="104"/>
      <c r="AP124" s="105" t="n">
        <v>0</v>
      </c>
      <c r="AQ124" s="105" t="n">
        <v>0</v>
      </c>
      <c r="AR124" s="105" t="n">
        <v>0</v>
      </c>
      <c r="AS124" s="105" t="n">
        <v>0</v>
      </c>
      <c r="AT124" s="105" t="n">
        <v>0</v>
      </c>
      <c r="AU124" s="105" t="n">
        <v>45</v>
      </c>
      <c r="AV124" s="105" t="n">
        <v>0</v>
      </c>
      <c r="AW124" s="105" t="n">
        <v>0</v>
      </c>
      <c r="AX124" s="105" t="n">
        <v>0</v>
      </c>
      <c r="AY124" s="105" t="n">
        <v>0</v>
      </c>
      <c r="AZ124" s="105" t="n">
        <v>0</v>
      </c>
      <c r="BA124" s="105" t="n">
        <v>0</v>
      </c>
      <c r="BB124" s="105" t="n">
        <v>0</v>
      </c>
      <c r="BC124" s="105" t="n">
        <v>0</v>
      </c>
      <c r="BD124" s="105" t="n">
        <v>0</v>
      </c>
      <c r="BE124" s="105" t="n">
        <v>0</v>
      </c>
      <c r="BF124" s="105" t="n">
        <v>0</v>
      </c>
      <c r="BG124" s="105" t="n">
        <v>0</v>
      </c>
      <c r="BH124" s="105" t="n">
        <v>0</v>
      </c>
      <c r="BI124" s="105" t="n">
        <v>0</v>
      </c>
      <c r="BJ124" s="105" t="n">
        <v>0</v>
      </c>
      <c r="BK124" s="105" t="n">
        <v>0</v>
      </c>
      <c r="BL124" s="105" t="n">
        <v>0</v>
      </c>
      <c r="BM124" s="105" t="n">
        <v>0</v>
      </c>
      <c r="BN124" s="105" t="n">
        <v>0</v>
      </c>
      <c r="BO124" s="105" t="n">
        <v>0</v>
      </c>
      <c r="BP124" s="105" t="n">
        <v>0</v>
      </c>
      <c r="BQ124" s="105" t="n">
        <v>0</v>
      </c>
      <c r="BR124" s="106" t="n">
        <f aca="false">SUM(AP124:BQ124)/60</f>
        <v>0.75</v>
      </c>
      <c r="BS124" s="106" t="n">
        <f aca="false">SUM(AP124:BR124)/60</f>
        <v>0.7625</v>
      </c>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row>
    <row r="125" s="74" customFormat="true" ht="14.9" hidden="true" customHeight="true" outlineLevel="0" collapsed="false">
      <c r="A125" s="74" t="n">
        <f aca="false">MONTH(B125)</f>
        <v>8</v>
      </c>
      <c r="B125" s="75" t="n">
        <v>44420</v>
      </c>
      <c r="C125" s="76" t="s">
        <v>51</v>
      </c>
      <c r="D125" s="77" t="str">
        <f aca="false">IFERROR(VLOOKUP(E:E,'Item Data Support Sheet'!A:O,7,0),"")</f>
        <v>NIPPLE PUNCH</v>
      </c>
      <c r="E125" s="108" t="s">
        <v>53</v>
      </c>
      <c r="F125" s="80"/>
      <c r="G125" s="77" t="s">
        <v>54</v>
      </c>
      <c r="H125" s="79" t="str">
        <f aca="false">IFERROR(VLOOKUP(E:E,'Item Data Support Sheet'!A:O,2,0),"")</f>
        <v>NIPPLE S TYPE S SIZE PUNCHED</v>
      </c>
      <c r="I125" s="80" t="s">
        <v>366</v>
      </c>
      <c r="J125" s="80" t="s">
        <v>148</v>
      </c>
      <c r="K125" s="81" t="n">
        <v>8</v>
      </c>
      <c r="L125" s="82" t="n">
        <v>7091</v>
      </c>
      <c r="M125" s="83" t="n">
        <f aca="false">IFERROR(L125/K125,0)</f>
        <v>886.375</v>
      </c>
      <c r="N125" s="84" t="n">
        <f aca="false">+O125+Q125+T125+U125</f>
        <v>7000</v>
      </c>
      <c r="O125" s="85" t="n">
        <v>7000</v>
      </c>
      <c r="P125" s="86" t="n">
        <v>0</v>
      </c>
      <c r="Q125" s="87" t="n">
        <v>0</v>
      </c>
      <c r="R125" s="88" t="n">
        <v>0</v>
      </c>
      <c r="S125" s="88" t="n">
        <v>0</v>
      </c>
      <c r="T125" s="88" t="n">
        <v>0</v>
      </c>
      <c r="U125" s="88" t="n">
        <v>0</v>
      </c>
      <c r="V125" s="89" t="n">
        <v>1</v>
      </c>
      <c r="W125" s="90" t="n">
        <f aca="false">IFERROR(O125/V125,0)</f>
        <v>7000</v>
      </c>
      <c r="X125" s="91" t="n">
        <f aca="false">O125/L125</f>
        <v>0.987166831194472</v>
      </c>
      <c r="Y125" s="92" t="str">
        <f aca="false">IFERROR(VLOOKUP(E:E,'Item Data Support Sheet'!A:J,6,0),0)</f>
        <v>FO015</v>
      </c>
      <c r="Z125" s="93" t="n">
        <f aca="false">IFERROR(VLOOKUP(E:E,'Item Data Support Sheet'!A:O,4,0),0)</f>
        <v>0</v>
      </c>
      <c r="AA125" s="93" t="n">
        <f aca="false">IFERROR(((N125)*(Z125/1000))+P125,0)</f>
        <v>0</v>
      </c>
      <c r="AB125" s="94" t="str">
        <f aca="false">IFERROR((O125*(Z125/1000)/(AA125))," ")</f>
        <v> </v>
      </c>
      <c r="AC125" s="95" t="n">
        <f aca="false">IFERROR((T125)/((T125)+O125),0)</f>
        <v>0</v>
      </c>
      <c r="AD125" s="96" t="n">
        <f aca="false">IFERROR(Q125/(Q125+N125),0)</f>
        <v>0</v>
      </c>
      <c r="AE125" s="91" t="n">
        <f aca="false">(N125-T125)/N125</f>
        <v>1</v>
      </c>
      <c r="AF125" s="97" t="n">
        <f aca="false">BR125</f>
        <v>0.666666666666667</v>
      </c>
      <c r="AG125" s="98" t="n">
        <f aca="false">K125-AF125</f>
        <v>7.33333333333333</v>
      </c>
      <c r="AH125" s="99" t="n">
        <f aca="false">IFERROR(AG125/K125," ")</f>
        <v>0.916666666666667</v>
      </c>
      <c r="AI125" s="100" t="n">
        <f aca="false">IFERROR(O125/K125,0)</f>
        <v>875</v>
      </c>
      <c r="AJ125" s="101" t="n">
        <f aca="false">VLOOKUP(D125,'Standard Cycle time'!C:D,2,0)</f>
        <v>3.5</v>
      </c>
      <c r="AK125" s="101" t="n">
        <f aca="false">AG125*V125*3600/O125</f>
        <v>3.77142857142857</v>
      </c>
      <c r="AL125" s="102" t="n">
        <f aca="false">AJ125/AK125</f>
        <v>0.928030303030303</v>
      </c>
      <c r="AM125" s="99" t="n">
        <f aca="false">AE125*AL125*AH125</f>
        <v>0.850694444444444</v>
      </c>
      <c r="AN125" s="103" t="s">
        <v>367</v>
      </c>
      <c r="AO125" s="109"/>
      <c r="AP125" s="105" t="n">
        <v>40</v>
      </c>
      <c r="AQ125" s="105" t="n">
        <v>0</v>
      </c>
      <c r="AR125" s="105" t="n">
        <v>0</v>
      </c>
      <c r="AS125" s="105" t="n">
        <v>0</v>
      </c>
      <c r="AT125" s="105" t="n">
        <v>0</v>
      </c>
      <c r="AU125" s="105" t="n">
        <v>0</v>
      </c>
      <c r="AV125" s="105" t="n">
        <v>0</v>
      </c>
      <c r="AW125" s="105" t="n">
        <v>0</v>
      </c>
      <c r="AX125" s="105" t="n">
        <v>0</v>
      </c>
      <c r="AY125" s="105" t="n">
        <v>0</v>
      </c>
      <c r="AZ125" s="105" t="n">
        <v>0</v>
      </c>
      <c r="BA125" s="105" t="n">
        <v>0</v>
      </c>
      <c r="BB125" s="105" t="n">
        <v>0</v>
      </c>
      <c r="BC125" s="105" t="n">
        <v>0</v>
      </c>
      <c r="BD125" s="105" t="n">
        <v>0</v>
      </c>
      <c r="BE125" s="105" t="n">
        <v>0</v>
      </c>
      <c r="BF125" s="105" t="n">
        <v>0</v>
      </c>
      <c r="BG125" s="105" t="n">
        <v>0</v>
      </c>
      <c r="BH125" s="105" t="n">
        <v>0</v>
      </c>
      <c r="BI125" s="105" t="n">
        <v>0</v>
      </c>
      <c r="BJ125" s="105" t="n">
        <v>0</v>
      </c>
      <c r="BK125" s="105" t="n">
        <v>0</v>
      </c>
      <c r="BL125" s="105" t="n">
        <v>0</v>
      </c>
      <c r="BM125" s="105" t="n">
        <v>0</v>
      </c>
      <c r="BN125" s="105" t="n">
        <v>0</v>
      </c>
      <c r="BO125" s="105" t="n">
        <v>0</v>
      </c>
      <c r="BP125" s="105" t="n">
        <v>0</v>
      </c>
      <c r="BQ125" s="105" t="n">
        <v>0</v>
      </c>
      <c r="BR125" s="106" t="n">
        <f aca="false">SUM(AP125:BQ125)/60</f>
        <v>0.666666666666667</v>
      </c>
      <c r="BS125" s="106" t="n">
        <f aca="false">SUM(AP125:BR125)/60</f>
        <v>0.677777777777778</v>
      </c>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row>
    <row r="126" s="74" customFormat="true" ht="14.9" hidden="true" customHeight="true" outlineLevel="0" collapsed="false">
      <c r="A126" s="74" t="n">
        <f aca="false">MONTH(B126)</f>
        <v>8</v>
      </c>
      <c r="B126" s="75" t="n">
        <v>44420</v>
      </c>
      <c r="C126" s="76" t="s">
        <v>51</v>
      </c>
      <c r="D126" s="77" t="str">
        <f aca="false">IFERROR(VLOOKUP(E:E,'Item Data Support Sheet'!A:O,7,0),"")</f>
        <v>BOTTLE MOLDED</v>
      </c>
      <c r="E126" s="108" t="s">
        <v>69</v>
      </c>
      <c r="F126" s="80" t="s">
        <v>73</v>
      </c>
      <c r="G126" s="77" t="s">
        <v>74</v>
      </c>
      <c r="H126" s="79" t="str">
        <f aca="false">IFERROR(VLOOKUP(E:E,'Item Data Support Sheet'!A:O,2,0),"")</f>
        <v>KPP 240 ML BOTTLE MOLDED</v>
      </c>
      <c r="I126" s="80" t="s">
        <v>368</v>
      </c>
      <c r="J126" s="80" t="s">
        <v>148</v>
      </c>
      <c r="K126" s="81" t="n">
        <v>8</v>
      </c>
      <c r="L126" s="82" t="n">
        <v>2574</v>
      </c>
      <c r="M126" s="83" t="n">
        <f aca="false">IFERROR(L126/K126,0)</f>
        <v>321.75</v>
      </c>
      <c r="N126" s="84" t="n">
        <f aca="false">+O126+Q126+T126+U126</f>
        <v>2787</v>
      </c>
      <c r="O126" s="85" t="n">
        <v>2700</v>
      </c>
      <c r="P126" s="86" t="n">
        <v>0.12</v>
      </c>
      <c r="Q126" s="87" t="n">
        <v>30</v>
      </c>
      <c r="R126" s="88" t="n">
        <v>0</v>
      </c>
      <c r="S126" s="88" t="n">
        <v>0</v>
      </c>
      <c r="T126" s="88" t="n">
        <v>49</v>
      </c>
      <c r="U126" s="88" t="n">
        <v>8</v>
      </c>
      <c r="V126" s="89" t="n">
        <v>1</v>
      </c>
      <c r="W126" s="90" t="n">
        <f aca="false">IFERROR(O126/V126,0)</f>
        <v>2700</v>
      </c>
      <c r="X126" s="91" t="n">
        <f aca="false">O126/L126</f>
        <v>1.04895104895105</v>
      </c>
      <c r="Y126" s="92" t="str">
        <f aca="false">IFERROR(VLOOKUP(E:E,'Item Data Support Sheet'!A:J,6,0),0)</f>
        <v>HMC</v>
      </c>
      <c r="Z126" s="93" t="n">
        <f aca="false">IFERROR(VLOOKUP(E:E,'Item Data Support Sheet'!A:O,4,0),0)</f>
        <v>32.1</v>
      </c>
      <c r="AA126" s="93" t="n">
        <f aca="false">IFERROR(((N126)*(Z126/1000))+P126,0)</f>
        <v>89.5827</v>
      </c>
      <c r="AB126" s="94" t="n">
        <f aca="false">IFERROR((O126*(Z126/1000)/(AA126))," ")</f>
        <v>0.967485909667826</v>
      </c>
      <c r="AC126" s="95" t="n">
        <f aca="false">IFERROR((T126)/((T126)+O126),0)</f>
        <v>0.0178246635140051</v>
      </c>
      <c r="AD126" s="96" t="n">
        <f aca="false">IFERROR(Q126/(Q126+N126),0)</f>
        <v>0.0106496272630458</v>
      </c>
      <c r="AE126" s="91" t="n">
        <f aca="false">(N126-T126)/N126</f>
        <v>0.982418371008253</v>
      </c>
      <c r="AF126" s="97" t="n">
        <f aca="false">BR126</f>
        <v>1.25</v>
      </c>
      <c r="AG126" s="98" t="n">
        <f aca="false">K126-AF126</f>
        <v>6.75</v>
      </c>
      <c r="AH126" s="99" t="n">
        <f aca="false">IFERROR(AG126/K126," ")</f>
        <v>0.84375</v>
      </c>
      <c r="AI126" s="100" t="n">
        <f aca="false">IFERROR(O126/K126,0)</f>
        <v>337.5</v>
      </c>
      <c r="AJ126" s="101" t="n">
        <f aca="false">VLOOKUP(D126,'Standard Cycle time'!C:D,2,0)</f>
        <v>9</v>
      </c>
      <c r="AK126" s="101" t="n">
        <f aca="false">AG126*V126*3600/O126</f>
        <v>9</v>
      </c>
      <c r="AL126" s="102" t="n">
        <f aca="false">AJ126/AK126</f>
        <v>1</v>
      </c>
      <c r="AM126" s="99" t="n">
        <f aca="false">AE126*AL126*AH126</f>
        <v>0.828915500538213</v>
      </c>
      <c r="AN126" s="103" t="s">
        <v>369</v>
      </c>
      <c r="AO126" s="104"/>
      <c r="AP126" s="105" t="n">
        <v>0</v>
      </c>
      <c r="AQ126" s="105" t="n">
        <v>0</v>
      </c>
      <c r="AR126" s="105" t="n">
        <v>0</v>
      </c>
      <c r="AS126" s="105" t="n">
        <v>0</v>
      </c>
      <c r="AT126" s="105" t="n">
        <v>0</v>
      </c>
      <c r="AU126" s="105" t="n">
        <v>0</v>
      </c>
      <c r="AV126" s="105" t="n">
        <v>15</v>
      </c>
      <c r="AW126" s="105" t="n">
        <v>0</v>
      </c>
      <c r="AX126" s="105" t="n">
        <v>0</v>
      </c>
      <c r="AY126" s="105" t="n">
        <v>0</v>
      </c>
      <c r="AZ126" s="105" t="n">
        <v>0</v>
      </c>
      <c r="BA126" s="105" t="n">
        <v>0</v>
      </c>
      <c r="BB126" s="105" t="n">
        <v>60</v>
      </c>
      <c r="BC126" s="105" t="n">
        <v>0</v>
      </c>
      <c r="BD126" s="105" t="n">
        <v>0</v>
      </c>
      <c r="BE126" s="105" t="n">
        <v>0</v>
      </c>
      <c r="BF126" s="105" t="n">
        <v>0</v>
      </c>
      <c r="BG126" s="105" t="n">
        <v>0</v>
      </c>
      <c r="BH126" s="105" t="n">
        <v>0</v>
      </c>
      <c r="BI126" s="105" t="n">
        <v>0</v>
      </c>
      <c r="BJ126" s="105" t="n">
        <v>0</v>
      </c>
      <c r="BK126" s="105" t="n">
        <v>0</v>
      </c>
      <c r="BL126" s="105" t="n">
        <v>0</v>
      </c>
      <c r="BM126" s="105" t="n">
        <v>0</v>
      </c>
      <c r="BN126" s="105" t="n">
        <v>0</v>
      </c>
      <c r="BO126" s="105" t="n">
        <v>0</v>
      </c>
      <c r="BP126" s="105" t="n">
        <v>0</v>
      </c>
      <c r="BQ126" s="105" t="n">
        <v>0</v>
      </c>
      <c r="BR126" s="106" t="n">
        <f aca="false">SUM(AP126:BQ126)/60</f>
        <v>1.25</v>
      </c>
      <c r="BS126" s="106" t="n">
        <f aca="false">SUM(AP126:BR126)/60</f>
        <v>1.27083333333333</v>
      </c>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row>
    <row r="127" s="74" customFormat="true" ht="14.9" hidden="true" customHeight="true" outlineLevel="0" collapsed="false">
      <c r="A127" s="74" t="n">
        <f aca="false">MONTH(B127)</f>
        <v>8</v>
      </c>
      <c r="B127" s="75" t="n">
        <v>44420</v>
      </c>
      <c r="C127" s="76" t="s">
        <v>51</v>
      </c>
      <c r="D127" s="77" t="str">
        <f aca="false">IFERROR(VLOOKUP(E:E,'Item Data Support Sheet'!A:O,7,0),"")</f>
        <v>CAP MOLDED</v>
      </c>
      <c r="E127" s="108" t="s">
        <v>343</v>
      </c>
      <c r="F127" s="80"/>
      <c r="G127" s="77" t="s">
        <v>200</v>
      </c>
      <c r="H127" s="79" t="str">
        <f aca="false">IFERROR(VLOOKUP(E:E,'Item Data Support Sheet'!A:O,2,0),"")</f>
        <v>CAP S TYPE MOLDED BLUE</v>
      </c>
      <c r="I127" s="80" t="s">
        <v>370</v>
      </c>
      <c r="J127" s="80" t="s">
        <v>148</v>
      </c>
      <c r="K127" s="81" t="n">
        <v>5</v>
      </c>
      <c r="L127" s="82" t="n">
        <v>2887</v>
      </c>
      <c r="M127" s="83" t="n">
        <f aca="false">IFERROR(L127/K127,0)</f>
        <v>577.4</v>
      </c>
      <c r="N127" s="84" t="n">
        <f aca="false">+O127+Q127+T127+U127</f>
        <v>3034</v>
      </c>
      <c r="O127" s="85" t="n">
        <v>3000</v>
      </c>
      <c r="P127" s="86" t="n">
        <v>0</v>
      </c>
      <c r="Q127" s="87" t="n">
        <v>20</v>
      </c>
      <c r="R127" s="88" t="n">
        <v>0</v>
      </c>
      <c r="S127" s="88" t="n">
        <v>0</v>
      </c>
      <c r="T127" s="88" t="n">
        <v>10</v>
      </c>
      <c r="U127" s="88" t="n">
        <v>4</v>
      </c>
      <c r="V127" s="89" t="n">
        <v>1</v>
      </c>
      <c r="W127" s="90" t="n">
        <f aca="false">IFERROR(O127/V127,0)</f>
        <v>3000</v>
      </c>
      <c r="X127" s="91" t="n">
        <f aca="false">O127/L127</f>
        <v>1.03914097679252</v>
      </c>
      <c r="Y127" s="92" t="str">
        <f aca="false">IFERROR(VLOOKUP(E:E,'Item Data Support Sheet'!A:J,6,0),0)</f>
        <v>RM000114</v>
      </c>
      <c r="Z127" s="93" t="n">
        <f aca="false">IFERROR(VLOOKUP(E:E,'Item Data Support Sheet'!A:O,4,0),0)</f>
        <v>7.3</v>
      </c>
      <c r="AA127" s="93" t="n">
        <f aca="false">IFERROR(((N127)*(Z127/1000))+P127,0)</f>
        <v>22.1482</v>
      </c>
      <c r="AB127" s="94" t="n">
        <f aca="false">IFERROR((O127*(Z127/1000)/(AA127))," ")</f>
        <v>0.988793671720501</v>
      </c>
      <c r="AC127" s="95" t="n">
        <f aca="false">IFERROR((T127)/((T127)+O127),0)</f>
        <v>0.00332225913621262</v>
      </c>
      <c r="AD127" s="96" t="n">
        <f aca="false">IFERROR(Q127/(Q127+N127),0)</f>
        <v>0.00654878847413229</v>
      </c>
      <c r="AE127" s="91" t="n">
        <f aca="false">(N127-T127)/N127</f>
        <v>0.996704021094265</v>
      </c>
      <c r="AF127" s="97" t="n">
        <f aca="false">BR127</f>
        <v>0</v>
      </c>
      <c r="AG127" s="98" t="n">
        <f aca="false">K127-AF127</f>
        <v>5</v>
      </c>
      <c r="AH127" s="99" t="n">
        <f aca="false">IFERROR(AG127/K127," ")</f>
        <v>1</v>
      </c>
      <c r="AI127" s="100" t="n">
        <f aca="false">IFERROR(O127/K127,0)</f>
        <v>600</v>
      </c>
      <c r="AJ127" s="101" t="n">
        <f aca="false">VLOOKUP(D127,'Standard Cycle time'!C:D,2,0)</f>
        <v>6</v>
      </c>
      <c r="AK127" s="101" t="n">
        <f aca="false">AG127*V127*3600/O127</f>
        <v>6</v>
      </c>
      <c r="AL127" s="102" t="n">
        <f aca="false">AJ127/AK127</f>
        <v>1</v>
      </c>
      <c r="AM127" s="99" t="n">
        <f aca="false">AE127*AL127*AH127</f>
        <v>0.996704021094265</v>
      </c>
      <c r="AN127" s="103" t="n">
        <v>2690</v>
      </c>
      <c r="AO127" s="104"/>
      <c r="AP127" s="105" t="n">
        <v>0</v>
      </c>
      <c r="AQ127" s="105" t="n">
        <v>0</v>
      </c>
      <c r="AR127" s="105" t="n">
        <v>0</v>
      </c>
      <c r="AS127" s="105" t="n">
        <v>0</v>
      </c>
      <c r="AT127" s="105" t="n">
        <v>0</v>
      </c>
      <c r="AU127" s="105" t="n">
        <v>0</v>
      </c>
      <c r="AV127" s="105" t="n">
        <v>0</v>
      </c>
      <c r="AW127" s="105" t="n">
        <v>0</v>
      </c>
      <c r="AX127" s="105" t="n">
        <v>0</v>
      </c>
      <c r="AY127" s="105" t="n">
        <v>0</v>
      </c>
      <c r="AZ127" s="105" t="n">
        <v>0</v>
      </c>
      <c r="BA127" s="105" t="n">
        <v>0</v>
      </c>
      <c r="BB127" s="105" t="n">
        <v>0</v>
      </c>
      <c r="BC127" s="105" t="n">
        <v>0</v>
      </c>
      <c r="BD127" s="105" t="n">
        <v>0</v>
      </c>
      <c r="BE127" s="105" t="n">
        <v>0</v>
      </c>
      <c r="BF127" s="105" t="n">
        <v>0</v>
      </c>
      <c r="BG127" s="105" t="n">
        <v>0</v>
      </c>
      <c r="BH127" s="105" t="n">
        <v>0</v>
      </c>
      <c r="BI127" s="105" t="n">
        <v>0</v>
      </c>
      <c r="BJ127" s="105" t="n">
        <v>0</v>
      </c>
      <c r="BK127" s="105" t="n">
        <v>0</v>
      </c>
      <c r="BL127" s="105" t="n">
        <v>0</v>
      </c>
      <c r="BM127" s="105" t="n">
        <v>0</v>
      </c>
      <c r="BN127" s="105" t="n">
        <v>0</v>
      </c>
      <c r="BO127" s="105" t="n">
        <v>0</v>
      </c>
      <c r="BP127" s="105" t="n">
        <v>0</v>
      </c>
      <c r="BQ127" s="105" t="n">
        <v>0</v>
      </c>
      <c r="BR127" s="106" t="n">
        <f aca="false">SUM(AP127:BQ127)/60</f>
        <v>0</v>
      </c>
      <c r="BS127" s="106" t="n">
        <f aca="false">SUM(AP127:BR127)/60</f>
        <v>0</v>
      </c>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row>
    <row r="128" s="74" customFormat="true" ht="14.9" hidden="true" customHeight="true" outlineLevel="0" collapsed="false">
      <c r="A128" s="74" t="n">
        <f aca="false">MONTH(B128)</f>
        <v>8</v>
      </c>
      <c r="B128" s="75" t="n">
        <v>44420</v>
      </c>
      <c r="C128" s="76" t="s">
        <v>51</v>
      </c>
      <c r="D128" s="77" t="str">
        <f aca="false">IFERROR(VLOOKUP(E:E,'Item Data Support Sheet'!A:O,7,0),"")</f>
        <v>CAP MOLDED</v>
      </c>
      <c r="E128" s="108" t="s">
        <v>343</v>
      </c>
      <c r="F128" s="80"/>
      <c r="G128" s="77" t="s">
        <v>200</v>
      </c>
      <c r="H128" s="79" t="str">
        <f aca="false">IFERROR(VLOOKUP(E:E,'Item Data Support Sheet'!A:O,2,0),"")</f>
        <v>CAP S TYPE MOLDED BLUE</v>
      </c>
      <c r="I128" s="80" t="s">
        <v>371</v>
      </c>
      <c r="J128" s="80" t="s">
        <v>148</v>
      </c>
      <c r="K128" s="81" t="n">
        <v>3</v>
      </c>
      <c r="L128" s="82" t="n">
        <v>1250</v>
      </c>
      <c r="M128" s="83" t="n">
        <f aca="false">IFERROR(L128/K128,0)</f>
        <v>416.666666666667</v>
      </c>
      <c r="N128" s="84" t="n">
        <f aca="false">+O128+Q128+T128+U128</f>
        <v>1269</v>
      </c>
      <c r="O128" s="85" t="n">
        <v>1250</v>
      </c>
      <c r="P128" s="86" t="n">
        <v>0</v>
      </c>
      <c r="Q128" s="87" t="n">
        <v>10</v>
      </c>
      <c r="R128" s="88" t="n">
        <v>0</v>
      </c>
      <c r="S128" s="88" t="n">
        <v>0</v>
      </c>
      <c r="T128" s="88" t="n">
        <v>5</v>
      </c>
      <c r="U128" s="88" t="n">
        <v>4</v>
      </c>
      <c r="V128" s="89" t="n">
        <v>1</v>
      </c>
      <c r="W128" s="90" t="n">
        <f aca="false">IFERROR(O128/V128,0)</f>
        <v>1250</v>
      </c>
      <c r="X128" s="91" t="n">
        <f aca="false">O128/L128</f>
        <v>1</v>
      </c>
      <c r="Y128" s="92" t="str">
        <f aca="false">IFERROR(VLOOKUP(E:E,'Item Data Support Sheet'!A:J,6,0),0)</f>
        <v>RM000114</v>
      </c>
      <c r="Z128" s="93" t="n">
        <f aca="false">IFERROR(VLOOKUP(E:E,'Item Data Support Sheet'!A:O,4,0),0)</f>
        <v>7.3</v>
      </c>
      <c r="AA128" s="93" t="n">
        <f aca="false">IFERROR(((N128)*(Z128/1000))+P128,0)</f>
        <v>9.2637</v>
      </c>
      <c r="AB128" s="94" t="n">
        <f aca="false">IFERROR((O128*(Z128/1000)/(AA128))," ")</f>
        <v>0.985027580772262</v>
      </c>
      <c r="AC128" s="95" t="n">
        <f aca="false">IFERROR((T128)/((T128)+O128),0)</f>
        <v>0.00398406374501992</v>
      </c>
      <c r="AD128" s="96" t="n">
        <f aca="false">IFERROR(Q128/(Q128+N128),0)</f>
        <v>0.00781860828772478</v>
      </c>
      <c r="AE128" s="91" t="n">
        <f aca="false">(N128-T128)/N128</f>
        <v>0.996059889676911</v>
      </c>
      <c r="AF128" s="97" t="n">
        <f aca="false">BR128</f>
        <v>0.75</v>
      </c>
      <c r="AG128" s="98" t="n">
        <f aca="false">K128-AF128</f>
        <v>2.25</v>
      </c>
      <c r="AH128" s="99" t="n">
        <f aca="false">IFERROR(AG128/K128," ")</f>
        <v>0.75</v>
      </c>
      <c r="AI128" s="100" t="n">
        <f aca="false">IFERROR(O128/K128,0)</f>
        <v>416.666666666667</v>
      </c>
      <c r="AJ128" s="101" t="n">
        <f aca="false">VLOOKUP(D128,'Standard Cycle time'!C:D,2,0)</f>
        <v>6</v>
      </c>
      <c r="AK128" s="101" t="n">
        <f aca="false">AG128*V128*3600/O128</f>
        <v>6.48</v>
      </c>
      <c r="AL128" s="102" t="n">
        <f aca="false">AJ128/AK128</f>
        <v>0.925925925925926</v>
      </c>
      <c r="AM128" s="99" t="n">
        <f aca="false">AE128*AL128*AH128</f>
        <v>0.691708256720077</v>
      </c>
      <c r="AN128" s="103" t="n">
        <v>2691</v>
      </c>
      <c r="AO128" s="104"/>
      <c r="AP128" s="105" t="n">
        <v>0</v>
      </c>
      <c r="AQ128" s="105" t="n">
        <v>0</v>
      </c>
      <c r="AR128" s="105" t="n">
        <v>0</v>
      </c>
      <c r="AS128" s="105" t="n">
        <v>0</v>
      </c>
      <c r="AT128" s="105" t="n">
        <v>0</v>
      </c>
      <c r="AU128" s="105" t="n">
        <v>0</v>
      </c>
      <c r="AV128" s="105" t="n">
        <v>0</v>
      </c>
      <c r="AW128" s="105" t="n">
        <v>0</v>
      </c>
      <c r="AX128" s="105" t="n">
        <v>0</v>
      </c>
      <c r="AY128" s="105" t="n">
        <v>0</v>
      </c>
      <c r="AZ128" s="105" t="n">
        <v>0</v>
      </c>
      <c r="BA128" s="105" t="n">
        <v>0</v>
      </c>
      <c r="BB128" s="105" t="n">
        <v>0</v>
      </c>
      <c r="BC128" s="105" t="n">
        <v>0</v>
      </c>
      <c r="BD128" s="105" t="n">
        <v>0</v>
      </c>
      <c r="BE128" s="105" t="n">
        <v>0</v>
      </c>
      <c r="BF128" s="105" t="n">
        <v>0</v>
      </c>
      <c r="BG128" s="105" t="n">
        <v>0</v>
      </c>
      <c r="BH128" s="105" t="n">
        <v>0</v>
      </c>
      <c r="BI128" s="105" t="n">
        <v>0</v>
      </c>
      <c r="BJ128" s="105" t="n">
        <v>0</v>
      </c>
      <c r="BK128" s="105" t="n">
        <v>0</v>
      </c>
      <c r="BL128" s="105" t="n">
        <v>0</v>
      </c>
      <c r="BM128" s="105" t="n">
        <v>45</v>
      </c>
      <c r="BN128" s="105" t="n">
        <v>0</v>
      </c>
      <c r="BO128" s="105" t="n">
        <v>0</v>
      </c>
      <c r="BP128" s="105" t="n">
        <v>0</v>
      </c>
      <c r="BQ128" s="105" t="n">
        <v>0</v>
      </c>
      <c r="BR128" s="106" t="n">
        <f aca="false">SUM(AP128:BQ128)/60</f>
        <v>0.75</v>
      </c>
      <c r="BS128" s="106" t="n">
        <f aca="false">SUM(AP128:BR128)/60</f>
        <v>0.7625</v>
      </c>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row>
    <row r="129" s="74" customFormat="true" ht="14.9" hidden="true" customHeight="true" outlineLevel="0" collapsed="false">
      <c r="A129" s="74" t="n">
        <f aca="false">MONTH(B129)</f>
        <v>8</v>
      </c>
      <c r="B129" s="75" t="n">
        <v>44420</v>
      </c>
      <c r="C129" s="76" t="s">
        <v>63</v>
      </c>
      <c r="D129" s="77" t="str">
        <f aca="false">IFERROR(VLOOKUP(E:E,'Item Data Support Sheet'!A:O,7,0),"")</f>
        <v>BOTTLE PRINTED</v>
      </c>
      <c r="E129" s="80" t="s">
        <v>65</v>
      </c>
      <c r="F129" s="80"/>
      <c r="G129" s="77" t="s">
        <v>66</v>
      </c>
      <c r="H129" s="79" t="str">
        <f aca="false">IFERROR(VLOOKUP(E:E,'Item Data Support Sheet'!A:O,2,0),"")</f>
        <v>KPP 240 ML BOTTLE PRINTED</v>
      </c>
      <c r="I129" s="80" t="s">
        <v>332</v>
      </c>
      <c r="J129" s="80" t="s">
        <v>161</v>
      </c>
      <c r="K129" s="81" t="n">
        <v>7.5</v>
      </c>
      <c r="L129" s="82" t="n">
        <v>4250</v>
      </c>
      <c r="M129" s="83" t="n">
        <f aca="false">IFERROR(L129/K129,0)</f>
        <v>566.666666666667</v>
      </c>
      <c r="N129" s="84" t="n">
        <f aca="false">+O129+Q129+T129+U129</f>
        <v>4303</v>
      </c>
      <c r="O129" s="85" t="n">
        <v>4273</v>
      </c>
      <c r="P129" s="86" t="n">
        <v>0</v>
      </c>
      <c r="Q129" s="87" t="n">
        <v>0</v>
      </c>
      <c r="R129" s="88" t="n">
        <v>28</v>
      </c>
      <c r="S129" s="88" t="n">
        <v>0</v>
      </c>
      <c r="T129" s="88" t="n">
        <v>30</v>
      </c>
      <c r="U129" s="88" t="n">
        <v>0</v>
      </c>
      <c r="V129" s="89" t="n">
        <v>6</v>
      </c>
      <c r="W129" s="90" t="n">
        <f aca="false">IFERROR(O129/V129,0)</f>
        <v>712.166666666667</v>
      </c>
      <c r="X129" s="91" t="n">
        <f aca="false">O129/L129</f>
        <v>1.00541176470588</v>
      </c>
      <c r="Y129" s="92" t="str">
        <f aca="false">IFERROR(VLOOKUP(E:E,'Item Data Support Sheet'!A:J,6,0),0)</f>
        <v>FO003</v>
      </c>
      <c r="Z129" s="93" t="n">
        <f aca="false">IFERROR(VLOOKUP(E:E,'Item Data Support Sheet'!A:O,4,0),0)</f>
        <v>0</v>
      </c>
      <c r="AA129" s="93" t="n">
        <f aca="false">IFERROR(((N129)*(Z129/1000))+P129,0)</f>
        <v>0</v>
      </c>
      <c r="AB129" s="94" t="str">
        <f aca="false">IFERROR((O129*(Z129/1000)/(AA129))," ")</f>
        <v> </v>
      </c>
      <c r="AC129" s="95" t="n">
        <f aca="false">IFERROR((T129)/((T129)+O129),0)</f>
        <v>0.00697188008366256</v>
      </c>
      <c r="AD129" s="96" t="n">
        <f aca="false">IFERROR(Q129/(Q129+N129),0)</f>
        <v>0</v>
      </c>
      <c r="AE129" s="91" t="n">
        <f aca="false">(N129-T129)/N129</f>
        <v>0.993028119916337</v>
      </c>
      <c r="AF129" s="97" t="n">
        <f aca="false">BR129</f>
        <v>1.33333333333333</v>
      </c>
      <c r="AG129" s="98" t="n">
        <f aca="false">K129-AF129</f>
        <v>6.16666666666667</v>
      </c>
      <c r="AH129" s="99" t="n">
        <f aca="false">IFERROR(AG129/K129," ")</f>
        <v>0.822222222222222</v>
      </c>
      <c r="AI129" s="100" t="n">
        <f aca="false">IFERROR(O129/K129,0)</f>
        <v>569.733333333333</v>
      </c>
      <c r="AJ129" s="101" t="n">
        <f aca="false">VLOOKUP(D129,'Standard Cycle time'!C:D,2,0)</f>
        <v>32.4</v>
      </c>
      <c r="AK129" s="101" t="n">
        <f aca="false">AG129*V129*3600/O129</f>
        <v>31.1724783524456</v>
      </c>
      <c r="AL129" s="102" t="n">
        <f aca="false">AJ129/AK129</f>
        <v>1.03937837837838</v>
      </c>
      <c r="AM129" s="99" t="n">
        <f aca="false">AE129*AL129*AH129</f>
        <v>0.848641831280502</v>
      </c>
      <c r="AN129" s="103" t="s">
        <v>372</v>
      </c>
      <c r="AO129" s="109" t="s">
        <v>373</v>
      </c>
      <c r="AP129" s="105" t="n">
        <v>30</v>
      </c>
      <c r="AQ129" s="105" t="n">
        <v>50</v>
      </c>
      <c r="AR129" s="105" t="n">
        <v>0</v>
      </c>
      <c r="AS129" s="105" t="n">
        <v>0</v>
      </c>
      <c r="AT129" s="105" t="n">
        <v>0</v>
      </c>
      <c r="AU129" s="105" t="n">
        <v>0</v>
      </c>
      <c r="AV129" s="105" t="n">
        <v>0</v>
      </c>
      <c r="AW129" s="105" t="n">
        <v>0</v>
      </c>
      <c r="AX129" s="105" t="n">
        <v>0</v>
      </c>
      <c r="AY129" s="105" t="n">
        <v>0</v>
      </c>
      <c r="AZ129" s="105" t="n">
        <v>0</v>
      </c>
      <c r="BA129" s="105" t="n">
        <v>0</v>
      </c>
      <c r="BB129" s="105" t="n">
        <v>0</v>
      </c>
      <c r="BC129" s="105" t="n">
        <v>0</v>
      </c>
      <c r="BD129" s="105" t="n">
        <v>0</v>
      </c>
      <c r="BE129" s="105" t="n">
        <v>0</v>
      </c>
      <c r="BF129" s="105" t="n">
        <v>0</v>
      </c>
      <c r="BG129" s="105" t="n">
        <v>0</v>
      </c>
      <c r="BH129" s="105" t="n">
        <v>0</v>
      </c>
      <c r="BI129" s="105" t="n">
        <v>0</v>
      </c>
      <c r="BJ129" s="105" t="n">
        <v>0</v>
      </c>
      <c r="BK129" s="105" t="n">
        <v>0</v>
      </c>
      <c r="BL129" s="105" t="n">
        <v>0</v>
      </c>
      <c r="BM129" s="105" t="n">
        <v>0</v>
      </c>
      <c r="BN129" s="105" t="n">
        <v>0</v>
      </c>
      <c r="BO129" s="105" t="n">
        <v>0</v>
      </c>
      <c r="BP129" s="105" t="n">
        <v>0</v>
      </c>
      <c r="BQ129" s="105" t="n">
        <v>0</v>
      </c>
      <c r="BR129" s="106" t="n">
        <f aca="false">SUM(AP129:BQ129)/60</f>
        <v>1.33333333333333</v>
      </c>
      <c r="BS129" s="106" t="n">
        <f aca="false">SUM(AP129:BR129)/60</f>
        <v>1.35555555555556</v>
      </c>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row>
    <row r="130" s="74" customFormat="true" ht="14.9" hidden="true" customHeight="true" outlineLevel="0" collapsed="false">
      <c r="A130" s="74" t="n">
        <f aca="false">MONTH(B130)</f>
        <v>8</v>
      </c>
      <c r="B130" s="75" t="n">
        <v>44420</v>
      </c>
      <c r="C130" s="76" t="s">
        <v>63</v>
      </c>
      <c r="D130" s="77" t="str">
        <f aca="false">IFERROR(VLOOKUP(E:E,'Item Data Support Sheet'!A:O,7,0),"")</f>
        <v>NIPPLE PUNCH INSPECTED</v>
      </c>
      <c r="E130" s="108" t="s">
        <v>297</v>
      </c>
      <c r="F130" s="80"/>
      <c r="G130" s="77"/>
      <c r="H130" s="79" t="str">
        <f aca="false">IFERROR(VLOOKUP(E:E,'Item Data Support Sheet'!A:O,2,0),"")</f>
        <v>NIPPLE S TYPE S SIZE PUNCHED INSPECTED</v>
      </c>
      <c r="I130" s="80" t="s">
        <v>374</v>
      </c>
      <c r="J130" s="80" t="s">
        <v>158</v>
      </c>
      <c r="K130" s="81" t="n">
        <v>8.5</v>
      </c>
      <c r="L130" s="82" t="n">
        <v>14182</v>
      </c>
      <c r="M130" s="83" t="n">
        <f aca="false">IFERROR(L130/K130,0)</f>
        <v>1668.47058823529</v>
      </c>
      <c r="N130" s="84" t="n">
        <f aca="false">+O130+Q130+T130+U130</f>
        <v>15300</v>
      </c>
      <c r="O130" s="85" t="n">
        <v>15251</v>
      </c>
      <c r="P130" s="86" t="n">
        <v>0</v>
      </c>
      <c r="Q130" s="87" t="n">
        <v>0</v>
      </c>
      <c r="R130" s="88" t="n">
        <v>0</v>
      </c>
      <c r="S130" s="88" t="n">
        <v>0</v>
      </c>
      <c r="T130" s="88" t="n">
        <v>49</v>
      </c>
      <c r="U130" s="88" t="n">
        <v>0</v>
      </c>
      <c r="V130" s="89" t="n">
        <v>2</v>
      </c>
      <c r="W130" s="90" t="n">
        <f aca="false">IFERROR(O130/V130,0)</f>
        <v>7625.5</v>
      </c>
      <c r="X130" s="91" t="n">
        <f aca="false">O130/L130</f>
        <v>1.07537723875335</v>
      </c>
      <c r="Y130" s="92" t="str">
        <f aca="false">IFERROR(VLOOKUP(E:E,'Item Data Support Sheet'!A:J,6,0),0)</f>
        <v>FO104</v>
      </c>
      <c r="Z130" s="93" t="n">
        <f aca="false">IFERROR(VLOOKUP(E:E,'Item Data Support Sheet'!A:O,4,0),0)</f>
        <v>0</v>
      </c>
      <c r="AA130" s="93" t="n">
        <f aca="false">IFERROR(((N130)*(Z130/1000))+P130,0)</f>
        <v>0</v>
      </c>
      <c r="AB130" s="94" t="str">
        <f aca="false">IFERROR((O130*(Z130/1000)/(AA130))," ")</f>
        <v> </v>
      </c>
      <c r="AC130" s="95" t="n">
        <f aca="false">IFERROR((T130)/((T130)+O130),0)</f>
        <v>0.00320261437908497</v>
      </c>
      <c r="AD130" s="96" t="n">
        <f aca="false">IFERROR(Q130/(Q130+N130),0)</f>
        <v>0</v>
      </c>
      <c r="AE130" s="91" t="n">
        <f aca="false">(N130-T130)/N130</f>
        <v>0.996797385620915</v>
      </c>
      <c r="AF130" s="97" t="n">
        <f aca="false">BR130</f>
        <v>0.833333333333333</v>
      </c>
      <c r="AG130" s="98" t="n">
        <f aca="false">K130-AF130</f>
        <v>7.66666666666667</v>
      </c>
      <c r="AH130" s="99" t="n">
        <f aca="false">IFERROR(AG130/K130," ")</f>
        <v>0.901960784313726</v>
      </c>
      <c r="AI130" s="100" t="n">
        <f aca="false">IFERROR(O130/K130,0)</f>
        <v>1794.23529411765</v>
      </c>
      <c r="AJ130" s="101" t="n">
        <f aca="false">VLOOKUP(D130,'Standard Cycle time'!C:D,2,0)</f>
        <v>4</v>
      </c>
      <c r="AK130" s="101" t="n">
        <f aca="false">AG130*V130*3600/O130</f>
        <v>3.61943479116124</v>
      </c>
      <c r="AL130" s="102" t="n">
        <f aca="false">AJ130/AK130</f>
        <v>1.10514492753623</v>
      </c>
      <c r="AM130" s="99" t="n">
        <f aca="false">AE130*AL130*AH130</f>
        <v>0.993605027980691</v>
      </c>
      <c r="AN130" s="103" t="s">
        <v>375</v>
      </c>
      <c r="AO130" s="109"/>
      <c r="AP130" s="105" t="n">
        <v>50</v>
      </c>
      <c r="AQ130" s="105" t="n">
        <v>0</v>
      </c>
      <c r="AR130" s="105" t="n">
        <v>0</v>
      </c>
      <c r="AS130" s="105" t="n">
        <v>0</v>
      </c>
      <c r="AT130" s="105" t="n">
        <v>0</v>
      </c>
      <c r="AU130" s="105" t="n">
        <v>0</v>
      </c>
      <c r="AV130" s="105" t="n">
        <v>0</v>
      </c>
      <c r="AW130" s="105" t="n">
        <v>0</v>
      </c>
      <c r="AX130" s="105" t="n">
        <v>0</v>
      </c>
      <c r="AY130" s="105" t="n">
        <v>0</v>
      </c>
      <c r="AZ130" s="105" t="n">
        <v>0</v>
      </c>
      <c r="BA130" s="105" t="n">
        <v>0</v>
      </c>
      <c r="BB130" s="105" t="n">
        <v>0</v>
      </c>
      <c r="BC130" s="105" t="n">
        <v>0</v>
      </c>
      <c r="BD130" s="105" t="n">
        <v>0</v>
      </c>
      <c r="BE130" s="105" t="n">
        <v>0</v>
      </c>
      <c r="BF130" s="105" t="n">
        <v>0</v>
      </c>
      <c r="BG130" s="105" t="n">
        <v>0</v>
      </c>
      <c r="BH130" s="105" t="n">
        <v>0</v>
      </c>
      <c r="BI130" s="105" t="n">
        <v>0</v>
      </c>
      <c r="BJ130" s="105" t="n">
        <v>0</v>
      </c>
      <c r="BK130" s="105" t="n">
        <v>0</v>
      </c>
      <c r="BL130" s="105" t="n">
        <v>0</v>
      </c>
      <c r="BM130" s="105" t="n">
        <v>0</v>
      </c>
      <c r="BN130" s="105" t="n">
        <v>0</v>
      </c>
      <c r="BO130" s="105" t="n">
        <v>0</v>
      </c>
      <c r="BP130" s="105" t="n">
        <v>0</v>
      </c>
      <c r="BQ130" s="105" t="n">
        <v>0</v>
      </c>
      <c r="BR130" s="106" t="n">
        <f aca="false">SUM(AP130:BQ130)/60</f>
        <v>0.833333333333333</v>
      </c>
      <c r="BS130" s="106" t="n">
        <f aca="false">SUM(AP130:BR130)/60</f>
        <v>0.847222222222222</v>
      </c>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row>
    <row r="131" s="74" customFormat="true" ht="14.9" hidden="true" customHeight="true" outlineLevel="0" collapsed="false">
      <c r="A131" s="74" t="n">
        <f aca="false">MONTH(B131)</f>
        <v>8</v>
      </c>
      <c r="B131" s="75" t="n">
        <v>44420</v>
      </c>
      <c r="C131" s="76" t="s">
        <v>70</v>
      </c>
      <c r="D131" s="77" t="str">
        <f aca="false">IFERROR(VLOOKUP(E:E,'Item Data Support Sheet'!A:O,7,0),"")</f>
        <v>BOTTLE MOLDED</v>
      </c>
      <c r="E131" s="108" t="s">
        <v>69</v>
      </c>
      <c r="F131" s="80" t="s">
        <v>73</v>
      </c>
      <c r="G131" s="77" t="s">
        <v>74</v>
      </c>
      <c r="H131" s="79" t="str">
        <f aca="false">IFERROR(VLOOKUP(E:E,'Item Data Support Sheet'!A:O,2,0),"")</f>
        <v>KPP 240 ML BOTTLE MOLDED</v>
      </c>
      <c r="I131" s="80" t="s">
        <v>376</v>
      </c>
      <c r="J131" s="80" t="s">
        <v>140</v>
      </c>
      <c r="K131" s="81" t="n">
        <v>8</v>
      </c>
      <c r="L131" s="82" t="n">
        <v>2574</v>
      </c>
      <c r="M131" s="83" t="n">
        <f aca="false">IFERROR(L131/K131,0)</f>
        <v>321.75</v>
      </c>
      <c r="N131" s="84" t="n">
        <f aca="false">+O131+Q131+T131+U131</f>
        <v>3347</v>
      </c>
      <c r="O131" s="85" t="n">
        <f aca="false">29*108</f>
        <v>3132</v>
      </c>
      <c r="P131" s="86" t="n">
        <v>0.2</v>
      </c>
      <c r="Q131" s="87" t="n">
        <v>155</v>
      </c>
      <c r="R131" s="88" t="n">
        <v>0</v>
      </c>
      <c r="S131" s="88" t="n">
        <v>0</v>
      </c>
      <c r="T131" s="88" t="n">
        <v>60</v>
      </c>
      <c r="U131" s="88" t="n">
        <v>0</v>
      </c>
      <c r="V131" s="89" t="n">
        <v>1</v>
      </c>
      <c r="W131" s="90" t="n">
        <f aca="false">IFERROR(O131/V131,0)</f>
        <v>3132</v>
      </c>
      <c r="X131" s="91" t="n">
        <f aca="false">O131/L131</f>
        <v>1.21678321678322</v>
      </c>
      <c r="Y131" s="92" t="str">
        <f aca="false">IFERROR(VLOOKUP(E:E,'Item Data Support Sheet'!A:J,6,0),0)</f>
        <v>HMC</v>
      </c>
      <c r="Z131" s="93" t="n">
        <f aca="false">IFERROR(VLOOKUP(E:E,'Item Data Support Sheet'!A:O,4,0),0)</f>
        <v>32.1</v>
      </c>
      <c r="AA131" s="93" t="n">
        <f aca="false">IFERROR(((N131)*(Z131/1000))+P131,0)</f>
        <v>107.6387</v>
      </c>
      <c r="AB131" s="94" t="n">
        <f aca="false">IFERROR((O131*(Z131/1000)/(AA131))," ")</f>
        <v>0.934024658417465</v>
      </c>
      <c r="AC131" s="95" t="n">
        <f aca="false">IFERROR((T131)/((T131)+O131),0)</f>
        <v>0.018796992481203</v>
      </c>
      <c r="AD131" s="96" t="n">
        <f aca="false">IFERROR(Q131/(Q131+N131),0)</f>
        <v>0.0442604226156482</v>
      </c>
      <c r="AE131" s="91" t="n">
        <f aca="false">(N131-T131)/N131</f>
        <v>0.982073498655512</v>
      </c>
      <c r="AF131" s="97" t="n">
        <f aca="false">BR131</f>
        <v>0</v>
      </c>
      <c r="AG131" s="98" t="n">
        <f aca="false">K131-AF131</f>
        <v>8</v>
      </c>
      <c r="AH131" s="99" t="n">
        <f aca="false">IFERROR(AG131/K131," ")</f>
        <v>1</v>
      </c>
      <c r="AI131" s="100" t="n">
        <f aca="false">IFERROR(O131/K131,0)</f>
        <v>391.5</v>
      </c>
      <c r="AJ131" s="101" t="n">
        <f aca="false">VLOOKUP(D131,'Standard Cycle time'!C:D,2,0)</f>
        <v>9</v>
      </c>
      <c r="AK131" s="101" t="n">
        <f aca="false">AG131*V131*3600/O131</f>
        <v>9.19540229885057</v>
      </c>
      <c r="AL131" s="102" t="n">
        <f aca="false">AJ131/AK131</f>
        <v>0.97875</v>
      </c>
      <c r="AM131" s="99" t="n">
        <f aca="false">AE131*AL131*AH131</f>
        <v>0.961204436809083</v>
      </c>
      <c r="AN131" s="103" t="n">
        <v>2395</v>
      </c>
      <c r="AO131" s="104" t="s">
        <v>377</v>
      </c>
      <c r="AP131" s="105" t="n">
        <v>0</v>
      </c>
      <c r="AQ131" s="105" t="n">
        <v>0</v>
      </c>
      <c r="AR131" s="105" t="n">
        <v>0</v>
      </c>
      <c r="AS131" s="105" t="n">
        <v>0</v>
      </c>
      <c r="AT131" s="105" t="n">
        <v>0</v>
      </c>
      <c r="AU131" s="105" t="n">
        <v>0</v>
      </c>
      <c r="AV131" s="105" t="n">
        <v>0</v>
      </c>
      <c r="AW131" s="105" t="n">
        <v>0</v>
      </c>
      <c r="AX131" s="105" t="n">
        <v>0</v>
      </c>
      <c r="AY131" s="105" t="n">
        <v>0</v>
      </c>
      <c r="AZ131" s="105" t="n">
        <v>0</v>
      </c>
      <c r="BA131" s="105" t="n">
        <v>0</v>
      </c>
      <c r="BB131" s="105" t="n">
        <v>0</v>
      </c>
      <c r="BC131" s="105" t="n">
        <v>0</v>
      </c>
      <c r="BD131" s="105" t="n">
        <v>0</v>
      </c>
      <c r="BE131" s="105" t="n">
        <v>0</v>
      </c>
      <c r="BF131" s="105" t="n">
        <v>0</v>
      </c>
      <c r="BG131" s="105" t="n">
        <v>0</v>
      </c>
      <c r="BH131" s="105" t="n">
        <v>0</v>
      </c>
      <c r="BI131" s="105" t="n">
        <v>0</v>
      </c>
      <c r="BJ131" s="105" t="n">
        <v>0</v>
      </c>
      <c r="BK131" s="105" t="n">
        <v>0</v>
      </c>
      <c r="BL131" s="105" t="n">
        <v>0</v>
      </c>
      <c r="BM131" s="105" t="n">
        <v>0</v>
      </c>
      <c r="BN131" s="105" t="n">
        <v>0</v>
      </c>
      <c r="BO131" s="105" t="n">
        <v>0</v>
      </c>
      <c r="BP131" s="105" t="n">
        <v>0</v>
      </c>
      <c r="BQ131" s="105" t="n">
        <v>0</v>
      </c>
      <c r="BR131" s="106" t="n">
        <f aca="false">SUM(AP131:BQ131)/60</f>
        <v>0</v>
      </c>
      <c r="BS131" s="106" t="n">
        <f aca="false">SUM(AP131:BR131)/60</f>
        <v>0</v>
      </c>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row>
    <row r="132" s="74" customFormat="true" ht="14.9" hidden="true" customHeight="true" outlineLevel="0" collapsed="false">
      <c r="A132" s="74" t="n">
        <f aca="false">MONTH(B132)</f>
        <v>8</v>
      </c>
      <c r="B132" s="75" t="n">
        <v>44420</v>
      </c>
      <c r="C132" s="76" t="s">
        <v>70</v>
      </c>
      <c r="D132" s="77" t="str">
        <f aca="false">IFERROR(VLOOKUP(E:E,'Item Data Support Sheet'!A:O,7,0),"")</f>
        <v>NIPPLE PUNCH</v>
      </c>
      <c r="E132" s="108" t="s">
        <v>53</v>
      </c>
      <c r="F132" s="80"/>
      <c r="G132" s="77" t="s">
        <v>54</v>
      </c>
      <c r="H132" s="79" t="str">
        <f aca="false">IFERROR(VLOOKUP(E:E,'Item Data Support Sheet'!A:O,2,0),"")</f>
        <v>NIPPLE S TYPE S SIZE PUNCHED</v>
      </c>
      <c r="I132" s="80" t="s">
        <v>378</v>
      </c>
      <c r="J132" s="80" t="s">
        <v>140</v>
      </c>
      <c r="K132" s="81" t="n">
        <v>8</v>
      </c>
      <c r="L132" s="82" t="n">
        <v>7036</v>
      </c>
      <c r="M132" s="83" t="n">
        <f aca="false">IFERROR(L132/K132,0)</f>
        <v>879.5</v>
      </c>
      <c r="N132" s="84" t="n">
        <f aca="false">+O132+Q132+T132+U132</f>
        <v>7000</v>
      </c>
      <c r="O132" s="85" t="n">
        <f aca="false">3000+4000</f>
        <v>7000</v>
      </c>
      <c r="P132" s="86" t="n">
        <v>0</v>
      </c>
      <c r="Q132" s="87" t="n">
        <v>0</v>
      </c>
      <c r="R132" s="88" t="n">
        <v>0</v>
      </c>
      <c r="S132" s="88" t="n">
        <v>0</v>
      </c>
      <c r="T132" s="88" t="n">
        <v>0</v>
      </c>
      <c r="U132" s="88" t="n">
        <v>0</v>
      </c>
      <c r="V132" s="89" t="n">
        <v>1</v>
      </c>
      <c r="W132" s="90" t="n">
        <f aca="false">IFERROR(O132/V132,0)</f>
        <v>7000</v>
      </c>
      <c r="X132" s="91" t="n">
        <f aca="false">O132/L132</f>
        <v>0.99488345650938</v>
      </c>
      <c r="Y132" s="92" t="str">
        <f aca="false">IFERROR(VLOOKUP(E:E,'Item Data Support Sheet'!A:J,6,0),0)</f>
        <v>FO015</v>
      </c>
      <c r="Z132" s="93" t="n">
        <f aca="false">IFERROR(VLOOKUP(E:E,'Item Data Support Sheet'!A:O,4,0),0)</f>
        <v>0</v>
      </c>
      <c r="AA132" s="93" t="n">
        <f aca="false">IFERROR(((N132)*(Z132/1000))+P132,0)</f>
        <v>0</v>
      </c>
      <c r="AB132" s="94" t="str">
        <f aca="false">IFERROR((O132*(Z132/1000)/(AA132))," ")</f>
        <v> </v>
      </c>
      <c r="AC132" s="95" t="n">
        <f aca="false">IFERROR((T132)/((T132)+O132),0)</f>
        <v>0</v>
      </c>
      <c r="AD132" s="96" t="n">
        <f aca="false">IFERROR(Q132/(Q132+N132),0)</f>
        <v>0</v>
      </c>
      <c r="AE132" s="91" t="n">
        <f aca="false">(N132-T132)/N132</f>
        <v>1</v>
      </c>
      <c r="AF132" s="97" t="n">
        <f aca="false">BR132</f>
        <v>0.666666666666667</v>
      </c>
      <c r="AG132" s="98" t="n">
        <f aca="false">K132-AF132</f>
        <v>7.33333333333333</v>
      </c>
      <c r="AH132" s="99" t="n">
        <f aca="false">IFERROR(AG132/K132," ")</f>
        <v>0.916666666666667</v>
      </c>
      <c r="AI132" s="100" t="n">
        <f aca="false">IFERROR(O132/K132,0)</f>
        <v>875</v>
      </c>
      <c r="AJ132" s="101" t="n">
        <f aca="false">VLOOKUP(D132,'Standard Cycle time'!C:D,2,0)</f>
        <v>3.5</v>
      </c>
      <c r="AK132" s="101" t="n">
        <f aca="false">AG132*V132*3600/O132</f>
        <v>3.77142857142857</v>
      </c>
      <c r="AL132" s="102" t="n">
        <f aca="false">AJ132/AK132</f>
        <v>0.928030303030303</v>
      </c>
      <c r="AM132" s="99" t="n">
        <f aca="false">AE132*AL132*AH132</f>
        <v>0.850694444444444</v>
      </c>
      <c r="AN132" s="103" t="s">
        <v>379</v>
      </c>
      <c r="AO132" s="109"/>
      <c r="AP132" s="105" t="n">
        <v>40</v>
      </c>
      <c r="AQ132" s="105" t="n">
        <v>0</v>
      </c>
      <c r="AR132" s="105" t="n">
        <v>0</v>
      </c>
      <c r="AS132" s="105" t="n">
        <v>0</v>
      </c>
      <c r="AT132" s="105" t="n">
        <v>0</v>
      </c>
      <c r="AU132" s="105" t="n">
        <v>0</v>
      </c>
      <c r="AV132" s="105" t="n">
        <v>0</v>
      </c>
      <c r="AW132" s="105" t="n">
        <v>0</v>
      </c>
      <c r="AX132" s="105" t="n">
        <v>0</v>
      </c>
      <c r="AY132" s="105" t="n">
        <v>0</v>
      </c>
      <c r="AZ132" s="105" t="n">
        <v>0</v>
      </c>
      <c r="BA132" s="105" t="n">
        <v>0</v>
      </c>
      <c r="BB132" s="105" t="n">
        <v>0</v>
      </c>
      <c r="BC132" s="105" t="n">
        <v>0</v>
      </c>
      <c r="BD132" s="105" t="n">
        <v>0</v>
      </c>
      <c r="BE132" s="105" t="n">
        <v>0</v>
      </c>
      <c r="BF132" s="105" t="n">
        <v>0</v>
      </c>
      <c r="BG132" s="105" t="n">
        <v>0</v>
      </c>
      <c r="BH132" s="105" t="n">
        <v>0</v>
      </c>
      <c r="BI132" s="105" t="n">
        <v>0</v>
      </c>
      <c r="BJ132" s="105" t="n">
        <v>0</v>
      </c>
      <c r="BK132" s="105" t="n">
        <v>0</v>
      </c>
      <c r="BL132" s="105" t="n">
        <v>0</v>
      </c>
      <c r="BM132" s="105" t="n">
        <v>0</v>
      </c>
      <c r="BN132" s="105" t="n">
        <v>0</v>
      </c>
      <c r="BO132" s="105" t="n">
        <v>0</v>
      </c>
      <c r="BP132" s="105" t="n">
        <v>0</v>
      </c>
      <c r="BQ132" s="105" t="n">
        <v>0</v>
      </c>
      <c r="BR132" s="106" t="n">
        <f aca="false">SUM(AP132:BQ132)/60</f>
        <v>0.666666666666667</v>
      </c>
      <c r="BS132" s="106" t="n">
        <f aca="false">SUM(AP132:BR132)/60</f>
        <v>0.677777777777778</v>
      </c>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row>
    <row r="133" s="74" customFormat="true" ht="14.9" hidden="true" customHeight="true" outlineLevel="0" collapsed="false">
      <c r="A133" s="74" t="n">
        <f aca="false">MONTH(B133)</f>
        <v>8</v>
      </c>
      <c r="B133" s="75" t="n">
        <v>44420</v>
      </c>
      <c r="C133" s="76" t="s">
        <v>70</v>
      </c>
      <c r="D133" s="77" t="str">
        <f aca="false">IFERROR(VLOOKUP(E:E,'Item Data Support Sheet'!A:O,7,0),"")</f>
        <v>NIPPLE MOLDED</v>
      </c>
      <c r="E133" s="108" t="s">
        <v>244</v>
      </c>
      <c r="F133" s="80" t="s">
        <v>137</v>
      </c>
      <c r="G133" s="77" t="s">
        <v>138</v>
      </c>
      <c r="H133" s="79" t="str">
        <f aca="false">IFERROR(VLOOKUP(E:E,'Item Data Support Sheet'!A:O,2,0),"")</f>
        <v>NIPPLE S TYPE S SIZE INJECTION</v>
      </c>
      <c r="I133" s="80" t="s">
        <v>380</v>
      </c>
      <c r="J133" s="80" t="s">
        <v>140</v>
      </c>
      <c r="K133" s="81" t="n">
        <v>8</v>
      </c>
      <c r="L133" s="82" t="n">
        <v>4815</v>
      </c>
      <c r="M133" s="83" t="n">
        <f aca="false">IFERROR(L133/K133,0)</f>
        <v>601.875</v>
      </c>
      <c r="N133" s="84" t="n">
        <f aca="false">+O133+Q133+T133+U133</f>
        <v>5099</v>
      </c>
      <c r="O133" s="85" t="n">
        <v>5000</v>
      </c>
      <c r="P133" s="86" t="n">
        <v>0</v>
      </c>
      <c r="Q133" s="87" t="n">
        <v>35</v>
      </c>
      <c r="R133" s="88" t="n">
        <v>0</v>
      </c>
      <c r="S133" s="88" t="n">
        <v>0</v>
      </c>
      <c r="T133" s="88" t="n">
        <v>64</v>
      </c>
      <c r="U133" s="88" t="n">
        <v>0</v>
      </c>
      <c r="V133" s="89" t="n">
        <v>1</v>
      </c>
      <c r="W133" s="90" t="n">
        <f aca="false">IFERROR(O133/V133,0)</f>
        <v>5000</v>
      </c>
      <c r="X133" s="91" t="n">
        <f aca="false">O133/L133</f>
        <v>1.03842159916926</v>
      </c>
      <c r="Y133" s="92" t="str">
        <f aca="false">IFERROR(VLOOKUP(E:E,'Item Data Support Sheet'!A:J,6,0),0)</f>
        <v>Silicon</v>
      </c>
      <c r="Z133" s="93" t="n">
        <f aca="false">IFERROR(VLOOKUP(E:E,'Item Data Support Sheet'!A:O,4,0),0)</f>
        <v>6.8</v>
      </c>
      <c r="AA133" s="93" t="n">
        <f aca="false">IFERROR(((N133)*(Z133/1000))+P133,0)</f>
        <v>34.6732</v>
      </c>
      <c r="AB133" s="94" t="n">
        <f aca="false">IFERROR((O133*(Z133/1000)/(AA133))," ")</f>
        <v>0.980584428319278</v>
      </c>
      <c r="AC133" s="95" t="n">
        <f aca="false">IFERROR((T133)/((T133)+O133),0)</f>
        <v>0.0126382306477093</v>
      </c>
      <c r="AD133" s="96" t="n">
        <f aca="false">IFERROR(Q133/(Q133+N133),0)</f>
        <v>0.00681729645500584</v>
      </c>
      <c r="AE133" s="91" t="n">
        <f aca="false">(N133-T133)/N133</f>
        <v>0.987448519317513</v>
      </c>
      <c r="AF133" s="97" t="n">
        <f aca="false">BR133</f>
        <v>0</v>
      </c>
      <c r="AG133" s="98" t="n">
        <f aca="false">K133-AF133</f>
        <v>8</v>
      </c>
      <c r="AH133" s="99" t="n">
        <f aca="false">IFERROR(AG133/K133," ")</f>
        <v>1</v>
      </c>
      <c r="AI133" s="100" t="n">
        <f aca="false">IFERROR(O133/K133,0)</f>
        <v>625</v>
      </c>
      <c r="AJ133" s="101" t="n">
        <f aca="false">VLOOKUP(D133,'Standard Cycle time'!C:D,2,0)</f>
        <v>5.25</v>
      </c>
      <c r="AK133" s="101" t="n">
        <f aca="false">AG133*V133*3600/O133</f>
        <v>5.76</v>
      </c>
      <c r="AL133" s="102" t="n">
        <f aca="false">AJ133/AK133</f>
        <v>0.911458333333333</v>
      </c>
      <c r="AM133" s="99" t="n">
        <f aca="false">AE133*AL133*AH133</f>
        <v>0.900018181669608</v>
      </c>
      <c r="AN133" s="103" t="n">
        <v>2394</v>
      </c>
      <c r="AO133" s="104"/>
      <c r="AP133" s="105" t="n">
        <v>0</v>
      </c>
      <c r="AQ133" s="105" t="n">
        <v>0</v>
      </c>
      <c r="AR133" s="105" t="n">
        <v>0</v>
      </c>
      <c r="AS133" s="105" t="n">
        <v>0</v>
      </c>
      <c r="AT133" s="105" t="n">
        <v>0</v>
      </c>
      <c r="AU133" s="105" t="n">
        <v>0</v>
      </c>
      <c r="AV133" s="105" t="n">
        <v>0</v>
      </c>
      <c r="AW133" s="105" t="n">
        <v>0</v>
      </c>
      <c r="AX133" s="105" t="n">
        <v>0</v>
      </c>
      <c r="AY133" s="105" t="n">
        <v>0</v>
      </c>
      <c r="AZ133" s="105" t="n">
        <v>0</v>
      </c>
      <c r="BA133" s="105" t="n">
        <v>0</v>
      </c>
      <c r="BB133" s="105" t="n">
        <v>0</v>
      </c>
      <c r="BC133" s="105" t="n">
        <v>0</v>
      </c>
      <c r="BD133" s="105" t="n">
        <v>0</v>
      </c>
      <c r="BE133" s="105" t="n">
        <v>0</v>
      </c>
      <c r="BF133" s="105" t="n">
        <v>0</v>
      </c>
      <c r="BG133" s="105" t="n">
        <v>0</v>
      </c>
      <c r="BH133" s="105" t="n">
        <v>0</v>
      </c>
      <c r="BI133" s="105" t="n">
        <v>0</v>
      </c>
      <c r="BJ133" s="105" t="n">
        <v>0</v>
      </c>
      <c r="BK133" s="105" t="n">
        <v>0</v>
      </c>
      <c r="BL133" s="105" t="n">
        <v>0</v>
      </c>
      <c r="BM133" s="105" t="n">
        <v>0</v>
      </c>
      <c r="BN133" s="105" t="n">
        <v>0</v>
      </c>
      <c r="BO133" s="105" t="n">
        <v>0</v>
      </c>
      <c r="BP133" s="105" t="n">
        <v>0</v>
      </c>
      <c r="BQ133" s="105" t="n">
        <v>0</v>
      </c>
      <c r="BR133" s="106" t="n">
        <f aca="false">SUM(AP133:BQ133)/60</f>
        <v>0</v>
      </c>
      <c r="BS133" s="106" t="n">
        <f aca="false">SUM(AP133:BR133)/60</f>
        <v>0</v>
      </c>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row>
    <row r="134" s="74" customFormat="true" ht="14.9" hidden="true" customHeight="true" outlineLevel="0" collapsed="false">
      <c r="A134" s="74" t="n">
        <f aca="false">MONTH(B134)</f>
        <v>8</v>
      </c>
      <c r="B134" s="75" t="n">
        <v>44420</v>
      </c>
      <c r="C134" s="76" t="s">
        <v>70</v>
      </c>
      <c r="D134" s="77" t="str">
        <f aca="false">IFERROR(VLOOKUP(E:E,'Item Data Support Sheet'!A:O,7,0),"")</f>
        <v>CAP MOLDED</v>
      </c>
      <c r="E134" s="108" t="s">
        <v>343</v>
      </c>
      <c r="F134" s="80"/>
      <c r="G134" s="77" t="s">
        <v>200</v>
      </c>
      <c r="H134" s="79" t="str">
        <f aca="false">IFERROR(VLOOKUP(E:E,'Item Data Support Sheet'!A:O,2,0),"")</f>
        <v>CAP S TYPE MOLDED BLUE</v>
      </c>
      <c r="I134" s="80" t="s">
        <v>381</v>
      </c>
      <c r="J134" s="80" t="s">
        <v>140</v>
      </c>
      <c r="K134" s="81" t="n">
        <v>8</v>
      </c>
      <c r="L134" s="82" t="n">
        <v>4137</v>
      </c>
      <c r="M134" s="83" t="n">
        <f aca="false">IFERROR(L134/K134,0)</f>
        <v>517.125</v>
      </c>
      <c r="N134" s="84" t="n">
        <f aca="false">+O134+Q134+T134+U134</f>
        <v>4002</v>
      </c>
      <c r="O134" s="85" t="n">
        <v>4000</v>
      </c>
      <c r="P134" s="86" t="n">
        <v>0</v>
      </c>
      <c r="Q134" s="87" t="n">
        <v>0</v>
      </c>
      <c r="R134" s="88" t="n">
        <v>0</v>
      </c>
      <c r="S134" s="88" t="n">
        <v>0</v>
      </c>
      <c r="T134" s="88" t="n">
        <v>2</v>
      </c>
      <c r="U134" s="88" t="n">
        <v>0</v>
      </c>
      <c r="V134" s="89" t="n">
        <v>1</v>
      </c>
      <c r="W134" s="90" t="n">
        <f aca="false">IFERROR(O134/V134,0)</f>
        <v>4000</v>
      </c>
      <c r="X134" s="91" t="n">
        <f aca="false">O134/L134</f>
        <v>0.96688421561518</v>
      </c>
      <c r="Y134" s="92" t="str">
        <f aca="false">IFERROR(VLOOKUP(E:E,'Item Data Support Sheet'!A:J,6,0),0)</f>
        <v>RM000114</v>
      </c>
      <c r="Z134" s="93" t="n">
        <f aca="false">IFERROR(VLOOKUP(E:E,'Item Data Support Sheet'!A:O,4,0),0)</f>
        <v>7.3</v>
      </c>
      <c r="AA134" s="93" t="n">
        <f aca="false">IFERROR(((N134)*(Z134/1000))+P134,0)</f>
        <v>29.2146</v>
      </c>
      <c r="AB134" s="94" t="n">
        <f aca="false">IFERROR((O134*(Z134/1000)/(AA134))," ")</f>
        <v>0.999500249875062</v>
      </c>
      <c r="AC134" s="95" t="n">
        <f aca="false">IFERROR((T134)/((T134)+O134),0)</f>
        <v>0.000499750124937531</v>
      </c>
      <c r="AD134" s="96" t="n">
        <f aca="false">IFERROR(Q134/(Q134+N134),0)</f>
        <v>0</v>
      </c>
      <c r="AE134" s="91" t="n">
        <f aca="false">(N134-T134)/N134</f>
        <v>0.999500249875062</v>
      </c>
      <c r="AF134" s="97" t="n">
        <f aca="false">BR134</f>
        <v>0</v>
      </c>
      <c r="AG134" s="98" t="n">
        <f aca="false">K134-AF134</f>
        <v>8</v>
      </c>
      <c r="AH134" s="99" t="n">
        <f aca="false">IFERROR(AG134/K134," ")</f>
        <v>1</v>
      </c>
      <c r="AI134" s="100" t="n">
        <f aca="false">IFERROR(O134/K134,0)</f>
        <v>500</v>
      </c>
      <c r="AJ134" s="101" t="n">
        <f aca="false">VLOOKUP(D134,'Standard Cycle time'!C:D,2,0)</f>
        <v>6</v>
      </c>
      <c r="AK134" s="101" t="n">
        <f aca="false">AG134*V134*3600/O134</f>
        <v>7.2</v>
      </c>
      <c r="AL134" s="102" t="n">
        <f aca="false">AJ134/AK134</f>
        <v>0.833333333333333</v>
      </c>
      <c r="AM134" s="99" t="n">
        <f aca="false">AE134*AL134*AH134</f>
        <v>0.832916874895885</v>
      </c>
      <c r="AN134" s="103" t="n">
        <v>2690</v>
      </c>
      <c r="AO134" s="104"/>
      <c r="AP134" s="105" t="n">
        <v>0</v>
      </c>
      <c r="AQ134" s="105" t="n">
        <v>0</v>
      </c>
      <c r="AR134" s="105" t="n">
        <v>0</v>
      </c>
      <c r="AS134" s="105" t="n">
        <v>0</v>
      </c>
      <c r="AT134" s="105" t="n">
        <v>0</v>
      </c>
      <c r="AU134" s="105" t="n">
        <v>0</v>
      </c>
      <c r="AV134" s="105" t="n">
        <v>0</v>
      </c>
      <c r="AW134" s="105" t="n">
        <v>0</v>
      </c>
      <c r="AX134" s="105" t="n">
        <v>0</v>
      </c>
      <c r="AY134" s="105" t="n">
        <v>0</v>
      </c>
      <c r="AZ134" s="105" t="n">
        <v>0</v>
      </c>
      <c r="BA134" s="105" t="n">
        <v>0</v>
      </c>
      <c r="BB134" s="105" t="n">
        <v>0</v>
      </c>
      <c r="BC134" s="105" t="n">
        <v>0</v>
      </c>
      <c r="BD134" s="105" t="n">
        <v>0</v>
      </c>
      <c r="BE134" s="105" t="n">
        <v>0</v>
      </c>
      <c r="BF134" s="105" t="n">
        <v>0</v>
      </c>
      <c r="BG134" s="105" t="n">
        <v>0</v>
      </c>
      <c r="BH134" s="105" t="n">
        <v>0</v>
      </c>
      <c r="BI134" s="105" t="n">
        <v>0</v>
      </c>
      <c r="BJ134" s="105" t="n">
        <v>0</v>
      </c>
      <c r="BK134" s="105" t="n">
        <v>0</v>
      </c>
      <c r="BL134" s="105" t="n">
        <v>0</v>
      </c>
      <c r="BM134" s="105" t="n">
        <v>0</v>
      </c>
      <c r="BN134" s="105" t="n">
        <v>0</v>
      </c>
      <c r="BO134" s="105" t="n">
        <v>0</v>
      </c>
      <c r="BP134" s="105" t="n">
        <v>0</v>
      </c>
      <c r="BQ134" s="105" t="n">
        <v>0</v>
      </c>
      <c r="BR134" s="106" t="n">
        <f aca="false">SUM(AP134:BQ134)/60</f>
        <v>0</v>
      </c>
      <c r="BS134" s="106" t="n">
        <f aca="false">SUM(AP134:BR134)/60</f>
        <v>0</v>
      </c>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row>
    <row r="135" s="74" customFormat="true" ht="14.9" hidden="true" customHeight="true" outlineLevel="0" collapsed="false">
      <c r="A135" s="74" t="n">
        <f aca="false">MONTH(B135)</f>
        <v>8</v>
      </c>
      <c r="B135" s="75" t="n">
        <v>44420</v>
      </c>
      <c r="C135" s="76" t="s">
        <v>152</v>
      </c>
      <c r="D135" s="77" t="str">
        <f aca="false">IFERROR(VLOOKUP(E:E,'Item Data Support Sheet'!A:O,7,0),"")</f>
        <v>BOTTLE MOLDED</v>
      </c>
      <c r="E135" s="108" t="s">
        <v>69</v>
      </c>
      <c r="F135" s="80" t="s">
        <v>73</v>
      </c>
      <c r="G135" s="77" t="s">
        <v>74</v>
      </c>
      <c r="H135" s="79" t="str">
        <f aca="false">IFERROR(VLOOKUP(E:E,'Item Data Support Sheet'!A:O,2,0),"")</f>
        <v>KPP 240 ML BOTTLE MOLDED</v>
      </c>
      <c r="I135" s="77" t="s">
        <v>382</v>
      </c>
      <c r="J135" s="80" t="s">
        <v>143</v>
      </c>
      <c r="K135" s="81" t="n">
        <v>8</v>
      </c>
      <c r="L135" s="82" t="n">
        <v>2574</v>
      </c>
      <c r="M135" s="83" t="n">
        <f aca="false">IFERROR(L135/K135,0)</f>
        <v>321.75</v>
      </c>
      <c r="N135" s="84" t="n">
        <f aca="false">+O135+Q135+T135+U135</f>
        <v>3277</v>
      </c>
      <c r="O135" s="85" t="n">
        <f aca="false">29*108</f>
        <v>3132</v>
      </c>
      <c r="P135" s="87" t="n">
        <v>0.23</v>
      </c>
      <c r="Q135" s="87" t="n">
        <v>70</v>
      </c>
      <c r="R135" s="88" t="n">
        <v>0</v>
      </c>
      <c r="S135" s="88" t="n">
        <v>0</v>
      </c>
      <c r="T135" s="88" t="n">
        <v>67</v>
      </c>
      <c r="U135" s="88" t="n">
        <v>8</v>
      </c>
      <c r="V135" s="89" t="n">
        <v>1</v>
      </c>
      <c r="W135" s="90" t="n">
        <f aca="false">IFERROR(O135/V135,0)</f>
        <v>3132</v>
      </c>
      <c r="X135" s="91" t="n">
        <f aca="false">O135/L135</f>
        <v>1.21678321678322</v>
      </c>
      <c r="Y135" s="92" t="str">
        <f aca="false">IFERROR(VLOOKUP(E:E,'Item Data Support Sheet'!A:J,6,0),0)</f>
        <v>HMC</v>
      </c>
      <c r="Z135" s="93" t="n">
        <f aca="false">IFERROR(VLOOKUP(E:E,'Item Data Support Sheet'!A:O,4,0),0)</f>
        <v>32.1</v>
      </c>
      <c r="AA135" s="93" t="n">
        <f aca="false">IFERROR(((N135)*(Z135/1000))+P135,0)</f>
        <v>105.4217</v>
      </c>
      <c r="AB135" s="94" t="n">
        <f aca="false">IFERROR((O135*(Z135/1000)/(AA135))," ")</f>
        <v>0.953667034396144</v>
      </c>
      <c r="AC135" s="95" t="n">
        <f aca="false">IFERROR((T135)/((T135)+O135),0)</f>
        <v>0.0209440450140669</v>
      </c>
      <c r="AD135" s="96" t="n">
        <f aca="false">IFERROR(Q135/(Q135+N135),0)</f>
        <v>0.0209142515685689</v>
      </c>
      <c r="AE135" s="91" t="n">
        <f aca="false">(N135-T135)/N135</f>
        <v>0.979554470552334</v>
      </c>
      <c r="AF135" s="97" t="n">
        <f aca="false">BR135</f>
        <v>0</v>
      </c>
      <c r="AG135" s="98" t="n">
        <f aca="false">K135-AF135</f>
        <v>8</v>
      </c>
      <c r="AH135" s="99" t="n">
        <f aca="false">IFERROR(AG135/K135," ")</f>
        <v>1</v>
      </c>
      <c r="AI135" s="100" t="n">
        <f aca="false">IFERROR(O135/K135,0)</f>
        <v>391.5</v>
      </c>
      <c r="AJ135" s="101" t="n">
        <f aca="false">VLOOKUP(D135,'Standard Cycle time'!C:D,2,0)</f>
        <v>9</v>
      </c>
      <c r="AK135" s="101" t="n">
        <f aca="false">AG135*V135*3600/O135</f>
        <v>9.19540229885057</v>
      </c>
      <c r="AL135" s="102" t="n">
        <f aca="false">AJ135/AK135</f>
        <v>0.97875</v>
      </c>
      <c r="AM135" s="99" t="n">
        <f aca="false">AE135*AL135*AH135</f>
        <v>0.958738938053097</v>
      </c>
      <c r="AN135" s="103" t="n">
        <v>2400</v>
      </c>
      <c r="AO135" s="104"/>
      <c r="AP135" s="105" t="n">
        <v>0</v>
      </c>
      <c r="AQ135" s="105" t="n">
        <v>0</v>
      </c>
      <c r="AR135" s="105" t="n">
        <v>0</v>
      </c>
      <c r="AS135" s="105" t="n">
        <v>0</v>
      </c>
      <c r="AT135" s="105" t="n">
        <v>0</v>
      </c>
      <c r="AU135" s="105" t="n">
        <v>0</v>
      </c>
      <c r="AV135" s="105" t="n">
        <v>0</v>
      </c>
      <c r="AW135" s="105" t="n">
        <v>0</v>
      </c>
      <c r="AX135" s="105" t="n">
        <v>0</v>
      </c>
      <c r="AY135" s="105" t="n">
        <v>0</v>
      </c>
      <c r="AZ135" s="105" t="n">
        <v>0</v>
      </c>
      <c r="BA135" s="105" t="n">
        <v>0</v>
      </c>
      <c r="BB135" s="105" t="n">
        <v>0</v>
      </c>
      <c r="BC135" s="105" t="n">
        <v>0</v>
      </c>
      <c r="BD135" s="105" t="n">
        <v>0</v>
      </c>
      <c r="BE135" s="105" t="n">
        <v>0</v>
      </c>
      <c r="BF135" s="105" t="n">
        <v>0</v>
      </c>
      <c r="BG135" s="105" t="n">
        <v>0</v>
      </c>
      <c r="BH135" s="105" t="n">
        <v>0</v>
      </c>
      <c r="BI135" s="105" t="n">
        <v>0</v>
      </c>
      <c r="BJ135" s="105" t="n">
        <v>0</v>
      </c>
      <c r="BK135" s="105" t="n">
        <v>0</v>
      </c>
      <c r="BL135" s="105" t="n">
        <v>0</v>
      </c>
      <c r="BM135" s="105" t="n">
        <v>0</v>
      </c>
      <c r="BN135" s="105" t="n">
        <v>0</v>
      </c>
      <c r="BO135" s="105" t="n">
        <v>0</v>
      </c>
      <c r="BP135" s="105" t="n">
        <v>0</v>
      </c>
      <c r="BQ135" s="105" t="n">
        <v>0</v>
      </c>
      <c r="BR135" s="106" t="n">
        <f aca="false">SUM(AP135:BQ135)/60</f>
        <v>0</v>
      </c>
      <c r="BS135" s="106" t="n">
        <f aca="false">SUM(AP135:BR135)/60</f>
        <v>0</v>
      </c>
      <c r="BT135" s="107"/>
      <c r="BU135" s="107"/>
      <c r="BV135" s="107"/>
      <c r="BW135" s="107"/>
      <c r="BX135" s="107"/>
      <c r="BY135" s="107"/>
      <c r="BZ135" s="107"/>
      <c r="CA135" s="107"/>
      <c r="CB135" s="107"/>
      <c r="CC135" s="107"/>
      <c r="CD135" s="107"/>
      <c r="CE135" s="107"/>
      <c r="CF135" s="107"/>
      <c r="CG135" s="107"/>
      <c r="CH135" s="107"/>
      <c r="CI135" s="107"/>
      <c r="CJ135" s="107"/>
      <c r="CK135" s="107"/>
      <c r="CL135" s="107"/>
      <c r="CM135" s="107"/>
      <c r="CN135" s="107"/>
      <c r="CO135" s="107"/>
      <c r="CP135" s="107"/>
      <c r="CQ135" s="107"/>
      <c r="CR135" s="107"/>
      <c r="CS135" s="107"/>
      <c r="CT135" s="107"/>
      <c r="CU135" s="107"/>
      <c r="CV135" s="107"/>
    </row>
    <row r="136" s="74" customFormat="true" ht="14.9" hidden="true" customHeight="true" outlineLevel="0" collapsed="false">
      <c r="A136" s="74" t="n">
        <f aca="false">MONTH(B136)</f>
        <v>8</v>
      </c>
      <c r="B136" s="75" t="n">
        <v>44420</v>
      </c>
      <c r="C136" s="76" t="s">
        <v>152</v>
      </c>
      <c r="D136" s="77" t="str">
        <f aca="false">IFERROR(VLOOKUP(E:E,'Item Data Support Sheet'!A:O,7,0),"")</f>
        <v>NIPPLE MOLDED</v>
      </c>
      <c r="E136" s="108" t="s">
        <v>244</v>
      </c>
      <c r="F136" s="80" t="s">
        <v>137</v>
      </c>
      <c r="G136" s="77" t="s">
        <v>138</v>
      </c>
      <c r="H136" s="79" t="str">
        <f aca="false">IFERROR(VLOOKUP(E:E,'Item Data Support Sheet'!A:O,2,0),"")</f>
        <v>NIPPLE S TYPE S SIZE INJECTION</v>
      </c>
      <c r="I136" s="77" t="s">
        <v>383</v>
      </c>
      <c r="J136" s="80" t="s">
        <v>143</v>
      </c>
      <c r="K136" s="81" t="n">
        <v>8</v>
      </c>
      <c r="L136" s="82" t="n">
        <v>4815</v>
      </c>
      <c r="M136" s="83" t="n">
        <f aca="false">IFERROR(L136/K136,0)</f>
        <v>601.875</v>
      </c>
      <c r="N136" s="84" t="n">
        <f aca="false">+O136+Q136+T136+U136</f>
        <v>5368</v>
      </c>
      <c r="O136" s="85" t="n">
        <v>5300</v>
      </c>
      <c r="P136" s="86" t="n">
        <v>0</v>
      </c>
      <c r="Q136" s="87" t="n">
        <v>0</v>
      </c>
      <c r="R136" s="88" t="n">
        <v>0</v>
      </c>
      <c r="S136" s="88" t="n">
        <v>0</v>
      </c>
      <c r="T136" s="88" t="n">
        <v>60</v>
      </c>
      <c r="U136" s="88" t="n">
        <v>8</v>
      </c>
      <c r="V136" s="89" t="n">
        <v>1</v>
      </c>
      <c r="W136" s="90" t="n">
        <f aca="false">IFERROR(O136/V136,0)</f>
        <v>5300</v>
      </c>
      <c r="X136" s="91" t="n">
        <f aca="false">O136/L136</f>
        <v>1.10072689511942</v>
      </c>
      <c r="Y136" s="92" t="str">
        <f aca="false">IFERROR(VLOOKUP(E:E,'Item Data Support Sheet'!A:J,6,0),0)</f>
        <v>Silicon</v>
      </c>
      <c r="Z136" s="93" t="n">
        <f aca="false">IFERROR(VLOOKUP(E:E,'Item Data Support Sheet'!A:O,4,0),0)</f>
        <v>6.8</v>
      </c>
      <c r="AA136" s="93" t="n">
        <f aca="false">IFERROR(((N136)*(Z136/1000))+P136,0)</f>
        <v>36.5024</v>
      </c>
      <c r="AB136" s="94" t="n">
        <f aca="false">IFERROR((O136*(Z136/1000)/(AA136))," ")</f>
        <v>0.987332339791356</v>
      </c>
      <c r="AC136" s="95" t="n">
        <f aca="false">IFERROR((T136)/((T136)+O136),0)</f>
        <v>0.0111940298507463</v>
      </c>
      <c r="AD136" s="96" t="n">
        <f aca="false">IFERROR(Q136/(Q136+N136),0)</f>
        <v>0</v>
      </c>
      <c r="AE136" s="91" t="n">
        <f aca="false">(N136-T136)/N136</f>
        <v>0.988822652757079</v>
      </c>
      <c r="AF136" s="97" t="n">
        <f aca="false">BR136</f>
        <v>0.583333333333333</v>
      </c>
      <c r="AG136" s="98" t="n">
        <f aca="false">K136-AF136</f>
        <v>7.41666666666667</v>
      </c>
      <c r="AH136" s="99" t="n">
        <f aca="false">IFERROR(AG136/K136," ")</f>
        <v>0.927083333333333</v>
      </c>
      <c r="AI136" s="100" t="n">
        <f aca="false">IFERROR(O136/K136,0)</f>
        <v>662.5</v>
      </c>
      <c r="AJ136" s="101" t="n">
        <f aca="false">VLOOKUP(D136,'Standard Cycle time'!C:D,2,0)</f>
        <v>5.25</v>
      </c>
      <c r="AK136" s="101" t="n">
        <f aca="false">AG136*V136*3600/O136</f>
        <v>5.0377358490566</v>
      </c>
      <c r="AL136" s="102" t="n">
        <f aca="false">AJ136/AK136</f>
        <v>1.04213483146067</v>
      </c>
      <c r="AM136" s="99" t="n">
        <f aca="false">AE136*AL136*AH136</f>
        <v>0.955346885866865</v>
      </c>
      <c r="AN136" s="103" t="n">
        <v>2399</v>
      </c>
      <c r="AO136" s="104"/>
      <c r="AP136" s="105" t="n">
        <v>0</v>
      </c>
      <c r="AQ136" s="105" t="n">
        <v>0</v>
      </c>
      <c r="AR136" s="105" t="n">
        <v>0</v>
      </c>
      <c r="AS136" s="105" t="n">
        <v>0</v>
      </c>
      <c r="AT136" s="105" t="n">
        <v>0</v>
      </c>
      <c r="AU136" s="105" t="n">
        <v>35</v>
      </c>
      <c r="AV136" s="105" t="n">
        <v>0</v>
      </c>
      <c r="AW136" s="105" t="n">
        <v>0</v>
      </c>
      <c r="AX136" s="105" t="n">
        <v>0</v>
      </c>
      <c r="AY136" s="105" t="n">
        <v>0</v>
      </c>
      <c r="AZ136" s="105" t="n">
        <v>0</v>
      </c>
      <c r="BA136" s="105" t="n">
        <v>0</v>
      </c>
      <c r="BB136" s="105" t="n">
        <v>0</v>
      </c>
      <c r="BC136" s="105" t="n">
        <v>0</v>
      </c>
      <c r="BD136" s="105" t="n">
        <v>0</v>
      </c>
      <c r="BE136" s="105" t="n">
        <v>0</v>
      </c>
      <c r="BF136" s="105" t="n">
        <v>0</v>
      </c>
      <c r="BG136" s="105" t="n">
        <v>0</v>
      </c>
      <c r="BH136" s="105" t="n">
        <v>0</v>
      </c>
      <c r="BI136" s="105" t="n">
        <v>0</v>
      </c>
      <c r="BJ136" s="105" t="n">
        <v>0</v>
      </c>
      <c r="BK136" s="105" t="n">
        <v>0</v>
      </c>
      <c r="BL136" s="105" t="n">
        <v>0</v>
      </c>
      <c r="BM136" s="105" t="n">
        <v>0</v>
      </c>
      <c r="BN136" s="105" t="n">
        <v>0</v>
      </c>
      <c r="BO136" s="105" t="n">
        <v>0</v>
      </c>
      <c r="BP136" s="105" t="n">
        <v>0</v>
      </c>
      <c r="BQ136" s="105" t="n">
        <v>0</v>
      </c>
      <c r="BR136" s="106" t="n">
        <f aca="false">SUM(AP136:BQ136)/60</f>
        <v>0.583333333333333</v>
      </c>
      <c r="BS136" s="106" t="n">
        <f aca="false">SUM(AP136:BR136)/60</f>
        <v>0.593055555555556</v>
      </c>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row>
    <row r="137" s="74" customFormat="true" ht="14.9" hidden="true" customHeight="true" outlineLevel="0" collapsed="false">
      <c r="A137" s="74" t="n">
        <f aca="false">MONTH(B137)</f>
        <v>8</v>
      </c>
      <c r="B137" s="75" t="n">
        <v>44420</v>
      </c>
      <c r="C137" s="76" t="s">
        <v>152</v>
      </c>
      <c r="D137" s="77" t="str">
        <f aca="false">IFERROR(VLOOKUP(E:E,'Item Data Support Sheet'!A:O,7,0),"")</f>
        <v>NIPPLE POSTCURE</v>
      </c>
      <c r="E137" s="108" t="s">
        <v>57</v>
      </c>
      <c r="F137" s="80"/>
      <c r="G137" s="77" t="s">
        <v>149</v>
      </c>
      <c r="H137" s="79" t="str">
        <f aca="false">IFERROR(VLOOKUP(E:E,'Item Data Support Sheet'!A:O,2,0),"")</f>
        <v>NIPPLE S TYPE S SIZE POSTCURED</v>
      </c>
      <c r="I137" s="77" t="s">
        <v>384</v>
      </c>
      <c r="J137" s="80" t="s">
        <v>143</v>
      </c>
      <c r="K137" s="81" t="n">
        <v>8</v>
      </c>
      <c r="L137" s="82" t="n">
        <v>7000</v>
      </c>
      <c r="M137" s="83" t="n">
        <f aca="false">IFERROR(L137/K137,0)</f>
        <v>875</v>
      </c>
      <c r="N137" s="84" t="n">
        <f aca="false">+O137+Q137+T137+U137</f>
        <v>10300</v>
      </c>
      <c r="O137" s="85" t="n">
        <f aca="false">3300+4000+3000</f>
        <v>10300</v>
      </c>
      <c r="P137" s="86" t="n">
        <v>0</v>
      </c>
      <c r="Q137" s="87" t="n">
        <v>0</v>
      </c>
      <c r="R137" s="88" t="n">
        <v>0</v>
      </c>
      <c r="S137" s="88" t="n">
        <v>0</v>
      </c>
      <c r="T137" s="88" t="n">
        <v>0</v>
      </c>
      <c r="U137" s="88" t="n">
        <v>0</v>
      </c>
      <c r="V137" s="89" t="n">
        <v>1</v>
      </c>
      <c r="W137" s="90" t="n">
        <f aca="false">IFERROR(O137/V137,0)</f>
        <v>10300</v>
      </c>
      <c r="X137" s="91" t="n">
        <f aca="false">O137/L137</f>
        <v>1.47142857142857</v>
      </c>
      <c r="Y137" s="92" t="str">
        <f aca="false">IFERROR(VLOOKUP(E:E,'Item Data Support Sheet'!A:J,6,0),0)</f>
        <v>FO011</v>
      </c>
      <c r="Z137" s="93" t="n">
        <f aca="false">IFERROR(VLOOKUP(E:E,'Item Data Support Sheet'!A:O,4,0),0)</f>
        <v>0</v>
      </c>
      <c r="AA137" s="93" t="n">
        <f aca="false">IFERROR(((N137)*(Z137/1000))+P137,0)</f>
        <v>0</v>
      </c>
      <c r="AB137" s="94" t="str">
        <f aca="false">IFERROR((O137*(Z137/1000)/(AA137))," ")</f>
        <v> </v>
      </c>
      <c r="AC137" s="95" t="n">
        <f aca="false">IFERROR((T137)/((T137)+O137),0)</f>
        <v>0</v>
      </c>
      <c r="AD137" s="96" t="n">
        <f aca="false">IFERROR(Q137/(Q137+N137),0)</f>
        <v>0</v>
      </c>
      <c r="AE137" s="91" t="n">
        <f aca="false">(N137-T137)/N137</f>
        <v>1</v>
      </c>
      <c r="AF137" s="97" t="n">
        <f aca="false">BR137</f>
        <v>0.666666666666667</v>
      </c>
      <c r="AG137" s="98" t="n">
        <f aca="false">K137-AF137</f>
        <v>7.33333333333333</v>
      </c>
      <c r="AH137" s="99" t="n">
        <f aca="false">IFERROR(AG137/K137," ")</f>
        <v>0.916666666666667</v>
      </c>
      <c r="AI137" s="100" t="n">
        <f aca="false">IFERROR(O137/K137,0)</f>
        <v>1287.5</v>
      </c>
      <c r="AJ137" s="101" t="n">
        <f aca="false">VLOOKUP(D137,'Standard Cycle time'!C:D,2,0)</f>
        <v>2.3</v>
      </c>
      <c r="AK137" s="101" t="n">
        <f aca="false">AG137*V137*3600/O137</f>
        <v>2.5631067961165</v>
      </c>
      <c r="AL137" s="102" t="n">
        <f aca="false">AJ137/AK137</f>
        <v>0.897348484848485</v>
      </c>
      <c r="AM137" s="99" t="n">
        <f aca="false">AE137*AL137*AH137</f>
        <v>0.822569444444444</v>
      </c>
      <c r="AN137" s="103" t="s">
        <v>385</v>
      </c>
      <c r="AO137" s="104"/>
      <c r="AP137" s="105" t="n">
        <v>40</v>
      </c>
      <c r="AQ137" s="105" t="n">
        <v>0</v>
      </c>
      <c r="AR137" s="105" t="n">
        <v>0</v>
      </c>
      <c r="AS137" s="105" t="n">
        <v>0</v>
      </c>
      <c r="AT137" s="105" t="n">
        <v>0</v>
      </c>
      <c r="AU137" s="105" t="n">
        <v>0</v>
      </c>
      <c r="AV137" s="105" t="n">
        <v>0</v>
      </c>
      <c r="AW137" s="105" t="n">
        <v>0</v>
      </c>
      <c r="AX137" s="105" t="n">
        <v>0</v>
      </c>
      <c r="AY137" s="105" t="n">
        <v>0</v>
      </c>
      <c r="AZ137" s="105" t="n">
        <v>0</v>
      </c>
      <c r="BA137" s="105" t="n">
        <v>0</v>
      </c>
      <c r="BB137" s="105" t="n">
        <v>0</v>
      </c>
      <c r="BC137" s="105" t="n">
        <v>0</v>
      </c>
      <c r="BD137" s="105" t="n">
        <v>0</v>
      </c>
      <c r="BE137" s="105" t="n">
        <v>0</v>
      </c>
      <c r="BF137" s="105" t="n">
        <v>0</v>
      </c>
      <c r="BG137" s="105" t="n">
        <v>0</v>
      </c>
      <c r="BH137" s="105" t="n">
        <v>0</v>
      </c>
      <c r="BI137" s="105" t="n">
        <v>0</v>
      </c>
      <c r="BJ137" s="105" t="n">
        <v>0</v>
      </c>
      <c r="BK137" s="105" t="n">
        <v>0</v>
      </c>
      <c r="BL137" s="105" t="n">
        <v>0</v>
      </c>
      <c r="BM137" s="105" t="n">
        <v>0</v>
      </c>
      <c r="BN137" s="105" t="n">
        <v>0</v>
      </c>
      <c r="BO137" s="105" t="n">
        <v>0</v>
      </c>
      <c r="BP137" s="105" t="n">
        <v>0</v>
      </c>
      <c r="BQ137" s="105" t="n">
        <v>0</v>
      </c>
      <c r="BR137" s="106" t="n">
        <f aca="false">SUM(AP137:BQ137)/60</f>
        <v>0.666666666666667</v>
      </c>
      <c r="BS137" s="106" t="n">
        <f aca="false">SUM(AP137:BR137)/60</f>
        <v>0.677777777777778</v>
      </c>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row>
    <row r="138" s="74" customFormat="true" ht="14.9" hidden="true" customHeight="true" outlineLevel="0" collapsed="false">
      <c r="A138" s="74" t="n">
        <f aca="false">MONTH(B138)</f>
        <v>8</v>
      </c>
      <c r="B138" s="75" t="n">
        <v>44420</v>
      </c>
      <c r="C138" s="76" t="s">
        <v>152</v>
      </c>
      <c r="D138" s="77" t="str">
        <f aca="false">IFERROR(VLOOKUP(E:E,'Item Data Support Sheet'!A:O,7,0),"")</f>
        <v>CAP MOLDED</v>
      </c>
      <c r="E138" s="108" t="s">
        <v>343</v>
      </c>
      <c r="F138" s="80"/>
      <c r="G138" s="77" t="s">
        <v>200</v>
      </c>
      <c r="H138" s="79" t="str">
        <f aca="false">IFERROR(VLOOKUP(E:E,'Item Data Support Sheet'!A:O,2,0),"")</f>
        <v>CAP S TYPE MOLDED BLUE</v>
      </c>
      <c r="I138" s="80" t="s">
        <v>386</v>
      </c>
      <c r="J138" s="80" t="s">
        <v>143</v>
      </c>
      <c r="K138" s="81" t="n">
        <v>8</v>
      </c>
      <c r="L138" s="82" t="n">
        <v>4137</v>
      </c>
      <c r="M138" s="83" t="n">
        <f aca="false">IFERROR(L138/K138,0)</f>
        <v>517.125</v>
      </c>
      <c r="N138" s="84" t="n">
        <f aca="false">+O138+Q138+T138+U138</f>
        <v>4033</v>
      </c>
      <c r="O138" s="85" t="n">
        <v>4000</v>
      </c>
      <c r="P138" s="86" t="n">
        <v>0</v>
      </c>
      <c r="Q138" s="87" t="n">
        <v>0</v>
      </c>
      <c r="R138" s="88" t="n">
        <v>0</v>
      </c>
      <c r="S138" s="88" t="n">
        <v>0</v>
      </c>
      <c r="T138" s="88" t="n">
        <v>25</v>
      </c>
      <c r="U138" s="88" t="n">
        <v>8</v>
      </c>
      <c r="V138" s="89" t="n">
        <v>1</v>
      </c>
      <c r="W138" s="90" t="n">
        <f aca="false">IFERROR(O138/V138,0)</f>
        <v>4000</v>
      </c>
      <c r="X138" s="91" t="n">
        <f aca="false">O138/L138</f>
        <v>0.96688421561518</v>
      </c>
      <c r="Y138" s="92" t="str">
        <f aca="false">IFERROR(VLOOKUP(E:E,'Item Data Support Sheet'!A:J,6,0),0)</f>
        <v>RM000114</v>
      </c>
      <c r="Z138" s="93" t="n">
        <f aca="false">IFERROR(VLOOKUP(E:E,'Item Data Support Sheet'!A:O,4,0),0)</f>
        <v>7.3</v>
      </c>
      <c r="AA138" s="93" t="n">
        <f aca="false">IFERROR(((N138)*(Z138/1000))+P138,0)</f>
        <v>29.4409</v>
      </c>
      <c r="AB138" s="94" t="n">
        <f aca="false">IFERROR((O138*(Z138/1000)/(AA138))," ")</f>
        <v>0.991817505578974</v>
      </c>
      <c r="AC138" s="95" t="n">
        <f aca="false">IFERROR((T138)/((T138)+O138),0)</f>
        <v>0.0062111801242236</v>
      </c>
      <c r="AD138" s="96" t="n">
        <f aca="false">IFERROR(Q138/(Q138+N138),0)</f>
        <v>0</v>
      </c>
      <c r="AE138" s="91" t="n">
        <f aca="false">(N138-T138)/N138</f>
        <v>0.993801140590131</v>
      </c>
      <c r="AF138" s="97" t="n">
        <f aca="false">BR138</f>
        <v>0</v>
      </c>
      <c r="AG138" s="98" t="n">
        <f aca="false">K138-AF138</f>
        <v>8</v>
      </c>
      <c r="AH138" s="99" t="n">
        <f aca="false">IFERROR(AG138/K138," ")</f>
        <v>1</v>
      </c>
      <c r="AI138" s="100" t="n">
        <f aca="false">IFERROR(O138/K138,0)</f>
        <v>500</v>
      </c>
      <c r="AJ138" s="101" t="n">
        <f aca="false">VLOOKUP(D138,'Standard Cycle time'!C:D,2,0)</f>
        <v>6</v>
      </c>
      <c r="AK138" s="101" t="n">
        <f aca="false">AG138*V138*3600/O138</f>
        <v>7.2</v>
      </c>
      <c r="AL138" s="102" t="n">
        <f aca="false">AJ138/AK138</f>
        <v>0.833333333333333</v>
      </c>
      <c r="AM138" s="99" t="n">
        <f aca="false">AE138*AL138*AH138</f>
        <v>0.828167617158443</v>
      </c>
      <c r="AN138" s="103" t="n">
        <v>2691</v>
      </c>
      <c r="AO138" s="104"/>
      <c r="AP138" s="105" t="n">
        <v>0</v>
      </c>
      <c r="AQ138" s="105" t="n">
        <v>0</v>
      </c>
      <c r="AR138" s="105" t="n">
        <v>0</v>
      </c>
      <c r="AS138" s="105" t="n">
        <v>0</v>
      </c>
      <c r="AT138" s="105" t="n">
        <v>0</v>
      </c>
      <c r="AU138" s="105" t="n">
        <v>0</v>
      </c>
      <c r="AV138" s="105" t="n">
        <v>0</v>
      </c>
      <c r="AW138" s="105" t="n">
        <v>0</v>
      </c>
      <c r="AX138" s="105" t="n">
        <v>0</v>
      </c>
      <c r="AY138" s="105" t="n">
        <v>0</v>
      </c>
      <c r="AZ138" s="105" t="n">
        <v>0</v>
      </c>
      <c r="BA138" s="105" t="n">
        <v>0</v>
      </c>
      <c r="BB138" s="105" t="n">
        <v>0</v>
      </c>
      <c r="BC138" s="105" t="n">
        <v>0</v>
      </c>
      <c r="BD138" s="105" t="n">
        <v>0</v>
      </c>
      <c r="BE138" s="105" t="n">
        <v>0</v>
      </c>
      <c r="BF138" s="105" t="n">
        <v>0</v>
      </c>
      <c r="BG138" s="105" t="n">
        <v>0</v>
      </c>
      <c r="BH138" s="105" t="n">
        <v>0</v>
      </c>
      <c r="BI138" s="105" t="n">
        <v>0</v>
      </c>
      <c r="BJ138" s="105" t="n">
        <v>0</v>
      </c>
      <c r="BK138" s="105" t="n">
        <v>0</v>
      </c>
      <c r="BL138" s="105" t="n">
        <v>0</v>
      </c>
      <c r="BM138" s="105" t="n">
        <v>0</v>
      </c>
      <c r="BN138" s="105" t="n">
        <v>0</v>
      </c>
      <c r="BO138" s="105" t="n">
        <v>0</v>
      </c>
      <c r="BP138" s="105" t="n">
        <v>0</v>
      </c>
      <c r="BQ138" s="105" t="n">
        <v>0</v>
      </c>
      <c r="BR138" s="106" t="n">
        <f aca="false">SUM(AP138:BQ138)/60</f>
        <v>0</v>
      </c>
      <c r="BS138" s="106" t="n">
        <f aca="false">SUM(AP138:BR138)/60</f>
        <v>0</v>
      </c>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row>
    <row r="139" s="74" customFormat="true" ht="14.9" hidden="true" customHeight="true" outlineLevel="0" collapsed="false">
      <c r="A139" s="74" t="n">
        <f aca="false">MONTH(B139)</f>
        <v>8</v>
      </c>
      <c r="B139" s="75" t="n">
        <v>44421</v>
      </c>
      <c r="C139" s="76" t="s">
        <v>63</v>
      </c>
      <c r="D139" s="77" t="str">
        <f aca="false">IFERROR(VLOOKUP(E:E,'Item Data Support Sheet'!A:O,7,0),"")</f>
        <v>BOTTLE PRINTED</v>
      </c>
      <c r="E139" s="108" t="s">
        <v>387</v>
      </c>
      <c r="F139" s="80"/>
      <c r="G139" s="77"/>
      <c r="H139" s="79" t="str">
        <f aca="false">IFERROR(VLOOKUP(E:E,'Item Data Support Sheet'!A:O,2,0),"")</f>
        <v>KPP 240 BOTTLE PRINTED (WMG3B) W/O OZ &amp; W/BIS LOGO</v>
      </c>
      <c r="I139" s="80" t="s">
        <v>388</v>
      </c>
      <c r="J139" s="80" t="s">
        <v>161</v>
      </c>
      <c r="K139" s="81" t="n">
        <v>1</v>
      </c>
      <c r="L139" s="82" t="n">
        <v>600</v>
      </c>
      <c r="M139" s="83" t="n">
        <f aca="false">IFERROR(L139/K139,0)</f>
        <v>600</v>
      </c>
      <c r="N139" s="84" t="n">
        <f aca="false">+O139+Q139+T139+U139</f>
        <v>328</v>
      </c>
      <c r="O139" s="85" t="n">
        <v>324</v>
      </c>
      <c r="P139" s="86" t="n">
        <v>0</v>
      </c>
      <c r="Q139" s="87" t="n">
        <v>0</v>
      </c>
      <c r="R139" s="88" t="n">
        <v>4</v>
      </c>
      <c r="S139" s="88" t="n">
        <v>0</v>
      </c>
      <c r="T139" s="88" t="n">
        <v>4</v>
      </c>
      <c r="U139" s="88" t="n">
        <v>0</v>
      </c>
      <c r="V139" s="89" t="n">
        <v>6</v>
      </c>
      <c r="W139" s="90" t="n">
        <f aca="false">IFERROR(O139/V139,0)</f>
        <v>54</v>
      </c>
      <c r="X139" s="91" t="n">
        <f aca="false">O139/L139</f>
        <v>0.54</v>
      </c>
      <c r="Y139" s="92" t="str">
        <f aca="false">IFERROR(VLOOKUP(E:E,'Item Data Support Sheet'!A:J,6,0),0)</f>
        <v>FO044</v>
      </c>
      <c r="Z139" s="93" t="n">
        <f aca="false">IFERROR(VLOOKUP(E:E,'Item Data Support Sheet'!A:O,4,0),0)</f>
        <v>0</v>
      </c>
      <c r="AA139" s="93" t="n">
        <f aca="false">IFERROR(((N139)*(Z139/1000))+P139,0)</f>
        <v>0</v>
      </c>
      <c r="AB139" s="94" t="str">
        <f aca="false">IFERROR((O139*(Z139/1000)/(AA139))," ")</f>
        <v> </v>
      </c>
      <c r="AC139" s="95" t="n">
        <f aca="false">IFERROR((T139)/((T139)+O139),0)</f>
        <v>0.0121951219512195</v>
      </c>
      <c r="AD139" s="96" t="n">
        <f aca="false">IFERROR(Q139/(Q139+N139),0)</f>
        <v>0</v>
      </c>
      <c r="AE139" s="91" t="n">
        <f aca="false">(N139-T139)/N139</f>
        <v>0.98780487804878</v>
      </c>
      <c r="AF139" s="97" t="n">
        <f aca="false">BR139</f>
        <v>0.5</v>
      </c>
      <c r="AG139" s="98" t="n">
        <f aca="false">K139-AF139</f>
        <v>0.5</v>
      </c>
      <c r="AH139" s="99" t="n">
        <f aca="false">IFERROR(AG139/K139," ")</f>
        <v>0.5</v>
      </c>
      <c r="AI139" s="100" t="n">
        <f aca="false">IFERROR(O139/K139,0)</f>
        <v>324</v>
      </c>
      <c r="AJ139" s="101" t="n">
        <f aca="false">VLOOKUP(D139,'Standard Cycle time'!C:D,2,0)</f>
        <v>32.4</v>
      </c>
      <c r="AK139" s="101" t="n">
        <f aca="false">AG139*V139*3600/O139</f>
        <v>33.3333333333333</v>
      </c>
      <c r="AL139" s="102" t="n">
        <f aca="false">AJ139/AK139</f>
        <v>0.972</v>
      </c>
      <c r="AM139" s="99" t="n">
        <f aca="false">AE139*AL139*AH139</f>
        <v>0.480073170731707</v>
      </c>
      <c r="AN139" s="103" t="s">
        <v>389</v>
      </c>
      <c r="AO139" s="109" t="s">
        <v>390</v>
      </c>
      <c r="AP139" s="105" t="n">
        <v>0</v>
      </c>
      <c r="AQ139" s="105" t="n">
        <v>30</v>
      </c>
      <c r="AR139" s="105" t="n">
        <v>0</v>
      </c>
      <c r="AS139" s="105" t="n">
        <v>0</v>
      </c>
      <c r="AT139" s="105" t="n">
        <v>0</v>
      </c>
      <c r="AU139" s="105" t="n">
        <v>0</v>
      </c>
      <c r="AV139" s="105" t="n">
        <v>0</v>
      </c>
      <c r="AW139" s="105" t="n">
        <v>0</v>
      </c>
      <c r="AX139" s="105" t="n">
        <v>0</v>
      </c>
      <c r="AY139" s="105" t="n">
        <v>0</v>
      </c>
      <c r="AZ139" s="105" t="n">
        <v>0</v>
      </c>
      <c r="BA139" s="105" t="n">
        <v>0</v>
      </c>
      <c r="BB139" s="105" t="n">
        <v>0</v>
      </c>
      <c r="BC139" s="105" t="n">
        <v>0</v>
      </c>
      <c r="BD139" s="105" t="n">
        <v>0</v>
      </c>
      <c r="BE139" s="105" t="n">
        <v>0</v>
      </c>
      <c r="BF139" s="105" t="n">
        <v>0</v>
      </c>
      <c r="BG139" s="105" t="n">
        <v>0</v>
      </c>
      <c r="BH139" s="105" t="n">
        <v>0</v>
      </c>
      <c r="BI139" s="105" t="n">
        <v>0</v>
      </c>
      <c r="BJ139" s="105" t="n">
        <v>0</v>
      </c>
      <c r="BK139" s="105" t="n">
        <v>0</v>
      </c>
      <c r="BL139" s="105" t="n">
        <v>0</v>
      </c>
      <c r="BM139" s="105" t="n">
        <v>0</v>
      </c>
      <c r="BN139" s="105" t="n">
        <v>0</v>
      </c>
      <c r="BO139" s="105" t="n">
        <v>0</v>
      </c>
      <c r="BP139" s="105" t="n">
        <v>0</v>
      </c>
      <c r="BQ139" s="105" t="n">
        <v>0</v>
      </c>
      <c r="BR139" s="106" t="n">
        <f aca="false">SUM(AP139:BQ139)/60</f>
        <v>0.5</v>
      </c>
      <c r="BS139" s="106" t="n">
        <f aca="false">SUM(AP139:BR139)/60</f>
        <v>0.508333333333333</v>
      </c>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row>
    <row r="140" s="74" customFormat="true" ht="14.9" hidden="true" customHeight="false" outlineLevel="0" collapsed="false">
      <c r="A140" s="74" t="n">
        <f aca="false">MONTH(B140)</f>
        <v>8</v>
      </c>
      <c r="B140" s="75" t="n">
        <v>44421</v>
      </c>
      <c r="C140" s="76" t="s">
        <v>51</v>
      </c>
      <c r="D140" s="77" t="str">
        <f aca="false">IFERROR(VLOOKUP(E:E,'Item Data Support Sheet'!A:O,7,0),"")</f>
        <v>NIPPLE POSTCURE</v>
      </c>
      <c r="E140" s="108" t="s">
        <v>57</v>
      </c>
      <c r="F140" s="80"/>
      <c r="G140" s="77" t="s">
        <v>149</v>
      </c>
      <c r="H140" s="79" t="str">
        <f aca="false">IFERROR(VLOOKUP(E:E,'Item Data Support Sheet'!A:O,2,0),"")</f>
        <v>NIPPLE S TYPE S SIZE POSTCURED</v>
      </c>
      <c r="I140" s="80" t="s">
        <v>391</v>
      </c>
      <c r="J140" s="80" t="s">
        <v>148</v>
      </c>
      <c r="K140" s="81" t="n">
        <v>8</v>
      </c>
      <c r="L140" s="82" t="n">
        <v>7000</v>
      </c>
      <c r="M140" s="83" t="n">
        <f aca="false">IFERROR(L140/K140,0)</f>
        <v>875</v>
      </c>
      <c r="N140" s="84" t="n">
        <f aca="false">+O140+Q140+T140+U140</f>
        <v>9300</v>
      </c>
      <c r="O140" s="85" t="n">
        <f aca="false">5300+4000</f>
        <v>9300</v>
      </c>
      <c r="P140" s="86" t="n">
        <v>0</v>
      </c>
      <c r="Q140" s="87" t="n">
        <v>0</v>
      </c>
      <c r="R140" s="88" t="n">
        <v>0</v>
      </c>
      <c r="S140" s="88" t="n">
        <v>0</v>
      </c>
      <c r="T140" s="88" t="n">
        <v>0</v>
      </c>
      <c r="U140" s="88" t="n">
        <v>0</v>
      </c>
      <c r="V140" s="89" t="n">
        <v>1</v>
      </c>
      <c r="W140" s="90" t="n">
        <f aca="false">IFERROR(O140/V140,0)</f>
        <v>9300</v>
      </c>
      <c r="X140" s="91" t="n">
        <f aca="false">O140/L140</f>
        <v>1.32857142857143</v>
      </c>
      <c r="Y140" s="92" t="str">
        <f aca="false">IFERROR(VLOOKUP(E:E,'Item Data Support Sheet'!A:J,6,0),0)</f>
        <v>FO011</v>
      </c>
      <c r="Z140" s="93" t="n">
        <f aca="false">IFERROR(VLOOKUP(E:E,'Item Data Support Sheet'!A:O,4,0),0)</f>
        <v>0</v>
      </c>
      <c r="AA140" s="93" t="n">
        <f aca="false">IFERROR(((N140)*(Z140/1000))+P140,0)</f>
        <v>0</v>
      </c>
      <c r="AB140" s="94" t="str">
        <f aca="false">IFERROR((O140*(Z140/1000)/(AA140))," ")</f>
        <v> </v>
      </c>
      <c r="AC140" s="95" t="n">
        <f aca="false">IFERROR((T140)/((T140)+O140),0)</f>
        <v>0</v>
      </c>
      <c r="AD140" s="96" t="n">
        <f aca="false">IFERROR(Q140/(Q140+N140),0)</f>
        <v>0</v>
      </c>
      <c r="AE140" s="91" t="n">
        <f aca="false">(N140-T140)/N140</f>
        <v>1</v>
      </c>
      <c r="AF140" s="97" t="n">
        <f aca="false">BR140</f>
        <v>0.666666666666667</v>
      </c>
      <c r="AG140" s="98" t="n">
        <f aca="false">K140-AF140</f>
        <v>7.33333333333333</v>
      </c>
      <c r="AH140" s="99" t="n">
        <f aca="false">IFERROR(AG140/K140," ")</f>
        <v>0.916666666666667</v>
      </c>
      <c r="AI140" s="100" t="n">
        <f aca="false">IFERROR(O140/K140,0)</f>
        <v>1162.5</v>
      </c>
      <c r="AJ140" s="101" t="n">
        <f aca="false">VLOOKUP(D140,'Standard Cycle time'!C:D,2,0)</f>
        <v>2.3</v>
      </c>
      <c r="AK140" s="101" t="n">
        <f aca="false">AG140*V140*3600/O140</f>
        <v>2.83870967741935</v>
      </c>
      <c r="AL140" s="102" t="n">
        <f aca="false">AJ140/AK140</f>
        <v>0.810227272727273</v>
      </c>
      <c r="AM140" s="99" t="n">
        <f aca="false">AE140*AL140*AH140</f>
        <v>0.742708333333333</v>
      </c>
      <c r="AN140" s="103" t="s">
        <v>392</v>
      </c>
      <c r="AO140" s="104"/>
      <c r="AP140" s="105" t="n">
        <v>40</v>
      </c>
      <c r="AQ140" s="105" t="n">
        <v>0</v>
      </c>
      <c r="AR140" s="105" t="n">
        <v>0</v>
      </c>
      <c r="AS140" s="105" t="n">
        <v>0</v>
      </c>
      <c r="AT140" s="105" t="n">
        <v>0</v>
      </c>
      <c r="AU140" s="105" t="n">
        <v>0</v>
      </c>
      <c r="AV140" s="105" t="n">
        <v>0</v>
      </c>
      <c r="AW140" s="105" t="n">
        <v>0</v>
      </c>
      <c r="AX140" s="105" t="n">
        <v>0</v>
      </c>
      <c r="AY140" s="105" t="n">
        <v>0</v>
      </c>
      <c r="AZ140" s="105" t="n">
        <v>0</v>
      </c>
      <c r="BA140" s="105" t="n">
        <v>0</v>
      </c>
      <c r="BB140" s="105" t="n">
        <v>0</v>
      </c>
      <c r="BC140" s="105" t="n">
        <v>0</v>
      </c>
      <c r="BD140" s="105" t="n">
        <v>0</v>
      </c>
      <c r="BE140" s="105" t="n">
        <v>0</v>
      </c>
      <c r="BF140" s="105" t="n">
        <v>0</v>
      </c>
      <c r="BG140" s="105" t="n">
        <v>0</v>
      </c>
      <c r="BH140" s="105" t="n">
        <v>0</v>
      </c>
      <c r="BI140" s="105" t="n">
        <v>0</v>
      </c>
      <c r="BJ140" s="105" t="n">
        <v>0</v>
      </c>
      <c r="BK140" s="105" t="n">
        <v>0</v>
      </c>
      <c r="BL140" s="105" t="n">
        <v>0</v>
      </c>
      <c r="BM140" s="105" t="n">
        <v>0</v>
      </c>
      <c r="BN140" s="105" t="n">
        <v>0</v>
      </c>
      <c r="BO140" s="105" t="n">
        <v>0</v>
      </c>
      <c r="BP140" s="105" t="n">
        <v>0</v>
      </c>
      <c r="BQ140" s="105" t="n">
        <v>0</v>
      </c>
      <c r="BR140" s="106" t="n">
        <f aca="false">SUM(AP140:BQ140)/60</f>
        <v>0.666666666666667</v>
      </c>
      <c r="BS140" s="106" t="n">
        <f aca="false">SUM(AP140:BR140)/60</f>
        <v>0.677777777777778</v>
      </c>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row>
    <row r="141" s="74" customFormat="true" ht="14.9" hidden="true" customHeight="false" outlineLevel="0" collapsed="false">
      <c r="A141" s="74" t="n">
        <f aca="false">MONTH(B141)</f>
        <v>8</v>
      </c>
      <c r="B141" s="75" t="n">
        <v>44421</v>
      </c>
      <c r="C141" s="76" t="s">
        <v>51</v>
      </c>
      <c r="D141" s="77" t="str">
        <f aca="false">IFERROR(VLOOKUP(E:E,'Item Data Support Sheet'!A:O,7,0),"")</f>
        <v>CAP MOLDED</v>
      </c>
      <c r="E141" s="108" t="s">
        <v>343</v>
      </c>
      <c r="F141" s="80"/>
      <c r="G141" s="77" t="s">
        <v>200</v>
      </c>
      <c r="H141" s="79" t="str">
        <f aca="false">IFERROR(VLOOKUP(E:E,'Item Data Support Sheet'!A:O,2,0),"")</f>
        <v>CAP S TYPE MOLDED BLUE</v>
      </c>
      <c r="I141" s="80" t="s">
        <v>393</v>
      </c>
      <c r="J141" s="80" t="s">
        <v>148</v>
      </c>
      <c r="K141" s="81" t="n">
        <v>6</v>
      </c>
      <c r="L141" s="82" t="n">
        <v>3000</v>
      </c>
      <c r="M141" s="83" t="n">
        <f aca="false">IFERROR(L141/K141,0)</f>
        <v>500</v>
      </c>
      <c r="N141" s="84" t="n">
        <f aca="false">+O141+Q141+T141+U141</f>
        <v>3414</v>
      </c>
      <c r="O141" s="85" t="n">
        <v>3400</v>
      </c>
      <c r="P141" s="86" t="n">
        <v>0.2</v>
      </c>
      <c r="Q141" s="87" t="n">
        <v>0</v>
      </c>
      <c r="R141" s="88" t="n">
        <v>0</v>
      </c>
      <c r="S141" s="88" t="n">
        <v>0</v>
      </c>
      <c r="T141" s="88" t="n">
        <v>6</v>
      </c>
      <c r="U141" s="88" t="n">
        <v>8</v>
      </c>
      <c r="V141" s="89" t="n">
        <v>1</v>
      </c>
      <c r="W141" s="90" t="n">
        <f aca="false">IFERROR(O141/V141,0)</f>
        <v>3400</v>
      </c>
      <c r="X141" s="91" t="n">
        <f aca="false">O141/L141</f>
        <v>1.13333333333333</v>
      </c>
      <c r="Y141" s="92" t="str">
        <f aca="false">IFERROR(VLOOKUP(E:E,'Item Data Support Sheet'!A:J,6,0),0)</f>
        <v>RM000114</v>
      </c>
      <c r="Z141" s="93" t="n">
        <f aca="false">IFERROR(VLOOKUP(E:E,'Item Data Support Sheet'!A:O,4,0),0)</f>
        <v>7.3</v>
      </c>
      <c r="AA141" s="93" t="n">
        <f aca="false">IFERROR(((N141)*(Z141/1000))+P141,0)</f>
        <v>25.1222</v>
      </c>
      <c r="AB141" s="94" t="n">
        <f aca="false">IFERROR((O141*(Z141/1000)/(AA141))," ")</f>
        <v>0.98797079873578</v>
      </c>
      <c r="AC141" s="95" t="n">
        <f aca="false">IFERROR((T141)/((T141)+O141),0)</f>
        <v>0.00176159718144451</v>
      </c>
      <c r="AD141" s="96" t="n">
        <f aca="false">IFERROR(Q141/(Q141+N141),0)</f>
        <v>0</v>
      </c>
      <c r="AE141" s="91" t="n">
        <f aca="false">(N141-T141)/N141</f>
        <v>0.998242530755712</v>
      </c>
      <c r="AF141" s="97" t="n">
        <f aca="false">BR141</f>
        <v>0</v>
      </c>
      <c r="AG141" s="98" t="n">
        <f aca="false">K141-AF141</f>
        <v>6</v>
      </c>
      <c r="AH141" s="99" t="n">
        <f aca="false">IFERROR(AG141/K141," ")</f>
        <v>1</v>
      </c>
      <c r="AI141" s="100" t="n">
        <f aca="false">IFERROR(O141/K141,0)</f>
        <v>566.666666666667</v>
      </c>
      <c r="AJ141" s="101" t="n">
        <f aca="false">VLOOKUP(D141,'Standard Cycle time'!C:D,2,0)</f>
        <v>6</v>
      </c>
      <c r="AK141" s="101" t="n">
        <f aca="false">AG141*V141*3600/O141</f>
        <v>6.35294117647059</v>
      </c>
      <c r="AL141" s="102" t="n">
        <f aca="false">AJ141/AK141</f>
        <v>0.944444444444444</v>
      </c>
      <c r="AM141" s="99" t="n">
        <f aca="false">AE141*AL141*AH141</f>
        <v>0.942784612380395</v>
      </c>
      <c r="AN141" s="103" t="n">
        <v>2691</v>
      </c>
      <c r="AO141" s="104"/>
      <c r="AP141" s="105" t="n">
        <v>0</v>
      </c>
      <c r="AQ141" s="105" t="n">
        <v>0</v>
      </c>
      <c r="AR141" s="105" t="n">
        <v>0</v>
      </c>
      <c r="AS141" s="105" t="n">
        <v>0</v>
      </c>
      <c r="AT141" s="105" t="n">
        <v>0</v>
      </c>
      <c r="AU141" s="105" t="n">
        <v>0</v>
      </c>
      <c r="AV141" s="105" t="n">
        <v>0</v>
      </c>
      <c r="AW141" s="105" t="n">
        <v>0</v>
      </c>
      <c r="AX141" s="105" t="n">
        <v>0</v>
      </c>
      <c r="AY141" s="105" t="n">
        <v>0</v>
      </c>
      <c r="AZ141" s="105" t="n">
        <v>0</v>
      </c>
      <c r="BA141" s="105" t="n">
        <v>0</v>
      </c>
      <c r="BB141" s="105" t="n">
        <v>0</v>
      </c>
      <c r="BC141" s="105" t="n">
        <v>0</v>
      </c>
      <c r="BD141" s="105" t="n">
        <v>0</v>
      </c>
      <c r="BE141" s="105" t="n">
        <v>0</v>
      </c>
      <c r="BF141" s="105" t="n">
        <v>0</v>
      </c>
      <c r="BG141" s="105" t="n">
        <v>0</v>
      </c>
      <c r="BH141" s="105" t="n">
        <v>0</v>
      </c>
      <c r="BI141" s="105" t="n">
        <v>0</v>
      </c>
      <c r="BJ141" s="105" t="n">
        <v>0</v>
      </c>
      <c r="BK141" s="105" t="n">
        <v>0</v>
      </c>
      <c r="BL141" s="105" t="n">
        <v>0</v>
      </c>
      <c r="BM141" s="105" t="n">
        <v>0</v>
      </c>
      <c r="BN141" s="105" t="n">
        <v>0</v>
      </c>
      <c r="BO141" s="105" t="n">
        <v>0</v>
      </c>
      <c r="BP141" s="105" t="n">
        <v>0</v>
      </c>
      <c r="BQ141" s="105" t="n">
        <v>0</v>
      </c>
      <c r="BR141" s="106" t="n">
        <f aca="false">SUM(AP141:BQ141)/60</f>
        <v>0</v>
      </c>
      <c r="BS141" s="106" t="n">
        <f aca="false">SUM(AP141:BR141)/60</f>
        <v>0</v>
      </c>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row>
    <row r="142" s="74" customFormat="true" ht="15" hidden="true" customHeight="true" outlineLevel="0" collapsed="false">
      <c r="A142" s="74" t="n">
        <f aca="false">MONTH(B142)</f>
        <v>8</v>
      </c>
      <c r="B142" s="75" t="n">
        <v>44421</v>
      </c>
      <c r="C142" s="76" t="s">
        <v>51</v>
      </c>
      <c r="D142" s="77" t="str">
        <f aca="false">IFERROR(VLOOKUP(E:E,'Item Data Support Sheet'!A:O,7,0),"")</f>
        <v>CAP MOLDED</v>
      </c>
      <c r="E142" s="108" t="s">
        <v>343</v>
      </c>
      <c r="F142" s="80"/>
      <c r="G142" s="77" t="s">
        <v>200</v>
      </c>
      <c r="H142" s="79" t="str">
        <f aca="false">IFERROR(VLOOKUP(E:E,'Item Data Support Sheet'!A:O,2,0),"")</f>
        <v>CAP S TYPE MOLDED BLUE</v>
      </c>
      <c r="I142" s="80" t="s">
        <v>394</v>
      </c>
      <c r="J142" s="80" t="s">
        <v>148</v>
      </c>
      <c r="K142" s="81" t="n">
        <v>2</v>
      </c>
      <c r="L142" s="82" t="n">
        <f aca="false">4037-L141</f>
        <v>1037</v>
      </c>
      <c r="M142" s="83" t="n">
        <f aca="false">IFERROR(L142/K142,0)</f>
        <v>518.5</v>
      </c>
      <c r="N142" s="84" t="n">
        <f aca="false">+O142+Q142+T142+U142</f>
        <v>1012</v>
      </c>
      <c r="O142" s="85" t="n">
        <v>1000</v>
      </c>
      <c r="P142" s="86" t="n">
        <v>0</v>
      </c>
      <c r="Q142" s="87" t="n">
        <v>0</v>
      </c>
      <c r="R142" s="88" t="n">
        <v>0</v>
      </c>
      <c r="S142" s="88" t="n">
        <v>0</v>
      </c>
      <c r="T142" s="88" t="n">
        <v>12</v>
      </c>
      <c r="U142" s="88" t="n">
        <v>0</v>
      </c>
      <c r="V142" s="89" t="n">
        <v>1</v>
      </c>
      <c r="W142" s="90" t="n">
        <f aca="false">IFERROR(O142/V142,0)</f>
        <v>1000</v>
      </c>
      <c r="X142" s="91" t="n">
        <f aca="false">O142/L142</f>
        <v>0.964320154291225</v>
      </c>
      <c r="Y142" s="92" t="str">
        <f aca="false">IFERROR(VLOOKUP(E:E,'Item Data Support Sheet'!A:J,6,0),0)</f>
        <v>RM000114</v>
      </c>
      <c r="Z142" s="93" t="n">
        <f aca="false">IFERROR(VLOOKUP(E:E,'Item Data Support Sheet'!A:O,4,0),0)</f>
        <v>7.3</v>
      </c>
      <c r="AA142" s="93" t="n">
        <f aca="false">IFERROR(((N142)*(Z142/1000))+P142,0)</f>
        <v>7.3876</v>
      </c>
      <c r="AB142" s="94" t="n">
        <f aca="false">IFERROR((O142*(Z142/1000)/(AA142))," ")</f>
        <v>0.988142292490119</v>
      </c>
      <c r="AC142" s="95" t="n">
        <f aca="false">IFERROR((T142)/((T142)+O142),0)</f>
        <v>0.0118577075098814</v>
      </c>
      <c r="AD142" s="96" t="n">
        <f aca="false">IFERROR(Q142/(Q142+N142),0)</f>
        <v>0</v>
      </c>
      <c r="AE142" s="91" t="n">
        <f aca="false">(N142-T142)/N142</f>
        <v>0.988142292490119</v>
      </c>
      <c r="AF142" s="97" t="n">
        <f aca="false">BR142</f>
        <v>0</v>
      </c>
      <c r="AG142" s="98" t="n">
        <f aca="false">K142-AF142</f>
        <v>2</v>
      </c>
      <c r="AH142" s="99" t="n">
        <f aca="false">IFERROR(AG142/K142," ")</f>
        <v>1</v>
      </c>
      <c r="AI142" s="100" t="n">
        <f aca="false">IFERROR(O142/K142,0)</f>
        <v>500</v>
      </c>
      <c r="AJ142" s="101" t="n">
        <f aca="false">VLOOKUP(D142,'Standard Cycle time'!C:D,2,0)</f>
        <v>6</v>
      </c>
      <c r="AK142" s="101" t="n">
        <f aca="false">AG142*V142*3600/O142</f>
        <v>7.2</v>
      </c>
      <c r="AL142" s="102" t="n">
        <f aca="false">AJ142/AK142</f>
        <v>0.833333333333333</v>
      </c>
      <c r="AM142" s="99" t="n">
        <f aca="false">AE142*AL142*AH142</f>
        <v>0.823451910408432</v>
      </c>
      <c r="AN142" s="103" t="n">
        <v>2690</v>
      </c>
      <c r="AO142" s="104"/>
      <c r="AP142" s="105" t="n">
        <v>0</v>
      </c>
      <c r="AQ142" s="105" t="n">
        <v>0</v>
      </c>
      <c r="AR142" s="105" t="n">
        <v>0</v>
      </c>
      <c r="AS142" s="105" t="n">
        <v>0</v>
      </c>
      <c r="AT142" s="105" t="n">
        <v>0</v>
      </c>
      <c r="AU142" s="105" t="n">
        <v>0</v>
      </c>
      <c r="AV142" s="105" t="n">
        <v>0</v>
      </c>
      <c r="AW142" s="105" t="n">
        <v>0</v>
      </c>
      <c r="AX142" s="105" t="n">
        <v>0</v>
      </c>
      <c r="AY142" s="105" t="n">
        <v>0</v>
      </c>
      <c r="AZ142" s="105" t="n">
        <v>0</v>
      </c>
      <c r="BA142" s="105" t="n">
        <v>0</v>
      </c>
      <c r="BB142" s="105" t="n">
        <v>0</v>
      </c>
      <c r="BC142" s="105" t="n">
        <v>0</v>
      </c>
      <c r="BD142" s="105" t="n">
        <v>0</v>
      </c>
      <c r="BE142" s="105" t="n">
        <v>0</v>
      </c>
      <c r="BF142" s="105" t="n">
        <v>0</v>
      </c>
      <c r="BG142" s="105" t="n">
        <v>0</v>
      </c>
      <c r="BH142" s="105" t="n">
        <v>0</v>
      </c>
      <c r="BI142" s="105" t="n">
        <v>0</v>
      </c>
      <c r="BJ142" s="105" t="n">
        <v>0</v>
      </c>
      <c r="BK142" s="105" t="n">
        <v>0</v>
      </c>
      <c r="BL142" s="105" t="n">
        <v>0</v>
      </c>
      <c r="BM142" s="105" t="n">
        <v>0</v>
      </c>
      <c r="BN142" s="105" t="n">
        <v>0</v>
      </c>
      <c r="BO142" s="105" t="n">
        <v>0</v>
      </c>
      <c r="BP142" s="105" t="n">
        <v>0</v>
      </c>
      <c r="BQ142" s="105" t="n">
        <v>0</v>
      </c>
      <c r="BR142" s="106" t="n">
        <f aca="false">SUM(AP142:BQ142)/60</f>
        <v>0</v>
      </c>
      <c r="BS142" s="106" t="n">
        <f aca="false">SUM(AP142:BR142)/60</f>
        <v>0</v>
      </c>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row>
    <row r="143" s="74" customFormat="true" ht="15" hidden="true" customHeight="true" outlineLevel="0" collapsed="false">
      <c r="A143" s="74" t="n">
        <f aca="false">MONTH(B143)</f>
        <v>8</v>
      </c>
      <c r="B143" s="75" t="n">
        <v>44421</v>
      </c>
      <c r="C143" s="76" t="s">
        <v>51</v>
      </c>
      <c r="D143" s="77" t="str">
        <f aca="false">IFERROR(VLOOKUP(E:E,'Item Data Support Sheet'!A:O,7,0),"")</f>
        <v>BOTTLE MOLDED</v>
      </c>
      <c r="E143" s="108" t="s">
        <v>69</v>
      </c>
      <c r="F143" s="80" t="s">
        <v>73</v>
      </c>
      <c r="G143" s="77" t="s">
        <v>74</v>
      </c>
      <c r="H143" s="79" t="str">
        <f aca="false">IFERROR(VLOOKUP(E:E,'Item Data Support Sheet'!A:O,2,0),"")</f>
        <v>KPP 240 ML BOTTLE MOLDED</v>
      </c>
      <c r="I143" s="80" t="s">
        <v>395</v>
      </c>
      <c r="J143" s="80" t="s">
        <v>148</v>
      </c>
      <c r="K143" s="81" t="n">
        <v>8</v>
      </c>
      <c r="L143" s="82" t="n">
        <v>2574</v>
      </c>
      <c r="M143" s="83" t="n">
        <f aca="false">IFERROR(L143/K143,0)</f>
        <v>321.75</v>
      </c>
      <c r="N143" s="84" t="n">
        <f aca="false">+O143+Q143+T143+U143</f>
        <v>3202</v>
      </c>
      <c r="O143" s="85" t="n">
        <f aca="false">27*108</f>
        <v>2916</v>
      </c>
      <c r="P143" s="86" t="n">
        <v>0.12</v>
      </c>
      <c r="Q143" s="87" t="n">
        <v>200</v>
      </c>
      <c r="R143" s="88" t="n">
        <v>0</v>
      </c>
      <c r="S143" s="88" t="n">
        <v>0</v>
      </c>
      <c r="T143" s="88" t="n">
        <v>78</v>
      </c>
      <c r="U143" s="88" t="n">
        <v>8</v>
      </c>
      <c r="V143" s="89" t="n">
        <v>1</v>
      </c>
      <c r="W143" s="90" t="n">
        <f aca="false">IFERROR(O143/V143,0)</f>
        <v>2916</v>
      </c>
      <c r="X143" s="91" t="n">
        <f aca="false">O143/L143</f>
        <v>1.13286713286713</v>
      </c>
      <c r="Y143" s="92" t="str">
        <f aca="false">IFERROR(VLOOKUP(E:E,'Item Data Support Sheet'!A:J,6,0),0)</f>
        <v>HMC</v>
      </c>
      <c r="Z143" s="93" t="n">
        <f aca="false">IFERROR(VLOOKUP(E:E,'Item Data Support Sheet'!A:O,4,0),0)</f>
        <v>32.1</v>
      </c>
      <c r="AA143" s="93" t="n">
        <f aca="false">IFERROR(((N143)*(Z143/1000))+P143,0)</f>
        <v>102.9042</v>
      </c>
      <c r="AB143" s="94" t="n">
        <f aca="false">IFERROR((O143*(Z143/1000)/(AA143))," ")</f>
        <v>0.90961884937641</v>
      </c>
      <c r="AC143" s="95" t="n">
        <f aca="false">IFERROR((T143)/((T143)+O143),0)</f>
        <v>0.0260521042084168</v>
      </c>
      <c r="AD143" s="96" t="n">
        <f aca="false">IFERROR(Q143/(Q143+N143),0)</f>
        <v>0.0587889476778366</v>
      </c>
      <c r="AE143" s="91" t="n">
        <f aca="false">(N143-T143)/N143</f>
        <v>0.975640224859463</v>
      </c>
      <c r="AF143" s="97" t="n">
        <f aca="false">BR143</f>
        <v>0</v>
      </c>
      <c r="AG143" s="98" t="n">
        <f aca="false">K143-AF143</f>
        <v>8</v>
      </c>
      <c r="AH143" s="99" t="n">
        <f aca="false">IFERROR(AG143/K143," ")</f>
        <v>1</v>
      </c>
      <c r="AI143" s="100" t="n">
        <f aca="false">IFERROR(O143/K143,0)</f>
        <v>364.5</v>
      </c>
      <c r="AJ143" s="101" t="n">
        <f aca="false">VLOOKUP(D143,'Standard Cycle time'!C:D,2,0)</f>
        <v>9</v>
      </c>
      <c r="AK143" s="101" t="n">
        <f aca="false">AG143*V143*3600/O143</f>
        <v>9.87654320987654</v>
      </c>
      <c r="AL143" s="102" t="n">
        <f aca="false">AJ143/AK143</f>
        <v>0.91125</v>
      </c>
      <c r="AM143" s="99" t="n">
        <f aca="false">AE143*AL143*AH143</f>
        <v>0.889052154903185</v>
      </c>
      <c r="AN143" s="103" t="n">
        <v>2419</v>
      </c>
      <c r="AO143" s="104" t="s">
        <v>396</v>
      </c>
      <c r="AP143" s="105" t="n">
        <v>0</v>
      </c>
      <c r="AQ143" s="105" t="n">
        <v>0</v>
      </c>
      <c r="AR143" s="105" t="n">
        <v>0</v>
      </c>
      <c r="AS143" s="105" t="n">
        <v>0</v>
      </c>
      <c r="AT143" s="105" t="n">
        <v>0</v>
      </c>
      <c r="AU143" s="105" t="n">
        <v>0</v>
      </c>
      <c r="AV143" s="105" t="n">
        <v>0</v>
      </c>
      <c r="AW143" s="105" t="n">
        <v>0</v>
      </c>
      <c r="AX143" s="105" t="n">
        <v>0</v>
      </c>
      <c r="AY143" s="105" t="n">
        <v>0</v>
      </c>
      <c r="AZ143" s="105" t="n">
        <v>0</v>
      </c>
      <c r="BA143" s="105" t="n">
        <v>0</v>
      </c>
      <c r="BB143" s="105" t="n">
        <v>0</v>
      </c>
      <c r="BC143" s="105" t="n">
        <v>0</v>
      </c>
      <c r="BD143" s="105" t="n">
        <v>0</v>
      </c>
      <c r="BE143" s="105" t="n">
        <v>0</v>
      </c>
      <c r="BF143" s="105" t="n">
        <v>0</v>
      </c>
      <c r="BG143" s="105" t="n">
        <v>0</v>
      </c>
      <c r="BH143" s="105" t="n">
        <v>0</v>
      </c>
      <c r="BI143" s="105" t="n">
        <v>0</v>
      </c>
      <c r="BJ143" s="105" t="n">
        <v>0</v>
      </c>
      <c r="BK143" s="105" t="n">
        <v>0</v>
      </c>
      <c r="BL143" s="105" t="n">
        <v>0</v>
      </c>
      <c r="BM143" s="105" t="n">
        <v>0</v>
      </c>
      <c r="BN143" s="105" t="n">
        <v>0</v>
      </c>
      <c r="BO143" s="105" t="n">
        <v>0</v>
      </c>
      <c r="BP143" s="105" t="n">
        <v>0</v>
      </c>
      <c r="BQ143" s="105" t="n">
        <v>0</v>
      </c>
      <c r="BR143" s="106" t="n">
        <f aca="false">SUM(AP143:BQ143)/60</f>
        <v>0</v>
      </c>
      <c r="BS143" s="106" t="n">
        <f aca="false">SUM(AP143:BR143)/60</f>
        <v>0</v>
      </c>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row>
    <row r="144" s="74" customFormat="true" ht="14.9" hidden="true" customHeight="false" outlineLevel="0" collapsed="false">
      <c r="A144" s="74" t="n">
        <f aca="false">MONTH(B144)</f>
        <v>8</v>
      </c>
      <c r="B144" s="75" t="n">
        <v>44421</v>
      </c>
      <c r="C144" s="76" t="s">
        <v>51</v>
      </c>
      <c r="D144" s="77" t="str">
        <f aca="false">IFERROR(VLOOKUP(E:E,'Item Data Support Sheet'!A:O,7,0),"")</f>
        <v>NIPPLE MOLDED</v>
      </c>
      <c r="E144" s="108" t="s">
        <v>244</v>
      </c>
      <c r="F144" s="80" t="s">
        <v>137</v>
      </c>
      <c r="G144" s="77" t="s">
        <v>138</v>
      </c>
      <c r="H144" s="79" t="str">
        <f aca="false">IFERROR(VLOOKUP(E:E,'Item Data Support Sheet'!A:O,2,0),"")</f>
        <v>NIPPLE S TYPE S SIZE INJECTION</v>
      </c>
      <c r="I144" s="81" t="s">
        <v>397</v>
      </c>
      <c r="J144" s="80" t="s">
        <v>148</v>
      </c>
      <c r="K144" s="81" t="n">
        <v>8</v>
      </c>
      <c r="L144" s="82" t="n">
        <v>4815</v>
      </c>
      <c r="M144" s="83" t="n">
        <f aca="false">IFERROR(L144/K144,0)</f>
        <v>601.875</v>
      </c>
      <c r="N144" s="84" t="n">
        <f aca="false">+O144+Q144+T144+U144</f>
        <v>5080</v>
      </c>
      <c r="O144" s="85" t="n">
        <v>5000</v>
      </c>
      <c r="P144" s="86" t="n">
        <v>0</v>
      </c>
      <c r="Q144" s="87" t="n">
        <v>0</v>
      </c>
      <c r="R144" s="88" t="n">
        <v>0</v>
      </c>
      <c r="S144" s="88" t="n">
        <v>0</v>
      </c>
      <c r="T144" s="88" t="n">
        <v>72</v>
      </c>
      <c r="U144" s="88" t="n">
        <v>8</v>
      </c>
      <c r="V144" s="89" t="n">
        <v>1</v>
      </c>
      <c r="W144" s="90" t="n">
        <f aca="false">IFERROR(O144/V144,0)</f>
        <v>5000</v>
      </c>
      <c r="X144" s="91" t="n">
        <f aca="false">O144/L144</f>
        <v>1.03842159916926</v>
      </c>
      <c r="Y144" s="92" t="str">
        <f aca="false">IFERROR(VLOOKUP(E:E,'Item Data Support Sheet'!A:J,6,0),0)</f>
        <v>Silicon</v>
      </c>
      <c r="Z144" s="93" t="n">
        <f aca="false">IFERROR(VLOOKUP(E:E,'Item Data Support Sheet'!A:O,4,0),0)</f>
        <v>6.8</v>
      </c>
      <c r="AA144" s="93" t="n">
        <f aca="false">IFERROR(((N144)*(Z144/1000))+P144,0)</f>
        <v>34.544</v>
      </c>
      <c r="AB144" s="94" t="n">
        <f aca="false">IFERROR((O144*(Z144/1000)/(AA144))," ")</f>
        <v>0.984251968503937</v>
      </c>
      <c r="AC144" s="95" t="n">
        <f aca="false">IFERROR((T144)/((T144)+O144),0)</f>
        <v>0.0141955835962145</v>
      </c>
      <c r="AD144" s="96" t="n">
        <f aca="false">IFERROR(Q144/(Q144+N144),0)</f>
        <v>0</v>
      </c>
      <c r="AE144" s="91" t="n">
        <f aca="false">(N144-T144)/N144</f>
        <v>0.985826771653543</v>
      </c>
      <c r="AF144" s="97" t="n">
        <f aca="false">BR144</f>
        <v>1</v>
      </c>
      <c r="AG144" s="98" t="n">
        <f aca="false">K144-AF144</f>
        <v>7</v>
      </c>
      <c r="AH144" s="99" t="n">
        <f aca="false">IFERROR(AG144/K144," ")</f>
        <v>0.875</v>
      </c>
      <c r="AI144" s="100" t="n">
        <f aca="false">IFERROR(O144/K144,0)</f>
        <v>625</v>
      </c>
      <c r="AJ144" s="101" t="n">
        <f aca="false">VLOOKUP(D144,'Standard Cycle time'!C:D,2,0)</f>
        <v>5.25</v>
      </c>
      <c r="AK144" s="101" t="n">
        <f aca="false">AG144*V144*3600/O144</f>
        <v>5.04</v>
      </c>
      <c r="AL144" s="102" t="n">
        <f aca="false">AJ144/AK144</f>
        <v>1.04166666666667</v>
      </c>
      <c r="AM144" s="99" t="n">
        <f aca="false">AE144*AL144*AH144</f>
        <v>0.898540026246719</v>
      </c>
      <c r="AN144" s="103" t="n">
        <v>2416</v>
      </c>
      <c r="AO144" s="104"/>
      <c r="AP144" s="105" t="n">
        <v>0</v>
      </c>
      <c r="AQ144" s="105" t="n">
        <v>0</v>
      </c>
      <c r="AR144" s="105" t="n">
        <v>0</v>
      </c>
      <c r="AS144" s="105" t="n">
        <v>0</v>
      </c>
      <c r="AT144" s="105" t="n">
        <v>0</v>
      </c>
      <c r="AU144" s="105" t="n">
        <v>30</v>
      </c>
      <c r="AV144" s="105" t="n">
        <v>0</v>
      </c>
      <c r="AW144" s="105" t="n">
        <v>30</v>
      </c>
      <c r="AX144" s="105" t="n">
        <v>0</v>
      </c>
      <c r="AY144" s="105" t="n">
        <v>0</v>
      </c>
      <c r="AZ144" s="105" t="n">
        <v>0</v>
      </c>
      <c r="BA144" s="105" t="n">
        <v>0</v>
      </c>
      <c r="BB144" s="105" t="n">
        <v>0</v>
      </c>
      <c r="BC144" s="105" t="n">
        <v>0</v>
      </c>
      <c r="BD144" s="105" t="n">
        <v>0</v>
      </c>
      <c r="BE144" s="105" t="n">
        <v>0</v>
      </c>
      <c r="BF144" s="105" t="n">
        <v>0</v>
      </c>
      <c r="BG144" s="105" t="n">
        <v>0</v>
      </c>
      <c r="BH144" s="105" t="n">
        <v>0</v>
      </c>
      <c r="BI144" s="105" t="n">
        <v>0</v>
      </c>
      <c r="BJ144" s="105" t="n">
        <v>0</v>
      </c>
      <c r="BK144" s="105" t="n">
        <v>0</v>
      </c>
      <c r="BL144" s="105" t="n">
        <v>0</v>
      </c>
      <c r="BM144" s="105" t="n">
        <v>0</v>
      </c>
      <c r="BN144" s="105" t="n">
        <v>0</v>
      </c>
      <c r="BO144" s="105" t="n">
        <v>0</v>
      </c>
      <c r="BP144" s="105" t="n">
        <v>0</v>
      </c>
      <c r="BQ144" s="105" t="n">
        <v>0</v>
      </c>
      <c r="BR144" s="106" t="n">
        <f aca="false">SUM(AP144:BQ144)/60</f>
        <v>1</v>
      </c>
      <c r="BS144" s="116" t="n">
        <f aca="false">SUM(AP144:BR144)/60</f>
        <v>1.01666666666667</v>
      </c>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row>
    <row r="145" s="74" customFormat="true" ht="14.9" hidden="true" customHeight="false" outlineLevel="0" collapsed="false">
      <c r="A145" s="74" t="n">
        <f aca="false">MONTH(B145)</f>
        <v>8</v>
      </c>
      <c r="B145" s="75" t="n">
        <v>44421</v>
      </c>
      <c r="C145" s="76" t="s">
        <v>51</v>
      </c>
      <c r="D145" s="77" t="str">
        <f aca="false">IFERROR(VLOOKUP(E:E,'Item Data Support Sheet'!A:O,7,0),"")</f>
        <v>NIPPLE PUNCH</v>
      </c>
      <c r="E145" s="108" t="s">
        <v>53</v>
      </c>
      <c r="F145" s="80"/>
      <c r="G145" s="77" t="s">
        <v>149</v>
      </c>
      <c r="H145" s="79" t="str">
        <f aca="false">IFERROR(VLOOKUP(E:E,'Item Data Support Sheet'!A:O,2,0),"")</f>
        <v>NIPPLE S TYPE S SIZE PUNCHED</v>
      </c>
      <c r="I145" s="80" t="s">
        <v>398</v>
      </c>
      <c r="J145" s="80" t="s">
        <v>148</v>
      </c>
      <c r="K145" s="81" t="n">
        <v>8</v>
      </c>
      <c r="L145" s="82" t="n">
        <v>7036</v>
      </c>
      <c r="M145" s="83" t="n">
        <f aca="false">IFERROR(L145/K145,0)</f>
        <v>879.5</v>
      </c>
      <c r="N145" s="84" t="n">
        <f aca="false">+O145+Q145+T145+U145</f>
        <v>7320</v>
      </c>
      <c r="O145" s="85" t="n">
        <f aca="false">6500+820</f>
        <v>7320</v>
      </c>
      <c r="P145" s="86" t="n">
        <v>0</v>
      </c>
      <c r="Q145" s="87" t="n">
        <v>0</v>
      </c>
      <c r="R145" s="88" t="n">
        <v>0</v>
      </c>
      <c r="S145" s="88" t="n">
        <v>0</v>
      </c>
      <c r="T145" s="88" t="n">
        <v>0</v>
      </c>
      <c r="U145" s="88" t="n">
        <v>0</v>
      </c>
      <c r="V145" s="89" t="n">
        <v>1</v>
      </c>
      <c r="W145" s="90" t="n">
        <f aca="false">IFERROR(O145/V145,0)</f>
        <v>7320</v>
      </c>
      <c r="X145" s="91" t="n">
        <f aca="false">O145/L145</f>
        <v>1.04036384309267</v>
      </c>
      <c r="Y145" s="92" t="str">
        <f aca="false">IFERROR(VLOOKUP(E:E,'Item Data Support Sheet'!A:J,6,0),0)</f>
        <v>FO015</v>
      </c>
      <c r="Z145" s="93" t="n">
        <f aca="false">IFERROR(VLOOKUP(E:E,'Item Data Support Sheet'!A:O,4,0),0)</f>
        <v>0</v>
      </c>
      <c r="AA145" s="93" t="n">
        <f aca="false">IFERROR(((N145)*(Z145/1000))+P145,0)</f>
        <v>0</v>
      </c>
      <c r="AB145" s="94" t="str">
        <f aca="false">IFERROR((O145*(Z145/1000)/(AA145))," ")</f>
        <v> </v>
      </c>
      <c r="AC145" s="95" t="n">
        <f aca="false">IFERROR((T145)/((T145)+O145),0)</f>
        <v>0</v>
      </c>
      <c r="AD145" s="96" t="n">
        <f aca="false">IFERROR(Q145/(Q145+N145),0)</f>
        <v>0</v>
      </c>
      <c r="AE145" s="91" t="n">
        <f aca="false">(N145-T145)/N145</f>
        <v>1</v>
      </c>
      <c r="AF145" s="97" t="n">
        <f aca="false">BR145</f>
        <v>0</v>
      </c>
      <c r="AG145" s="98" t="n">
        <f aca="false">K145-AF145</f>
        <v>8</v>
      </c>
      <c r="AH145" s="99" t="n">
        <f aca="false">IFERROR(AG145/K145," ")</f>
        <v>1</v>
      </c>
      <c r="AI145" s="100" t="n">
        <f aca="false">IFERROR(O145/K145,0)</f>
        <v>915</v>
      </c>
      <c r="AJ145" s="101" t="n">
        <f aca="false">VLOOKUP(D145,'Standard Cycle time'!C:D,2,0)</f>
        <v>3.5</v>
      </c>
      <c r="AK145" s="101" t="n">
        <f aca="false">AG145*V145*3600/O145</f>
        <v>3.9344262295082</v>
      </c>
      <c r="AL145" s="102" t="n">
        <f aca="false">AJ145/AK145</f>
        <v>0.889583333333333</v>
      </c>
      <c r="AM145" s="99" t="n">
        <f aca="false">AE145*AL145*AH145</f>
        <v>0.889583333333333</v>
      </c>
      <c r="AN145" s="103" t="s">
        <v>399</v>
      </c>
      <c r="AO145" s="109"/>
      <c r="AP145" s="105" t="n">
        <v>0</v>
      </c>
      <c r="AQ145" s="105" t="n">
        <v>0</v>
      </c>
      <c r="AR145" s="105" t="n">
        <v>0</v>
      </c>
      <c r="AS145" s="105" t="n">
        <v>0</v>
      </c>
      <c r="AT145" s="105" t="n">
        <v>0</v>
      </c>
      <c r="AU145" s="105" t="n">
        <v>0</v>
      </c>
      <c r="AV145" s="105" t="n">
        <v>0</v>
      </c>
      <c r="AW145" s="105" t="n">
        <v>0</v>
      </c>
      <c r="AX145" s="105" t="n">
        <v>0</v>
      </c>
      <c r="AY145" s="105" t="n">
        <v>0</v>
      </c>
      <c r="AZ145" s="105" t="n">
        <v>0</v>
      </c>
      <c r="BA145" s="105" t="n">
        <v>0</v>
      </c>
      <c r="BB145" s="105" t="n">
        <v>0</v>
      </c>
      <c r="BC145" s="105" t="n">
        <v>0</v>
      </c>
      <c r="BD145" s="105" t="n">
        <v>0</v>
      </c>
      <c r="BE145" s="105" t="n">
        <v>0</v>
      </c>
      <c r="BF145" s="105" t="n">
        <v>0</v>
      </c>
      <c r="BG145" s="105" t="n">
        <v>0</v>
      </c>
      <c r="BH145" s="105" t="n">
        <v>0</v>
      </c>
      <c r="BI145" s="105" t="n">
        <v>0</v>
      </c>
      <c r="BJ145" s="105" t="n">
        <v>0</v>
      </c>
      <c r="BK145" s="105" t="n">
        <v>0</v>
      </c>
      <c r="BL145" s="105" t="n">
        <v>0</v>
      </c>
      <c r="BM145" s="105" t="n">
        <v>0</v>
      </c>
      <c r="BN145" s="105" t="n">
        <v>0</v>
      </c>
      <c r="BO145" s="105" t="n">
        <v>0</v>
      </c>
      <c r="BP145" s="105" t="n">
        <v>0</v>
      </c>
      <c r="BQ145" s="105" t="n">
        <v>0</v>
      </c>
      <c r="BR145" s="106" t="n">
        <f aca="false">SUM(AP145:BQ145)/60</f>
        <v>0</v>
      </c>
      <c r="BS145" s="117" t="n">
        <f aca="false">SUM(AP145:BR145)/60</f>
        <v>0</v>
      </c>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row>
    <row r="146" s="74" customFormat="true" ht="14.9" hidden="true" customHeight="false" outlineLevel="0" collapsed="false">
      <c r="A146" s="74" t="n">
        <f aca="false">MONTH(B146)</f>
        <v>8</v>
      </c>
      <c r="B146" s="75" t="n">
        <v>44421</v>
      </c>
      <c r="C146" s="76" t="s">
        <v>63</v>
      </c>
      <c r="D146" s="77" t="str">
        <f aca="false">IFERROR(VLOOKUP(E:E,'Item Data Support Sheet'!A:O,7,0),"")</f>
        <v>NIPPLE PUNCH INSPECTED</v>
      </c>
      <c r="E146" s="108" t="s">
        <v>297</v>
      </c>
      <c r="F146" s="80"/>
      <c r="G146" s="77"/>
      <c r="H146" s="79" t="str">
        <f aca="false">IFERROR(VLOOKUP(E:E,'Item Data Support Sheet'!A:O,2,0),"")</f>
        <v>NIPPLE S TYPE S SIZE PUNCHED INSPECTED</v>
      </c>
      <c r="I146" s="80" t="s">
        <v>400</v>
      </c>
      <c r="J146" s="80" t="s">
        <v>158</v>
      </c>
      <c r="K146" s="81" t="n">
        <v>8.5</v>
      </c>
      <c r="L146" s="82" t="n">
        <v>7091</v>
      </c>
      <c r="M146" s="83" t="n">
        <f aca="false">IFERROR(L146/K146,0)</f>
        <v>834.235294117647</v>
      </c>
      <c r="N146" s="84" t="n">
        <f aca="false">+O146+Q146+T146+U146</f>
        <v>9320</v>
      </c>
      <c r="O146" s="85" t="n">
        <v>9263</v>
      </c>
      <c r="P146" s="86" t="n">
        <v>0</v>
      </c>
      <c r="Q146" s="87" t="n">
        <v>0</v>
      </c>
      <c r="R146" s="88" t="n">
        <v>0</v>
      </c>
      <c r="S146" s="88" t="n">
        <v>0</v>
      </c>
      <c r="T146" s="88" t="n">
        <v>57</v>
      </c>
      <c r="U146" s="88" t="n">
        <v>0</v>
      </c>
      <c r="V146" s="89" t="n">
        <v>1</v>
      </c>
      <c r="W146" s="90" t="n">
        <f aca="false">IFERROR(O146/V146,0)</f>
        <v>9263</v>
      </c>
      <c r="X146" s="91" t="n">
        <f aca="false">O146/L146</f>
        <v>1.30630376533634</v>
      </c>
      <c r="Y146" s="92" t="str">
        <f aca="false">IFERROR(VLOOKUP(E:E,'Item Data Support Sheet'!A:J,6,0),0)</f>
        <v>FO104</v>
      </c>
      <c r="Z146" s="93" t="n">
        <f aca="false">IFERROR(VLOOKUP(E:E,'Item Data Support Sheet'!A:O,4,0),0)</f>
        <v>0</v>
      </c>
      <c r="AA146" s="93" t="n">
        <f aca="false">IFERROR(((N146)*(Z146/1000))+P146,0)</f>
        <v>0</v>
      </c>
      <c r="AB146" s="94" t="str">
        <f aca="false">IFERROR((O146*(Z146/1000)/(AA146))," ")</f>
        <v> </v>
      </c>
      <c r="AC146" s="95" t="n">
        <f aca="false">IFERROR((T146)/((T146)+O146),0)</f>
        <v>0.00611587982832618</v>
      </c>
      <c r="AD146" s="96" t="n">
        <f aca="false">IFERROR(Q146/(Q146+N146),0)</f>
        <v>0</v>
      </c>
      <c r="AE146" s="91" t="n">
        <f aca="false">(N146-T146)/N146</f>
        <v>0.993884120171674</v>
      </c>
      <c r="AF146" s="97" t="n">
        <f aca="false">BR146</f>
        <v>0.833333333333333</v>
      </c>
      <c r="AG146" s="98" t="n">
        <f aca="false">K146-AF146</f>
        <v>7.66666666666667</v>
      </c>
      <c r="AH146" s="99" t="n">
        <f aca="false">IFERROR(AG146/K146," ")</f>
        <v>0.901960784313726</v>
      </c>
      <c r="AI146" s="100" t="n">
        <f aca="false">IFERROR(O146/K146,0)</f>
        <v>1089.76470588235</v>
      </c>
      <c r="AJ146" s="101" t="n">
        <f aca="false">VLOOKUP(D146,'Standard Cycle time'!C:D,2,0)</f>
        <v>4</v>
      </c>
      <c r="AK146" s="101" t="n">
        <f aca="false">AG146*V146*3600/O146</f>
        <v>2.97959624311778</v>
      </c>
      <c r="AL146" s="102" t="n">
        <f aca="false">AJ146/AK146</f>
        <v>1.34246376811594</v>
      </c>
      <c r="AM146" s="99" t="n">
        <f aca="false">AE146*AL146*AH146</f>
        <v>1.20344426211114</v>
      </c>
      <c r="AN146" s="103" t="s">
        <v>401</v>
      </c>
      <c r="AO146" s="109"/>
      <c r="AP146" s="105" t="n">
        <v>50</v>
      </c>
      <c r="AQ146" s="105" t="n">
        <v>0</v>
      </c>
      <c r="AR146" s="105" t="n">
        <v>0</v>
      </c>
      <c r="AS146" s="105" t="n">
        <v>0</v>
      </c>
      <c r="AT146" s="105" t="n">
        <v>0</v>
      </c>
      <c r="AU146" s="105" t="n">
        <v>0</v>
      </c>
      <c r="AV146" s="105" t="n">
        <v>0</v>
      </c>
      <c r="AW146" s="105" t="n">
        <v>0</v>
      </c>
      <c r="AX146" s="105" t="n">
        <v>0</v>
      </c>
      <c r="AY146" s="105" t="n">
        <v>0</v>
      </c>
      <c r="AZ146" s="105" t="n">
        <v>0</v>
      </c>
      <c r="BA146" s="105" t="n">
        <v>0</v>
      </c>
      <c r="BB146" s="105" t="n">
        <v>0</v>
      </c>
      <c r="BC146" s="105" t="n">
        <v>0</v>
      </c>
      <c r="BD146" s="105" t="n">
        <v>0</v>
      </c>
      <c r="BE146" s="105" t="n">
        <v>0</v>
      </c>
      <c r="BF146" s="105" t="n">
        <v>0</v>
      </c>
      <c r="BG146" s="105" t="n">
        <v>0</v>
      </c>
      <c r="BH146" s="105" t="n">
        <v>0</v>
      </c>
      <c r="BI146" s="105" t="n">
        <v>0</v>
      </c>
      <c r="BJ146" s="105" t="n">
        <v>0</v>
      </c>
      <c r="BK146" s="105" t="n">
        <v>0</v>
      </c>
      <c r="BL146" s="105" t="n">
        <v>0</v>
      </c>
      <c r="BM146" s="105" t="n">
        <v>0</v>
      </c>
      <c r="BN146" s="105" t="n">
        <v>0</v>
      </c>
      <c r="BO146" s="105" t="n">
        <v>0</v>
      </c>
      <c r="BP146" s="105" t="n">
        <v>0</v>
      </c>
      <c r="BQ146" s="105" t="n">
        <v>0</v>
      </c>
      <c r="BR146" s="106" t="n">
        <f aca="false">SUM(AP146:BQ146)/60</f>
        <v>0.833333333333333</v>
      </c>
      <c r="BS146" s="117" t="n">
        <f aca="false">SUM(AP146:BR146)/60</f>
        <v>0.847222222222222</v>
      </c>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row>
    <row r="147" s="74" customFormat="true" ht="14.9" hidden="true" customHeight="false" outlineLevel="0" collapsed="false">
      <c r="A147" s="74" t="n">
        <f aca="false">MONTH(B147)</f>
        <v>8</v>
      </c>
      <c r="B147" s="75" t="n">
        <v>44421</v>
      </c>
      <c r="C147" s="76" t="s">
        <v>63</v>
      </c>
      <c r="D147" s="77" t="str">
        <f aca="false">IFERROR(VLOOKUP(E:E,'Item Data Support Sheet'!A:O,7,0),"")</f>
        <v>BOTTLE PRINTED</v>
      </c>
      <c r="E147" s="108" t="s">
        <v>387</v>
      </c>
      <c r="F147" s="80"/>
      <c r="G147" s="77" t="s">
        <v>66</v>
      </c>
      <c r="H147" s="79" t="str">
        <f aca="false">IFERROR(VLOOKUP(E:E,'Item Data Support Sheet'!A:O,2,0),"")</f>
        <v>KPP 240 BOTTLE PRINTED (WMG3B) W/O OZ &amp; W/BIS LOGO</v>
      </c>
      <c r="I147" s="80" t="s">
        <v>402</v>
      </c>
      <c r="J147" s="80" t="s">
        <v>161</v>
      </c>
      <c r="K147" s="81" t="n">
        <v>4</v>
      </c>
      <c r="L147" s="82" t="n">
        <v>2100</v>
      </c>
      <c r="M147" s="83" t="n">
        <f aca="false">IFERROR(L147/K147,0)</f>
        <v>525</v>
      </c>
      <c r="N147" s="84" t="n">
        <f aca="false">+O147+Q147+T147+U147</f>
        <v>1863</v>
      </c>
      <c r="O147" s="85" t="n">
        <v>1836</v>
      </c>
      <c r="P147" s="86" t="n">
        <v>0</v>
      </c>
      <c r="Q147" s="87" t="n">
        <v>0</v>
      </c>
      <c r="R147" s="88" t="n">
        <v>27</v>
      </c>
      <c r="S147" s="88" t="n">
        <v>0</v>
      </c>
      <c r="T147" s="88" t="n">
        <v>27</v>
      </c>
      <c r="U147" s="88" t="n">
        <v>0</v>
      </c>
      <c r="V147" s="89" t="n">
        <v>6</v>
      </c>
      <c r="W147" s="90" t="n">
        <f aca="false">IFERROR(O147/V147,0)</f>
        <v>306</v>
      </c>
      <c r="X147" s="91" t="n">
        <f aca="false">O147/L147</f>
        <v>0.874285714285714</v>
      </c>
      <c r="Y147" s="92" t="str">
        <f aca="false">IFERROR(VLOOKUP(E:E,'Item Data Support Sheet'!A:J,6,0),0)</f>
        <v>FO044</v>
      </c>
      <c r="Z147" s="93" t="n">
        <f aca="false">IFERROR(VLOOKUP(E:E,'Item Data Support Sheet'!A:O,4,0),0)</f>
        <v>0</v>
      </c>
      <c r="AA147" s="93" t="n">
        <f aca="false">IFERROR(((N147)*(Z147/1000))+P147,0)</f>
        <v>0</v>
      </c>
      <c r="AB147" s="94" t="str">
        <f aca="false">IFERROR((O147*(Z147/1000)/(AA147))," ")</f>
        <v> </v>
      </c>
      <c r="AC147" s="95" t="n">
        <f aca="false">IFERROR((T147)/((T147)+O147),0)</f>
        <v>0.0144927536231884</v>
      </c>
      <c r="AD147" s="96" t="n">
        <f aca="false">IFERROR(Q147/(Q147+N147),0)</f>
        <v>0</v>
      </c>
      <c r="AE147" s="91" t="n">
        <f aca="false">(N147-T147)/N147</f>
        <v>0.985507246376812</v>
      </c>
      <c r="AF147" s="97" t="n">
        <f aca="false">BR147</f>
        <v>1.33333333333333</v>
      </c>
      <c r="AG147" s="98" t="n">
        <f aca="false">K147-AF147</f>
        <v>2.66666666666667</v>
      </c>
      <c r="AH147" s="99" t="n">
        <f aca="false">IFERROR(AG147/K147," ")</f>
        <v>0.666666666666667</v>
      </c>
      <c r="AI147" s="100" t="n">
        <f aca="false">IFERROR(O147/K147,0)</f>
        <v>459</v>
      </c>
      <c r="AJ147" s="101" t="n">
        <f aca="false">VLOOKUP(D147,'Standard Cycle time'!C:D,2,0)</f>
        <v>32.4</v>
      </c>
      <c r="AK147" s="101" t="n">
        <f aca="false">AG147*V147*3600/O147</f>
        <v>31.3725490196078</v>
      </c>
      <c r="AL147" s="102" t="n">
        <f aca="false">AJ147/AK147</f>
        <v>1.03275</v>
      </c>
      <c r="AM147" s="99" t="n">
        <f aca="false">AE147*AL147*AH147</f>
        <v>0.678521739130435</v>
      </c>
      <c r="AN147" s="103" t="s">
        <v>403</v>
      </c>
      <c r="AO147" s="109" t="s">
        <v>404</v>
      </c>
      <c r="AP147" s="105" t="n">
        <v>20</v>
      </c>
      <c r="AQ147" s="105" t="n">
        <v>60</v>
      </c>
      <c r="AR147" s="105" t="n">
        <v>0</v>
      </c>
      <c r="AS147" s="105" t="n">
        <v>0</v>
      </c>
      <c r="AT147" s="105" t="n">
        <v>0</v>
      </c>
      <c r="AU147" s="105" t="n">
        <v>0</v>
      </c>
      <c r="AV147" s="105" t="n">
        <v>0</v>
      </c>
      <c r="AW147" s="105" t="n">
        <v>0</v>
      </c>
      <c r="AX147" s="105" t="n">
        <v>0</v>
      </c>
      <c r="AY147" s="105" t="n">
        <v>0</v>
      </c>
      <c r="AZ147" s="105" t="n">
        <v>0</v>
      </c>
      <c r="BA147" s="105" t="n">
        <v>0</v>
      </c>
      <c r="BB147" s="105" t="n">
        <v>0</v>
      </c>
      <c r="BC147" s="105" t="n">
        <v>0</v>
      </c>
      <c r="BD147" s="105" t="n">
        <v>0</v>
      </c>
      <c r="BE147" s="105" t="n">
        <v>0</v>
      </c>
      <c r="BF147" s="105" t="n">
        <v>0</v>
      </c>
      <c r="BG147" s="105" t="n">
        <v>0</v>
      </c>
      <c r="BH147" s="105" t="n">
        <v>0</v>
      </c>
      <c r="BI147" s="105" t="n">
        <v>0</v>
      </c>
      <c r="BJ147" s="105" t="n">
        <v>0</v>
      </c>
      <c r="BK147" s="105" t="n">
        <v>0</v>
      </c>
      <c r="BL147" s="105" t="n">
        <v>0</v>
      </c>
      <c r="BM147" s="105" t="n">
        <v>0</v>
      </c>
      <c r="BN147" s="105" t="n">
        <v>0</v>
      </c>
      <c r="BO147" s="105" t="n">
        <v>0</v>
      </c>
      <c r="BP147" s="105" t="n">
        <v>0</v>
      </c>
      <c r="BQ147" s="105" t="n">
        <v>0</v>
      </c>
      <c r="BR147" s="106" t="n">
        <f aca="false">SUM(AP147:BQ147)/60</f>
        <v>1.33333333333333</v>
      </c>
      <c r="BS147" s="117" t="n">
        <f aca="false">SUM(AP147:BR147)/60</f>
        <v>1.35555555555556</v>
      </c>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row>
    <row r="148" s="119" customFormat="true" ht="14.9" hidden="true" customHeight="false" outlineLevel="0" collapsed="false">
      <c r="A148" s="74" t="n">
        <f aca="false">MONTH(B148)</f>
        <v>8</v>
      </c>
      <c r="B148" s="75" t="n">
        <v>44421</v>
      </c>
      <c r="C148" s="76" t="s">
        <v>63</v>
      </c>
      <c r="D148" s="77" t="str">
        <f aca="false">IFERROR(VLOOKUP(E:E,'Item Data Support Sheet'!A:O,7,0),"")</f>
        <v>BOTTLE PRINTED</v>
      </c>
      <c r="E148" s="108" t="s">
        <v>65</v>
      </c>
      <c r="F148" s="80"/>
      <c r="G148" s="77" t="s">
        <v>66</v>
      </c>
      <c r="H148" s="79" t="str">
        <f aca="false">IFERROR(VLOOKUP(E:E,'Item Data Support Sheet'!A:O,2,0),"")</f>
        <v>KPP 240 ML BOTTLE PRINTED</v>
      </c>
      <c r="I148" s="80" t="s">
        <v>405</v>
      </c>
      <c r="J148" s="80" t="s">
        <v>161</v>
      </c>
      <c r="K148" s="81" t="n">
        <v>4.5</v>
      </c>
      <c r="L148" s="82" t="n">
        <v>3000</v>
      </c>
      <c r="M148" s="83" t="n">
        <f aca="false">IFERROR(L148/K148,0)</f>
        <v>666.666666666667</v>
      </c>
      <c r="N148" s="84" t="n">
        <f aca="false">+O148+Q148+T148+U148</f>
        <v>1739</v>
      </c>
      <c r="O148" s="85" t="n">
        <v>1728</v>
      </c>
      <c r="P148" s="86" t="n">
        <v>0</v>
      </c>
      <c r="Q148" s="87" t="n">
        <v>0</v>
      </c>
      <c r="R148" s="88" t="n">
        <v>16</v>
      </c>
      <c r="S148" s="88" t="n">
        <v>0</v>
      </c>
      <c r="T148" s="88" t="n">
        <v>11</v>
      </c>
      <c r="U148" s="88" t="n">
        <v>0</v>
      </c>
      <c r="V148" s="89" t="n">
        <v>6</v>
      </c>
      <c r="W148" s="90" t="n">
        <f aca="false">IFERROR(O148/V148,0)</f>
        <v>288</v>
      </c>
      <c r="X148" s="91" t="n">
        <f aca="false">O148/L148</f>
        <v>0.576</v>
      </c>
      <c r="Y148" s="92" t="str">
        <f aca="false">IFERROR(VLOOKUP(E:E,'Item Data Support Sheet'!A:J,6,0),0)</f>
        <v>FO003</v>
      </c>
      <c r="Z148" s="93" t="n">
        <f aca="false">IFERROR(VLOOKUP(E:E,'Item Data Support Sheet'!A:O,4,0),0)</f>
        <v>0</v>
      </c>
      <c r="AA148" s="93" t="n">
        <f aca="false">IFERROR(((N148)*(Z148/1000))+P148,0)</f>
        <v>0</v>
      </c>
      <c r="AB148" s="94" t="str">
        <f aca="false">IFERROR((O148*(Z148/1000)/(AA148))," ")</f>
        <v> </v>
      </c>
      <c r="AC148" s="95" t="n">
        <f aca="false">IFERROR((T148)/((T148)+O148),0)</f>
        <v>0.00632547441058079</v>
      </c>
      <c r="AD148" s="96" t="n">
        <f aca="false">IFERROR(Q148/(Q148+N148),0)</f>
        <v>0</v>
      </c>
      <c r="AE148" s="91" t="n">
        <f aca="false">(N148-T148)/N148</f>
        <v>0.993674525589419</v>
      </c>
      <c r="AF148" s="97" t="n">
        <f aca="false">BR148</f>
        <v>1.83333333333333</v>
      </c>
      <c r="AG148" s="98" t="n">
        <f aca="false">K148-AF148</f>
        <v>2.66666666666667</v>
      </c>
      <c r="AH148" s="99" t="n">
        <f aca="false">IFERROR(AG148/K148," ")</f>
        <v>0.592592592592593</v>
      </c>
      <c r="AI148" s="100" t="n">
        <f aca="false">IFERROR(O148/K148,0)</f>
        <v>384</v>
      </c>
      <c r="AJ148" s="101" t="n">
        <f aca="false">VLOOKUP(D148,'Standard Cycle time'!C:D,2,0)</f>
        <v>32.4</v>
      </c>
      <c r="AK148" s="101" t="n">
        <f aca="false">AG148*V148*3600/O148</f>
        <v>33.3333333333333</v>
      </c>
      <c r="AL148" s="102" t="n">
        <f aca="false">AJ148/AK148</f>
        <v>0.972</v>
      </c>
      <c r="AM148" s="99" t="n">
        <f aca="false">AE148*AL148*AH148</f>
        <v>0.572356526739505</v>
      </c>
      <c r="AN148" s="103" t="s">
        <v>406</v>
      </c>
      <c r="AO148" s="109" t="s">
        <v>407</v>
      </c>
      <c r="AP148" s="105" t="n">
        <v>30</v>
      </c>
      <c r="AQ148" s="105" t="n">
        <v>80</v>
      </c>
      <c r="AR148" s="105" t="n">
        <v>0</v>
      </c>
      <c r="AS148" s="105" t="n">
        <v>0</v>
      </c>
      <c r="AT148" s="105" t="n">
        <v>0</v>
      </c>
      <c r="AU148" s="105" t="n">
        <v>0</v>
      </c>
      <c r="AV148" s="105" t="n">
        <v>0</v>
      </c>
      <c r="AW148" s="105" t="n">
        <v>0</v>
      </c>
      <c r="AX148" s="105" t="n">
        <v>0</v>
      </c>
      <c r="AY148" s="105" t="n">
        <v>0</v>
      </c>
      <c r="AZ148" s="105" t="n">
        <v>0</v>
      </c>
      <c r="BA148" s="105" t="n">
        <v>0</v>
      </c>
      <c r="BB148" s="105" t="n">
        <v>0</v>
      </c>
      <c r="BC148" s="105" t="n">
        <v>0</v>
      </c>
      <c r="BD148" s="105" t="n">
        <v>0</v>
      </c>
      <c r="BE148" s="105" t="n">
        <v>0</v>
      </c>
      <c r="BF148" s="105" t="n">
        <v>0</v>
      </c>
      <c r="BG148" s="105" t="n">
        <v>0</v>
      </c>
      <c r="BH148" s="105" t="n">
        <v>0</v>
      </c>
      <c r="BI148" s="105" t="n">
        <v>0</v>
      </c>
      <c r="BJ148" s="105" t="n">
        <v>0</v>
      </c>
      <c r="BK148" s="105" t="n">
        <v>0</v>
      </c>
      <c r="BL148" s="105" t="n">
        <v>0</v>
      </c>
      <c r="BM148" s="105" t="n">
        <v>0</v>
      </c>
      <c r="BN148" s="105" t="n">
        <v>0</v>
      </c>
      <c r="BO148" s="105" t="n">
        <v>0</v>
      </c>
      <c r="BP148" s="105" t="n">
        <v>0</v>
      </c>
      <c r="BQ148" s="105" t="n">
        <v>0</v>
      </c>
      <c r="BR148" s="106" t="n">
        <f aca="false">SUM(AP148:BQ148)/60</f>
        <v>1.83333333333333</v>
      </c>
      <c r="BS148" s="117" t="n">
        <f aca="false">SUM(AP148:BR148)/60</f>
        <v>1.86388888888889</v>
      </c>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18"/>
      <c r="CX148" s="118"/>
      <c r="CY148" s="118"/>
      <c r="CZ148" s="118"/>
      <c r="DA148" s="118"/>
      <c r="DB148" s="118"/>
      <c r="DC148" s="118"/>
      <c r="DD148" s="118"/>
      <c r="DE148" s="118"/>
      <c r="DF148" s="118"/>
      <c r="DG148" s="118"/>
      <c r="DH148" s="118"/>
      <c r="DI148" s="118"/>
      <c r="DJ148" s="118"/>
      <c r="DK148" s="118"/>
      <c r="DL148" s="118"/>
      <c r="DM148" s="118"/>
      <c r="DN148" s="118"/>
      <c r="DO148" s="118"/>
      <c r="DP148" s="118"/>
      <c r="DQ148" s="118"/>
      <c r="DR148" s="118"/>
      <c r="DS148" s="118"/>
      <c r="DT148" s="118"/>
      <c r="DU148" s="118"/>
      <c r="DV148" s="118"/>
      <c r="DW148" s="118"/>
      <c r="DX148" s="118"/>
      <c r="DY148" s="118"/>
      <c r="DZ148" s="118"/>
      <c r="EA148" s="118"/>
      <c r="EB148" s="118"/>
      <c r="EC148" s="118"/>
      <c r="ED148" s="118"/>
      <c r="EE148" s="118"/>
      <c r="EF148" s="118"/>
      <c r="EG148" s="118"/>
      <c r="EH148" s="118"/>
      <c r="EI148" s="118"/>
      <c r="EJ148" s="118"/>
      <c r="EK148" s="118"/>
      <c r="EL148" s="118"/>
      <c r="EM148" s="118"/>
      <c r="EN148" s="118"/>
      <c r="EO148" s="118"/>
      <c r="EP148" s="118"/>
      <c r="EQ148" s="118"/>
      <c r="ER148" s="118"/>
      <c r="ES148" s="118"/>
      <c r="ET148" s="118"/>
      <c r="EU148" s="118"/>
      <c r="EV148" s="118"/>
      <c r="EW148" s="118"/>
      <c r="EX148" s="118"/>
      <c r="EY148" s="118"/>
      <c r="EZ148" s="118"/>
      <c r="FA148" s="118"/>
      <c r="FB148" s="118"/>
      <c r="FC148" s="118"/>
      <c r="FD148" s="118"/>
      <c r="FE148" s="118"/>
      <c r="FF148" s="118"/>
      <c r="FG148" s="118"/>
      <c r="FH148" s="118"/>
      <c r="FI148" s="118"/>
      <c r="FJ148" s="118"/>
      <c r="FK148" s="118"/>
      <c r="FL148" s="118"/>
      <c r="FM148" s="118"/>
      <c r="FN148" s="118"/>
      <c r="FO148" s="118"/>
      <c r="FP148" s="118"/>
      <c r="FQ148" s="118"/>
      <c r="FR148" s="118"/>
      <c r="FS148" s="118"/>
      <c r="FT148" s="118"/>
      <c r="FU148" s="118"/>
    </row>
    <row r="149" s="121" customFormat="true" ht="16.5" hidden="true" customHeight="true" outlineLevel="0" collapsed="false">
      <c r="A149" s="74" t="n">
        <f aca="false">MONTH(B149)</f>
        <v>8</v>
      </c>
      <c r="B149" s="75" t="n">
        <v>44421</v>
      </c>
      <c r="C149" s="76" t="s">
        <v>70</v>
      </c>
      <c r="D149" s="77" t="str">
        <f aca="false">IFERROR(VLOOKUP(E:E,'Item Data Support Sheet'!A:O,7,0),"")</f>
        <v>CAP MOLDED</v>
      </c>
      <c r="E149" s="108" t="s">
        <v>343</v>
      </c>
      <c r="F149" s="80"/>
      <c r="G149" s="77" t="s">
        <v>200</v>
      </c>
      <c r="H149" s="79" t="str">
        <f aca="false">IFERROR(VLOOKUP(E:E,'Item Data Support Sheet'!A:O,2,0),"")</f>
        <v>CAP S TYPE MOLDED BLUE</v>
      </c>
      <c r="I149" s="108" t="s">
        <v>408</v>
      </c>
      <c r="J149" s="80" t="s">
        <v>140</v>
      </c>
      <c r="K149" s="81" t="n">
        <v>8</v>
      </c>
      <c r="L149" s="82" t="n">
        <v>4137</v>
      </c>
      <c r="M149" s="83" t="n">
        <f aca="false">IFERROR(L149/K149,0)</f>
        <v>517.125</v>
      </c>
      <c r="N149" s="84" t="n">
        <f aca="false">+O149+Q149+T149+U149</f>
        <v>3450</v>
      </c>
      <c r="O149" s="85" t="n">
        <v>3445</v>
      </c>
      <c r="P149" s="86" t="n">
        <v>0</v>
      </c>
      <c r="Q149" s="87" t="n">
        <v>0</v>
      </c>
      <c r="R149" s="88" t="n">
        <v>0</v>
      </c>
      <c r="S149" s="88" t="n">
        <v>0</v>
      </c>
      <c r="T149" s="88" t="n">
        <v>5</v>
      </c>
      <c r="U149" s="88" t="n">
        <v>0</v>
      </c>
      <c r="V149" s="89" t="n">
        <v>1</v>
      </c>
      <c r="W149" s="90" t="n">
        <f aca="false">IFERROR(O149/V149,0)</f>
        <v>3445</v>
      </c>
      <c r="X149" s="91" t="n">
        <f aca="false">O149/L149</f>
        <v>0.832729030698574</v>
      </c>
      <c r="Y149" s="92" t="str">
        <f aca="false">IFERROR(VLOOKUP(E:E,'Item Data Support Sheet'!A:J,6,0),0)</f>
        <v>RM000114</v>
      </c>
      <c r="Z149" s="93" t="n">
        <f aca="false">IFERROR(VLOOKUP(E:E,'Item Data Support Sheet'!A:O,4,0),0)</f>
        <v>7.3</v>
      </c>
      <c r="AA149" s="93" t="n">
        <f aca="false">IFERROR(((N149)*(Z149/1000))+P149,0)</f>
        <v>25.185</v>
      </c>
      <c r="AB149" s="94" t="n">
        <f aca="false">IFERROR((O149*(Z149/1000)/(AA149))," ")</f>
        <v>0.998550724637681</v>
      </c>
      <c r="AC149" s="95" t="n">
        <f aca="false">IFERROR((T149)/((T149)+O149),0)</f>
        <v>0.00144927536231884</v>
      </c>
      <c r="AD149" s="96" t="n">
        <f aca="false">IFERROR(Q149/(Q149+N149),0)</f>
        <v>0</v>
      </c>
      <c r="AE149" s="91" t="n">
        <f aca="false">(N149-T149)/N149</f>
        <v>0.998550724637681</v>
      </c>
      <c r="AF149" s="97" t="n">
        <f aca="false">BR149</f>
        <v>1.16666666666667</v>
      </c>
      <c r="AG149" s="98" t="n">
        <f aca="false">K149-AF149</f>
        <v>6.83333333333333</v>
      </c>
      <c r="AH149" s="99" t="n">
        <f aca="false">IFERROR(AG149/K149," ")</f>
        <v>0.854166666666667</v>
      </c>
      <c r="AI149" s="100" t="n">
        <f aca="false">IFERROR(O149/K149,0)</f>
        <v>430.625</v>
      </c>
      <c r="AJ149" s="101" t="n">
        <f aca="false">VLOOKUP(D149,'Standard Cycle time'!C:D,2,0)</f>
        <v>6</v>
      </c>
      <c r="AK149" s="101" t="n">
        <f aca="false">AG149*V149*3600/O149</f>
        <v>7.14078374455733</v>
      </c>
      <c r="AL149" s="102" t="n">
        <f aca="false">AJ149/AK149</f>
        <v>0.840243902439024</v>
      </c>
      <c r="AM149" s="99" t="n">
        <f aca="false">AE149*AL149*AH149</f>
        <v>0.716668176328502</v>
      </c>
      <c r="AN149" s="103" t="n">
        <v>2690</v>
      </c>
      <c r="AO149" s="104" t="s">
        <v>409</v>
      </c>
      <c r="AP149" s="105" t="n">
        <v>0</v>
      </c>
      <c r="AQ149" s="105" t="n">
        <v>30</v>
      </c>
      <c r="AR149" s="105" t="n">
        <v>0</v>
      </c>
      <c r="AS149" s="105" t="n">
        <v>0</v>
      </c>
      <c r="AT149" s="105" t="n">
        <v>0</v>
      </c>
      <c r="AU149" s="105" t="n">
        <v>0</v>
      </c>
      <c r="AV149" s="105" t="n">
        <v>40</v>
      </c>
      <c r="AW149" s="105" t="n">
        <v>0</v>
      </c>
      <c r="AX149" s="105" t="n">
        <v>0</v>
      </c>
      <c r="AY149" s="105" t="n">
        <v>0</v>
      </c>
      <c r="AZ149" s="105" t="n">
        <v>0</v>
      </c>
      <c r="BA149" s="105" t="n">
        <v>0</v>
      </c>
      <c r="BB149" s="105" t="n">
        <v>0</v>
      </c>
      <c r="BC149" s="105" t="n">
        <v>0</v>
      </c>
      <c r="BD149" s="105" t="n">
        <v>0</v>
      </c>
      <c r="BE149" s="105" t="n">
        <v>0</v>
      </c>
      <c r="BF149" s="105" t="n">
        <v>0</v>
      </c>
      <c r="BG149" s="105" t="n">
        <v>0</v>
      </c>
      <c r="BH149" s="105" t="n">
        <v>0</v>
      </c>
      <c r="BI149" s="105" t="n">
        <v>0</v>
      </c>
      <c r="BJ149" s="105" t="n">
        <v>0</v>
      </c>
      <c r="BK149" s="105" t="n">
        <v>0</v>
      </c>
      <c r="BL149" s="105" t="n">
        <v>0</v>
      </c>
      <c r="BM149" s="105" t="n">
        <v>0</v>
      </c>
      <c r="BN149" s="105" t="n">
        <v>0</v>
      </c>
      <c r="BO149" s="105" t="n">
        <v>0</v>
      </c>
      <c r="BP149" s="105" t="n">
        <v>0</v>
      </c>
      <c r="BQ149" s="105" t="n">
        <v>0</v>
      </c>
      <c r="BR149" s="106" t="n">
        <f aca="false">SUM(AP149:BQ149)/60</f>
        <v>1.16666666666667</v>
      </c>
      <c r="BS149" s="117" t="n">
        <f aca="false">SUM(AP149:BR149)/60</f>
        <v>1.18611111111111</v>
      </c>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20"/>
      <c r="CX149" s="120"/>
      <c r="CY149" s="120"/>
      <c r="CZ149" s="120"/>
      <c r="DA149" s="120"/>
      <c r="DB149" s="120"/>
      <c r="DC149" s="120"/>
      <c r="DD149" s="120"/>
      <c r="DE149" s="120"/>
      <c r="DF149" s="120"/>
      <c r="DG149" s="120"/>
      <c r="DH149" s="120"/>
      <c r="DI149" s="120"/>
      <c r="DJ149" s="120"/>
      <c r="DK149" s="120"/>
      <c r="DL149" s="120"/>
      <c r="DM149" s="120"/>
      <c r="DN149" s="120"/>
      <c r="DO149" s="120"/>
      <c r="DP149" s="120"/>
      <c r="DQ149" s="120"/>
      <c r="DR149" s="120"/>
      <c r="DS149" s="120"/>
      <c r="DT149" s="120"/>
      <c r="DU149" s="120"/>
      <c r="DV149" s="120"/>
      <c r="DW149" s="120"/>
      <c r="DX149" s="120"/>
      <c r="DY149" s="120"/>
      <c r="DZ149" s="120"/>
      <c r="EA149" s="120"/>
      <c r="EB149" s="120"/>
      <c r="EC149" s="120"/>
      <c r="ED149" s="120"/>
      <c r="EE149" s="120"/>
      <c r="EF149" s="120"/>
      <c r="EG149" s="120"/>
      <c r="EH149" s="120"/>
      <c r="EI149" s="120"/>
      <c r="EJ149" s="120"/>
      <c r="EK149" s="120"/>
      <c r="EL149" s="120"/>
      <c r="EM149" s="120"/>
      <c r="EN149" s="120"/>
      <c r="EO149" s="120"/>
      <c r="EP149" s="120"/>
      <c r="EQ149" s="120"/>
      <c r="ER149" s="120"/>
      <c r="ES149" s="120"/>
      <c r="ET149" s="120"/>
      <c r="EU149" s="120"/>
      <c r="EV149" s="120"/>
      <c r="EW149" s="120"/>
      <c r="EX149" s="120"/>
      <c r="EY149" s="120"/>
      <c r="EZ149" s="120"/>
      <c r="FA149" s="120"/>
      <c r="FB149" s="120"/>
      <c r="FC149" s="120"/>
      <c r="FD149" s="120"/>
      <c r="FE149" s="120"/>
      <c r="FF149" s="120"/>
      <c r="FG149" s="120"/>
      <c r="FH149" s="120"/>
      <c r="FI149" s="120"/>
      <c r="FJ149" s="120"/>
      <c r="FK149" s="120"/>
      <c r="FL149" s="120"/>
      <c r="FM149" s="120"/>
      <c r="FN149" s="120"/>
      <c r="FO149" s="120"/>
      <c r="FP149" s="120"/>
      <c r="FQ149" s="120"/>
      <c r="FR149" s="120"/>
      <c r="FS149" s="120"/>
      <c r="FT149" s="120"/>
      <c r="FU149" s="120"/>
    </row>
    <row r="150" s="121" customFormat="true" ht="16.5" hidden="true" customHeight="true" outlineLevel="0" collapsed="false">
      <c r="A150" s="74" t="n">
        <f aca="false">MONTH(B150)</f>
        <v>8</v>
      </c>
      <c r="B150" s="75" t="n">
        <v>44421</v>
      </c>
      <c r="C150" s="76" t="s">
        <v>70</v>
      </c>
      <c r="D150" s="77" t="str">
        <f aca="false">IFERROR(VLOOKUP(E:E,'Item Data Support Sheet'!A:O,7,0),"")</f>
        <v>BOTTLE MOLDED</v>
      </c>
      <c r="E150" s="80" t="s">
        <v>69</v>
      </c>
      <c r="F150" s="122" t="s">
        <v>73</v>
      </c>
      <c r="G150" s="77" t="s">
        <v>74</v>
      </c>
      <c r="H150" s="79" t="str">
        <f aca="false">IFERROR(VLOOKUP(E:E,'Item Data Support Sheet'!A:O,2,0),"")</f>
        <v>KPP 240 ML BOTTLE MOLDED</v>
      </c>
      <c r="I150" s="80" t="s">
        <v>410</v>
      </c>
      <c r="J150" s="80" t="s">
        <v>140</v>
      </c>
      <c r="K150" s="81" t="n">
        <v>8</v>
      </c>
      <c r="L150" s="82" t="n">
        <v>2574</v>
      </c>
      <c r="M150" s="83" t="n">
        <f aca="false">IFERROR(L150/K150,0)</f>
        <v>321.75</v>
      </c>
      <c r="N150" s="84" t="n">
        <f aca="false">+O150+Q150+T150+U150</f>
        <v>3023</v>
      </c>
      <c r="O150" s="85" t="n">
        <f aca="false">27*108</f>
        <v>2916</v>
      </c>
      <c r="P150" s="86" t="n">
        <v>0</v>
      </c>
      <c r="Q150" s="87" t="n">
        <v>42</v>
      </c>
      <c r="R150" s="88" t="n">
        <v>0</v>
      </c>
      <c r="S150" s="88" t="n">
        <v>0</v>
      </c>
      <c r="T150" s="88" t="n">
        <v>65</v>
      </c>
      <c r="U150" s="88" t="n">
        <v>0</v>
      </c>
      <c r="V150" s="89" t="n">
        <v>1</v>
      </c>
      <c r="W150" s="90" t="n">
        <f aca="false">IFERROR(O150/V150,0)</f>
        <v>2916</v>
      </c>
      <c r="X150" s="91" t="n">
        <f aca="false">O150/L150</f>
        <v>1.13286713286713</v>
      </c>
      <c r="Y150" s="92" t="str">
        <f aca="false">IFERROR(VLOOKUP(E:E,'Item Data Support Sheet'!A:J,6,0),0)</f>
        <v>HMC</v>
      </c>
      <c r="Z150" s="93" t="n">
        <f aca="false">IFERROR(VLOOKUP(E:E,'Item Data Support Sheet'!A:O,4,0),0)</f>
        <v>32.1</v>
      </c>
      <c r="AA150" s="93" t="n">
        <f aca="false">IFERROR(((N150)*(Z150/1000))+P150,0)</f>
        <v>97.0383</v>
      </c>
      <c r="AB150" s="94" t="n">
        <f aca="false">IFERROR((O150*(Z150/1000)/(AA150))," ")</f>
        <v>0.964604697320543</v>
      </c>
      <c r="AC150" s="95" t="n">
        <f aca="false">IFERROR((T150)/((T150)+O150),0)</f>
        <v>0.0218047635021805</v>
      </c>
      <c r="AD150" s="96" t="n">
        <f aca="false">IFERROR(Q150/(Q150+N150),0)</f>
        <v>0.0137030995106036</v>
      </c>
      <c r="AE150" s="91" t="n">
        <f aca="false">(N150-T150)/N150</f>
        <v>0.978498180615283</v>
      </c>
      <c r="AF150" s="97" t="n">
        <f aca="false">BR150</f>
        <v>0</v>
      </c>
      <c r="AG150" s="98" t="n">
        <f aca="false">K150-AF150</f>
        <v>8</v>
      </c>
      <c r="AH150" s="99" t="n">
        <f aca="false">IFERROR(AG150/K150," ")</f>
        <v>1</v>
      </c>
      <c r="AI150" s="100" t="n">
        <f aca="false">IFERROR(O150/K150,0)</f>
        <v>364.5</v>
      </c>
      <c r="AJ150" s="101" t="n">
        <f aca="false">VLOOKUP(D150,'Standard Cycle time'!C:D,2,0)</f>
        <v>9</v>
      </c>
      <c r="AK150" s="101" t="n">
        <f aca="false">AG150*V150*3600/O150</f>
        <v>9.87654320987654</v>
      </c>
      <c r="AL150" s="102" t="n">
        <f aca="false">AJ150/AK150</f>
        <v>0.91125</v>
      </c>
      <c r="AM150" s="99" t="n">
        <f aca="false">AE150*AL150*AH150</f>
        <v>0.891656467085677</v>
      </c>
      <c r="AN150" s="103" t="n">
        <v>2431</v>
      </c>
      <c r="AO150" s="104"/>
      <c r="AP150" s="105" t="n">
        <v>0</v>
      </c>
      <c r="AQ150" s="105" t="n">
        <v>0</v>
      </c>
      <c r="AR150" s="105" t="n">
        <v>0</v>
      </c>
      <c r="AS150" s="105" t="n">
        <v>0</v>
      </c>
      <c r="AT150" s="105" t="n">
        <v>0</v>
      </c>
      <c r="AU150" s="105" t="n">
        <v>0</v>
      </c>
      <c r="AV150" s="105" t="n">
        <v>0</v>
      </c>
      <c r="AW150" s="105" t="n">
        <v>0</v>
      </c>
      <c r="AX150" s="105" t="n">
        <v>0</v>
      </c>
      <c r="AY150" s="105" t="n">
        <v>0</v>
      </c>
      <c r="AZ150" s="105" t="n">
        <v>0</v>
      </c>
      <c r="BA150" s="105" t="n">
        <v>0</v>
      </c>
      <c r="BB150" s="105" t="n">
        <v>0</v>
      </c>
      <c r="BC150" s="105" t="n">
        <v>0</v>
      </c>
      <c r="BD150" s="105" t="n">
        <v>0</v>
      </c>
      <c r="BE150" s="105" t="n">
        <v>0</v>
      </c>
      <c r="BF150" s="105" t="n">
        <v>0</v>
      </c>
      <c r="BG150" s="105" t="n">
        <v>0</v>
      </c>
      <c r="BH150" s="105" t="n">
        <v>0</v>
      </c>
      <c r="BI150" s="105" t="n">
        <v>0</v>
      </c>
      <c r="BJ150" s="105" t="n">
        <v>0</v>
      </c>
      <c r="BK150" s="105" t="n">
        <v>0</v>
      </c>
      <c r="BL150" s="105" t="n">
        <v>0</v>
      </c>
      <c r="BM150" s="105" t="n">
        <v>0</v>
      </c>
      <c r="BN150" s="105" t="n">
        <v>0</v>
      </c>
      <c r="BO150" s="105" t="n">
        <v>0</v>
      </c>
      <c r="BP150" s="105" t="n">
        <v>0</v>
      </c>
      <c r="BQ150" s="105" t="n">
        <v>0</v>
      </c>
      <c r="BR150" s="106"/>
      <c r="BS150" s="117" t="n">
        <f aca="false">SUM(AP150:BR150)/60</f>
        <v>0</v>
      </c>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20"/>
      <c r="CX150" s="120"/>
      <c r="CY150" s="120"/>
      <c r="CZ150" s="120"/>
      <c r="DA150" s="120"/>
      <c r="DB150" s="120"/>
      <c r="DC150" s="120"/>
      <c r="DD150" s="120"/>
      <c r="DE150" s="120"/>
      <c r="DF150" s="120"/>
      <c r="DG150" s="120"/>
      <c r="DH150" s="120"/>
      <c r="DI150" s="120"/>
      <c r="DJ150" s="120"/>
      <c r="DK150" s="120"/>
      <c r="DL150" s="120"/>
      <c r="DM150" s="120"/>
      <c r="DN150" s="120"/>
      <c r="DO150" s="120"/>
      <c r="DP150" s="120"/>
      <c r="DQ150" s="120"/>
      <c r="DR150" s="120"/>
      <c r="DS150" s="120"/>
      <c r="DT150" s="120"/>
      <c r="DU150" s="120"/>
      <c r="DV150" s="120"/>
      <c r="DW150" s="120"/>
      <c r="DX150" s="120"/>
      <c r="DY150" s="120"/>
      <c r="DZ150" s="120"/>
      <c r="EA150" s="120"/>
      <c r="EB150" s="120"/>
      <c r="EC150" s="120"/>
      <c r="ED150" s="120"/>
      <c r="EE150" s="120"/>
      <c r="EF150" s="120"/>
      <c r="EG150" s="120"/>
      <c r="EH150" s="120"/>
      <c r="EI150" s="120"/>
      <c r="EJ150" s="120"/>
      <c r="EK150" s="120"/>
      <c r="EL150" s="120"/>
      <c r="EM150" s="120"/>
      <c r="EN150" s="120"/>
      <c r="EO150" s="120"/>
      <c r="EP150" s="120"/>
      <c r="EQ150" s="120"/>
      <c r="ER150" s="120"/>
      <c r="ES150" s="120"/>
      <c r="ET150" s="120"/>
      <c r="EU150" s="120"/>
      <c r="EV150" s="120"/>
      <c r="EW150" s="120"/>
      <c r="EX150" s="120"/>
      <c r="EY150" s="120"/>
      <c r="EZ150" s="120"/>
      <c r="FA150" s="120"/>
      <c r="FB150" s="120"/>
      <c r="FC150" s="120"/>
      <c r="FD150" s="120"/>
      <c r="FE150" s="120"/>
      <c r="FF150" s="120"/>
      <c r="FG150" s="120"/>
      <c r="FH150" s="120"/>
      <c r="FI150" s="120"/>
      <c r="FJ150" s="120"/>
      <c r="FK150" s="120"/>
      <c r="FL150" s="120"/>
      <c r="FM150" s="120"/>
      <c r="FN150" s="120"/>
      <c r="FO150" s="120"/>
      <c r="FP150" s="120"/>
      <c r="FQ150" s="120"/>
      <c r="FR150" s="120"/>
      <c r="FS150" s="120"/>
      <c r="FT150" s="120"/>
      <c r="FU150" s="120"/>
    </row>
    <row r="151" s="121" customFormat="true" ht="14.9" hidden="true" customHeight="false" outlineLevel="0" collapsed="false">
      <c r="A151" s="74" t="n">
        <f aca="false">MONTH(B151)</f>
        <v>8</v>
      </c>
      <c r="B151" s="75" t="n">
        <v>44421</v>
      </c>
      <c r="C151" s="76" t="s">
        <v>70</v>
      </c>
      <c r="D151" s="77" t="str">
        <f aca="false">IFERROR(VLOOKUP(E:E,'Item Data Support Sheet'!A:O,7,0),"")</f>
        <v>NIPPLE MOLDED</v>
      </c>
      <c r="E151" s="108" t="s">
        <v>244</v>
      </c>
      <c r="F151" s="80" t="s">
        <v>137</v>
      </c>
      <c r="G151" s="77" t="s">
        <v>138</v>
      </c>
      <c r="H151" s="79" t="str">
        <f aca="false">IFERROR(VLOOKUP(E:E,'Item Data Support Sheet'!A:O,2,0),"")</f>
        <v>NIPPLE S TYPE S SIZE INJECTION</v>
      </c>
      <c r="I151" s="108" t="s">
        <v>411</v>
      </c>
      <c r="J151" s="80" t="s">
        <v>140</v>
      </c>
      <c r="K151" s="81" t="n">
        <v>8</v>
      </c>
      <c r="L151" s="82" t="n">
        <v>4815</v>
      </c>
      <c r="M151" s="83" t="n">
        <f aca="false">IFERROR(L151/K151,0)</f>
        <v>601.875</v>
      </c>
      <c r="N151" s="84" t="n">
        <f aca="false">+O151+Q151+T151+U151</f>
        <v>5612</v>
      </c>
      <c r="O151" s="85" t="n">
        <v>5500</v>
      </c>
      <c r="P151" s="86" t="n">
        <v>0</v>
      </c>
      <c r="Q151" s="87" t="n">
        <v>44</v>
      </c>
      <c r="R151" s="88" t="n">
        <v>0</v>
      </c>
      <c r="S151" s="88" t="n">
        <v>0</v>
      </c>
      <c r="T151" s="88" t="n">
        <v>68</v>
      </c>
      <c r="U151" s="88" t="n">
        <v>0</v>
      </c>
      <c r="V151" s="89" t="n">
        <v>1</v>
      </c>
      <c r="W151" s="90" t="n">
        <f aca="false">IFERROR(O151/V151,0)</f>
        <v>5500</v>
      </c>
      <c r="X151" s="91" t="n">
        <f aca="false">O151/L151</f>
        <v>1.14226375908619</v>
      </c>
      <c r="Y151" s="92" t="str">
        <f aca="false">IFERROR(VLOOKUP(E:E,'Item Data Support Sheet'!A:J,6,0),0)</f>
        <v>Silicon</v>
      </c>
      <c r="Z151" s="93" t="n">
        <f aca="false">IFERROR(VLOOKUP(E:E,'Item Data Support Sheet'!A:O,4,0),0)</f>
        <v>6.8</v>
      </c>
      <c r="AA151" s="93" t="n">
        <f aca="false">IFERROR(((N151)*(Z151/1000))+P151,0)</f>
        <v>38.1616</v>
      </c>
      <c r="AB151" s="94" t="n">
        <f aca="false">IFERROR((O151*(Z151/1000)/(AA151))," ")</f>
        <v>0.980042765502495</v>
      </c>
      <c r="AC151" s="95" t="n">
        <f aca="false">IFERROR((T151)/((T151)+O151),0)</f>
        <v>0.0122126436781609</v>
      </c>
      <c r="AD151" s="96" t="n">
        <f aca="false">IFERROR(Q151/(Q151+N151),0)</f>
        <v>0.00777934936350778</v>
      </c>
      <c r="AE151" s="91" t="n">
        <f aca="false">(N151-T151)/N151</f>
        <v>0.987883107626515</v>
      </c>
      <c r="AF151" s="97" t="n">
        <f aca="false">BR151</f>
        <v>0</v>
      </c>
      <c r="AG151" s="98" t="n">
        <f aca="false">K151-AF151</f>
        <v>8</v>
      </c>
      <c r="AH151" s="99" t="n">
        <f aca="false">IFERROR(AG151/K151," ")</f>
        <v>1</v>
      </c>
      <c r="AI151" s="100" t="n">
        <f aca="false">IFERROR(O151/K151,0)</f>
        <v>687.5</v>
      </c>
      <c r="AJ151" s="101" t="n">
        <f aca="false">VLOOKUP(D151,'Standard Cycle time'!C:D,2,0)</f>
        <v>5.25</v>
      </c>
      <c r="AK151" s="101" t="n">
        <f aca="false">AG151*V151*3600/O151</f>
        <v>5.23636363636364</v>
      </c>
      <c r="AL151" s="102" t="n">
        <f aca="false">AJ151/AK151</f>
        <v>1.00260416666667</v>
      </c>
      <c r="AM151" s="99" t="n">
        <f aca="false">AE151*AL151*AH151</f>
        <v>0.990455719885959</v>
      </c>
      <c r="AN151" s="103" t="n">
        <v>2430</v>
      </c>
      <c r="AO151" s="104"/>
      <c r="AP151" s="105" t="n">
        <v>0</v>
      </c>
      <c r="AQ151" s="105" t="n">
        <v>0</v>
      </c>
      <c r="AR151" s="105" t="n">
        <v>0</v>
      </c>
      <c r="AS151" s="105" t="n">
        <v>0</v>
      </c>
      <c r="AT151" s="105" t="n">
        <v>0</v>
      </c>
      <c r="AU151" s="105" t="n">
        <v>0</v>
      </c>
      <c r="AV151" s="105" t="n">
        <v>0</v>
      </c>
      <c r="AW151" s="105" t="n">
        <v>0</v>
      </c>
      <c r="AX151" s="105" t="n">
        <v>0</v>
      </c>
      <c r="AY151" s="105" t="n">
        <v>0</v>
      </c>
      <c r="AZ151" s="105" t="n">
        <v>0</v>
      </c>
      <c r="BA151" s="105" t="n">
        <v>0</v>
      </c>
      <c r="BB151" s="105" t="n">
        <v>0</v>
      </c>
      <c r="BC151" s="105" t="n">
        <v>0</v>
      </c>
      <c r="BD151" s="105" t="n">
        <v>0</v>
      </c>
      <c r="BE151" s="105" t="n">
        <v>0</v>
      </c>
      <c r="BF151" s="105" t="n">
        <v>0</v>
      </c>
      <c r="BG151" s="105" t="n">
        <v>0</v>
      </c>
      <c r="BH151" s="105" t="n">
        <v>0</v>
      </c>
      <c r="BI151" s="105" t="n">
        <v>0</v>
      </c>
      <c r="BJ151" s="105" t="n">
        <v>0</v>
      </c>
      <c r="BK151" s="105" t="n">
        <v>0</v>
      </c>
      <c r="BL151" s="105" t="n">
        <v>0</v>
      </c>
      <c r="BM151" s="105" t="n">
        <v>0</v>
      </c>
      <c r="BN151" s="105" t="n">
        <v>0</v>
      </c>
      <c r="BO151" s="105" t="n">
        <v>0</v>
      </c>
      <c r="BP151" s="105" t="n">
        <v>0</v>
      </c>
      <c r="BQ151" s="105" t="n">
        <v>0</v>
      </c>
      <c r="BR151" s="106" t="n">
        <f aca="false">SUM(AP151:BQ151)/60</f>
        <v>0</v>
      </c>
      <c r="BS151" s="117" t="n">
        <f aca="false">SUM(AP151:BR151)/60</f>
        <v>0</v>
      </c>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20"/>
      <c r="CX151" s="120"/>
      <c r="CY151" s="120"/>
      <c r="CZ151" s="120"/>
      <c r="DA151" s="120"/>
      <c r="DB151" s="120"/>
      <c r="DC151" s="120"/>
      <c r="DD151" s="120"/>
      <c r="DE151" s="120"/>
      <c r="DF151" s="120"/>
      <c r="DG151" s="120"/>
      <c r="DH151" s="120"/>
      <c r="DI151" s="120"/>
      <c r="DJ151" s="120"/>
      <c r="DK151" s="120"/>
      <c r="DL151" s="120"/>
      <c r="DM151" s="120"/>
      <c r="DN151" s="120"/>
      <c r="DO151" s="120"/>
      <c r="DP151" s="120"/>
      <c r="DQ151" s="120"/>
      <c r="DR151" s="120"/>
      <c r="DS151" s="120"/>
      <c r="DT151" s="120"/>
      <c r="DU151" s="120"/>
      <c r="DV151" s="120"/>
      <c r="DW151" s="120"/>
      <c r="DX151" s="120"/>
      <c r="DY151" s="120"/>
      <c r="DZ151" s="120"/>
      <c r="EA151" s="120"/>
      <c r="EB151" s="120"/>
      <c r="EC151" s="120"/>
      <c r="ED151" s="120"/>
      <c r="EE151" s="120"/>
      <c r="EF151" s="120"/>
      <c r="EG151" s="120"/>
      <c r="EH151" s="120"/>
      <c r="EI151" s="120"/>
      <c r="EJ151" s="120"/>
      <c r="EK151" s="120"/>
      <c r="EL151" s="120"/>
      <c r="EM151" s="120"/>
      <c r="EN151" s="120"/>
      <c r="EO151" s="120"/>
      <c r="EP151" s="120"/>
      <c r="EQ151" s="120"/>
      <c r="ER151" s="120"/>
      <c r="ES151" s="120"/>
      <c r="ET151" s="120"/>
      <c r="EU151" s="120"/>
      <c r="EV151" s="120"/>
      <c r="EW151" s="120"/>
      <c r="EX151" s="120"/>
      <c r="EY151" s="120"/>
      <c r="EZ151" s="120"/>
      <c r="FA151" s="120"/>
      <c r="FB151" s="120"/>
      <c r="FC151" s="120"/>
      <c r="FD151" s="120"/>
      <c r="FE151" s="120"/>
      <c r="FF151" s="120"/>
      <c r="FG151" s="120"/>
      <c r="FH151" s="120"/>
      <c r="FI151" s="120"/>
      <c r="FJ151" s="120"/>
      <c r="FK151" s="120"/>
      <c r="FL151" s="120"/>
      <c r="FM151" s="120"/>
      <c r="FN151" s="120"/>
      <c r="FO151" s="120"/>
      <c r="FP151" s="120"/>
      <c r="FQ151" s="120"/>
      <c r="FR151" s="120"/>
      <c r="FS151" s="120"/>
      <c r="FT151" s="120"/>
      <c r="FU151" s="120"/>
    </row>
    <row r="152" s="121" customFormat="true" ht="14.9" hidden="true" customHeight="false" outlineLevel="0" collapsed="false">
      <c r="A152" s="74" t="n">
        <f aca="false">MONTH(B152)</f>
        <v>8</v>
      </c>
      <c r="B152" s="75" t="n">
        <v>44421</v>
      </c>
      <c r="C152" s="76" t="s">
        <v>70</v>
      </c>
      <c r="D152" s="77" t="str">
        <f aca="false">IFERROR(VLOOKUP(E:E,'Item Data Support Sheet'!A:O,7,0),"")</f>
        <v>NIPPLE PUNCH</v>
      </c>
      <c r="E152" s="108" t="s">
        <v>53</v>
      </c>
      <c r="F152" s="123"/>
      <c r="G152" s="77" t="s">
        <v>54</v>
      </c>
      <c r="H152" s="79" t="str">
        <f aca="false">IFERROR(VLOOKUP(E:E,'Item Data Support Sheet'!A:O,2,0),"")</f>
        <v>NIPPLE S TYPE S SIZE PUNCHED</v>
      </c>
      <c r="I152" s="108" t="s">
        <v>412</v>
      </c>
      <c r="J152" s="80" t="s">
        <v>140</v>
      </c>
      <c r="K152" s="81" t="n">
        <v>8</v>
      </c>
      <c r="L152" s="82" t="n">
        <v>7036</v>
      </c>
      <c r="M152" s="83" t="n">
        <f aca="false">IFERROR(L152/K152,0)</f>
        <v>879.5</v>
      </c>
      <c r="N152" s="84" t="n">
        <f aca="false">+O152+Q152+T152+U152</f>
        <v>7300</v>
      </c>
      <c r="O152" s="85" t="n">
        <v>7300</v>
      </c>
      <c r="P152" s="86" t="n">
        <v>0</v>
      </c>
      <c r="Q152" s="87" t="n">
        <v>0</v>
      </c>
      <c r="R152" s="88" t="n">
        <v>0</v>
      </c>
      <c r="S152" s="88" t="n">
        <v>0</v>
      </c>
      <c r="T152" s="88" t="n">
        <v>0</v>
      </c>
      <c r="U152" s="88" t="n">
        <v>0</v>
      </c>
      <c r="V152" s="89" t="n">
        <v>1</v>
      </c>
      <c r="W152" s="90" t="n">
        <f aca="false">IFERROR(O152/V152,0)</f>
        <v>7300</v>
      </c>
      <c r="X152" s="91" t="n">
        <f aca="false">O152/L152</f>
        <v>1.03752131893121</v>
      </c>
      <c r="Y152" s="92" t="str">
        <f aca="false">IFERROR(VLOOKUP(E:E,'Item Data Support Sheet'!A:J,6,0),0)</f>
        <v>FO015</v>
      </c>
      <c r="Z152" s="93" t="n">
        <f aca="false">IFERROR(VLOOKUP(E:E,'Item Data Support Sheet'!A:O,4,0),0)</f>
        <v>0</v>
      </c>
      <c r="AA152" s="93" t="n">
        <f aca="false">IFERROR(((N152)*(Z152/1000))+P152,0)</f>
        <v>0</v>
      </c>
      <c r="AB152" s="94" t="str">
        <f aca="false">IFERROR((O152*(Z152/1000)/(AA152))," ")</f>
        <v> </v>
      </c>
      <c r="AC152" s="95" t="n">
        <f aca="false">IFERROR((T152)/((T152)+O152),0)</f>
        <v>0</v>
      </c>
      <c r="AD152" s="96" t="n">
        <f aca="false">IFERROR(Q152/(Q152+N152),0)</f>
        <v>0</v>
      </c>
      <c r="AE152" s="91" t="n">
        <f aca="false">(N152-T152)/N152</f>
        <v>1</v>
      </c>
      <c r="AF152" s="97" t="n">
        <f aca="false">BR152</f>
        <v>0</v>
      </c>
      <c r="AG152" s="98" t="n">
        <f aca="false">K152-AF152</f>
        <v>8</v>
      </c>
      <c r="AH152" s="99" t="n">
        <f aca="false">IFERROR(AG152/K152," ")</f>
        <v>1</v>
      </c>
      <c r="AI152" s="100" t="n">
        <f aca="false">IFERROR(O152/K152,0)</f>
        <v>912.5</v>
      </c>
      <c r="AJ152" s="101" t="n">
        <f aca="false">VLOOKUP(D152,'Standard Cycle time'!C:D,2,0)</f>
        <v>3.5</v>
      </c>
      <c r="AK152" s="101" t="n">
        <f aca="false">AG152*V152*3600/O152</f>
        <v>3.94520547945205</v>
      </c>
      <c r="AL152" s="102" t="n">
        <f aca="false">AJ152/AK152</f>
        <v>0.887152777777778</v>
      </c>
      <c r="AM152" s="99" t="n">
        <f aca="false">AE152*AL152*AH152</f>
        <v>0.887152777777778</v>
      </c>
      <c r="AN152" s="103" t="s">
        <v>413</v>
      </c>
      <c r="AO152" s="109"/>
      <c r="AP152" s="105" t="n">
        <v>0</v>
      </c>
      <c r="AQ152" s="105" t="n">
        <v>0</v>
      </c>
      <c r="AR152" s="105" t="n">
        <v>0</v>
      </c>
      <c r="AS152" s="105" t="n">
        <v>0</v>
      </c>
      <c r="AT152" s="105" t="n">
        <v>0</v>
      </c>
      <c r="AU152" s="105" t="n">
        <v>0</v>
      </c>
      <c r="AV152" s="105" t="n">
        <v>0</v>
      </c>
      <c r="AW152" s="105" t="n">
        <v>0</v>
      </c>
      <c r="AX152" s="105" t="n">
        <v>0</v>
      </c>
      <c r="AY152" s="105" t="n">
        <v>0</v>
      </c>
      <c r="AZ152" s="105" t="n">
        <v>0</v>
      </c>
      <c r="BA152" s="105" t="n">
        <v>0</v>
      </c>
      <c r="BB152" s="105" t="n">
        <v>0</v>
      </c>
      <c r="BC152" s="105" t="n">
        <v>0</v>
      </c>
      <c r="BD152" s="105" t="n">
        <v>0</v>
      </c>
      <c r="BE152" s="105" t="n">
        <v>0</v>
      </c>
      <c r="BF152" s="105" t="n">
        <v>0</v>
      </c>
      <c r="BG152" s="105" t="n">
        <v>0</v>
      </c>
      <c r="BH152" s="105" t="n">
        <v>0</v>
      </c>
      <c r="BI152" s="105" t="n">
        <v>0</v>
      </c>
      <c r="BJ152" s="105" t="n">
        <v>0</v>
      </c>
      <c r="BK152" s="105" t="n">
        <v>0</v>
      </c>
      <c r="BL152" s="105" t="n">
        <v>0</v>
      </c>
      <c r="BM152" s="105" t="n">
        <v>0</v>
      </c>
      <c r="BN152" s="105" t="n">
        <v>0</v>
      </c>
      <c r="BO152" s="105" t="n">
        <v>0</v>
      </c>
      <c r="BP152" s="105" t="n">
        <v>0</v>
      </c>
      <c r="BQ152" s="105" t="n">
        <v>0</v>
      </c>
      <c r="BR152" s="106" t="n">
        <f aca="false">SUM(AP152:BQ152)/60</f>
        <v>0</v>
      </c>
      <c r="BS152" s="117" t="n">
        <f aca="false">SUM(AP152:BR152)/60</f>
        <v>0</v>
      </c>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20"/>
      <c r="CX152" s="120"/>
      <c r="CY152" s="120"/>
      <c r="CZ152" s="120"/>
      <c r="DA152" s="120"/>
      <c r="DB152" s="120"/>
      <c r="DC152" s="120"/>
      <c r="DD152" s="120"/>
      <c r="DE152" s="120"/>
      <c r="DF152" s="120"/>
      <c r="DG152" s="120"/>
      <c r="DH152" s="120"/>
      <c r="DI152" s="120"/>
      <c r="DJ152" s="120"/>
      <c r="DK152" s="120"/>
      <c r="DL152" s="120"/>
      <c r="DM152" s="120"/>
      <c r="DN152" s="120"/>
      <c r="DO152" s="120"/>
      <c r="DP152" s="120"/>
      <c r="DQ152" s="120"/>
      <c r="DR152" s="120"/>
      <c r="DS152" s="120"/>
      <c r="DT152" s="120"/>
      <c r="DU152" s="120"/>
      <c r="DV152" s="120"/>
      <c r="DW152" s="120"/>
      <c r="DX152" s="120"/>
      <c r="DY152" s="120"/>
      <c r="DZ152" s="120"/>
      <c r="EA152" s="120"/>
      <c r="EB152" s="120"/>
      <c r="EC152" s="120"/>
      <c r="ED152" s="120"/>
      <c r="EE152" s="120"/>
      <c r="EF152" s="120"/>
      <c r="EG152" s="120"/>
      <c r="EH152" s="120"/>
      <c r="EI152" s="120"/>
      <c r="EJ152" s="120"/>
      <c r="EK152" s="120"/>
      <c r="EL152" s="120"/>
      <c r="EM152" s="120"/>
      <c r="EN152" s="120"/>
      <c r="EO152" s="120"/>
      <c r="EP152" s="120"/>
      <c r="EQ152" s="120"/>
      <c r="ER152" s="120"/>
      <c r="ES152" s="120"/>
      <c r="ET152" s="120"/>
      <c r="EU152" s="120"/>
      <c r="EV152" s="120"/>
      <c r="EW152" s="120"/>
      <c r="EX152" s="120"/>
      <c r="EY152" s="120"/>
      <c r="EZ152" s="120"/>
      <c r="FA152" s="120"/>
      <c r="FB152" s="120"/>
      <c r="FC152" s="120"/>
      <c r="FD152" s="120"/>
      <c r="FE152" s="120"/>
      <c r="FF152" s="120"/>
      <c r="FG152" s="120"/>
      <c r="FH152" s="120"/>
      <c r="FI152" s="120"/>
      <c r="FJ152" s="120"/>
      <c r="FK152" s="120"/>
      <c r="FL152" s="120"/>
      <c r="FM152" s="120"/>
      <c r="FN152" s="120"/>
      <c r="FO152" s="120"/>
      <c r="FP152" s="120"/>
      <c r="FQ152" s="120"/>
      <c r="FR152" s="120"/>
      <c r="FS152" s="120"/>
      <c r="FT152" s="120"/>
      <c r="FU152" s="120"/>
    </row>
    <row r="153" customFormat="false" ht="14.9" hidden="true" customHeight="false" outlineLevel="0" collapsed="false">
      <c r="A153" s="74" t="n">
        <f aca="false">MONTH(B153)</f>
        <v>8</v>
      </c>
      <c r="B153" s="75" t="n">
        <v>44421</v>
      </c>
      <c r="C153" s="76" t="s">
        <v>152</v>
      </c>
      <c r="D153" s="77" t="str">
        <f aca="false">IFERROR(VLOOKUP(E:E,'Item Data Support Sheet'!A:O,7,0),"")</f>
        <v>NIPPLE MOLDED</v>
      </c>
      <c r="E153" s="108" t="s">
        <v>244</v>
      </c>
      <c r="F153" s="123" t="s">
        <v>73</v>
      </c>
      <c r="G153" s="77" t="s">
        <v>74</v>
      </c>
      <c r="H153" s="79" t="str">
        <f aca="false">IFERROR(VLOOKUP(E:E,'Item Data Support Sheet'!A:O,2,0),"")</f>
        <v>NIPPLE S TYPE S SIZE INJECTION</v>
      </c>
      <c r="I153" s="80" t="s">
        <v>414</v>
      </c>
      <c r="J153" s="80" t="s">
        <v>143</v>
      </c>
      <c r="K153" s="81" t="n">
        <v>8</v>
      </c>
      <c r="L153" s="124" t="n">
        <v>4815</v>
      </c>
      <c r="M153" s="83" t="n">
        <f aca="false">IFERROR(L153/K153,0)</f>
        <v>601.875</v>
      </c>
      <c r="N153" s="84" t="n">
        <f aca="false">+O153+Q153+T153+U153</f>
        <v>4564</v>
      </c>
      <c r="O153" s="85" t="n">
        <v>4500</v>
      </c>
      <c r="P153" s="86" t="n">
        <v>0.39</v>
      </c>
      <c r="Q153" s="87" t="n">
        <v>16</v>
      </c>
      <c r="R153" s="88" t="n">
        <v>0</v>
      </c>
      <c r="S153" s="88" t="n">
        <v>0</v>
      </c>
      <c r="T153" s="88" t="n">
        <v>40</v>
      </c>
      <c r="U153" s="88" t="n">
        <v>8</v>
      </c>
      <c r="V153" s="89" t="n">
        <v>1</v>
      </c>
      <c r="W153" s="90" t="n">
        <f aca="false">IFERROR(O153/V153,0)</f>
        <v>4500</v>
      </c>
      <c r="X153" s="91" t="n">
        <f aca="false">O153/L153</f>
        <v>0.934579439252336</v>
      </c>
      <c r="Y153" s="92" t="str">
        <f aca="false">IFERROR(VLOOKUP(E:E,'Item Data Support Sheet'!A:J,6,0),0)</f>
        <v>Silicon</v>
      </c>
      <c r="Z153" s="93" t="n">
        <f aca="false">IFERROR(VLOOKUP(E:E,'Item Data Support Sheet'!A:O,4,0),0)</f>
        <v>6.8</v>
      </c>
      <c r="AA153" s="93" t="n">
        <f aca="false">IFERROR(((N153)*(Z153/1000))+P153,0)</f>
        <v>31.4252</v>
      </c>
      <c r="AB153" s="94" t="n">
        <f aca="false">IFERROR((O153*(Z153/1000)/(AA153))," ")</f>
        <v>0.973740819469725</v>
      </c>
      <c r="AC153" s="95" t="n">
        <f aca="false">IFERROR((T153)/((T153)+O153),0)</f>
        <v>0.00881057268722467</v>
      </c>
      <c r="AD153" s="96" t="n">
        <f aca="false">IFERROR(Q153/(Q153+N153),0)</f>
        <v>0.00349344978165939</v>
      </c>
      <c r="AE153" s="91" t="n">
        <f aca="false">(N153-T153)/N153</f>
        <v>0.991235758106924</v>
      </c>
      <c r="AF153" s="97" t="n">
        <f aca="false">BR153</f>
        <v>1.33333333333333</v>
      </c>
      <c r="AG153" s="98" t="n">
        <f aca="false">K153-AF153</f>
        <v>6.66666666666667</v>
      </c>
      <c r="AH153" s="99" t="n">
        <f aca="false">IFERROR(AG153/K153," ")</f>
        <v>0.833333333333333</v>
      </c>
      <c r="AI153" s="100" t="n">
        <f aca="false">IFERROR(O153/K153,0)</f>
        <v>562.5</v>
      </c>
      <c r="AJ153" s="101" t="n">
        <f aca="false">VLOOKUP(D153,'Standard Cycle time'!C:D,2,0)</f>
        <v>5.25</v>
      </c>
      <c r="AK153" s="101" t="n">
        <f aca="false">AG153*V153*3600/O153</f>
        <v>5.33333333333333</v>
      </c>
      <c r="AL153" s="102" t="n">
        <f aca="false">AJ153/AK153</f>
        <v>0.984375</v>
      </c>
      <c r="AM153" s="99" t="n">
        <f aca="false">AE153*AL153*AH153</f>
        <v>0.813123082822086</v>
      </c>
      <c r="AN153" s="103" t="s">
        <v>415</v>
      </c>
      <c r="AO153" s="104"/>
      <c r="AP153" s="105" t="n">
        <v>0</v>
      </c>
      <c r="AQ153" s="105" t="n">
        <v>0</v>
      </c>
      <c r="AR153" s="105" t="n">
        <v>0</v>
      </c>
      <c r="AS153" s="105" t="n">
        <v>0</v>
      </c>
      <c r="AT153" s="105" t="n">
        <v>0</v>
      </c>
      <c r="AU153" s="105" t="n">
        <v>0</v>
      </c>
      <c r="AV153" s="105" t="n">
        <v>0</v>
      </c>
      <c r="AW153" s="105" t="n">
        <v>0</v>
      </c>
      <c r="AX153" s="105" t="n">
        <v>0</v>
      </c>
      <c r="AY153" s="105" t="n">
        <v>0</v>
      </c>
      <c r="AZ153" s="105" t="n">
        <v>0</v>
      </c>
      <c r="BA153" s="105" t="n">
        <v>0</v>
      </c>
      <c r="BB153" s="105" t="n">
        <v>80</v>
      </c>
      <c r="BC153" s="105" t="n">
        <v>0</v>
      </c>
      <c r="BD153" s="105" t="n">
        <v>0</v>
      </c>
      <c r="BE153" s="105" t="n">
        <v>0</v>
      </c>
      <c r="BF153" s="105" t="n">
        <v>0</v>
      </c>
      <c r="BG153" s="105" t="n">
        <v>0</v>
      </c>
      <c r="BH153" s="105" t="n">
        <v>0</v>
      </c>
      <c r="BI153" s="105" t="n">
        <v>0</v>
      </c>
      <c r="BJ153" s="105" t="n">
        <v>0</v>
      </c>
      <c r="BK153" s="105" t="n">
        <v>0</v>
      </c>
      <c r="BL153" s="105" t="n">
        <v>0</v>
      </c>
      <c r="BM153" s="105" t="n">
        <v>0</v>
      </c>
      <c r="BN153" s="105" t="n">
        <v>0</v>
      </c>
      <c r="BO153" s="105" t="n">
        <v>0</v>
      </c>
      <c r="BP153" s="105" t="n">
        <v>0</v>
      </c>
      <c r="BQ153" s="105" t="n">
        <v>0</v>
      </c>
      <c r="BR153" s="106" t="n">
        <f aca="false">SUM(AP153:BQ153)/60</f>
        <v>1.33333333333333</v>
      </c>
      <c r="BS153" s="117" t="n">
        <f aca="false">SUM(AP153:BR153)/60</f>
        <v>1.35555555555556</v>
      </c>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row>
    <row r="154" s="121" customFormat="true" ht="14.9" hidden="true" customHeight="false" outlineLevel="0" collapsed="false">
      <c r="A154" s="74" t="n">
        <f aca="false">MONTH(B154)</f>
        <v>8</v>
      </c>
      <c r="B154" s="75" t="n">
        <v>44421</v>
      </c>
      <c r="C154" s="76" t="s">
        <v>152</v>
      </c>
      <c r="D154" s="77" t="str">
        <f aca="false">IFERROR(VLOOKUP(E:E,'Item Data Support Sheet'!A:O,7,0),"")</f>
        <v>NIPPLE POSTCURE</v>
      </c>
      <c r="E154" s="108" t="s">
        <v>57</v>
      </c>
      <c r="F154" s="123"/>
      <c r="G154" s="77" t="s">
        <v>149</v>
      </c>
      <c r="H154" s="79" t="str">
        <f aca="false">IFERROR(VLOOKUP(E:E,'Item Data Support Sheet'!A:O,2,0),"")</f>
        <v>NIPPLE S TYPE S SIZE POSTCURED</v>
      </c>
      <c r="I154" s="108" t="s">
        <v>416</v>
      </c>
      <c r="J154" s="80" t="s">
        <v>143</v>
      </c>
      <c r="K154" s="81" t="n">
        <v>8</v>
      </c>
      <c r="L154" s="125" t="n">
        <v>11000</v>
      </c>
      <c r="M154" s="83" t="n">
        <f aca="false">IFERROR(L154/K154,0)</f>
        <v>1375</v>
      </c>
      <c r="N154" s="84" t="n">
        <f aca="false">+O154+Q154+T154+U154</f>
        <v>11000</v>
      </c>
      <c r="O154" s="85" t="n">
        <f aca="false">4000+3500+3500</f>
        <v>11000</v>
      </c>
      <c r="P154" s="86" t="n">
        <v>0</v>
      </c>
      <c r="Q154" s="87" t="n">
        <v>0</v>
      </c>
      <c r="R154" s="88" t="n">
        <v>0</v>
      </c>
      <c r="S154" s="88" t="n">
        <v>0</v>
      </c>
      <c r="T154" s="88" t="n">
        <v>0</v>
      </c>
      <c r="U154" s="88" t="n">
        <v>0</v>
      </c>
      <c r="V154" s="89" t="n">
        <v>1</v>
      </c>
      <c r="W154" s="90" t="n">
        <f aca="false">IFERROR(O154/V154,0)</f>
        <v>11000</v>
      </c>
      <c r="X154" s="91" t="n">
        <f aca="false">O154/L154</f>
        <v>1</v>
      </c>
      <c r="Y154" s="92" t="str">
        <f aca="false">IFERROR(VLOOKUP(E:E,'Item Data Support Sheet'!A:J,6,0),0)</f>
        <v>FO011</v>
      </c>
      <c r="Z154" s="93" t="n">
        <f aca="false">IFERROR(VLOOKUP(E:E,'Item Data Support Sheet'!A:O,4,0),0)</f>
        <v>0</v>
      </c>
      <c r="AA154" s="93" t="n">
        <f aca="false">IFERROR(((N154)*(Z154/1000))+P154,0)</f>
        <v>0</v>
      </c>
      <c r="AB154" s="94" t="str">
        <f aca="false">IFERROR((O154*(Z154/1000)/(AA154))," ")</f>
        <v> </v>
      </c>
      <c r="AC154" s="95" t="n">
        <f aca="false">IFERROR((T154)/((T154)+O154),0)</f>
        <v>0</v>
      </c>
      <c r="AD154" s="96" t="n">
        <f aca="false">IFERROR(Q154/(Q154+N154),0)</f>
        <v>0</v>
      </c>
      <c r="AE154" s="91" t="n">
        <f aca="false">(N154-T154)/N154</f>
        <v>1</v>
      </c>
      <c r="AF154" s="97" t="n">
        <f aca="false">BR154</f>
        <v>0.666666666666667</v>
      </c>
      <c r="AG154" s="98" t="n">
        <f aca="false">K154-AF154</f>
        <v>7.33333333333333</v>
      </c>
      <c r="AH154" s="99" t="n">
        <f aca="false">IFERROR(AG154/K154," ")</f>
        <v>0.916666666666667</v>
      </c>
      <c r="AI154" s="100" t="n">
        <f aca="false">IFERROR(O154/K154,0)</f>
        <v>1375</v>
      </c>
      <c r="AJ154" s="101" t="n">
        <f aca="false">VLOOKUP(D154,'Standard Cycle time'!C:D,2,0)</f>
        <v>2.3</v>
      </c>
      <c r="AK154" s="101" t="n">
        <f aca="false">AG154*V154*3600/O154</f>
        <v>2.4</v>
      </c>
      <c r="AL154" s="102" t="n">
        <f aca="false">AJ154/AK154</f>
        <v>0.958333333333333</v>
      </c>
      <c r="AM154" s="99" t="n">
        <f aca="false">AE154*AL154*AH154</f>
        <v>0.878472222222222</v>
      </c>
      <c r="AN154" s="103" t="s">
        <v>417</v>
      </c>
      <c r="AO154" s="104"/>
      <c r="AP154" s="105" t="n">
        <v>40</v>
      </c>
      <c r="AQ154" s="105" t="n">
        <v>0</v>
      </c>
      <c r="AR154" s="105" t="n">
        <v>0</v>
      </c>
      <c r="AS154" s="105" t="n">
        <v>0</v>
      </c>
      <c r="AT154" s="105" t="n">
        <v>0</v>
      </c>
      <c r="AU154" s="105" t="n">
        <v>0</v>
      </c>
      <c r="AV154" s="105" t="n">
        <v>0</v>
      </c>
      <c r="AW154" s="105" t="n">
        <v>0</v>
      </c>
      <c r="AX154" s="105" t="n">
        <v>0</v>
      </c>
      <c r="AY154" s="105" t="n">
        <v>0</v>
      </c>
      <c r="AZ154" s="105" t="n">
        <v>0</v>
      </c>
      <c r="BA154" s="105" t="n">
        <v>0</v>
      </c>
      <c r="BB154" s="105" t="n">
        <v>0</v>
      </c>
      <c r="BC154" s="105" t="n">
        <v>0</v>
      </c>
      <c r="BD154" s="105" t="n">
        <v>0</v>
      </c>
      <c r="BE154" s="105" t="n">
        <v>0</v>
      </c>
      <c r="BF154" s="105" t="n">
        <v>0</v>
      </c>
      <c r="BG154" s="105" t="n">
        <v>0</v>
      </c>
      <c r="BH154" s="105" t="n">
        <v>0</v>
      </c>
      <c r="BI154" s="105" t="n">
        <v>0</v>
      </c>
      <c r="BJ154" s="105" t="n">
        <v>0</v>
      </c>
      <c r="BK154" s="105" t="n">
        <v>0</v>
      </c>
      <c r="BL154" s="105" t="n">
        <v>0</v>
      </c>
      <c r="BM154" s="105" t="n">
        <v>0</v>
      </c>
      <c r="BN154" s="105" t="n">
        <v>0</v>
      </c>
      <c r="BO154" s="105" t="n">
        <v>0</v>
      </c>
      <c r="BP154" s="105" t="n">
        <v>0</v>
      </c>
      <c r="BQ154" s="105" t="n">
        <v>0</v>
      </c>
      <c r="BR154" s="106" t="n">
        <f aca="false">SUM(AP154:BQ154)/60</f>
        <v>0.666666666666667</v>
      </c>
      <c r="BS154" s="117" t="n">
        <f aca="false">SUM(AP154:BR154)/60</f>
        <v>0.677777777777778</v>
      </c>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20"/>
      <c r="CX154" s="120"/>
      <c r="CY154" s="120"/>
      <c r="CZ154" s="120"/>
      <c r="DA154" s="120"/>
      <c r="DB154" s="120"/>
      <c r="DC154" s="120"/>
      <c r="DD154" s="120"/>
      <c r="DE154" s="120"/>
      <c r="DF154" s="120"/>
      <c r="DG154" s="120"/>
      <c r="DH154" s="120"/>
      <c r="DI154" s="120"/>
      <c r="DJ154" s="120"/>
      <c r="DK154" s="120"/>
      <c r="DL154" s="120"/>
      <c r="DM154" s="120"/>
      <c r="DN154" s="120"/>
      <c r="DO154" s="120"/>
      <c r="DP154" s="120"/>
      <c r="DQ154" s="120"/>
      <c r="DR154" s="120"/>
      <c r="DS154" s="120"/>
      <c r="DT154" s="120"/>
      <c r="DU154" s="120"/>
      <c r="DV154" s="120"/>
      <c r="DW154" s="120"/>
      <c r="DX154" s="120"/>
      <c r="DY154" s="120"/>
      <c r="DZ154" s="120"/>
      <c r="EA154" s="120"/>
      <c r="EB154" s="120"/>
      <c r="EC154" s="120"/>
      <c r="ED154" s="120"/>
      <c r="EE154" s="120"/>
      <c r="EF154" s="120"/>
      <c r="EG154" s="120"/>
      <c r="EH154" s="120"/>
      <c r="EI154" s="120"/>
      <c r="EJ154" s="120"/>
      <c r="EK154" s="120"/>
      <c r="EL154" s="120"/>
      <c r="EM154" s="120"/>
      <c r="EN154" s="120"/>
      <c r="EO154" s="120"/>
      <c r="EP154" s="120"/>
      <c r="EQ154" s="120"/>
      <c r="ER154" s="120"/>
      <c r="ES154" s="120"/>
      <c r="ET154" s="120"/>
      <c r="EU154" s="120"/>
      <c r="EV154" s="120"/>
      <c r="EW154" s="120"/>
      <c r="EX154" s="120"/>
      <c r="EY154" s="120"/>
      <c r="EZ154" s="120"/>
      <c r="FA154" s="120"/>
      <c r="FB154" s="120"/>
      <c r="FC154" s="120"/>
      <c r="FD154" s="120"/>
      <c r="FE154" s="120"/>
      <c r="FF154" s="120"/>
      <c r="FG154" s="120"/>
      <c r="FH154" s="120"/>
      <c r="FI154" s="120"/>
      <c r="FJ154" s="120"/>
      <c r="FK154" s="120"/>
      <c r="FL154" s="120"/>
      <c r="FM154" s="120"/>
      <c r="FN154" s="120"/>
      <c r="FO154" s="120"/>
      <c r="FP154" s="120"/>
      <c r="FQ154" s="120"/>
      <c r="FR154" s="120"/>
      <c r="FS154" s="120"/>
      <c r="FT154" s="120"/>
      <c r="FU154" s="120"/>
    </row>
    <row r="155" s="121" customFormat="true" ht="14.9" hidden="true" customHeight="false" outlineLevel="0" collapsed="false">
      <c r="A155" s="74" t="n">
        <f aca="false">MONTH(B155)</f>
        <v>8</v>
      </c>
      <c r="B155" s="75" t="n">
        <v>44421</v>
      </c>
      <c r="C155" s="76" t="s">
        <v>152</v>
      </c>
      <c r="D155" s="77" t="str">
        <f aca="false">IFERROR(VLOOKUP(E:E,'Item Data Support Sheet'!A:O,7,0),"")</f>
        <v>BOTTLE MOLDED</v>
      </c>
      <c r="E155" s="108" t="s">
        <v>69</v>
      </c>
      <c r="F155" s="123" t="s">
        <v>73</v>
      </c>
      <c r="G155" s="77" t="s">
        <v>74</v>
      </c>
      <c r="H155" s="79" t="str">
        <f aca="false">IFERROR(VLOOKUP(E:E,'Item Data Support Sheet'!A:O,2,0),"")</f>
        <v>KPP 240 ML BOTTLE MOLDED</v>
      </c>
      <c r="I155" s="108" t="s">
        <v>418</v>
      </c>
      <c r="J155" s="80" t="s">
        <v>143</v>
      </c>
      <c r="K155" s="81" t="n">
        <v>8</v>
      </c>
      <c r="L155" s="125" t="n">
        <v>2574</v>
      </c>
      <c r="M155" s="83" t="n">
        <f aca="false">IFERROR(L155/K155,0)</f>
        <v>321.75</v>
      </c>
      <c r="N155" s="84" t="n">
        <f aca="false">+O155+Q155+T155+U155</f>
        <v>3036</v>
      </c>
      <c r="O155" s="85" t="n">
        <f aca="false">108*27</f>
        <v>2916</v>
      </c>
      <c r="P155" s="86" t="n">
        <v>0</v>
      </c>
      <c r="Q155" s="87" t="n">
        <v>40</v>
      </c>
      <c r="R155" s="88" t="n">
        <v>0</v>
      </c>
      <c r="S155" s="88" t="n">
        <v>0</v>
      </c>
      <c r="T155" s="88" t="n">
        <v>72</v>
      </c>
      <c r="U155" s="88" t="n">
        <v>8</v>
      </c>
      <c r="V155" s="89" t="n">
        <v>1</v>
      </c>
      <c r="W155" s="90" t="n">
        <f aca="false">IFERROR(O155/V155,0)</f>
        <v>2916</v>
      </c>
      <c r="X155" s="91" t="n">
        <f aca="false">O155/L155</f>
        <v>1.13286713286713</v>
      </c>
      <c r="Y155" s="92" t="str">
        <f aca="false">IFERROR(VLOOKUP(E:E,'Item Data Support Sheet'!A:J,6,0),0)</f>
        <v>HMC</v>
      </c>
      <c r="Z155" s="93" t="n">
        <f aca="false">IFERROR(VLOOKUP(E:E,'Item Data Support Sheet'!A:O,4,0),0)</f>
        <v>32.1</v>
      </c>
      <c r="AA155" s="93" t="n">
        <f aca="false">IFERROR(((N155)*(Z155/1000))+P155,0)</f>
        <v>97.4556</v>
      </c>
      <c r="AB155" s="94" t="n">
        <f aca="false">IFERROR((O155*(Z155/1000)/(AA155))," ")</f>
        <v>0.960474308300395</v>
      </c>
      <c r="AC155" s="95" t="n">
        <f aca="false">IFERROR((T155)/((T155)+O155),0)</f>
        <v>0.0240963855421687</v>
      </c>
      <c r="AD155" s="96" t="n">
        <f aca="false">IFERROR(Q155/(Q155+N155),0)</f>
        <v>0.0130039011703511</v>
      </c>
      <c r="AE155" s="91" t="n">
        <f aca="false">(N155-T155)/N155</f>
        <v>0.976284584980237</v>
      </c>
      <c r="AF155" s="97" t="n">
        <f aca="false">BR155</f>
        <v>0.666666666666667</v>
      </c>
      <c r="AG155" s="98" t="n">
        <f aca="false">K155-AF155</f>
        <v>7.33333333333333</v>
      </c>
      <c r="AH155" s="99" t="n">
        <f aca="false">IFERROR(AG155/K155," ")</f>
        <v>0.916666666666667</v>
      </c>
      <c r="AI155" s="100" t="n">
        <f aca="false">IFERROR(O155/K155,0)</f>
        <v>364.5</v>
      </c>
      <c r="AJ155" s="101" t="n">
        <f aca="false">VLOOKUP(D155,'Standard Cycle time'!C:D,2,0)</f>
        <v>9</v>
      </c>
      <c r="AK155" s="101" t="n">
        <f aca="false">AG155*V155*3600/O155</f>
        <v>9.05349794238683</v>
      </c>
      <c r="AL155" s="102" t="n">
        <f aca="false">AJ155/AK155</f>
        <v>0.994090909090909</v>
      </c>
      <c r="AM155" s="99" t="n">
        <f aca="false">AE155*AL155*AH155</f>
        <v>0.889639328063241</v>
      </c>
      <c r="AN155" s="103" t="s">
        <v>419</v>
      </c>
      <c r="AO155" s="104"/>
      <c r="AP155" s="105" t="n">
        <v>0</v>
      </c>
      <c r="AQ155" s="105" t="n">
        <v>0</v>
      </c>
      <c r="AR155" s="105" t="n">
        <v>0</v>
      </c>
      <c r="AS155" s="105" t="n">
        <v>0</v>
      </c>
      <c r="AT155" s="105" t="n">
        <v>0</v>
      </c>
      <c r="AU155" s="105" t="n">
        <v>0</v>
      </c>
      <c r="AV155" s="105" t="n">
        <v>0</v>
      </c>
      <c r="AW155" s="105" t="n">
        <v>0</v>
      </c>
      <c r="AX155" s="105" t="n">
        <v>0</v>
      </c>
      <c r="AY155" s="105" t="n">
        <v>0</v>
      </c>
      <c r="AZ155" s="105" t="n">
        <v>0</v>
      </c>
      <c r="BA155" s="105" t="n">
        <v>0</v>
      </c>
      <c r="BB155" s="105" t="n">
        <v>40</v>
      </c>
      <c r="BC155" s="105" t="n">
        <v>0</v>
      </c>
      <c r="BD155" s="105" t="n">
        <v>0</v>
      </c>
      <c r="BE155" s="105" t="n">
        <v>0</v>
      </c>
      <c r="BF155" s="105" t="n">
        <v>0</v>
      </c>
      <c r="BG155" s="105" t="n">
        <v>0</v>
      </c>
      <c r="BH155" s="105" t="n">
        <v>0</v>
      </c>
      <c r="BI155" s="105" t="n">
        <v>0</v>
      </c>
      <c r="BJ155" s="105" t="n">
        <v>0</v>
      </c>
      <c r="BK155" s="105" t="n">
        <v>0</v>
      </c>
      <c r="BL155" s="105" t="n">
        <v>0</v>
      </c>
      <c r="BM155" s="105" t="n">
        <v>0</v>
      </c>
      <c r="BN155" s="105" t="n">
        <v>0</v>
      </c>
      <c r="BO155" s="105" t="n">
        <v>0</v>
      </c>
      <c r="BP155" s="105" t="n">
        <v>0</v>
      </c>
      <c r="BQ155" s="105" t="n">
        <v>0</v>
      </c>
      <c r="BR155" s="106" t="n">
        <f aca="false">SUM(AP155:BQ155)/60</f>
        <v>0.666666666666667</v>
      </c>
      <c r="BS155" s="106" t="n">
        <f aca="false">SUM(AP155:BR155)/60</f>
        <v>0.677777777777778</v>
      </c>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20"/>
      <c r="CX155" s="120"/>
      <c r="CY155" s="120"/>
      <c r="CZ155" s="120"/>
      <c r="DA155" s="120"/>
      <c r="DB155" s="120"/>
      <c r="DC155" s="120"/>
      <c r="DD155" s="120"/>
      <c r="DE155" s="120"/>
      <c r="DF155" s="120"/>
      <c r="DG155" s="120"/>
      <c r="DH155" s="120"/>
      <c r="DI155" s="120"/>
      <c r="DJ155" s="120"/>
      <c r="DK155" s="120"/>
      <c r="DL155" s="120"/>
      <c r="DM155" s="120"/>
      <c r="DN155" s="120"/>
      <c r="DO155" s="120"/>
      <c r="DP155" s="120"/>
      <c r="DQ155" s="120"/>
      <c r="DR155" s="120"/>
      <c r="DS155" s="120"/>
      <c r="DT155" s="120"/>
      <c r="DU155" s="120"/>
      <c r="DV155" s="120"/>
      <c r="DW155" s="120"/>
      <c r="DX155" s="120"/>
      <c r="DY155" s="120"/>
      <c r="DZ155" s="120"/>
      <c r="EA155" s="120"/>
      <c r="EB155" s="120"/>
      <c r="EC155" s="120"/>
      <c r="ED155" s="120"/>
      <c r="EE155" s="120"/>
      <c r="EF155" s="120"/>
      <c r="EG155" s="120"/>
      <c r="EH155" s="120"/>
      <c r="EI155" s="120"/>
      <c r="EJ155" s="120"/>
      <c r="EK155" s="120"/>
      <c r="EL155" s="120"/>
      <c r="EM155" s="120"/>
      <c r="EN155" s="120"/>
      <c r="EO155" s="120"/>
      <c r="EP155" s="120"/>
      <c r="EQ155" s="120"/>
      <c r="ER155" s="120"/>
      <c r="ES155" s="120"/>
      <c r="ET155" s="120"/>
      <c r="EU155" s="120"/>
      <c r="EV155" s="120"/>
      <c r="EW155" s="120"/>
      <c r="EX155" s="120"/>
      <c r="EY155" s="120"/>
      <c r="EZ155" s="120"/>
      <c r="FA155" s="120"/>
      <c r="FB155" s="120"/>
      <c r="FC155" s="120"/>
      <c r="FD155" s="120"/>
      <c r="FE155" s="120"/>
      <c r="FF155" s="120"/>
      <c r="FG155" s="120"/>
      <c r="FH155" s="120"/>
      <c r="FI155" s="120"/>
      <c r="FJ155" s="120"/>
      <c r="FK155" s="120"/>
      <c r="FL155" s="120"/>
      <c r="FM155" s="120"/>
      <c r="FN155" s="120"/>
      <c r="FO155" s="120"/>
      <c r="FP155" s="120"/>
      <c r="FQ155" s="120"/>
      <c r="FR155" s="120"/>
      <c r="FS155" s="120"/>
      <c r="FT155" s="120"/>
      <c r="FU155" s="120"/>
    </row>
    <row r="156" s="121" customFormat="true" ht="41.75" hidden="true" customHeight="false" outlineLevel="0" collapsed="false">
      <c r="A156" s="74" t="n">
        <f aca="false">MONTH(B156)</f>
        <v>8</v>
      </c>
      <c r="B156" s="75" t="n">
        <v>44421</v>
      </c>
      <c r="C156" s="76" t="s">
        <v>152</v>
      </c>
      <c r="D156" s="77" t="str">
        <f aca="false">IFERROR(VLOOKUP(E:E,'Item Data Support Sheet'!A:O,7,0),"")</f>
        <v>CAP MOLDED</v>
      </c>
      <c r="E156" s="108" t="s">
        <v>420</v>
      </c>
      <c r="F156" s="123"/>
      <c r="G156" s="77" t="s">
        <v>200</v>
      </c>
      <c r="H156" s="79" t="str">
        <f aca="false">IFERROR(VLOOKUP(E:E,'Item Data Support Sheet'!A:O,2,0),"")</f>
        <v>CAP S TYPE MOLDED PALE BLUE</v>
      </c>
      <c r="I156" s="108" t="s">
        <v>394</v>
      </c>
      <c r="J156" s="80" t="s">
        <v>143</v>
      </c>
      <c r="K156" s="81" t="n">
        <v>8</v>
      </c>
      <c r="L156" s="125" t="n">
        <v>4137</v>
      </c>
      <c r="M156" s="83" t="n">
        <f aca="false">IFERROR(L156/K156,0)</f>
        <v>517.125</v>
      </c>
      <c r="N156" s="84" t="n">
        <f aca="false">+O156+Q156+T156+U156</f>
        <v>4014</v>
      </c>
      <c r="O156" s="85" t="n">
        <v>4000</v>
      </c>
      <c r="P156" s="86" t="n">
        <v>0.58</v>
      </c>
      <c r="Q156" s="87" t="n">
        <v>0</v>
      </c>
      <c r="R156" s="88" t="n">
        <v>0</v>
      </c>
      <c r="S156" s="88" t="n">
        <v>0</v>
      </c>
      <c r="T156" s="88" t="n">
        <v>6</v>
      </c>
      <c r="U156" s="88" t="n">
        <v>8</v>
      </c>
      <c r="V156" s="89" t="n">
        <v>1</v>
      </c>
      <c r="W156" s="90" t="n">
        <f aca="false">IFERROR(O156/V156,0)</f>
        <v>4000</v>
      </c>
      <c r="X156" s="91" t="n">
        <f aca="false">O156/L156</f>
        <v>0.96688421561518</v>
      </c>
      <c r="Y156" s="92" t="str">
        <f aca="false">IFERROR(VLOOKUP(E:E,'Item Data Support Sheet'!A:J,6,0),0)</f>
        <v>RM000115</v>
      </c>
      <c r="Z156" s="93" t="n">
        <f aca="false">IFERROR(VLOOKUP(E:E,'Item Data Support Sheet'!A:O,4,0),0)</f>
        <v>7.3</v>
      </c>
      <c r="AA156" s="93" t="n">
        <f aca="false">IFERROR(((N156)*(Z156/1000))+P156,0)</f>
        <v>29.8822</v>
      </c>
      <c r="AB156" s="94" t="n">
        <f aca="false">IFERROR((O156*(Z156/1000)/(AA156))," ")</f>
        <v>0.977170355596308</v>
      </c>
      <c r="AC156" s="95" t="n">
        <f aca="false">IFERROR((T156)/((T156)+O156),0)</f>
        <v>0.00149775336994508</v>
      </c>
      <c r="AD156" s="96" t="n">
        <f aca="false">IFERROR(Q156/(Q156+N156),0)</f>
        <v>0</v>
      </c>
      <c r="AE156" s="91" t="n">
        <f aca="false">(N156-T156)/N156</f>
        <v>0.998505231689088</v>
      </c>
      <c r="AF156" s="97" t="n">
        <f aca="false">BR156</f>
        <v>1.25</v>
      </c>
      <c r="AG156" s="98" t="n">
        <f aca="false">K156-AF156</f>
        <v>6.75</v>
      </c>
      <c r="AH156" s="99" t="n">
        <f aca="false">IFERROR(AG156/K156," ")</f>
        <v>0.84375</v>
      </c>
      <c r="AI156" s="100" t="n">
        <f aca="false">IFERROR(O156/K156,0)</f>
        <v>500</v>
      </c>
      <c r="AJ156" s="101" t="n">
        <f aca="false">VLOOKUP(D156,'Standard Cycle time'!C:D,2,0)</f>
        <v>6</v>
      </c>
      <c r="AK156" s="101" t="n">
        <f aca="false">AG156*V156*3600/O156</f>
        <v>6.075</v>
      </c>
      <c r="AL156" s="102" t="n">
        <f aca="false">AJ156/AK156</f>
        <v>0.987654320987654</v>
      </c>
      <c r="AM156" s="99" t="n">
        <f aca="false">AE156*AL156*AH156</f>
        <v>0.83208769307424</v>
      </c>
      <c r="AN156" s="103" t="n">
        <v>2692</v>
      </c>
      <c r="AO156" s="110" t="s">
        <v>421</v>
      </c>
      <c r="AP156" s="105" t="n">
        <v>0</v>
      </c>
      <c r="AQ156" s="105" t="n">
        <v>45</v>
      </c>
      <c r="AR156" s="105" t="n">
        <v>0</v>
      </c>
      <c r="AS156" s="105" t="n">
        <v>0</v>
      </c>
      <c r="AT156" s="105" t="n">
        <v>0</v>
      </c>
      <c r="AU156" s="105" t="n">
        <v>0</v>
      </c>
      <c r="AV156" s="105" t="n">
        <v>0</v>
      </c>
      <c r="AW156" s="105" t="n">
        <v>0</v>
      </c>
      <c r="AX156" s="105" t="n">
        <v>0</v>
      </c>
      <c r="AY156" s="105" t="n">
        <v>0</v>
      </c>
      <c r="AZ156" s="105" t="n">
        <v>0</v>
      </c>
      <c r="BA156" s="105" t="n">
        <v>0</v>
      </c>
      <c r="BB156" s="105" t="n">
        <v>30</v>
      </c>
      <c r="BC156" s="105" t="n">
        <v>0</v>
      </c>
      <c r="BD156" s="105" t="n">
        <v>0</v>
      </c>
      <c r="BE156" s="105" t="n">
        <v>0</v>
      </c>
      <c r="BF156" s="105" t="n">
        <v>0</v>
      </c>
      <c r="BG156" s="105" t="n">
        <v>0</v>
      </c>
      <c r="BH156" s="105" t="n">
        <v>0</v>
      </c>
      <c r="BI156" s="105" t="n">
        <v>0</v>
      </c>
      <c r="BJ156" s="105" t="n">
        <v>0</v>
      </c>
      <c r="BK156" s="105" t="n">
        <v>0</v>
      </c>
      <c r="BL156" s="105" t="n">
        <v>0</v>
      </c>
      <c r="BM156" s="105" t="n">
        <v>0</v>
      </c>
      <c r="BN156" s="105" t="n">
        <v>0</v>
      </c>
      <c r="BO156" s="105" t="n">
        <v>0</v>
      </c>
      <c r="BP156" s="105" t="n">
        <v>0</v>
      </c>
      <c r="BQ156" s="105" t="n">
        <v>0</v>
      </c>
      <c r="BR156" s="106" t="n">
        <f aca="false">SUM(AP156:BQ156)/60</f>
        <v>1.25</v>
      </c>
      <c r="BS156" s="106" t="n">
        <f aca="false">SUM(AP156:BR156)/60</f>
        <v>1.27083333333333</v>
      </c>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20"/>
      <c r="CX156" s="120"/>
      <c r="CY156" s="120"/>
      <c r="CZ156" s="120"/>
      <c r="DA156" s="120"/>
      <c r="DB156" s="120"/>
      <c r="DC156" s="120"/>
      <c r="DD156" s="120"/>
      <c r="DE156" s="120"/>
      <c r="DF156" s="120"/>
      <c r="DG156" s="120"/>
      <c r="DH156" s="120"/>
      <c r="DI156" s="120"/>
      <c r="DJ156" s="120"/>
      <c r="DK156" s="120"/>
      <c r="DL156" s="120"/>
      <c r="DM156" s="120"/>
      <c r="DN156" s="120"/>
      <c r="DO156" s="120"/>
      <c r="DP156" s="120"/>
      <c r="DQ156" s="120"/>
      <c r="DR156" s="120"/>
      <c r="DS156" s="120"/>
      <c r="DT156" s="120"/>
      <c r="DU156" s="120"/>
      <c r="DV156" s="120"/>
      <c r="DW156" s="120"/>
      <c r="DX156" s="120"/>
      <c r="DY156" s="120"/>
      <c r="DZ156" s="120"/>
      <c r="EA156" s="120"/>
      <c r="EB156" s="120"/>
      <c r="EC156" s="120"/>
      <c r="ED156" s="120"/>
      <c r="EE156" s="120"/>
      <c r="EF156" s="120"/>
      <c r="EG156" s="120"/>
      <c r="EH156" s="120"/>
      <c r="EI156" s="120"/>
      <c r="EJ156" s="120"/>
      <c r="EK156" s="120"/>
      <c r="EL156" s="120"/>
      <c r="EM156" s="120"/>
      <c r="EN156" s="120"/>
      <c r="EO156" s="120"/>
      <c r="EP156" s="120"/>
      <c r="EQ156" s="120"/>
      <c r="ER156" s="120"/>
      <c r="ES156" s="120"/>
      <c r="ET156" s="120"/>
      <c r="EU156" s="120"/>
      <c r="EV156" s="120"/>
      <c r="EW156" s="120"/>
      <c r="EX156" s="120"/>
      <c r="EY156" s="120"/>
      <c r="EZ156" s="120"/>
      <c r="FA156" s="120"/>
      <c r="FB156" s="120"/>
      <c r="FC156" s="120"/>
      <c r="FD156" s="120"/>
      <c r="FE156" s="120"/>
      <c r="FF156" s="120"/>
      <c r="FG156" s="120"/>
      <c r="FH156" s="120"/>
      <c r="FI156" s="120"/>
      <c r="FJ156" s="120"/>
      <c r="FK156" s="120"/>
      <c r="FL156" s="120"/>
      <c r="FM156" s="120"/>
      <c r="FN156" s="120"/>
      <c r="FO156" s="120"/>
      <c r="FP156" s="120"/>
      <c r="FQ156" s="120"/>
      <c r="FR156" s="120"/>
      <c r="FS156" s="120"/>
      <c r="FT156" s="120"/>
      <c r="FU156" s="120"/>
    </row>
    <row r="157" s="121" customFormat="true" ht="14.9" hidden="true" customHeight="false" outlineLevel="0" collapsed="false">
      <c r="A157" s="74" t="n">
        <f aca="false">MONTH(B157)</f>
        <v>8</v>
      </c>
      <c r="B157" s="75" t="n">
        <v>44425</v>
      </c>
      <c r="C157" s="76" t="s">
        <v>51</v>
      </c>
      <c r="D157" s="77" t="str">
        <f aca="false">IFERROR(VLOOKUP(E:E,'Item Data Support Sheet'!A:O,7,0),"")</f>
        <v>NIPPLE MOLDED</v>
      </c>
      <c r="E157" s="108" t="s">
        <v>244</v>
      </c>
      <c r="F157" s="80" t="s">
        <v>137</v>
      </c>
      <c r="G157" s="77" t="s">
        <v>138</v>
      </c>
      <c r="H157" s="79" t="str">
        <f aca="false">IFERROR(VLOOKUP(E:E,'Item Data Support Sheet'!A:O,2,0),"")</f>
        <v>NIPPLE S TYPE S SIZE INJECTION</v>
      </c>
      <c r="I157" s="108" t="s">
        <v>422</v>
      </c>
      <c r="J157" s="80" t="s">
        <v>148</v>
      </c>
      <c r="K157" s="81" t="n">
        <v>6</v>
      </c>
      <c r="L157" s="125" t="n">
        <v>3600</v>
      </c>
      <c r="M157" s="83" t="n">
        <f aca="false">IFERROR(L157/K157,0)</f>
        <v>600</v>
      </c>
      <c r="N157" s="84" t="n">
        <f aca="false">+O157+Q157+T157+U157</f>
        <v>4160</v>
      </c>
      <c r="O157" s="85" t="n">
        <v>4000</v>
      </c>
      <c r="P157" s="86" t="n">
        <v>1.147</v>
      </c>
      <c r="Q157" s="87" t="n">
        <v>90</v>
      </c>
      <c r="R157" s="88" t="n">
        <v>0</v>
      </c>
      <c r="S157" s="88" t="n">
        <v>0</v>
      </c>
      <c r="T157" s="88" t="n">
        <v>62</v>
      </c>
      <c r="U157" s="88" t="n">
        <v>8</v>
      </c>
      <c r="V157" s="89" t="n">
        <v>1</v>
      </c>
      <c r="W157" s="90" t="n">
        <f aca="false">IFERROR(O157/V157,0)</f>
        <v>4000</v>
      </c>
      <c r="X157" s="91" t="n">
        <f aca="false">O157/L157</f>
        <v>1.11111111111111</v>
      </c>
      <c r="Y157" s="92" t="str">
        <f aca="false">IFERROR(VLOOKUP(E:E,'Item Data Support Sheet'!A:J,6,0),0)</f>
        <v>Silicon</v>
      </c>
      <c r="Z157" s="93" t="n">
        <f aca="false">IFERROR(VLOOKUP(E:E,'Item Data Support Sheet'!A:O,4,0),0)</f>
        <v>6.8</v>
      </c>
      <c r="AA157" s="93" t="n">
        <f aca="false">IFERROR(((N157)*(Z157/1000))+P157,0)</f>
        <v>29.435</v>
      </c>
      <c r="AB157" s="94" t="n">
        <f aca="false">IFERROR((O157*(Z157/1000)/(AA157))," ")</f>
        <v>0.924069984712077</v>
      </c>
      <c r="AC157" s="95" t="n">
        <f aca="false">IFERROR((T157)/((T157)+O157),0)</f>
        <v>0.0152634170359429</v>
      </c>
      <c r="AD157" s="96" t="n">
        <f aca="false">IFERROR(Q157/(Q157+N157),0)</f>
        <v>0.0211764705882353</v>
      </c>
      <c r="AE157" s="91" t="n">
        <f aca="false">(N157-T157)/N157</f>
        <v>0.985096153846154</v>
      </c>
      <c r="AF157" s="97" t="n">
        <f aca="false">BR157</f>
        <v>0</v>
      </c>
      <c r="AG157" s="98" t="n">
        <f aca="false">K157-AF157</f>
        <v>6</v>
      </c>
      <c r="AH157" s="99" t="n">
        <f aca="false">IFERROR(AG157/K157," ")</f>
        <v>1</v>
      </c>
      <c r="AI157" s="100" t="n">
        <f aca="false">IFERROR(O157/K157,0)</f>
        <v>666.666666666667</v>
      </c>
      <c r="AJ157" s="101" t="n">
        <f aca="false">VLOOKUP(D157,'Standard Cycle time'!C:D,2,0)</f>
        <v>5.25</v>
      </c>
      <c r="AK157" s="101" t="n">
        <f aca="false">AG157*V157*3600/O157</f>
        <v>5.4</v>
      </c>
      <c r="AL157" s="102" t="n">
        <f aca="false">AJ157/AK157</f>
        <v>0.972222222222222</v>
      </c>
      <c r="AM157" s="99" t="n">
        <f aca="false">AE157*AL157*AH157</f>
        <v>0.957732371794872</v>
      </c>
      <c r="AN157" s="103" t="s">
        <v>423</v>
      </c>
      <c r="AO157" s="104"/>
      <c r="AP157" s="105" t="n">
        <v>0</v>
      </c>
      <c r="AQ157" s="105" t="n">
        <v>0</v>
      </c>
      <c r="AR157" s="105" t="n">
        <v>0</v>
      </c>
      <c r="AS157" s="105" t="n">
        <v>0</v>
      </c>
      <c r="AT157" s="105" t="n">
        <v>0</v>
      </c>
      <c r="AU157" s="105" t="n">
        <v>0</v>
      </c>
      <c r="AV157" s="105" t="n">
        <v>0</v>
      </c>
      <c r="AW157" s="105" t="n">
        <v>0</v>
      </c>
      <c r="AX157" s="105" t="n">
        <v>0</v>
      </c>
      <c r="AY157" s="105" t="n">
        <v>0</v>
      </c>
      <c r="AZ157" s="105" t="n">
        <v>0</v>
      </c>
      <c r="BA157" s="105" t="n">
        <v>0</v>
      </c>
      <c r="BB157" s="105" t="n">
        <v>0</v>
      </c>
      <c r="BC157" s="105" t="n">
        <v>0</v>
      </c>
      <c r="BD157" s="105" t="n">
        <v>0</v>
      </c>
      <c r="BE157" s="105" t="n">
        <v>0</v>
      </c>
      <c r="BF157" s="105" t="n">
        <v>0</v>
      </c>
      <c r="BG157" s="105" t="n">
        <v>0</v>
      </c>
      <c r="BH157" s="105" t="n">
        <v>0</v>
      </c>
      <c r="BI157" s="105" t="n">
        <v>0</v>
      </c>
      <c r="BJ157" s="105" t="n">
        <v>0</v>
      </c>
      <c r="BK157" s="105" t="n">
        <v>0</v>
      </c>
      <c r="BL157" s="105" t="n">
        <v>0</v>
      </c>
      <c r="BM157" s="105" t="n">
        <v>0</v>
      </c>
      <c r="BN157" s="105" t="n">
        <v>0</v>
      </c>
      <c r="BO157" s="105" t="n">
        <v>0</v>
      </c>
      <c r="BP157" s="105" t="n">
        <v>0</v>
      </c>
      <c r="BQ157" s="105" t="n">
        <v>0</v>
      </c>
      <c r="BR157" s="106" t="n">
        <f aca="false">SUM(AP157:BQ157)/60</f>
        <v>0</v>
      </c>
      <c r="BS157" s="106" t="n">
        <f aca="false">SUM(AP157:BR157)/60</f>
        <v>0</v>
      </c>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row>
    <row r="158" s="121" customFormat="true" ht="14.9" hidden="true" customHeight="false" outlineLevel="0" collapsed="false">
      <c r="A158" s="74" t="n">
        <f aca="false">MONTH(B158)</f>
        <v>8</v>
      </c>
      <c r="B158" s="75" t="n">
        <v>44425</v>
      </c>
      <c r="C158" s="76" t="s">
        <v>51</v>
      </c>
      <c r="D158" s="77" t="str">
        <f aca="false">IFERROR(VLOOKUP(E:E,'Item Data Support Sheet'!A:O,7,0),"")</f>
        <v>NIPPLE POSTCURE</v>
      </c>
      <c r="E158" s="108" t="s">
        <v>57</v>
      </c>
      <c r="F158" s="123"/>
      <c r="G158" s="77" t="s">
        <v>149</v>
      </c>
      <c r="H158" s="79" t="str">
        <f aca="false">IFERROR(VLOOKUP(E:E,'Item Data Support Sheet'!A:O,2,0),"")</f>
        <v>NIPPLE S TYPE S SIZE POSTCURED</v>
      </c>
      <c r="I158" s="108" t="s">
        <v>424</v>
      </c>
      <c r="J158" s="80" t="s">
        <v>148</v>
      </c>
      <c r="K158" s="81" t="n">
        <v>3</v>
      </c>
      <c r="L158" s="125" t="n">
        <v>4000</v>
      </c>
      <c r="M158" s="83" t="n">
        <f aca="false">IFERROR(L158/K158,0)</f>
        <v>1333.33333333333</v>
      </c>
      <c r="N158" s="84" t="n">
        <f aca="false">+O158+Q158+T158+U158</f>
        <v>4000</v>
      </c>
      <c r="O158" s="85" t="n">
        <v>4000</v>
      </c>
      <c r="P158" s="86" t="n">
        <v>0</v>
      </c>
      <c r="Q158" s="87" t="n">
        <v>0</v>
      </c>
      <c r="R158" s="88" t="n">
        <v>0</v>
      </c>
      <c r="S158" s="88" t="n">
        <v>0</v>
      </c>
      <c r="T158" s="88" t="n">
        <v>0</v>
      </c>
      <c r="U158" s="88" t="n">
        <v>0</v>
      </c>
      <c r="V158" s="89" t="n">
        <v>1</v>
      </c>
      <c r="W158" s="90" t="n">
        <f aca="false">IFERROR(O158/V158,0)</f>
        <v>4000</v>
      </c>
      <c r="X158" s="91" t="n">
        <f aca="false">O158/L158</f>
        <v>1</v>
      </c>
      <c r="Y158" s="92" t="str">
        <f aca="false">IFERROR(VLOOKUP(E:E,'Item Data Support Sheet'!A:J,6,0),0)</f>
        <v>FO011</v>
      </c>
      <c r="Z158" s="93" t="n">
        <f aca="false">IFERROR(VLOOKUP(E:E,'Item Data Support Sheet'!A:O,4,0),0)</f>
        <v>0</v>
      </c>
      <c r="AA158" s="93" t="n">
        <f aca="false">IFERROR(((N158)*(Z158/1000))+P158,0)</f>
        <v>0</v>
      </c>
      <c r="AB158" s="94" t="str">
        <f aca="false">IFERROR((O158*(Z158/1000)/(AA158))," ")</f>
        <v> </v>
      </c>
      <c r="AC158" s="95" t="n">
        <f aca="false">IFERROR((T158)/((T158)+O158),0)</f>
        <v>0</v>
      </c>
      <c r="AD158" s="96" t="n">
        <f aca="false">IFERROR(Q158/(Q158+N158),0)</f>
        <v>0</v>
      </c>
      <c r="AE158" s="91" t="n">
        <f aca="false">(N158-T158)/N158</f>
        <v>1</v>
      </c>
      <c r="AF158" s="97" t="n">
        <f aca="false">BR158</f>
        <v>0</v>
      </c>
      <c r="AG158" s="98" t="n">
        <f aca="false">K158-AF158</f>
        <v>3</v>
      </c>
      <c r="AH158" s="99" t="n">
        <f aca="false">IFERROR(AG158/K158," ")</f>
        <v>1</v>
      </c>
      <c r="AI158" s="100" t="n">
        <f aca="false">IFERROR(O158/K158,0)</f>
        <v>1333.33333333333</v>
      </c>
      <c r="AJ158" s="101" t="n">
        <f aca="false">VLOOKUP(D158,'Standard Cycle time'!C:D,2,0)</f>
        <v>2.3</v>
      </c>
      <c r="AK158" s="101" t="n">
        <f aca="false">AG158*V158*3600/O158</f>
        <v>2.7</v>
      </c>
      <c r="AL158" s="102" t="n">
        <f aca="false">AJ158/AK158</f>
        <v>0.851851851851852</v>
      </c>
      <c r="AM158" s="99" t="n">
        <f aca="false">AE158*AL158*AH158</f>
        <v>0.851851851851852</v>
      </c>
      <c r="AN158" s="103" t="n">
        <v>2453</v>
      </c>
      <c r="AO158" s="104"/>
      <c r="AP158" s="105" t="n">
        <v>0</v>
      </c>
      <c r="AQ158" s="105" t="n">
        <v>0</v>
      </c>
      <c r="AR158" s="105" t="n">
        <v>0</v>
      </c>
      <c r="AS158" s="105" t="n">
        <v>0</v>
      </c>
      <c r="AT158" s="105" t="n">
        <v>0</v>
      </c>
      <c r="AU158" s="105" t="n">
        <v>0</v>
      </c>
      <c r="AV158" s="105" t="n">
        <v>0</v>
      </c>
      <c r="AW158" s="105" t="n">
        <v>0</v>
      </c>
      <c r="AX158" s="105" t="n">
        <v>0</v>
      </c>
      <c r="AY158" s="105" t="n">
        <v>0</v>
      </c>
      <c r="AZ158" s="105" t="n">
        <v>0</v>
      </c>
      <c r="BA158" s="105" t="n">
        <v>0</v>
      </c>
      <c r="BB158" s="105" t="n">
        <v>0</v>
      </c>
      <c r="BC158" s="105" t="n">
        <v>0</v>
      </c>
      <c r="BD158" s="105" t="n">
        <v>0</v>
      </c>
      <c r="BE158" s="105" t="n">
        <v>0</v>
      </c>
      <c r="BF158" s="105" t="n">
        <v>0</v>
      </c>
      <c r="BG158" s="105" t="n">
        <v>0</v>
      </c>
      <c r="BH158" s="105" t="n">
        <v>0</v>
      </c>
      <c r="BI158" s="105" t="n">
        <v>0</v>
      </c>
      <c r="BJ158" s="105" t="n">
        <v>0</v>
      </c>
      <c r="BK158" s="105" t="n">
        <v>0</v>
      </c>
      <c r="BL158" s="105" t="n">
        <v>0</v>
      </c>
      <c r="BM158" s="105" t="n">
        <v>0</v>
      </c>
      <c r="BN158" s="105" t="n">
        <v>0</v>
      </c>
      <c r="BO158" s="105" t="n">
        <v>0</v>
      </c>
      <c r="BP158" s="105" t="n">
        <v>0</v>
      </c>
      <c r="BQ158" s="105" t="n">
        <v>0</v>
      </c>
      <c r="BR158" s="106" t="n">
        <f aca="false">SUM(AP158:BQ158)/60</f>
        <v>0</v>
      </c>
      <c r="BS158" s="106" t="n">
        <f aca="false">SUM(AP158:BR158)/60</f>
        <v>0</v>
      </c>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20"/>
      <c r="CX158" s="120"/>
      <c r="CY158" s="120"/>
      <c r="CZ158" s="120"/>
      <c r="DA158" s="120"/>
      <c r="DB158" s="120"/>
      <c r="DC158" s="120"/>
      <c r="DD158" s="120"/>
      <c r="DE158" s="120"/>
      <c r="DF158" s="120"/>
      <c r="DG158" s="120"/>
      <c r="DH158" s="120"/>
      <c r="DI158" s="120"/>
      <c r="DJ158" s="120"/>
      <c r="DK158" s="120"/>
      <c r="DL158" s="120"/>
      <c r="DM158" s="120"/>
      <c r="DN158" s="120"/>
      <c r="DO158" s="120"/>
      <c r="DP158" s="120"/>
      <c r="DQ158" s="120"/>
      <c r="DR158" s="120"/>
      <c r="DS158" s="120"/>
      <c r="DT158" s="120"/>
      <c r="DU158" s="120"/>
      <c r="DV158" s="120"/>
      <c r="DW158" s="120"/>
      <c r="DX158" s="120"/>
      <c r="DY158" s="120"/>
      <c r="DZ158" s="120"/>
      <c r="EA158" s="120"/>
      <c r="EB158" s="120"/>
      <c r="EC158" s="120"/>
      <c r="ED158" s="120"/>
      <c r="EE158" s="120"/>
      <c r="EF158" s="120"/>
      <c r="EG158" s="120"/>
      <c r="EH158" s="120"/>
      <c r="EI158" s="120"/>
      <c r="EJ158" s="120"/>
      <c r="EK158" s="120"/>
      <c r="EL158" s="120"/>
      <c r="EM158" s="120"/>
      <c r="EN158" s="120"/>
      <c r="EO158" s="120"/>
      <c r="EP158" s="120"/>
      <c r="EQ158" s="120"/>
      <c r="ER158" s="120"/>
      <c r="ES158" s="120"/>
      <c r="ET158" s="120"/>
      <c r="EU158" s="120"/>
      <c r="EV158" s="120"/>
      <c r="EW158" s="120"/>
      <c r="EX158" s="120"/>
      <c r="EY158" s="120"/>
      <c r="EZ158" s="120"/>
      <c r="FA158" s="120"/>
      <c r="FB158" s="120"/>
      <c r="FC158" s="120"/>
      <c r="FD158" s="120"/>
      <c r="FE158" s="120"/>
      <c r="FF158" s="120"/>
      <c r="FG158" s="120"/>
      <c r="FH158" s="120"/>
      <c r="FI158" s="120"/>
      <c r="FJ158" s="120"/>
      <c r="FK158" s="120"/>
      <c r="FL158" s="120"/>
      <c r="FM158" s="120"/>
      <c r="FN158" s="120"/>
      <c r="FO158" s="120"/>
      <c r="FP158" s="120"/>
      <c r="FQ158" s="120"/>
      <c r="FR158" s="120"/>
      <c r="FS158" s="120"/>
      <c r="FT158" s="120"/>
      <c r="FU158" s="120"/>
    </row>
    <row r="159" s="121" customFormat="true" ht="14.9" hidden="true" customHeight="false" outlineLevel="0" collapsed="false">
      <c r="A159" s="74" t="n">
        <f aca="false">MONTH(B159)</f>
        <v>8</v>
      </c>
      <c r="B159" s="75" t="n">
        <v>44425</v>
      </c>
      <c r="C159" s="76" t="s">
        <v>51</v>
      </c>
      <c r="D159" s="77" t="str">
        <f aca="false">IFERROR(VLOOKUP(E:E,'Item Data Support Sheet'!A:O,7,0),"")</f>
        <v>NIPPLE PUNCH</v>
      </c>
      <c r="E159" s="108" t="s">
        <v>53</v>
      </c>
      <c r="F159" s="80"/>
      <c r="G159" s="77" t="s">
        <v>54</v>
      </c>
      <c r="H159" s="79" t="str">
        <f aca="false">IFERROR(VLOOKUP(E:E,'Item Data Support Sheet'!A:O,2,0),"")</f>
        <v>NIPPLE S TYPE S SIZE PUNCHED</v>
      </c>
      <c r="I159" s="108" t="s">
        <v>425</v>
      </c>
      <c r="J159" s="80" t="s">
        <v>148</v>
      </c>
      <c r="K159" s="81" t="n">
        <v>8</v>
      </c>
      <c r="L159" s="125" t="n">
        <v>7000</v>
      </c>
      <c r="M159" s="83" t="n">
        <f aca="false">IFERROR(L159/K159,0)</f>
        <v>875</v>
      </c>
      <c r="N159" s="84" t="n">
        <f aca="false">+O159+Q159+T159+U159</f>
        <v>4000</v>
      </c>
      <c r="O159" s="85" t="n">
        <v>4000</v>
      </c>
      <c r="P159" s="86" t="n">
        <v>0</v>
      </c>
      <c r="Q159" s="87" t="n">
        <v>0</v>
      </c>
      <c r="R159" s="88" t="n">
        <v>0</v>
      </c>
      <c r="S159" s="88" t="n">
        <v>0</v>
      </c>
      <c r="T159" s="88" t="n">
        <v>0</v>
      </c>
      <c r="U159" s="88" t="n">
        <v>0</v>
      </c>
      <c r="V159" s="89" t="n">
        <v>1</v>
      </c>
      <c r="W159" s="90" t="n">
        <f aca="false">IFERROR(O159/V159,0)</f>
        <v>4000</v>
      </c>
      <c r="X159" s="91" t="n">
        <f aca="false">O159/L159</f>
        <v>0.571428571428571</v>
      </c>
      <c r="Y159" s="92" t="str">
        <f aca="false">IFERROR(VLOOKUP(E:E,'Item Data Support Sheet'!A:J,6,0),0)</f>
        <v>FO015</v>
      </c>
      <c r="Z159" s="93" t="n">
        <f aca="false">IFERROR(VLOOKUP(E:E,'Item Data Support Sheet'!A:O,4,0),0)</f>
        <v>0</v>
      </c>
      <c r="AA159" s="93" t="n">
        <f aca="false">IFERROR(((N159)*(Z159/1000))+P159,0)</f>
        <v>0</v>
      </c>
      <c r="AB159" s="94" t="str">
        <f aca="false">IFERROR((O159*(Z159/1000)/(AA159))," ")</f>
        <v> </v>
      </c>
      <c r="AC159" s="95" t="n">
        <f aca="false">IFERROR((T159)/((T159)+O159),0)</f>
        <v>0</v>
      </c>
      <c r="AD159" s="96" t="n">
        <f aca="false">IFERROR(Q159/(Q159+N159),0)</f>
        <v>0</v>
      </c>
      <c r="AE159" s="91" t="n">
        <f aca="false">(N159-T159)/N159</f>
        <v>1</v>
      </c>
      <c r="AF159" s="97" t="n">
        <f aca="false">BR159</f>
        <v>4.08333333333333</v>
      </c>
      <c r="AG159" s="98" t="n">
        <f aca="false">K159-AF159</f>
        <v>3.91666666666667</v>
      </c>
      <c r="AH159" s="99" t="n">
        <f aca="false">IFERROR(AG159/K159," ")</f>
        <v>0.489583333333333</v>
      </c>
      <c r="AI159" s="100" t="n">
        <f aca="false">IFERROR(O159/K159,0)</f>
        <v>500</v>
      </c>
      <c r="AJ159" s="101" t="n">
        <f aca="false">VLOOKUP(D159,'Standard Cycle time'!C:D,2,0)</f>
        <v>3.5</v>
      </c>
      <c r="AK159" s="101" t="n">
        <f aca="false">AG159*V159*3600/O159</f>
        <v>3.525</v>
      </c>
      <c r="AL159" s="102" t="n">
        <f aca="false">AJ159/AK159</f>
        <v>0.992907801418439</v>
      </c>
      <c r="AM159" s="99" t="n">
        <f aca="false">AE159*AL159*AH159</f>
        <v>0.486111111111111</v>
      </c>
      <c r="AN159" s="103" t="s">
        <v>426</v>
      </c>
      <c r="AO159" s="109"/>
      <c r="AP159" s="105" t="n">
        <v>40</v>
      </c>
      <c r="AQ159" s="105" t="n">
        <v>0</v>
      </c>
      <c r="AR159" s="105" t="n">
        <v>0</v>
      </c>
      <c r="AS159" s="105" t="n">
        <v>0</v>
      </c>
      <c r="AT159" s="105" t="n">
        <v>0</v>
      </c>
      <c r="AU159" s="105" t="n">
        <v>0</v>
      </c>
      <c r="AV159" s="105" t="n">
        <v>45</v>
      </c>
      <c r="AW159" s="105" t="n">
        <v>0</v>
      </c>
      <c r="AX159" s="105" t="n">
        <v>0</v>
      </c>
      <c r="AY159" s="105" t="n">
        <v>0</v>
      </c>
      <c r="AZ159" s="105" t="n">
        <v>0</v>
      </c>
      <c r="BA159" s="105" t="n">
        <v>0</v>
      </c>
      <c r="BB159" s="105" t="n">
        <v>0</v>
      </c>
      <c r="BC159" s="105" t="n">
        <v>0</v>
      </c>
      <c r="BD159" s="105" t="n">
        <v>0</v>
      </c>
      <c r="BE159" s="105" t="n">
        <v>0</v>
      </c>
      <c r="BF159" s="105" t="n">
        <v>0</v>
      </c>
      <c r="BG159" s="105" t="n">
        <v>0</v>
      </c>
      <c r="BH159" s="105" t="n">
        <v>0</v>
      </c>
      <c r="BI159" s="105" t="n">
        <v>0</v>
      </c>
      <c r="BJ159" s="105" t="n">
        <v>0</v>
      </c>
      <c r="BK159" s="105" t="n">
        <v>160</v>
      </c>
      <c r="BL159" s="105" t="n">
        <v>0</v>
      </c>
      <c r="BM159" s="105" t="n">
        <v>0</v>
      </c>
      <c r="BN159" s="105" t="n">
        <v>0</v>
      </c>
      <c r="BO159" s="105" t="n">
        <v>0</v>
      </c>
      <c r="BP159" s="105" t="n">
        <v>0</v>
      </c>
      <c r="BQ159" s="105" t="n">
        <v>0</v>
      </c>
      <c r="BR159" s="106" t="n">
        <f aca="false">SUM(AP159:BQ159)/60</f>
        <v>4.08333333333333</v>
      </c>
      <c r="BS159" s="106" t="n">
        <f aca="false">SUM(AP159:BR159)/60</f>
        <v>4.15138888888889</v>
      </c>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20"/>
      <c r="CX159" s="120"/>
      <c r="CY159" s="120"/>
      <c r="CZ159" s="120"/>
      <c r="DA159" s="120"/>
      <c r="DB159" s="120"/>
      <c r="DC159" s="120"/>
      <c r="DD159" s="120"/>
      <c r="DE159" s="120"/>
      <c r="DF159" s="120"/>
      <c r="DG159" s="120"/>
      <c r="DH159" s="120"/>
      <c r="DI159" s="120"/>
      <c r="DJ159" s="120"/>
      <c r="DK159" s="120"/>
      <c r="DL159" s="120"/>
      <c r="DM159" s="120"/>
      <c r="DN159" s="120"/>
      <c r="DO159" s="120"/>
      <c r="DP159" s="120"/>
      <c r="DQ159" s="120"/>
      <c r="DR159" s="120"/>
      <c r="DS159" s="120"/>
      <c r="DT159" s="120"/>
      <c r="DU159" s="120"/>
      <c r="DV159" s="120"/>
      <c r="DW159" s="120"/>
      <c r="DX159" s="120"/>
      <c r="DY159" s="120"/>
      <c r="DZ159" s="120"/>
      <c r="EA159" s="120"/>
      <c r="EB159" s="120"/>
      <c r="EC159" s="120"/>
      <c r="ED159" s="120"/>
      <c r="EE159" s="120"/>
      <c r="EF159" s="120"/>
      <c r="EG159" s="120"/>
      <c r="EH159" s="120"/>
      <c r="EI159" s="120"/>
      <c r="EJ159" s="120"/>
      <c r="EK159" s="120"/>
      <c r="EL159" s="120"/>
      <c r="EM159" s="120"/>
      <c r="EN159" s="120"/>
      <c r="EO159" s="120"/>
      <c r="EP159" s="120"/>
      <c r="EQ159" s="120"/>
      <c r="ER159" s="120"/>
      <c r="ES159" s="120"/>
      <c r="ET159" s="120"/>
      <c r="EU159" s="120"/>
      <c r="EV159" s="120"/>
      <c r="EW159" s="120"/>
      <c r="EX159" s="120"/>
      <c r="EY159" s="120"/>
      <c r="EZ159" s="120"/>
      <c r="FA159" s="120"/>
      <c r="FB159" s="120"/>
      <c r="FC159" s="120"/>
      <c r="FD159" s="120"/>
      <c r="FE159" s="120"/>
      <c r="FF159" s="120"/>
      <c r="FG159" s="120"/>
      <c r="FH159" s="120"/>
      <c r="FI159" s="120"/>
      <c r="FJ159" s="120"/>
      <c r="FK159" s="120"/>
      <c r="FL159" s="120"/>
      <c r="FM159" s="120"/>
      <c r="FN159" s="120"/>
      <c r="FO159" s="120"/>
      <c r="FP159" s="120"/>
      <c r="FQ159" s="120"/>
      <c r="FR159" s="120"/>
      <c r="FS159" s="120"/>
      <c r="FT159" s="120"/>
      <c r="FU159" s="120"/>
    </row>
    <row r="160" s="121" customFormat="true" ht="14.9" hidden="true" customHeight="false" outlineLevel="0" collapsed="false">
      <c r="A160" s="74" t="n">
        <f aca="false">MONTH(B160)</f>
        <v>8</v>
      </c>
      <c r="B160" s="75" t="n">
        <v>44425</v>
      </c>
      <c r="C160" s="76" t="s">
        <v>51</v>
      </c>
      <c r="D160" s="77" t="str">
        <f aca="false">IFERROR(VLOOKUP(E:E,'Item Data Support Sheet'!A:O,7,0),"")</f>
        <v>BOTTLE MOLDED</v>
      </c>
      <c r="E160" s="108" t="s">
        <v>69</v>
      </c>
      <c r="F160" s="123" t="s">
        <v>73</v>
      </c>
      <c r="G160" s="77" t="s">
        <v>74</v>
      </c>
      <c r="H160" s="79" t="str">
        <f aca="false">IFERROR(VLOOKUP(E:E,'Item Data Support Sheet'!A:O,2,0),"")</f>
        <v>KPP 240 ML BOTTLE MOLDED</v>
      </c>
      <c r="I160" s="108" t="s">
        <v>427</v>
      </c>
      <c r="J160" s="80" t="s">
        <v>148</v>
      </c>
      <c r="K160" s="81" t="n">
        <v>8</v>
      </c>
      <c r="L160" s="124" t="n">
        <v>2574</v>
      </c>
      <c r="M160" s="83" t="n">
        <f aca="false">IFERROR(L160/K160,0)</f>
        <v>321.75</v>
      </c>
      <c r="N160" s="84" t="n">
        <f aca="false">+O160+Q160+T160+U160</f>
        <v>1141</v>
      </c>
      <c r="O160" s="85" t="n">
        <v>1080</v>
      </c>
      <c r="P160" s="86" t="n">
        <v>0.124</v>
      </c>
      <c r="Q160" s="87" t="n">
        <v>21</v>
      </c>
      <c r="R160" s="88" t="n">
        <v>0</v>
      </c>
      <c r="S160" s="88" t="n">
        <v>0</v>
      </c>
      <c r="T160" s="88" t="n">
        <v>32</v>
      </c>
      <c r="U160" s="88" t="n">
        <v>8</v>
      </c>
      <c r="V160" s="89" t="n">
        <v>1</v>
      </c>
      <c r="W160" s="90" t="n">
        <f aca="false">IFERROR(O160/V160,0)</f>
        <v>1080</v>
      </c>
      <c r="X160" s="91" t="n">
        <f aca="false">O160/L160</f>
        <v>0.41958041958042</v>
      </c>
      <c r="Y160" s="92" t="str">
        <f aca="false">IFERROR(VLOOKUP(E:E,'Item Data Support Sheet'!A:J,6,0),0)</f>
        <v>HMC</v>
      </c>
      <c r="Z160" s="93" t="n">
        <f aca="false">IFERROR(VLOOKUP(E:E,'Item Data Support Sheet'!A:O,4,0),0)</f>
        <v>32.1</v>
      </c>
      <c r="AA160" s="93" t="n">
        <f aca="false">IFERROR(((N160)*(Z160/1000))+P160,0)</f>
        <v>36.7501</v>
      </c>
      <c r="AB160" s="94" t="n">
        <f aca="false">IFERROR((O160*(Z160/1000)/(AA160))," ")</f>
        <v>0.943344371852049</v>
      </c>
      <c r="AC160" s="95" t="n">
        <f aca="false">IFERROR((T160)/((T160)+O160),0)</f>
        <v>0.0287769784172662</v>
      </c>
      <c r="AD160" s="96" t="n">
        <f aca="false">IFERROR(Q160/(Q160+N160),0)</f>
        <v>0.0180722891566265</v>
      </c>
      <c r="AE160" s="91" t="n">
        <f aca="false">(N160-T160)/N160</f>
        <v>0.971954425942156</v>
      </c>
      <c r="AF160" s="97" t="n">
        <f aca="false">BR160</f>
        <v>5.16666666666667</v>
      </c>
      <c r="AG160" s="98" t="n">
        <f aca="false">K160-AF160</f>
        <v>2.83333333333333</v>
      </c>
      <c r="AH160" s="99" t="n">
        <f aca="false">IFERROR(AG160/K160," ")</f>
        <v>0.354166666666667</v>
      </c>
      <c r="AI160" s="100" t="n">
        <f aca="false">IFERROR(O160/K160,0)</f>
        <v>135</v>
      </c>
      <c r="AJ160" s="101" t="n">
        <f aca="false">VLOOKUP(D160,'Standard Cycle time'!C:D,2,0)</f>
        <v>9</v>
      </c>
      <c r="AK160" s="101" t="n">
        <f aca="false">AG160*V160*3600/O160</f>
        <v>9.44444444444444</v>
      </c>
      <c r="AL160" s="102" t="n">
        <f aca="false">AJ160/AK160</f>
        <v>0.952941176470588</v>
      </c>
      <c r="AM160" s="99" t="n">
        <f aca="false">AE160*AL160*AH160</f>
        <v>0.328034618755478</v>
      </c>
      <c r="AN160" s="103" t="n">
        <v>2452</v>
      </c>
      <c r="AO160" s="104"/>
      <c r="AP160" s="105" t="n">
        <v>0</v>
      </c>
      <c r="AQ160" s="105" t="n">
        <v>0</v>
      </c>
      <c r="AR160" s="105" t="n">
        <v>190</v>
      </c>
      <c r="AS160" s="105" t="n">
        <v>0</v>
      </c>
      <c r="AT160" s="105" t="n">
        <v>0</v>
      </c>
      <c r="AU160" s="105" t="n">
        <v>0</v>
      </c>
      <c r="AV160" s="105" t="n">
        <v>0</v>
      </c>
      <c r="AW160" s="105" t="n">
        <v>0</v>
      </c>
      <c r="AX160" s="105" t="n">
        <v>0</v>
      </c>
      <c r="AY160" s="105" t="n">
        <v>0</v>
      </c>
      <c r="AZ160" s="105" t="n">
        <v>0</v>
      </c>
      <c r="BA160" s="105" t="n">
        <v>0</v>
      </c>
      <c r="BB160" s="105" t="n">
        <v>120</v>
      </c>
      <c r="BC160" s="105" t="n">
        <v>0</v>
      </c>
      <c r="BD160" s="105" t="n">
        <v>0</v>
      </c>
      <c r="BE160" s="105" t="n">
        <v>0</v>
      </c>
      <c r="BF160" s="105" t="n">
        <v>0</v>
      </c>
      <c r="BG160" s="105" t="n">
        <v>0</v>
      </c>
      <c r="BH160" s="105" t="n">
        <v>0</v>
      </c>
      <c r="BI160" s="105" t="n">
        <v>0</v>
      </c>
      <c r="BJ160" s="105" t="n">
        <v>0</v>
      </c>
      <c r="BK160" s="105" t="n">
        <v>0</v>
      </c>
      <c r="BL160" s="105" t="n">
        <v>0</v>
      </c>
      <c r="BM160" s="105" t="n">
        <v>0</v>
      </c>
      <c r="BN160" s="105" t="n">
        <v>0</v>
      </c>
      <c r="BO160" s="105" t="n">
        <v>0</v>
      </c>
      <c r="BP160" s="105" t="n">
        <v>0</v>
      </c>
      <c r="BQ160" s="105" t="n">
        <v>0</v>
      </c>
      <c r="BR160" s="106" t="n">
        <f aca="false">SUM(AP160:BQ160)/60</f>
        <v>5.16666666666667</v>
      </c>
      <c r="BS160" s="106" t="n">
        <f aca="false">SUM(AP160:BR160)/60</f>
        <v>5.25277777777778</v>
      </c>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20"/>
      <c r="CX160" s="120"/>
      <c r="CY160" s="120"/>
      <c r="CZ160" s="120"/>
      <c r="DA160" s="120"/>
      <c r="DB160" s="120"/>
      <c r="DC160" s="120"/>
      <c r="DD160" s="120"/>
      <c r="DE160" s="120"/>
      <c r="DF160" s="120"/>
      <c r="DG160" s="120"/>
      <c r="DH160" s="120"/>
      <c r="DI160" s="120"/>
      <c r="DJ160" s="120"/>
      <c r="DK160" s="120"/>
      <c r="DL160" s="120"/>
      <c r="DM160" s="120"/>
      <c r="DN160" s="120"/>
      <c r="DO160" s="120"/>
      <c r="DP160" s="120"/>
      <c r="DQ160" s="120"/>
      <c r="DR160" s="120"/>
      <c r="DS160" s="120"/>
      <c r="DT160" s="120"/>
      <c r="DU160" s="120"/>
      <c r="DV160" s="120"/>
      <c r="DW160" s="120"/>
      <c r="DX160" s="120"/>
      <c r="DY160" s="120"/>
      <c r="DZ160" s="120"/>
      <c r="EA160" s="120"/>
      <c r="EB160" s="120"/>
      <c r="EC160" s="120"/>
      <c r="ED160" s="120"/>
      <c r="EE160" s="120"/>
      <c r="EF160" s="120"/>
      <c r="EG160" s="120"/>
      <c r="EH160" s="120"/>
      <c r="EI160" s="120"/>
      <c r="EJ160" s="120"/>
      <c r="EK160" s="120"/>
      <c r="EL160" s="120"/>
      <c r="EM160" s="120"/>
      <c r="EN160" s="120"/>
      <c r="EO160" s="120"/>
      <c r="EP160" s="120"/>
      <c r="EQ160" s="120"/>
      <c r="ER160" s="120"/>
      <c r="ES160" s="120"/>
      <c r="ET160" s="120"/>
      <c r="EU160" s="120"/>
      <c r="EV160" s="120"/>
      <c r="EW160" s="120"/>
      <c r="EX160" s="120"/>
      <c r="EY160" s="120"/>
      <c r="EZ160" s="120"/>
      <c r="FA160" s="120"/>
      <c r="FB160" s="120"/>
      <c r="FC160" s="120"/>
      <c r="FD160" s="120"/>
      <c r="FE160" s="120"/>
      <c r="FF160" s="120"/>
      <c r="FG160" s="120"/>
      <c r="FH160" s="120"/>
      <c r="FI160" s="120"/>
      <c r="FJ160" s="120"/>
      <c r="FK160" s="120"/>
      <c r="FL160" s="120"/>
      <c r="FM160" s="120"/>
      <c r="FN160" s="120"/>
      <c r="FO160" s="120"/>
      <c r="FP160" s="120"/>
      <c r="FQ160" s="120"/>
      <c r="FR160" s="120"/>
      <c r="FS160" s="120"/>
      <c r="FT160" s="120"/>
      <c r="FU160" s="120"/>
    </row>
    <row r="161" s="121" customFormat="true" ht="16.5" hidden="true" customHeight="true" outlineLevel="0" collapsed="false">
      <c r="A161" s="74" t="n">
        <f aca="false">MONTH(B161)</f>
        <v>8</v>
      </c>
      <c r="B161" s="75" t="n">
        <v>44425</v>
      </c>
      <c r="C161" s="76" t="s">
        <v>51</v>
      </c>
      <c r="D161" s="77" t="str">
        <f aca="false">IFERROR(VLOOKUP(E:E,'Item Data Support Sheet'!A:O,7,0),"")</f>
        <v>CAP MOLDED</v>
      </c>
      <c r="E161" s="108" t="s">
        <v>420</v>
      </c>
      <c r="F161" s="123"/>
      <c r="G161" s="77" t="s">
        <v>200</v>
      </c>
      <c r="H161" s="79" t="str">
        <f aca="false">IFERROR(VLOOKUP(E:E,'Item Data Support Sheet'!A:O,2,0),"")</f>
        <v>CAP S TYPE MOLDED PALE BLUE</v>
      </c>
      <c r="I161" s="108" t="s">
        <v>428</v>
      </c>
      <c r="J161" s="80" t="s">
        <v>148</v>
      </c>
      <c r="K161" s="126" t="n">
        <v>8</v>
      </c>
      <c r="L161" s="124" t="n">
        <v>4137</v>
      </c>
      <c r="M161" s="83" t="n">
        <f aca="false">IFERROR(L161/K161,0)</f>
        <v>517.125</v>
      </c>
      <c r="N161" s="84" t="n">
        <f aca="false">+O161+Q161+T161+U161</f>
        <v>4012</v>
      </c>
      <c r="O161" s="85" t="n">
        <v>4000</v>
      </c>
      <c r="P161" s="86" t="n">
        <v>0</v>
      </c>
      <c r="Q161" s="87" t="n">
        <v>2</v>
      </c>
      <c r="R161" s="88" t="n">
        <v>0</v>
      </c>
      <c r="S161" s="88" t="n">
        <v>0</v>
      </c>
      <c r="T161" s="88" t="n">
        <v>2</v>
      </c>
      <c r="U161" s="88" t="n">
        <v>8</v>
      </c>
      <c r="V161" s="89" t="n">
        <v>1</v>
      </c>
      <c r="W161" s="90" t="n">
        <f aca="false">IFERROR(O161/V161,0)</f>
        <v>4000</v>
      </c>
      <c r="X161" s="91" t="n">
        <f aca="false">O161/L161</f>
        <v>0.96688421561518</v>
      </c>
      <c r="Y161" s="92" t="str">
        <f aca="false">IFERROR(VLOOKUP(E:E,'Item Data Support Sheet'!A:J,6,0),0)</f>
        <v>RM000115</v>
      </c>
      <c r="Z161" s="93" t="n">
        <f aca="false">IFERROR(VLOOKUP(E:E,'Item Data Support Sheet'!A:O,4,0),0)</f>
        <v>7.3</v>
      </c>
      <c r="AA161" s="93" t="n">
        <f aca="false">IFERROR(((N161)*(Z161/1000))+P161,0)</f>
        <v>29.2876</v>
      </c>
      <c r="AB161" s="94" t="n">
        <f aca="false">IFERROR((O161*(Z161/1000)/(AA161))," ")</f>
        <v>0.997008973080758</v>
      </c>
      <c r="AC161" s="95" t="n">
        <f aca="false">IFERROR((T161)/((T161)+O161),0)</f>
        <v>0.000499750124937531</v>
      </c>
      <c r="AD161" s="96" t="n">
        <f aca="false">IFERROR(Q161/(Q161+N161),0)</f>
        <v>0.00049825610363727</v>
      </c>
      <c r="AE161" s="91" t="n">
        <f aca="false">(N161-T161)/N161</f>
        <v>0.99950149551346</v>
      </c>
      <c r="AF161" s="97" t="n">
        <f aca="false">BR161</f>
        <v>1</v>
      </c>
      <c r="AG161" s="98" t="n">
        <f aca="false">K161-AF161</f>
        <v>7</v>
      </c>
      <c r="AH161" s="99" t="n">
        <f aca="false">IFERROR(AG161/K161," ")</f>
        <v>0.875</v>
      </c>
      <c r="AI161" s="100" t="n">
        <f aca="false">IFERROR(O161/K161,0)</f>
        <v>500</v>
      </c>
      <c r="AJ161" s="101" t="n">
        <f aca="false">VLOOKUP(D161,'Standard Cycle time'!C:D,2,0)</f>
        <v>6</v>
      </c>
      <c r="AK161" s="101" t="n">
        <f aca="false">AG161*V161*3600/O161</f>
        <v>6.3</v>
      </c>
      <c r="AL161" s="102" t="n">
        <f aca="false">AJ161/AK161</f>
        <v>0.952380952380952</v>
      </c>
      <c r="AM161" s="99" t="n">
        <f aca="false">AE161*AL161*AH161</f>
        <v>0.832917912927883</v>
      </c>
      <c r="AN161" s="103" t="n">
        <v>2692</v>
      </c>
      <c r="AO161" s="104"/>
      <c r="AP161" s="105" t="n">
        <v>0</v>
      </c>
      <c r="AQ161" s="105" t="n">
        <v>0</v>
      </c>
      <c r="AR161" s="105" t="n">
        <v>0</v>
      </c>
      <c r="AS161" s="105" t="n">
        <v>0</v>
      </c>
      <c r="AT161" s="105" t="n">
        <v>0</v>
      </c>
      <c r="AU161" s="105" t="n">
        <v>0</v>
      </c>
      <c r="AV161" s="105" t="n">
        <v>0</v>
      </c>
      <c r="AW161" s="105" t="n">
        <v>0</v>
      </c>
      <c r="AX161" s="105" t="n">
        <v>0</v>
      </c>
      <c r="AY161" s="105" t="n">
        <v>0</v>
      </c>
      <c r="AZ161" s="105" t="n">
        <v>0</v>
      </c>
      <c r="BA161" s="105" t="n">
        <v>0</v>
      </c>
      <c r="BB161" s="105" t="n">
        <v>60</v>
      </c>
      <c r="BC161" s="105" t="n">
        <v>0</v>
      </c>
      <c r="BD161" s="105" t="n">
        <v>0</v>
      </c>
      <c r="BE161" s="105" t="n">
        <v>0</v>
      </c>
      <c r="BF161" s="105" t="n">
        <v>0</v>
      </c>
      <c r="BG161" s="105" t="n">
        <v>0</v>
      </c>
      <c r="BH161" s="105" t="n">
        <v>0</v>
      </c>
      <c r="BI161" s="105" t="n">
        <v>0</v>
      </c>
      <c r="BJ161" s="105" t="n">
        <v>0</v>
      </c>
      <c r="BK161" s="105" t="n">
        <v>0</v>
      </c>
      <c r="BL161" s="105" t="n">
        <v>0</v>
      </c>
      <c r="BM161" s="105" t="n">
        <v>0</v>
      </c>
      <c r="BN161" s="105" t="n">
        <v>0</v>
      </c>
      <c r="BO161" s="105" t="n">
        <v>0</v>
      </c>
      <c r="BP161" s="105" t="n">
        <v>0</v>
      </c>
      <c r="BQ161" s="105" t="n">
        <v>0</v>
      </c>
      <c r="BR161" s="106" t="n">
        <f aca="false">SUM(AP161:BQ161)/60</f>
        <v>1</v>
      </c>
      <c r="BS161" s="106" t="n">
        <f aca="false">SUM(AP161:BR161)/60</f>
        <v>1.01666666666667</v>
      </c>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20"/>
      <c r="CX161" s="120"/>
      <c r="CY161" s="120"/>
      <c r="CZ161" s="120"/>
      <c r="DA161" s="120"/>
      <c r="DB161" s="120"/>
      <c r="DC161" s="120"/>
      <c r="DD161" s="120"/>
      <c r="DE161" s="120"/>
      <c r="DF161" s="120"/>
      <c r="DG161" s="120"/>
      <c r="DH161" s="120"/>
      <c r="DI161" s="120"/>
      <c r="DJ161" s="120"/>
      <c r="DK161" s="120"/>
      <c r="DL161" s="120"/>
      <c r="DM161" s="120"/>
      <c r="DN161" s="120"/>
      <c r="DO161" s="120"/>
      <c r="DP161" s="120"/>
      <c r="DQ161" s="120"/>
      <c r="DR161" s="120"/>
      <c r="DS161" s="120"/>
      <c r="DT161" s="120"/>
      <c r="DU161" s="120"/>
      <c r="DV161" s="120"/>
      <c r="DW161" s="120"/>
      <c r="DX161" s="120"/>
      <c r="DY161" s="120"/>
      <c r="DZ161" s="120"/>
      <c r="EA161" s="120"/>
      <c r="EB161" s="120"/>
      <c r="EC161" s="120"/>
      <c r="ED161" s="120"/>
      <c r="EE161" s="120"/>
      <c r="EF161" s="120"/>
      <c r="EG161" s="120"/>
      <c r="EH161" s="120"/>
      <c r="EI161" s="120"/>
      <c r="EJ161" s="120"/>
      <c r="EK161" s="120"/>
      <c r="EL161" s="120"/>
      <c r="EM161" s="120"/>
      <c r="EN161" s="120"/>
      <c r="EO161" s="120"/>
      <c r="EP161" s="120"/>
      <c r="EQ161" s="120"/>
      <c r="ER161" s="120"/>
      <c r="ES161" s="120"/>
      <c r="ET161" s="120"/>
      <c r="EU161" s="120"/>
      <c r="EV161" s="120"/>
      <c r="EW161" s="120"/>
      <c r="EX161" s="120"/>
      <c r="EY161" s="120"/>
      <c r="EZ161" s="120"/>
      <c r="FA161" s="120"/>
      <c r="FB161" s="120"/>
      <c r="FC161" s="120"/>
      <c r="FD161" s="120"/>
      <c r="FE161" s="120"/>
      <c r="FF161" s="120"/>
      <c r="FG161" s="120"/>
      <c r="FH161" s="120"/>
      <c r="FI161" s="120"/>
      <c r="FJ161" s="120"/>
      <c r="FK161" s="120"/>
      <c r="FL161" s="120"/>
      <c r="FM161" s="120"/>
      <c r="FN161" s="120"/>
      <c r="FO161" s="120"/>
      <c r="FP161" s="120"/>
      <c r="FQ161" s="120"/>
      <c r="FR161" s="120"/>
      <c r="FS161" s="120"/>
      <c r="FT161" s="120"/>
      <c r="FU161" s="120"/>
    </row>
    <row r="162" s="121" customFormat="true" ht="14.9" hidden="true" customHeight="false" outlineLevel="0" collapsed="false">
      <c r="A162" s="74" t="n">
        <f aca="false">MONTH(B162)</f>
        <v>8</v>
      </c>
      <c r="B162" s="75" t="n">
        <v>44425</v>
      </c>
      <c r="C162" s="76" t="s">
        <v>63</v>
      </c>
      <c r="D162" s="77" t="str">
        <f aca="false">IFERROR(VLOOKUP(E:E,'Item Data Support Sheet'!A:O,7,0),"")</f>
        <v>BOTTLE PRINTED</v>
      </c>
      <c r="E162" s="108" t="s">
        <v>65</v>
      </c>
      <c r="F162" s="123"/>
      <c r="G162" s="77" t="s">
        <v>66</v>
      </c>
      <c r="H162" s="79" t="str">
        <f aca="false">IFERROR(VLOOKUP(E:E,'Item Data Support Sheet'!A:O,2,0),"")</f>
        <v>KPP 240 ML BOTTLE PRINTED</v>
      </c>
      <c r="I162" s="108" t="s">
        <v>429</v>
      </c>
      <c r="J162" s="80" t="s">
        <v>161</v>
      </c>
      <c r="K162" s="126" t="n">
        <v>8.5</v>
      </c>
      <c r="L162" s="124" t="n">
        <v>5100</v>
      </c>
      <c r="M162" s="83" t="n">
        <f aca="false">IFERROR(L162/K162,0)</f>
        <v>600</v>
      </c>
      <c r="N162" s="84" t="n">
        <f aca="false">+O162+Q162+T162+U162</f>
        <v>5205</v>
      </c>
      <c r="O162" s="85" t="n">
        <v>5184</v>
      </c>
      <c r="P162" s="86" t="n">
        <v>0</v>
      </c>
      <c r="Q162" s="87" t="n">
        <v>0</v>
      </c>
      <c r="R162" s="88" t="n">
        <v>61</v>
      </c>
      <c r="S162" s="88" t="n">
        <v>0</v>
      </c>
      <c r="T162" s="88" t="n">
        <v>21</v>
      </c>
      <c r="U162" s="88" t="n">
        <v>0</v>
      </c>
      <c r="V162" s="89" t="n">
        <v>6</v>
      </c>
      <c r="W162" s="90" t="n">
        <f aca="false">IFERROR(O162/V162,0)</f>
        <v>864</v>
      </c>
      <c r="X162" s="91" t="n">
        <f aca="false">O162/L162</f>
        <v>1.01647058823529</v>
      </c>
      <c r="Y162" s="92" t="str">
        <f aca="false">IFERROR(VLOOKUP(E:E,'Item Data Support Sheet'!A:J,6,0),0)</f>
        <v>FO003</v>
      </c>
      <c r="Z162" s="93" t="n">
        <f aca="false">IFERROR(VLOOKUP(E:E,'Item Data Support Sheet'!A:O,4,0),0)</f>
        <v>0</v>
      </c>
      <c r="AA162" s="93" t="n">
        <f aca="false">IFERROR(((N162)*(Z162/1000))+P162,0)</f>
        <v>0</v>
      </c>
      <c r="AB162" s="94" t="str">
        <f aca="false">IFERROR((O162*(Z162/1000)/(AA162))," ")</f>
        <v> </v>
      </c>
      <c r="AC162" s="95" t="n">
        <f aca="false">IFERROR((T162)/((T162)+O162),0)</f>
        <v>0.00403458213256484</v>
      </c>
      <c r="AD162" s="96" t="n">
        <f aca="false">IFERROR(Q162/(Q162+N162),0)</f>
        <v>0</v>
      </c>
      <c r="AE162" s="91" t="n">
        <f aca="false">(N162-T162)/N162</f>
        <v>0.995965417867435</v>
      </c>
      <c r="AF162" s="97" t="n">
        <f aca="false">BR162</f>
        <v>0.833333333333333</v>
      </c>
      <c r="AG162" s="98" t="n">
        <f aca="false">K162-AF162</f>
        <v>7.66666666666667</v>
      </c>
      <c r="AH162" s="99" t="n">
        <f aca="false">IFERROR(AG162/K162," ")</f>
        <v>0.901960784313726</v>
      </c>
      <c r="AI162" s="100" t="n">
        <f aca="false">IFERROR(O162/K162,0)</f>
        <v>609.882352941176</v>
      </c>
      <c r="AJ162" s="101" t="n">
        <f aca="false">VLOOKUP(D162,'Standard Cycle time'!C:D,2,0)</f>
        <v>32.4</v>
      </c>
      <c r="AK162" s="101" t="n">
        <f aca="false">AG162*V162*3600/O162</f>
        <v>31.9444444444444</v>
      </c>
      <c r="AL162" s="102" t="n">
        <f aca="false">AJ162/AK162</f>
        <v>1.01426086956522</v>
      </c>
      <c r="AM162" s="99" t="n">
        <f aca="false">AE162*AL162*AH162</f>
        <v>0.91113259874555</v>
      </c>
      <c r="AN162" s="103" t="s">
        <v>430</v>
      </c>
      <c r="AO162" s="109"/>
      <c r="AP162" s="105" t="n">
        <v>50</v>
      </c>
      <c r="AQ162" s="105" t="n">
        <v>0</v>
      </c>
      <c r="AR162" s="105" t="n">
        <v>0</v>
      </c>
      <c r="AS162" s="105" t="n">
        <v>0</v>
      </c>
      <c r="AT162" s="105" t="n">
        <v>0</v>
      </c>
      <c r="AU162" s="105" t="n">
        <v>0</v>
      </c>
      <c r="AV162" s="105" t="n">
        <v>0</v>
      </c>
      <c r="AW162" s="105" t="n">
        <v>0</v>
      </c>
      <c r="AX162" s="105" t="n">
        <v>0</v>
      </c>
      <c r="AY162" s="105" t="n">
        <v>0</v>
      </c>
      <c r="AZ162" s="105" t="n">
        <v>0</v>
      </c>
      <c r="BA162" s="105" t="n">
        <v>0</v>
      </c>
      <c r="BB162" s="105" t="n">
        <v>0</v>
      </c>
      <c r="BC162" s="105" t="n">
        <v>0</v>
      </c>
      <c r="BD162" s="105" t="n">
        <v>0</v>
      </c>
      <c r="BE162" s="105" t="n">
        <v>0</v>
      </c>
      <c r="BF162" s="105" t="n">
        <v>0</v>
      </c>
      <c r="BG162" s="105" t="n">
        <v>0</v>
      </c>
      <c r="BH162" s="105" t="n">
        <v>0</v>
      </c>
      <c r="BI162" s="105" t="n">
        <v>0</v>
      </c>
      <c r="BJ162" s="105" t="n">
        <v>0</v>
      </c>
      <c r="BK162" s="105" t="n">
        <v>0</v>
      </c>
      <c r="BL162" s="105" t="n">
        <v>0</v>
      </c>
      <c r="BM162" s="105" t="n">
        <v>0</v>
      </c>
      <c r="BN162" s="105" t="n">
        <v>0</v>
      </c>
      <c r="BO162" s="105" t="n">
        <v>0</v>
      </c>
      <c r="BP162" s="105" t="n">
        <v>0</v>
      </c>
      <c r="BQ162" s="105" t="n">
        <v>0</v>
      </c>
      <c r="BR162" s="106" t="n">
        <f aca="false">SUM(AP162:BQ162)/60</f>
        <v>0.833333333333333</v>
      </c>
      <c r="BS162" s="106" t="n">
        <f aca="false">SUM(AP162:BR162)/60</f>
        <v>0.847222222222222</v>
      </c>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20"/>
      <c r="CX162" s="120"/>
      <c r="CY162" s="120"/>
      <c r="CZ162" s="120"/>
      <c r="DA162" s="120"/>
      <c r="DB162" s="120"/>
      <c r="DC162" s="120"/>
      <c r="DD162" s="120"/>
      <c r="DE162" s="120"/>
      <c r="DF162" s="120"/>
      <c r="DG162" s="120"/>
      <c r="DH162" s="120"/>
      <c r="DI162" s="120"/>
      <c r="DJ162" s="120"/>
      <c r="DK162" s="120"/>
      <c r="DL162" s="120"/>
      <c r="DM162" s="120"/>
      <c r="DN162" s="120"/>
      <c r="DO162" s="120"/>
      <c r="DP162" s="120"/>
      <c r="DQ162" s="120"/>
      <c r="DR162" s="120"/>
      <c r="DS162" s="120"/>
      <c r="DT162" s="120"/>
      <c r="DU162" s="120"/>
      <c r="DV162" s="120"/>
      <c r="DW162" s="120"/>
      <c r="DX162" s="120"/>
      <c r="DY162" s="120"/>
      <c r="DZ162" s="120"/>
      <c r="EA162" s="120"/>
      <c r="EB162" s="120"/>
      <c r="EC162" s="120"/>
      <c r="ED162" s="120"/>
      <c r="EE162" s="120"/>
      <c r="EF162" s="120"/>
      <c r="EG162" s="120"/>
      <c r="EH162" s="120"/>
      <c r="EI162" s="120"/>
      <c r="EJ162" s="120"/>
      <c r="EK162" s="120"/>
      <c r="EL162" s="120"/>
      <c r="EM162" s="120"/>
      <c r="EN162" s="120"/>
      <c r="EO162" s="120"/>
      <c r="EP162" s="120"/>
      <c r="EQ162" s="120"/>
      <c r="ER162" s="120"/>
      <c r="ES162" s="120"/>
      <c r="ET162" s="120"/>
      <c r="EU162" s="120"/>
      <c r="EV162" s="120"/>
      <c r="EW162" s="120"/>
      <c r="EX162" s="120"/>
      <c r="EY162" s="120"/>
      <c r="EZ162" s="120"/>
      <c r="FA162" s="120"/>
      <c r="FB162" s="120"/>
      <c r="FC162" s="120"/>
      <c r="FD162" s="120"/>
      <c r="FE162" s="120"/>
      <c r="FF162" s="120"/>
      <c r="FG162" s="120"/>
      <c r="FH162" s="120"/>
      <c r="FI162" s="120"/>
      <c r="FJ162" s="120"/>
      <c r="FK162" s="120"/>
      <c r="FL162" s="120"/>
      <c r="FM162" s="120"/>
      <c r="FN162" s="120"/>
      <c r="FO162" s="120"/>
      <c r="FP162" s="120"/>
      <c r="FQ162" s="120"/>
      <c r="FR162" s="120"/>
      <c r="FS162" s="120"/>
      <c r="FT162" s="120"/>
      <c r="FU162" s="120"/>
    </row>
    <row r="163" s="121" customFormat="true" ht="16.4" hidden="true" customHeight="true" outlineLevel="0" collapsed="false">
      <c r="A163" s="74" t="n">
        <f aca="false">MONTH(B163)</f>
        <v>8</v>
      </c>
      <c r="B163" s="75" t="n">
        <v>44425</v>
      </c>
      <c r="C163" s="76" t="s">
        <v>63</v>
      </c>
      <c r="D163" s="77" t="str">
        <f aca="false">IFERROR(VLOOKUP(E:E,'Item Data Support Sheet'!A:O,7,0),"")</f>
        <v>NIPPLE WRAP PRINTED</v>
      </c>
      <c r="E163" s="108" t="s">
        <v>431</v>
      </c>
      <c r="F163" s="123"/>
      <c r="G163" s="77" t="s">
        <v>432</v>
      </c>
      <c r="H163" s="79" t="str">
        <f aca="false">IFERROR(VLOOKUP(E:E,'Item Data Support Sheet'!A:O,2,0),"")</f>
        <v>NIPPLE S TYPE M SIZE WITH PRINTED WRAP</v>
      </c>
      <c r="I163" s="108" t="s">
        <v>433</v>
      </c>
      <c r="J163" s="80" t="s">
        <v>158</v>
      </c>
      <c r="K163" s="126" t="n">
        <v>8.5</v>
      </c>
      <c r="L163" s="124" t="n">
        <v>16132</v>
      </c>
      <c r="M163" s="83" t="n">
        <f aca="false">IFERROR(L163/K163,0)</f>
        <v>1897.88235294118</v>
      </c>
      <c r="N163" s="84" t="n">
        <f aca="false">+O163+Q163+T163+U163</f>
        <v>11557</v>
      </c>
      <c r="O163" s="85" t="n">
        <v>11507</v>
      </c>
      <c r="P163" s="86" t="n">
        <v>0</v>
      </c>
      <c r="Q163" s="87" t="n">
        <v>0</v>
      </c>
      <c r="R163" s="88" t="n">
        <v>0</v>
      </c>
      <c r="S163" s="88" t="n">
        <v>0</v>
      </c>
      <c r="T163" s="88" t="n">
        <v>50</v>
      </c>
      <c r="U163" s="88" t="n">
        <v>0</v>
      </c>
      <c r="V163" s="89" t="n">
        <v>2</v>
      </c>
      <c r="W163" s="90" t="n">
        <f aca="false">IFERROR(O163/V163,0)</f>
        <v>5753.5</v>
      </c>
      <c r="X163" s="91" t="n">
        <f aca="false">O163/L163</f>
        <v>0.713302752293578</v>
      </c>
      <c r="Y163" s="92" t="str">
        <f aca="false">IFERROR(VLOOKUP(E:E,'Item Data Support Sheet'!A:J,6,0),0)</f>
        <v>FO020</v>
      </c>
      <c r="Z163" s="93" t="n">
        <f aca="false">IFERROR(VLOOKUP(E:E,'Item Data Support Sheet'!A:O,4,0),0)</f>
        <v>0</v>
      </c>
      <c r="AA163" s="93" t="n">
        <f aca="false">IFERROR(((N163)*(Z163/1000))+P163,0)</f>
        <v>0</v>
      </c>
      <c r="AB163" s="94" t="str">
        <f aca="false">IFERROR((O163*(Z163/1000)/(AA163))," ")</f>
        <v> </v>
      </c>
      <c r="AC163" s="95" t="n">
        <f aca="false">IFERROR((T163)/((T163)+O163),0)</f>
        <v>0.00432638227913819</v>
      </c>
      <c r="AD163" s="96" t="n">
        <f aca="false">IFERROR(Q163/(Q163+N163),0)</f>
        <v>0</v>
      </c>
      <c r="AE163" s="91" t="n">
        <f aca="false">(N163-T163)/N163</f>
        <v>0.995673617720862</v>
      </c>
      <c r="AF163" s="97" t="n">
        <f aca="false">BR163</f>
        <v>2.16666666666667</v>
      </c>
      <c r="AG163" s="98" t="n">
        <f aca="false">K163-AF163</f>
        <v>6.33333333333333</v>
      </c>
      <c r="AH163" s="99" t="n">
        <f aca="false">IFERROR(AG163/K163," ")</f>
        <v>0.745098039215686</v>
      </c>
      <c r="AI163" s="100" t="n">
        <f aca="false">IFERROR(O163/K163,0)</f>
        <v>1353.76470588235</v>
      </c>
      <c r="AJ163" s="101" t="n">
        <f aca="false">VLOOKUP(D163,'Standard Cycle time'!C:D,2,0)</f>
        <v>2.5</v>
      </c>
      <c r="AK163" s="101" t="n">
        <f aca="false">AG163*V163*3600/O163</f>
        <v>3.96280524897888</v>
      </c>
      <c r="AL163" s="102" t="n">
        <f aca="false">AJ163/AK163</f>
        <v>0.630866228070175</v>
      </c>
      <c r="AM163" s="99" t="n">
        <f aca="false">AE163*AL163*AH163</f>
        <v>0.468023542447465</v>
      </c>
      <c r="AN163" s="103" t="s">
        <v>434</v>
      </c>
      <c r="AO163" s="110" t="s">
        <v>435</v>
      </c>
      <c r="AP163" s="105" t="n">
        <v>50</v>
      </c>
      <c r="AQ163" s="105" t="n">
        <v>0</v>
      </c>
      <c r="AR163" s="105" t="n">
        <v>0</v>
      </c>
      <c r="AS163" s="105" t="n">
        <v>0</v>
      </c>
      <c r="AT163" s="105" t="n">
        <v>0</v>
      </c>
      <c r="AU163" s="105" t="n">
        <v>0</v>
      </c>
      <c r="AV163" s="105" t="n">
        <v>0</v>
      </c>
      <c r="AW163" s="105" t="n">
        <v>30</v>
      </c>
      <c r="AX163" s="105" t="n">
        <v>0</v>
      </c>
      <c r="AY163" s="105" t="n">
        <v>0</v>
      </c>
      <c r="AZ163" s="105" t="n">
        <v>0</v>
      </c>
      <c r="BA163" s="105" t="n">
        <v>0</v>
      </c>
      <c r="BB163" s="105" t="n">
        <v>0</v>
      </c>
      <c r="BC163" s="105" t="n">
        <v>0</v>
      </c>
      <c r="BD163" s="105" t="n">
        <v>0</v>
      </c>
      <c r="BE163" s="105" t="n">
        <v>0</v>
      </c>
      <c r="BF163" s="105" t="n">
        <v>0</v>
      </c>
      <c r="BG163" s="105" t="n">
        <v>0</v>
      </c>
      <c r="BH163" s="105" t="n">
        <v>0</v>
      </c>
      <c r="BI163" s="105" t="n">
        <v>0</v>
      </c>
      <c r="BJ163" s="105" t="n">
        <v>0</v>
      </c>
      <c r="BK163" s="105" t="n">
        <v>50</v>
      </c>
      <c r="BL163" s="105" t="n">
        <v>0</v>
      </c>
      <c r="BM163" s="105" t="n">
        <v>0</v>
      </c>
      <c r="BN163" s="105" t="n">
        <v>0</v>
      </c>
      <c r="BO163" s="105" t="n">
        <v>0</v>
      </c>
      <c r="BP163" s="105" t="n">
        <v>0</v>
      </c>
      <c r="BQ163" s="105" t="n">
        <v>0</v>
      </c>
      <c r="BR163" s="106" t="n">
        <f aca="false">SUM(AP163:BQ163)/60</f>
        <v>2.16666666666667</v>
      </c>
      <c r="BS163" s="106" t="n">
        <f aca="false">SUM(AP163:BR163)/60</f>
        <v>2.20277777777778</v>
      </c>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20"/>
      <c r="CX163" s="120"/>
      <c r="CY163" s="120"/>
      <c r="CZ163" s="120"/>
      <c r="DA163" s="120"/>
      <c r="DB163" s="120"/>
      <c r="DC163" s="120"/>
      <c r="DD163" s="120"/>
      <c r="DE163" s="120"/>
      <c r="DF163" s="120"/>
      <c r="DG163" s="120"/>
      <c r="DH163" s="120"/>
      <c r="DI163" s="120"/>
      <c r="DJ163" s="120"/>
      <c r="DK163" s="120"/>
      <c r="DL163" s="120"/>
      <c r="DM163" s="120"/>
      <c r="DN163" s="120"/>
      <c r="DO163" s="120"/>
      <c r="DP163" s="120"/>
      <c r="DQ163" s="120"/>
      <c r="DR163" s="120"/>
      <c r="DS163" s="120"/>
      <c r="DT163" s="120"/>
      <c r="DU163" s="120"/>
      <c r="DV163" s="120"/>
      <c r="DW163" s="120"/>
      <c r="DX163" s="120"/>
      <c r="DY163" s="120"/>
      <c r="DZ163" s="120"/>
      <c r="EA163" s="120"/>
      <c r="EB163" s="120"/>
      <c r="EC163" s="120"/>
      <c r="ED163" s="120"/>
      <c r="EE163" s="120"/>
      <c r="EF163" s="120"/>
      <c r="EG163" s="120"/>
      <c r="EH163" s="120"/>
      <c r="EI163" s="120"/>
      <c r="EJ163" s="120"/>
      <c r="EK163" s="120"/>
      <c r="EL163" s="120"/>
      <c r="EM163" s="120"/>
      <c r="EN163" s="120"/>
      <c r="EO163" s="120"/>
      <c r="EP163" s="120"/>
      <c r="EQ163" s="120"/>
      <c r="ER163" s="120"/>
      <c r="ES163" s="120"/>
      <c r="ET163" s="120"/>
      <c r="EU163" s="120"/>
      <c r="EV163" s="120"/>
      <c r="EW163" s="120"/>
      <c r="EX163" s="120"/>
      <c r="EY163" s="120"/>
      <c r="EZ163" s="120"/>
      <c r="FA163" s="120"/>
      <c r="FB163" s="120"/>
      <c r="FC163" s="120"/>
      <c r="FD163" s="120"/>
      <c r="FE163" s="120"/>
      <c r="FF163" s="120"/>
      <c r="FG163" s="120"/>
      <c r="FH163" s="120"/>
      <c r="FI163" s="120"/>
      <c r="FJ163" s="120"/>
      <c r="FK163" s="120"/>
      <c r="FL163" s="120"/>
      <c r="FM163" s="120"/>
      <c r="FN163" s="120"/>
      <c r="FO163" s="120"/>
      <c r="FP163" s="120"/>
      <c r="FQ163" s="120"/>
      <c r="FR163" s="120"/>
      <c r="FS163" s="120"/>
      <c r="FT163" s="120"/>
      <c r="FU163" s="120"/>
    </row>
    <row r="164" s="121" customFormat="true" ht="14.9" hidden="true" customHeight="false" outlineLevel="0" collapsed="false">
      <c r="A164" s="74" t="n">
        <f aca="false">MONTH(B164)</f>
        <v>8</v>
      </c>
      <c r="B164" s="75" t="n">
        <v>44425</v>
      </c>
      <c r="C164" s="76" t="s">
        <v>63</v>
      </c>
      <c r="D164" s="77" t="str">
        <f aca="false">IFERROR(VLOOKUP(E:E,'Item Data Support Sheet'!A:O,7,0),"")</f>
        <v>NIPPLE PUNCH INSPECTED</v>
      </c>
      <c r="E164" s="108" t="s">
        <v>297</v>
      </c>
      <c r="F164" s="123"/>
      <c r="G164" s="77"/>
      <c r="H164" s="79" t="str">
        <f aca="false">IFERROR(VLOOKUP(E:E,'Item Data Support Sheet'!A:O,2,0),"")</f>
        <v>NIPPLE S TYPE S SIZE PUNCHED INSPECTED</v>
      </c>
      <c r="I164" s="108" t="s">
        <v>436</v>
      </c>
      <c r="J164" s="80" t="s">
        <v>158</v>
      </c>
      <c r="K164" s="126" t="n">
        <v>8.5</v>
      </c>
      <c r="L164" s="124" t="n">
        <v>14182</v>
      </c>
      <c r="M164" s="83" t="n">
        <f aca="false">IFERROR(L164/K164,0)</f>
        <v>1668.47058823529</v>
      </c>
      <c r="N164" s="84" t="n">
        <f aca="false">+O164+Q164+T164+U164</f>
        <v>12300</v>
      </c>
      <c r="O164" s="85" t="n">
        <v>12216</v>
      </c>
      <c r="P164" s="86" t="n">
        <v>0</v>
      </c>
      <c r="Q164" s="87" t="n">
        <v>0</v>
      </c>
      <c r="R164" s="88" t="n">
        <v>0</v>
      </c>
      <c r="S164" s="88" t="n">
        <v>0</v>
      </c>
      <c r="T164" s="88" t="n">
        <v>84</v>
      </c>
      <c r="U164" s="88" t="n">
        <v>0</v>
      </c>
      <c r="V164" s="89" t="n">
        <v>1</v>
      </c>
      <c r="W164" s="90" t="n">
        <f aca="false">IFERROR(O164/V164,0)</f>
        <v>12216</v>
      </c>
      <c r="X164" s="91" t="n">
        <f aca="false">O164/L164</f>
        <v>0.861373572133691</v>
      </c>
      <c r="Y164" s="92" t="str">
        <f aca="false">IFERROR(VLOOKUP(E:E,'Item Data Support Sheet'!A:J,6,0),0)</f>
        <v>FO104</v>
      </c>
      <c r="Z164" s="93" t="n">
        <f aca="false">IFERROR(VLOOKUP(E:E,'Item Data Support Sheet'!A:O,4,0),0)</f>
        <v>0</v>
      </c>
      <c r="AA164" s="93" t="n">
        <f aca="false">IFERROR(((N164)*(Z164/1000))+P164,0)</f>
        <v>0</v>
      </c>
      <c r="AB164" s="94" t="str">
        <f aca="false">IFERROR((O164*(Z164/1000)/(AA164))," ")</f>
        <v> </v>
      </c>
      <c r="AC164" s="95" t="n">
        <f aca="false">IFERROR((T164)/((T164)+O164),0)</f>
        <v>0.00682926829268293</v>
      </c>
      <c r="AD164" s="96" t="n">
        <f aca="false">IFERROR(Q164/(Q164+N164),0)</f>
        <v>0</v>
      </c>
      <c r="AE164" s="91" t="n">
        <f aca="false">(N164-T164)/N164</f>
        <v>0.993170731707317</v>
      </c>
      <c r="AF164" s="97" t="n">
        <f aca="false">BR164</f>
        <v>0.833333333333333</v>
      </c>
      <c r="AG164" s="98" t="n">
        <f aca="false">K164-AF164</f>
        <v>7.66666666666667</v>
      </c>
      <c r="AH164" s="99" t="n">
        <f aca="false">IFERROR(AG164/K164," ")</f>
        <v>0.901960784313726</v>
      </c>
      <c r="AI164" s="100" t="n">
        <f aca="false">IFERROR(O164/K164,0)</f>
        <v>1437.17647058824</v>
      </c>
      <c r="AJ164" s="101" t="n">
        <f aca="false">VLOOKUP(D164,'Standard Cycle time'!C:D,2,0)</f>
        <v>4</v>
      </c>
      <c r="AK164" s="101" t="n">
        <f aca="false">AG164*V164*3600/O164</f>
        <v>2.25933202357564</v>
      </c>
      <c r="AL164" s="102" t="n">
        <f aca="false">AJ164/AK164</f>
        <v>1.7704347826087</v>
      </c>
      <c r="AM164" s="99" t="n">
        <f aca="false">AE164*AL164*AH164</f>
        <v>1.58595734098517</v>
      </c>
      <c r="AN164" s="103" t="s">
        <v>437</v>
      </c>
      <c r="AO164" s="109"/>
      <c r="AP164" s="105" t="n">
        <v>50</v>
      </c>
      <c r="AQ164" s="105" t="n">
        <v>0</v>
      </c>
      <c r="AR164" s="105" t="n">
        <v>0</v>
      </c>
      <c r="AS164" s="105" t="n">
        <v>0</v>
      </c>
      <c r="AT164" s="105" t="n">
        <v>0</v>
      </c>
      <c r="AU164" s="105" t="n">
        <v>0</v>
      </c>
      <c r="AV164" s="105" t="n">
        <v>0</v>
      </c>
      <c r="AW164" s="105" t="n">
        <v>0</v>
      </c>
      <c r="AX164" s="105" t="n">
        <v>0</v>
      </c>
      <c r="AY164" s="105" t="n">
        <v>0</v>
      </c>
      <c r="AZ164" s="105" t="n">
        <v>0</v>
      </c>
      <c r="BA164" s="105" t="n">
        <v>0</v>
      </c>
      <c r="BB164" s="105" t="n">
        <v>0</v>
      </c>
      <c r="BC164" s="105" t="n">
        <v>0</v>
      </c>
      <c r="BD164" s="105" t="n">
        <v>0</v>
      </c>
      <c r="BE164" s="105" t="n">
        <v>0</v>
      </c>
      <c r="BF164" s="105" t="n">
        <v>0</v>
      </c>
      <c r="BG164" s="105" t="n">
        <v>0</v>
      </c>
      <c r="BH164" s="105" t="n">
        <v>0</v>
      </c>
      <c r="BI164" s="105" t="n">
        <v>0</v>
      </c>
      <c r="BJ164" s="105" t="n">
        <v>0</v>
      </c>
      <c r="BK164" s="105" t="n">
        <v>0</v>
      </c>
      <c r="BL164" s="105" t="n">
        <v>0</v>
      </c>
      <c r="BM164" s="105" t="n">
        <v>0</v>
      </c>
      <c r="BN164" s="105" t="n">
        <v>0</v>
      </c>
      <c r="BO164" s="105" t="n">
        <v>0</v>
      </c>
      <c r="BP164" s="105" t="n">
        <v>0</v>
      </c>
      <c r="BQ164" s="105" t="n">
        <v>0</v>
      </c>
      <c r="BR164" s="106" t="n">
        <f aca="false">SUM(AP164:BQ164)/60</f>
        <v>0.833333333333333</v>
      </c>
      <c r="BS164" s="106" t="n">
        <f aca="false">SUM(AP164:BR164)/60</f>
        <v>0.847222222222222</v>
      </c>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20"/>
      <c r="CX164" s="120"/>
      <c r="CY164" s="120"/>
      <c r="CZ164" s="120"/>
      <c r="DA164" s="120"/>
      <c r="DB164" s="120"/>
      <c r="DC164" s="120"/>
      <c r="DD164" s="120"/>
      <c r="DE164" s="120"/>
      <c r="DF164" s="120"/>
      <c r="DG164" s="120"/>
      <c r="DH164" s="120"/>
      <c r="DI164" s="120"/>
      <c r="DJ164" s="120"/>
      <c r="DK164" s="120"/>
      <c r="DL164" s="120"/>
      <c r="DM164" s="120"/>
      <c r="DN164" s="120"/>
      <c r="DO164" s="120"/>
      <c r="DP164" s="120"/>
      <c r="DQ164" s="120"/>
      <c r="DR164" s="120"/>
      <c r="DS164" s="120"/>
      <c r="DT164" s="120"/>
      <c r="DU164" s="120"/>
      <c r="DV164" s="120"/>
      <c r="DW164" s="120"/>
      <c r="DX164" s="120"/>
      <c r="DY164" s="120"/>
      <c r="DZ164" s="120"/>
      <c r="EA164" s="120"/>
      <c r="EB164" s="120"/>
      <c r="EC164" s="120"/>
      <c r="ED164" s="120"/>
      <c r="EE164" s="120"/>
      <c r="EF164" s="120"/>
      <c r="EG164" s="120"/>
      <c r="EH164" s="120"/>
      <c r="EI164" s="120"/>
      <c r="EJ164" s="120"/>
      <c r="EK164" s="120"/>
      <c r="EL164" s="120"/>
      <c r="EM164" s="120"/>
      <c r="EN164" s="120"/>
      <c r="EO164" s="120"/>
      <c r="EP164" s="120"/>
      <c r="EQ164" s="120"/>
      <c r="ER164" s="120"/>
      <c r="ES164" s="120"/>
      <c r="ET164" s="120"/>
      <c r="EU164" s="120"/>
      <c r="EV164" s="120"/>
      <c r="EW164" s="120"/>
      <c r="EX164" s="120"/>
      <c r="EY164" s="120"/>
      <c r="EZ164" s="120"/>
      <c r="FA164" s="120"/>
      <c r="FB164" s="120"/>
      <c r="FC164" s="120"/>
      <c r="FD164" s="120"/>
      <c r="FE164" s="120"/>
      <c r="FF164" s="120"/>
      <c r="FG164" s="120"/>
      <c r="FH164" s="120"/>
      <c r="FI164" s="120"/>
      <c r="FJ164" s="120"/>
      <c r="FK164" s="120"/>
      <c r="FL164" s="120"/>
      <c r="FM164" s="120"/>
      <c r="FN164" s="120"/>
      <c r="FO164" s="120"/>
      <c r="FP164" s="120"/>
      <c r="FQ164" s="120"/>
      <c r="FR164" s="120"/>
      <c r="FS164" s="120"/>
      <c r="FT164" s="120"/>
      <c r="FU164" s="120"/>
    </row>
    <row r="165" s="121" customFormat="true" ht="14.9" hidden="true" customHeight="false" outlineLevel="0" collapsed="false">
      <c r="A165" s="74" t="n">
        <f aca="false">MONTH(B165)</f>
        <v>8</v>
      </c>
      <c r="B165" s="75" t="n">
        <v>44425</v>
      </c>
      <c r="C165" s="76" t="s">
        <v>70</v>
      </c>
      <c r="D165" s="77" t="str">
        <f aca="false">IFERROR(VLOOKUP(E:E,'Item Data Support Sheet'!A:O,7,0),"")</f>
        <v>NIPPLE POSTCURE</v>
      </c>
      <c r="E165" s="108" t="s">
        <v>57</v>
      </c>
      <c r="F165" s="80"/>
      <c r="G165" s="77" t="s">
        <v>149</v>
      </c>
      <c r="H165" s="79" t="str">
        <f aca="false">IFERROR(VLOOKUP(E:E,'Item Data Support Sheet'!A:O,2,0),"")</f>
        <v>NIPPLE S TYPE S SIZE POSTCURED</v>
      </c>
      <c r="I165" s="108" t="s">
        <v>438</v>
      </c>
      <c r="J165" s="80" t="s">
        <v>140</v>
      </c>
      <c r="K165" s="126" t="n">
        <v>1.5</v>
      </c>
      <c r="L165" s="124" t="n">
        <v>2000</v>
      </c>
      <c r="M165" s="83" t="n">
        <f aca="false">IFERROR(L165/K165,0)</f>
        <v>1333.33333333333</v>
      </c>
      <c r="N165" s="84" t="n">
        <f aca="false">+O165+Q165+T165+U165</f>
        <v>2000</v>
      </c>
      <c r="O165" s="85" t="n">
        <v>2000</v>
      </c>
      <c r="P165" s="86" t="n">
        <v>0</v>
      </c>
      <c r="Q165" s="87" t="n">
        <v>0</v>
      </c>
      <c r="R165" s="88" t="n">
        <v>0</v>
      </c>
      <c r="S165" s="88" t="n">
        <v>0</v>
      </c>
      <c r="T165" s="88" t="n">
        <v>0</v>
      </c>
      <c r="U165" s="88" t="n">
        <v>0</v>
      </c>
      <c r="V165" s="89" t="n">
        <v>1</v>
      </c>
      <c r="W165" s="90" t="n">
        <f aca="false">IFERROR(O165/V165,0)</f>
        <v>2000</v>
      </c>
      <c r="X165" s="91" t="n">
        <f aca="false">O165/L165</f>
        <v>1</v>
      </c>
      <c r="Y165" s="92" t="str">
        <f aca="false">IFERROR(VLOOKUP(E:E,'Item Data Support Sheet'!A:J,6,0),0)</f>
        <v>FO011</v>
      </c>
      <c r="Z165" s="93" t="n">
        <f aca="false">IFERROR(VLOOKUP(E:E,'Item Data Support Sheet'!A:O,4,0),0)</f>
        <v>0</v>
      </c>
      <c r="AA165" s="93" t="n">
        <f aca="false">IFERROR(((N165)*(Z165/1000))+P165,0)</f>
        <v>0</v>
      </c>
      <c r="AB165" s="94" t="str">
        <f aca="false">IFERROR((O165*(Z165/1000)/(AA165))," ")</f>
        <v> </v>
      </c>
      <c r="AC165" s="95" t="n">
        <f aca="false">IFERROR((T165)/((T165)+O165),0)</f>
        <v>0</v>
      </c>
      <c r="AD165" s="96" t="n">
        <f aca="false">IFERROR(Q165/(Q165+N165),0)</f>
        <v>0</v>
      </c>
      <c r="AE165" s="91" t="n">
        <f aca="false">(N165-T165)/N165</f>
        <v>1</v>
      </c>
      <c r="AF165" s="97" t="n">
        <f aca="false">BR165</f>
        <v>0</v>
      </c>
      <c r="AG165" s="98" t="n">
        <f aca="false">K165-AF165</f>
        <v>1.5</v>
      </c>
      <c r="AH165" s="99" t="n">
        <f aca="false">IFERROR(AG165/K165," ")</f>
        <v>1</v>
      </c>
      <c r="AI165" s="100" t="n">
        <f aca="false">IFERROR(O165/K165,0)</f>
        <v>1333.33333333333</v>
      </c>
      <c r="AJ165" s="101" t="n">
        <f aca="false">VLOOKUP(D165,'Standard Cycle time'!C:D,2,0)</f>
        <v>2.3</v>
      </c>
      <c r="AK165" s="101" t="n">
        <f aca="false">AG165*V165*3600/O165</f>
        <v>2.7</v>
      </c>
      <c r="AL165" s="102" t="n">
        <f aca="false">AJ165/AK165</f>
        <v>0.851851851851852</v>
      </c>
      <c r="AM165" s="99" t="n">
        <f aca="false">AE165*AL165*AH165</f>
        <v>0.851851851851852</v>
      </c>
      <c r="AN165" s="103" t="n">
        <v>2469</v>
      </c>
      <c r="AO165" s="104"/>
      <c r="AP165" s="105" t="n">
        <v>0</v>
      </c>
      <c r="AQ165" s="105" t="n">
        <v>0</v>
      </c>
      <c r="AR165" s="105" t="n">
        <v>0</v>
      </c>
      <c r="AS165" s="105" t="n">
        <v>0</v>
      </c>
      <c r="AT165" s="105" t="n">
        <v>0</v>
      </c>
      <c r="AU165" s="105" t="n">
        <v>0</v>
      </c>
      <c r="AV165" s="105" t="n">
        <v>0</v>
      </c>
      <c r="AW165" s="105" t="n">
        <v>0</v>
      </c>
      <c r="AX165" s="105" t="n">
        <v>0</v>
      </c>
      <c r="AY165" s="105" t="n">
        <v>0</v>
      </c>
      <c r="AZ165" s="105" t="n">
        <v>0</v>
      </c>
      <c r="BA165" s="105" t="n">
        <v>0</v>
      </c>
      <c r="BB165" s="105" t="n">
        <v>0</v>
      </c>
      <c r="BC165" s="105" t="n">
        <v>0</v>
      </c>
      <c r="BD165" s="105" t="n">
        <v>0</v>
      </c>
      <c r="BE165" s="105" t="n">
        <v>0</v>
      </c>
      <c r="BF165" s="105" t="n">
        <v>0</v>
      </c>
      <c r="BG165" s="105" t="n">
        <v>0</v>
      </c>
      <c r="BH165" s="105" t="n">
        <v>0</v>
      </c>
      <c r="BI165" s="105" t="n">
        <v>0</v>
      </c>
      <c r="BJ165" s="105" t="n">
        <v>0</v>
      </c>
      <c r="BK165" s="105" t="n">
        <v>0</v>
      </c>
      <c r="BL165" s="105" t="n">
        <v>0</v>
      </c>
      <c r="BM165" s="105" t="n">
        <v>0</v>
      </c>
      <c r="BN165" s="105" t="n">
        <v>0</v>
      </c>
      <c r="BO165" s="105" t="n">
        <v>0</v>
      </c>
      <c r="BP165" s="105" t="n">
        <v>0</v>
      </c>
      <c r="BQ165" s="105" t="n">
        <v>0</v>
      </c>
      <c r="BR165" s="106" t="n">
        <f aca="false">SUM(AP165:BQ165)/60</f>
        <v>0</v>
      </c>
      <c r="BS165" s="106" t="n">
        <f aca="false">SUM(AP165:BR165)/60</f>
        <v>0</v>
      </c>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20"/>
      <c r="CX165" s="120"/>
      <c r="CY165" s="120"/>
      <c r="CZ165" s="120"/>
      <c r="DA165" s="120"/>
      <c r="DB165" s="120"/>
      <c r="DC165" s="120"/>
      <c r="DD165" s="120"/>
      <c r="DE165" s="120"/>
      <c r="DF165" s="120"/>
      <c r="DG165" s="120"/>
      <c r="DH165" s="120"/>
      <c r="DI165" s="120"/>
      <c r="DJ165" s="120"/>
      <c r="DK165" s="120"/>
      <c r="DL165" s="120"/>
      <c r="DM165" s="120"/>
      <c r="DN165" s="120"/>
      <c r="DO165" s="120"/>
      <c r="DP165" s="120"/>
      <c r="DQ165" s="120"/>
      <c r="DR165" s="120"/>
      <c r="DS165" s="120"/>
      <c r="DT165" s="120"/>
      <c r="DU165" s="120"/>
      <c r="DV165" s="120"/>
      <c r="DW165" s="120"/>
      <c r="DX165" s="120"/>
      <c r="DY165" s="120"/>
      <c r="DZ165" s="120"/>
      <c r="EA165" s="120"/>
      <c r="EB165" s="120"/>
      <c r="EC165" s="120"/>
      <c r="ED165" s="120"/>
      <c r="EE165" s="120"/>
      <c r="EF165" s="120"/>
      <c r="EG165" s="120"/>
      <c r="EH165" s="120"/>
      <c r="EI165" s="120"/>
      <c r="EJ165" s="120"/>
      <c r="EK165" s="120"/>
      <c r="EL165" s="120"/>
      <c r="EM165" s="120"/>
      <c r="EN165" s="120"/>
      <c r="EO165" s="120"/>
      <c r="EP165" s="120"/>
      <c r="EQ165" s="120"/>
      <c r="ER165" s="120"/>
      <c r="ES165" s="120"/>
      <c r="ET165" s="120"/>
      <c r="EU165" s="120"/>
      <c r="EV165" s="120"/>
      <c r="EW165" s="120"/>
      <c r="EX165" s="120"/>
      <c r="EY165" s="120"/>
      <c r="EZ165" s="120"/>
      <c r="FA165" s="120"/>
      <c r="FB165" s="120"/>
      <c r="FC165" s="120"/>
      <c r="FD165" s="120"/>
      <c r="FE165" s="120"/>
      <c r="FF165" s="120"/>
      <c r="FG165" s="120"/>
      <c r="FH165" s="120"/>
      <c r="FI165" s="120"/>
      <c r="FJ165" s="120"/>
      <c r="FK165" s="120"/>
      <c r="FL165" s="120"/>
      <c r="FM165" s="120"/>
      <c r="FN165" s="120"/>
      <c r="FO165" s="120"/>
      <c r="FP165" s="120"/>
      <c r="FQ165" s="120"/>
      <c r="FR165" s="120"/>
      <c r="FS165" s="120"/>
      <c r="FT165" s="120"/>
      <c r="FU165" s="120"/>
    </row>
    <row r="166" s="121" customFormat="true" ht="14.9" hidden="true" customHeight="false" outlineLevel="0" collapsed="false">
      <c r="A166" s="74" t="n">
        <f aca="false">MONTH(B166)</f>
        <v>8</v>
      </c>
      <c r="B166" s="75" t="n">
        <v>44425</v>
      </c>
      <c r="C166" s="76" t="s">
        <v>70</v>
      </c>
      <c r="D166" s="77" t="str">
        <f aca="false">IFERROR(VLOOKUP(E:E,'Item Data Support Sheet'!A:O,7,0),"")</f>
        <v>NIPPLE MOLDED</v>
      </c>
      <c r="E166" s="108" t="s">
        <v>244</v>
      </c>
      <c r="F166" s="123" t="s">
        <v>137</v>
      </c>
      <c r="G166" s="77" t="s">
        <v>138</v>
      </c>
      <c r="H166" s="79" t="str">
        <f aca="false">IFERROR(VLOOKUP(E:E,'Item Data Support Sheet'!A:O,2,0),"")</f>
        <v>NIPPLE S TYPE S SIZE INJECTION</v>
      </c>
      <c r="I166" s="108" t="s">
        <v>439</v>
      </c>
      <c r="J166" s="80" t="s">
        <v>140</v>
      </c>
      <c r="K166" s="126" t="n">
        <v>8</v>
      </c>
      <c r="L166" s="124" t="n">
        <v>4815</v>
      </c>
      <c r="M166" s="83" t="n">
        <f aca="false">IFERROR(L166/K166,0)</f>
        <v>601.875</v>
      </c>
      <c r="N166" s="84" t="n">
        <f aca="false">+O166+Q166+T166+U166</f>
        <v>5417</v>
      </c>
      <c r="O166" s="85" t="n">
        <f aca="false">2000+3300</f>
        <v>5300</v>
      </c>
      <c r="P166" s="86" t="n">
        <v>0</v>
      </c>
      <c r="Q166" s="87" t="n">
        <v>45</v>
      </c>
      <c r="R166" s="88" t="n">
        <v>0</v>
      </c>
      <c r="S166" s="88" t="n">
        <v>0</v>
      </c>
      <c r="T166" s="88" t="n">
        <v>72</v>
      </c>
      <c r="U166" s="88" t="n">
        <v>0</v>
      </c>
      <c r="V166" s="89" t="n">
        <v>1</v>
      </c>
      <c r="W166" s="90" t="n">
        <f aca="false">IFERROR(O166/V166,0)</f>
        <v>5300</v>
      </c>
      <c r="X166" s="91" t="n">
        <f aca="false">O166/L166</f>
        <v>1.10072689511942</v>
      </c>
      <c r="Y166" s="92" t="str">
        <f aca="false">IFERROR(VLOOKUP(E:E,'Item Data Support Sheet'!A:J,6,0),0)</f>
        <v>Silicon</v>
      </c>
      <c r="Z166" s="93" t="n">
        <f aca="false">IFERROR(VLOOKUP(E:E,'Item Data Support Sheet'!A:O,4,0),0)</f>
        <v>6.8</v>
      </c>
      <c r="AA166" s="93" t="n">
        <f aca="false">IFERROR(((N166)*(Z166/1000))+P166,0)</f>
        <v>36.8356</v>
      </c>
      <c r="AB166" s="94" t="n">
        <f aca="false">IFERROR((O166*(Z166/1000)/(AA166))," ")</f>
        <v>0.978401329148976</v>
      </c>
      <c r="AC166" s="95" t="n">
        <f aca="false">IFERROR((T166)/((T166)+O166),0)</f>
        <v>0.0134028294862249</v>
      </c>
      <c r="AD166" s="96" t="n">
        <f aca="false">IFERROR(Q166/(Q166+N166),0)</f>
        <v>0.00823874038813621</v>
      </c>
      <c r="AE166" s="91" t="n">
        <f aca="false">(N166-T166)/N166</f>
        <v>0.986708510245523</v>
      </c>
      <c r="AF166" s="97" t="n">
        <f aca="false">BR166</f>
        <v>0</v>
      </c>
      <c r="AG166" s="98" t="n">
        <f aca="false">K166-AF166</f>
        <v>8</v>
      </c>
      <c r="AH166" s="99" t="n">
        <f aca="false">IFERROR(AG166/K166," ")</f>
        <v>1</v>
      </c>
      <c r="AI166" s="100" t="n">
        <f aca="false">IFERROR(O166/K166,0)</f>
        <v>662.5</v>
      </c>
      <c r="AJ166" s="101" t="n">
        <f aca="false">VLOOKUP(D166,'Standard Cycle time'!C:D,2,0)</f>
        <v>5.25</v>
      </c>
      <c r="AK166" s="101" t="n">
        <f aca="false">AG166*V166*3600/O166</f>
        <v>5.43396226415094</v>
      </c>
      <c r="AL166" s="102" t="n">
        <f aca="false">AJ166/AK166</f>
        <v>0.966145833333333</v>
      </c>
      <c r="AM166" s="99" t="n">
        <f aca="false">AE166*AL166*AH166</f>
        <v>0.953304315888253</v>
      </c>
      <c r="AN166" s="103" t="s">
        <v>440</v>
      </c>
      <c r="AO166" s="109"/>
      <c r="AP166" s="105" t="n">
        <v>0</v>
      </c>
      <c r="AQ166" s="105" t="n">
        <v>0</v>
      </c>
      <c r="AR166" s="105" t="n">
        <v>0</v>
      </c>
      <c r="AS166" s="105" t="n">
        <v>0</v>
      </c>
      <c r="AT166" s="105" t="n">
        <v>0</v>
      </c>
      <c r="AU166" s="105" t="n">
        <v>0</v>
      </c>
      <c r="AV166" s="105" t="n">
        <v>0</v>
      </c>
      <c r="AW166" s="105" t="n">
        <v>0</v>
      </c>
      <c r="AX166" s="105" t="n">
        <v>0</v>
      </c>
      <c r="AY166" s="105" t="n">
        <v>0</v>
      </c>
      <c r="AZ166" s="105" t="n">
        <v>0</v>
      </c>
      <c r="BA166" s="105" t="n">
        <v>0</v>
      </c>
      <c r="BB166" s="105" t="n">
        <v>0</v>
      </c>
      <c r="BC166" s="105" t="n">
        <v>0</v>
      </c>
      <c r="BD166" s="105" t="n">
        <v>0</v>
      </c>
      <c r="BE166" s="105" t="n">
        <v>0</v>
      </c>
      <c r="BF166" s="105" t="n">
        <v>0</v>
      </c>
      <c r="BG166" s="105" t="n">
        <v>0</v>
      </c>
      <c r="BH166" s="105" t="n">
        <v>0</v>
      </c>
      <c r="BI166" s="105" t="n">
        <v>0</v>
      </c>
      <c r="BJ166" s="105" t="n">
        <v>0</v>
      </c>
      <c r="BK166" s="105" t="n">
        <v>0</v>
      </c>
      <c r="BL166" s="105" t="n">
        <v>0</v>
      </c>
      <c r="BM166" s="105" t="n">
        <v>0</v>
      </c>
      <c r="BN166" s="105" t="n">
        <v>0</v>
      </c>
      <c r="BO166" s="105" t="n">
        <v>0</v>
      </c>
      <c r="BP166" s="105" t="n">
        <v>0</v>
      </c>
      <c r="BQ166" s="105" t="n">
        <v>0</v>
      </c>
      <c r="BR166" s="106" t="n">
        <f aca="false">SUM(AP166:BQ166)/60</f>
        <v>0</v>
      </c>
      <c r="BS166" s="106" t="n">
        <f aca="false">SUM(AP166:BR166)/60</f>
        <v>0</v>
      </c>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20"/>
      <c r="CX166" s="120"/>
      <c r="CY166" s="120"/>
      <c r="CZ166" s="120"/>
      <c r="DA166" s="120"/>
      <c r="DB166" s="120"/>
      <c r="DC166" s="120"/>
      <c r="DD166" s="120"/>
      <c r="DE166" s="120"/>
      <c r="DF166" s="120"/>
      <c r="DG166" s="120"/>
      <c r="DH166" s="120"/>
      <c r="DI166" s="120"/>
      <c r="DJ166" s="120"/>
      <c r="DK166" s="120"/>
      <c r="DL166" s="120"/>
      <c r="DM166" s="120"/>
      <c r="DN166" s="120"/>
      <c r="DO166" s="120"/>
      <c r="DP166" s="120"/>
      <c r="DQ166" s="120"/>
      <c r="DR166" s="120"/>
      <c r="DS166" s="120"/>
      <c r="DT166" s="120"/>
      <c r="DU166" s="120"/>
      <c r="DV166" s="120"/>
      <c r="DW166" s="120"/>
      <c r="DX166" s="120"/>
      <c r="DY166" s="120"/>
      <c r="DZ166" s="120"/>
      <c r="EA166" s="120"/>
      <c r="EB166" s="120"/>
      <c r="EC166" s="120"/>
      <c r="ED166" s="120"/>
      <c r="EE166" s="120"/>
      <c r="EF166" s="120"/>
      <c r="EG166" s="120"/>
      <c r="EH166" s="120"/>
      <c r="EI166" s="120"/>
      <c r="EJ166" s="120"/>
      <c r="EK166" s="120"/>
      <c r="EL166" s="120"/>
      <c r="EM166" s="120"/>
      <c r="EN166" s="120"/>
      <c r="EO166" s="120"/>
      <c r="EP166" s="120"/>
      <c r="EQ166" s="120"/>
      <c r="ER166" s="120"/>
      <c r="ES166" s="120"/>
      <c r="ET166" s="120"/>
      <c r="EU166" s="120"/>
      <c r="EV166" s="120"/>
      <c r="EW166" s="120"/>
      <c r="EX166" s="120"/>
      <c r="EY166" s="120"/>
      <c r="EZ166" s="120"/>
      <c r="FA166" s="120"/>
      <c r="FB166" s="120"/>
      <c r="FC166" s="120"/>
      <c r="FD166" s="120"/>
      <c r="FE166" s="120"/>
      <c r="FF166" s="120"/>
      <c r="FG166" s="120"/>
      <c r="FH166" s="120"/>
      <c r="FI166" s="120"/>
      <c r="FJ166" s="120"/>
      <c r="FK166" s="120"/>
      <c r="FL166" s="120"/>
      <c r="FM166" s="120"/>
      <c r="FN166" s="120"/>
      <c r="FO166" s="120"/>
      <c r="FP166" s="120"/>
      <c r="FQ166" s="120"/>
      <c r="FR166" s="120"/>
      <c r="FS166" s="120"/>
      <c r="FT166" s="120"/>
      <c r="FU166" s="120"/>
    </row>
    <row r="167" s="121" customFormat="true" ht="14.9" hidden="true" customHeight="false" outlineLevel="0" collapsed="false">
      <c r="A167" s="74" t="n">
        <f aca="false">MONTH(B167)</f>
        <v>8</v>
      </c>
      <c r="B167" s="75" t="n">
        <v>44425</v>
      </c>
      <c r="C167" s="76" t="s">
        <v>70</v>
      </c>
      <c r="D167" s="77" t="str">
        <f aca="false">IFERROR(VLOOKUP(E:E,'Item Data Support Sheet'!A:O,7,0),"")</f>
        <v>BOTTLE MOLDED</v>
      </c>
      <c r="E167" s="108" t="s">
        <v>69</v>
      </c>
      <c r="F167" s="123" t="s">
        <v>73</v>
      </c>
      <c r="G167" s="77" t="s">
        <v>74</v>
      </c>
      <c r="H167" s="79" t="str">
        <f aca="false">IFERROR(VLOOKUP(E:E,'Item Data Support Sheet'!A:O,2,0),"")</f>
        <v>KPP 240 ML BOTTLE MOLDED</v>
      </c>
      <c r="I167" s="108" t="s">
        <v>441</v>
      </c>
      <c r="J167" s="80" t="s">
        <v>140</v>
      </c>
      <c r="K167" s="126" t="n">
        <v>8</v>
      </c>
      <c r="L167" s="124" t="n">
        <v>2574</v>
      </c>
      <c r="M167" s="83" t="n">
        <f aca="false">IFERROR(L167/K167,0)</f>
        <v>321.75</v>
      </c>
      <c r="N167" s="84" t="n">
        <f aca="false">+O167+Q167+T167+U167</f>
        <v>3180</v>
      </c>
      <c r="O167" s="85" t="n">
        <f aca="false">29*108</f>
        <v>3132</v>
      </c>
      <c r="P167" s="86" t="n">
        <v>0.1</v>
      </c>
      <c r="Q167" s="87" t="n">
        <v>0</v>
      </c>
      <c r="R167" s="88" t="n">
        <v>0</v>
      </c>
      <c r="S167" s="88" t="n">
        <v>0</v>
      </c>
      <c r="T167" s="88" t="n">
        <v>48</v>
      </c>
      <c r="U167" s="88" t="n">
        <v>0</v>
      </c>
      <c r="V167" s="89" t="n">
        <v>1</v>
      </c>
      <c r="W167" s="90" t="n">
        <f aca="false">IFERROR(O167/V167,0)</f>
        <v>3132</v>
      </c>
      <c r="X167" s="91" t="n">
        <f aca="false">O167/L167</f>
        <v>1.21678321678322</v>
      </c>
      <c r="Y167" s="92" t="str">
        <f aca="false">IFERROR(VLOOKUP(E:E,'Item Data Support Sheet'!A:J,6,0),0)</f>
        <v>HMC</v>
      </c>
      <c r="Z167" s="93" t="n">
        <f aca="false">IFERROR(VLOOKUP(E:E,'Item Data Support Sheet'!A:O,4,0),0)</f>
        <v>32.1</v>
      </c>
      <c r="AA167" s="93" t="n">
        <f aca="false">IFERROR(((N167)*(Z167/1000))+P167,0)</f>
        <v>102.178</v>
      </c>
      <c r="AB167" s="94" t="n">
        <f aca="false">IFERROR((O167*(Z167/1000)/(AA167))," ")</f>
        <v>0.98394174871303</v>
      </c>
      <c r="AC167" s="95" t="n">
        <f aca="false">IFERROR((T167)/((T167)+O167),0)</f>
        <v>0.0150943396226415</v>
      </c>
      <c r="AD167" s="96" t="n">
        <f aca="false">IFERROR(Q167/(Q167+N167),0)</f>
        <v>0</v>
      </c>
      <c r="AE167" s="91" t="n">
        <f aca="false">(N167-T167)/N167</f>
        <v>0.984905660377359</v>
      </c>
      <c r="AF167" s="97" t="n">
        <f aca="false">BR167</f>
        <v>0</v>
      </c>
      <c r="AG167" s="98" t="n">
        <f aca="false">K167-AF167</f>
        <v>8</v>
      </c>
      <c r="AH167" s="99" t="n">
        <f aca="false">IFERROR(AG167/K167," ")</f>
        <v>1</v>
      </c>
      <c r="AI167" s="100" t="n">
        <f aca="false">IFERROR(O167/K167,0)</f>
        <v>391.5</v>
      </c>
      <c r="AJ167" s="101" t="n">
        <f aca="false">VLOOKUP(D167,'Standard Cycle time'!C:D,2,0)</f>
        <v>9</v>
      </c>
      <c r="AK167" s="101" t="n">
        <f aca="false">AG167*V167*3600/O167</f>
        <v>9.19540229885057</v>
      </c>
      <c r="AL167" s="102" t="n">
        <f aca="false">AJ167/AK167</f>
        <v>0.97875</v>
      </c>
      <c r="AM167" s="99" t="n">
        <f aca="false">AE167*AL167*AH167</f>
        <v>0.96397641509434</v>
      </c>
      <c r="AN167" s="103" t="n">
        <v>2472</v>
      </c>
      <c r="AO167" s="104"/>
      <c r="AP167" s="105" t="n">
        <v>0</v>
      </c>
      <c r="AQ167" s="105" t="n">
        <v>0</v>
      </c>
      <c r="AR167" s="105" t="n">
        <v>0</v>
      </c>
      <c r="AS167" s="105" t="n">
        <v>0</v>
      </c>
      <c r="AT167" s="105" t="n">
        <v>0</v>
      </c>
      <c r="AU167" s="105" t="n">
        <v>0</v>
      </c>
      <c r="AV167" s="105" t="n">
        <v>0</v>
      </c>
      <c r="AW167" s="105" t="n">
        <v>0</v>
      </c>
      <c r="AX167" s="105" t="n">
        <v>0</v>
      </c>
      <c r="AY167" s="105" t="n">
        <v>0</v>
      </c>
      <c r="AZ167" s="105" t="n">
        <v>0</v>
      </c>
      <c r="BA167" s="105" t="n">
        <v>0</v>
      </c>
      <c r="BB167" s="105" t="n">
        <v>0</v>
      </c>
      <c r="BC167" s="105" t="n">
        <v>0</v>
      </c>
      <c r="BD167" s="105" t="n">
        <v>0</v>
      </c>
      <c r="BE167" s="105" t="n">
        <v>0</v>
      </c>
      <c r="BF167" s="105" t="n">
        <v>0</v>
      </c>
      <c r="BG167" s="105" t="n">
        <v>0</v>
      </c>
      <c r="BH167" s="105" t="n">
        <v>0</v>
      </c>
      <c r="BI167" s="105" t="n">
        <v>0</v>
      </c>
      <c r="BJ167" s="105" t="n">
        <v>0</v>
      </c>
      <c r="BK167" s="105" t="n">
        <v>0</v>
      </c>
      <c r="BL167" s="105" t="n">
        <v>0</v>
      </c>
      <c r="BM167" s="105" t="n">
        <v>0</v>
      </c>
      <c r="BN167" s="105" t="n">
        <v>0</v>
      </c>
      <c r="BO167" s="105" t="n">
        <v>0</v>
      </c>
      <c r="BP167" s="105" t="n">
        <v>0</v>
      </c>
      <c r="BQ167" s="105" t="n">
        <v>0</v>
      </c>
      <c r="BR167" s="106" t="n">
        <f aca="false">SUM(AP167:BQ167)/60</f>
        <v>0</v>
      </c>
      <c r="BS167" s="106" t="n">
        <f aca="false">SUM(AP167:BR167)/60</f>
        <v>0</v>
      </c>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20"/>
      <c r="CX167" s="120"/>
      <c r="CY167" s="120"/>
      <c r="CZ167" s="120"/>
      <c r="DA167" s="120"/>
      <c r="DB167" s="120"/>
      <c r="DC167" s="120"/>
      <c r="DD167" s="120"/>
      <c r="DE167" s="120"/>
      <c r="DF167" s="120"/>
      <c r="DG167" s="120"/>
      <c r="DH167" s="120"/>
      <c r="DI167" s="120"/>
      <c r="DJ167" s="120"/>
      <c r="DK167" s="120"/>
      <c r="DL167" s="120"/>
      <c r="DM167" s="120"/>
      <c r="DN167" s="120"/>
      <c r="DO167" s="120"/>
      <c r="DP167" s="120"/>
      <c r="DQ167" s="120"/>
      <c r="DR167" s="120"/>
      <c r="DS167" s="120"/>
      <c r="DT167" s="120"/>
      <c r="DU167" s="120"/>
      <c r="DV167" s="120"/>
      <c r="DW167" s="120"/>
      <c r="DX167" s="120"/>
      <c r="DY167" s="120"/>
      <c r="DZ167" s="120"/>
      <c r="EA167" s="120"/>
      <c r="EB167" s="120"/>
      <c r="EC167" s="120"/>
      <c r="ED167" s="120"/>
      <c r="EE167" s="120"/>
      <c r="EF167" s="120"/>
      <c r="EG167" s="120"/>
      <c r="EH167" s="120"/>
      <c r="EI167" s="120"/>
      <c r="EJ167" s="120"/>
      <c r="EK167" s="120"/>
      <c r="EL167" s="120"/>
      <c r="EM167" s="120"/>
      <c r="EN167" s="120"/>
      <c r="EO167" s="120"/>
      <c r="EP167" s="120"/>
      <c r="EQ167" s="120"/>
      <c r="ER167" s="120"/>
      <c r="ES167" s="120"/>
      <c r="ET167" s="120"/>
      <c r="EU167" s="120"/>
      <c r="EV167" s="120"/>
      <c r="EW167" s="120"/>
      <c r="EX167" s="120"/>
      <c r="EY167" s="120"/>
      <c r="EZ167" s="120"/>
      <c r="FA167" s="120"/>
      <c r="FB167" s="120"/>
      <c r="FC167" s="120"/>
      <c r="FD167" s="120"/>
      <c r="FE167" s="120"/>
      <c r="FF167" s="120"/>
      <c r="FG167" s="120"/>
      <c r="FH167" s="120"/>
      <c r="FI167" s="120"/>
      <c r="FJ167" s="120"/>
      <c r="FK167" s="120"/>
      <c r="FL167" s="120"/>
      <c r="FM167" s="120"/>
      <c r="FN167" s="120"/>
      <c r="FO167" s="120"/>
      <c r="FP167" s="120"/>
      <c r="FQ167" s="120"/>
      <c r="FR167" s="120"/>
      <c r="FS167" s="120"/>
      <c r="FT167" s="120"/>
      <c r="FU167" s="120"/>
    </row>
    <row r="168" s="121" customFormat="true" ht="14.9" hidden="true" customHeight="false" outlineLevel="0" collapsed="false">
      <c r="A168" s="74" t="n">
        <f aca="false">MONTH(B168)</f>
        <v>8</v>
      </c>
      <c r="B168" s="75" t="n">
        <v>44425</v>
      </c>
      <c r="C168" s="76" t="s">
        <v>70</v>
      </c>
      <c r="D168" s="77" t="str">
        <f aca="false">IFERROR(VLOOKUP(E:E,'Item Data Support Sheet'!A:O,7,0),"")</f>
        <v>NIPPLE PUNCH</v>
      </c>
      <c r="E168" s="108" t="s">
        <v>53</v>
      </c>
      <c r="F168" s="123"/>
      <c r="G168" s="77" t="s">
        <v>54</v>
      </c>
      <c r="H168" s="79" t="str">
        <f aca="false">IFERROR(VLOOKUP(E:E,'Item Data Support Sheet'!A:O,2,0),"")</f>
        <v>NIPPLE S TYPE S SIZE PUNCHED</v>
      </c>
      <c r="I168" s="108" t="s">
        <v>442</v>
      </c>
      <c r="J168" s="80" t="s">
        <v>140</v>
      </c>
      <c r="K168" s="126" t="n">
        <v>8</v>
      </c>
      <c r="L168" s="124" t="n">
        <v>7036</v>
      </c>
      <c r="M168" s="83" t="n">
        <f aca="false">IFERROR(L168/K168,0)</f>
        <v>879.5</v>
      </c>
      <c r="N168" s="84" t="n">
        <f aca="false">+O168+Q168+T168+U168</f>
        <v>7300</v>
      </c>
      <c r="O168" s="85" t="n">
        <v>7300</v>
      </c>
      <c r="P168" s="86" t="n">
        <v>0</v>
      </c>
      <c r="Q168" s="87" t="n">
        <v>0</v>
      </c>
      <c r="R168" s="88" t="n">
        <v>0</v>
      </c>
      <c r="S168" s="88" t="n">
        <v>0</v>
      </c>
      <c r="T168" s="88" t="n">
        <v>0</v>
      </c>
      <c r="U168" s="88" t="n">
        <v>0</v>
      </c>
      <c r="V168" s="89" t="n">
        <v>1</v>
      </c>
      <c r="W168" s="90" t="n">
        <f aca="false">IFERROR(O168/V168,0)</f>
        <v>7300</v>
      </c>
      <c r="X168" s="91" t="n">
        <f aca="false">O168/L168</f>
        <v>1.03752131893121</v>
      </c>
      <c r="Y168" s="92" t="str">
        <f aca="false">IFERROR(VLOOKUP(E:E,'Item Data Support Sheet'!A:J,6,0),0)</f>
        <v>FO015</v>
      </c>
      <c r="Z168" s="93" t="n">
        <f aca="false">IFERROR(VLOOKUP(E:E,'Item Data Support Sheet'!A:O,4,0),0)</f>
        <v>0</v>
      </c>
      <c r="AA168" s="93" t="n">
        <f aca="false">IFERROR(((N168)*(Z168/1000))+P168,0)</f>
        <v>0</v>
      </c>
      <c r="AB168" s="94" t="str">
        <f aca="false">IFERROR((O168*(Z168/1000)/(AA168))," ")</f>
        <v> </v>
      </c>
      <c r="AC168" s="95" t="n">
        <f aca="false">IFERROR((T168)/((T168)+O168),0)</f>
        <v>0</v>
      </c>
      <c r="AD168" s="96" t="n">
        <f aca="false">IFERROR(Q168/(Q168+N168),0)</f>
        <v>0</v>
      </c>
      <c r="AE168" s="91" t="n">
        <f aca="false">(N168-T168)/N168</f>
        <v>1</v>
      </c>
      <c r="AF168" s="97" t="n">
        <f aca="false">BR168</f>
        <v>0.666666666666667</v>
      </c>
      <c r="AG168" s="98" t="n">
        <f aca="false">K168-AF168</f>
        <v>7.33333333333333</v>
      </c>
      <c r="AH168" s="99" t="n">
        <f aca="false">IFERROR(AG168/K168," ")</f>
        <v>0.916666666666667</v>
      </c>
      <c r="AI168" s="100" t="n">
        <f aca="false">IFERROR(O168/K168,0)</f>
        <v>912.5</v>
      </c>
      <c r="AJ168" s="101" t="n">
        <f aca="false">VLOOKUP(D168,'Standard Cycle time'!C:D,2,0)</f>
        <v>3.5</v>
      </c>
      <c r="AK168" s="101" t="n">
        <f aca="false">AG168*V168*3600/O168</f>
        <v>3.61643835616438</v>
      </c>
      <c r="AL168" s="102" t="n">
        <f aca="false">AJ168/AK168</f>
        <v>0.96780303030303</v>
      </c>
      <c r="AM168" s="99" t="n">
        <f aca="false">AE168*AL168*AH168</f>
        <v>0.887152777777778</v>
      </c>
      <c r="AN168" s="103" t="s">
        <v>443</v>
      </c>
      <c r="AO168" s="109"/>
      <c r="AP168" s="105" t="n">
        <v>40</v>
      </c>
      <c r="AQ168" s="105" t="n">
        <v>0</v>
      </c>
      <c r="AR168" s="105" t="n">
        <v>0</v>
      </c>
      <c r="AS168" s="105" t="n">
        <v>0</v>
      </c>
      <c r="AT168" s="105" t="n">
        <v>0</v>
      </c>
      <c r="AU168" s="105" t="n">
        <v>0</v>
      </c>
      <c r="AV168" s="105" t="n">
        <v>0</v>
      </c>
      <c r="AW168" s="105" t="n">
        <v>0</v>
      </c>
      <c r="AX168" s="105" t="n">
        <v>0</v>
      </c>
      <c r="AY168" s="105" t="n">
        <v>0</v>
      </c>
      <c r="AZ168" s="105" t="n">
        <v>0</v>
      </c>
      <c r="BA168" s="105" t="n">
        <v>0</v>
      </c>
      <c r="BB168" s="105" t="n">
        <v>0</v>
      </c>
      <c r="BC168" s="105" t="n">
        <v>0</v>
      </c>
      <c r="BD168" s="105" t="n">
        <v>0</v>
      </c>
      <c r="BE168" s="105" t="n">
        <v>0</v>
      </c>
      <c r="BF168" s="105" t="n">
        <v>0</v>
      </c>
      <c r="BG168" s="105" t="n">
        <v>0</v>
      </c>
      <c r="BH168" s="105" t="n">
        <v>0</v>
      </c>
      <c r="BI168" s="105" t="n">
        <v>0</v>
      </c>
      <c r="BJ168" s="105" t="n">
        <v>0</v>
      </c>
      <c r="BK168" s="105" t="n">
        <v>0</v>
      </c>
      <c r="BL168" s="105" t="n">
        <v>0</v>
      </c>
      <c r="BM168" s="105" t="n">
        <v>0</v>
      </c>
      <c r="BN168" s="105" t="n">
        <v>0</v>
      </c>
      <c r="BO168" s="105" t="n">
        <v>0</v>
      </c>
      <c r="BP168" s="105" t="n">
        <v>0</v>
      </c>
      <c r="BQ168" s="105" t="n">
        <v>0</v>
      </c>
      <c r="BR168" s="106" t="n">
        <f aca="false">SUM(AP168:BQ168)/60</f>
        <v>0.666666666666667</v>
      </c>
      <c r="BS168" s="106" t="n">
        <f aca="false">SUM(AP168:BR168)/60</f>
        <v>0.677777777777778</v>
      </c>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20"/>
      <c r="CX168" s="120"/>
      <c r="CY168" s="120"/>
      <c r="CZ168" s="120"/>
      <c r="DA168" s="120"/>
      <c r="DB168" s="120"/>
      <c r="DC168" s="120"/>
      <c r="DD168" s="120"/>
      <c r="DE168" s="120"/>
      <c r="DF168" s="120"/>
      <c r="DG168" s="120"/>
      <c r="DH168" s="120"/>
      <c r="DI168" s="120"/>
      <c r="DJ168" s="120"/>
      <c r="DK168" s="120"/>
      <c r="DL168" s="120"/>
      <c r="DM168" s="120"/>
      <c r="DN168" s="120"/>
      <c r="DO168" s="120"/>
      <c r="DP168" s="120"/>
      <c r="DQ168" s="120"/>
      <c r="DR168" s="120"/>
      <c r="DS168" s="120"/>
      <c r="DT168" s="120"/>
      <c r="DU168" s="120"/>
      <c r="DV168" s="120"/>
      <c r="DW168" s="120"/>
      <c r="DX168" s="120"/>
      <c r="DY168" s="120"/>
      <c r="DZ168" s="120"/>
      <c r="EA168" s="120"/>
      <c r="EB168" s="120"/>
      <c r="EC168" s="120"/>
      <c r="ED168" s="120"/>
      <c r="EE168" s="120"/>
      <c r="EF168" s="120"/>
      <c r="EG168" s="120"/>
      <c r="EH168" s="120"/>
      <c r="EI168" s="120"/>
      <c r="EJ168" s="120"/>
      <c r="EK168" s="120"/>
      <c r="EL168" s="120"/>
      <c r="EM168" s="120"/>
      <c r="EN168" s="120"/>
      <c r="EO168" s="120"/>
      <c r="EP168" s="120"/>
      <c r="EQ168" s="120"/>
      <c r="ER168" s="120"/>
      <c r="ES168" s="120"/>
      <c r="ET168" s="120"/>
      <c r="EU168" s="120"/>
      <c r="EV168" s="120"/>
      <c r="EW168" s="120"/>
      <c r="EX168" s="120"/>
      <c r="EY168" s="120"/>
      <c r="EZ168" s="120"/>
      <c r="FA168" s="120"/>
      <c r="FB168" s="120"/>
      <c r="FC168" s="120"/>
      <c r="FD168" s="120"/>
      <c r="FE168" s="120"/>
      <c r="FF168" s="120"/>
      <c r="FG168" s="120"/>
      <c r="FH168" s="120"/>
      <c r="FI168" s="120"/>
      <c r="FJ168" s="120"/>
      <c r="FK168" s="120"/>
      <c r="FL168" s="120"/>
      <c r="FM168" s="120"/>
      <c r="FN168" s="120"/>
      <c r="FO168" s="120"/>
      <c r="FP168" s="120"/>
      <c r="FQ168" s="120"/>
      <c r="FR168" s="120"/>
      <c r="FS168" s="120"/>
      <c r="FT168" s="120"/>
      <c r="FU168" s="120"/>
    </row>
    <row r="169" s="121" customFormat="true" ht="16.5" hidden="true" customHeight="true" outlineLevel="0" collapsed="false">
      <c r="A169" s="74" t="n">
        <f aca="false">MONTH(B169)</f>
        <v>8</v>
      </c>
      <c r="B169" s="75" t="n">
        <v>44425</v>
      </c>
      <c r="C169" s="76" t="s">
        <v>70</v>
      </c>
      <c r="D169" s="77" t="str">
        <f aca="false">IFERROR(VLOOKUP(E:E,'Item Data Support Sheet'!A:O,7,0),"")</f>
        <v>NIPPLE LASER MARKING</v>
      </c>
      <c r="E169" s="108" t="s">
        <v>444</v>
      </c>
      <c r="F169" s="80"/>
      <c r="G169" s="77" t="s">
        <v>445</v>
      </c>
      <c r="H169" s="79" t="str">
        <f aca="false">IFERROR(VLOOKUP(E:E,'Item Data Support Sheet'!A:O,2,0),"")</f>
        <v>NIPPLE S TYPE S SIZE PUNCHED LASER MARKED</v>
      </c>
      <c r="I169" s="108" t="s">
        <v>446</v>
      </c>
      <c r="J169" s="80" t="s">
        <v>140</v>
      </c>
      <c r="K169" s="126" t="n">
        <v>8</v>
      </c>
      <c r="L169" s="124" t="n">
        <v>7036</v>
      </c>
      <c r="M169" s="83" t="n">
        <f aca="false">IFERROR(L169/K169,0)</f>
        <v>879.5</v>
      </c>
      <c r="N169" s="84" t="n">
        <f aca="false">+O169+Q169+T169+U169</f>
        <v>6000</v>
      </c>
      <c r="O169" s="85" t="n">
        <v>6000</v>
      </c>
      <c r="P169" s="86" t="n">
        <v>0</v>
      </c>
      <c r="Q169" s="87" t="n">
        <v>0</v>
      </c>
      <c r="R169" s="88" t="n">
        <v>0</v>
      </c>
      <c r="S169" s="88" t="n">
        <v>0</v>
      </c>
      <c r="T169" s="88" t="n">
        <v>0</v>
      </c>
      <c r="U169" s="88" t="n">
        <v>0</v>
      </c>
      <c r="V169" s="89" t="n">
        <v>1</v>
      </c>
      <c r="W169" s="90" t="n">
        <f aca="false">IFERROR(O169/V169,0)</f>
        <v>6000</v>
      </c>
      <c r="X169" s="91" t="n">
        <f aca="false">O169/L169</f>
        <v>0.852757248436612</v>
      </c>
      <c r="Y169" s="92" t="str">
        <f aca="false">IFERROR(VLOOKUP(E:E,'Item Data Support Sheet'!A:J,6,0),0)</f>
        <v>FO019</v>
      </c>
      <c r="Z169" s="93" t="n">
        <f aca="false">IFERROR(VLOOKUP(E:E,'Item Data Support Sheet'!A:O,4,0),0)</f>
        <v>0</v>
      </c>
      <c r="AA169" s="93" t="n">
        <f aca="false">IFERROR(((N169)*(Z169/1000))+P169,0)</f>
        <v>0</v>
      </c>
      <c r="AB169" s="94" t="str">
        <f aca="false">IFERROR((O169*(Z169/1000)/(AA169))," ")</f>
        <v> </v>
      </c>
      <c r="AC169" s="95" t="n">
        <f aca="false">IFERROR((T169)/((T169)+O169),0)</f>
        <v>0</v>
      </c>
      <c r="AD169" s="96" t="n">
        <f aca="false">IFERROR(Q169/(Q169+N169),0)</f>
        <v>0</v>
      </c>
      <c r="AE169" s="91" t="n">
        <f aca="false">(N169-T169)/N169</f>
        <v>1</v>
      </c>
      <c r="AF169" s="97" t="n">
        <f aca="false">BR169</f>
        <v>1.66666666666667</v>
      </c>
      <c r="AG169" s="98" t="n">
        <f aca="false">K169-AF169</f>
        <v>6.33333333333333</v>
      </c>
      <c r="AH169" s="99" t="n">
        <f aca="false">IFERROR(AG169/K169," ")</f>
        <v>0.791666666666667</v>
      </c>
      <c r="AI169" s="100" t="n">
        <f aca="false">IFERROR(O169/K169,0)</f>
        <v>750</v>
      </c>
      <c r="AJ169" s="101" t="n">
        <f aca="false">VLOOKUP(D169,'Standard Cycle time'!C:D,2,0)</f>
        <v>3.5</v>
      </c>
      <c r="AK169" s="101" t="n">
        <f aca="false">AG169*V169*3600/O169</f>
        <v>3.8</v>
      </c>
      <c r="AL169" s="102" t="n">
        <f aca="false">AJ169/AK169</f>
        <v>0.921052631578947</v>
      </c>
      <c r="AM169" s="99" t="n">
        <f aca="false">AE169*AL169*AH169</f>
        <v>0.729166666666667</v>
      </c>
      <c r="AN169" s="103" t="s">
        <v>447</v>
      </c>
      <c r="AO169" s="127" t="s">
        <v>448</v>
      </c>
      <c r="AP169" s="105" t="n">
        <v>40</v>
      </c>
      <c r="AQ169" s="105" t="n">
        <v>0</v>
      </c>
      <c r="AR169" s="105" t="n">
        <v>0</v>
      </c>
      <c r="AS169" s="105" t="n">
        <v>0</v>
      </c>
      <c r="AT169" s="105" t="n">
        <v>0</v>
      </c>
      <c r="AU169" s="105" t="n">
        <v>0</v>
      </c>
      <c r="AV169" s="105" t="n">
        <v>60</v>
      </c>
      <c r="AW169" s="105" t="n">
        <v>0</v>
      </c>
      <c r="AX169" s="105" t="n">
        <v>0</v>
      </c>
      <c r="AY169" s="105" t="n">
        <v>0</v>
      </c>
      <c r="AZ169" s="105" t="n">
        <v>0</v>
      </c>
      <c r="BA169" s="105" t="n">
        <v>0</v>
      </c>
      <c r="BB169" s="105" t="n">
        <v>0</v>
      </c>
      <c r="BC169" s="105" t="n">
        <v>0</v>
      </c>
      <c r="BD169" s="105" t="n">
        <v>0</v>
      </c>
      <c r="BE169" s="105" t="n">
        <v>0</v>
      </c>
      <c r="BF169" s="105" t="n">
        <v>0</v>
      </c>
      <c r="BG169" s="105" t="n">
        <v>0</v>
      </c>
      <c r="BH169" s="105" t="n">
        <v>0</v>
      </c>
      <c r="BI169" s="105" t="n">
        <v>0</v>
      </c>
      <c r="BJ169" s="105" t="n">
        <v>0</v>
      </c>
      <c r="BK169" s="105" t="n">
        <v>0</v>
      </c>
      <c r="BL169" s="105" t="n">
        <v>0</v>
      </c>
      <c r="BM169" s="105" t="n">
        <v>0</v>
      </c>
      <c r="BN169" s="105" t="n">
        <v>0</v>
      </c>
      <c r="BO169" s="105" t="n">
        <v>0</v>
      </c>
      <c r="BP169" s="105" t="n">
        <v>0</v>
      </c>
      <c r="BQ169" s="105" t="n">
        <v>0</v>
      </c>
      <c r="BR169" s="106" t="n">
        <f aca="false">SUM(AP169:BQ169)/60</f>
        <v>1.66666666666667</v>
      </c>
      <c r="BS169" s="106" t="n">
        <f aca="false">SUM(AP169:BR169)/60</f>
        <v>1.69444444444444</v>
      </c>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20"/>
      <c r="CX169" s="120"/>
      <c r="CY169" s="120"/>
      <c r="CZ169" s="120"/>
      <c r="DA169" s="120"/>
      <c r="DB169" s="120"/>
      <c r="DC169" s="120"/>
      <c r="DD169" s="120"/>
      <c r="DE169" s="120"/>
      <c r="DF169" s="120"/>
      <c r="DG169" s="120"/>
      <c r="DH169" s="120"/>
      <c r="DI169" s="120"/>
      <c r="DJ169" s="120"/>
      <c r="DK169" s="120"/>
      <c r="DL169" s="120"/>
      <c r="DM169" s="120"/>
      <c r="DN169" s="120"/>
      <c r="DO169" s="120"/>
      <c r="DP169" s="120"/>
      <c r="DQ169" s="120"/>
      <c r="DR169" s="120"/>
      <c r="DS169" s="120"/>
      <c r="DT169" s="120"/>
      <c r="DU169" s="120"/>
      <c r="DV169" s="120"/>
      <c r="DW169" s="120"/>
      <c r="DX169" s="120"/>
      <c r="DY169" s="120"/>
      <c r="DZ169" s="120"/>
      <c r="EA169" s="120"/>
      <c r="EB169" s="120"/>
      <c r="EC169" s="120"/>
      <c r="ED169" s="120"/>
      <c r="EE169" s="120"/>
      <c r="EF169" s="120"/>
      <c r="EG169" s="120"/>
      <c r="EH169" s="120"/>
      <c r="EI169" s="120"/>
      <c r="EJ169" s="120"/>
      <c r="EK169" s="120"/>
      <c r="EL169" s="120"/>
      <c r="EM169" s="120"/>
      <c r="EN169" s="120"/>
      <c r="EO169" s="120"/>
      <c r="EP169" s="120"/>
      <c r="EQ169" s="120"/>
      <c r="ER169" s="120"/>
      <c r="ES169" s="120"/>
      <c r="ET169" s="120"/>
      <c r="EU169" s="120"/>
      <c r="EV169" s="120"/>
      <c r="EW169" s="120"/>
      <c r="EX169" s="120"/>
      <c r="EY169" s="120"/>
      <c r="EZ169" s="120"/>
      <c r="FA169" s="120"/>
      <c r="FB169" s="120"/>
      <c r="FC169" s="120"/>
      <c r="FD169" s="120"/>
      <c r="FE169" s="120"/>
      <c r="FF169" s="120"/>
      <c r="FG169" s="120"/>
      <c r="FH169" s="120"/>
      <c r="FI169" s="120"/>
      <c r="FJ169" s="120"/>
      <c r="FK169" s="120"/>
      <c r="FL169" s="120"/>
      <c r="FM169" s="120"/>
      <c r="FN169" s="120"/>
      <c r="FO169" s="120"/>
      <c r="FP169" s="120"/>
      <c r="FQ169" s="120"/>
      <c r="FR169" s="120"/>
      <c r="FS169" s="120"/>
      <c r="FT169" s="120"/>
      <c r="FU169" s="120"/>
    </row>
    <row r="170" customFormat="false" ht="13.5" hidden="true" customHeight="true" outlineLevel="0" collapsed="false">
      <c r="A170" s="74" t="n">
        <f aca="false">MONTH(B170)</f>
        <v>8</v>
      </c>
      <c r="B170" s="75" t="n">
        <v>44425</v>
      </c>
      <c r="C170" s="76" t="s">
        <v>70</v>
      </c>
      <c r="D170" s="77" t="str">
        <f aca="false">IFERROR(VLOOKUP(E:E,'Item Data Support Sheet'!A:O,7,0),"")</f>
        <v>CAP MOLDED</v>
      </c>
      <c r="E170" s="108" t="s">
        <v>420</v>
      </c>
      <c r="F170" s="80"/>
      <c r="G170" s="77" t="s">
        <v>200</v>
      </c>
      <c r="H170" s="79" t="str">
        <f aca="false">IFERROR(VLOOKUP(E:E,'Item Data Support Sheet'!A:O,2,0),"")</f>
        <v>CAP S TYPE MOLDED PALE BLUE</v>
      </c>
      <c r="I170" s="108" t="s">
        <v>449</v>
      </c>
      <c r="J170" s="80" t="s">
        <v>140</v>
      </c>
      <c r="K170" s="126" t="n">
        <v>2.5</v>
      </c>
      <c r="L170" s="124" t="n">
        <v>1290</v>
      </c>
      <c r="M170" s="83" t="n">
        <f aca="false">IFERROR(L170/K170,0)</f>
        <v>516</v>
      </c>
      <c r="N170" s="84" t="n">
        <f aca="false">+O170+Q170+T170+U170</f>
        <v>1350</v>
      </c>
      <c r="O170" s="85" t="n">
        <v>1350</v>
      </c>
      <c r="P170" s="86" t="n">
        <v>0</v>
      </c>
      <c r="Q170" s="87" t="n">
        <v>0</v>
      </c>
      <c r="R170" s="88" t="n">
        <v>0</v>
      </c>
      <c r="S170" s="88" t="n">
        <v>0</v>
      </c>
      <c r="T170" s="88" t="n">
        <v>0</v>
      </c>
      <c r="U170" s="88" t="n">
        <v>0</v>
      </c>
      <c r="V170" s="89" t="n">
        <v>1</v>
      </c>
      <c r="W170" s="90" t="n">
        <f aca="false">IFERROR(O170/V170,0)</f>
        <v>1350</v>
      </c>
      <c r="X170" s="91" t="n">
        <f aca="false">O170/L170</f>
        <v>1.04651162790698</v>
      </c>
      <c r="Y170" s="92" t="str">
        <f aca="false">IFERROR(VLOOKUP(E:E,'Item Data Support Sheet'!A:J,6,0),0)</f>
        <v>RM000115</v>
      </c>
      <c r="Z170" s="93" t="n">
        <f aca="false">IFERROR(VLOOKUP(E:E,'Item Data Support Sheet'!A:O,4,0),0)</f>
        <v>7.3</v>
      </c>
      <c r="AA170" s="93" t="n">
        <f aca="false">IFERROR(((N170)*(Z170/1000))+P170,0)</f>
        <v>9.855</v>
      </c>
      <c r="AB170" s="94" t="n">
        <f aca="false">IFERROR((O170*(Z170/1000)/(AA170))," ")</f>
        <v>1</v>
      </c>
      <c r="AC170" s="95" t="n">
        <f aca="false">IFERROR((T170)/((T170)+O170),0)</f>
        <v>0</v>
      </c>
      <c r="AD170" s="96" t="n">
        <f aca="false">IFERROR(Q170/(Q170+N170),0)</f>
        <v>0</v>
      </c>
      <c r="AE170" s="91" t="n">
        <f aca="false">(N170-T170)/N170</f>
        <v>1</v>
      </c>
      <c r="AF170" s="97" t="n">
        <f aca="false">BR170</f>
        <v>0</v>
      </c>
      <c r="AG170" s="98" t="n">
        <f aca="false">K170-AF170</f>
        <v>2.5</v>
      </c>
      <c r="AH170" s="99" t="n">
        <f aca="false">IFERROR(AG170/K170," ")</f>
        <v>1</v>
      </c>
      <c r="AI170" s="100" t="n">
        <f aca="false">IFERROR(O170/K170,0)</f>
        <v>540</v>
      </c>
      <c r="AJ170" s="101" t="n">
        <f aca="false">VLOOKUP(D170,'Standard Cycle time'!C:D,2,0)</f>
        <v>6</v>
      </c>
      <c r="AK170" s="101" t="n">
        <f aca="false">AG170*V170*3600/O170</f>
        <v>6.66666666666667</v>
      </c>
      <c r="AL170" s="102" t="n">
        <f aca="false">AJ170/AK170</f>
        <v>0.9</v>
      </c>
      <c r="AM170" s="99" t="n">
        <f aca="false">AE170*AL170*AH170</f>
        <v>0.9</v>
      </c>
      <c r="AN170" s="103" t="n">
        <v>2692</v>
      </c>
      <c r="AO170" s="104"/>
      <c r="AP170" s="105" t="n">
        <v>0</v>
      </c>
      <c r="AQ170" s="105" t="n">
        <v>0</v>
      </c>
      <c r="AR170" s="105" t="n">
        <v>0</v>
      </c>
      <c r="AS170" s="105" t="n">
        <v>0</v>
      </c>
      <c r="AT170" s="105" t="n">
        <v>0</v>
      </c>
      <c r="AU170" s="105" t="n">
        <v>0</v>
      </c>
      <c r="AV170" s="105" t="n">
        <v>0</v>
      </c>
      <c r="AW170" s="105" t="n">
        <v>0</v>
      </c>
      <c r="AX170" s="105" t="n">
        <v>0</v>
      </c>
      <c r="AY170" s="105" t="n">
        <v>0</v>
      </c>
      <c r="AZ170" s="105" t="n">
        <v>0</v>
      </c>
      <c r="BA170" s="105" t="n">
        <v>0</v>
      </c>
      <c r="BB170" s="105" t="n">
        <v>0</v>
      </c>
      <c r="BC170" s="105" t="n">
        <v>0</v>
      </c>
      <c r="BD170" s="105" t="n">
        <v>0</v>
      </c>
      <c r="BE170" s="105" t="n">
        <v>0</v>
      </c>
      <c r="BF170" s="105" t="n">
        <v>0</v>
      </c>
      <c r="BG170" s="105" t="n">
        <v>0</v>
      </c>
      <c r="BH170" s="105" t="n">
        <v>0</v>
      </c>
      <c r="BI170" s="105" t="n">
        <v>0</v>
      </c>
      <c r="BJ170" s="105" t="n">
        <v>0</v>
      </c>
      <c r="BK170" s="105" t="n">
        <v>0</v>
      </c>
      <c r="BL170" s="105" t="n">
        <v>0</v>
      </c>
      <c r="BM170" s="105" t="n">
        <v>0</v>
      </c>
      <c r="BN170" s="105" t="n">
        <v>0</v>
      </c>
      <c r="BO170" s="105" t="n">
        <v>0</v>
      </c>
      <c r="BP170" s="105" t="n">
        <v>0</v>
      </c>
      <c r="BQ170" s="105" t="n">
        <v>0</v>
      </c>
      <c r="BR170" s="106" t="n">
        <f aca="false">SUM(AP170:BQ170)/60</f>
        <v>0</v>
      </c>
      <c r="BS170" s="106" t="n">
        <f aca="false">SUM(AP170:BR170)/60</f>
        <v>0</v>
      </c>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20"/>
      <c r="CX170" s="120"/>
      <c r="CY170" s="120"/>
      <c r="CZ170" s="120"/>
      <c r="DA170" s="120"/>
      <c r="DB170" s="120"/>
      <c r="DC170" s="120"/>
      <c r="DD170" s="120"/>
      <c r="DE170" s="120"/>
      <c r="DF170" s="120"/>
      <c r="DG170" s="120"/>
      <c r="DH170" s="120"/>
      <c r="DI170" s="120"/>
      <c r="DJ170" s="120"/>
      <c r="DK170" s="120"/>
      <c r="DL170" s="120"/>
      <c r="DM170" s="120"/>
      <c r="DN170" s="120"/>
      <c r="DO170" s="120"/>
      <c r="DP170" s="120"/>
      <c r="DQ170" s="120"/>
      <c r="DR170" s="120"/>
      <c r="DS170" s="120"/>
      <c r="DT170" s="120"/>
      <c r="DU170" s="120"/>
      <c r="DV170" s="120"/>
      <c r="DW170" s="120"/>
      <c r="DX170" s="120"/>
      <c r="DY170" s="120"/>
      <c r="DZ170" s="120"/>
      <c r="EA170" s="120"/>
      <c r="EB170" s="120"/>
      <c r="EC170" s="120"/>
      <c r="ED170" s="120"/>
      <c r="EE170" s="120"/>
      <c r="EF170" s="120"/>
      <c r="EG170" s="120"/>
      <c r="EH170" s="120"/>
      <c r="EI170" s="120"/>
      <c r="EJ170" s="120"/>
      <c r="EK170" s="120"/>
      <c r="EL170" s="120"/>
      <c r="EM170" s="120"/>
      <c r="EN170" s="120"/>
      <c r="EO170" s="120"/>
      <c r="EP170" s="120"/>
      <c r="EQ170" s="120"/>
      <c r="ER170" s="120"/>
      <c r="ES170" s="120"/>
      <c r="ET170" s="120"/>
      <c r="EU170" s="120"/>
      <c r="EV170" s="120"/>
      <c r="EW170" s="120"/>
      <c r="EX170" s="120"/>
      <c r="EY170" s="120"/>
      <c r="EZ170" s="120"/>
      <c r="FA170" s="120"/>
      <c r="FB170" s="120"/>
      <c r="FC170" s="120"/>
      <c r="FD170" s="120"/>
      <c r="FE170" s="120"/>
      <c r="FF170" s="120"/>
      <c r="FG170" s="120"/>
      <c r="FH170" s="120"/>
      <c r="FI170" s="120"/>
      <c r="FJ170" s="120"/>
      <c r="FK170" s="120"/>
      <c r="FL170" s="120"/>
      <c r="FM170" s="120"/>
      <c r="FN170" s="120"/>
      <c r="FO170" s="120"/>
      <c r="FP170" s="120"/>
      <c r="FQ170" s="120"/>
      <c r="FR170" s="120"/>
      <c r="FS170" s="120"/>
      <c r="FT170" s="120"/>
      <c r="FU170" s="120"/>
    </row>
    <row r="171" customFormat="false" ht="14.9" hidden="true" customHeight="false" outlineLevel="0" collapsed="false">
      <c r="A171" s="74" t="n">
        <f aca="false">MONTH(B171)</f>
        <v>8</v>
      </c>
      <c r="B171" s="75" t="n">
        <v>44425</v>
      </c>
      <c r="C171" s="76" t="s">
        <v>70</v>
      </c>
      <c r="D171" s="77" t="str">
        <f aca="false">IFERROR(VLOOKUP(E:E,'Item Data Support Sheet'!A:O,7,0),"")</f>
        <v>CAP MOLDED</v>
      </c>
      <c r="E171" s="108" t="s">
        <v>420</v>
      </c>
      <c r="F171" s="123"/>
      <c r="G171" s="77" t="s">
        <v>200</v>
      </c>
      <c r="H171" s="79" t="str">
        <f aca="false">IFERROR(VLOOKUP(E:E,'Item Data Support Sheet'!A:O,2,0),"")</f>
        <v>CAP S TYPE MOLDED PALE BLUE</v>
      </c>
      <c r="I171" s="108" t="s">
        <v>450</v>
      </c>
      <c r="J171" s="80" t="s">
        <v>140</v>
      </c>
      <c r="K171" s="126" t="n">
        <f aca="false">8-2.5</f>
        <v>5.5</v>
      </c>
      <c r="L171" s="124" t="n">
        <f aca="false">4137-1290</f>
        <v>2847</v>
      </c>
      <c r="M171" s="83" t="n">
        <f aca="false">IFERROR(L171/K171,0)</f>
        <v>517.636363636364</v>
      </c>
      <c r="N171" s="84" t="n">
        <f aca="false">+O171+Q171+T171+U171</f>
        <v>3008</v>
      </c>
      <c r="O171" s="85" t="n">
        <v>3000</v>
      </c>
      <c r="P171" s="86" t="n">
        <v>0</v>
      </c>
      <c r="Q171" s="87" t="n">
        <v>0</v>
      </c>
      <c r="R171" s="88" t="n">
        <v>0</v>
      </c>
      <c r="S171" s="88" t="n">
        <v>0</v>
      </c>
      <c r="T171" s="88" t="n">
        <v>8</v>
      </c>
      <c r="U171" s="88" t="n">
        <v>0</v>
      </c>
      <c r="V171" s="89" t="n">
        <v>1</v>
      </c>
      <c r="W171" s="90" t="n">
        <f aca="false">IFERROR(O171/V171,0)</f>
        <v>3000</v>
      </c>
      <c r="X171" s="91" t="n">
        <f aca="false">O171/L171</f>
        <v>1.05374077976818</v>
      </c>
      <c r="Y171" s="92" t="str">
        <f aca="false">IFERROR(VLOOKUP(E:E,'Item Data Support Sheet'!A:J,6,0),0)</f>
        <v>RM000115</v>
      </c>
      <c r="Z171" s="93" t="n">
        <f aca="false">IFERROR(VLOOKUP(E:E,'Item Data Support Sheet'!A:O,4,0),0)</f>
        <v>7.3</v>
      </c>
      <c r="AA171" s="93" t="n">
        <f aca="false">IFERROR(((N171)*(Z171/1000))+P171,0)</f>
        <v>21.9584</v>
      </c>
      <c r="AB171" s="94" t="n">
        <f aca="false">IFERROR((O171*(Z171/1000)/(AA171))," ")</f>
        <v>0.997340425531915</v>
      </c>
      <c r="AC171" s="95" t="n">
        <f aca="false">IFERROR((T171)/((T171)+O171),0)</f>
        <v>0.00265957446808511</v>
      </c>
      <c r="AD171" s="96" t="n">
        <f aca="false">IFERROR(Q171/(Q171+N171),0)</f>
        <v>0</v>
      </c>
      <c r="AE171" s="91" t="n">
        <f aca="false">(N171-T171)/N171</f>
        <v>0.997340425531915</v>
      </c>
      <c r="AF171" s="97" t="n">
        <f aca="false">BR171</f>
        <v>0</v>
      </c>
      <c r="AG171" s="98" t="n">
        <f aca="false">K171-AF171</f>
        <v>5.5</v>
      </c>
      <c r="AH171" s="99" t="n">
        <f aca="false">IFERROR(AG171/K171," ")</f>
        <v>1</v>
      </c>
      <c r="AI171" s="100" t="n">
        <f aca="false">IFERROR(O171/K171,0)</f>
        <v>545.454545454546</v>
      </c>
      <c r="AJ171" s="101" t="n">
        <f aca="false">VLOOKUP(D171,'Standard Cycle time'!C:D,2,0)</f>
        <v>6</v>
      </c>
      <c r="AK171" s="101" t="n">
        <f aca="false">AG171*V171*3600/O171</f>
        <v>6.6</v>
      </c>
      <c r="AL171" s="102" t="n">
        <f aca="false">AJ171/AK171</f>
        <v>0.909090909090909</v>
      </c>
      <c r="AM171" s="99" t="n">
        <f aca="false">AE171*AL171*AH171</f>
        <v>0.906673114119923</v>
      </c>
      <c r="AN171" s="103" t="n">
        <v>2693</v>
      </c>
      <c r="AO171" s="104"/>
      <c r="AP171" s="105" t="n">
        <v>0</v>
      </c>
      <c r="AQ171" s="105" t="n">
        <v>0</v>
      </c>
      <c r="AR171" s="105" t="n">
        <v>0</v>
      </c>
      <c r="AS171" s="105" t="n">
        <v>0</v>
      </c>
      <c r="AT171" s="105" t="n">
        <v>0</v>
      </c>
      <c r="AU171" s="105" t="n">
        <v>0</v>
      </c>
      <c r="AV171" s="105" t="n">
        <v>0</v>
      </c>
      <c r="AW171" s="105" t="n">
        <v>0</v>
      </c>
      <c r="AX171" s="105" t="n">
        <v>0</v>
      </c>
      <c r="AY171" s="105" t="n">
        <v>0</v>
      </c>
      <c r="AZ171" s="105" t="n">
        <v>0</v>
      </c>
      <c r="BA171" s="105" t="n">
        <v>0</v>
      </c>
      <c r="BB171" s="105" t="n">
        <v>0</v>
      </c>
      <c r="BC171" s="105" t="n">
        <v>0</v>
      </c>
      <c r="BD171" s="105" t="n">
        <v>0</v>
      </c>
      <c r="BE171" s="105" t="n">
        <v>0</v>
      </c>
      <c r="BF171" s="105" t="n">
        <v>0</v>
      </c>
      <c r="BG171" s="105" t="n">
        <v>0</v>
      </c>
      <c r="BH171" s="105" t="n">
        <v>0</v>
      </c>
      <c r="BI171" s="105" t="n">
        <v>0</v>
      </c>
      <c r="BJ171" s="105" t="n">
        <v>0</v>
      </c>
      <c r="BK171" s="105" t="n">
        <v>0</v>
      </c>
      <c r="BL171" s="105" t="n">
        <v>0</v>
      </c>
      <c r="BM171" s="105" t="n">
        <v>0</v>
      </c>
      <c r="BN171" s="105" t="n">
        <v>0</v>
      </c>
      <c r="BO171" s="105" t="n">
        <v>0</v>
      </c>
      <c r="BP171" s="105" t="n">
        <v>0</v>
      </c>
      <c r="BQ171" s="105" t="n">
        <v>0</v>
      </c>
      <c r="BR171" s="106" t="n">
        <f aca="false">SUM(AP171:BQ171)/60</f>
        <v>0</v>
      </c>
      <c r="BS171" s="106" t="n">
        <f aca="false">SUM(AP171:BR171)/60</f>
        <v>0</v>
      </c>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row>
    <row r="172" customFormat="false" ht="15.65" hidden="true" customHeight="true" outlineLevel="0" collapsed="false">
      <c r="A172" s="74" t="n">
        <f aca="false">MONTH(B172)</f>
        <v>8</v>
      </c>
      <c r="B172" s="75" t="n">
        <v>44425</v>
      </c>
      <c r="C172" s="76" t="s">
        <v>152</v>
      </c>
      <c r="D172" s="77" t="str">
        <f aca="false">IFERROR(VLOOKUP(E:E,'Item Data Support Sheet'!A:O,7,0),"")</f>
        <v>CAP MOLDED</v>
      </c>
      <c r="E172" s="108" t="s">
        <v>420</v>
      </c>
      <c r="F172" s="80"/>
      <c r="G172" s="77" t="s">
        <v>200</v>
      </c>
      <c r="H172" s="79" t="str">
        <f aca="false">IFERROR(VLOOKUP(E:E,'Item Data Support Sheet'!A:O,2,0),"")</f>
        <v>CAP S TYPE MOLDED PALE BLUE</v>
      </c>
      <c r="I172" s="108" t="s">
        <v>451</v>
      </c>
      <c r="J172" s="80" t="s">
        <v>143</v>
      </c>
      <c r="K172" s="126" t="n">
        <v>3</v>
      </c>
      <c r="L172" s="124" t="n">
        <f aca="false">4137-L173</f>
        <v>1537</v>
      </c>
      <c r="M172" s="83" t="n">
        <f aca="false">IFERROR(L172/K172,0)</f>
        <v>512.333333333333</v>
      </c>
      <c r="N172" s="84" t="n">
        <f aca="false">+O172+Q172+T172+U172</f>
        <v>1578</v>
      </c>
      <c r="O172" s="85" t="n">
        <v>1570</v>
      </c>
      <c r="P172" s="86" t="n">
        <v>0.19</v>
      </c>
      <c r="Q172" s="87" t="n">
        <v>0</v>
      </c>
      <c r="R172" s="88" t="n">
        <v>0</v>
      </c>
      <c r="S172" s="88" t="n">
        <v>0</v>
      </c>
      <c r="T172" s="88" t="n">
        <v>0</v>
      </c>
      <c r="U172" s="88" t="n">
        <v>8</v>
      </c>
      <c r="V172" s="89" t="n">
        <v>1</v>
      </c>
      <c r="W172" s="90" t="n">
        <f aca="false">IFERROR(O172/V172,0)</f>
        <v>1570</v>
      </c>
      <c r="X172" s="91" t="n">
        <f aca="false">O172/L172</f>
        <v>1.02147039687703</v>
      </c>
      <c r="Y172" s="92" t="str">
        <f aca="false">IFERROR(VLOOKUP(E:E,'Item Data Support Sheet'!A:J,6,0),0)</f>
        <v>RM000115</v>
      </c>
      <c r="Z172" s="93" t="n">
        <f aca="false">IFERROR(VLOOKUP(E:E,'Item Data Support Sheet'!A:O,4,0),0)</f>
        <v>7.3</v>
      </c>
      <c r="AA172" s="93" t="n">
        <f aca="false">IFERROR(((N172)*(Z172/1000))+P172,0)</f>
        <v>11.7094</v>
      </c>
      <c r="AB172" s="94" t="n">
        <f aca="false">IFERROR((O172*(Z172/1000)/(AA172))," ")</f>
        <v>0.978786274275369</v>
      </c>
      <c r="AC172" s="95" t="n">
        <f aca="false">IFERROR((T172)/((T172)+O172),0)</f>
        <v>0</v>
      </c>
      <c r="AD172" s="96" t="n">
        <f aca="false">IFERROR(Q172/(Q172+N172),0)</f>
        <v>0</v>
      </c>
      <c r="AE172" s="91" t="n">
        <f aca="false">(N172-T172)/N172</f>
        <v>1</v>
      </c>
      <c r="AF172" s="97" t="n">
        <f aca="false">BR172</f>
        <v>0.5</v>
      </c>
      <c r="AG172" s="98" t="n">
        <f aca="false">K172-AF172</f>
        <v>2.5</v>
      </c>
      <c r="AH172" s="99" t="n">
        <f aca="false">IFERROR(AG172/K172," ")</f>
        <v>0.833333333333333</v>
      </c>
      <c r="AI172" s="100" t="n">
        <f aca="false">IFERROR(O172/K172,0)</f>
        <v>523.333333333333</v>
      </c>
      <c r="AJ172" s="101" t="n">
        <f aca="false">VLOOKUP(D172,'Standard Cycle time'!C:D,2,0)</f>
        <v>6</v>
      </c>
      <c r="AK172" s="101" t="n">
        <f aca="false">AG172*V172*3600/O172</f>
        <v>5.73248407643312</v>
      </c>
      <c r="AL172" s="102" t="n">
        <f aca="false">AJ172/AK172</f>
        <v>1.04666666666667</v>
      </c>
      <c r="AM172" s="99" t="n">
        <f aca="false">AE172*AL172*AH172</f>
        <v>0.872222222222222</v>
      </c>
      <c r="AN172" s="103" t="n">
        <v>2693</v>
      </c>
      <c r="AO172" s="104" t="s">
        <v>452</v>
      </c>
      <c r="AP172" s="105" t="n">
        <v>0</v>
      </c>
      <c r="AQ172" s="105" t="n">
        <v>30</v>
      </c>
      <c r="AR172" s="105" t="n">
        <v>0</v>
      </c>
      <c r="AS172" s="105" t="n">
        <v>0</v>
      </c>
      <c r="AT172" s="105" t="n">
        <v>0</v>
      </c>
      <c r="AU172" s="105" t="n">
        <v>0</v>
      </c>
      <c r="AV172" s="105" t="n">
        <v>0</v>
      </c>
      <c r="AW172" s="105" t="n">
        <v>0</v>
      </c>
      <c r="AX172" s="105" t="n">
        <v>0</v>
      </c>
      <c r="AY172" s="105" t="n">
        <v>0</v>
      </c>
      <c r="AZ172" s="105" t="n">
        <v>0</v>
      </c>
      <c r="BA172" s="105" t="n">
        <v>0</v>
      </c>
      <c r="BB172" s="105" t="n">
        <v>0</v>
      </c>
      <c r="BC172" s="105" t="n">
        <v>0</v>
      </c>
      <c r="BD172" s="105" t="n">
        <v>0</v>
      </c>
      <c r="BE172" s="105" t="n">
        <v>0</v>
      </c>
      <c r="BF172" s="105" t="n">
        <v>0</v>
      </c>
      <c r="BG172" s="105" t="n">
        <v>0</v>
      </c>
      <c r="BH172" s="105" t="n">
        <v>0</v>
      </c>
      <c r="BI172" s="105" t="n">
        <v>0</v>
      </c>
      <c r="BJ172" s="105" t="n">
        <v>0</v>
      </c>
      <c r="BK172" s="105" t="n">
        <v>0</v>
      </c>
      <c r="BL172" s="105" t="n">
        <v>0</v>
      </c>
      <c r="BM172" s="105" t="n">
        <v>0</v>
      </c>
      <c r="BN172" s="105" t="n">
        <v>0</v>
      </c>
      <c r="BO172" s="105" t="n">
        <v>0</v>
      </c>
      <c r="BP172" s="105" t="n">
        <v>0</v>
      </c>
      <c r="BQ172" s="105" t="n">
        <v>0</v>
      </c>
      <c r="BR172" s="106" t="n">
        <f aca="false">SUM(AP172:BQ172)/60</f>
        <v>0.5</v>
      </c>
      <c r="BS172" s="106" t="n">
        <f aca="false">SUM(AP172:BR172)/60</f>
        <v>0.508333333333333</v>
      </c>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20"/>
      <c r="CX172" s="120"/>
      <c r="CY172" s="120"/>
      <c r="CZ172" s="120"/>
      <c r="DA172" s="120"/>
      <c r="DB172" s="120"/>
      <c r="DC172" s="120"/>
      <c r="DD172" s="120"/>
      <c r="DE172" s="120"/>
      <c r="DF172" s="120"/>
      <c r="DG172" s="120"/>
      <c r="DH172" s="120"/>
      <c r="DI172" s="120"/>
      <c r="DJ172" s="120"/>
      <c r="DK172" s="120"/>
      <c r="DL172" s="120"/>
      <c r="DM172" s="120"/>
      <c r="DN172" s="120"/>
      <c r="DO172" s="120"/>
      <c r="DP172" s="120"/>
      <c r="DQ172" s="120"/>
      <c r="DR172" s="120"/>
      <c r="DS172" s="120"/>
      <c r="DT172" s="120"/>
      <c r="DU172" s="120"/>
      <c r="DV172" s="120"/>
      <c r="DW172" s="120"/>
      <c r="DX172" s="120"/>
      <c r="DY172" s="120"/>
      <c r="DZ172" s="120"/>
      <c r="EA172" s="120"/>
      <c r="EB172" s="120"/>
      <c r="EC172" s="120"/>
      <c r="ED172" s="120"/>
      <c r="EE172" s="120"/>
      <c r="EF172" s="120"/>
      <c r="EG172" s="120"/>
      <c r="EH172" s="120"/>
      <c r="EI172" s="120"/>
      <c r="EJ172" s="120"/>
      <c r="EK172" s="120"/>
      <c r="EL172" s="120"/>
      <c r="EM172" s="120"/>
      <c r="EN172" s="120"/>
      <c r="EO172" s="120"/>
      <c r="EP172" s="120"/>
      <c r="EQ172" s="120"/>
      <c r="ER172" s="120"/>
      <c r="ES172" s="120"/>
      <c r="ET172" s="120"/>
      <c r="EU172" s="120"/>
      <c r="EV172" s="120"/>
      <c r="EW172" s="120"/>
      <c r="EX172" s="120"/>
      <c r="EY172" s="120"/>
      <c r="EZ172" s="120"/>
      <c r="FA172" s="120"/>
      <c r="FB172" s="120"/>
      <c r="FC172" s="120"/>
      <c r="FD172" s="120"/>
      <c r="FE172" s="120"/>
      <c r="FF172" s="120"/>
      <c r="FG172" s="120"/>
      <c r="FH172" s="120"/>
      <c r="FI172" s="120"/>
      <c r="FJ172" s="120"/>
      <c r="FK172" s="120"/>
      <c r="FL172" s="120"/>
      <c r="FM172" s="120"/>
      <c r="FN172" s="120"/>
      <c r="FO172" s="120"/>
      <c r="FP172" s="120"/>
      <c r="FQ172" s="120"/>
      <c r="FR172" s="120"/>
      <c r="FS172" s="120"/>
      <c r="FT172" s="120"/>
      <c r="FU172" s="120"/>
    </row>
    <row r="173" customFormat="false" ht="14.9" hidden="true" customHeight="false" outlineLevel="0" collapsed="false">
      <c r="A173" s="74" t="n">
        <f aca="false">MONTH(B173)</f>
        <v>8</v>
      </c>
      <c r="B173" s="75" t="n">
        <v>44425</v>
      </c>
      <c r="C173" s="76" t="s">
        <v>152</v>
      </c>
      <c r="D173" s="77" t="str">
        <f aca="false">IFERROR(VLOOKUP(E:E,'Item Data Support Sheet'!A:O,7,0),"")</f>
        <v>CAP MOLDED</v>
      </c>
      <c r="E173" s="108" t="s">
        <v>453</v>
      </c>
      <c r="F173" s="80"/>
      <c r="G173" s="77" t="s">
        <v>200</v>
      </c>
      <c r="H173" s="79" t="str">
        <f aca="false">IFERROR(VLOOKUP(E:E,'Item Data Support Sheet'!A:O,2,0),"")</f>
        <v>CAP S TYPE MOLDED WHITE</v>
      </c>
      <c r="I173" s="108" t="s">
        <v>454</v>
      </c>
      <c r="J173" s="80" t="s">
        <v>143</v>
      </c>
      <c r="K173" s="126" t="n">
        <v>5</v>
      </c>
      <c r="L173" s="124" t="n">
        <v>2600</v>
      </c>
      <c r="M173" s="83" t="n">
        <f aca="false">IFERROR(L173/K173,0)</f>
        <v>520</v>
      </c>
      <c r="N173" s="84" t="n">
        <f aca="false">+O173+Q173+T173+U173</f>
        <v>3012</v>
      </c>
      <c r="O173" s="85" t="n">
        <v>3000</v>
      </c>
      <c r="P173" s="86" t="n">
        <v>0</v>
      </c>
      <c r="Q173" s="87" t="n">
        <v>0</v>
      </c>
      <c r="R173" s="88" t="n">
        <v>0</v>
      </c>
      <c r="S173" s="88" t="n">
        <v>0</v>
      </c>
      <c r="T173" s="88" t="n">
        <v>4</v>
      </c>
      <c r="U173" s="88" t="n">
        <v>8</v>
      </c>
      <c r="V173" s="89" t="n">
        <v>1</v>
      </c>
      <c r="W173" s="90" t="n">
        <f aca="false">IFERROR(O173/V173,0)</f>
        <v>3000</v>
      </c>
      <c r="X173" s="91" t="n">
        <f aca="false">O173/L173</f>
        <v>1.15384615384615</v>
      </c>
      <c r="Y173" s="92" t="str">
        <f aca="false">IFERROR(VLOOKUP(E:E,'Item Data Support Sheet'!A:J,6,0),0)</f>
        <v>RM000106</v>
      </c>
      <c r="Z173" s="93" t="n">
        <f aca="false">IFERROR(VLOOKUP(E:E,'Item Data Support Sheet'!A:O,4,0),0)</f>
        <v>7.3</v>
      </c>
      <c r="AA173" s="93" t="n">
        <f aca="false">IFERROR(((N173)*(Z173/1000))+P173,0)</f>
        <v>21.9876</v>
      </c>
      <c r="AB173" s="94" t="n">
        <f aca="false">IFERROR((O173*(Z173/1000)/(AA173))," ")</f>
        <v>0.99601593625498</v>
      </c>
      <c r="AC173" s="95" t="n">
        <f aca="false">IFERROR((T173)/((T173)+O173),0)</f>
        <v>0.00133155792276964</v>
      </c>
      <c r="AD173" s="96" t="n">
        <f aca="false">IFERROR(Q173/(Q173+N173),0)</f>
        <v>0</v>
      </c>
      <c r="AE173" s="91" t="n">
        <f aca="false">(N173-T173)/N173</f>
        <v>0.99867197875166</v>
      </c>
      <c r="AF173" s="97" t="n">
        <f aca="false">BR173</f>
        <v>0</v>
      </c>
      <c r="AG173" s="98" t="n">
        <f aca="false">K173-AF173</f>
        <v>5</v>
      </c>
      <c r="AH173" s="99" t="n">
        <f aca="false">IFERROR(AG173/K173," ")</f>
        <v>1</v>
      </c>
      <c r="AI173" s="100" t="n">
        <f aca="false">IFERROR(O173/K173,0)</f>
        <v>600</v>
      </c>
      <c r="AJ173" s="101" t="n">
        <f aca="false">VLOOKUP(D173,'Standard Cycle time'!C:D,2,0)</f>
        <v>6</v>
      </c>
      <c r="AK173" s="101" t="n">
        <f aca="false">AG173*V173*3600/O173</f>
        <v>6</v>
      </c>
      <c r="AL173" s="102" t="n">
        <f aca="false">AJ173/AK173</f>
        <v>1</v>
      </c>
      <c r="AM173" s="99" t="n">
        <f aca="false">AE173*AL173*AH173</f>
        <v>0.99867197875166</v>
      </c>
      <c r="AN173" s="103" t="n">
        <v>2694</v>
      </c>
      <c r="AO173" s="104"/>
      <c r="AP173" s="105" t="n">
        <v>0</v>
      </c>
      <c r="AQ173" s="105" t="n">
        <v>0</v>
      </c>
      <c r="AR173" s="105" t="n">
        <v>0</v>
      </c>
      <c r="AS173" s="105" t="n">
        <v>0</v>
      </c>
      <c r="AT173" s="105" t="n">
        <v>0</v>
      </c>
      <c r="AU173" s="105" t="n">
        <v>0</v>
      </c>
      <c r="AV173" s="105" t="n">
        <v>0</v>
      </c>
      <c r="AW173" s="105" t="n">
        <v>0</v>
      </c>
      <c r="AX173" s="105" t="n">
        <v>0</v>
      </c>
      <c r="AY173" s="105" t="n">
        <v>0</v>
      </c>
      <c r="AZ173" s="105" t="n">
        <v>0</v>
      </c>
      <c r="BA173" s="105" t="n">
        <v>0</v>
      </c>
      <c r="BB173" s="105" t="n">
        <v>0</v>
      </c>
      <c r="BC173" s="105" t="n">
        <v>0</v>
      </c>
      <c r="BD173" s="105" t="n">
        <v>0</v>
      </c>
      <c r="BE173" s="105" t="n">
        <v>0</v>
      </c>
      <c r="BF173" s="105" t="n">
        <v>0</v>
      </c>
      <c r="BG173" s="105" t="n">
        <v>0</v>
      </c>
      <c r="BH173" s="105" t="n">
        <v>0</v>
      </c>
      <c r="BI173" s="105" t="n">
        <v>0</v>
      </c>
      <c r="BJ173" s="105" t="n">
        <v>0</v>
      </c>
      <c r="BK173" s="105" t="n">
        <v>0</v>
      </c>
      <c r="BL173" s="105" t="n">
        <v>0</v>
      </c>
      <c r="BM173" s="105" t="n">
        <v>0</v>
      </c>
      <c r="BN173" s="105" t="n">
        <v>0</v>
      </c>
      <c r="BO173" s="105" t="n">
        <v>0</v>
      </c>
      <c r="BP173" s="105" t="n">
        <v>0</v>
      </c>
      <c r="BQ173" s="105" t="n">
        <v>0</v>
      </c>
      <c r="BR173" s="106" t="n">
        <f aca="false">SUM(AP173:BQ173)/60</f>
        <v>0</v>
      </c>
      <c r="BS173" s="106" t="n">
        <f aca="false">SUM(AP173:BR173)/60</f>
        <v>0</v>
      </c>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20"/>
      <c r="CX173" s="120"/>
      <c r="CY173" s="120"/>
      <c r="CZ173" s="120"/>
      <c r="DA173" s="120"/>
      <c r="DB173" s="120"/>
      <c r="DC173" s="120"/>
      <c r="DD173" s="120"/>
      <c r="DE173" s="120"/>
      <c r="DF173" s="120"/>
      <c r="DG173" s="120"/>
      <c r="DH173" s="120"/>
      <c r="DI173" s="120"/>
      <c r="DJ173" s="120"/>
      <c r="DK173" s="120"/>
      <c r="DL173" s="120"/>
      <c r="DM173" s="120"/>
      <c r="DN173" s="120"/>
      <c r="DO173" s="120"/>
      <c r="DP173" s="120"/>
      <c r="DQ173" s="120"/>
      <c r="DR173" s="120"/>
      <c r="DS173" s="120"/>
      <c r="DT173" s="120"/>
      <c r="DU173" s="120"/>
      <c r="DV173" s="120"/>
      <c r="DW173" s="120"/>
      <c r="DX173" s="120"/>
      <c r="DY173" s="120"/>
      <c r="DZ173" s="120"/>
      <c r="EA173" s="120"/>
      <c r="EB173" s="120"/>
      <c r="EC173" s="120"/>
      <c r="ED173" s="120"/>
      <c r="EE173" s="120"/>
      <c r="EF173" s="120"/>
      <c r="EG173" s="120"/>
      <c r="EH173" s="120"/>
      <c r="EI173" s="120"/>
      <c r="EJ173" s="120"/>
      <c r="EK173" s="120"/>
      <c r="EL173" s="120"/>
      <c r="EM173" s="120"/>
      <c r="EN173" s="120"/>
      <c r="EO173" s="120"/>
      <c r="EP173" s="120"/>
      <c r="EQ173" s="120"/>
      <c r="ER173" s="120"/>
      <c r="ES173" s="120"/>
      <c r="ET173" s="120"/>
      <c r="EU173" s="120"/>
      <c r="EV173" s="120"/>
      <c r="EW173" s="120"/>
      <c r="EX173" s="120"/>
      <c r="EY173" s="120"/>
      <c r="EZ173" s="120"/>
      <c r="FA173" s="120"/>
      <c r="FB173" s="120"/>
      <c r="FC173" s="120"/>
      <c r="FD173" s="120"/>
      <c r="FE173" s="120"/>
      <c r="FF173" s="120"/>
      <c r="FG173" s="120"/>
      <c r="FH173" s="120"/>
      <c r="FI173" s="120"/>
      <c r="FJ173" s="120"/>
      <c r="FK173" s="120"/>
      <c r="FL173" s="120"/>
      <c r="FM173" s="120"/>
      <c r="FN173" s="120"/>
      <c r="FO173" s="120"/>
      <c r="FP173" s="120"/>
      <c r="FQ173" s="120"/>
      <c r="FR173" s="120"/>
      <c r="FS173" s="120"/>
      <c r="FT173" s="120"/>
      <c r="FU173" s="120"/>
    </row>
    <row r="174" customFormat="false" ht="14.9" hidden="true" customHeight="false" outlineLevel="0" collapsed="false">
      <c r="A174" s="74" t="n">
        <f aca="false">MONTH(B174)</f>
        <v>8</v>
      </c>
      <c r="B174" s="75" t="n">
        <v>44425</v>
      </c>
      <c r="C174" s="76" t="s">
        <v>152</v>
      </c>
      <c r="D174" s="77" t="str">
        <f aca="false">IFERROR(VLOOKUP(E:E,'Item Data Support Sheet'!A:O,7,0),"")</f>
        <v>NIPPLE MOLDED</v>
      </c>
      <c r="E174" s="108" t="s">
        <v>244</v>
      </c>
      <c r="F174" s="123" t="s">
        <v>137</v>
      </c>
      <c r="G174" s="77" t="s">
        <v>138</v>
      </c>
      <c r="H174" s="79" t="str">
        <f aca="false">IFERROR(VLOOKUP(E:E,'Item Data Support Sheet'!A:O,2,0),"")</f>
        <v>NIPPLE S TYPE S SIZE INJECTION</v>
      </c>
      <c r="I174" s="108" t="s">
        <v>455</v>
      </c>
      <c r="J174" s="80" t="s">
        <v>143</v>
      </c>
      <c r="K174" s="126" t="n">
        <v>8</v>
      </c>
      <c r="L174" s="124" t="n">
        <v>4815</v>
      </c>
      <c r="M174" s="83" t="n">
        <f aca="false">IFERROR(L174/K174,0)</f>
        <v>601.875</v>
      </c>
      <c r="N174" s="84" t="n">
        <f aca="false">+O174+Q174+T174+U174</f>
        <v>5326</v>
      </c>
      <c r="O174" s="85" t="n">
        <v>5200</v>
      </c>
      <c r="P174" s="86" t="e">
        <f aca="false">0.73+0.625+1.48+0.125+#REF!:t1048576125+1.53+0.625+0.7</f>
        <v>#NAME?</v>
      </c>
      <c r="Q174" s="87" t="n">
        <v>64</v>
      </c>
      <c r="R174" s="88" t="n">
        <v>0</v>
      </c>
      <c r="S174" s="88" t="n">
        <v>0</v>
      </c>
      <c r="T174" s="88" t="n">
        <f aca="false">126-72</f>
        <v>54</v>
      </c>
      <c r="U174" s="88" t="n">
        <v>8</v>
      </c>
      <c r="V174" s="89" t="n">
        <v>1</v>
      </c>
      <c r="W174" s="90" t="n">
        <f aca="false">IFERROR(O174/V174,0)</f>
        <v>5200</v>
      </c>
      <c r="X174" s="91" t="n">
        <f aca="false">O174/L174</f>
        <v>1.07995846313603</v>
      </c>
      <c r="Y174" s="92" t="str">
        <f aca="false">IFERROR(VLOOKUP(E:E,'Item Data Support Sheet'!A:J,6,0),0)</f>
        <v>Silicon</v>
      </c>
      <c r="Z174" s="93" t="n">
        <f aca="false">IFERROR(VLOOKUP(E:E,'Item Data Support Sheet'!A:O,4,0),0)</f>
        <v>6.8</v>
      </c>
      <c r="AA174" s="93" t="n">
        <f aca="false">IFERROR(((N174)*(Z174/1000))+P174,0)</f>
        <v>0</v>
      </c>
      <c r="AB174" s="94" t="str">
        <f aca="false">IFERROR((O174*(Z174/1000)/(AA174))," ")</f>
        <v> </v>
      </c>
      <c r="AC174" s="95" t="n">
        <f aca="false">IFERROR((T174)/((T174)+O174),0)</f>
        <v>0.0102778835173201</v>
      </c>
      <c r="AD174" s="96" t="n">
        <f aca="false">IFERROR(Q174/(Q174+N174),0)</f>
        <v>0.011873840445269</v>
      </c>
      <c r="AE174" s="91" t="n">
        <f aca="false">(N174-T174)/N174</f>
        <v>0.989861058956065</v>
      </c>
      <c r="AF174" s="97" t="n">
        <f aca="false">BR174</f>
        <v>0.75</v>
      </c>
      <c r="AG174" s="98" t="n">
        <f aca="false">K174-AF174</f>
        <v>7.25</v>
      </c>
      <c r="AH174" s="99" t="n">
        <f aca="false">IFERROR(AG174/K174," ")</f>
        <v>0.90625</v>
      </c>
      <c r="AI174" s="100" t="n">
        <f aca="false">IFERROR(O174/K174,0)</f>
        <v>650</v>
      </c>
      <c r="AJ174" s="101" t="n">
        <f aca="false">VLOOKUP(D174,'Standard Cycle time'!C:D,2,0)</f>
        <v>5.25</v>
      </c>
      <c r="AK174" s="101" t="n">
        <f aca="false">AG174*V174*3600/O174</f>
        <v>5.01923076923077</v>
      </c>
      <c r="AL174" s="102" t="n">
        <f aca="false">AJ174/AK174</f>
        <v>1.04597701149425</v>
      </c>
      <c r="AM174" s="99" t="n">
        <f aca="false">AE174*AL174*AH174</f>
        <v>0.93830579546877</v>
      </c>
      <c r="AN174" s="103" t="n">
        <v>2474</v>
      </c>
      <c r="AO174" s="109" t="s">
        <v>456</v>
      </c>
      <c r="AP174" s="105" t="n">
        <v>0</v>
      </c>
      <c r="AQ174" s="105" t="n">
        <v>0</v>
      </c>
      <c r="AR174" s="105" t="n">
        <v>0</v>
      </c>
      <c r="AS174" s="105" t="n">
        <v>0</v>
      </c>
      <c r="AT174" s="105" t="n">
        <v>0</v>
      </c>
      <c r="AU174" s="105" t="n">
        <v>25</v>
      </c>
      <c r="AV174" s="105" t="n">
        <v>0</v>
      </c>
      <c r="AW174" s="105" t="n">
        <v>0</v>
      </c>
      <c r="AX174" s="105" t="n">
        <v>20</v>
      </c>
      <c r="AY174" s="105" t="n">
        <v>0</v>
      </c>
      <c r="AZ174" s="105" t="n">
        <v>0</v>
      </c>
      <c r="BA174" s="105" t="n">
        <v>0</v>
      </c>
      <c r="BB174" s="105" t="n">
        <v>0</v>
      </c>
      <c r="BC174" s="105" t="n">
        <v>0</v>
      </c>
      <c r="BD174" s="105" t="n">
        <v>0</v>
      </c>
      <c r="BE174" s="105" t="n">
        <v>0</v>
      </c>
      <c r="BF174" s="105" t="n">
        <v>0</v>
      </c>
      <c r="BG174" s="105" t="n">
        <v>0</v>
      </c>
      <c r="BH174" s="105" t="n">
        <v>0</v>
      </c>
      <c r="BI174" s="105" t="n">
        <v>0</v>
      </c>
      <c r="BJ174" s="105" t="n">
        <v>0</v>
      </c>
      <c r="BK174" s="105" t="n">
        <v>0</v>
      </c>
      <c r="BL174" s="105" t="n">
        <v>0</v>
      </c>
      <c r="BM174" s="105" t="n">
        <v>0</v>
      </c>
      <c r="BN174" s="105" t="n">
        <v>0</v>
      </c>
      <c r="BO174" s="105" t="n">
        <v>0</v>
      </c>
      <c r="BP174" s="105" t="n">
        <v>0</v>
      </c>
      <c r="BQ174" s="105" t="n">
        <v>0</v>
      </c>
      <c r="BR174" s="106" t="n">
        <f aca="false">SUM(AP174:BQ174)/60</f>
        <v>0.75</v>
      </c>
      <c r="BS174" s="106" t="n">
        <f aca="false">SUM(AP174:BR174)/60</f>
        <v>0.7625</v>
      </c>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20"/>
      <c r="CX174" s="120"/>
      <c r="CY174" s="120"/>
      <c r="CZ174" s="120"/>
      <c r="DA174" s="120"/>
      <c r="DB174" s="120"/>
      <c r="DC174" s="120"/>
      <c r="DD174" s="120"/>
      <c r="DE174" s="120"/>
      <c r="DF174" s="120"/>
      <c r="DG174" s="120"/>
      <c r="DH174" s="120"/>
      <c r="DI174" s="120"/>
      <c r="DJ174" s="120"/>
      <c r="DK174" s="120"/>
      <c r="DL174" s="120"/>
      <c r="DM174" s="120"/>
      <c r="DN174" s="120"/>
      <c r="DO174" s="120"/>
      <c r="DP174" s="120"/>
      <c r="DQ174" s="120"/>
      <c r="DR174" s="120"/>
      <c r="DS174" s="120"/>
      <c r="DT174" s="120"/>
      <c r="DU174" s="120"/>
      <c r="DV174" s="120"/>
      <c r="DW174" s="120"/>
      <c r="DX174" s="120"/>
      <c r="DY174" s="120"/>
      <c r="DZ174" s="120"/>
      <c r="EA174" s="120"/>
      <c r="EB174" s="120"/>
      <c r="EC174" s="120"/>
      <c r="ED174" s="120"/>
      <c r="EE174" s="120"/>
      <c r="EF174" s="120"/>
      <c r="EG174" s="120"/>
      <c r="EH174" s="120"/>
      <c r="EI174" s="120"/>
      <c r="EJ174" s="120"/>
      <c r="EK174" s="120"/>
      <c r="EL174" s="120"/>
      <c r="EM174" s="120"/>
      <c r="EN174" s="120"/>
      <c r="EO174" s="120"/>
      <c r="EP174" s="120"/>
      <c r="EQ174" s="120"/>
      <c r="ER174" s="120"/>
      <c r="ES174" s="120"/>
      <c r="ET174" s="120"/>
      <c r="EU174" s="120"/>
      <c r="EV174" s="120"/>
      <c r="EW174" s="120"/>
      <c r="EX174" s="120"/>
      <c r="EY174" s="120"/>
      <c r="EZ174" s="120"/>
      <c r="FA174" s="120"/>
      <c r="FB174" s="120"/>
      <c r="FC174" s="120"/>
      <c r="FD174" s="120"/>
      <c r="FE174" s="120"/>
      <c r="FF174" s="120"/>
      <c r="FG174" s="120"/>
      <c r="FH174" s="120"/>
      <c r="FI174" s="120"/>
      <c r="FJ174" s="120"/>
      <c r="FK174" s="120"/>
      <c r="FL174" s="120"/>
      <c r="FM174" s="120"/>
      <c r="FN174" s="120"/>
      <c r="FO174" s="120"/>
      <c r="FP174" s="120"/>
      <c r="FQ174" s="120"/>
      <c r="FR174" s="120"/>
      <c r="FS174" s="120"/>
      <c r="FT174" s="120"/>
      <c r="FU174" s="120"/>
    </row>
    <row r="175" customFormat="false" ht="28.35" hidden="true" customHeight="false" outlineLevel="0" collapsed="false">
      <c r="A175" s="74" t="n">
        <f aca="false">MONTH(B175)</f>
        <v>8</v>
      </c>
      <c r="B175" s="75" t="n">
        <v>44425</v>
      </c>
      <c r="C175" s="76" t="s">
        <v>152</v>
      </c>
      <c r="D175" s="77" t="str">
        <f aca="false">IFERROR(VLOOKUP(E:E,'Item Data Support Sheet'!A:O,7,0),"")</f>
        <v>BOTTLE MOLDED</v>
      </c>
      <c r="E175" s="108" t="s">
        <v>69</v>
      </c>
      <c r="F175" s="123" t="s">
        <v>73</v>
      </c>
      <c r="G175" s="77" t="s">
        <v>74</v>
      </c>
      <c r="H175" s="79" t="str">
        <f aca="false">IFERROR(VLOOKUP(E:E,'Item Data Support Sheet'!A:O,2,0),"")</f>
        <v>KPP 240 ML BOTTLE MOLDED</v>
      </c>
      <c r="I175" s="108" t="s">
        <v>457</v>
      </c>
      <c r="J175" s="80" t="s">
        <v>143</v>
      </c>
      <c r="K175" s="126" t="n">
        <v>8</v>
      </c>
      <c r="L175" s="124" t="n">
        <v>2574</v>
      </c>
      <c r="M175" s="83" t="n">
        <f aca="false">IFERROR(L175/K175,0)</f>
        <v>321.75</v>
      </c>
      <c r="N175" s="84" t="n">
        <f aca="false">+O175+Q175+T175+U175</f>
        <v>3305</v>
      </c>
      <c r="O175" s="85" t="n">
        <f aca="false">30*108</f>
        <v>3240</v>
      </c>
      <c r="P175" s="86" t="n">
        <v>0</v>
      </c>
      <c r="Q175" s="87" t="n">
        <v>20</v>
      </c>
      <c r="R175" s="88" t="n">
        <v>0</v>
      </c>
      <c r="S175" s="88" t="n">
        <v>0</v>
      </c>
      <c r="T175" s="88" t="n">
        <v>37</v>
      </c>
      <c r="U175" s="88" t="n">
        <v>8</v>
      </c>
      <c r="V175" s="89" t="n">
        <v>1</v>
      </c>
      <c r="W175" s="90" t="n">
        <f aca="false">IFERROR(O175/V175,0)</f>
        <v>3240</v>
      </c>
      <c r="X175" s="91" t="n">
        <f aca="false">O175/L175</f>
        <v>1.25874125874126</v>
      </c>
      <c r="Y175" s="92" t="str">
        <f aca="false">IFERROR(VLOOKUP(E:E,'Item Data Support Sheet'!A:J,6,0),0)</f>
        <v>HMC</v>
      </c>
      <c r="Z175" s="93" t="n">
        <f aca="false">IFERROR(VLOOKUP(E:E,'Item Data Support Sheet'!A:O,4,0),0)</f>
        <v>32.1</v>
      </c>
      <c r="AA175" s="93" t="n">
        <f aca="false">IFERROR(((N175)*(Z175/1000))+P175,0)</f>
        <v>106.0905</v>
      </c>
      <c r="AB175" s="94" t="n">
        <f aca="false">IFERROR((O175*(Z175/1000)/(AA175))," ")</f>
        <v>0.980332829046899</v>
      </c>
      <c r="AC175" s="95" t="n">
        <f aca="false">IFERROR((T175)/((T175)+O175),0)</f>
        <v>0.0112908147696063</v>
      </c>
      <c r="AD175" s="96" t="n">
        <f aca="false">IFERROR(Q175/(Q175+N175),0)</f>
        <v>0.00601503759398496</v>
      </c>
      <c r="AE175" s="91" t="n">
        <f aca="false">(N175-T175)/N175</f>
        <v>0.988804841149773</v>
      </c>
      <c r="AF175" s="97" t="n">
        <f aca="false">BR175</f>
        <v>0.333333333333333</v>
      </c>
      <c r="AG175" s="98" t="n">
        <f aca="false">K175-AF175</f>
        <v>7.66666666666667</v>
      </c>
      <c r="AH175" s="99" t="n">
        <f aca="false">IFERROR(AG175/K175," ")</f>
        <v>0.958333333333333</v>
      </c>
      <c r="AI175" s="100" t="n">
        <f aca="false">IFERROR(O175/K175,0)</f>
        <v>405</v>
      </c>
      <c r="AJ175" s="101" t="n">
        <f aca="false">VLOOKUP(D175,'Standard Cycle time'!C:D,2,0)</f>
        <v>9</v>
      </c>
      <c r="AK175" s="101" t="n">
        <f aca="false">AG175*V175*3600/O175</f>
        <v>8.51851851851852</v>
      </c>
      <c r="AL175" s="102" t="n">
        <f aca="false">AJ175/AK175</f>
        <v>1.05652173913043</v>
      </c>
      <c r="AM175" s="99" t="n">
        <f aca="false">AE175*AL175*AH175</f>
        <v>1.00116490166415</v>
      </c>
      <c r="AN175" s="103" t="s">
        <v>458</v>
      </c>
      <c r="AO175" s="104" t="s">
        <v>459</v>
      </c>
      <c r="AP175" s="105" t="n">
        <v>0</v>
      </c>
      <c r="AQ175" s="105" t="n">
        <v>0</v>
      </c>
      <c r="AR175" s="105" t="n">
        <v>0</v>
      </c>
      <c r="AS175" s="105" t="n">
        <v>0</v>
      </c>
      <c r="AT175" s="105" t="n">
        <v>0</v>
      </c>
      <c r="AU175" s="105" t="n">
        <v>0</v>
      </c>
      <c r="AV175" s="105" t="n">
        <v>0</v>
      </c>
      <c r="AW175" s="105" t="n">
        <v>0</v>
      </c>
      <c r="AX175" s="105" t="n">
        <v>0</v>
      </c>
      <c r="AY175" s="105" t="n">
        <v>0</v>
      </c>
      <c r="AZ175" s="105" t="n">
        <v>20</v>
      </c>
      <c r="BA175" s="105" t="n">
        <v>0</v>
      </c>
      <c r="BB175" s="105" t="n">
        <v>0</v>
      </c>
      <c r="BC175" s="105" t="n">
        <v>0</v>
      </c>
      <c r="BD175" s="105" t="n">
        <v>0</v>
      </c>
      <c r="BE175" s="105" t="n">
        <v>0</v>
      </c>
      <c r="BF175" s="105" t="n">
        <v>0</v>
      </c>
      <c r="BG175" s="105" t="n">
        <v>0</v>
      </c>
      <c r="BH175" s="105" t="n">
        <v>0</v>
      </c>
      <c r="BI175" s="105" t="n">
        <v>0</v>
      </c>
      <c r="BJ175" s="105" t="n">
        <v>0</v>
      </c>
      <c r="BK175" s="105" t="n">
        <v>0</v>
      </c>
      <c r="BL175" s="105" t="n">
        <v>0</v>
      </c>
      <c r="BM175" s="105" t="n">
        <v>0</v>
      </c>
      <c r="BN175" s="105" t="n">
        <v>0</v>
      </c>
      <c r="BO175" s="105" t="n">
        <v>0</v>
      </c>
      <c r="BP175" s="105" t="n">
        <v>0</v>
      </c>
      <c r="BQ175" s="105" t="n">
        <v>0</v>
      </c>
      <c r="BR175" s="106" t="n">
        <f aca="false">SUM(AP175:BQ175)/60</f>
        <v>0.333333333333333</v>
      </c>
      <c r="BS175" s="106" t="n">
        <f aca="false">SUM(AP175:BR175)/60</f>
        <v>0.338888888888889</v>
      </c>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20"/>
      <c r="CX175" s="120"/>
      <c r="CY175" s="120"/>
      <c r="CZ175" s="120"/>
      <c r="DA175" s="120"/>
      <c r="DB175" s="120"/>
      <c r="DC175" s="120"/>
      <c r="DD175" s="120"/>
      <c r="DE175" s="120"/>
      <c r="DF175" s="120"/>
      <c r="DG175" s="120"/>
      <c r="DH175" s="120"/>
      <c r="DI175" s="120"/>
      <c r="DJ175" s="120"/>
      <c r="DK175" s="120"/>
      <c r="DL175" s="120"/>
      <c r="DM175" s="120"/>
      <c r="DN175" s="120"/>
      <c r="DO175" s="120"/>
      <c r="DP175" s="120"/>
      <c r="DQ175" s="120"/>
      <c r="DR175" s="120"/>
      <c r="DS175" s="120"/>
      <c r="DT175" s="120"/>
      <c r="DU175" s="120"/>
      <c r="DV175" s="120"/>
      <c r="DW175" s="120"/>
      <c r="DX175" s="120"/>
      <c r="DY175" s="120"/>
      <c r="DZ175" s="120"/>
      <c r="EA175" s="120"/>
      <c r="EB175" s="120"/>
      <c r="EC175" s="120"/>
      <c r="ED175" s="120"/>
      <c r="EE175" s="120"/>
      <c r="EF175" s="120"/>
      <c r="EG175" s="120"/>
      <c r="EH175" s="120"/>
      <c r="EI175" s="120"/>
      <c r="EJ175" s="120"/>
      <c r="EK175" s="120"/>
      <c r="EL175" s="120"/>
      <c r="EM175" s="120"/>
      <c r="EN175" s="120"/>
      <c r="EO175" s="120"/>
      <c r="EP175" s="120"/>
      <c r="EQ175" s="120"/>
      <c r="ER175" s="120"/>
      <c r="ES175" s="120"/>
      <c r="ET175" s="120"/>
      <c r="EU175" s="120"/>
      <c r="EV175" s="120"/>
      <c r="EW175" s="120"/>
      <c r="EX175" s="120"/>
      <c r="EY175" s="120"/>
      <c r="EZ175" s="120"/>
      <c r="FA175" s="120"/>
      <c r="FB175" s="120"/>
      <c r="FC175" s="120"/>
      <c r="FD175" s="120"/>
      <c r="FE175" s="120"/>
      <c r="FF175" s="120"/>
      <c r="FG175" s="120"/>
      <c r="FH175" s="120"/>
      <c r="FI175" s="120"/>
      <c r="FJ175" s="120"/>
      <c r="FK175" s="120"/>
      <c r="FL175" s="120"/>
      <c r="FM175" s="120"/>
      <c r="FN175" s="120"/>
      <c r="FO175" s="120"/>
      <c r="FP175" s="120"/>
      <c r="FQ175" s="120"/>
      <c r="FR175" s="120"/>
      <c r="FS175" s="120"/>
      <c r="FT175" s="120"/>
      <c r="FU175" s="120"/>
    </row>
    <row r="176" customFormat="false" ht="15.65" hidden="true" customHeight="true" outlineLevel="0" collapsed="false">
      <c r="A176" s="74" t="n">
        <f aca="false">MONTH(B176)</f>
        <v>8</v>
      </c>
      <c r="B176" s="75" t="n">
        <v>44426</v>
      </c>
      <c r="C176" s="76" t="s">
        <v>51</v>
      </c>
      <c r="D176" s="77" t="str">
        <f aca="false">IFERROR(VLOOKUP(E:E,'Item Data Support Sheet'!A:O,7,0),"")</f>
        <v>NIPPLE MOLDED</v>
      </c>
      <c r="E176" s="108" t="s">
        <v>244</v>
      </c>
      <c r="F176" s="123"/>
      <c r="G176" s="77"/>
      <c r="H176" s="79" t="str">
        <f aca="false">IFERROR(VLOOKUP(E:E,'Item Data Support Sheet'!A:O,2,0),"")</f>
        <v>NIPPLE S TYPE S SIZE INJECTION</v>
      </c>
      <c r="I176" s="108" t="s">
        <v>460</v>
      </c>
      <c r="J176" s="80" t="s">
        <v>148</v>
      </c>
      <c r="K176" s="126" t="n">
        <v>8</v>
      </c>
      <c r="L176" s="124" t="n">
        <v>4815</v>
      </c>
      <c r="M176" s="83" t="n">
        <f aca="false">IFERROR(L176/K176,0)</f>
        <v>601.875</v>
      </c>
      <c r="N176" s="84" t="n">
        <f aca="false">+O176+Q176+T176+U176</f>
        <v>5138</v>
      </c>
      <c r="O176" s="85" t="n">
        <v>5000</v>
      </c>
      <c r="P176" s="86" t="n">
        <v>0</v>
      </c>
      <c r="Q176" s="87" t="n">
        <v>90</v>
      </c>
      <c r="R176" s="88" t="n">
        <v>0</v>
      </c>
      <c r="S176" s="88" t="n">
        <v>0</v>
      </c>
      <c r="T176" s="88" t="n">
        <v>40</v>
      </c>
      <c r="U176" s="88" t="n">
        <v>8</v>
      </c>
      <c r="V176" s="89" t="n">
        <v>1</v>
      </c>
      <c r="W176" s="90" t="n">
        <f aca="false">IFERROR(O176/V176,0)</f>
        <v>5000</v>
      </c>
      <c r="X176" s="91" t="n">
        <f aca="false">O176/L176</f>
        <v>1.03842159916926</v>
      </c>
      <c r="Y176" s="92" t="str">
        <f aca="false">IFERROR(VLOOKUP(E:E,'Item Data Support Sheet'!A:J,6,0),0)</f>
        <v>Silicon</v>
      </c>
      <c r="Z176" s="93" t="n">
        <f aca="false">IFERROR(VLOOKUP(E:E,'Item Data Support Sheet'!A:O,4,0),0)</f>
        <v>6.8</v>
      </c>
      <c r="AA176" s="93" t="n">
        <f aca="false">IFERROR(((N176)*(Z176/1000))+P176,0)</f>
        <v>34.9384</v>
      </c>
      <c r="AB176" s="94" t="n">
        <f aca="false">IFERROR((O176*(Z176/1000)/(AA176))," ")</f>
        <v>0.973141300116777</v>
      </c>
      <c r="AC176" s="95" t="n">
        <f aca="false">IFERROR((T176)/((T176)+O176),0)</f>
        <v>0.00793650793650794</v>
      </c>
      <c r="AD176" s="96" t="n">
        <f aca="false">IFERROR(Q176/(Q176+N176),0)</f>
        <v>0.0172149961744453</v>
      </c>
      <c r="AE176" s="91" t="n">
        <f aca="false">(N176-T176)/N176</f>
        <v>0.992214869599066</v>
      </c>
      <c r="AF176" s="97" t="n">
        <f aca="false">BR176</f>
        <v>0</v>
      </c>
      <c r="AG176" s="98" t="n">
        <f aca="false">K176-AF176</f>
        <v>8</v>
      </c>
      <c r="AH176" s="99" t="n">
        <f aca="false">IFERROR(AG176/K176," ")</f>
        <v>1</v>
      </c>
      <c r="AI176" s="100" t="n">
        <f aca="false">IFERROR(O176/K176,0)</f>
        <v>625</v>
      </c>
      <c r="AJ176" s="101" t="n">
        <f aca="false">VLOOKUP(D176,'Standard Cycle time'!C:D,2,0)</f>
        <v>5.25</v>
      </c>
      <c r="AK176" s="101" t="n">
        <f aca="false">AG176*V176*3600/O176</f>
        <v>5.76</v>
      </c>
      <c r="AL176" s="102" t="n">
        <f aca="false">AJ176/AK176</f>
        <v>0.911458333333333</v>
      </c>
      <c r="AM176" s="99" t="n">
        <f aca="false">AE176*AL176*AH176</f>
        <v>0.904362511353315</v>
      </c>
      <c r="AN176" s="103" t="n">
        <v>2484</v>
      </c>
      <c r="AO176" s="104" t="s">
        <v>461</v>
      </c>
      <c r="AP176" s="105" t="n">
        <v>0</v>
      </c>
      <c r="AQ176" s="105" t="n">
        <v>0</v>
      </c>
      <c r="AR176" s="105" t="n">
        <v>0</v>
      </c>
      <c r="AS176" s="105" t="n">
        <v>0</v>
      </c>
      <c r="AT176" s="105" t="n">
        <v>0</v>
      </c>
      <c r="AU176" s="105" t="n">
        <v>0</v>
      </c>
      <c r="AV176" s="105" t="n">
        <v>0</v>
      </c>
      <c r="AW176" s="105" t="n">
        <v>0</v>
      </c>
      <c r="AX176" s="105" t="n">
        <v>0</v>
      </c>
      <c r="AY176" s="105" t="n">
        <v>0</v>
      </c>
      <c r="AZ176" s="105" t="n">
        <v>0</v>
      </c>
      <c r="BA176" s="105" t="n">
        <v>0</v>
      </c>
      <c r="BB176" s="105" t="n">
        <v>0</v>
      </c>
      <c r="BC176" s="105" t="n">
        <v>0</v>
      </c>
      <c r="BD176" s="105" t="n">
        <v>0</v>
      </c>
      <c r="BE176" s="105" t="n">
        <v>0</v>
      </c>
      <c r="BF176" s="105" t="n">
        <v>0</v>
      </c>
      <c r="BG176" s="105" t="n">
        <v>0</v>
      </c>
      <c r="BH176" s="105" t="n">
        <v>0</v>
      </c>
      <c r="BI176" s="105" t="n">
        <v>0</v>
      </c>
      <c r="BJ176" s="105" t="n">
        <v>0</v>
      </c>
      <c r="BK176" s="105" t="n">
        <v>0</v>
      </c>
      <c r="BL176" s="105" t="n">
        <v>0</v>
      </c>
      <c r="BM176" s="105" t="n">
        <v>0</v>
      </c>
      <c r="BN176" s="105" t="n">
        <v>0</v>
      </c>
      <c r="BO176" s="105" t="n">
        <v>0</v>
      </c>
      <c r="BP176" s="105" t="n">
        <v>0</v>
      </c>
      <c r="BQ176" s="105" t="n">
        <v>0</v>
      </c>
      <c r="BR176" s="106" t="n">
        <f aca="false">SUM(AP176:BQ176)/60</f>
        <v>0</v>
      </c>
      <c r="BS176" s="106" t="n">
        <f aca="false">SUM(AP176:BR176)/60</f>
        <v>0</v>
      </c>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20"/>
      <c r="CX176" s="120"/>
      <c r="CY176" s="120"/>
      <c r="CZ176" s="120"/>
      <c r="DA176" s="120"/>
      <c r="DB176" s="120"/>
      <c r="DC176" s="120"/>
      <c r="DD176" s="120"/>
      <c r="DE176" s="120"/>
      <c r="DF176" s="120"/>
      <c r="DG176" s="120"/>
      <c r="DH176" s="120"/>
      <c r="DI176" s="120"/>
      <c r="DJ176" s="120"/>
      <c r="DK176" s="120"/>
      <c r="DL176" s="120"/>
      <c r="DM176" s="120"/>
      <c r="DN176" s="120"/>
      <c r="DO176" s="120"/>
      <c r="DP176" s="120"/>
      <c r="DQ176" s="120"/>
      <c r="DR176" s="120"/>
      <c r="DS176" s="120"/>
      <c r="DT176" s="120"/>
      <c r="DU176" s="120"/>
      <c r="DV176" s="120"/>
      <c r="DW176" s="120"/>
      <c r="DX176" s="120"/>
      <c r="DY176" s="120"/>
      <c r="DZ176" s="120"/>
      <c r="EA176" s="120"/>
      <c r="EB176" s="120"/>
      <c r="EC176" s="120"/>
      <c r="ED176" s="120"/>
      <c r="EE176" s="120"/>
      <c r="EF176" s="120"/>
      <c r="EG176" s="120"/>
      <c r="EH176" s="120"/>
      <c r="EI176" s="120"/>
      <c r="EJ176" s="120"/>
      <c r="EK176" s="120"/>
      <c r="EL176" s="120"/>
      <c r="EM176" s="120"/>
      <c r="EN176" s="120"/>
      <c r="EO176" s="120"/>
      <c r="EP176" s="120"/>
      <c r="EQ176" s="120"/>
      <c r="ER176" s="120"/>
      <c r="ES176" s="120"/>
      <c r="ET176" s="120"/>
      <c r="EU176" s="120"/>
      <c r="EV176" s="120"/>
      <c r="EW176" s="120"/>
      <c r="EX176" s="120"/>
      <c r="EY176" s="120"/>
      <c r="EZ176" s="120"/>
      <c r="FA176" s="120"/>
      <c r="FB176" s="120"/>
      <c r="FC176" s="120"/>
      <c r="FD176" s="120"/>
      <c r="FE176" s="120"/>
      <c r="FF176" s="120"/>
      <c r="FG176" s="120"/>
      <c r="FH176" s="120"/>
      <c r="FI176" s="120"/>
      <c r="FJ176" s="120"/>
      <c r="FK176" s="120"/>
      <c r="FL176" s="120"/>
      <c r="FM176" s="120"/>
      <c r="FN176" s="120"/>
      <c r="FO176" s="120"/>
      <c r="FP176" s="120"/>
      <c r="FQ176" s="120"/>
      <c r="FR176" s="120"/>
      <c r="FS176" s="120"/>
      <c r="FT176" s="120"/>
      <c r="FU176" s="120"/>
    </row>
    <row r="177" customFormat="false" ht="28.35" hidden="true" customHeight="false" outlineLevel="0" collapsed="false">
      <c r="A177" s="74" t="n">
        <f aca="false">MONTH(B177)</f>
        <v>8</v>
      </c>
      <c r="B177" s="75" t="n">
        <v>44426</v>
      </c>
      <c r="C177" s="76" t="s">
        <v>51</v>
      </c>
      <c r="D177" s="77" t="str">
        <f aca="false">IFERROR(VLOOKUP(E:E,'Item Data Support Sheet'!A:O,7,0),"")</f>
        <v>BOTTLE MOLDED</v>
      </c>
      <c r="E177" s="80" t="s">
        <v>69</v>
      </c>
      <c r="F177" s="123" t="s">
        <v>73</v>
      </c>
      <c r="G177" s="77" t="s">
        <v>74</v>
      </c>
      <c r="H177" s="79" t="str">
        <f aca="false">IFERROR(VLOOKUP(E:E,'Item Data Support Sheet'!A:O,2,0),"")</f>
        <v>KPP 240 ML BOTTLE MOLDED</v>
      </c>
      <c r="I177" s="80" t="s">
        <v>462</v>
      </c>
      <c r="J177" s="80" t="s">
        <v>148</v>
      </c>
      <c r="K177" s="81" t="n">
        <v>8</v>
      </c>
      <c r="L177" s="124" t="n">
        <v>2574</v>
      </c>
      <c r="M177" s="83" t="n">
        <f aca="false">IFERROR(L177/K177,0)</f>
        <v>321.75</v>
      </c>
      <c r="N177" s="84" t="n">
        <f aca="false">+O177+Q177+T177+U177</f>
        <v>3270</v>
      </c>
      <c r="O177" s="85" t="n">
        <v>3132</v>
      </c>
      <c r="P177" s="86" t="n">
        <v>0.18</v>
      </c>
      <c r="Q177" s="87" t="n">
        <v>58</v>
      </c>
      <c r="R177" s="88" t="n">
        <v>0</v>
      </c>
      <c r="S177" s="88" t="n">
        <v>0</v>
      </c>
      <c r="T177" s="88" t="n">
        <v>72</v>
      </c>
      <c r="U177" s="88" t="n">
        <v>8</v>
      </c>
      <c r="V177" s="89" t="n">
        <v>1</v>
      </c>
      <c r="W177" s="90" t="n">
        <f aca="false">IFERROR(O177/V177,0)</f>
        <v>3132</v>
      </c>
      <c r="X177" s="91" t="n">
        <f aca="false">O177/L177</f>
        <v>1.21678321678322</v>
      </c>
      <c r="Y177" s="92" t="str">
        <f aca="false">IFERROR(VLOOKUP(E:E,'Item Data Support Sheet'!A:J,6,0),0)</f>
        <v>HMC</v>
      </c>
      <c r="Z177" s="93" t="n">
        <f aca="false">IFERROR(VLOOKUP(E:E,'Item Data Support Sheet'!A:O,4,0),0)</f>
        <v>32.1</v>
      </c>
      <c r="AA177" s="93" t="n">
        <f aca="false">IFERROR(((N177)*(Z177/1000))+P177,0)</f>
        <v>105.147</v>
      </c>
      <c r="AB177" s="94" t="n">
        <f aca="false">IFERROR((O177*(Z177/1000)/(AA177))," ")</f>
        <v>0.956158520927844</v>
      </c>
      <c r="AC177" s="95" t="n">
        <f aca="false">IFERROR((T177)/((T177)+O177),0)</f>
        <v>0.0224719101123595</v>
      </c>
      <c r="AD177" s="96" t="n">
        <f aca="false">IFERROR(Q177/(Q177+N177),0)</f>
        <v>0.0174278846153846</v>
      </c>
      <c r="AE177" s="91" t="n">
        <f aca="false">(N177-T177)/N177</f>
        <v>0.977981651376147</v>
      </c>
      <c r="AF177" s="97" t="n">
        <f aca="false">BR177</f>
        <v>0</v>
      </c>
      <c r="AG177" s="98" t="n">
        <f aca="false">K177-AF177</f>
        <v>8</v>
      </c>
      <c r="AH177" s="99" t="n">
        <f aca="false">IFERROR(AG177/K177," ")</f>
        <v>1</v>
      </c>
      <c r="AI177" s="100" t="n">
        <f aca="false">IFERROR(O177/K177,0)</f>
        <v>391.5</v>
      </c>
      <c r="AJ177" s="101" t="n">
        <f aca="false">VLOOKUP(D177,'Standard Cycle time'!C:D,2,0)</f>
        <v>9</v>
      </c>
      <c r="AK177" s="101" t="n">
        <f aca="false">AG177*V177*3600/O177</f>
        <v>9.19540229885057</v>
      </c>
      <c r="AL177" s="102" t="n">
        <f aca="false">AJ177/AK177</f>
        <v>0.97875</v>
      </c>
      <c r="AM177" s="99" t="n">
        <f aca="false">AE177*AL177*AH177</f>
        <v>0.957199541284404</v>
      </c>
      <c r="AN177" s="103" t="n">
        <v>2485</v>
      </c>
      <c r="AO177" s="104" t="s">
        <v>463</v>
      </c>
      <c r="AP177" s="105" t="n">
        <v>0</v>
      </c>
      <c r="AQ177" s="105" t="n">
        <v>0</v>
      </c>
      <c r="AR177" s="105" t="n">
        <v>0</v>
      </c>
      <c r="AS177" s="105" t="n">
        <v>0</v>
      </c>
      <c r="AT177" s="105" t="n">
        <v>0</v>
      </c>
      <c r="AU177" s="105" t="n">
        <v>0</v>
      </c>
      <c r="AV177" s="105" t="n">
        <v>0</v>
      </c>
      <c r="AW177" s="105" t="n">
        <v>0</v>
      </c>
      <c r="AX177" s="105" t="n">
        <v>0</v>
      </c>
      <c r="AY177" s="105" t="n">
        <v>0</v>
      </c>
      <c r="AZ177" s="105" t="n">
        <v>0</v>
      </c>
      <c r="BA177" s="105" t="n">
        <v>0</v>
      </c>
      <c r="BB177" s="105" t="n">
        <v>0</v>
      </c>
      <c r="BC177" s="105" t="n">
        <v>0</v>
      </c>
      <c r="BD177" s="105" t="n">
        <v>0</v>
      </c>
      <c r="BE177" s="105" t="n">
        <v>0</v>
      </c>
      <c r="BF177" s="105" t="n">
        <v>0</v>
      </c>
      <c r="BG177" s="105" t="n">
        <v>0</v>
      </c>
      <c r="BH177" s="105" t="n">
        <v>0</v>
      </c>
      <c r="BI177" s="105" t="n">
        <v>0</v>
      </c>
      <c r="BJ177" s="105" t="n">
        <v>0</v>
      </c>
      <c r="BK177" s="105" t="n">
        <v>0</v>
      </c>
      <c r="BL177" s="105" t="n">
        <v>0</v>
      </c>
      <c r="BM177" s="105" t="n">
        <v>0</v>
      </c>
      <c r="BN177" s="105" t="n">
        <v>0</v>
      </c>
      <c r="BO177" s="105" t="n">
        <v>0</v>
      </c>
      <c r="BP177" s="105" t="n">
        <v>0</v>
      </c>
      <c r="BQ177" s="105" t="n">
        <v>0</v>
      </c>
      <c r="BR177" s="106" t="n">
        <f aca="false">SUM(AP177:BQ177)/60</f>
        <v>0</v>
      </c>
      <c r="BS177" s="106" t="n">
        <f aca="false">SUM(AP177:BR177)/60</f>
        <v>0</v>
      </c>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row>
    <row r="178" customFormat="false" ht="14.9" hidden="true" customHeight="false" outlineLevel="0" collapsed="false">
      <c r="A178" s="74" t="n">
        <f aca="false">MONTH(B178)</f>
        <v>8</v>
      </c>
      <c r="B178" s="75" t="n">
        <v>44426</v>
      </c>
      <c r="C178" s="76" t="s">
        <v>51</v>
      </c>
      <c r="D178" s="77" t="str">
        <f aca="false">IFERROR(VLOOKUP(E:E,'Item Data Support Sheet'!A:O,7,0),"")</f>
        <v>NIPPLE PUNCH</v>
      </c>
      <c r="E178" s="80" t="s">
        <v>53</v>
      </c>
      <c r="F178" s="122"/>
      <c r="G178" s="77"/>
      <c r="H178" s="79" t="str">
        <f aca="false">IFERROR(VLOOKUP(E:E,'Item Data Support Sheet'!A:O,2,0),"")</f>
        <v>NIPPLE S TYPE S SIZE PUNCHED</v>
      </c>
      <c r="I178" s="80" t="s">
        <v>464</v>
      </c>
      <c r="J178" s="80" t="s">
        <v>148</v>
      </c>
      <c r="K178" s="81" t="n">
        <v>8</v>
      </c>
      <c r="L178" s="124" t="n">
        <v>7000</v>
      </c>
      <c r="M178" s="83" t="n">
        <f aca="false">IFERROR(L178/K178,0)</f>
        <v>875</v>
      </c>
      <c r="N178" s="84" t="n">
        <f aca="false">+O178+Q178+T178+U178</f>
        <v>7000</v>
      </c>
      <c r="O178" s="85" t="n">
        <v>7000</v>
      </c>
      <c r="P178" s="86" t="n">
        <v>0</v>
      </c>
      <c r="Q178" s="87" t="n">
        <v>0</v>
      </c>
      <c r="R178" s="88" t="n">
        <v>0</v>
      </c>
      <c r="S178" s="88" t="n">
        <v>0</v>
      </c>
      <c r="T178" s="88" t="n">
        <v>0</v>
      </c>
      <c r="U178" s="88" t="n">
        <v>0</v>
      </c>
      <c r="V178" s="89" t="n">
        <v>1</v>
      </c>
      <c r="W178" s="90" t="n">
        <f aca="false">IFERROR(O178/V178,0)</f>
        <v>7000</v>
      </c>
      <c r="X178" s="91" t="n">
        <f aca="false">O178/L178</f>
        <v>1</v>
      </c>
      <c r="Y178" s="92" t="str">
        <f aca="false">IFERROR(VLOOKUP(E:E,'Item Data Support Sheet'!A:J,6,0),0)</f>
        <v>FO015</v>
      </c>
      <c r="Z178" s="93" t="n">
        <f aca="false">IFERROR(VLOOKUP(E:E,'Item Data Support Sheet'!A:O,4,0),0)</f>
        <v>0</v>
      </c>
      <c r="AA178" s="93" t="n">
        <f aca="false">IFERROR(((N178)*(Z178/1000))+P178,0)</f>
        <v>0</v>
      </c>
      <c r="AB178" s="94" t="str">
        <f aca="false">IFERROR((O178*(Z178/1000)/(AA178))," ")</f>
        <v> </v>
      </c>
      <c r="AC178" s="95" t="n">
        <f aca="false">IFERROR((T178)/((T178)+O178),0)</f>
        <v>0</v>
      </c>
      <c r="AD178" s="96" t="n">
        <f aca="false">IFERROR(Q178/(Q178+N178),0)</f>
        <v>0</v>
      </c>
      <c r="AE178" s="91" t="n">
        <f aca="false">(N178-T178)/N178</f>
        <v>1</v>
      </c>
      <c r="AF178" s="97" t="n">
        <f aca="false">BR178</f>
        <v>0.666666666666667</v>
      </c>
      <c r="AG178" s="98" t="n">
        <f aca="false">K178-AF178</f>
        <v>7.33333333333333</v>
      </c>
      <c r="AH178" s="99" t="n">
        <f aca="false">IFERROR(AG178/K178," ")</f>
        <v>0.916666666666667</v>
      </c>
      <c r="AI178" s="100" t="n">
        <f aca="false">IFERROR(O178/K178,0)</f>
        <v>875</v>
      </c>
      <c r="AJ178" s="101" t="n">
        <f aca="false">VLOOKUP(D178,'Standard Cycle time'!C:D,2,0)</f>
        <v>3.5</v>
      </c>
      <c r="AK178" s="101" t="n">
        <f aca="false">AG178*V178*3600/O178</f>
        <v>3.77142857142857</v>
      </c>
      <c r="AL178" s="102" t="n">
        <f aca="false">AJ178/AK178</f>
        <v>0.928030303030303</v>
      </c>
      <c r="AM178" s="99" t="n">
        <f aca="false">AE178*AL178*AH178</f>
        <v>0.850694444444444</v>
      </c>
      <c r="AN178" s="103" t="s">
        <v>465</v>
      </c>
      <c r="AO178" s="109" t="s">
        <v>461</v>
      </c>
      <c r="AP178" s="105" t="n">
        <v>40</v>
      </c>
      <c r="AQ178" s="105" t="n">
        <v>0</v>
      </c>
      <c r="AR178" s="105" t="n">
        <v>0</v>
      </c>
      <c r="AS178" s="105" t="n">
        <v>0</v>
      </c>
      <c r="AT178" s="105" t="n">
        <v>0</v>
      </c>
      <c r="AU178" s="105" t="n">
        <v>0</v>
      </c>
      <c r="AV178" s="105" t="n">
        <v>0</v>
      </c>
      <c r="AW178" s="105" t="n">
        <v>0</v>
      </c>
      <c r="AX178" s="105" t="n">
        <v>0</v>
      </c>
      <c r="AY178" s="105" t="n">
        <v>0</v>
      </c>
      <c r="AZ178" s="105" t="n">
        <v>0</v>
      </c>
      <c r="BA178" s="105" t="n">
        <v>0</v>
      </c>
      <c r="BB178" s="105" t="n">
        <v>0</v>
      </c>
      <c r="BC178" s="105" t="n">
        <v>0</v>
      </c>
      <c r="BD178" s="105" t="n">
        <v>0</v>
      </c>
      <c r="BE178" s="105" t="n">
        <v>0</v>
      </c>
      <c r="BF178" s="105" t="n">
        <v>0</v>
      </c>
      <c r="BG178" s="105" t="n">
        <v>0</v>
      </c>
      <c r="BH178" s="105" t="n">
        <v>0</v>
      </c>
      <c r="BI178" s="105" t="n">
        <v>0</v>
      </c>
      <c r="BJ178" s="105" t="n">
        <v>0</v>
      </c>
      <c r="BK178" s="105" t="n">
        <v>0</v>
      </c>
      <c r="BL178" s="105" t="n">
        <v>0</v>
      </c>
      <c r="BM178" s="105" t="n">
        <v>0</v>
      </c>
      <c r="BN178" s="105" t="n">
        <v>0</v>
      </c>
      <c r="BO178" s="105" t="n">
        <v>0</v>
      </c>
      <c r="BP178" s="105" t="n">
        <v>0</v>
      </c>
      <c r="BQ178" s="105" t="n">
        <v>0</v>
      </c>
      <c r="BR178" s="106" t="n">
        <f aca="false">SUM(AP178:BQ178)/60</f>
        <v>0.666666666666667</v>
      </c>
      <c r="BS178" s="106" t="n">
        <f aca="false">SUM(AP178:BR178)/60</f>
        <v>0.677777777777778</v>
      </c>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row>
    <row r="179" customFormat="false" ht="14.9" hidden="true" customHeight="false" outlineLevel="0" collapsed="false">
      <c r="A179" s="74" t="n">
        <f aca="false">MONTH(B179)</f>
        <v>8</v>
      </c>
      <c r="B179" s="75" t="n">
        <v>44426</v>
      </c>
      <c r="C179" s="76" t="s">
        <v>51</v>
      </c>
      <c r="D179" s="77" t="str">
        <f aca="false">IFERROR(VLOOKUP(E:E,'Item Data Support Sheet'!A:O,7,0),"")</f>
        <v>NIPPLE POSTCURE</v>
      </c>
      <c r="E179" s="80" t="s">
        <v>57</v>
      </c>
      <c r="F179" s="122"/>
      <c r="G179" s="77"/>
      <c r="H179" s="79" t="str">
        <f aca="false">IFERROR(VLOOKUP(E:E,'Item Data Support Sheet'!A:O,2,0),"")</f>
        <v>NIPPLE S TYPE S SIZE POSTCURED</v>
      </c>
      <c r="I179" s="80" t="s">
        <v>466</v>
      </c>
      <c r="J179" s="80" t="s">
        <v>148</v>
      </c>
      <c r="K179" s="81" t="n">
        <v>2</v>
      </c>
      <c r="L179" s="124" t="n">
        <v>3000</v>
      </c>
      <c r="M179" s="83" t="n">
        <f aca="false">IFERROR(L179/K179,0)</f>
        <v>1500</v>
      </c>
      <c r="N179" s="84" t="n">
        <f aca="false">+O179+Q179+T179+U179</f>
        <v>3300</v>
      </c>
      <c r="O179" s="85" t="n">
        <v>3300</v>
      </c>
      <c r="P179" s="86" t="n">
        <v>0</v>
      </c>
      <c r="Q179" s="87" t="n">
        <v>0</v>
      </c>
      <c r="R179" s="88" t="n">
        <v>0</v>
      </c>
      <c r="S179" s="88" t="n">
        <v>0</v>
      </c>
      <c r="T179" s="88" t="n">
        <v>0</v>
      </c>
      <c r="U179" s="88" t="n">
        <v>0</v>
      </c>
      <c r="V179" s="89" t="n">
        <v>1</v>
      </c>
      <c r="W179" s="90" t="n">
        <f aca="false">IFERROR(O179/V179,0)</f>
        <v>3300</v>
      </c>
      <c r="X179" s="91" t="n">
        <f aca="false">O179/L179</f>
        <v>1.1</v>
      </c>
      <c r="Y179" s="92" t="str">
        <f aca="false">IFERROR(VLOOKUP(E:E,'Item Data Support Sheet'!A:J,6,0),0)</f>
        <v>FO011</v>
      </c>
      <c r="Z179" s="93" t="n">
        <f aca="false">IFERROR(VLOOKUP(E:E,'Item Data Support Sheet'!A:O,4,0),0)</f>
        <v>0</v>
      </c>
      <c r="AA179" s="93" t="n">
        <f aca="false">IFERROR(((N179)*(Z179/1000))+P179,0)</f>
        <v>0</v>
      </c>
      <c r="AB179" s="94" t="str">
        <f aca="false">IFERROR((O179*(Z179/1000)/(AA179))," ")</f>
        <v> </v>
      </c>
      <c r="AC179" s="95" t="n">
        <f aca="false">IFERROR((T179)/((T179)+O179),0)</f>
        <v>0</v>
      </c>
      <c r="AD179" s="96" t="n">
        <f aca="false">IFERROR(Q179/(Q179+N179),0)</f>
        <v>0</v>
      </c>
      <c r="AE179" s="91" t="n">
        <f aca="false">(N179-T179)/N179</f>
        <v>1</v>
      </c>
      <c r="AF179" s="97" t="n">
        <f aca="false">BR179</f>
        <v>0</v>
      </c>
      <c r="AG179" s="98" t="n">
        <f aca="false">K179-AF179</f>
        <v>2</v>
      </c>
      <c r="AH179" s="99" t="n">
        <f aca="false">IFERROR(AG179/K179," ")</f>
        <v>1</v>
      </c>
      <c r="AI179" s="100" t="n">
        <f aca="false">IFERROR(O179/K179,0)</f>
        <v>1650</v>
      </c>
      <c r="AJ179" s="101" t="n">
        <f aca="false">VLOOKUP(D179,'Standard Cycle time'!C:D,2,0)</f>
        <v>2.3</v>
      </c>
      <c r="AK179" s="101" t="n">
        <f aca="false">AG179*V179*3600/O179</f>
        <v>2.18181818181818</v>
      </c>
      <c r="AL179" s="102" t="n">
        <f aca="false">AJ179/AK179</f>
        <v>1.05416666666667</v>
      </c>
      <c r="AM179" s="99" t="n">
        <f aca="false">AE179*AL179*AH179</f>
        <v>1.05416666666667</v>
      </c>
      <c r="AN179" s="103" t="n">
        <v>2486</v>
      </c>
      <c r="AO179" s="109" t="s">
        <v>313</v>
      </c>
      <c r="AP179" s="105" t="n">
        <v>0</v>
      </c>
      <c r="AQ179" s="105" t="n">
        <v>0</v>
      </c>
      <c r="AR179" s="105" t="n">
        <v>0</v>
      </c>
      <c r="AS179" s="105" t="n">
        <v>0</v>
      </c>
      <c r="AT179" s="105" t="n">
        <v>0</v>
      </c>
      <c r="AU179" s="105" t="n">
        <v>0</v>
      </c>
      <c r="AV179" s="105" t="n">
        <v>0</v>
      </c>
      <c r="AW179" s="105" t="n">
        <v>0</v>
      </c>
      <c r="AX179" s="105" t="n">
        <v>0</v>
      </c>
      <c r="AY179" s="105" t="n">
        <v>0</v>
      </c>
      <c r="AZ179" s="105" t="n">
        <v>0</v>
      </c>
      <c r="BA179" s="105" t="n">
        <v>0</v>
      </c>
      <c r="BB179" s="105" t="n">
        <v>0</v>
      </c>
      <c r="BC179" s="105" t="n">
        <v>0</v>
      </c>
      <c r="BD179" s="105" t="n">
        <v>0</v>
      </c>
      <c r="BE179" s="105" t="n">
        <v>0</v>
      </c>
      <c r="BF179" s="105" t="n">
        <v>0</v>
      </c>
      <c r="BG179" s="105" t="n">
        <v>0</v>
      </c>
      <c r="BH179" s="105" t="n">
        <v>0</v>
      </c>
      <c r="BI179" s="105" t="n">
        <v>0</v>
      </c>
      <c r="BJ179" s="105" t="n">
        <v>0</v>
      </c>
      <c r="BK179" s="105" t="n">
        <v>0</v>
      </c>
      <c r="BL179" s="105" t="n">
        <v>0</v>
      </c>
      <c r="BM179" s="105" t="n">
        <v>0</v>
      </c>
      <c r="BN179" s="105" t="n">
        <v>0</v>
      </c>
      <c r="BO179" s="105" t="n">
        <v>0</v>
      </c>
      <c r="BP179" s="105" t="n">
        <v>0</v>
      </c>
      <c r="BQ179" s="105" t="n">
        <v>0</v>
      </c>
      <c r="BR179" s="106" t="n">
        <f aca="false">SUM(AP179:BQ179)/60</f>
        <v>0</v>
      </c>
      <c r="BS179" s="106" t="n">
        <f aca="false">SUM(AP179:BR179)/60</f>
        <v>0</v>
      </c>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row>
    <row r="180" customFormat="false" ht="14.9" hidden="true" customHeight="false" outlineLevel="0" collapsed="false">
      <c r="A180" s="74" t="n">
        <f aca="false">MONTH(B180)</f>
        <v>8</v>
      </c>
      <c r="B180" s="75" t="n">
        <v>44426</v>
      </c>
      <c r="C180" s="76" t="s">
        <v>51</v>
      </c>
      <c r="D180" s="77" t="str">
        <f aca="false">IFERROR(VLOOKUP(E:E,'Item Data Support Sheet'!A:O,7,0),"")</f>
        <v>NIPPLE LASER MARKING</v>
      </c>
      <c r="E180" s="80" t="s">
        <v>444</v>
      </c>
      <c r="F180" s="122"/>
      <c r="G180" s="77"/>
      <c r="H180" s="79" t="str">
        <f aca="false">IFERROR(VLOOKUP(E:E,'Item Data Support Sheet'!A:O,2,0),"")</f>
        <v>NIPPLE S TYPE S SIZE PUNCHED LASER MARKED</v>
      </c>
      <c r="I180" s="80" t="s">
        <v>467</v>
      </c>
      <c r="J180" s="80" t="s">
        <v>148</v>
      </c>
      <c r="K180" s="81" t="n">
        <v>5</v>
      </c>
      <c r="L180" s="124" t="n">
        <v>4375</v>
      </c>
      <c r="M180" s="83" t="n">
        <f aca="false">IFERROR(L180/K180,0)</f>
        <v>875</v>
      </c>
      <c r="N180" s="84" t="n">
        <f aca="false">+O180+Q180+T180+U180</f>
        <v>4300</v>
      </c>
      <c r="O180" s="85" t="n">
        <v>4300</v>
      </c>
      <c r="P180" s="86" t="n">
        <v>0</v>
      </c>
      <c r="Q180" s="87" t="n">
        <v>0</v>
      </c>
      <c r="R180" s="88" t="n">
        <v>0</v>
      </c>
      <c r="S180" s="88" t="n">
        <v>0</v>
      </c>
      <c r="T180" s="88" t="n">
        <v>0</v>
      </c>
      <c r="U180" s="88" t="n">
        <v>0</v>
      </c>
      <c r="V180" s="89" t="n">
        <v>1</v>
      </c>
      <c r="W180" s="90" t="n">
        <f aca="false">IFERROR(O180/V180,0)</f>
        <v>4300</v>
      </c>
      <c r="X180" s="91" t="n">
        <f aca="false">O180/L180</f>
        <v>0.982857142857143</v>
      </c>
      <c r="Y180" s="92" t="str">
        <f aca="false">IFERROR(VLOOKUP(E:E,'Item Data Support Sheet'!A:J,6,0),0)</f>
        <v>FO019</v>
      </c>
      <c r="Z180" s="93" t="n">
        <f aca="false">IFERROR(VLOOKUP(E:E,'Item Data Support Sheet'!A:O,4,0),0)</f>
        <v>0</v>
      </c>
      <c r="AA180" s="93" t="n">
        <f aca="false">IFERROR(((N180)*(Z180/1000))+P180,0)</f>
        <v>0</v>
      </c>
      <c r="AB180" s="94" t="str">
        <f aca="false">IFERROR((O180*(Z180/1000)/(AA180))," ")</f>
        <v> </v>
      </c>
      <c r="AC180" s="95" t="n">
        <f aca="false">IFERROR((T180)/((T180)+O180),0)</f>
        <v>0</v>
      </c>
      <c r="AD180" s="96" t="n">
        <f aca="false">IFERROR(Q180/(Q180+N180),0)</f>
        <v>0</v>
      </c>
      <c r="AE180" s="91" t="n">
        <f aca="false">(N180-T180)/N180</f>
        <v>1</v>
      </c>
      <c r="AF180" s="97" t="n">
        <f aca="false">BR180</f>
        <v>0.666666666666667</v>
      </c>
      <c r="AG180" s="98" t="n">
        <f aca="false">K180-AF180</f>
        <v>4.33333333333333</v>
      </c>
      <c r="AH180" s="99" t="n">
        <f aca="false">IFERROR(AG180/K180," ")</f>
        <v>0.866666666666667</v>
      </c>
      <c r="AI180" s="100" t="n">
        <f aca="false">IFERROR(O180/K180,0)</f>
        <v>860</v>
      </c>
      <c r="AJ180" s="101" t="n">
        <f aca="false">VLOOKUP(D180,'Standard Cycle time'!C:D,2,0)</f>
        <v>3.5</v>
      </c>
      <c r="AK180" s="101" t="n">
        <f aca="false">AG180*V180*3600/O180</f>
        <v>3.62790697674419</v>
      </c>
      <c r="AL180" s="102" t="n">
        <f aca="false">AJ180/AK180</f>
        <v>0.96474358974359</v>
      </c>
      <c r="AM180" s="99" t="n">
        <f aca="false">AE180*AL180*AH180</f>
        <v>0.836111111111111</v>
      </c>
      <c r="AN180" s="103" t="s">
        <v>468</v>
      </c>
      <c r="AO180" s="109" t="s">
        <v>469</v>
      </c>
      <c r="AP180" s="105" t="n">
        <v>30</v>
      </c>
      <c r="AQ180" s="105" t="n">
        <v>0</v>
      </c>
      <c r="AR180" s="105" t="n">
        <v>0</v>
      </c>
      <c r="AS180" s="105" t="n">
        <v>0</v>
      </c>
      <c r="AT180" s="105" t="n">
        <v>10</v>
      </c>
      <c r="AU180" s="105" t="n">
        <v>0</v>
      </c>
      <c r="AV180" s="105" t="n">
        <v>0</v>
      </c>
      <c r="AW180" s="105" t="n">
        <v>0</v>
      </c>
      <c r="AX180" s="105" t="n">
        <v>0</v>
      </c>
      <c r="AY180" s="105" t="n">
        <v>0</v>
      </c>
      <c r="AZ180" s="105" t="n">
        <v>0</v>
      </c>
      <c r="BA180" s="105" t="n">
        <v>0</v>
      </c>
      <c r="BB180" s="105" t="n">
        <v>0</v>
      </c>
      <c r="BC180" s="105" t="n">
        <v>0</v>
      </c>
      <c r="BD180" s="105" t="n">
        <v>0</v>
      </c>
      <c r="BE180" s="105" t="n">
        <v>0</v>
      </c>
      <c r="BF180" s="105" t="n">
        <v>0</v>
      </c>
      <c r="BG180" s="105" t="n">
        <v>0</v>
      </c>
      <c r="BH180" s="105" t="n">
        <v>0</v>
      </c>
      <c r="BI180" s="105" t="n">
        <v>0</v>
      </c>
      <c r="BJ180" s="105" t="n">
        <v>0</v>
      </c>
      <c r="BK180" s="105" t="n">
        <v>0</v>
      </c>
      <c r="BL180" s="105" t="n">
        <v>0</v>
      </c>
      <c r="BM180" s="105" t="n">
        <v>0</v>
      </c>
      <c r="BN180" s="105" t="n">
        <v>0</v>
      </c>
      <c r="BO180" s="105" t="n">
        <v>0</v>
      </c>
      <c r="BP180" s="105" t="n">
        <v>0</v>
      </c>
      <c r="BQ180" s="105" t="n">
        <v>0</v>
      </c>
      <c r="BR180" s="106" t="n">
        <f aca="false">SUM(AP180:BQ180)/60</f>
        <v>0.666666666666667</v>
      </c>
      <c r="BS180" s="106" t="n">
        <f aca="false">SUM(AP180:BR180)/60</f>
        <v>0.677777777777778</v>
      </c>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row>
    <row r="181" customFormat="false" ht="14.9" hidden="true" customHeight="false" outlineLevel="0" collapsed="false">
      <c r="A181" s="74" t="n">
        <f aca="false">MONTH(B181)</f>
        <v>8</v>
      </c>
      <c r="B181" s="75" t="n">
        <v>44426</v>
      </c>
      <c r="C181" s="76" t="s">
        <v>51</v>
      </c>
      <c r="D181" s="77" t="str">
        <f aca="false">IFERROR(VLOOKUP(E:E,'Item Data Support Sheet'!A:O,7,0),"")</f>
        <v>CAP MOLDED</v>
      </c>
      <c r="E181" s="80" t="s">
        <v>453</v>
      </c>
      <c r="F181" s="122"/>
      <c r="G181" s="77" t="s">
        <v>200</v>
      </c>
      <c r="H181" s="79" t="str">
        <f aca="false">IFERROR(VLOOKUP(E:E,'Item Data Support Sheet'!A:O,2,0),"")</f>
        <v>CAP S TYPE MOLDED WHITE</v>
      </c>
      <c r="I181" s="80" t="s">
        <v>470</v>
      </c>
      <c r="J181" s="80" t="s">
        <v>148</v>
      </c>
      <c r="K181" s="81" t="n">
        <v>8</v>
      </c>
      <c r="L181" s="124" t="n">
        <v>4137</v>
      </c>
      <c r="M181" s="83" t="n">
        <f aca="false">IFERROR(L181/K181,0)</f>
        <v>517.125</v>
      </c>
      <c r="N181" s="84" t="n">
        <f aca="false">+O181+Q181+T181+U181</f>
        <v>4012</v>
      </c>
      <c r="O181" s="85" t="n">
        <v>4000</v>
      </c>
      <c r="P181" s="86" t="n">
        <v>0</v>
      </c>
      <c r="Q181" s="87" t="n">
        <v>0</v>
      </c>
      <c r="R181" s="88" t="n">
        <v>0</v>
      </c>
      <c r="S181" s="88" t="n">
        <v>0</v>
      </c>
      <c r="T181" s="88" t="n">
        <v>4</v>
      </c>
      <c r="U181" s="88" t="n">
        <v>8</v>
      </c>
      <c r="V181" s="89" t="n">
        <v>1</v>
      </c>
      <c r="W181" s="90" t="n">
        <f aca="false">IFERROR(O181/V181,0)</f>
        <v>4000</v>
      </c>
      <c r="X181" s="91" t="n">
        <f aca="false">O181/L181</f>
        <v>0.96688421561518</v>
      </c>
      <c r="Y181" s="92" t="str">
        <f aca="false">IFERROR(VLOOKUP(E:E,'Item Data Support Sheet'!A:J,6,0),0)</f>
        <v>RM000106</v>
      </c>
      <c r="Z181" s="93" t="n">
        <f aca="false">IFERROR(VLOOKUP(E:E,'Item Data Support Sheet'!A:O,4,0),0)</f>
        <v>7.3</v>
      </c>
      <c r="AA181" s="93" t="n">
        <f aca="false">IFERROR(((N181)*(Z181/1000))+P181,0)</f>
        <v>29.2876</v>
      </c>
      <c r="AB181" s="94" t="n">
        <f aca="false">IFERROR((O181*(Z181/1000)/(AA181))," ")</f>
        <v>0.997008973080758</v>
      </c>
      <c r="AC181" s="95" t="n">
        <f aca="false">IFERROR((T181)/((T181)+O181),0)</f>
        <v>0.000999000999000999</v>
      </c>
      <c r="AD181" s="96" t="n">
        <f aca="false">IFERROR(Q181/(Q181+N181),0)</f>
        <v>0</v>
      </c>
      <c r="AE181" s="91" t="n">
        <f aca="false">(N181-T181)/N181</f>
        <v>0.999002991026919</v>
      </c>
      <c r="AF181" s="97" t="n">
        <f aca="false">BR181</f>
        <v>0.75</v>
      </c>
      <c r="AG181" s="98" t="n">
        <f aca="false">K181-AF181</f>
        <v>7.25</v>
      </c>
      <c r="AH181" s="99" t="n">
        <f aca="false">IFERROR(AG181/K181," ")</f>
        <v>0.90625</v>
      </c>
      <c r="AI181" s="100" t="n">
        <f aca="false">IFERROR(O181/K181,0)</f>
        <v>500</v>
      </c>
      <c r="AJ181" s="101" t="n">
        <f aca="false">VLOOKUP(D181,'Standard Cycle time'!C:D,2,0)</f>
        <v>6</v>
      </c>
      <c r="AK181" s="101" t="n">
        <f aca="false">AG181*V181*3600/O181</f>
        <v>6.525</v>
      </c>
      <c r="AL181" s="102" t="n">
        <f aca="false">AJ181/AK181</f>
        <v>0.919540229885057</v>
      </c>
      <c r="AM181" s="99" t="n">
        <f aca="false">AE181*AL181*AH181</f>
        <v>0.832502492522433</v>
      </c>
      <c r="AN181" s="103" t="n">
        <v>2694</v>
      </c>
      <c r="AO181" s="104"/>
      <c r="AP181" s="105" t="n">
        <v>0</v>
      </c>
      <c r="AQ181" s="105" t="n">
        <v>0</v>
      </c>
      <c r="AR181" s="105" t="n">
        <v>0</v>
      </c>
      <c r="AS181" s="105" t="n">
        <v>0</v>
      </c>
      <c r="AT181" s="105" t="n">
        <v>0</v>
      </c>
      <c r="AU181" s="105" t="n">
        <v>0</v>
      </c>
      <c r="AV181" s="105" t="n">
        <v>0</v>
      </c>
      <c r="AW181" s="105" t="n">
        <v>0</v>
      </c>
      <c r="AX181" s="105" t="n">
        <v>0</v>
      </c>
      <c r="AY181" s="105" t="n">
        <v>0</v>
      </c>
      <c r="AZ181" s="105" t="n">
        <v>45</v>
      </c>
      <c r="BA181" s="105" t="n">
        <v>0</v>
      </c>
      <c r="BB181" s="105" t="n">
        <v>0</v>
      </c>
      <c r="BC181" s="105" t="n">
        <v>0</v>
      </c>
      <c r="BD181" s="105" t="n">
        <v>0</v>
      </c>
      <c r="BE181" s="105" t="n">
        <v>0</v>
      </c>
      <c r="BF181" s="105" t="n">
        <v>0</v>
      </c>
      <c r="BG181" s="105" t="n">
        <v>0</v>
      </c>
      <c r="BH181" s="105" t="n">
        <v>0</v>
      </c>
      <c r="BI181" s="105" t="n">
        <v>0</v>
      </c>
      <c r="BJ181" s="105" t="n">
        <v>0</v>
      </c>
      <c r="BK181" s="105" t="n">
        <v>0</v>
      </c>
      <c r="BL181" s="105" t="n">
        <v>0</v>
      </c>
      <c r="BM181" s="105" t="n">
        <v>0</v>
      </c>
      <c r="BN181" s="105" t="n">
        <v>0</v>
      </c>
      <c r="BO181" s="105" t="n">
        <v>0</v>
      </c>
      <c r="BP181" s="105" t="n">
        <v>0</v>
      </c>
      <c r="BQ181" s="105" t="n">
        <v>0</v>
      </c>
      <c r="BR181" s="106" t="n">
        <f aca="false">SUM(AP181:BQ181)/60</f>
        <v>0.75</v>
      </c>
      <c r="BS181" s="106" t="n">
        <f aca="false">SUM(AP181:BR181)/60</f>
        <v>0.7625</v>
      </c>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row>
    <row r="182" customFormat="false" ht="14.9" hidden="true" customHeight="false" outlineLevel="0" collapsed="false">
      <c r="A182" s="74" t="n">
        <f aca="false">MONTH(B182)</f>
        <v>8</v>
      </c>
      <c r="B182" s="75" t="n">
        <v>44426</v>
      </c>
      <c r="C182" s="128" t="s">
        <v>63</v>
      </c>
      <c r="D182" s="77" t="str">
        <f aca="false">IFERROR(VLOOKUP(E:E,'Item Data Support Sheet'!A:O,7,0),"")</f>
        <v>NIPPLE PUNCH INSPECTED</v>
      </c>
      <c r="E182" s="80" t="s">
        <v>297</v>
      </c>
      <c r="F182" s="122"/>
      <c r="G182" s="77"/>
      <c r="H182" s="79" t="str">
        <f aca="false">IFERROR(VLOOKUP(E:E,'Item Data Support Sheet'!A:O,2,0),"")</f>
        <v>NIPPLE S TYPE S SIZE PUNCHED INSPECTED</v>
      </c>
      <c r="I182" s="80" t="s">
        <v>471</v>
      </c>
      <c r="J182" s="80" t="s">
        <v>158</v>
      </c>
      <c r="K182" s="81" t="n">
        <v>8.5</v>
      </c>
      <c r="L182" s="124" t="n">
        <v>14182</v>
      </c>
      <c r="M182" s="83" t="n">
        <f aca="false">IFERROR(L182/K182,0)</f>
        <v>1668.47058823529</v>
      </c>
      <c r="N182" s="84" t="n">
        <f aca="false">+O182+Q182+T182+U182</f>
        <v>12300</v>
      </c>
      <c r="O182" s="85" t="n">
        <v>12239</v>
      </c>
      <c r="P182" s="86" t="n">
        <v>0</v>
      </c>
      <c r="Q182" s="87" t="n">
        <v>0</v>
      </c>
      <c r="R182" s="88" t="n">
        <v>0</v>
      </c>
      <c r="S182" s="88" t="n">
        <v>0</v>
      </c>
      <c r="T182" s="88" t="n">
        <v>61</v>
      </c>
      <c r="U182" s="88" t="n">
        <v>0</v>
      </c>
      <c r="V182" s="89" t="n">
        <v>2</v>
      </c>
      <c r="W182" s="90" t="n">
        <f aca="false">IFERROR(O182/V182,0)</f>
        <v>6119.5</v>
      </c>
      <c r="X182" s="91" t="n">
        <f aca="false">O182/L182</f>
        <v>0.86299534621351</v>
      </c>
      <c r="Y182" s="92" t="str">
        <f aca="false">IFERROR(VLOOKUP(E:E,'Item Data Support Sheet'!A:J,6,0),0)</f>
        <v>FO104</v>
      </c>
      <c r="Z182" s="93" t="n">
        <f aca="false">IFERROR(VLOOKUP(E:E,'Item Data Support Sheet'!A:O,4,0),0)</f>
        <v>0</v>
      </c>
      <c r="AA182" s="93" t="n">
        <f aca="false">IFERROR(((N182)*(Z182/1000))+P182,0)</f>
        <v>0</v>
      </c>
      <c r="AB182" s="94" t="str">
        <f aca="false">IFERROR((O182*(Z182/1000)/(AA182))," ")</f>
        <v> </v>
      </c>
      <c r="AC182" s="95" t="n">
        <f aca="false">IFERROR((T182)/((T182)+O182),0)</f>
        <v>0.00495934959349593</v>
      </c>
      <c r="AD182" s="96" t="n">
        <f aca="false">IFERROR(Q182/(Q182+N182),0)</f>
        <v>0</v>
      </c>
      <c r="AE182" s="91" t="n">
        <f aca="false">(N182-T182)/N182</f>
        <v>0.995040650406504</v>
      </c>
      <c r="AF182" s="97" t="n">
        <f aca="false">BR182</f>
        <v>1.83333333333333</v>
      </c>
      <c r="AG182" s="98" t="n">
        <f aca="false">K182-AF182</f>
        <v>6.66666666666667</v>
      </c>
      <c r="AH182" s="99" t="n">
        <f aca="false">IFERROR(AG182/K182," ")</f>
        <v>0.784313725490196</v>
      </c>
      <c r="AI182" s="100" t="n">
        <f aca="false">IFERROR(O182/K182,0)</f>
        <v>1439.88235294118</v>
      </c>
      <c r="AJ182" s="101" t="n">
        <f aca="false">VLOOKUP(D182,'Standard Cycle time'!C:D,2,0)</f>
        <v>4</v>
      </c>
      <c r="AK182" s="101" t="n">
        <f aca="false">AG182*V182*3600/O182</f>
        <v>3.92188904322249</v>
      </c>
      <c r="AL182" s="102" t="n">
        <f aca="false">AJ182/AK182</f>
        <v>1.01991666666667</v>
      </c>
      <c r="AM182" s="99" t="n">
        <f aca="false">AE182*AL182*AH182</f>
        <v>0.795967484988575</v>
      </c>
      <c r="AN182" s="103" t="s">
        <v>472</v>
      </c>
      <c r="AO182" s="109" t="s">
        <v>473</v>
      </c>
      <c r="AP182" s="105" t="n">
        <v>50</v>
      </c>
      <c r="AQ182" s="105" t="n">
        <v>0</v>
      </c>
      <c r="AR182" s="105" t="n">
        <v>0</v>
      </c>
      <c r="AS182" s="105" t="n">
        <v>60</v>
      </c>
      <c r="AT182" s="105" t="n">
        <v>0</v>
      </c>
      <c r="AU182" s="105" t="n">
        <v>0</v>
      </c>
      <c r="AV182" s="105" t="n">
        <v>0</v>
      </c>
      <c r="AW182" s="105" t="n">
        <v>0</v>
      </c>
      <c r="AX182" s="105" t="n">
        <v>0</v>
      </c>
      <c r="AY182" s="105" t="n">
        <v>0</v>
      </c>
      <c r="AZ182" s="105" t="n">
        <v>0</v>
      </c>
      <c r="BA182" s="105" t="n">
        <v>0</v>
      </c>
      <c r="BB182" s="105" t="n">
        <v>0</v>
      </c>
      <c r="BC182" s="105" t="n">
        <v>0</v>
      </c>
      <c r="BD182" s="105" t="n">
        <v>0</v>
      </c>
      <c r="BE182" s="105" t="n">
        <v>0</v>
      </c>
      <c r="BF182" s="105" t="n">
        <v>0</v>
      </c>
      <c r="BG182" s="105" t="n">
        <v>0</v>
      </c>
      <c r="BH182" s="105" t="n">
        <v>0</v>
      </c>
      <c r="BI182" s="105" t="n">
        <v>0</v>
      </c>
      <c r="BJ182" s="105" t="n">
        <v>0</v>
      </c>
      <c r="BK182" s="105" t="n">
        <v>0</v>
      </c>
      <c r="BL182" s="105" t="n">
        <v>0</v>
      </c>
      <c r="BM182" s="105" t="n">
        <v>0</v>
      </c>
      <c r="BN182" s="105" t="n">
        <v>0</v>
      </c>
      <c r="BO182" s="105" t="n">
        <v>0</v>
      </c>
      <c r="BP182" s="105" t="n">
        <v>0</v>
      </c>
      <c r="BQ182" s="105" t="n">
        <v>0</v>
      </c>
      <c r="BR182" s="106" t="n">
        <f aca="false">SUM(AP182:BQ182)/60</f>
        <v>1.83333333333333</v>
      </c>
      <c r="BS182" s="106" t="n">
        <f aca="false">SUM(AP182:BR182)/60</f>
        <v>1.86388888888889</v>
      </c>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row>
    <row r="183" customFormat="false" ht="14.9" hidden="true" customHeight="false" outlineLevel="0" collapsed="false">
      <c r="A183" s="74" t="n">
        <f aca="false">MONTH(B183)</f>
        <v>8</v>
      </c>
      <c r="B183" s="75" t="n">
        <v>44426</v>
      </c>
      <c r="C183" s="128" t="s">
        <v>63</v>
      </c>
      <c r="D183" s="77" t="str">
        <f aca="false">IFERROR(VLOOKUP(E:E,'Item Data Support Sheet'!A:O,7,0),"")</f>
        <v>NIPPLE WRAP PRINTED</v>
      </c>
      <c r="E183" s="80" t="s">
        <v>474</v>
      </c>
      <c r="F183" s="123"/>
      <c r="G183" s="77"/>
      <c r="H183" s="79" t="str">
        <f aca="false">IFERROR(VLOOKUP(E:E,'Item Data Support Sheet'!A:O,2,0),"")</f>
        <v>NIPPLE S TYPE L SIZE WITH PRINTED WRAP</v>
      </c>
      <c r="I183" s="80" t="s">
        <v>475</v>
      </c>
      <c r="J183" s="80" t="s">
        <v>158</v>
      </c>
      <c r="K183" s="81" t="n">
        <v>8.5</v>
      </c>
      <c r="L183" s="124" t="n">
        <v>16132</v>
      </c>
      <c r="M183" s="83" t="n">
        <f aca="false">IFERROR(L183/K183,0)</f>
        <v>1897.88235294118</v>
      </c>
      <c r="N183" s="84" t="n">
        <f aca="false">+O183+Q183+T183+U183</f>
        <v>15285</v>
      </c>
      <c r="O183" s="85" t="n">
        <v>15244</v>
      </c>
      <c r="P183" s="86" t="n">
        <v>0</v>
      </c>
      <c r="Q183" s="87" t="n">
        <v>0</v>
      </c>
      <c r="R183" s="88" t="n">
        <v>0</v>
      </c>
      <c r="S183" s="88" t="n">
        <v>0</v>
      </c>
      <c r="T183" s="88" t="n">
        <v>41</v>
      </c>
      <c r="U183" s="88" t="n">
        <v>0</v>
      </c>
      <c r="V183" s="89" t="n">
        <v>2</v>
      </c>
      <c r="W183" s="90" t="n">
        <f aca="false">IFERROR(O183/V183,0)</f>
        <v>7622</v>
      </c>
      <c r="X183" s="91" t="n">
        <f aca="false">O183/L183</f>
        <v>0.944954128440367</v>
      </c>
      <c r="Y183" s="92" t="str">
        <f aca="false">IFERROR(VLOOKUP(E:E,'Item Data Support Sheet'!A:J,6,0),0)</f>
        <v>FO021</v>
      </c>
      <c r="Z183" s="93" t="n">
        <f aca="false">IFERROR(VLOOKUP(E:E,'Item Data Support Sheet'!A:O,4,0),0)</f>
        <v>0</v>
      </c>
      <c r="AA183" s="93" t="n">
        <f aca="false">IFERROR(((N183)*(Z183/1000))+P183,0)</f>
        <v>0</v>
      </c>
      <c r="AB183" s="94" t="str">
        <f aca="false">IFERROR((O183*(Z183/1000)/(AA183))," ")</f>
        <v> </v>
      </c>
      <c r="AC183" s="95" t="n">
        <f aca="false">IFERROR((T183)/((T183)+O183),0)</f>
        <v>0.00268236833496892</v>
      </c>
      <c r="AD183" s="96" t="n">
        <f aca="false">IFERROR(Q183/(Q183+N183),0)</f>
        <v>0</v>
      </c>
      <c r="AE183" s="91" t="n">
        <f aca="false">(N183-T183)/N183</f>
        <v>0.997317631665031</v>
      </c>
      <c r="AF183" s="97" t="n">
        <f aca="false">BR183</f>
        <v>0.833333333333333</v>
      </c>
      <c r="AG183" s="98" t="n">
        <f aca="false">K183-AF183</f>
        <v>7.66666666666667</v>
      </c>
      <c r="AH183" s="99" t="n">
        <f aca="false">IFERROR(AG183/K183," ")</f>
        <v>0.901960784313726</v>
      </c>
      <c r="AI183" s="100" t="n">
        <f aca="false">IFERROR(O183/K183,0)</f>
        <v>1793.41176470588</v>
      </c>
      <c r="AJ183" s="101" t="n">
        <f aca="false">VLOOKUP(D183,'Standard Cycle time'!C:D,2,0)</f>
        <v>2.5</v>
      </c>
      <c r="AK183" s="101" t="n">
        <f aca="false">AG183*V183*3600/O183</f>
        <v>3.62109682498032</v>
      </c>
      <c r="AL183" s="102" t="n">
        <f aca="false">AJ183/AK183</f>
        <v>0.690398550724638</v>
      </c>
      <c r="AM183" s="99" t="n">
        <f aca="false">AE183*AL183*AH183</f>
        <v>0.621042074228012</v>
      </c>
      <c r="AN183" s="103" t="s">
        <v>476</v>
      </c>
      <c r="AO183" s="129" t="s">
        <v>477</v>
      </c>
      <c r="AP183" s="105" t="n">
        <v>50</v>
      </c>
      <c r="AQ183" s="105" t="n">
        <v>0</v>
      </c>
      <c r="AR183" s="105" t="n">
        <v>0</v>
      </c>
      <c r="AS183" s="105" t="n">
        <v>0</v>
      </c>
      <c r="AT183" s="105" t="n">
        <v>0</v>
      </c>
      <c r="AU183" s="105" t="n">
        <v>0</v>
      </c>
      <c r="AV183" s="105" t="n">
        <v>0</v>
      </c>
      <c r="AW183" s="105" t="n">
        <v>0</v>
      </c>
      <c r="AX183" s="105" t="n">
        <v>0</v>
      </c>
      <c r="AY183" s="105" t="n">
        <v>0</v>
      </c>
      <c r="AZ183" s="105" t="n">
        <v>0</v>
      </c>
      <c r="BA183" s="105" t="n">
        <v>0</v>
      </c>
      <c r="BB183" s="105" t="n">
        <v>0</v>
      </c>
      <c r="BC183" s="105" t="n">
        <v>0</v>
      </c>
      <c r="BD183" s="105" t="n">
        <v>0</v>
      </c>
      <c r="BE183" s="105" t="n">
        <v>0</v>
      </c>
      <c r="BF183" s="105" t="n">
        <v>0</v>
      </c>
      <c r="BG183" s="105" t="n">
        <v>0</v>
      </c>
      <c r="BH183" s="105" t="n">
        <v>0</v>
      </c>
      <c r="BI183" s="105" t="n">
        <v>0</v>
      </c>
      <c r="BJ183" s="105" t="n">
        <v>0</v>
      </c>
      <c r="BK183" s="105" t="n">
        <v>0</v>
      </c>
      <c r="BL183" s="105" t="n">
        <v>0</v>
      </c>
      <c r="BM183" s="105" t="n">
        <v>0</v>
      </c>
      <c r="BN183" s="105" t="n">
        <v>0</v>
      </c>
      <c r="BO183" s="105" t="n">
        <v>0</v>
      </c>
      <c r="BP183" s="105" t="n">
        <v>0</v>
      </c>
      <c r="BQ183" s="105" t="n">
        <v>0</v>
      </c>
      <c r="BR183" s="106" t="n">
        <f aca="false">SUM(AP183:BQ183)/60</f>
        <v>0.833333333333333</v>
      </c>
      <c r="BS183" s="106" t="n">
        <f aca="false">SUM(AP183:BR183)/60</f>
        <v>0.847222222222222</v>
      </c>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row>
    <row r="184" customFormat="false" ht="15" hidden="true" customHeight="true" outlineLevel="0" collapsed="false">
      <c r="A184" s="74" t="n">
        <f aca="false">MONTH(B184)</f>
        <v>8</v>
      </c>
      <c r="B184" s="75" t="n">
        <v>44426</v>
      </c>
      <c r="C184" s="128" t="s">
        <v>63</v>
      </c>
      <c r="D184" s="77" t="str">
        <f aca="false">IFERROR(VLOOKUP(E:E,'Item Data Support Sheet'!A:O,7,0),"")</f>
        <v>BOTTLE PRINTED</v>
      </c>
      <c r="E184" s="80" t="s">
        <v>65</v>
      </c>
      <c r="F184" s="123"/>
      <c r="G184" s="77"/>
      <c r="H184" s="79" t="str">
        <f aca="false">IFERROR(VLOOKUP(E:E,'Item Data Support Sheet'!A:O,2,0),"")</f>
        <v>KPP 240 ML BOTTLE PRINTED</v>
      </c>
      <c r="I184" s="80" t="s">
        <v>478</v>
      </c>
      <c r="J184" s="80" t="s">
        <v>161</v>
      </c>
      <c r="K184" s="81" t="n">
        <v>8.5</v>
      </c>
      <c r="L184" s="124" t="n">
        <v>5100</v>
      </c>
      <c r="M184" s="83" t="n">
        <f aca="false">IFERROR(L184/K184,0)</f>
        <v>600</v>
      </c>
      <c r="N184" s="84" t="n">
        <f aca="false">+O184+Q184+T184+U184</f>
        <v>3812</v>
      </c>
      <c r="O184" s="85" t="n">
        <v>3780</v>
      </c>
      <c r="P184" s="86" t="n">
        <v>0</v>
      </c>
      <c r="Q184" s="87" t="n">
        <v>0</v>
      </c>
      <c r="R184" s="88" t="n">
        <v>36</v>
      </c>
      <c r="S184" s="88" t="n">
        <v>0</v>
      </c>
      <c r="T184" s="88" t="n">
        <v>32</v>
      </c>
      <c r="U184" s="88" t="n">
        <v>0</v>
      </c>
      <c r="V184" s="89" t="n">
        <v>6</v>
      </c>
      <c r="W184" s="90" t="n">
        <f aca="false">IFERROR(O184/V184,0)</f>
        <v>630</v>
      </c>
      <c r="X184" s="91" t="n">
        <f aca="false">O184/L184</f>
        <v>0.741176470588235</v>
      </c>
      <c r="Y184" s="92" t="str">
        <f aca="false">IFERROR(VLOOKUP(E:E,'Item Data Support Sheet'!A:J,6,0),0)</f>
        <v>FO003</v>
      </c>
      <c r="Z184" s="93" t="n">
        <f aca="false">IFERROR(VLOOKUP(E:E,'Item Data Support Sheet'!A:O,4,0),0)</f>
        <v>0</v>
      </c>
      <c r="AA184" s="93" t="n">
        <f aca="false">IFERROR(((N184)*(Z184/1000))+P184,0)</f>
        <v>0</v>
      </c>
      <c r="AB184" s="94" t="str">
        <f aca="false">IFERROR((O184*(Z184/1000)/(AA184))," ")</f>
        <v> </v>
      </c>
      <c r="AC184" s="95" t="n">
        <f aca="false">IFERROR((T184)/((T184)+O184),0)</f>
        <v>0.00839454354669465</v>
      </c>
      <c r="AD184" s="96" t="n">
        <f aca="false">IFERROR(Q184/(Q184+N184),0)</f>
        <v>0</v>
      </c>
      <c r="AE184" s="91" t="n">
        <f aca="false">(N184-T184)/N184</f>
        <v>0.991605456453305</v>
      </c>
      <c r="AF184" s="97" t="n">
        <f aca="false">BR184</f>
        <v>2.83333333333333</v>
      </c>
      <c r="AG184" s="98" t="n">
        <f aca="false">K184-AF184</f>
        <v>5.66666666666667</v>
      </c>
      <c r="AH184" s="99" t="n">
        <f aca="false">IFERROR(AG184/K184," ")</f>
        <v>0.666666666666667</v>
      </c>
      <c r="AI184" s="100" t="n">
        <f aca="false">IFERROR(O184/K184,0)</f>
        <v>444.705882352941</v>
      </c>
      <c r="AJ184" s="101" t="n">
        <f aca="false">VLOOKUP(D184,'Standard Cycle time'!C:D,2,0)</f>
        <v>32.4</v>
      </c>
      <c r="AK184" s="101" t="n">
        <f aca="false">AG184*V184*3600/O184</f>
        <v>32.3809523809524</v>
      </c>
      <c r="AL184" s="102" t="n">
        <f aca="false">AJ184/AK184</f>
        <v>1.00058823529412</v>
      </c>
      <c r="AM184" s="99" t="n">
        <f aca="false">AE184*AL184*AH184</f>
        <v>0.661459169187087</v>
      </c>
      <c r="AN184" s="103" t="s">
        <v>479</v>
      </c>
      <c r="AO184" s="109" t="s">
        <v>480</v>
      </c>
      <c r="AP184" s="105" t="n">
        <v>50</v>
      </c>
      <c r="AQ184" s="105" t="n">
        <v>120</v>
      </c>
      <c r="AR184" s="105" t="n">
        <v>0</v>
      </c>
      <c r="AS184" s="105" t="n">
        <v>0</v>
      </c>
      <c r="AT184" s="105" t="n">
        <v>0</v>
      </c>
      <c r="AU184" s="105" t="n">
        <v>0</v>
      </c>
      <c r="AV184" s="105" t="n">
        <v>0</v>
      </c>
      <c r="AW184" s="105" t="n">
        <v>0</v>
      </c>
      <c r="AX184" s="105" t="n">
        <v>0</v>
      </c>
      <c r="AY184" s="105" t="n">
        <v>0</v>
      </c>
      <c r="AZ184" s="105" t="n">
        <v>0</v>
      </c>
      <c r="BA184" s="105" t="n">
        <v>0</v>
      </c>
      <c r="BB184" s="105" t="n">
        <v>0</v>
      </c>
      <c r="BC184" s="105" t="n">
        <v>0</v>
      </c>
      <c r="BD184" s="105" t="n">
        <v>0</v>
      </c>
      <c r="BE184" s="105" t="n">
        <v>0</v>
      </c>
      <c r="BF184" s="105" t="n">
        <v>0</v>
      </c>
      <c r="BG184" s="105" t="n">
        <v>0</v>
      </c>
      <c r="BH184" s="105" t="n">
        <v>0</v>
      </c>
      <c r="BI184" s="105" t="n">
        <v>0</v>
      </c>
      <c r="BJ184" s="105" t="n">
        <v>0</v>
      </c>
      <c r="BK184" s="105" t="n">
        <v>0</v>
      </c>
      <c r="BL184" s="105" t="n">
        <v>0</v>
      </c>
      <c r="BM184" s="105" t="n">
        <v>0</v>
      </c>
      <c r="BN184" s="105" t="n">
        <v>0</v>
      </c>
      <c r="BO184" s="105" t="n">
        <v>0</v>
      </c>
      <c r="BP184" s="105" t="n">
        <v>0</v>
      </c>
      <c r="BQ184" s="105" t="n">
        <v>0</v>
      </c>
      <c r="BR184" s="106" t="n">
        <f aca="false">SUM(AP184:BQ184)/60</f>
        <v>2.83333333333333</v>
      </c>
      <c r="BS184" s="106" t="n">
        <f aca="false">SUM(AP184:BR184)/60</f>
        <v>2.88055555555555</v>
      </c>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row>
    <row r="185" customFormat="false" ht="14.9" hidden="true" customHeight="false" outlineLevel="0" collapsed="false">
      <c r="A185" s="74" t="n">
        <f aca="false">MONTH(B185)</f>
        <v>8</v>
      </c>
      <c r="B185" s="75" t="n">
        <v>44426</v>
      </c>
      <c r="C185" s="128" t="s">
        <v>70</v>
      </c>
      <c r="D185" s="77" t="str">
        <f aca="false">IFERROR(VLOOKUP(E:E,'Item Data Support Sheet'!A:O,7,0),"")</f>
        <v>NIPPLE PUNCH</v>
      </c>
      <c r="E185" s="80" t="s">
        <v>53</v>
      </c>
      <c r="F185" s="122"/>
      <c r="G185" s="77"/>
      <c r="H185" s="79" t="str">
        <f aca="false">IFERROR(VLOOKUP(E:E,'Item Data Support Sheet'!A:O,2,0),"")</f>
        <v>NIPPLE S TYPE S SIZE PUNCHED</v>
      </c>
      <c r="I185" s="80" t="s">
        <v>481</v>
      </c>
      <c r="J185" s="80" t="s">
        <v>140</v>
      </c>
      <c r="K185" s="81" t="n">
        <v>8</v>
      </c>
      <c r="L185" s="124" t="n">
        <v>7000</v>
      </c>
      <c r="M185" s="83" t="n">
        <f aca="false">IFERROR(L185/K185,0)</f>
        <v>875</v>
      </c>
      <c r="N185" s="84" t="n">
        <f aca="false">+O185+Q185+T185+U185</f>
        <v>7000</v>
      </c>
      <c r="O185" s="85" t="n">
        <v>7000</v>
      </c>
      <c r="P185" s="86" t="n">
        <v>0</v>
      </c>
      <c r="Q185" s="87" t="n">
        <v>0</v>
      </c>
      <c r="R185" s="88" t="n">
        <v>0</v>
      </c>
      <c r="S185" s="88" t="n">
        <v>0</v>
      </c>
      <c r="T185" s="88" t="n">
        <v>0</v>
      </c>
      <c r="U185" s="88" t="n">
        <v>0</v>
      </c>
      <c r="V185" s="89" t="n">
        <v>1</v>
      </c>
      <c r="W185" s="90" t="n">
        <f aca="false">IFERROR(O185/V185,0)</f>
        <v>7000</v>
      </c>
      <c r="X185" s="91" t="n">
        <f aca="false">O185/L185</f>
        <v>1</v>
      </c>
      <c r="Y185" s="92" t="str">
        <f aca="false">IFERROR(VLOOKUP(E:E,'Item Data Support Sheet'!A:J,6,0),0)</f>
        <v>FO015</v>
      </c>
      <c r="Z185" s="93" t="n">
        <f aca="false">IFERROR(VLOOKUP(E:E,'Item Data Support Sheet'!A:O,4,0),0)</f>
        <v>0</v>
      </c>
      <c r="AA185" s="93" t="n">
        <f aca="false">IFERROR(((N185)*(Z185/1000))+P185,0)</f>
        <v>0</v>
      </c>
      <c r="AB185" s="94" t="str">
        <f aca="false">IFERROR((O185*(Z185/1000)/(AA185))," ")</f>
        <v> </v>
      </c>
      <c r="AC185" s="95" t="n">
        <f aca="false">IFERROR((T185)/((T185)+O185),0)</f>
        <v>0</v>
      </c>
      <c r="AD185" s="96" t="n">
        <f aca="false">IFERROR(Q185/(Q185+N185),0)</f>
        <v>0</v>
      </c>
      <c r="AE185" s="91" t="n">
        <f aca="false">(N185-T185)/N185</f>
        <v>1</v>
      </c>
      <c r="AF185" s="97" t="n">
        <f aca="false">BR185</f>
        <v>0.666666666666667</v>
      </c>
      <c r="AG185" s="98" t="n">
        <f aca="false">K185-AF185</f>
        <v>7.33333333333333</v>
      </c>
      <c r="AH185" s="99" t="n">
        <f aca="false">IFERROR(AG185/K185," ")</f>
        <v>0.916666666666667</v>
      </c>
      <c r="AI185" s="100" t="n">
        <f aca="false">IFERROR(O185/K185,0)</f>
        <v>875</v>
      </c>
      <c r="AJ185" s="101" t="n">
        <f aca="false">VLOOKUP(D185,'Standard Cycle time'!C:D,2,0)</f>
        <v>3.5</v>
      </c>
      <c r="AK185" s="101" t="n">
        <f aca="false">AG185*V185*3600/O185</f>
        <v>3.77142857142857</v>
      </c>
      <c r="AL185" s="102" t="n">
        <f aca="false">AJ185/AK185</f>
        <v>0.928030303030303</v>
      </c>
      <c r="AM185" s="99" t="n">
        <f aca="false">AE185*AL185*AH185</f>
        <v>0.850694444444444</v>
      </c>
      <c r="AN185" s="103" t="s">
        <v>482</v>
      </c>
      <c r="AO185" s="109"/>
      <c r="AP185" s="105" t="n">
        <v>40</v>
      </c>
      <c r="AQ185" s="105" t="n">
        <v>0</v>
      </c>
      <c r="AR185" s="105" t="n">
        <v>0</v>
      </c>
      <c r="AS185" s="105" t="n">
        <v>0</v>
      </c>
      <c r="AT185" s="105" t="n">
        <v>0</v>
      </c>
      <c r="AU185" s="105" t="n">
        <v>0</v>
      </c>
      <c r="AV185" s="105" t="n">
        <v>0</v>
      </c>
      <c r="AW185" s="105" t="n">
        <v>0</v>
      </c>
      <c r="AX185" s="105" t="n">
        <v>0</v>
      </c>
      <c r="AY185" s="105" t="n">
        <v>0</v>
      </c>
      <c r="AZ185" s="105" t="n">
        <v>0</v>
      </c>
      <c r="BA185" s="105" t="n">
        <v>0</v>
      </c>
      <c r="BB185" s="105" t="n">
        <v>0</v>
      </c>
      <c r="BC185" s="105" t="n">
        <v>0</v>
      </c>
      <c r="BD185" s="105" t="n">
        <v>0</v>
      </c>
      <c r="BE185" s="105" t="n">
        <v>0</v>
      </c>
      <c r="BF185" s="105" t="n">
        <v>0</v>
      </c>
      <c r="BG185" s="105" t="n">
        <v>0</v>
      </c>
      <c r="BH185" s="105" t="n">
        <v>0</v>
      </c>
      <c r="BI185" s="105" t="n">
        <v>0</v>
      </c>
      <c r="BJ185" s="105" t="n">
        <v>0</v>
      </c>
      <c r="BK185" s="105" t="n">
        <v>0</v>
      </c>
      <c r="BL185" s="105" t="n">
        <v>0</v>
      </c>
      <c r="BM185" s="105" t="n">
        <v>0</v>
      </c>
      <c r="BN185" s="105" t="n">
        <v>0</v>
      </c>
      <c r="BO185" s="105" t="n">
        <v>0</v>
      </c>
      <c r="BP185" s="105" t="n">
        <v>0</v>
      </c>
      <c r="BQ185" s="105" t="n">
        <v>0</v>
      </c>
      <c r="BR185" s="106" t="n">
        <f aca="false">SUM(AP185:BQ185)/60</f>
        <v>0.666666666666667</v>
      </c>
      <c r="BS185" s="106" t="n">
        <f aca="false">SUM(AP185:BR185)/60</f>
        <v>0.677777777777778</v>
      </c>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row>
    <row r="186" customFormat="false" ht="14.9" hidden="true" customHeight="false" outlineLevel="0" collapsed="false">
      <c r="A186" s="74" t="n">
        <f aca="false">MONTH(B186)</f>
        <v>8</v>
      </c>
      <c r="B186" s="75" t="n">
        <v>44426</v>
      </c>
      <c r="C186" s="128" t="s">
        <v>70</v>
      </c>
      <c r="D186" s="77" t="str">
        <f aca="false">IFERROR(VLOOKUP(E:E,'Item Data Support Sheet'!A:O,7,0),"")</f>
        <v>NIPPLE LASER MARKING</v>
      </c>
      <c r="E186" s="80" t="s">
        <v>444</v>
      </c>
      <c r="F186" s="122"/>
      <c r="G186" s="77"/>
      <c r="H186" s="79" t="str">
        <f aca="false">IFERROR(VLOOKUP(E:E,'Item Data Support Sheet'!A:O,2,0),"")</f>
        <v>NIPPLE S TYPE S SIZE PUNCHED LASER MARKED</v>
      </c>
      <c r="I186" s="80" t="s">
        <v>483</v>
      </c>
      <c r="J186" s="80" t="s">
        <v>140</v>
      </c>
      <c r="K186" s="81" t="n">
        <v>8</v>
      </c>
      <c r="L186" s="124" t="n">
        <v>7000</v>
      </c>
      <c r="M186" s="83" t="n">
        <f aca="false">IFERROR(L186/K186,0)</f>
        <v>875</v>
      </c>
      <c r="N186" s="84" t="n">
        <f aca="false">+O186+Q186+T186+U186</f>
        <v>7000</v>
      </c>
      <c r="O186" s="85" t="n">
        <v>7000</v>
      </c>
      <c r="P186" s="86" t="n">
        <v>0</v>
      </c>
      <c r="Q186" s="87" t="n">
        <v>0</v>
      </c>
      <c r="R186" s="88" t="n">
        <v>0</v>
      </c>
      <c r="S186" s="88" t="n">
        <v>0</v>
      </c>
      <c r="T186" s="88" t="n">
        <v>0</v>
      </c>
      <c r="U186" s="88" t="n">
        <v>0</v>
      </c>
      <c r="V186" s="89" t="n">
        <v>1</v>
      </c>
      <c r="W186" s="90" t="n">
        <f aca="false">IFERROR(O186/V186,0)</f>
        <v>7000</v>
      </c>
      <c r="X186" s="91" t="n">
        <f aca="false">O186/L186</f>
        <v>1</v>
      </c>
      <c r="Y186" s="92" t="str">
        <f aca="false">IFERROR(VLOOKUP(E:E,'Item Data Support Sheet'!A:J,6,0),0)</f>
        <v>FO019</v>
      </c>
      <c r="Z186" s="93" t="n">
        <f aca="false">IFERROR(VLOOKUP(E:E,'Item Data Support Sheet'!A:O,4,0),0)</f>
        <v>0</v>
      </c>
      <c r="AA186" s="93" t="n">
        <f aca="false">IFERROR(((N186)*(Z186/1000))+P186,0)</f>
        <v>0</v>
      </c>
      <c r="AB186" s="94" t="str">
        <f aca="false">IFERROR((O186*(Z186/1000)/(AA186))," ")</f>
        <v> </v>
      </c>
      <c r="AC186" s="95" t="n">
        <f aca="false">IFERROR((T186)/((T186)+O186),0)</f>
        <v>0</v>
      </c>
      <c r="AD186" s="96" t="n">
        <f aca="false">IFERROR(Q186/(Q186+N186),0)</f>
        <v>0</v>
      </c>
      <c r="AE186" s="91" t="n">
        <f aca="false">(N186-T186)/N186</f>
        <v>1</v>
      </c>
      <c r="AF186" s="97" t="n">
        <f aca="false">BR186</f>
        <v>0.666666666666667</v>
      </c>
      <c r="AG186" s="98" t="n">
        <f aca="false">K186-AF186</f>
        <v>7.33333333333333</v>
      </c>
      <c r="AH186" s="99" t="n">
        <f aca="false">IFERROR(AG186/K186," ")</f>
        <v>0.916666666666667</v>
      </c>
      <c r="AI186" s="100" t="n">
        <f aca="false">IFERROR(O186/K186,0)</f>
        <v>875</v>
      </c>
      <c r="AJ186" s="101" t="n">
        <f aca="false">VLOOKUP(D186,'Standard Cycle time'!C:D,2,0)</f>
        <v>3.5</v>
      </c>
      <c r="AK186" s="101" t="n">
        <f aca="false">AG186*V186*3600/O186</f>
        <v>3.77142857142857</v>
      </c>
      <c r="AL186" s="102" t="n">
        <f aca="false">AJ186/AK186</f>
        <v>0.928030303030303</v>
      </c>
      <c r="AM186" s="99" t="n">
        <f aca="false">AE186*AL186*AH186</f>
        <v>0.850694444444444</v>
      </c>
      <c r="AN186" s="103" t="s">
        <v>484</v>
      </c>
      <c r="AO186" s="109"/>
      <c r="AP186" s="105" t="n">
        <v>40</v>
      </c>
      <c r="AQ186" s="105" t="n">
        <v>0</v>
      </c>
      <c r="AR186" s="105" t="n">
        <v>0</v>
      </c>
      <c r="AS186" s="105" t="n">
        <v>0</v>
      </c>
      <c r="AT186" s="105" t="n">
        <v>0</v>
      </c>
      <c r="AU186" s="105" t="n">
        <v>0</v>
      </c>
      <c r="AV186" s="105" t="n">
        <v>0</v>
      </c>
      <c r="AW186" s="105" t="n">
        <v>0</v>
      </c>
      <c r="AX186" s="105" t="n">
        <v>0</v>
      </c>
      <c r="AY186" s="105" t="n">
        <v>0</v>
      </c>
      <c r="AZ186" s="105" t="n">
        <v>0</v>
      </c>
      <c r="BA186" s="105" t="n">
        <v>0</v>
      </c>
      <c r="BB186" s="105" t="n">
        <v>0</v>
      </c>
      <c r="BC186" s="105" t="n">
        <v>0</v>
      </c>
      <c r="BD186" s="105" t="n">
        <v>0</v>
      </c>
      <c r="BE186" s="105" t="n">
        <v>0</v>
      </c>
      <c r="BF186" s="105" t="n">
        <v>0</v>
      </c>
      <c r="BG186" s="105" t="n">
        <v>0</v>
      </c>
      <c r="BH186" s="105" t="n">
        <v>0</v>
      </c>
      <c r="BI186" s="105" t="n">
        <v>0</v>
      </c>
      <c r="BJ186" s="105" t="n">
        <v>0</v>
      </c>
      <c r="BK186" s="105" t="n">
        <v>0</v>
      </c>
      <c r="BL186" s="105" t="n">
        <v>0</v>
      </c>
      <c r="BM186" s="105" t="n">
        <v>0</v>
      </c>
      <c r="BN186" s="105" t="n">
        <v>0</v>
      </c>
      <c r="BO186" s="105" t="n">
        <v>0</v>
      </c>
      <c r="BP186" s="105" t="n">
        <v>0</v>
      </c>
      <c r="BQ186" s="105" t="n">
        <v>0</v>
      </c>
      <c r="BR186" s="106" t="n">
        <f aca="false">SUM(AP186:BQ186)/60</f>
        <v>0.666666666666667</v>
      </c>
      <c r="BS186" s="106" t="n">
        <f aca="false">SUM(AP186:BR186)/60</f>
        <v>0.677777777777778</v>
      </c>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row>
    <row r="187" customFormat="false" ht="14.9" hidden="true" customHeight="false" outlineLevel="0" collapsed="false">
      <c r="A187" s="74" t="n">
        <f aca="false">MONTH(B187)</f>
        <v>8</v>
      </c>
      <c r="B187" s="75" t="n">
        <v>44426</v>
      </c>
      <c r="C187" s="128" t="s">
        <v>70</v>
      </c>
      <c r="D187" s="77" t="str">
        <f aca="false">IFERROR(VLOOKUP(E:E,'Item Data Support Sheet'!A:O,7,0),"")</f>
        <v>NIPPLE POSTCURE</v>
      </c>
      <c r="E187" s="80" t="s">
        <v>57</v>
      </c>
      <c r="F187" s="122"/>
      <c r="G187" s="77"/>
      <c r="H187" s="79" t="str">
        <f aca="false">IFERROR(VLOOKUP(E:E,'Item Data Support Sheet'!A:O,2,0),"")</f>
        <v>NIPPLE S TYPE S SIZE POSTCURED</v>
      </c>
      <c r="I187" s="80" t="s">
        <v>485</v>
      </c>
      <c r="J187" s="80" t="s">
        <v>140</v>
      </c>
      <c r="K187" s="81" t="n">
        <v>8</v>
      </c>
      <c r="L187" s="124" t="n">
        <v>7000</v>
      </c>
      <c r="M187" s="83" t="n">
        <f aca="false">IFERROR(L187/K187,0)</f>
        <v>875</v>
      </c>
      <c r="N187" s="84" t="n">
        <f aca="false">+O187+Q187+T187+U187</f>
        <v>8200</v>
      </c>
      <c r="O187" s="85" t="n">
        <v>8200</v>
      </c>
      <c r="P187" s="86" t="n">
        <v>0</v>
      </c>
      <c r="Q187" s="87" t="n">
        <v>0</v>
      </c>
      <c r="R187" s="88" t="n">
        <v>0</v>
      </c>
      <c r="S187" s="88" t="n">
        <v>0</v>
      </c>
      <c r="T187" s="88" t="n">
        <v>0</v>
      </c>
      <c r="U187" s="88" t="n">
        <v>0</v>
      </c>
      <c r="V187" s="89" t="n">
        <v>1</v>
      </c>
      <c r="W187" s="90" t="n">
        <f aca="false">IFERROR(O187/V187,0)</f>
        <v>8200</v>
      </c>
      <c r="X187" s="91" t="n">
        <f aca="false">O187/L187</f>
        <v>1.17142857142857</v>
      </c>
      <c r="Y187" s="92" t="str">
        <f aca="false">IFERROR(VLOOKUP(E:E,'Item Data Support Sheet'!A:J,6,0),0)</f>
        <v>FO011</v>
      </c>
      <c r="Z187" s="93" t="n">
        <f aca="false">IFERROR(VLOOKUP(E:E,'Item Data Support Sheet'!A:O,4,0),0)</f>
        <v>0</v>
      </c>
      <c r="AA187" s="93" t="n">
        <f aca="false">IFERROR(((N187)*(Z187/1000))+P187,0)</f>
        <v>0</v>
      </c>
      <c r="AB187" s="94" t="str">
        <f aca="false">IFERROR((O187*(Z187/1000)/(AA187))," ")</f>
        <v> </v>
      </c>
      <c r="AC187" s="95" t="n">
        <f aca="false">IFERROR((T187)/((T187)+O187),0)</f>
        <v>0</v>
      </c>
      <c r="AD187" s="96" t="n">
        <f aca="false">IFERROR(Q187/(Q187+N187),0)</f>
        <v>0</v>
      </c>
      <c r="AE187" s="91" t="n">
        <f aca="false">(N187-T187)/N187</f>
        <v>1</v>
      </c>
      <c r="AF187" s="97" t="n">
        <f aca="false">BR187</f>
        <v>0.666666666666667</v>
      </c>
      <c r="AG187" s="98" t="n">
        <f aca="false">K187-AF187</f>
        <v>7.33333333333333</v>
      </c>
      <c r="AH187" s="99" t="n">
        <f aca="false">IFERROR(AG187/K187," ")</f>
        <v>0.916666666666667</v>
      </c>
      <c r="AI187" s="100" t="n">
        <f aca="false">IFERROR(O187/K187,0)</f>
        <v>1025</v>
      </c>
      <c r="AJ187" s="101" t="n">
        <f aca="false">VLOOKUP(D187,'Standard Cycle time'!C:D,2,0)</f>
        <v>2.3</v>
      </c>
      <c r="AK187" s="101" t="n">
        <f aca="false">AG187*V187*3600/O187</f>
        <v>3.21951219512195</v>
      </c>
      <c r="AL187" s="102" t="n">
        <f aca="false">AJ187/AK187</f>
        <v>0.714393939393939</v>
      </c>
      <c r="AM187" s="99" t="n">
        <f aca="false">AE187*AL187*AH187</f>
        <v>0.654861111111111</v>
      </c>
      <c r="AN187" s="103" t="s">
        <v>486</v>
      </c>
      <c r="AO187" s="109"/>
      <c r="AP187" s="105" t="n">
        <v>40</v>
      </c>
      <c r="AQ187" s="105" t="n">
        <v>0</v>
      </c>
      <c r="AR187" s="105" t="n">
        <v>0</v>
      </c>
      <c r="AS187" s="105" t="n">
        <v>0</v>
      </c>
      <c r="AT187" s="105" t="n">
        <v>0</v>
      </c>
      <c r="AU187" s="105" t="n">
        <v>0</v>
      </c>
      <c r="AV187" s="105" t="n">
        <v>0</v>
      </c>
      <c r="AW187" s="105" t="n">
        <v>0</v>
      </c>
      <c r="AX187" s="105" t="n">
        <v>0</v>
      </c>
      <c r="AY187" s="105" t="n">
        <v>0</v>
      </c>
      <c r="AZ187" s="105" t="n">
        <v>0</v>
      </c>
      <c r="BA187" s="105" t="n">
        <v>0</v>
      </c>
      <c r="BB187" s="105" t="n">
        <v>0</v>
      </c>
      <c r="BC187" s="105" t="n">
        <v>0</v>
      </c>
      <c r="BD187" s="105" t="n">
        <v>0</v>
      </c>
      <c r="BE187" s="105" t="n">
        <v>0</v>
      </c>
      <c r="BF187" s="105" t="n">
        <v>0</v>
      </c>
      <c r="BG187" s="105" t="n">
        <v>0</v>
      </c>
      <c r="BH187" s="105" t="n">
        <v>0</v>
      </c>
      <c r="BI187" s="105" t="n">
        <v>0</v>
      </c>
      <c r="BJ187" s="105" t="n">
        <v>0</v>
      </c>
      <c r="BK187" s="105" t="n">
        <v>0</v>
      </c>
      <c r="BL187" s="105" t="n">
        <v>0</v>
      </c>
      <c r="BM187" s="105" t="n">
        <v>0</v>
      </c>
      <c r="BN187" s="105" t="n">
        <v>0</v>
      </c>
      <c r="BO187" s="105" t="n">
        <v>0</v>
      </c>
      <c r="BP187" s="105" t="n">
        <v>0</v>
      </c>
      <c r="BQ187" s="105" t="n">
        <v>0</v>
      </c>
      <c r="BR187" s="106" t="n">
        <f aca="false">SUM(AP187:BQ187)/60</f>
        <v>0.666666666666667</v>
      </c>
      <c r="BS187" s="106"/>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row>
    <row r="188" customFormat="false" ht="14.9" hidden="true" customHeight="false" outlineLevel="0" collapsed="false">
      <c r="A188" s="74" t="n">
        <f aca="false">MONTH(B188)</f>
        <v>8</v>
      </c>
      <c r="B188" s="75" t="n">
        <v>44426</v>
      </c>
      <c r="C188" s="128" t="s">
        <v>70</v>
      </c>
      <c r="D188" s="77" t="str">
        <f aca="false">IFERROR(VLOOKUP(E:E,'Item Data Support Sheet'!A:O,7,0),"")</f>
        <v>NIPPLE MOLDED</v>
      </c>
      <c r="E188" s="80" t="s">
        <v>244</v>
      </c>
      <c r="F188" s="122"/>
      <c r="G188" s="77"/>
      <c r="H188" s="79" t="str">
        <f aca="false">IFERROR(VLOOKUP(E:E,'Item Data Support Sheet'!A:O,2,0),"")</f>
        <v>NIPPLE S TYPE S SIZE INJECTION</v>
      </c>
      <c r="I188" s="80" t="s">
        <v>487</v>
      </c>
      <c r="J188" s="80" t="s">
        <v>140</v>
      </c>
      <c r="K188" s="81" t="n">
        <v>8</v>
      </c>
      <c r="L188" s="124" t="n">
        <v>4815</v>
      </c>
      <c r="M188" s="83" t="n">
        <f aca="false">IFERROR(L188/K188,0)</f>
        <v>601.875</v>
      </c>
      <c r="N188" s="84" t="n">
        <f aca="false">+O188+Q188+T188+U188</f>
        <v>5046</v>
      </c>
      <c r="O188" s="85" t="n">
        <v>4950</v>
      </c>
      <c r="P188" s="86" t="n">
        <v>0</v>
      </c>
      <c r="Q188" s="87" t="n">
        <v>33</v>
      </c>
      <c r="R188" s="88" t="n">
        <v>0</v>
      </c>
      <c r="S188" s="88" t="n">
        <v>0</v>
      </c>
      <c r="T188" s="88" t="n">
        <v>63</v>
      </c>
      <c r="U188" s="88" t="n">
        <v>0</v>
      </c>
      <c r="V188" s="89" t="n">
        <v>1</v>
      </c>
      <c r="W188" s="90" t="n">
        <f aca="false">IFERROR(O188/V188,0)</f>
        <v>4950</v>
      </c>
      <c r="X188" s="91" t="n">
        <f aca="false">O188/L188</f>
        <v>1.02803738317757</v>
      </c>
      <c r="Y188" s="92" t="str">
        <f aca="false">IFERROR(VLOOKUP(E:E,'Item Data Support Sheet'!A:J,6,0),0)</f>
        <v>Silicon</v>
      </c>
      <c r="Z188" s="93" t="n">
        <f aca="false">IFERROR(VLOOKUP(E:E,'Item Data Support Sheet'!A:O,4,0),0)</f>
        <v>6.8</v>
      </c>
      <c r="AA188" s="93" t="n">
        <f aca="false">IFERROR(((N188)*(Z188/1000))+P188,0)</f>
        <v>34.3128</v>
      </c>
      <c r="AB188" s="94" t="n">
        <f aca="false">IFERROR((O188*(Z188/1000)/(AA188))," ")</f>
        <v>0.980975029726516</v>
      </c>
      <c r="AC188" s="95" t="n">
        <f aca="false">IFERROR((T188)/((T188)+O188),0)</f>
        <v>0.0125673249551167</v>
      </c>
      <c r="AD188" s="96" t="n">
        <f aca="false">IFERROR(Q188/(Q188+N188),0)</f>
        <v>0.00649734199645599</v>
      </c>
      <c r="AE188" s="91" t="n">
        <f aca="false">(N188-T188)/N188</f>
        <v>0.987514863258026</v>
      </c>
      <c r="AF188" s="97" t="n">
        <f aca="false">BR188</f>
        <v>0</v>
      </c>
      <c r="AG188" s="98" t="n">
        <f aca="false">K188-AF188</f>
        <v>8</v>
      </c>
      <c r="AH188" s="99" t="n">
        <f aca="false">IFERROR(AG188/K188," ")</f>
        <v>1</v>
      </c>
      <c r="AI188" s="100" t="n">
        <f aca="false">IFERROR(O188/K188,0)</f>
        <v>618.75</v>
      </c>
      <c r="AJ188" s="101" t="n">
        <f aca="false">VLOOKUP(D188,'Standard Cycle time'!C:D,2,0)</f>
        <v>5.25</v>
      </c>
      <c r="AK188" s="101" t="n">
        <f aca="false">AG188*V188*3600/O188</f>
        <v>5.81818181818182</v>
      </c>
      <c r="AL188" s="102" t="n">
        <f aca="false">AJ188/AK188</f>
        <v>0.90234375</v>
      </c>
      <c r="AM188" s="99" t="n">
        <f aca="false">AE188*AL188*AH188</f>
        <v>0.891077864892985</v>
      </c>
      <c r="AN188" s="103" t="n">
        <v>2502</v>
      </c>
      <c r="AO188" s="104"/>
      <c r="AP188" s="105" t="n">
        <v>0</v>
      </c>
      <c r="AQ188" s="105" t="n">
        <v>0</v>
      </c>
      <c r="AR188" s="105" t="n">
        <v>0</v>
      </c>
      <c r="AS188" s="105" t="n">
        <v>0</v>
      </c>
      <c r="AT188" s="105" t="n">
        <v>0</v>
      </c>
      <c r="AU188" s="105" t="n">
        <v>0</v>
      </c>
      <c r="AV188" s="105" t="n">
        <v>0</v>
      </c>
      <c r="AW188" s="105" t="n">
        <v>0</v>
      </c>
      <c r="AX188" s="105" t="n">
        <v>0</v>
      </c>
      <c r="AY188" s="105" t="n">
        <v>0</v>
      </c>
      <c r="AZ188" s="105" t="n">
        <v>0</v>
      </c>
      <c r="BA188" s="105" t="n">
        <v>0</v>
      </c>
      <c r="BB188" s="105" t="n">
        <v>0</v>
      </c>
      <c r="BC188" s="105" t="n">
        <v>0</v>
      </c>
      <c r="BD188" s="105" t="n">
        <v>0</v>
      </c>
      <c r="BE188" s="105" t="n">
        <v>0</v>
      </c>
      <c r="BF188" s="105" t="n">
        <v>0</v>
      </c>
      <c r="BG188" s="105" t="n">
        <v>0</v>
      </c>
      <c r="BH188" s="105" t="n">
        <v>0</v>
      </c>
      <c r="BI188" s="105" t="n">
        <v>0</v>
      </c>
      <c r="BJ188" s="105" t="n">
        <v>0</v>
      </c>
      <c r="BK188" s="105" t="n">
        <v>0</v>
      </c>
      <c r="BL188" s="105" t="n">
        <v>0</v>
      </c>
      <c r="BM188" s="105" t="n">
        <v>0</v>
      </c>
      <c r="BN188" s="105" t="n">
        <v>0</v>
      </c>
      <c r="BO188" s="105" t="n">
        <v>0</v>
      </c>
      <c r="BP188" s="105" t="n">
        <v>0</v>
      </c>
      <c r="BQ188" s="105" t="n">
        <v>0</v>
      </c>
      <c r="BR188" s="106" t="n">
        <f aca="false">SUM(AP188:BQ188)/60</f>
        <v>0</v>
      </c>
      <c r="BS188" s="106" t="n">
        <f aca="false">SUM(AP188:BR188)/60</f>
        <v>0</v>
      </c>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row>
    <row r="189" customFormat="false" ht="14.9" hidden="true" customHeight="false" outlineLevel="0" collapsed="false">
      <c r="A189" s="74" t="n">
        <f aca="false">MONTH(B189)</f>
        <v>8</v>
      </c>
      <c r="B189" s="75" t="n">
        <v>44426</v>
      </c>
      <c r="C189" s="128" t="s">
        <v>70</v>
      </c>
      <c r="D189" s="77" t="str">
        <f aca="false">IFERROR(VLOOKUP(E:E,'Item Data Support Sheet'!A:O,7,0),"")</f>
        <v>BOTTLE MOLDED</v>
      </c>
      <c r="E189" s="80" t="s">
        <v>69</v>
      </c>
      <c r="F189" s="123" t="s">
        <v>73</v>
      </c>
      <c r="G189" s="77" t="s">
        <v>74</v>
      </c>
      <c r="H189" s="79" t="str">
        <f aca="false">IFERROR(VLOOKUP(E:E,'Item Data Support Sheet'!A:O,2,0),"")</f>
        <v>KPP 240 ML BOTTLE MOLDED</v>
      </c>
      <c r="I189" s="80" t="s">
        <v>488</v>
      </c>
      <c r="J189" s="80" t="s">
        <v>140</v>
      </c>
      <c r="K189" s="81" t="n">
        <v>8</v>
      </c>
      <c r="L189" s="124" t="n">
        <v>2574</v>
      </c>
      <c r="M189" s="83" t="n">
        <f aca="false">IFERROR(L189/K189,0)</f>
        <v>321.75</v>
      </c>
      <c r="N189" s="84" t="n">
        <f aca="false">+O189+Q189+T189+U189</f>
        <v>3201</v>
      </c>
      <c r="O189" s="85" t="n">
        <f aca="false">29*108</f>
        <v>3132</v>
      </c>
      <c r="P189" s="86" t="n">
        <v>0.15</v>
      </c>
      <c r="Q189" s="87" t="n">
        <v>18</v>
      </c>
      <c r="R189" s="88" t="n">
        <v>0</v>
      </c>
      <c r="S189" s="88" t="n">
        <v>0</v>
      </c>
      <c r="T189" s="88" t="n">
        <v>51</v>
      </c>
      <c r="U189" s="88" t="n">
        <v>0</v>
      </c>
      <c r="V189" s="89" t="n">
        <v>1</v>
      </c>
      <c r="W189" s="90" t="n">
        <f aca="false">IFERROR(O189/V189,0)</f>
        <v>3132</v>
      </c>
      <c r="X189" s="91" t="n">
        <f aca="false">O189/L189</f>
        <v>1.21678321678322</v>
      </c>
      <c r="Y189" s="92" t="str">
        <f aca="false">IFERROR(VLOOKUP(E:E,'Item Data Support Sheet'!A:J,6,0),0)</f>
        <v>HMC</v>
      </c>
      <c r="Z189" s="93" t="n">
        <f aca="false">IFERROR(VLOOKUP(E:E,'Item Data Support Sheet'!A:O,4,0),0)</f>
        <v>32.1</v>
      </c>
      <c r="AA189" s="93" t="n">
        <f aca="false">IFERROR(((N189)*(Z189/1000))+P189,0)</f>
        <v>102.9021</v>
      </c>
      <c r="AB189" s="94" t="n">
        <f aca="false">IFERROR((O189*(Z189/1000)/(AA189))," ")</f>
        <v>0.977017961732559</v>
      </c>
      <c r="AC189" s="95" t="n">
        <f aca="false">IFERROR((T189)/((T189)+O189),0)</f>
        <v>0.0160226201696513</v>
      </c>
      <c r="AD189" s="96" t="n">
        <f aca="false">IFERROR(Q189/(Q189+N189),0)</f>
        <v>0.00559179869524697</v>
      </c>
      <c r="AE189" s="91" t="n">
        <f aca="false">(N189-T189)/N189</f>
        <v>0.98406747891284</v>
      </c>
      <c r="AF189" s="97" t="n">
        <f aca="false">BR189</f>
        <v>0</v>
      </c>
      <c r="AG189" s="98" t="n">
        <f aca="false">K189-AF189</f>
        <v>8</v>
      </c>
      <c r="AH189" s="99" t="n">
        <f aca="false">IFERROR(AG189/K189," ")</f>
        <v>1</v>
      </c>
      <c r="AI189" s="100" t="n">
        <f aca="false">IFERROR(O189/K189,0)</f>
        <v>391.5</v>
      </c>
      <c r="AJ189" s="101" t="n">
        <f aca="false">VLOOKUP(D189,'Standard Cycle time'!C:D,2,0)</f>
        <v>9</v>
      </c>
      <c r="AK189" s="101" t="n">
        <f aca="false">AG189*V189*3600/O189</f>
        <v>9.19540229885057</v>
      </c>
      <c r="AL189" s="102" t="n">
        <f aca="false">AJ189/AK189</f>
        <v>0.97875</v>
      </c>
      <c r="AM189" s="99" t="n">
        <f aca="false">AE189*AL189*AH189</f>
        <v>0.963156044985942</v>
      </c>
      <c r="AN189" s="103" t="n">
        <v>2501</v>
      </c>
      <c r="AO189" s="104"/>
      <c r="AP189" s="105" t="n">
        <v>0</v>
      </c>
      <c r="AQ189" s="105" t="n">
        <v>0</v>
      </c>
      <c r="AR189" s="105" t="n">
        <v>0</v>
      </c>
      <c r="AS189" s="105" t="n">
        <v>0</v>
      </c>
      <c r="AT189" s="105" t="n">
        <v>0</v>
      </c>
      <c r="AU189" s="105" t="n">
        <v>0</v>
      </c>
      <c r="AV189" s="105" t="n">
        <v>0</v>
      </c>
      <c r="AW189" s="105" t="n">
        <v>0</v>
      </c>
      <c r="AX189" s="105" t="n">
        <v>0</v>
      </c>
      <c r="AY189" s="105" t="n">
        <v>0</v>
      </c>
      <c r="AZ189" s="105" t="n">
        <v>0</v>
      </c>
      <c r="BA189" s="105" t="n">
        <v>0</v>
      </c>
      <c r="BB189" s="105" t="n">
        <v>0</v>
      </c>
      <c r="BC189" s="105" t="n">
        <v>0</v>
      </c>
      <c r="BD189" s="105" t="n">
        <v>0</v>
      </c>
      <c r="BE189" s="105" t="n">
        <v>0</v>
      </c>
      <c r="BF189" s="105" t="n">
        <v>0</v>
      </c>
      <c r="BG189" s="105" t="n">
        <v>0</v>
      </c>
      <c r="BH189" s="105" t="n">
        <v>0</v>
      </c>
      <c r="BI189" s="105" t="n">
        <v>0</v>
      </c>
      <c r="BJ189" s="105" t="n">
        <v>0</v>
      </c>
      <c r="BK189" s="105" t="n">
        <v>0</v>
      </c>
      <c r="BL189" s="105" t="n">
        <v>0</v>
      </c>
      <c r="BM189" s="105" t="n">
        <v>0</v>
      </c>
      <c r="BN189" s="105" t="n">
        <v>0</v>
      </c>
      <c r="BO189" s="105" t="n">
        <v>0</v>
      </c>
      <c r="BP189" s="105" t="n">
        <v>0</v>
      </c>
      <c r="BQ189" s="105" t="n">
        <v>0</v>
      </c>
      <c r="BR189" s="106" t="n">
        <f aca="false">SUM(AP189:BQ189)/60</f>
        <v>0</v>
      </c>
      <c r="BS189" s="106" t="n">
        <f aca="false">SUM(AP189:BR189)/60</f>
        <v>0</v>
      </c>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row>
    <row r="190" customFormat="false" ht="14.9" hidden="true" customHeight="false" outlineLevel="0" collapsed="false">
      <c r="A190" s="74" t="n">
        <f aca="false">MONTH(B190)</f>
        <v>8</v>
      </c>
      <c r="B190" s="75" t="n">
        <v>44426</v>
      </c>
      <c r="C190" s="128" t="s">
        <v>70</v>
      </c>
      <c r="D190" s="77" t="str">
        <f aca="false">IFERROR(VLOOKUP(E:E,'Item Data Support Sheet'!A:O,7,0),"")</f>
        <v>CAP MOLDED</v>
      </c>
      <c r="E190" s="80" t="s">
        <v>453</v>
      </c>
      <c r="F190" s="122"/>
      <c r="G190" s="77" t="s">
        <v>200</v>
      </c>
      <c r="H190" s="79" t="str">
        <f aca="false">IFERROR(VLOOKUP(E:E,'Item Data Support Sheet'!A:O,2,0),"")</f>
        <v>CAP S TYPE MOLDED WHITE</v>
      </c>
      <c r="I190" s="80" t="s">
        <v>489</v>
      </c>
      <c r="J190" s="80" t="s">
        <v>140</v>
      </c>
      <c r="K190" s="81" t="n">
        <v>5.4</v>
      </c>
      <c r="L190" s="124" t="n">
        <v>2800</v>
      </c>
      <c r="M190" s="83" t="n">
        <f aca="false">IFERROR(L190/K190,0)</f>
        <v>518.518518518519</v>
      </c>
      <c r="N190" s="84" t="n">
        <f aca="false">+O190+Q190+T190+U190</f>
        <v>2880</v>
      </c>
      <c r="O190" s="85" t="n">
        <v>2880</v>
      </c>
      <c r="P190" s="86" t="n">
        <v>0</v>
      </c>
      <c r="Q190" s="87" t="n">
        <v>0</v>
      </c>
      <c r="R190" s="88" t="n">
        <v>0</v>
      </c>
      <c r="S190" s="88" t="n">
        <v>0</v>
      </c>
      <c r="T190" s="88" t="n">
        <v>0</v>
      </c>
      <c r="U190" s="88" t="n">
        <v>0</v>
      </c>
      <c r="V190" s="89" t="n">
        <v>1</v>
      </c>
      <c r="W190" s="90" t="n">
        <f aca="false">IFERROR(O190/V190,0)</f>
        <v>2880</v>
      </c>
      <c r="X190" s="91" t="n">
        <f aca="false">O190/L190</f>
        <v>1.02857142857143</v>
      </c>
      <c r="Y190" s="92" t="str">
        <f aca="false">IFERROR(VLOOKUP(E:E,'Item Data Support Sheet'!A:J,6,0),0)</f>
        <v>RM000106</v>
      </c>
      <c r="Z190" s="93" t="n">
        <f aca="false">IFERROR(VLOOKUP(E:E,'Item Data Support Sheet'!A:O,4,0),0)</f>
        <v>7.3</v>
      </c>
      <c r="AA190" s="93" t="n">
        <f aca="false">IFERROR(((N190)*(Z190/1000))+P190,0)</f>
        <v>21.024</v>
      </c>
      <c r="AB190" s="94" t="n">
        <f aca="false">IFERROR((O190*(Z190/1000)/(AA190))," ")</f>
        <v>1</v>
      </c>
      <c r="AC190" s="95" t="n">
        <f aca="false">IFERROR((T190)/((T190)+O190),0)</f>
        <v>0</v>
      </c>
      <c r="AD190" s="96" t="n">
        <f aca="false">IFERROR(Q190/(Q190+N190),0)</f>
        <v>0</v>
      </c>
      <c r="AE190" s="91" t="n">
        <f aca="false">(N190-T190)/N190</f>
        <v>1</v>
      </c>
      <c r="AF190" s="97" t="n">
        <f aca="false">BR190</f>
        <v>0.333333333333333</v>
      </c>
      <c r="AG190" s="98" t="n">
        <f aca="false">K190-AF190</f>
        <v>5.06666666666667</v>
      </c>
      <c r="AH190" s="99" t="n">
        <f aca="false">IFERROR(AG190/K190," ")</f>
        <v>0.938271604938272</v>
      </c>
      <c r="AI190" s="100" t="n">
        <f aca="false">IFERROR(O190/K190,0)</f>
        <v>533.333333333333</v>
      </c>
      <c r="AJ190" s="101" t="n">
        <f aca="false">VLOOKUP(D190,'Standard Cycle time'!C:D,2,0)</f>
        <v>6</v>
      </c>
      <c r="AK190" s="101" t="n">
        <f aca="false">AG190*V190*3600/O190</f>
        <v>6.33333333333334</v>
      </c>
      <c r="AL190" s="102" t="n">
        <f aca="false">AJ190/AK190</f>
        <v>0.947368421052631</v>
      </c>
      <c r="AM190" s="99" t="n">
        <f aca="false">AE190*AL190*AH190</f>
        <v>0.888888888888889</v>
      </c>
      <c r="AN190" s="103" t="n">
        <v>2694</v>
      </c>
      <c r="AO190" s="104"/>
      <c r="AP190" s="105" t="n">
        <v>0</v>
      </c>
      <c r="AQ190" s="105" t="n">
        <v>0</v>
      </c>
      <c r="AR190" s="105" t="n">
        <v>0</v>
      </c>
      <c r="AS190" s="105" t="n">
        <v>0</v>
      </c>
      <c r="AT190" s="105" t="n">
        <v>0</v>
      </c>
      <c r="AU190" s="105" t="n">
        <v>0</v>
      </c>
      <c r="AV190" s="105" t="n">
        <v>20</v>
      </c>
      <c r="AW190" s="105" t="n">
        <v>0</v>
      </c>
      <c r="AX190" s="105" t="n">
        <v>0</v>
      </c>
      <c r="AY190" s="105" t="n">
        <v>0</v>
      </c>
      <c r="AZ190" s="105" t="n">
        <v>0</v>
      </c>
      <c r="BA190" s="105" t="n">
        <v>0</v>
      </c>
      <c r="BB190" s="105" t="n">
        <v>0</v>
      </c>
      <c r="BC190" s="105" t="n">
        <v>0</v>
      </c>
      <c r="BD190" s="105" t="n">
        <v>0</v>
      </c>
      <c r="BE190" s="105" t="n">
        <v>0</v>
      </c>
      <c r="BF190" s="105" t="n">
        <v>0</v>
      </c>
      <c r="BG190" s="105" t="n">
        <v>0</v>
      </c>
      <c r="BH190" s="105" t="n">
        <v>0</v>
      </c>
      <c r="BI190" s="105" t="n">
        <v>0</v>
      </c>
      <c r="BJ190" s="105" t="n">
        <v>0</v>
      </c>
      <c r="BK190" s="105" t="n">
        <v>0</v>
      </c>
      <c r="BL190" s="105" t="n">
        <v>0</v>
      </c>
      <c r="BM190" s="105" t="n">
        <v>0</v>
      </c>
      <c r="BN190" s="105" t="n">
        <v>0</v>
      </c>
      <c r="BO190" s="105" t="n">
        <v>0</v>
      </c>
      <c r="BP190" s="105" t="n">
        <v>0</v>
      </c>
      <c r="BQ190" s="105" t="n">
        <v>0</v>
      </c>
      <c r="BR190" s="106" t="n">
        <f aca="false">SUM(AP190:BQ190)/60</f>
        <v>0.333333333333333</v>
      </c>
      <c r="BS190" s="106" t="n">
        <f aca="false">SUM(AP190:BR190)/60</f>
        <v>0.338888888888889</v>
      </c>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row>
    <row r="191" customFormat="false" ht="14.9" hidden="true" customHeight="false" outlineLevel="0" collapsed="false">
      <c r="A191" s="74" t="n">
        <f aca="false">MONTH(B191)</f>
        <v>8</v>
      </c>
      <c r="B191" s="75" t="n">
        <v>44426</v>
      </c>
      <c r="C191" s="128" t="s">
        <v>70</v>
      </c>
      <c r="D191" s="77" t="str">
        <f aca="false">IFERROR(VLOOKUP(E:E,'Item Data Support Sheet'!A:O,7,0),"")</f>
        <v>CAP MOLDED</v>
      </c>
      <c r="E191" s="80" t="s">
        <v>453</v>
      </c>
      <c r="F191" s="122"/>
      <c r="G191" s="77" t="s">
        <v>200</v>
      </c>
      <c r="H191" s="79" t="str">
        <f aca="false">IFERROR(VLOOKUP(E:E,'Item Data Support Sheet'!A:O,2,0),"")</f>
        <v>CAP S TYPE MOLDED WHITE</v>
      </c>
      <c r="I191" s="80" t="s">
        <v>490</v>
      </c>
      <c r="J191" s="80" t="s">
        <v>140</v>
      </c>
      <c r="K191" s="81" t="n">
        <v>3.5</v>
      </c>
      <c r="L191" s="124" t="n">
        <f aca="false">4137-2800</f>
        <v>1337</v>
      </c>
      <c r="M191" s="83" t="n">
        <f aca="false">IFERROR(L191/K191,0)</f>
        <v>382</v>
      </c>
      <c r="N191" s="84" t="n">
        <f aca="false">+O191+Q191+T191+U191</f>
        <v>2008</v>
      </c>
      <c r="O191" s="85" t="n">
        <v>2000</v>
      </c>
      <c r="P191" s="86" t="n">
        <v>0</v>
      </c>
      <c r="Q191" s="87" t="n">
        <v>0</v>
      </c>
      <c r="R191" s="88" t="n">
        <v>0</v>
      </c>
      <c r="S191" s="88" t="n">
        <v>0</v>
      </c>
      <c r="T191" s="88" t="n">
        <v>8</v>
      </c>
      <c r="U191" s="88" t="n">
        <v>0</v>
      </c>
      <c r="V191" s="89" t="n">
        <v>1</v>
      </c>
      <c r="W191" s="90" t="n">
        <f aca="false">IFERROR(O191/V191,0)</f>
        <v>2000</v>
      </c>
      <c r="X191" s="91" t="n">
        <f aca="false">O191/L191</f>
        <v>1.49588631264024</v>
      </c>
      <c r="Y191" s="92" t="str">
        <f aca="false">IFERROR(VLOOKUP(E:E,'Item Data Support Sheet'!A:J,6,0),0)</f>
        <v>RM000106</v>
      </c>
      <c r="Z191" s="93" t="n">
        <f aca="false">IFERROR(VLOOKUP(E:E,'Item Data Support Sheet'!A:O,4,0),0)</f>
        <v>7.3</v>
      </c>
      <c r="AA191" s="93" t="n">
        <f aca="false">IFERROR(((N191)*(Z191/1000))+P191,0)</f>
        <v>14.6584</v>
      </c>
      <c r="AB191" s="94" t="n">
        <f aca="false">IFERROR((O191*(Z191/1000)/(AA191))," ")</f>
        <v>0.99601593625498</v>
      </c>
      <c r="AC191" s="95" t="n">
        <f aca="false">IFERROR((T191)/((T191)+O191),0)</f>
        <v>0.00398406374501992</v>
      </c>
      <c r="AD191" s="96" t="n">
        <f aca="false">IFERROR(Q191/(Q191+N191),0)</f>
        <v>0</v>
      </c>
      <c r="AE191" s="91" t="n">
        <f aca="false">(N191-T191)/N191</f>
        <v>0.99601593625498</v>
      </c>
      <c r="AF191" s="97" t="n">
        <f aca="false">BR191</f>
        <v>0</v>
      </c>
      <c r="AG191" s="98" t="n">
        <f aca="false">K191-AF191</f>
        <v>3.5</v>
      </c>
      <c r="AH191" s="99" t="n">
        <f aca="false">IFERROR(AG191/K191," ")</f>
        <v>1</v>
      </c>
      <c r="AI191" s="100" t="n">
        <f aca="false">IFERROR(O191/K191,0)</f>
        <v>571.428571428571</v>
      </c>
      <c r="AJ191" s="101" t="n">
        <f aca="false">VLOOKUP(D191,'Standard Cycle time'!C:D,2,0)</f>
        <v>6</v>
      </c>
      <c r="AK191" s="101" t="n">
        <f aca="false">AG191*V191*3600/O191</f>
        <v>6.3</v>
      </c>
      <c r="AL191" s="102" t="n">
        <f aca="false">AJ191/AK191</f>
        <v>0.952380952380952</v>
      </c>
      <c r="AM191" s="99" t="n">
        <f aca="false">AE191*AL191*AH191</f>
        <v>0.948586605957124</v>
      </c>
      <c r="AN191" s="103" t="n">
        <v>2695</v>
      </c>
      <c r="AO191" s="104"/>
      <c r="AP191" s="105" t="n">
        <v>0</v>
      </c>
      <c r="AQ191" s="105" t="n">
        <v>0</v>
      </c>
      <c r="AR191" s="105" t="n">
        <v>0</v>
      </c>
      <c r="AS191" s="105" t="n">
        <v>0</v>
      </c>
      <c r="AT191" s="105" t="n">
        <v>0</v>
      </c>
      <c r="AU191" s="105" t="n">
        <v>0</v>
      </c>
      <c r="AV191" s="105" t="n">
        <v>0</v>
      </c>
      <c r="AW191" s="105" t="n">
        <v>0</v>
      </c>
      <c r="AX191" s="105" t="n">
        <v>0</v>
      </c>
      <c r="AY191" s="105" t="n">
        <v>0</v>
      </c>
      <c r="AZ191" s="105" t="n">
        <v>0</v>
      </c>
      <c r="BA191" s="105" t="n">
        <v>0</v>
      </c>
      <c r="BB191" s="105" t="n">
        <v>0</v>
      </c>
      <c r="BC191" s="105" t="n">
        <v>0</v>
      </c>
      <c r="BD191" s="105" t="n">
        <v>0</v>
      </c>
      <c r="BE191" s="105" t="n">
        <v>0</v>
      </c>
      <c r="BF191" s="105" t="n">
        <v>0</v>
      </c>
      <c r="BG191" s="105" t="n">
        <v>0</v>
      </c>
      <c r="BH191" s="105" t="n">
        <v>0</v>
      </c>
      <c r="BI191" s="105" t="n">
        <v>0</v>
      </c>
      <c r="BJ191" s="105" t="n">
        <v>0</v>
      </c>
      <c r="BK191" s="105" t="n">
        <v>0</v>
      </c>
      <c r="BL191" s="105" t="n">
        <v>0</v>
      </c>
      <c r="BM191" s="105" t="n">
        <v>0</v>
      </c>
      <c r="BN191" s="105" t="n">
        <v>0</v>
      </c>
      <c r="BO191" s="105" t="n">
        <v>0</v>
      </c>
      <c r="BP191" s="105" t="n">
        <v>0</v>
      </c>
      <c r="BQ191" s="105" t="n">
        <v>0</v>
      </c>
      <c r="BR191" s="106" t="n">
        <f aca="false">SUM(AP191:BQ191)/60</f>
        <v>0</v>
      </c>
      <c r="BS191" s="106" t="n">
        <f aca="false">SUM(AP191:BR191)/60</f>
        <v>0</v>
      </c>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row>
    <row r="192" customFormat="false" ht="14.9" hidden="true" customHeight="false" outlineLevel="0" collapsed="false">
      <c r="A192" s="74" t="n">
        <f aca="false">MONTH(B192)</f>
        <v>8</v>
      </c>
      <c r="B192" s="75" t="n">
        <v>44426</v>
      </c>
      <c r="C192" s="128" t="s">
        <v>152</v>
      </c>
      <c r="D192" s="77" t="str">
        <f aca="false">IFERROR(VLOOKUP(E:E,'Item Data Support Sheet'!A:O,7,0),"")</f>
        <v>CAP MOLDED</v>
      </c>
      <c r="E192" s="108" t="s">
        <v>453</v>
      </c>
      <c r="F192" s="80"/>
      <c r="G192" s="77" t="s">
        <v>200</v>
      </c>
      <c r="H192" s="79" t="str">
        <f aca="false">IFERROR(VLOOKUP(E:E,'Item Data Support Sheet'!A:O,2,0),"")</f>
        <v>CAP S TYPE MOLDED WHITE</v>
      </c>
      <c r="I192" s="80" t="s">
        <v>491</v>
      </c>
      <c r="J192" s="80" t="s">
        <v>143</v>
      </c>
      <c r="K192" s="81" t="n">
        <v>8</v>
      </c>
      <c r="L192" s="124" t="n">
        <v>4137</v>
      </c>
      <c r="M192" s="83" t="n">
        <f aca="false">IFERROR(L192/K192,0)</f>
        <v>517.125</v>
      </c>
      <c r="N192" s="84" t="n">
        <f aca="false">+O192+Q192+T192+U192</f>
        <v>4015</v>
      </c>
      <c r="O192" s="85" t="n">
        <v>4000</v>
      </c>
      <c r="P192" s="86" t="n">
        <v>0</v>
      </c>
      <c r="Q192" s="87" t="n">
        <v>0</v>
      </c>
      <c r="R192" s="88" t="n">
        <v>0</v>
      </c>
      <c r="S192" s="88" t="n">
        <v>0</v>
      </c>
      <c r="T192" s="88" t="n">
        <v>7</v>
      </c>
      <c r="U192" s="88" t="n">
        <v>8</v>
      </c>
      <c r="V192" s="89" t="n">
        <v>1</v>
      </c>
      <c r="W192" s="90" t="n">
        <f aca="false">IFERROR(O192/V192,0)</f>
        <v>4000</v>
      </c>
      <c r="X192" s="91" t="n">
        <f aca="false">O192/L192</f>
        <v>0.96688421561518</v>
      </c>
      <c r="Y192" s="92" t="str">
        <f aca="false">IFERROR(VLOOKUP(E:E,'Item Data Support Sheet'!A:J,6,0),0)</f>
        <v>RM000106</v>
      </c>
      <c r="Z192" s="93" t="n">
        <f aca="false">IFERROR(VLOOKUP(E:E,'Item Data Support Sheet'!A:O,4,0),0)</f>
        <v>7.3</v>
      </c>
      <c r="AA192" s="93" t="n">
        <f aca="false">IFERROR(((N192)*(Z192/1000))+P192,0)</f>
        <v>29.3095</v>
      </c>
      <c r="AB192" s="94" t="n">
        <f aca="false">IFERROR((O192*(Z192/1000)/(AA192))," ")</f>
        <v>0.99626400996264</v>
      </c>
      <c r="AC192" s="95" t="n">
        <f aca="false">IFERROR((T192)/((T192)+O192),0)</f>
        <v>0.00174694285001248</v>
      </c>
      <c r="AD192" s="96" t="n">
        <f aca="false">IFERROR(Q192/(Q192+N192),0)</f>
        <v>0</v>
      </c>
      <c r="AE192" s="91" t="n">
        <f aca="false">(N192-T192)/N192</f>
        <v>0.998256537982565</v>
      </c>
      <c r="AF192" s="97" t="n">
        <f aca="false">BR192</f>
        <v>0.5</v>
      </c>
      <c r="AG192" s="98" t="n">
        <f aca="false">K192-AF192</f>
        <v>7.5</v>
      </c>
      <c r="AH192" s="99" t="n">
        <f aca="false">IFERROR(AG192/K192," ")</f>
        <v>0.9375</v>
      </c>
      <c r="AI192" s="100" t="n">
        <f aca="false">IFERROR(O192/K192,0)</f>
        <v>500</v>
      </c>
      <c r="AJ192" s="101" t="n">
        <f aca="false">VLOOKUP(D192,'Standard Cycle time'!C:D,2,0)</f>
        <v>6</v>
      </c>
      <c r="AK192" s="101" t="n">
        <f aca="false">AG192*V192*3600/O192</f>
        <v>6.75</v>
      </c>
      <c r="AL192" s="102" t="n">
        <f aca="false">AJ192/AK192</f>
        <v>0.888888888888889</v>
      </c>
      <c r="AM192" s="99" t="n">
        <f aca="false">AE192*AL192*AH192</f>
        <v>0.831880448318804</v>
      </c>
      <c r="AN192" s="103" t="n">
        <v>2695</v>
      </c>
      <c r="AO192" s="104"/>
      <c r="AP192" s="105" t="n">
        <v>0</v>
      </c>
      <c r="AQ192" s="105" t="n">
        <v>0</v>
      </c>
      <c r="AR192" s="105" t="n">
        <v>0</v>
      </c>
      <c r="AS192" s="105" t="n">
        <v>0</v>
      </c>
      <c r="AT192" s="105" t="n">
        <v>0</v>
      </c>
      <c r="AU192" s="105" t="n">
        <v>0</v>
      </c>
      <c r="AV192" s="105" t="n">
        <v>30</v>
      </c>
      <c r="AW192" s="105" t="n">
        <v>0</v>
      </c>
      <c r="AX192" s="105" t="n">
        <v>0</v>
      </c>
      <c r="AY192" s="105" t="n">
        <v>0</v>
      </c>
      <c r="AZ192" s="105" t="n">
        <v>0</v>
      </c>
      <c r="BA192" s="105" t="n">
        <v>0</v>
      </c>
      <c r="BB192" s="105" t="n">
        <v>0</v>
      </c>
      <c r="BC192" s="105" t="n">
        <v>0</v>
      </c>
      <c r="BD192" s="105" t="n">
        <v>0</v>
      </c>
      <c r="BE192" s="105" t="n">
        <v>0</v>
      </c>
      <c r="BF192" s="105" t="n">
        <v>0</v>
      </c>
      <c r="BG192" s="105" t="n">
        <v>0</v>
      </c>
      <c r="BH192" s="105" t="n">
        <v>0</v>
      </c>
      <c r="BI192" s="105" t="n">
        <v>0</v>
      </c>
      <c r="BJ192" s="105" t="n">
        <v>0</v>
      </c>
      <c r="BK192" s="105" t="n">
        <v>0</v>
      </c>
      <c r="BL192" s="105" t="n">
        <v>0</v>
      </c>
      <c r="BM192" s="105" t="n">
        <v>0</v>
      </c>
      <c r="BN192" s="105" t="n">
        <v>0</v>
      </c>
      <c r="BO192" s="105" t="n">
        <v>0</v>
      </c>
      <c r="BP192" s="105" t="n">
        <v>0</v>
      </c>
      <c r="BQ192" s="105" t="n">
        <v>0</v>
      </c>
      <c r="BR192" s="106" t="n">
        <f aca="false">SUM(AP192:BQ192)/60</f>
        <v>0.5</v>
      </c>
      <c r="BS192" s="106" t="n">
        <f aca="false">SUM(AP192:BR192)/60</f>
        <v>0.508333333333333</v>
      </c>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row>
    <row r="193" customFormat="false" ht="14.9" hidden="true" customHeight="false" outlineLevel="0" collapsed="false">
      <c r="A193" s="74" t="n">
        <f aca="false">MONTH(B193)</f>
        <v>8</v>
      </c>
      <c r="B193" s="75" t="n">
        <v>44426</v>
      </c>
      <c r="C193" s="128" t="s">
        <v>152</v>
      </c>
      <c r="D193" s="77" t="str">
        <f aca="false">IFERROR(VLOOKUP(E:E,'Item Data Support Sheet'!A:O,7,0),"")</f>
        <v>NIPPLE MOLDED</v>
      </c>
      <c r="E193" s="108" t="s">
        <v>492</v>
      </c>
      <c r="F193" s="123" t="s">
        <v>137</v>
      </c>
      <c r="G193" s="77" t="s">
        <v>138</v>
      </c>
      <c r="H193" s="79" t="str">
        <f aca="false">IFERROR(VLOOKUP(E:E,'Item Data Support Sheet'!A:O,2,0),"")</f>
        <v>NIPPLE S TYPE LL SIZE INJECTION</v>
      </c>
      <c r="I193" s="80" t="s">
        <v>493</v>
      </c>
      <c r="J193" s="80" t="s">
        <v>143</v>
      </c>
      <c r="K193" s="81" t="n">
        <v>8</v>
      </c>
      <c r="L193" s="124" t="n">
        <v>4815</v>
      </c>
      <c r="M193" s="83" t="n">
        <f aca="false">IFERROR(L193/K193,0)</f>
        <v>601.875</v>
      </c>
      <c r="N193" s="84" t="n">
        <f aca="false">+O193+Q193+T193+U193</f>
        <v>3702</v>
      </c>
      <c r="O193" s="85" t="n">
        <v>3600</v>
      </c>
      <c r="P193" s="86" t="n">
        <v>0</v>
      </c>
      <c r="Q193" s="87" t="n">
        <v>53</v>
      </c>
      <c r="R193" s="88" t="n">
        <v>0</v>
      </c>
      <c r="S193" s="88" t="n">
        <v>0</v>
      </c>
      <c r="T193" s="88" t="n">
        <v>41</v>
      </c>
      <c r="U193" s="88" t="n">
        <v>8</v>
      </c>
      <c r="V193" s="89" t="n">
        <v>1</v>
      </c>
      <c r="W193" s="90" t="n">
        <f aca="false">IFERROR(O193/V193,0)</f>
        <v>3600</v>
      </c>
      <c r="X193" s="91" t="n">
        <f aca="false">O193/L193</f>
        <v>0.747663551401869</v>
      </c>
      <c r="Y193" s="92" t="str">
        <f aca="false">IFERROR(VLOOKUP(E:E,'Item Data Support Sheet'!A:J,6,0),0)</f>
        <v>FO148</v>
      </c>
      <c r="Z193" s="93" t="n">
        <f aca="false">IFERROR(VLOOKUP(E:E,'Item Data Support Sheet'!A:O,4,0),0)</f>
        <v>6.8</v>
      </c>
      <c r="AA193" s="93" t="n">
        <f aca="false">IFERROR(((N193)*(Z193/1000))+P193,0)</f>
        <v>25.1736</v>
      </c>
      <c r="AB193" s="94" t="n">
        <f aca="false">IFERROR((O193*(Z193/1000)/(AA193))," ")</f>
        <v>0.972447325769854</v>
      </c>
      <c r="AC193" s="95" t="n">
        <f aca="false">IFERROR((T193)/((T193)+O193),0)</f>
        <v>0.0112606426805823</v>
      </c>
      <c r="AD193" s="96" t="n">
        <f aca="false">IFERROR(Q193/(Q193+N193),0)</f>
        <v>0.0141145139813582</v>
      </c>
      <c r="AE193" s="91" t="n">
        <f aca="false">(N193-T193)/N193</f>
        <v>0.98892490545651</v>
      </c>
      <c r="AF193" s="97" t="n">
        <f aca="false">BR193</f>
        <v>2</v>
      </c>
      <c r="AG193" s="98" t="n">
        <f aca="false">K193-AF193</f>
        <v>6</v>
      </c>
      <c r="AH193" s="99" t="n">
        <f aca="false">IFERROR(AG193/K193," ")</f>
        <v>0.75</v>
      </c>
      <c r="AI193" s="100" t="n">
        <f aca="false">IFERROR(O193/K193,0)</f>
        <v>450</v>
      </c>
      <c r="AJ193" s="101" t="n">
        <f aca="false">VLOOKUP(D193,'Standard Cycle time'!C:D,2,0)</f>
        <v>5.25</v>
      </c>
      <c r="AK193" s="101" t="n">
        <f aca="false">AG193*V193*3600/O193</f>
        <v>6</v>
      </c>
      <c r="AL193" s="102" t="n">
        <f aca="false">AJ193/AK193</f>
        <v>0.875</v>
      </c>
      <c r="AM193" s="99" t="n">
        <f aca="false">AE193*AL193*AH193</f>
        <v>0.648981969205835</v>
      </c>
      <c r="AN193" s="103" t="n">
        <v>2505</v>
      </c>
      <c r="AO193" s="130" t="s">
        <v>494</v>
      </c>
      <c r="AP193" s="105" t="n">
        <v>0</v>
      </c>
      <c r="AQ193" s="105"/>
      <c r="AR193" s="105" t="n">
        <v>0</v>
      </c>
      <c r="AS193" s="105" t="n">
        <v>0</v>
      </c>
      <c r="AT193" s="105" t="n">
        <v>0</v>
      </c>
      <c r="AU193" s="105" t="n">
        <v>0</v>
      </c>
      <c r="AV193" s="105" t="n">
        <v>0</v>
      </c>
      <c r="AW193" s="105" t="n">
        <v>0</v>
      </c>
      <c r="AX193" s="105" t="n">
        <v>0</v>
      </c>
      <c r="AY193" s="105" t="n">
        <v>0</v>
      </c>
      <c r="AZ193" s="105" t="n">
        <v>0</v>
      </c>
      <c r="BA193" s="105" t="n">
        <v>0</v>
      </c>
      <c r="BB193" s="105" t="n">
        <v>120</v>
      </c>
      <c r="BC193" s="105" t="n">
        <v>0</v>
      </c>
      <c r="BD193" s="105" t="n">
        <v>0</v>
      </c>
      <c r="BE193" s="105" t="n">
        <v>0</v>
      </c>
      <c r="BF193" s="105" t="n">
        <v>0</v>
      </c>
      <c r="BG193" s="105" t="n">
        <v>0</v>
      </c>
      <c r="BH193" s="105" t="n">
        <v>0</v>
      </c>
      <c r="BI193" s="105" t="n">
        <v>0</v>
      </c>
      <c r="BJ193" s="105" t="n">
        <v>0</v>
      </c>
      <c r="BK193" s="105" t="n">
        <v>0</v>
      </c>
      <c r="BL193" s="105" t="n">
        <v>0</v>
      </c>
      <c r="BM193" s="105" t="n">
        <v>0</v>
      </c>
      <c r="BN193" s="105" t="n">
        <v>0</v>
      </c>
      <c r="BO193" s="105" t="n">
        <v>0</v>
      </c>
      <c r="BP193" s="105" t="n">
        <v>0</v>
      </c>
      <c r="BQ193" s="105" t="n">
        <v>0</v>
      </c>
      <c r="BR193" s="106" t="n">
        <f aca="false">SUM(AP193:BQ193)/60</f>
        <v>2</v>
      </c>
      <c r="BS193" s="106" t="n">
        <f aca="false">SUM(AP193:BR193)/60</f>
        <v>2.03333333333333</v>
      </c>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row>
    <row r="194" customFormat="false" ht="15.65" hidden="true" customHeight="true" outlineLevel="0" collapsed="false">
      <c r="A194" s="74" t="n">
        <f aca="false">MONTH(B194)</f>
        <v>8</v>
      </c>
      <c r="B194" s="75" t="n">
        <v>44426</v>
      </c>
      <c r="C194" s="128" t="s">
        <v>152</v>
      </c>
      <c r="D194" s="77" t="str">
        <f aca="false">IFERROR(VLOOKUP(E:E,'Item Data Support Sheet'!A:O,7,0),"")</f>
        <v>BOTTLE MOLDED</v>
      </c>
      <c r="E194" s="108" t="s">
        <v>69</v>
      </c>
      <c r="F194" s="123" t="s">
        <v>73</v>
      </c>
      <c r="G194" s="77" t="s">
        <v>74</v>
      </c>
      <c r="H194" s="79" t="str">
        <f aca="false">IFERROR(VLOOKUP(E:E,'Item Data Support Sheet'!A:O,2,0),"")</f>
        <v>KPP 240 ML BOTTLE MOLDED</v>
      </c>
      <c r="I194" s="80" t="s">
        <v>495</v>
      </c>
      <c r="J194" s="80" t="s">
        <v>143</v>
      </c>
      <c r="K194" s="81" t="n">
        <v>8</v>
      </c>
      <c r="L194" s="124" t="n">
        <v>2574</v>
      </c>
      <c r="M194" s="83" t="n">
        <f aca="false">IFERROR(L194/K194,0)</f>
        <v>321.75</v>
      </c>
      <c r="N194" s="84" t="n">
        <f aca="false">+O194+Q194+T194+U194</f>
        <v>3287</v>
      </c>
      <c r="O194" s="85" t="n">
        <f aca="false">29*108</f>
        <v>3132</v>
      </c>
      <c r="P194" s="86" t="n">
        <v>0</v>
      </c>
      <c r="Q194" s="87" t="n">
        <v>69</v>
      </c>
      <c r="R194" s="88" t="n">
        <v>0</v>
      </c>
      <c r="S194" s="88" t="n">
        <v>0</v>
      </c>
      <c r="T194" s="88" t="n">
        <v>78</v>
      </c>
      <c r="U194" s="88" t="n">
        <v>8</v>
      </c>
      <c r="V194" s="89" t="n">
        <v>1</v>
      </c>
      <c r="W194" s="90" t="n">
        <f aca="false">IFERROR(O194/V194,0)</f>
        <v>3132</v>
      </c>
      <c r="X194" s="91" t="n">
        <f aca="false">O194/L194</f>
        <v>1.21678321678322</v>
      </c>
      <c r="Y194" s="92" t="str">
        <f aca="false">IFERROR(VLOOKUP(E:E,'Item Data Support Sheet'!A:J,6,0),0)</f>
        <v>HMC</v>
      </c>
      <c r="Z194" s="93" t="n">
        <f aca="false">IFERROR(VLOOKUP(E:E,'Item Data Support Sheet'!A:O,4,0),0)</f>
        <v>32.1</v>
      </c>
      <c r="AA194" s="93" t="n">
        <f aca="false">IFERROR(((N194)*(Z194/1000))+P194,0)</f>
        <v>105.5127</v>
      </c>
      <c r="AB194" s="94" t="n">
        <f aca="false">IFERROR((O194*(Z194/1000)/(AA194))," ")</f>
        <v>0.952844539093398</v>
      </c>
      <c r="AC194" s="95" t="n">
        <f aca="false">IFERROR((T194)/((T194)+O194),0)</f>
        <v>0.0242990654205607</v>
      </c>
      <c r="AD194" s="96" t="n">
        <f aca="false">IFERROR(Q194/(Q194+N194),0)</f>
        <v>0.0205601907032181</v>
      </c>
      <c r="AE194" s="91" t="n">
        <f aca="false">(N194-T194)/N194</f>
        <v>0.976270155156678</v>
      </c>
      <c r="AF194" s="97" t="n">
        <f aca="false">BR194</f>
        <v>0.333333333333333</v>
      </c>
      <c r="AG194" s="98" t="n">
        <f aca="false">K194-AF194</f>
        <v>7.66666666666667</v>
      </c>
      <c r="AH194" s="99" t="n">
        <f aca="false">IFERROR(AG194/K194," ")</f>
        <v>0.958333333333333</v>
      </c>
      <c r="AI194" s="100" t="n">
        <f aca="false">IFERROR(O194/K194,0)</f>
        <v>391.5</v>
      </c>
      <c r="AJ194" s="101" t="n">
        <f aca="false">VLOOKUP(D194,'Standard Cycle time'!C:D,2,0)</f>
        <v>9</v>
      </c>
      <c r="AK194" s="101" t="n">
        <f aca="false">AG194*V194*3600/O194</f>
        <v>8.81226053639847</v>
      </c>
      <c r="AL194" s="102" t="n">
        <f aca="false">AJ194/AK194</f>
        <v>1.02130434782609</v>
      </c>
      <c r="AM194" s="99" t="n">
        <f aca="false">AE194*AL194*AH194</f>
        <v>0.955524414359598</v>
      </c>
      <c r="AN194" s="103" t="n">
        <v>2506</v>
      </c>
      <c r="AO194" s="110" t="s">
        <v>496</v>
      </c>
      <c r="AP194" s="105" t="n">
        <v>0</v>
      </c>
      <c r="AQ194" s="105" t="n">
        <v>0</v>
      </c>
      <c r="AR194" s="105" t="n">
        <v>0</v>
      </c>
      <c r="AS194" s="105" t="n">
        <v>0</v>
      </c>
      <c r="AT194" s="105" t="n">
        <v>0</v>
      </c>
      <c r="AU194" s="105" t="n">
        <v>0</v>
      </c>
      <c r="AV194" s="105" t="n">
        <v>0</v>
      </c>
      <c r="AW194" s="105" t="n">
        <v>0</v>
      </c>
      <c r="AX194" s="105" t="n">
        <v>0</v>
      </c>
      <c r="AY194" s="105" t="n">
        <v>0</v>
      </c>
      <c r="AZ194" s="105" t="n">
        <v>20</v>
      </c>
      <c r="BA194" s="105" t="n">
        <v>0</v>
      </c>
      <c r="BB194" s="105" t="n">
        <v>0</v>
      </c>
      <c r="BC194" s="105" t="n">
        <v>0</v>
      </c>
      <c r="BD194" s="105" t="n">
        <v>0</v>
      </c>
      <c r="BE194" s="105" t="n">
        <v>0</v>
      </c>
      <c r="BF194" s="105" t="n">
        <v>0</v>
      </c>
      <c r="BG194" s="105" t="n">
        <v>0</v>
      </c>
      <c r="BH194" s="105" t="n">
        <v>0</v>
      </c>
      <c r="BI194" s="105" t="n">
        <v>0</v>
      </c>
      <c r="BJ194" s="105" t="n">
        <v>0</v>
      </c>
      <c r="BK194" s="105" t="n">
        <v>0</v>
      </c>
      <c r="BL194" s="105" t="n">
        <v>0</v>
      </c>
      <c r="BM194" s="105" t="n">
        <v>0</v>
      </c>
      <c r="BN194" s="105" t="n">
        <v>0</v>
      </c>
      <c r="BO194" s="105" t="n">
        <v>0</v>
      </c>
      <c r="BP194" s="105" t="n">
        <v>0</v>
      </c>
      <c r="BQ194" s="105" t="n">
        <v>0</v>
      </c>
      <c r="BR194" s="106" t="n">
        <f aca="false">SUM(AP194:BQ194)/60</f>
        <v>0.333333333333333</v>
      </c>
      <c r="BS194" s="106" t="n">
        <f aca="false">SUM(AP194:BR194)/60</f>
        <v>0.338888888888889</v>
      </c>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row>
    <row r="195" customFormat="false" ht="14.9" hidden="true" customHeight="false" outlineLevel="0" collapsed="false">
      <c r="A195" s="74" t="n">
        <f aca="false">MONTH(B195)</f>
        <v>8</v>
      </c>
      <c r="B195" s="75" t="n">
        <v>44426</v>
      </c>
      <c r="C195" s="128" t="s">
        <v>152</v>
      </c>
      <c r="D195" s="77" t="str">
        <f aca="false">IFERROR(VLOOKUP(E:E,'Item Data Support Sheet'!A:O,7,0),"")</f>
        <v>NIPPLE POSTCURE</v>
      </c>
      <c r="E195" s="80" t="s">
        <v>57</v>
      </c>
      <c r="F195" s="122"/>
      <c r="G195" s="77" t="s">
        <v>149</v>
      </c>
      <c r="H195" s="79" t="str">
        <f aca="false">IFERROR(VLOOKUP(E:E,'Item Data Support Sheet'!A:O,2,0),"")</f>
        <v>NIPPLE S TYPE S SIZE POSTCURED</v>
      </c>
      <c r="I195" s="80" t="s">
        <v>497</v>
      </c>
      <c r="J195" s="80" t="s">
        <v>143</v>
      </c>
      <c r="K195" s="81" t="n">
        <v>4</v>
      </c>
      <c r="L195" s="124" t="n">
        <v>7036</v>
      </c>
      <c r="M195" s="83" t="n">
        <f aca="false">IFERROR(L195/K195,0)</f>
        <v>1759</v>
      </c>
      <c r="N195" s="84" t="n">
        <f aca="false">+O195+Q195+T195+U195</f>
        <v>6950</v>
      </c>
      <c r="O195" s="85" t="n">
        <f aca="false">2000+4950</f>
        <v>6950</v>
      </c>
      <c r="P195" s="86" t="n">
        <v>0</v>
      </c>
      <c r="Q195" s="87" t="n">
        <v>0</v>
      </c>
      <c r="R195" s="88" t="n">
        <v>0</v>
      </c>
      <c r="S195" s="88" t="n">
        <v>0</v>
      </c>
      <c r="T195" s="88" t="n">
        <v>0</v>
      </c>
      <c r="U195" s="88" t="n">
        <v>0</v>
      </c>
      <c r="V195" s="89" t="n">
        <v>1</v>
      </c>
      <c r="W195" s="90" t="n">
        <f aca="false">IFERROR(O195/V195,0)</f>
        <v>6950</v>
      </c>
      <c r="X195" s="91" t="n">
        <f aca="false">O195/L195</f>
        <v>0.987777146105742</v>
      </c>
      <c r="Y195" s="92" t="str">
        <f aca="false">IFERROR(VLOOKUP(E:E,'Item Data Support Sheet'!A:J,6,0),0)</f>
        <v>FO011</v>
      </c>
      <c r="Z195" s="93" t="n">
        <f aca="false">IFERROR(VLOOKUP(E:E,'Item Data Support Sheet'!A:O,4,0),0)</f>
        <v>0</v>
      </c>
      <c r="AA195" s="93" t="n">
        <f aca="false">IFERROR(((N195)*(Z195/1000))+P195,0)</f>
        <v>0</v>
      </c>
      <c r="AB195" s="94" t="str">
        <f aca="false">IFERROR((O195*(Z195/1000)/(AA195))," ")</f>
        <v> </v>
      </c>
      <c r="AC195" s="95" t="n">
        <f aca="false">IFERROR((T195)/((T195)+O195),0)</f>
        <v>0</v>
      </c>
      <c r="AD195" s="96" t="n">
        <f aca="false">IFERROR(Q195/(Q195+N195),0)</f>
        <v>0</v>
      </c>
      <c r="AE195" s="91" t="n">
        <f aca="false">(N195-T195)/N195</f>
        <v>1</v>
      </c>
      <c r="AF195" s="97" t="n">
        <f aca="false">BR195</f>
        <v>0</v>
      </c>
      <c r="AG195" s="98" t="n">
        <f aca="false">K195-AF195</f>
        <v>4</v>
      </c>
      <c r="AH195" s="99" t="n">
        <f aca="false">IFERROR(AG195/K195," ")</f>
        <v>1</v>
      </c>
      <c r="AI195" s="100" t="n">
        <f aca="false">IFERROR(O195/K195,0)</f>
        <v>1737.5</v>
      </c>
      <c r="AJ195" s="101" t="n">
        <f aca="false">VLOOKUP(D195,'Standard Cycle time'!C:D,2,0)</f>
        <v>2.3</v>
      </c>
      <c r="AK195" s="101" t="n">
        <f aca="false">AG195*V195*3600/O195</f>
        <v>2.07194244604317</v>
      </c>
      <c r="AL195" s="102" t="n">
        <f aca="false">AJ195/AK195</f>
        <v>1.11006944444444</v>
      </c>
      <c r="AM195" s="99" t="n">
        <f aca="false">AE195*AL195*AH195</f>
        <v>1.11006944444444</v>
      </c>
      <c r="AN195" s="103" t="s">
        <v>498</v>
      </c>
      <c r="AO195" s="104"/>
      <c r="AP195" s="105" t="n">
        <v>40</v>
      </c>
      <c r="AQ195" s="105" t="n">
        <v>0</v>
      </c>
      <c r="AR195" s="105" t="n">
        <v>0</v>
      </c>
      <c r="AS195" s="105" t="n">
        <v>0</v>
      </c>
      <c r="AT195" s="105" t="n">
        <v>0</v>
      </c>
      <c r="AU195" s="105" t="n">
        <v>0</v>
      </c>
      <c r="AV195" s="105" t="n">
        <v>0</v>
      </c>
      <c r="AW195" s="105" t="n">
        <v>0</v>
      </c>
      <c r="AX195" s="105" t="n">
        <v>0</v>
      </c>
      <c r="AY195" s="105" t="n">
        <v>0</v>
      </c>
      <c r="AZ195" s="105" t="n">
        <v>0</v>
      </c>
      <c r="BA195" s="105" t="n">
        <v>0</v>
      </c>
      <c r="BB195" s="105" t="n">
        <v>0</v>
      </c>
      <c r="BC195" s="105" t="n">
        <v>0</v>
      </c>
      <c r="BD195" s="105" t="n">
        <v>0</v>
      </c>
      <c r="BE195" s="105" t="n">
        <v>0</v>
      </c>
      <c r="BF195" s="105" t="n">
        <v>0</v>
      </c>
      <c r="BG195" s="105" t="n">
        <v>0</v>
      </c>
      <c r="BH195" s="105" t="n">
        <v>0</v>
      </c>
      <c r="BI195" s="105" t="n">
        <v>0</v>
      </c>
      <c r="BJ195" s="105" t="n">
        <v>0</v>
      </c>
      <c r="BK195" s="105" t="n">
        <v>0</v>
      </c>
      <c r="BL195" s="105" t="n">
        <v>0</v>
      </c>
      <c r="BM195" s="105" t="n">
        <v>0</v>
      </c>
      <c r="BN195" s="105" t="n">
        <v>0</v>
      </c>
      <c r="BO195" s="105" t="n">
        <v>0</v>
      </c>
      <c r="BP195" s="105" t="n">
        <v>0</v>
      </c>
      <c r="BQ195" s="105" t="n">
        <v>0</v>
      </c>
      <c r="BR195" s="106" t="n">
        <v>0</v>
      </c>
      <c r="BS195" s="106" t="n">
        <v>0</v>
      </c>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row>
    <row r="196" customFormat="false" ht="14.9" hidden="true" customHeight="false" outlineLevel="0" collapsed="false">
      <c r="A196" s="74" t="n">
        <f aca="false">MONTH(B196)</f>
        <v>8</v>
      </c>
      <c r="B196" s="75" t="n">
        <v>44427</v>
      </c>
      <c r="C196" s="128" t="s">
        <v>51</v>
      </c>
      <c r="D196" s="77" t="str">
        <f aca="false">IFERROR(VLOOKUP(E:E,'Item Data Support Sheet'!A:O,7,0),"")</f>
        <v>BOTTLE MOLDED</v>
      </c>
      <c r="E196" s="80" t="s">
        <v>69</v>
      </c>
      <c r="F196" s="122" t="s">
        <v>74</v>
      </c>
      <c r="G196" s="77"/>
      <c r="H196" s="79" t="str">
        <f aca="false">IFERROR(VLOOKUP(E:E,'Item Data Support Sheet'!A:O,2,0),"")</f>
        <v>KPP 240 ML BOTTLE MOLDED</v>
      </c>
      <c r="I196" s="80" t="s">
        <v>499</v>
      </c>
      <c r="J196" s="80" t="s">
        <v>148</v>
      </c>
      <c r="K196" s="81" t="n">
        <v>8</v>
      </c>
      <c r="L196" s="124" t="n">
        <v>2574</v>
      </c>
      <c r="M196" s="83" t="n">
        <f aca="false">IFERROR(L196/K196,0)</f>
        <v>321.75</v>
      </c>
      <c r="N196" s="84" t="n">
        <f aca="false">+O196+Q196+T196+U196</f>
        <v>3286</v>
      </c>
      <c r="O196" s="85" t="n">
        <v>3132</v>
      </c>
      <c r="P196" s="86" t="n">
        <v>0</v>
      </c>
      <c r="Q196" s="87" t="n">
        <v>76</v>
      </c>
      <c r="R196" s="88" t="n">
        <v>0</v>
      </c>
      <c r="S196" s="88" t="n">
        <v>0</v>
      </c>
      <c r="T196" s="88" t="n">
        <v>70</v>
      </c>
      <c r="U196" s="88" t="n">
        <v>8</v>
      </c>
      <c r="V196" s="89" t="n">
        <v>1</v>
      </c>
      <c r="W196" s="90" t="n">
        <f aca="false">IFERROR(O196/V196,0)</f>
        <v>3132</v>
      </c>
      <c r="X196" s="91" t="n">
        <f aca="false">O196/L196</f>
        <v>1.21678321678322</v>
      </c>
      <c r="Y196" s="92" t="str">
        <f aca="false">IFERROR(VLOOKUP(E:E,'Item Data Support Sheet'!A:J,6,0),0)</f>
        <v>HMC</v>
      </c>
      <c r="Z196" s="93" t="n">
        <f aca="false">IFERROR(VLOOKUP(E:E,'Item Data Support Sheet'!A:O,4,0),0)</f>
        <v>32.1</v>
      </c>
      <c r="AA196" s="93" t="n">
        <f aca="false">IFERROR(((N196)*(Z196/1000))+P196,0)</f>
        <v>105.4806</v>
      </c>
      <c r="AB196" s="94" t="n">
        <f aca="false">IFERROR((O196*(Z196/1000)/(AA196))," ")</f>
        <v>0.953134510042605</v>
      </c>
      <c r="AC196" s="95" t="n">
        <f aca="false">IFERROR((T196)/((T196)+O196),0)</f>
        <v>0.0218613366645846</v>
      </c>
      <c r="AD196" s="96" t="n">
        <f aca="false">IFERROR(Q196/(Q196+N196),0)</f>
        <v>0.0226055919095776</v>
      </c>
      <c r="AE196" s="91" t="n">
        <f aca="false">(N196-T196)/N196</f>
        <v>0.97869750456482</v>
      </c>
      <c r="AF196" s="97" t="n">
        <f aca="false">BR196</f>
        <v>0</v>
      </c>
      <c r="AG196" s="98" t="n">
        <f aca="false">K196-AF196</f>
        <v>8</v>
      </c>
      <c r="AH196" s="99" t="n">
        <f aca="false">IFERROR(AG196/K196," ")</f>
        <v>1</v>
      </c>
      <c r="AI196" s="100" t="n">
        <f aca="false">IFERROR(O196/K196,0)</f>
        <v>391.5</v>
      </c>
      <c r="AJ196" s="101" t="n">
        <f aca="false">VLOOKUP(D196,'Standard Cycle time'!C:D,2,0)</f>
        <v>9</v>
      </c>
      <c r="AK196" s="101" t="n">
        <f aca="false">AG196*V196*3600/O196</f>
        <v>9.19540229885057</v>
      </c>
      <c r="AL196" s="102" t="n">
        <f aca="false">AJ196/AK196</f>
        <v>0.97875</v>
      </c>
      <c r="AM196" s="99" t="n">
        <f aca="false">AE196*AL196*AH196</f>
        <v>0.957900182592818</v>
      </c>
      <c r="AN196" s="103" t="s">
        <v>500</v>
      </c>
      <c r="AO196" s="104"/>
      <c r="AP196" s="105" t="n">
        <v>0</v>
      </c>
      <c r="AQ196" s="105" t="n">
        <v>0</v>
      </c>
      <c r="AR196" s="105" t="n">
        <v>0</v>
      </c>
      <c r="AS196" s="105" t="n">
        <v>0</v>
      </c>
      <c r="AT196" s="105" t="n">
        <v>0</v>
      </c>
      <c r="AU196" s="105" t="n">
        <v>0</v>
      </c>
      <c r="AV196" s="105" t="n">
        <v>0</v>
      </c>
      <c r="AW196" s="105" t="n">
        <v>0</v>
      </c>
      <c r="AX196" s="105" t="n">
        <v>0</v>
      </c>
      <c r="AY196" s="105" t="n">
        <v>0</v>
      </c>
      <c r="AZ196" s="105" t="n">
        <v>0</v>
      </c>
      <c r="BA196" s="105" t="n">
        <v>0</v>
      </c>
      <c r="BB196" s="105" t="n">
        <v>0</v>
      </c>
      <c r="BC196" s="105" t="n">
        <v>0</v>
      </c>
      <c r="BD196" s="105" t="n">
        <v>0</v>
      </c>
      <c r="BE196" s="105" t="n">
        <v>0</v>
      </c>
      <c r="BF196" s="105" t="n">
        <v>0</v>
      </c>
      <c r="BG196" s="105" t="n">
        <v>0</v>
      </c>
      <c r="BH196" s="105" t="n">
        <v>0</v>
      </c>
      <c r="BI196" s="105" t="n">
        <v>0</v>
      </c>
      <c r="BJ196" s="105" t="n">
        <v>0</v>
      </c>
      <c r="BK196" s="105" t="n">
        <v>0</v>
      </c>
      <c r="BL196" s="105" t="n">
        <v>0</v>
      </c>
      <c r="BM196" s="105" t="n">
        <v>0</v>
      </c>
      <c r="BN196" s="105" t="n">
        <v>0</v>
      </c>
      <c r="BO196" s="105" t="n">
        <v>0</v>
      </c>
      <c r="BP196" s="105" t="n">
        <v>0</v>
      </c>
      <c r="BQ196" s="105" t="n">
        <v>0</v>
      </c>
      <c r="BR196" s="106" t="n">
        <f aca="false">SUM(AP196:BQ196)/60</f>
        <v>0</v>
      </c>
      <c r="BS196" s="106" t="n">
        <f aca="false">SUM(AP196:BR196)/60</f>
        <v>0</v>
      </c>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row>
    <row r="197" customFormat="false" ht="14.9" hidden="true" customHeight="false" outlineLevel="0" collapsed="false">
      <c r="A197" s="74" t="n">
        <f aca="false">MONTH(B197)</f>
        <v>8</v>
      </c>
      <c r="B197" s="75" t="n">
        <v>44427</v>
      </c>
      <c r="C197" s="128" t="s">
        <v>51</v>
      </c>
      <c r="D197" s="77" t="str">
        <f aca="false">IFERROR(VLOOKUP(E:E,'Item Data Support Sheet'!A:O,7,0),"")</f>
        <v>NIPPLE MOLDED</v>
      </c>
      <c r="E197" s="80" t="s">
        <v>492</v>
      </c>
      <c r="F197" s="122"/>
      <c r="G197" s="77"/>
      <c r="H197" s="79" t="str">
        <f aca="false">IFERROR(VLOOKUP(E:E,'Item Data Support Sheet'!A:O,2,0),"")</f>
        <v>NIPPLE S TYPE LL SIZE INJECTION</v>
      </c>
      <c r="I197" s="80" t="s">
        <v>501</v>
      </c>
      <c r="J197" s="80" t="s">
        <v>148</v>
      </c>
      <c r="K197" s="81" t="n">
        <v>8</v>
      </c>
      <c r="L197" s="124" t="n">
        <v>4815</v>
      </c>
      <c r="M197" s="83" t="n">
        <f aca="false">IFERROR(L197/K197,0)</f>
        <v>601.875</v>
      </c>
      <c r="N197" s="84" t="n">
        <f aca="false">+O197+Q197+T197+U197</f>
        <v>5634</v>
      </c>
      <c r="O197" s="85" t="n">
        <v>5500</v>
      </c>
      <c r="P197" s="86" t="n">
        <v>0</v>
      </c>
      <c r="Q197" s="87" t="n">
        <v>48</v>
      </c>
      <c r="R197" s="88" t="n">
        <v>0</v>
      </c>
      <c r="S197" s="88" t="n">
        <v>0</v>
      </c>
      <c r="T197" s="88" t="n">
        <v>78</v>
      </c>
      <c r="U197" s="88" t="n">
        <v>8</v>
      </c>
      <c r="V197" s="89" t="n">
        <v>1</v>
      </c>
      <c r="W197" s="90" t="n">
        <f aca="false">IFERROR(O197/V197,0)</f>
        <v>5500</v>
      </c>
      <c r="X197" s="91" t="n">
        <f aca="false">O197/L197</f>
        <v>1.14226375908619</v>
      </c>
      <c r="Y197" s="92" t="str">
        <f aca="false">IFERROR(VLOOKUP(E:E,'Item Data Support Sheet'!A:J,6,0),0)</f>
        <v>FO148</v>
      </c>
      <c r="Z197" s="93" t="n">
        <f aca="false">IFERROR(VLOOKUP(E:E,'Item Data Support Sheet'!A:O,4,0),0)</f>
        <v>6.8</v>
      </c>
      <c r="AA197" s="93" t="n">
        <f aca="false">IFERROR(((N197)*(Z197/1000))+P197,0)</f>
        <v>38.3112</v>
      </c>
      <c r="AB197" s="94" t="n">
        <f aca="false">IFERROR((O197*(Z197/1000)/(AA197))," ")</f>
        <v>0.976215832445864</v>
      </c>
      <c r="AC197" s="95" t="n">
        <f aca="false">IFERROR((T197)/((T197)+O197),0)</f>
        <v>0.0139835066332019</v>
      </c>
      <c r="AD197" s="96" t="n">
        <f aca="false">IFERROR(Q197/(Q197+N197),0)</f>
        <v>0.00844772967265048</v>
      </c>
      <c r="AE197" s="91" t="n">
        <f aca="false">(N197-T197)/N197</f>
        <v>0.98615548455804</v>
      </c>
      <c r="AF197" s="97" t="n">
        <f aca="false">BR197</f>
        <v>0</v>
      </c>
      <c r="AG197" s="98" t="n">
        <f aca="false">K197-AF197</f>
        <v>8</v>
      </c>
      <c r="AH197" s="99" t="n">
        <f aca="false">IFERROR(AG197/K197," ")</f>
        <v>1</v>
      </c>
      <c r="AI197" s="100" t="n">
        <f aca="false">IFERROR(O197/K197,0)</f>
        <v>687.5</v>
      </c>
      <c r="AJ197" s="101" t="n">
        <f aca="false">VLOOKUP(D197,'Standard Cycle time'!C:D,2,0)</f>
        <v>5.25</v>
      </c>
      <c r="AK197" s="101" t="n">
        <f aca="false">AG197*V197*3600/O197</f>
        <v>5.23636363636364</v>
      </c>
      <c r="AL197" s="102" t="n">
        <f aca="false">AJ197/AK197</f>
        <v>1.00260416666667</v>
      </c>
      <c r="AM197" s="99" t="n">
        <f aca="false">AE197*AL197*AH197</f>
        <v>0.988723597799077</v>
      </c>
      <c r="AN197" s="103" t="n">
        <v>2526</v>
      </c>
      <c r="AO197" s="109"/>
      <c r="AP197" s="105" t="n">
        <v>0</v>
      </c>
      <c r="AQ197" s="105" t="n">
        <v>0</v>
      </c>
      <c r="AR197" s="105" t="n">
        <v>0</v>
      </c>
      <c r="AS197" s="105" t="n">
        <v>0</v>
      </c>
      <c r="AT197" s="105" t="n">
        <v>0</v>
      </c>
      <c r="AU197" s="105" t="n">
        <v>0</v>
      </c>
      <c r="AV197" s="105" t="n">
        <v>0</v>
      </c>
      <c r="AW197" s="105" t="n">
        <v>0</v>
      </c>
      <c r="AX197" s="105" t="n">
        <v>0</v>
      </c>
      <c r="AY197" s="105" t="n">
        <v>0</v>
      </c>
      <c r="AZ197" s="105" t="n">
        <v>0</v>
      </c>
      <c r="BA197" s="105" t="n">
        <v>0</v>
      </c>
      <c r="BB197" s="105" t="n">
        <v>0</v>
      </c>
      <c r="BC197" s="105" t="n">
        <v>0</v>
      </c>
      <c r="BD197" s="105" t="n">
        <v>0</v>
      </c>
      <c r="BE197" s="105" t="n">
        <v>0</v>
      </c>
      <c r="BF197" s="105" t="n">
        <v>0</v>
      </c>
      <c r="BG197" s="105" t="n">
        <v>0</v>
      </c>
      <c r="BH197" s="105" t="n">
        <v>0</v>
      </c>
      <c r="BI197" s="105" t="n">
        <v>0</v>
      </c>
      <c r="BJ197" s="105" t="n">
        <v>0</v>
      </c>
      <c r="BK197" s="105" t="n">
        <v>0</v>
      </c>
      <c r="BL197" s="105" t="n">
        <v>0</v>
      </c>
      <c r="BM197" s="105" t="n">
        <v>0</v>
      </c>
      <c r="BN197" s="105" t="n">
        <v>0</v>
      </c>
      <c r="BO197" s="105" t="n">
        <v>0</v>
      </c>
      <c r="BP197" s="105" t="n">
        <v>0</v>
      </c>
      <c r="BQ197" s="105" t="n">
        <v>0</v>
      </c>
      <c r="BR197" s="106" t="n">
        <f aca="false">SUM(AP197:BQ197)/60</f>
        <v>0</v>
      </c>
      <c r="BS197" s="106" t="n">
        <f aca="false">SUM(AP197:BR197)/60</f>
        <v>0</v>
      </c>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row>
    <row r="198" customFormat="false" ht="14.9" hidden="true" customHeight="false" outlineLevel="0" collapsed="false">
      <c r="A198" s="74" t="n">
        <f aca="false">MONTH(B198)</f>
        <v>8</v>
      </c>
      <c r="B198" s="75" t="n">
        <v>44427</v>
      </c>
      <c r="C198" s="128" t="s">
        <v>51</v>
      </c>
      <c r="D198" s="77" t="str">
        <f aca="false">IFERROR(VLOOKUP(E:E,'Item Data Support Sheet'!A:O,7,0),"")</f>
        <v>NIPPLE PUNCH</v>
      </c>
      <c r="E198" s="80" t="s">
        <v>53</v>
      </c>
      <c r="F198" s="122"/>
      <c r="G198" s="77"/>
      <c r="H198" s="79" t="str">
        <f aca="false">IFERROR(VLOOKUP(E:E,'Item Data Support Sheet'!A:O,2,0),"")</f>
        <v>NIPPLE S TYPE S SIZE PUNCHED</v>
      </c>
      <c r="I198" s="80" t="s">
        <v>502</v>
      </c>
      <c r="J198" s="80" t="s">
        <v>148</v>
      </c>
      <c r="K198" s="81" t="n">
        <v>8</v>
      </c>
      <c r="L198" s="124" t="n">
        <v>7000</v>
      </c>
      <c r="M198" s="83" t="n">
        <f aca="false">IFERROR(L198/K198,0)</f>
        <v>875</v>
      </c>
      <c r="N198" s="84" t="n">
        <f aca="false">+O198+Q198+T198+U198</f>
        <v>7000</v>
      </c>
      <c r="O198" s="85" t="n">
        <v>7000</v>
      </c>
      <c r="P198" s="86" t="n">
        <v>0</v>
      </c>
      <c r="Q198" s="87" t="n">
        <v>0</v>
      </c>
      <c r="R198" s="88" t="n">
        <v>0</v>
      </c>
      <c r="S198" s="88" t="n">
        <v>0</v>
      </c>
      <c r="T198" s="88" t="n">
        <v>0</v>
      </c>
      <c r="U198" s="88" t="n">
        <v>0</v>
      </c>
      <c r="V198" s="89" t="n">
        <v>1</v>
      </c>
      <c r="W198" s="90" t="n">
        <f aca="false">IFERROR(O198/V198,0)</f>
        <v>7000</v>
      </c>
      <c r="X198" s="91" t="n">
        <f aca="false">O198/L198</f>
        <v>1</v>
      </c>
      <c r="Y198" s="92" t="str">
        <f aca="false">IFERROR(VLOOKUP(E:E,'Item Data Support Sheet'!A:J,6,0),0)</f>
        <v>FO015</v>
      </c>
      <c r="Z198" s="93" t="n">
        <f aca="false">IFERROR(VLOOKUP(E:E,'Item Data Support Sheet'!A:O,4,0),0)</f>
        <v>0</v>
      </c>
      <c r="AA198" s="93" t="n">
        <f aca="false">IFERROR(((N198)*(Z198/1000))+P198,0)</f>
        <v>0</v>
      </c>
      <c r="AB198" s="94" t="str">
        <f aca="false">IFERROR((O198*(Z198/1000)/(AA198))," ")</f>
        <v> </v>
      </c>
      <c r="AC198" s="95" t="n">
        <f aca="false">IFERROR((T198)/((T198)+O198),0)</f>
        <v>0</v>
      </c>
      <c r="AD198" s="96" t="n">
        <f aca="false">IFERROR(Q198/(Q198+N198),0)</f>
        <v>0</v>
      </c>
      <c r="AE198" s="91" t="n">
        <f aca="false">(N198-T198)/N198</f>
        <v>1</v>
      </c>
      <c r="AF198" s="97" t="n">
        <f aca="false">BR198</f>
        <v>0.666666666666667</v>
      </c>
      <c r="AG198" s="98" t="n">
        <f aca="false">K198-AF198</f>
        <v>7.33333333333333</v>
      </c>
      <c r="AH198" s="99" t="n">
        <f aca="false">IFERROR(AG198/K198," ")</f>
        <v>0.916666666666667</v>
      </c>
      <c r="AI198" s="100" t="n">
        <f aca="false">IFERROR(O198/K198,0)</f>
        <v>875</v>
      </c>
      <c r="AJ198" s="101" t="n">
        <f aca="false">VLOOKUP(D198,'Standard Cycle time'!C:D,2,0)</f>
        <v>3.5</v>
      </c>
      <c r="AK198" s="101" t="n">
        <f aca="false">AG198*V198*3600/O198</f>
        <v>3.77142857142857</v>
      </c>
      <c r="AL198" s="102" t="n">
        <f aca="false">AJ198/AK198</f>
        <v>0.928030303030303</v>
      </c>
      <c r="AM198" s="99" t="n">
        <f aca="false">AE198*AL198*AH198</f>
        <v>0.850694444444444</v>
      </c>
      <c r="AN198" s="103" t="s">
        <v>503</v>
      </c>
      <c r="AO198" s="109"/>
      <c r="AP198" s="105" t="n">
        <v>40</v>
      </c>
      <c r="AQ198" s="105" t="n">
        <v>0</v>
      </c>
      <c r="AR198" s="105" t="n">
        <v>0</v>
      </c>
      <c r="AS198" s="105" t="n">
        <v>0</v>
      </c>
      <c r="AT198" s="105" t="n">
        <v>0</v>
      </c>
      <c r="AU198" s="105" t="n">
        <v>0</v>
      </c>
      <c r="AV198" s="105" t="n">
        <v>0</v>
      </c>
      <c r="AW198" s="105" t="n">
        <v>0</v>
      </c>
      <c r="AX198" s="105" t="n">
        <v>0</v>
      </c>
      <c r="AY198" s="105" t="n">
        <v>0</v>
      </c>
      <c r="AZ198" s="105" t="n">
        <v>0</v>
      </c>
      <c r="BA198" s="105" t="n">
        <v>0</v>
      </c>
      <c r="BB198" s="105" t="n">
        <v>0</v>
      </c>
      <c r="BC198" s="105" t="n">
        <v>0</v>
      </c>
      <c r="BD198" s="105" t="n">
        <v>0</v>
      </c>
      <c r="BE198" s="105" t="n">
        <v>0</v>
      </c>
      <c r="BF198" s="105" t="n">
        <v>0</v>
      </c>
      <c r="BG198" s="105" t="n">
        <v>0</v>
      </c>
      <c r="BH198" s="105" t="n">
        <v>0</v>
      </c>
      <c r="BI198" s="105" t="n">
        <v>0</v>
      </c>
      <c r="BJ198" s="105" t="n">
        <v>0</v>
      </c>
      <c r="BK198" s="105" t="n">
        <v>0</v>
      </c>
      <c r="BL198" s="105" t="n">
        <v>0</v>
      </c>
      <c r="BM198" s="105" t="n">
        <v>0</v>
      </c>
      <c r="BN198" s="105" t="n">
        <v>0</v>
      </c>
      <c r="BO198" s="105" t="n">
        <v>0</v>
      </c>
      <c r="BP198" s="105" t="n">
        <v>0</v>
      </c>
      <c r="BQ198" s="105" t="n">
        <v>0</v>
      </c>
      <c r="BR198" s="106" t="n">
        <f aca="false">SUM(AP198:BQ198)/60</f>
        <v>0.666666666666667</v>
      </c>
      <c r="BS198" s="106" t="n">
        <f aca="false">SUM(AP198:BR198)/60</f>
        <v>0.677777777777778</v>
      </c>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row>
    <row r="199" customFormat="false" ht="16.4" hidden="true" customHeight="true" outlineLevel="0" collapsed="false">
      <c r="A199" s="74" t="n">
        <f aca="false">MONTH(B199)</f>
        <v>8</v>
      </c>
      <c r="B199" s="75" t="n">
        <v>44427</v>
      </c>
      <c r="C199" s="128" t="s">
        <v>51</v>
      </c>
      <c r="D199" s="77" t="str">
        <f aca="false">IFERROR(VLOOKUP(E:E,'Item Data Support Sheet'!A:O,7,0),"")</f>
        <v>NIPPLE LASER MARKING</v>
      </c>
      <c r="E199" s="80" t="s">
        <v>444</v>
      </c>
      <c r="F199" s="122"/>
      <c r="G199" s="77"/>
      <c r="H199" s="79" t="str">
        <f aca="false">IFERROR(VLOOKUP(E:E,'Item Data Support Sheet'!A:O,2,0),"")</f>
        <v>NIPPLE S TYPE S SIZE PUNCHED LASER MARKED</v>
      </c>
      <c r="I199" s="80" t="s">
        <v>504</v>
      </c>
      <c r="J199" s="80" t="s">
        <v>148</v>
      </c>
      <c r="K199" s="81" t="n">
        <v>8</v>
      </c>
      <c r="L199" s="124" t="n">
        <v>5000</v>
      </c>
      <c r="M199" s="83" t="n">
        <f aca="false">IFERROR(L199/K199,0)</f>
        <v>625</v>
      </c>
      <c r="N199" s="84" t="n">
        <f aca="false">+O199+Q199+T199+U199</f>
        <v>5000</v>
      </c>
      <c r="O199" s="85" t="n">
        <v>5000</v>
      </c>
      <c r="P199" s="86" t="n">
        <v>0</v>
      </c>
      <c r="Q199" s="87" t="n">
        <v>0</v>
      </c>
      <c r="R199" s="88" t="n">
        <v>0</v>
      </c>
      <c r="S199" s="88" t="n">
        <v>0</v>
      </c>
      <c r="T199" s="88" t="n">
        <v>0</v>
      </c>
      <c r="U199" s="88" t="n">
        <v>0</v>
      </c>
      <c r="V199" s="89" t="n">
        <v>1</v>
      </c>
      <c r="W199" s="90" t="n">
        <f aca="false">IFERROR(O199/V199,0)</f>
        <v>5000</v>
      </c>
      <c r="X199" s="91" t="n">
        <f aca="false">O199/L199</f>
        <v>1</v>
      </c>
      <c r="Y199" s="92" t="str">
        <f aca="false">IFERROR(VLOOKUP(E:E,'Item Data Support Sheet'!A:J,6,0),0)</f>
        <v>FO019</v>
      </c>
      <c r="Z199" s="93" t="n">
        <f aca="false">IFERROR(VLOOKUP(E:E,'Item Data Support Sheet'!A:O,4,0),0)</f>
        <v>0</v>
      </c>
      <c r="AA199" s="93" t="n">
        <f aca="false">IFERROR(((N199)*(Z199/1000))+P199,0)</f>
        <v>0</v>
      </c>
      <c r="AB199" s="94" t="str">
        <f aca="false">IFERROR((O199*(Z199/1000)/(AA199))," ")</f>
        <v> </v>
      </c>
      <c r="AC199" s="95" t="n">
        <f aca="false">IFERROR((T199)/((T199)+O199),0)</f>
        <v>0</v>
      </c>
      <c r="AD199" s="96" t="n">
        <f aca="false">IFERROR(Q199/(Q199+N199),0)</f>
        <v>0</v>
      </c>
      <c r="AE199" s="91" t="n">
        <f aca="false">(N199-T199)/N199</f>
        <v>1</v>
      </c>
      <c r="AF199" s="97" t="n">
        <f aca="false">BR199</f>
        <v>0.666666666666667</v>
      </c>
      <c r="AG199" s="98" t="n">
        <f aca="false">K199-AF199</f>
        <v>7.33333333333333</v>
      </c>
      <c r="AH199" s="99" t="n">
        <f aca="false">IFERROR(AG199/K199," ")</f>
        <v>0.916666666666667</v>
      </c>
      <c r="AI199" s="100" t="n">
        <f aca="false">IFERROR(O199/K199,0)</f>
        <v>625</v>
      </c>
      <c r="AJ199" s="101" t="n">
        <f aca="false">VLOOKUP(D199,'Standard Cycle time'!C:D,2,0)</f>
        <v>3.5</v>
      </c>
      <c r="AK199" s="101" t="n">
        <f aca="false">AG199*V199*3600/O199</f>
        <v>5.28</v>
      </c>
      <c r="AL199" s="102" t="n">
        <f aca="false">AJ199/AK199</f>
        <v>0.662878787878788</v>
      </c>
      <c r="AM199" s="99" t="n">
        <f aca="false">AE199*AL199*AH199</f>
        <v>0.607638888888889</v>
      </c>
      <c r="AN199" s="103" t="s">
        <v>505</v>
      </c>
      <c r="AO199" s="109"/>
      <c r="AP199" s="105" t="n">
        <v>40</v>
      </c>
      <c r="AQ199" s="105" t="n">
        <v>0</v>
      </c>
      <c r="AR199" s="105" t="n">
        <v>0</v>
      </c>
      <c r="AS199" s="105" t="n">
        <v>0</v>
      </c>
      <c r="AT199" s="105" t="n">
        <v>0</v>
      </c>
      <c r="AU199" s="105" t="n">
        <v>0</v>
      </c>
      <c r="AV199" s="105" t="n">
        <v>0</v>
      </c>
      <c r="AW199" s="105" t="n">
        <v>0</v>
      </c>
      <c r="AX199" s="105" t="n">
        <v>0</v>
      </c>
      <c r="AY199" s="105" t="n">
        <v>0</v>
      </c>
      <c r="AZ199" s="105" t="n">
        <v>0</v>
      </c>
      <c r="BA199" s="105" t="n">
        <v>0</v>
      </c>
      <c r="BB199" s="105" t="n">
        <v>0</v>
      </c>
      <c r="BC199" s="105" t="n">
        <v>0</v>
      </c>
      <c r="BD199" s="105" t="n">
        <v>0</v>
      </c>
      <c r="BE199" s="105" t="n">
        <v>0</v>
      </c>
      <c r="BF199" s="105" t="n">
        <v>0</v>
      </c>
      <c r="BG199" s="105" t="n">
        <v>0</v>
      </c>
      <c r="BH199" s="105" t="n">
        <v>0</v>
      </c>
      <c r="BI199" s="105" t="n">
        <v>0</v>
      </c>
      <c r="BJ199" s="105" t="n">
        <v>0</v>
      </c>
      <c r="BK199" s="105" t="n">
        <v>0</v>
      </c>
      <c r="BL199" s="105" t="n">
        <v>0</v>
      </c>
      <c r="BM199" s="105" t="n">
        <v>0</v>
      </c>
      <c r="BN199" s="105" t="n">
        <v>0</v>
      </c>
      <c r="BO199" s="105" t="n">
        <v>0</v>
      </c>
      <c r="BP199" s="105" t="n">
        <v>0</v>
      </c>
      <c r="BQ199" s="105" t="n">
        <v>0</v>
      </c>
      <c r="BR199" s="106" t="n">
        <f aca="false">SUM(AP199:BQ199)/60</f>
        <v>0.666666666666667</v>
      </c>
      <c r="BS199" s="106" t="n">
        <f aca="false">SUM(AP199:BR199)/60</f>
        <v>0.677777777777778</v>
      </c>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DA199" s="131" t="s">
        <v>58</v>
      </c>
    </row>
    <row r="200" customFormat="false" ht="14.9" hidden="true" customHeight="false" outlineLevel="0" collapsed="false">
      <c r="A200" s="74" t="n">
        <f aca="false">MONTH(B200)</f>
        <v>8</v>
      </c>
      <c r="B200" s="75" t="n">
        <v>44427</v>
      </c>
      <c r="C200" s="128" t="s">
        <v>63</v>
      </c>
      <c r="D200" s="77" t="str">
        <f aca="false">IFERROR(VLOOKUP(E:E,'Item Data Support Sheet'!A:O,7,0),"")</f>
        <v>NIPPLE WRAP PRINTED</v>
      </c>
      <c r="E200" s="80" t="s">
        <v>506</v>
      </c>
      <c r="F200" s="122"/>
      <c r="G200" s="77" t="s">
        <v>432</v>
      </c>
      <c r="H200" s="79" t="str">
        <f aca="false">IFERROR(VLOOKUP(E:E,'Item Data Support Sheet'!A:O,2,0),"")</f>
        <v>NIPPLE S TYPE LL SIZE WRAPPED</v>
      </c>
      <c r="I200" s="80" t="s">
        <v>507</v>
      </c>
      <c r="J200" s="80" t="s">
        <v>158</v>
      </c>
      <c r="K200" s="81" t="n">
        <v>8.5</v>
      </c>
      <c r="L200" s="124" t="n">
        <v>16132</v>
      </c>
      <c r="M200" s="83" t="n">
        <f aca="false">IFERROR(L200/K200,0)</f>
        <v>1897.88235294118</v>
      </c>
      <c r="N200" s="84" t="n">
        <f aca="false">+O200+Q200+T200+U200</f>
        <v>17412</v>
      </c>
      <c r="O200" s="85" t="n">
        <v>17390</v>
      </c>
      <c r="P200" s="86" t="n">
        <v>0</v>
      </c>
      <c r="Q200" s="87" t="n">
        <v>0</v>
      </c>
      <c r="R200" s="88" t="n">
        <v>0</v>
      </c>
      <c r="S200" s="88" t="n">
        <v>0</v>
      </c>
      <c r="T200" s="88" t="n">
        <v>22</v>
      </c>
      <c r="U200" s="88" t="n">
        <v>0</v>
      </c>
      <c r="V200" s="89" t="n">
        <v>2</v>
      </c>
      <c r="W200" s="90" t="n">
        <f aca="false">IFERROR(O200/V200,0)</f>
        <v>8695</v>
      </c>
      <c r="X200" s="91" t="n">
        <f aca="false">O200/L200</f>
        <v>1.07798165137615</v>
      </c>
      <c r="Y200" s="92" t="str">
        <f aca="false">IFERROR(VLOOKUP(E:E,'Item Data Support Sheet'!A:J,6,0),0)</f>
        <v>FO141</v>
      </c>
      <c r="Z200" s="93" t="n">
        <f aca="false">IFERROR(VLOOKUP(E:E,'Item Data Support Sheet'!A:O,4,0),0)</f>
        <v>0</v>
      </c>
      <c r="AA200" s="93" t="n">
        <f aca="false">IFERROR(((N200)*(Z200/1000))+P200,0)</f>
        <v>0</v>
      </c>
      <c r="AB200" s="94" t="str">
        <f aca="false">IFERROR((O200*(Z200/1000)/(AA200))," ")</f>
        <v> </v>
      </c>
      <c r="AC200" s="95" t="n">
        <f aca="false">IFERROR((T200)/((T200)+O200),0)</f>
        <v>0.00126349643923731</v>
      </c>
      <c r="AD200" s="96" t="n">
        <f aca="false">IFERROR(Q200/(Q200+N200),0)</f>
        <v>0</v>
      </c>
      <c r="AE200" s="91" t="n">
        <f aca="false">(N200-T200)/N200</f>
        <v>0.998736503560763</v>
      </c>
      <c r="AF200" s="97" t="n">
        <f aca="false">BR200</f>
        <v>0.833333333333333</v>
      </c>
      <c r="AG200" s="98" t="n">
        <f aca="false">K200-AF200</f>
        <v>7.66666666666667</v>
      </c>
      <c r="AH200" s="99" t="n">
        <f aca="false">IFERROR(AG200/K200," ")</f>
        <v>0.901960784313726</v>
      </c>
      <c r="AI200" s="100" t="n">
        <f aca="false">IFERROR(O200/K200,0)</f>
        <v>2045.88235294118</v>
      </c>
      <c r="AJ200" s="101" t="n">
        <f aca="false">VLOOKUP(D200,'Standard Cycle time'!C:D,2,0)</f>
        <v>2.5</v>
      </c>
      <c r="AK200" s="101" t="n">
        <f aca="false">AG200*V200*3600/O200</f>
        <v>3.17423806785509</v>
      </c>
      <c r="AL200" s="102" t="n">
        <f aca="false">AJ200/AK200</f>
        <v>0.787590579710145</v>
      </c>
      <c r="AM200" s="99" t="n">
        <f aca="false">AE200*AL200*AH200</f>
        <v>0.709478259678173</v>
      </c>
      <c r="AN200" s="103" t="n">
        <v>2586</v>
      </c>
      <c r="AO200" s="104"/>
      <c r="AP200" s="105" t="n">
        <v>50</v>
      </c>
      <c r="AQ200" s="105" t="n">
        <v>0</v>
      </c>
      <c r="AR200" s="105" t="n">
        <v>0</v>
      </c>
      <c r="AS200" s="105" t="n">
        <v>0</v>
      </c>
      <c r="AT200" s="105" t="n">
        <v>0</v>
      </c>
      <c r="AU200" s="105" t="n">
        <v>0</v>
      </c>
      <c r="AV200" s="105" t="n">
        <v>0</v>
      </c>
      <c r="AW200" s="105" t="n">
        <v>0</v>
      </c>
      <c r="AX200" s="105" t="n">
        <v>0</v>
      </c>
      <c r="AY200" s="105" t="n">
        <v>0</v>
      </c>
      <c r="AZ200" s="105" t="n">
        <v>0</v>
      </c>
      <c r="BA200" s="105" t="n">
        <v>0</v>
      </c>
      <c r="BB200" s="105" t="n">
        <v>0</v>
      </c>
      <c r="BC200" s="105" t="n">
        <v>0</v>
      </c>
      <c r="BD200" s="105" t="n">
        <v>0</v>
      </c>
      <c r="BE200" s="105" t="n">
        <v>0</v>
      </c>
      <c r="BF200" s="105" t="n">
        <v>0</v>
      </c>
      <c r="BG200" s="105" t="n">
        <v>0</v>
      </c>
      <c r="BH200" s="105" t="n">
        <v>0</v>
      </c>
      <c r="BI200" s="105" t="n">
        <v>0</v>
      </c>
      <c r="BJ200" s="105" t="n">
        <v>0</v>
      </c>
      <c r="BK200" s="105" t="n">
        <v>0</v>
      </c>
      <c r="BL200" s="105" t="n">
        <v>0</v>
      </c>
      <c r="BM200" s="105" t="n">
        <v>0</v>
      </c>
      <c r="BN200" s="105" t="n">
        <v>0</v>
      </c>
      <c r="BO200" s="105" t="n">
        <v>0</v>
      </c>
      <c r="BP200" s="105" t="n">
        <v>0</v>
      </c>
      <c r="BQ200" s="105" t="n">
        <v>0</v>
      </c>
      <c r="BR200" s="106" t="n">
        <f aca="false">SUM(AP200:BQ200)/60</f>
        <v>0.833333333333333</v>
      </c>
      <c r="BS200" s="106" t="n">
        <f aca="false">SUM(AP200:BR200)/60</f>
        <v>0.847222222222222</v>
      </c>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row>
    <row r="201" customFormat="false" ht="14.9" hidden="true" customHeight="false" outlineLevel="0" collapsed="false">
      <c r="A201" s="74" t="n">
        <f aca="false">MONTH(B201)</f>
        <v>8</v>
      </c>
      <c r="B201" s="75" t="n">
        <v>44427</v>
      </c>
      <c r="C201" s="128" t="s">
        <v>63</v>
      </c>
      <c r="D201" s="77" t="str">
        <f aca="false">IFERROR(VLOOKUP(E:E,'Item Data Support Sheet'!A:O,7,0),"")</f>
        <v>NIPPLE PUNCH INSPECTED</v>
      </c>
      <c r="E201" s="80" t="s">
        <v>297</v>
      </c>
      <c r="F201" s="122"/>
      <c r="G201" s="77"/>
      <c r="H201" s="79" t="str">
        <f aca="false">IFERROR(VLOOKUP(E:E,'Item Data Support Sheet'!A:O,2,0),"")</f>
        <v>NIPPLE S TYPE S SIZE PUNCHED INSPECTED</v>
      </c>
      <c r="I201" s="80" t="s">
        <v>508</v>
      </c>
      <c r="J201" s="80" t="s">
        <v>158</v>
      </c>
      <c r="K201" s="81" t="n">
        <v>8.5</v>
      </c>
      <c r="L201" s="124" t="n">
        <v>14182</v>
      </c>
      <c r="M201" s="83" t="n">
        <f aca="false">IFERROR(L201/K201,0)</f>
        <v>1668.47058823529</v>
      </c>
      <c r="N201" s="84" t="n">
        <f aca="false">+O201+Q201+T201+U201</f>
        <v>13000</v>
      </c>
      <c r="O201" s="85" t="n">
        <v>12953</v>
      </c>
      <c r="P201" s="86" t="n">
        <v>0</v>
      </c>
      <c r="Q201" s="87" t="n">
        <v>0</v>
      </c>
      <c r="R201" s="88" t="n">
        <v>0</v>
      </c>
      <c r="S201" s="88" t="n">
        <v>0</v>
      </c>
      <c r="T201" s="88" t="n">
        <v>47</v>
      </c>
      <c r="U201" s="88" t="n">
        <v>0</v>
      </c>
      <c r="V201" s="89" t="n">
        <v>2</v>
      </c>
      <c r="W201" s="90" t="n">
        <f aca="false">IFERROR(O201/V201,0)</f>
        <v>6476.5</v>
      </c>
      <c r="X201" s="91" t="n">
        <f aca="false">O201/L201</f>
        <v>0.913340854604428</v>
      </c>
      <c r="Y201" s="92" t="str">
        <f aca="false">IFERROR(VLOOKUP(E:E,'Item Data Support Sheet'!A:J,6,0),0)</f>
        <v>FO104</v>
      </c>
      <c r="Z201" s="93" t="n">
        <f aca="false">IFERROR(VLOOKUP(E:E,'Item Data Support Sheet'!A:O,4,0),0)</f>
        <v>0</v>
      </c>
      <c r="AA201" s="93" t="n">
        <f aca="false">IFERROR(((N201)*(Z201/1000))+P201,0)</f>
        <v>0</v>
      </c>
      <c r="AB201" s="94" t="str">
        <f aca="false">IFERROR((O201*(Z201/1000)/(AA201))," ")</f>
        <v> </v>
      </c>
      <c r="AC201" s="95" t="n">
        <f aca="false">IFERROR((T201)/((T201)+O201),0)</f>
        <v>0.00361538461538462</v>
      </c>
      <c r="AD201" s="96" t="n">
        <f aca="false">IFERROR(Q201/(Q201+N201),0)</f>
        <v>0</v>
      </c>
      <c r="AE201" s="91" t="n">
        <f aca="false">(N201-T201)/N201</f>
        <v>0.996384615384615</v>
      </c>
      <c r="AF201" s="97" t="n">
        <f aca="false">BR201</f>
        <v>1.83333333333333</v>
      </c>
      <c r="AG201" s="98" t="n">
        <f aca="false">K201-AF201</f>
        <v>6.66666666666667</v>
      </c>
      <c r="AH201" s="99" t="n">
        <f aca="false">IFERROR(AG201/K201," ")</f>
        <v>0.784313725490196</v>
      </c>
      <c r="AI201" s="100" t="n">
        <f aca="false">IFERROR(O201/K201,0)</f>
        <v>1523.88235294118</v>
      </c>
      <c r="AJ201" s="101" t="n">
        <f aca="false">VLOOKUP(D201,'Standard Cycle time'!C:D,2,0)</f>
        <v>4</v>
      </c>
      <c r="AK201" s="101" t="n">
        <f aca="false">AG201*V201*3600/O201</f>
        <v>3.70570524202887</v>
      </c>
      <c r="AL201" s="102" t="n">
        <f aca="false">AJ201/AK201</f>
        <v>1.07941666666667</v>
      </c>
      <c r="AM201" s="99" t="n">
        <f aca="false">AE201*AL201*AH201</f>
        <v>0.843540517848165</v>
      </c>
      <c r="AN201" s="103" t="s">
        <v>509</v>
      </c>
      <c r="AO201" s="109"/>
      <c r="AP201" s="105" t="n">
        <v>50</v>
      </c>
      <c r="AQ201" s="105" t="n">
        <v>0</v>
      </c>
      <c r="AR201" s="105" t="n">
        <v>0</v>
      </c>
      <c r="AS201" s="105" t="n">
        <v>60</v>
      </c>
      <c r="AT201" s="105" t="n">
        <v>0</v>
      </c>
      <c r="AU201" s="105" t="n">
        <v>0</v>
      </c>
      <c r="AV201" s="105" t="n">
        <v>0</v>
      </c>
      <c r="AW201" s="105" t="n">
        <v>0</v>
      </c>
      <c r="AX201" s="105" t="n">
        <v>0</v>
      </c>
      <c r="AY201" s="105" t="n">
        <v>0</v>
      </c>
      <c r="AZ201" s="105" t="n">
        <v>0</v>
      </c>
      <c r="BA201" s="105" t="n">
        <v>0</v>
      </c>
      <c r="BB201" s="105" t="n">
        <v>0</v>
      </c>
      <c r="BC201" s="105" t="n">
        <v>0</v>
      </c>
      <c r="BD201" s="105" t="n">
        <v>0</v>
      </c>
      <c r="BE201" s="105" t="n">
        <v>0</v>
      </c>
      <c r="BF201" s="105" t="n">
        <v>0</v>
      </c>
      <c r="BG201" s="105" t="n">
        <v>0</v>
      </c>
      <c r="BH201" s="105" t="n">
        <v>0</v>
      </c>
      <c r="BI201" s="105" t="n">
        <v>0</v>
      </c>
      <c r="BJ201" s="105" t="n">
        <v>0</v>
      </c>
      <c r="BK201" s="105" t="n">
        <v>0</v>
      </c>
      <c r="BL201" s="105" t="n">
        <v>0</v>
      </c>
      <c r="BM201" s="105" t="n">
        <v>0</v>
      </c>
      <c r="BN201" s="105" t="n">
        <v>0</v>
      </c>
      <c r="BO201" s="105" t="n">
        <v>0</v>
      </c>
      <c r="BP201" s="105" t="n">
        <v>0</v>
      </c>
      <c r="BQ201" s="105" t="n">
        <v>0</v>
      </c>
      <c r="BR201" s="106" t="n">
        <f aca="false">SUM(AP201:BQ201)/60</f>
        <v>1.83333333333333</v>
      </c>
      <c r="BS201" s="106" t="n">
        <f aca="false">SUM(AP201:BR201)/60</f>
        <v>1.86388888888889</v>
      </c>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row>
    <row r="202" customFormat="false" ht="14.9" hidden="true" customHeight="false" outlineLevel="0" collapsed="false">
      <c r="A202" s="74" t="n">
        <f aca="false">MONTH(B202)</f>
        <v>8</v>
      </c>
      <c r="B202" s="75" t="n">
        <v>44427</v>
      </c>
      <c r="C202" s="128" t="s">
        <v>63</v>
      </c>
      <c r="D202" s="77" t="str">
        <f aca="false">IFERROR(VLOOKUP(E:E,'Item Data Support Sheet'!A:O,7,0),"")</f>
        <v>BOTTLE PRINTED</v>
      </c>
      <c r="E202" s="122" t="s">
        <v>65</v>
      </c>
      <c r="F202" s="122"/>
      <c r="G202" s="77" t="s">
        <v>66</v>
      </c>
      <c r="H202" s="79" t="str">
        <f aca="false">IFERROR(VLOOKUP(E:E,'Item Data Support Sheet'!A:O,2,0),"")</f>
        <v>KPP 240 ML BOTTLE PRINTED</v>
      </c>
      <c r="I202" s="80" t="s">
        <v>510</v>
      </c>
      <c r="J202" s="80" t="s">
        <v>161</v>
      </c>
      <c r="K202" s="81" t="n">
        <v>8.5</v>
      </c>
      <c r="L202" s="124" t="n">
        <v>5100</v>
      </c>
      <c r="M202" s="83" t="n">
        <f aca="false">IFERROR(L202/K202,0)</f>
        <v>600</v>
      </c>
      <c r="N202" s="84" t="n">
        <f aca="false">+O202+Q202+T202+U202</f>
        <v>5309</v>
      </c>
      <c r="O202" s="85" t="n">
        <f aca="false">5268</f>
        <v>5268</v>
      </c>
      <c r="P202" s="86" t="n">
        <v>0</v>
      </c>
      <c r="Q202" s="87" t="n">
        <v>0</v>
      </c>
      <c r="R202" s="88" t="n">
        <v>45</v>
      </c>
      <c r="S202" s="88" t="n">
        <v>0</v>
      </c>
      <c r="T202" s="88" t="n">
        <v>41</v>
      </c>
      <c r="U202" s="88" t="n">
        <v>0</v>
      </c>
      <c r="V202" s="89" t="n">
        <v>6</v>
      </c>
      <c r="W202" s="90" t="n">
        <f aca="false">IFERROR(O202/V202,0)</f>
        <v>878</v>
      </c>
      <c r="X202" s="91" t="n">
        <f aca="false">O202/L202</f>
        <v>1.03294117647059</v>
      </c>
      <c r="Y202" s="92" t="str">
        <f aca="false">IFERROR(VLOOKUP(E:E,'Item Data Support Sheet'!A:J,6,0),0)</f>
        <v>FO003</v>
      </c>
      <c r="Z202" s="93" t="n">
        <f aca="false">IFERROR(VLOOKUP(E:E,'Item Data Support Sheet'!A:O,4,0),0)</f>
        <v>0</v>
      </c>
      <c r="AA202" s="93" t="n">
        <f aca="false">IFERROR(((N202)*(Z202/1000))+P202,0)</f>
        <v>0</v>
      </c>
      <c r="AB202" s="94" t="str">
        <f aca="false">IFERROR((O202*(Z202/1000)/(AA202))," ")</f>
        <v> </v>
      </c>
      <c r="AC202" s="95" t="n">
        <f aca="false">IFERROR((T202)/((T202)+O202),0)</f>
        <v>0.00772273497833867</v>
      </c>
      <c r="AD202" s="96" t="n">
        <f aca="false">IFERROR(Q202/(Q202+N202),0)</f>
        <v>0</v>
      </c>
      <c r="AE202" s="91" t="n">
        <f aca="false">(N202-T202)/N202</f>
        <v>0.992277265021661</v>
      </c>
      <c r="AF202" s="97" t="n">
        <f aca="false">BR202</f>
        <v>0.833333333333333</v>
      </c>
      <c r="AG202" s="98" t="n">
        <f aca="false">K202-AF202</f>
        <v>7.66666666666667</v>
      </c>
      <c r="AH202" s="99" t="n">
        <f aca="false">IFERROR(AG202/K202," ")</f>
        <v>0.901960784313726</v>
      </c>
      <c r="AI202" s="100" t="n">
        <f aca="false">IFERROR(O202/K202,0)</f>
        <v>619.764705882353</v>
      </c>
      <c r="AJ202" s="101" t="n">
        <f aca="false">VLOOKUP(D202,'Standard Cycle time'!C:D,2,0)</f>
        <v>32.4</v>
      </c>
      <c r="AK202" s="101" t="n">
        <f aca="false">AG202*V202*3600/O202</f>
        <v>31.4350797266515</v>
      </c>
      <c r="AL202" s="102" t="n">
        <f aca="false">AJ202/AK202</f>
        <v>1.03069565217391</v>
      </c>
      <c r="AM202" s="99" t="n">
        <f aca="false">AE202*AL202*AH202</f>
        <v>0.922467640964843</v>
      </c>
      <c r="AN202" s="103" t="s">
        <v>511</v>
      </c>
      <c r="AO202" s="109"/>
      <c r="AP202" s="105" t="n">
        <v>50</v>
      </c>
      <c r="AQ202" s="105" t="n">
        <v>0</v>
      </c>
      <c r="AR202" s="105" t="n">
        <v>0</v>
      </c>
      <c r="AS202" s="105" t="n">
        <v>0</v>
      </c>
      <c r="AT202" s="105" t="n">
        <v>0</v>
      </c>
      <c r="AU202" s="105" t="n">
        <v>0</v>
      </c>
      <c r="AV202" s="105" t="n">
        <v>0</v>
      </c>
      <c r="AW202" s="105" t="n">
        <v>0</v>
      </c>
      <c r="AX202" s="105" t="n">
        <v>0</v>
      </c>
      <c r="AY202" s="105" t="n">
        <v>0</v>
      </c>
      <c r="AZ202" s="105" t="n">
        <v>0</v>
      </c>
      <c r="BA202" s="105" t="n">
        <v>0</v>
      </c>
      <c r="BB202" s="105" t="n">
        <v>0</v>
      </c>
      <c r="BC202" s="105" t="n">
        <v>0</v>
      </c>
      <c r="BD202" s="105" t="n">
        <v>0</v>
      </c>
      <c r="BE202" s="105" t="n">
        <v>0</v>
      </c>
      <c r="BF202" s="105" t="n">
        <v>0</v>
      </c>
      <c r="BG202" s="105" t="n">
        <v>0</v>
      </c>
      <c r="BH202" s="105" t="n">
        <v>0</v>
      </c>
      <c r="BI202" s="105" t="n">
        <v>0</v>
      </c>
      <c r="BJ202" s="105" t="n">
        <v>0</v>
      </c>
      <c r="BK202" s="105" t="n">
        <v>0</v>
      </c>
      <c r="BL202" s="105" t="n">
        <v>0</v>
      </c>
      <c r="BM202" s="105" t="n">
        <v>0</v>
      </c>
      <c r="BN202" s="105" t="n">
        <v>0</v>
      </c>
      <c r="BO202" s="105" t="n">
        <v>0</v>
      </c>
      <c r="BP202" s="105" t="n">
        <v>0</v>
      </c>
      <c r="BQ202" s="105" t="n">
        <v>0</v>
      </c>
      <c r="BR202" s="106" t="n">
        <f aca="false">SUM(AP202:BQ202)/60</f>
        <v>0.833333333333333</v>
      </c>
      <c r="BS202" s="106" t="n">
        <f aca="false">SUM(AP202:BR202)/60</f>
        <v>0.847222222222222</v>
      </c>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row>
    <row r="203" customFormat="false" ht="14.65" hidden="true" customHeight="true" outlineLevel="0" collapsed="false">
      <c r="A203" s="74" t="n">
        <f aca="false">MONTH(B203)</f>
        <v>8</v>
      </c>
      <c r="B203" s="75" t="n">
        <v>44427</v>
      </c>
      <c r="C203" s="128" t="s">
        <v>70</v>
      </c>
      <c r="D203" s="77" t="str">
        <f aca="false">IFERROR(VLOOKUP(E:E,'Item Data Support Sheet'!A:O,7,0),"")</f>
        <v>BOTTLE MOLDED</v>
      </c>
      <c r="E203" s="80" t="s">
        <v>69</v>
      </c>
      <c r="F203" s="122" t="s">
        <v>73</v>
      </c>
      <c r="G203" s="77" t="s">
        <v>74</v>
      </c>
      <c r="H203" s="79" t="str">
        <f aca="false">IFERROR(VLOOKUP(E:E,'Item Data Support Sheet'!A:O,2,0),"")</f>
        <v>KPP 240 ML BOTTLE MOLDED</v>
      </c>
      <c r="I203" s="80" t="s">
        <v>512</v>
      </c>
      <c r="J203" s="80" t="s">
        <v>140</v>
      </c>
      <c r="K203" s="81" t="n">
        <v>2</v>
      </c>
      <c r="L203" s="124" t="n">
        <v>600</v>
      </c>
      <c r="M203" s="83" t="n">
        <f aca="false">IFERROR(L203/K203,0)</f>
        <v>300</v>
      </c>
      <c r="N203" s="84" t="n">
        <f aca="false">+O203+Q203+T203+U203</f>
        <v>630</v>
      </c>
      <c r="O203" s="85" t="n">
        <f aca="false">312+318</f>
        <v>630</v>
      </c>
      <c r="P203" s="86" t="n">
        <v>0</v>
      </c>
      <c r="Q203" s="87" t="n">
        <v>0</v>
      </c>
      <c r="R203" s="88" t="n">
        <v>0</v>
      </c>
      <c r="S203" s="88" t="n">
        <v>0</v>
      </c>
      <c r="T203" s="88" t="n">
        <v>0</v>
      </c>
      <c r="U203" s="88" t="n">
        <v>0</v>
      </c>
      <c r="V203" s="89" t="n">
        <v>1</v>
      </c>
      <c r="W203" s="90" t="n">
        <f aca="false">IFERROR(O203/V203,0)</f>
        <v>630</v>
      </c>
      <c r="X203" s="91" t="n">
        <f aca="false">O203/L203</f>
        <v>1.05</v>
      </c>
      <c r="Y203" s="92" t="str">
        <f aca="false">IFERROR(VLOOKUP(E:E,'Item Data Support Sheet'!A:J,6,0),0)</f>
        <v>HMC</v>
      </c>
      <c r="Z203" s="93" t="n">
        <f aca="false">IFERROR(VLOOKUP(E:E,'Item Data Support Sheet'!A:O,4,0),0)</f>
        <v>32.1</v>
      </c>
      <c r="AA203" s="93" t="n">
        <f aca="false">IFERROR(((N203)*(Z203/1000))+P203,0)</f>
        <v>20.223</v>
      </c>
      <c r="AB203" s="94" t="n">
        <f aca="false">IFERROR((O203*(Z203/1000)/(AA203))," ")</f>
        <v>1</v>
      </c>
      <c r="AC203" s="95" t="n">
        <f aca="false">IFERROR((T203)/((T203)+O203),0)</f>
        <v>0</v>
      </c>
      <c r="AD203" s="96" t="n">
        <f aca="false">IFERROR(Q203/(Q203+N203),0)</f>
        <v>0</v>
      </c>
      <c r="AE203" s="91" t="n">
        <f aca="false">(N203-T203)/N203</f>
        <v>1</v>
      </c>
      <c r="AF203" s="97" t="n">
        <f aca="false">BR203</f>
        <v>0</v>
      </c>
      <c r="AG203" s="98" t="n">
        <f aca="false">K203-AF203</f>
        <v>2</v>
      </c>
      <c r="AH203" s="99" t="n">
        <f aca="false">IFERROR(AG203/K203," ")</f>
        <v>1</v>
      </c>
      <c r="AI203" s="100" t="n">
        <f aca="false">IFERROR(O203/K203,0)</f>
        <v>315</v>
      </c>
      <c r="AJ203" s="101" t="n">
        <f aca="false">VLOOKUP(D203,'Standard Cycle time'!C:D,2,0)</f>
        <v>9</v>
      </c>
      <c r="AK203" s="101" t="n">
        <f aca="false">AG203*V203*3600/O203</f>
        <v>11.4285714285714</v>
      </c>
      <c r="AL203" s="102" t="n">
        <f aca="false">AJ203/AK203</f>
        <v>0.7875</v>
      </c>
      <c r="AM203" s="99" t="n">
        <f aca="false">AE203*AL203*AH203</f>
        <v>0.7875</v>
      </c>
      <c r="AN203" s="103" t="s">
        <v>513</v>
      </c>
      <c r="AO203" s="104"/>
      <c r="AP203" s="105" t="n">
        <v>0</v>
      </c>
      <c r="AQ203" s="105" t="n">
        <v>0</v>
      </c>
      <c r="AR203" s="105" t="n">
        <v>0</v>
      </c>
      <c r="AS203" s="105" t="n">
        <v>0</v>
      </c>
      <c r="AT203" s="105" t="n">
        <v>0</v>
      </c>
      <c r="AU203" s="105" t="n">
        <v>0</v>
      </c>
      <c r="AV203" s="105" t="n">
        <v>0</v>
      </c>
      <c r="AW203" s="105" t="n">
        <v>0</v>
      </c>
      <c r="AX203" s="105" t="n">
        <v>0</v>
      </c>
      <c r="AY203" s="105" t="n">
        <v>0</v>
      </c>
      <c r="AZ203" s="105" t="n">
        <v>0</v>
      </c>
      <c r="BA203" s="105" t="n">
        <v>0</v>
      </c>
      <c r="BB203" s="105" t="n">
        <v>0</v>
      </c>
      <c r="BC203" s="105" t="n">
        <v>0</v>
      </c>
      <c r="BD203" s="105" t="n">
        <v>0</v>
      </c>
      <c r="BE203" s="105" t="n">
        <v>0</v>
      </c>
      <c r="BF203" s="105" t="n">
        <v>0</v>
      </c>
      <c r="BG203" s="105" t="n">
        <v>0</v>
      </c>
      <c r="BH203" s="105" t="n">
        <v>0</v>
      </c>
      <c r="BI203" s="105" t="n">
        <v>0</v>
      </c>
      <c r="BJ203" s="105" t="n">
        <v>0</v>
      </c>
      <c r="BK203" s="105" t="n">
        <v>0</v>
      </c>
      <c r="BL203" s="105" t="n">
        <v>0</v>
      </c>
      <c r="BM203" s="105" t="n">
        <v>0</v>
      </c>
      <c r="BN203" s="105" t="n">
        <v>0</v>
      </c>
      <c r="BO203" s="105" t="n">
        <v>0</v>
      </c>
      <c r="BP203" s="105" t="n">
        <v>0</v>
      </c>
      <c r="BQ203" s="105" t="n">
        <v>0</v>
      </c>
      <c r="BR203" s="106" t="n">
        <f aca="false">SUM(AP203:BQ203)/60</f>
        <v>0</v>
      </c>
      <c r="BS203" s="106" t="n">
        <f aca="false">SUM(AP203:BR203)/60</f>
        <v>0</v>
      </c>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row>
    <row r="204" customFormat="false" ht="14.65" hidden="true" customHeight="true" outlineLevel="0" collapsed="false">
      <c r="A204" s="74" t="n">
        <f aca="false">MONTH(B204)</f>
        <v>8</v>
      </c>
      <c r="B204" s="75" t="n">
        <v>44427</v>
      </c>
      <c r="C204" s="128" t="s">
        <v>70</v>
      </c>
      <c r="D204" s="77" t="str">
        <f aca="false">IFERROR(VLOOKUP(E:E,'Item Data Support Sheet'!A:O,7,0),"")</f>
        <v>BOTTLE MOLDED</v>
      </c>
      <c r="E204" s="80" t="s">
        <v>69</v>
      </c>
      <c r="F204" s="122" t="s">
        <v>73</v>
      </c>
      <c r="G204" s="77" t="s">
        <v>74</v>
      </c>
      <c r="H204" s="79" t="str">
        <f aca="false">IFERROR(VLOOKUP(E:E,'Item Data Support Sheet'!A:O,2,0),"")</f>
        <v>KPP 240 ML BOTTLE MOLDED</v>
      </c>
      <c r="I204" s="80" t="s">
        <v>512</v>
      </c>
      <c r="J204" s="80" t="s">
        <v>140</v>
      </c>
      <c r="K204" s="81" t="n">
        <v>6</v>
      </c>
      <c r="L204" s="124" t="n">
        <f aca="false">2574-600</f>
        <v>1974</v>
      </c>
      <c r="M204" s="83" t="n">
        <f aca="false">IFERROR(L204/K204,0)</f>
        <v>329</v>
      </c>
      <c r="N204" s="84" t="n">
        <f aca="false">+O204+Q204+T204+U204</f>
        <v>2609</v>
      </c>
      <c r="O204" s="85" t="n">
        <f aca="false">23*108</f>
        <v>2484</v>
      </c>
      <c r="P204" s="86" t="n">
        <v>0.18</v>
      </c>
      <c r="Q204" s="87" t="n">
        <v>55</v>
      </c>
      <c r="R204" s="88" t="n">
        <v>0</v>
      </c>
      <c r="S204" s="88" t="n">
        <v>0</v>
      </c>
      <c r="T204" s="88" t="n">
        <f aca="false">125-55</f>
        <v>70</v>
      </c>
      <c r="U204" s="88" t="n">
        <v>0</v>
      </c>
      <c r="V204" s="89" t="n">
        <v>1</v>
      </c>
      <c r="W204" s="90" t="n">
        <f aca="false">IFERROR(O204/V204,0)</f>
        <v>2484</v>
      </c>
      <c r="X204" s="91" t="n">
        <f aca="false">O204/L204</f>
        <v>1.25835866261398</v>
      </c>
      <c r="Y204" s="92" t="str">
        <f aca="false">IFERROR(VLOOKUP(E:E,'Item Data Support Sheet'!A:J,6,0),0)</f>
        <v>HMC</v>
      </c>
      <c r="Z204" s="93" t="n">
        <f aca="false">IFERROR(VLOOKUP(E:E,'Item Data Support Sheet'!A:O,4,0),0)</f>
        <v>32.1</v>
      </c>
      <c r="AA204" s="93" t="n">
        <f aca="false">IFERROR(((N204)*(Z204/1000))+P204,0)</f>
        <v>83.9289</v>
      </c>
      <c r="AB204" s="94" t="n">
        <f aca="false">IFERROR((O204*(Z204/1000)/(AA204))," ")</f>
        <v>0.950047004071303</v>
      </c>
      <c r="AC204" s="95" t="n">
        <f aca="false">IFERROR((T204)/((T204)+O204),0)</f>
        <v>0.0274079874706343</v>
      </c>
      <c r="AD204" s="96" t="n">
        <f aca="false">IFERROR(Q204/(Q204+N204),0)</f>
        <v>0.0206456456456456</v>
      </c>
      <c r="AE204" s="91" t="n">
        <f aca="false">(N204-T204)/N204</f>
        <v>0.973169796857033</v>
      </c>
      <c r="AF204" s="97" t="n">
        <f aca="false">BR204</f>
        <v>0</v>
      </c>
      <c r="AG204" s="98" t="n">
        <f aca="false">K204-AF204</f>
        <v>6</v>
      </c>
      <c r="AH204" s="99" t="n">
        <f aca="false">IFERROR(AG204/K204," ")</f>
        <v>1</v>
      </c>
      <c r="AI204" s="100" t="n">
        <f aca="false">IFERROR(O204/K204,0)</f>
        <v>414</v>
      </c>
      <c r="AJ204" s="101" t="n">
        <f aca="false">VLOOKUP(D204,'Standard Cycle time'!C:D,2,0)</f>
        <v>9</v>
      </c>
      <c r="AK204" s="101" t="n">
        <f aca="false">AG204*V204*3600/O204</f>
        <v>8.69565217391304</v>
      </c>
      <c r="AL204" s="102" t="n">
        <f aca="false">AJ204/AK204</f>
        <v>1.035</v>
      </c>
      <c r="AM204" s="99" t="n">
        <f aca="false">AE204*AL204*AH204</f>
        <v>1.00723073974703</v>
      </c>
      <c r="AN204" s="103" t="s">
        <v>514</v>
      </c>
      <c r="AO204" s="104"/>
      <c r="AP204" s="105" t="n">
        <v>0</v>
      </c>
      <c r="AQ204" s="105" t="n">
        <v>0</v>
      </c>
      <c r="AR204" s="105" t="n">
        <v>0</v>
      </c>
      <c r="AS204" s="105" t="n">
        <v>0</v>
      </c>
      <c r="AT204" s="105" t="n">
        <v>0</v>
      </c>
      <c r="AU204" s="105" t="n">
        <v>0</v>
      </c>
      <c r="AV204" s="105" t="n">
        <v>0</v>
      </c>
      <c r="AW204" s="105" t="n">
        <v>0</v>
      </c>
      <c r="AX204" s="105" t="n">
        <v>0</v>
      </c>
      <c r="AY204" s="105" t="n">
        <v>0</v>
      </c>
      <c r="AZ204" s="105" t="n">
        <v>0</v>
      </c>
      <c r="BA204" s="105" t="n">
        <v>0</v>
      </c>
      <c r="BB204" s="105" t="n">
        <v>0</v>
      </c>
      <c r="BC204" s="105" t="n">
        <v>0</v>
      </c>
      <c r="BD204" s="105" t="n">
        <v>0</v>
      </c>
      <c r="BE204" s="105" t="n">
        <v>0</v>
      </c>
      <c r="BF204" s="105" t="n">
        <v>0</v>
      </c>
      <c r="BG204" s="105" t="n">
        <v>0</v>
      </c>
      <c r="BH204" s="105" t="n">
        <v>0</v>
      </c>
      <c r="BI204" s="105" t="n">
        <v>0</v>
      </c>
      <c r="BJ204" s="105" t="n">
        <v>0</v>
      </c>
      <c r="BK204" s="105" t="n">
        <v>0</v>
      </c>
      <c r="BL204" s="105" t="n">
        <v>0</v>
      </c>
      <c r="BM204" s="105" t="n">
        <v>0</v>
      </c>
      <c r="BN204" s="105" t="n">
        <v>0</v>
      </c>
      <c r="BO204" s="105" t="n">
        <v>0</v>
      </c>
      <c r="BP204" s="105" t="n">
        <v>0</v>
      </c>
      <c r="BQ204" s="105" t="n">
        <v>0</v>
      </c>
      <c r="BR204" s="106" t="n">
        <f aca="false">SUM(AP204:BQ204)/60</f>
        <v>0</v>
      </c>
      <c r="BS204" s="106" t="n">
        <f aca="false">SUM(AP204:BR204)/60</f>
        <v>0</v>
      </c>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row>
    <row r="205" customFormat="false" ht="14.65" hidden="true" customHeight="true" outlineLevel="0" collapsed="false">
      <c r="A205" s="74" t="n">
        <f aca="false">MONTH(B205)</f>
        <v>8</v>
      </c>
      <c r="B205" s="75" t="n">
        <v>44427</v>
      </c>
      <c r="C205" s="128" t="s">
        <v>70</v>
      </c>
      <c r="D205" s="77" t="str">
        <f aca="false">IFERROR(VLOOKUP(E:E,'Item Data Support Sheet'!A:O,7,0),"")</f>
        <v>NIPPLE PUNCH</v>
      </c>
      <c r="E205" s="80" t="s">
        <v>53</v>
      </c>
      <c r="F205" s="80"/>
      <c r="G205" s="77" t="s">
        <v>54</v>
      </c>
      <c r="H205" s="79" t="str">
        <f aca="false">IFERROR(VLOOKUP(E:E,'Item Data Support Sheet'!A:O,2,0),"")</f>
        <v>NIPPLE S TYPE S SIZE PUNCHED</v>
      </c>
      <c r="I205" s="80" t="s">
        <v>515</v>
      </c>
      <c r="J205" s="80" t="s">
        <v>140</v>
      </c>
      <c r="K205" s="81" t="n">
        <v>8</v>
      </c>
      <c r="L205" s="124" t="n">
        <v>7000</v>
      </c>
      <c r="M205" s="83" t="n">
        <f aca="false">IFERROR(L205/K205,0)</f>
        <v>875</v>
      </c>
      <c r="N205" s="84" t="n">
        <f aca="false">+O205+Q205+T205+U205</f>
        <v>7300</v>
      </c>
      <c r="O205" s="85" t="n">
        <v>7300</v>
      </c>
      <c r="P205" s="86" t="n">
        <v>0</v>
      </c>
      <c r="Q205" s="87" t="n">
        <v>0</v>
      </c>
      <c r="R205" s="88" t="n">
        <v>0</v>
      </c>
      <c r="S205" s="88" t="n">
        <v>0</v>
      </c>
      <c r="T205" s="88" t="n">
        <v>0</v>
      </c>
      <c r="U205" s="88" t="n">
        <v>0</v>
      </c>
      <c r="V205" s="89" t="n">
        <v>1</v>
      </c>
      <c r="W205" s="90" t="n">
        <f aca="false">IFERROR(O205/V205,0)</f>
        <v>7300</v>
      </c>
      <c r="X205" s="91" t="n">
        <f aca="false">O205/L205</f>
        <v>1.04285714285714</v>
      </c>
      <c r="Y205" s="92" t="str">
        <f aca="false">IFERROR(VLOOKUP(E:E,'Item Data Support Sheet'!A:J,6,0),0)</f>
        <v>FO015</v>
      </c>
      <c r="Z205" s="93" t="n">
        <f aca="false">IFERROR(VLOOKUP(E:E,'Item Data Support Sheet'!A:O,4,0),0)</f>
        <v>0</v>
      </c>
      <c r="AA205" s="93" t="n">
        <f aca="false">IFERROR(((N205)*(Z205/1000))+P205,0)</f>
        <v>0</v>
      </c>
      <c r="AB205" s="94" t="str">
        <f aca="false">IFERROR((O205*(Z205/1000)/(AA205))," ")</f>
        <v> </v>
      </c>
      <c r="AC205" s="95" t="n">
        <f aca="false">IFERROR((T205)/((T205)+O205),0)</f>
        <v>0</v>
      </c>
      <c r="AD205" s="96" t="n">
        <f aca="false">IFERROR(Q205/(Q205+N205),0)</f>
        <v>0</v>
      </c>
      <c r="AE205" s="91" t="n">
        <f aca="false">(N205-T205)/N205</f>
        <v>1</v>
      </c>
      <c r="AF205" s="97" t="n">
        <f aca="false">BR205</f>
        <v>0.666666666666667</v>
      </c>
      <c r="AG205" s="98" t="n">
        <f aca="false">K205-AF205</f>
        <v>7.33333333333333</v>
      </c>
      <c r="AH205" s="99" t="n">
        <f aca="false">IFERROR(AG205/K205," ")</f>
        <v>0.916666666666667</v>
      </c>
      <c r="AI205" s="100" t="n">
        <f aca="false">IFERROR(O205/K205,0)</f>
        <v>912.5</v>
      </c>
      <c r="AJ205" s="101" t="n">
        <f aca="false">VLOOKUP(D205,'Standard Cycle time'!C:D,2,0)</f>
        <v>3.5</v>
      </c>
      <c r="AK205" s="101" t="n">
        <f aca="false">AG205*V205*3600/O205</f>
        <v>3.61643835616438</v>
      </c>
      <c r="AL205" s="102" t="n">
        <f aca="false">AJ205/AK205</f>
        <v>0.96780303030303</v>
      </c>
      <c r="AM205" s="99" t="n">
        <f aca="false">AE205*AL205*AH205</f>
        <v>0.887152777777778</v>
      </c>
      <c r="AN205" s="103" t="s">
        <v>516</v>
      </c>
      <c r="AO205" s="109"/>
      <c r="AP205" s="105" t="n">
        <v>40</v>
      </c>
      <c r="AQ205" s="105" t="n">
        <v>0</v>
      </c>
      <c r="AR205" s="105" t="n">
        <v>0</v>
      </c>
      <c r="AS205" s="105" t="n">
        <v>0</v>
      </c>
      <c r="AT205" s="105" t="n">
        <v>0</v>
      </c>
      <c r="AU205" s="105" t="n">
        <v>0</v>
      </c>
      <c r="AV205" s="105" t="n">
        <v>0</v>
      </c>
      <c r="AW205" s="105" t="n">
        <v>0</v>
      </c>
      <c r="AX205" s="105" t="n">
        <v>0</v>
      </c>
      <c r="AY205" s="105" t="n">
        <v>0</v>
      </c>
      <c r="AZ205" s="105" t="n">
        <v>0</v>
      </c>
      <c r="BA205" s="105" t="n">
        <v>0</v>
      </c>
      <c r="BB205" s="105" t="n">
        <v>0</v>
      </c>
      <c r="BC205" s="105" t="n">
        <v>0</v>
      </c>
      <c r="BD205" s="105" t="n">
        <v>0</v>
      </c>
      <c r="BE205" s="105" t="n">
        <v>0</v>
      </c>
      <c r="BF205" s="105" t="n">
        <v>0</v>
      </c>
      <c r="BG205" s="105" t="n">
        <v>0</v>
      </c>
      <c r="BH205" s="105" t="n">
        <v>0</v>
      </c>
      <c r="BI205" s="105" t="n">
        <v>0</v>
      </c>
      <c r="BJ205" s="105" t="n">
        <v>0</v>
      </c>
      <c r="BK205" s="105" t="n">
        <v>0</v>
      </c>
      <c r="BL205" s="105" t="n">
        <v>0</v>
      </c>
      <c r="BM205" s="105" t="n">
        <v>0</v>
      </c>
      <c r="BN205" s="105" t="n">
        <v>0</v>
      </c>
      <c r="BO205" s="105" t="n">
        <v>0</v>
      </c>
      <c r="BP205" s="105" t="n">
        <v>0</v>
      </c>
      <c r="BQ205" s="105" t="n">
        <v>0</v>
      </c>
      <c r="BR205" s="106" t="n">
        <f aca="false">SUM(AP205:BQ205)/60</f>
        <v>0.666666666666667</v>
      </c>
      <c r="BS205" s="106" t="n">
        <f aca="false">SUM(AP205:BR205)/60</f>
        <v>0.677777777777778</v>
      </c>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row>
    <row r="206" customFormat="false" ht="14.9" hidden="true" customHeight="false" outlineLevel="0" collapsed="false">
      <c r="A206" s="74" t="n">
        <f aca="false">MONTH(B206)</f>
        <v>8</v>
      </c>
      <c r="B206" s="75" t="n">
        <v>44427</v>
      </c>
      <c r="C206" s="128" t="s">
        <v>70</v>
      </c>
      <c r="D206" s="77" t="str">
        <f aca="false">IFERROR(VLOOKUP(E:E,'Item Data Support Sheet'!A:O,7,0),"")</f>
        <v>NIPPLE LASER MARKING</v>
      </c>
      <c r="E206" s="80" t="s">
        <v>444</v>
      </c>
      <c r="F206" s="122"/>
      <c r="G206" s="77" t="s">
        <v>517</v>
      </c>
      <c r="H206" s="79" t="str">
        <f aca="false">IFERROR(VLOOKUP(E:E,'Item Data Support Sheet'!A:O,2,0),"")</f>
        <v>NIPPLE S TYPE S SIZE PUNCHED LASER MARKED</v>
      </c>
      <c r="I206" s="80" t="s">
        <v>504</v>
      </c>
      <c r="J206" s="80" t="s">
        <v>140</v>
      </c>
      <c r="K206" s="81" t="n">
        <v>8</v>
      </c>
      <c r="L206" s="124" t="n">
        <v>7000</v>
      </c>
      <c r="M206" s="83" t="n">
        <f aca="false">IFERROR(L206/K206,0)</f>
        <v>875</v>
      </c>
      <c r="N206" s="84" t="n">
        <f aca="false">+O206+Q206+T206+U206</f>
        <v>7300</v>
      </c>
      <c r="O206" s="85" t="n">
        <v>7300</v>
      </c>
      <c r="P206" s="86" t="n">
        <v>0</v>
      </c>
      <c r="Q206" s="87" t="n">
        <v>0</v>
      </c>
      <c r="R206" s="88" t="n">
        <v>0</v>
      </c>
      <c r="S206" s="88" t="n">
        <v>0</v>
      </c>
      <c r="T206" s="88" t="n">
        <v>0</v>
      </c>
      <c r="U206" s="88" t="n">
        <v>0</v>
      </c>
      <c r="V206" s="89" t="n">
        <v>1</v>
      </c>
      <c r="W206" s="90" t="n">
        <f aca="false">IFERROR(O206/V206,0)</f>
        <v>7300</v>
      </c>
      <c r="X206" s="91" t="n">
        <f aca="false">O206/L206</f>
        <v>1.04285714285714</v>
      </c>
      <c r="Y206" s="92" t="str">
        <f aca="false">IFERROR(VLOOKUP(E:E,'Item Data Support Sheet'!A:J,6,0),0)</f>
        <v>FO019</v>
      </c>
      <c r="Z206" s="93" t="n">
        <f aca="false">IFERROR(VLOOKUP(E:E,'Item Data Support Sheet'!A:O,4,0),0)</f>
        <v>0</v>
      </c>
      <c r="AA206" s="93" t="n">
        <f aca="false">IFERROR(((N206)*(Z206/1000))+P206,0)</f>
        <v>0</v>
      </c>
      <c r="AB206" s="94" t="str">
        <f aca="false">IFERROR((O206*(Z206/1000)/(AA206))," ")</f>
        <v> </v>
      </c>
      <c r="AC206" s="95" t="n">
        <f aca="false">IFERROR((T206)/((T206)+O206),0)</f>
        <v>0</v>
      </c>
      <c r="AD206" s="96" t="n">
        <f aca="false">IFERROR(Q206/(Q206+N206),0)</f>
        <v>0</v>
      </c>
      <c r="AE206" s="91" t="n">
        <f aca="false">(N206-T206)/N206</f>
        <v>1</v>
      </c>
      <c r="AF206" s="97" t="n">
        <f aca="false">BR206</f>
        <v>0.666666666666667</v>
      </c>
      <c r="AG206" s="98" t="n">
        <f aca="false">K206-AF206</f>
        <v>7.33333333333333</v>
      </c>
      <c r="AH206" s="99" t="n">
        <f aca="false">IFERROR(AG206/K206," ")</f>
        <v>0.916666666666667</v>
      </c>
      <c r="AI206" s="100" t="n">
        <f aca="false">IFERROR(O206/K206,0)</f>
        <v>912.5</v>
      </c>
      <c r="AJ206" s="101" t="n">
        <f aca="false">VLOOKUP(D206,'Standard Cycle time'!C:D,2,0)</f>
        <v>3.5</v>
      </c>
      <c r="AK206" s="101" t="n">
        <f aca="false">AG206*V206*3600/O206</f>
        <v>3.61643835616438</v>
      </c>
      <c r="AL206" s="102" t="n">
        <f aca="false">AJ206/AK206</f>
        <v>0.96780303030303</v>
      </c>
      <c r="AM206" s="99" t="n">
        <f aca="false">AE206*AL206*AH206</f>
        <v>0.887152777777778</v>
      </c>
      <c r="AN206" s="103" t="s">
        <v>518</v>
      </c>
      <c r="AO206" s="109"/>
      <c r="AP206" s="105" t="n">
        <v>40</v>
      </c>
      <c r="AQ206" s="105" t="n">
        <v>0</v>
      </c>
      <c r="AR206" s="105" t="n">
        <v>0</v>
      </c>
      <c r="AS206" s="105" t="n">
        <v>0</v>
      </c>
      <c r="AT206" s="105" t="n">
        <v>0</v>
      </c>
      <c r="AU206" s="105" t="n">
        <v>0</v>
      </c>
      <c r="AV206" s="105" t="n">
        <v>0</v>
      </c>
      <c r="AW206" s="105" t="n">
        <v>0</v>
      </c>
      <c r="AX206" s="105" t="n">
        <v>0</v>
      </c>
      <c r="AY206" s="105" t="n">
        <v>0</v>
      </c>
      <c r="AZ206" s="105" t="n">
        <v>0</v>
      </c>
      <c r="BA206" s="105" t="n">
        <v>0</v>
      </c>
      <c r="BB206" s="105" t="n">
        <v>0</v>
      </c>
      <c r="BC206" s="105" t="n">
        <v>0</v>
      </c>
      <c r="BD206" s="105" t="n">
        <v>0</v>
      </c>
      <c r="BE206" s="105" t="n">
        <v>0</v>
      </c>
      <c r="BF206" s="105" t="n">
        <v>0</v>
      </c>
      <c r="BG206" s="105" t="n">
        <v>0</v>
      </c>
      <c r="BH206" s="105" t="n">
        <v>0</v>
      </c>
      <c r="BI206" s="105" t="n">
        <v>0</v>
      </c>
      <c r="BJ206" s="105" t="n">
        <v>0</v>
      </c>
      <c r="BK206" s="105" t="n">
        <v>0</v>
      </c>
      <c r="BL206" s="105" t="n">
        <v>0</v>
      </c>
      <c r="BM206" s="105" t="n">
        <v>0</v>
      </c>
      <c r="BN206" s="105" t="n">
        <v>0</v>
      </c>
      <c r="BO206" s="105" t="n">
        <v>0</v>
      </c>
      <c r="BP206" s="105" t="n">
        <v>0</v>
      </c>
      <c r="BQ206" s="105" t="n">
        <v>0</v>
      </c>
      <c r="BR206" s="106" t="n">
        <f aca="false">SUM(AP206:BQ206)/60</f>
        <v>0.666666666666667</v>
      </c>
      <c r="BS206" s="106" t="n">
        <f aca="false">SUM(AP206:BR206)/60</f>
        <v>0.677777777777778</v>
      </c>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row>
    <row r="207" customFormat="false" ht="14.9" hidden="true" customHeight="false" outlineLevel="0" collapsed="false">
      <c r="A207" s="74" t="n">
        <f aca="false">MONTH(B207)</f>
        <v>8</v>
      </c>
      <c r="B207" s="75" t="n">
        <v>44427</v>
      </c>
      <c r="C207" s="128" t="s">
        <v>70</v>
      </c>
      <c r="D207" s="77" t="str">
        <f aca="false">IFERROR(VLOOKUP(E:E,'Item Data Support Sheet'!A:O,7,0),"")</f>
        <v>NIPPLE POSTCURE</v>
      </c>
      <c r="E207" s="80" t="s">
        <v>519</v>
      </c>
      <c r="F207" s="122"/>
      <c r="G207" s="77"/>
      <c r="H207" s="79" t="str">
        <f aca="false">IFERROR(VLOOKUP(E:E,'Item Data Support Sheet'!A:O,2,0),"")</f>
        <v>NIPPLE S TYPE LL SIZE POSTCURED</v>
      </c>
      <c r="I207" s="80" t="s">
        <v>520</v>
      </c>
      <c r="J207" s="80" t="s">
        <v>140</v>
      </c>
      <c r="K207" s="81" t="n">
        <v>8</v>
      </c>
      <c r="L207" s="124" t="n">
        <v>7036</v>
      </c>
      <c r="M207" s="83" t="n">
        <f aca="false">IFERROR(L207/K207,0)</f>
        <v>879.5</v>
      </c>
      <c r="N207" s="84" t="n">
        <f aca="false">+O207+Q207+T207+U207</f>
        <v>9100</v>
      </c>
      <c r="O207" s="85" t="n">
        <v>9100</v>
      </c>
      <c r="P207" s="86" t="n">
        <v>0</v>
      </c>
      <c r="Q207" s="87" t="n">
        <v>0</v>
      </c>
      <c r="R207" s="88" t="n">
        <v>0</v>
      </c>
      <c r="S207" s="88" t="n">
        <v>0</v>
      </c>
      <c r="T207" s="88" t="n">
        <v>0</v>
      </c>
      <c r="U207" s="88" t="n">
        <v>0</v>
      </c>
      <c r="V207" s="89" t="n">
        <v>1</v>
      </c>
      <c r="W207" s="90" t="n">
        <f aca="false">IFERROR(O207/V207,0)</f>
        <v>9100</v>
      </c>
      <c r="X207" s="91" t="n">
        <f aca="false">O207/L207</f>
        <v>1.29334849346219</v>
      </c>
      <c r="Y207" s="92" t="str">
        <f aca="false">IFERROR(VLOOKUP(E:E,'Item Data Support Sheet'!A:J,6,0),0)</f>
        <v>FO149</v>
      </c>
      <c r="Z207" s="93" t="n">
        <f aca="false">IFERROR(VLOOKUP(E:E,'Item Data Support Sheet'!A:O,4,0),0)</f>
        <v>0</v>
      </c>
      <c r="AA207" s="93" t="n">
        <f aca="false">IFERROR(((N207)*(Z207/1000))+P207,0)</f>
        <v>0</v>
      </c>
      <c r="AB207" s="94" t="str">
        <f aca="false">IFERROR((O207*(Z207/1000)/(AA207))," ")</f>
        <v> </v>
      </c>
      <c r="AC207" s="95" t="n">
        <f aca="false">IFERROR((T207)/((T207)+O207),0)</f>
        <v>0</v>
      </c>
      <c r="AD207" s="96" t="n">
        <f aca="false">IFERROR(Q207/(Q207+N207),0)</f>
        <v>0</v>
      </c>
      <c r="AE207" s="91" t="n">
        <f aca="false">(N207-T207)/N207</f>
        <v>1</v>
      </c>
      <c r="AF207" s="97" t="n">
        <f aca="false">BR207</f>
        <v>0.666666666666667</v>
      </c>
      <c r="AG207" s="98" t="n">
        <f aca="false">K207-AF207</f>
        <v>7.33333333333333</v>
      </c>
      <c r="AH207" s="99" t="n">
        <f aca="false">IFERROR(AG207/K207," ")</f>
        <v>0.916666666666667</v>
      </c>
      <c r="AI207" s="100" t="n">
        <f aca="false">IFERROR(O207/K207,0)</f>
        <v>1137.5</v>
      </c>
      <c r="AJ207" s="101" t="n">
        <f aca="false">VLOOKUP(D207,'Standard Cycle time'!C:D,2,0)</f>
        <v>2.3</v>
      </c>
      <c r="AK207" s="101" t="n">
        <f aca="false">AG207*V207*3600/O207</f>
        <v>2.9010989010989</v>
      </c>
      <c r="AL207" s="102" t="n">
        <f aca="false">AJ207/AK207</f>
        <v>0.79280303030303</v>
      </c>
      <c r="AM207" s="99" t="n">
        <f aca="false">AE207*AL207*AH207</f>
        <v>0.726736111111111</v>
      </c>
      <c r="AN207" s="103" t="s">
        <v>521</v>
      </c>
      <c r="AO207" s="104"/>
      <c r="AP207" s="105" t="n">
        <v>40</v>
      </c>
      <c r="AQ207" s="105" t="n">
        <v>0</v>
      </c>
      <c r="AR207" s="105" t="n">
        <v>0</v>
      </c>
      <c r="AS207" s="105" t="n">
        <v>0</v>
      </c>
      <c r="AT207" s="105" t="n">
        <v>0</v>
      </c>
      <c r="AU207" s="105" t="n">
        <v>0</v>
      </c>
      <c r="AV207" s="105" t="n">
        <v>0</v>
      </c>
      <c r="AW207" s="105" t="n">
        <v>0</v>
      </c>
      <c r="AX207" s="105" t="n">
        <v>0</v>
      </c>
      <c r="AY207" s="105" t="n">
        <v>0</v>
      </c>
      <c r="AZ207" s="105" t="n">
        <v>0</v>
      </c>
      <c r="BA207" s="105" t="n">
        <v>0</v>
      </c>
      <c r="BB207" s="105" t="n">
        <v>0</v>
      </c>
      <c r="BC207" s="105" t="n">
        <v>0</v>
      </c>
      <c r="BD207" s="105" t="n">
        <v>0</v>
      </c>
      <c r="BE207" s="105" t="n">
        <v>0</v>
      </c>
      <c r="BF207" s="105" t="n">
        <v>0</v>
      </c>
      <c r="BG207" s="105" t="n">
        <v>0</v>
      </c>
      <c r="BH207" s="105" t="n">
        <v>0</v>
      </c>
      <c r="BI207" s="105" t="n">
        <v>0</v>
      </c>
      <c r="BJ207" s="105" t="n">
        <v>0</v>
      </c>
      <c r="BK207" s="105" t="n">
        <v>0</v>
      </c>
      <c r="BL207" s="105" t="n">
        <v>0</v>
      </c>
      <c r="BM207" s="105" t="n">
        <v>0</v>
      </c>
      <c r="BN207" s="105" t="n">
        <v>0</v>
      </c>
      <c r="BO207" s="105" t="n">
        <v>0</v>
      </c>
      <c r="BP207" s="105" t="n">
        <v>0</v>
      </c>
      <c r="BQ207" s="105" t="n">
        <v>0</v>
      </c>
      <c r="BR207" s="106" t="n">
        <f aca="false">SUM(AP207:BQ207)/60</f>
        <v>0.666666666666667</v>
      </c>
      <c r="BS207" s="106" t="n">
        <f aca="false">SUM(AP207:BR207)/60</f>
        <v>0.677777777777778</v>
      </c>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row>
    <row r="208" customFormat="false" ht="14.9" hidden="true" customHeight="false" outlineLevel="0" collapsed="false">
      <c r="A208" s="74" t="n">
        <f aca="false">MONTH(B208)</f>
        <v>8</v>
      </c>
      <c r="B208" s="75" t="n">
        <v>44427</v>
      </c>
      <c r="C208" s="128" t="s">
        <v>70</v>
      </c>
      <c r="D208" s="77" t="str">
        <f aca="false">IFERROR(VLOOKUP(E:E,'Item Data Support Sheet'!A:O,7,0),"")</f>
        <v>NIPPLE MOLDED</v>
      </c>
      <c r="E208" s="80" t="s">
        <v>492</v>
      </c>
      <c r="F208" s="123" t="s">
        <v>137</v>
      </c>
      <c r="G208" s="77" t="s">
        <v>138</v>
      </c>
      <c r="H208" s="79" t="str">
        <f aca="false">IFERROR(VLOOKUP(E:E,'Item Data Support Sheet'!A:O,2,0),"")</f>
        <v>NIPPLE S TYPE LL SIZE INJECTION</v>
      </c>
      <c r="I208" s="80" t="s">
        <v>522</v>
      </c>
      <c r="J208" s="80" t="s">
        <v>140</v>
      </c>
      <c r="K208" s="81" t="n">
        <v>8</v>
      </c>
      <c r="L208" s="124" t="n">
        <v>4815</v>
      </c>
      <c r="M208" s="83" t="n">
        <f aca="false">IFERROR(L208/K208,0)</f>
        <v>601.875</v>
      </c>
      <c r="N208" s="84" t="n">
        <f aca="false">+O208+Q208+T208+U208</f>
        <v>5365</v>
      </c>
      <c r="O208" s="85" t="n">
        <v>5300</v>
      </c>
      <c r="P208" s="86" t="n">
        <v>0</v>
      </c>
      <c r="Q208" s="87" t="n">
        <v>0</v>
      </c>
      <c r="R208" s="88" t="n">
        <v>0</v>
      </c>
      <c r="S208" s="88" t="n">
        <v>0</v>
      </c>
      <c r="T208" s="88" t="n">
        <v>65</v>
      </c>
      <c r="U208" s="88" t="n">
        <v>0</v>
      </c>
      <c r="V208" s="89" t="n">
        <v>1</v>
      </c>
      <c r="W208" s="90" t="n">
        <f aca="false">IFERROR(O208/V208,0)</f>
        <v>5300</v>
      </c>
      <c r="X208" s="91" t="n">
        <f aca="false">O208/L208</f>
        <v>1.10072689511942</v>
      </c>
      <c r="Y208" s="92" t="str">
        <f aca="false">IFERROR(VLOOKUP(E:E,'Item Data Support Sheet'!A:J,6,0),0)</f>
        <v>FO148</v>
      </c>
      <c r="Z208" s="93" t="n">
        <f aca="false">IFERROR(VLOOKUP(E:E,'Item Data Support Sheet'!A:O,4,0),0)</f>
        <v>6.8</v>
      </c>
      <c r="AA208" s="93" t="n">
        <f aca="false">IFERROR(((N208)*(Z208/1000))+P208,0)</f>
        <v>36.482</v>
      </c>
      <c r="AB208" s="94" t="n">
        <f aca="false">IFERROR((O208*(Z208/1000)/(AA208))," ")</f>
        <v>0.987884436160298</v>
      </c>
      <c r="AC208" s="95" t="n">
        <f aca="false">IFERROR((T208)/((T208)+O208),0)</f>
        <v>0.0121155638397018</v>
      </c>
      <c r="AD208" s="96" t="n">
        <f aca="false">IFERROR(Q208/(Q208+N208),0)</f>
        <v>0</v>
      </c>
      <c r="AE208" s="91" t="n">
        <f aca="false">(N208-T208)/N208</f>
        <v>0.987884436160298</v>
      </c>
      <c r="AF208" s="97" t="n">
        <f aca="false">BR208</f>
        <v>0</v>
      </c>
      <c r="AG208" s="98" t="n">
        <f aca="false">K208-AF208</f>
        <v>8</v>
      </c>
      <c r="AH208" s="99" t="n">
        <f aca="false">IFERROR(AG208/K208," ")</f>
        <v>1</v>
      </c>
      <c r="AI208" s="100" t="n">
        <f aca="false">IFERROR(O208/K208,0)</f>
        <v>662.5</v>
      </c>
      <c r="AJ208" s="101" t="n">
        <f aca="false">VLOOKUP(D208,'Standard Cycle time'!C:D,2,0)</f>
        <v>5.25</v>
      </c>
      <c r="AK208" s="101" t="n">
        <f aca="false">AG208*V208*3600/O208</f>
        <v>5.43396226415094</v>
      </c>
      <c r="AL208" s="102" t="n">
        <f aca="false">AJ208/AK208</f>
        <v>0.966145833333333</v>
      </c>
      <c r="AM208" s="99" t="n">
        <f aca="false">AE208*AL208*AH208</f>
        <v>0.954440431811121</v>
      </c>
      <c r="AN208" s="103" t="s">
        <v>523</v>
      </c>
      <c r="AO208" s="109"/>
      <c r="AP208" s="105" t="n">
        <v>0</v>
      </c>
      <c r="AQ208" s="105" t="n">
        <v>0</v>
      </c>
      <c r="AR208" s="105" t="n">
        <v>0</v>
      </c>
      <c r="AS208" s="105" t="n">
        <v>0</v>
      </c>
      <c r="AT208" s="105" t="n">
        <v>0</v>
      </c>
      <c r="AU208" s="105" t="n">
        <v>0</v>
      </c>
      <c r="AV208" s="105" t="n">
        <v>0</v>
      </c>
      <c r="AW208" s="105" t="n">
        <v>0</v>
      </c>
      <c r="AX208" s="105" t="n">
        <v>0</v>
      </c>
      <c r="AY208" s="105" t="n">
        <v>0</v>
      </c>
      <c r="AZ208" s="105" t="n">
        <v>0</v>
      </c>
      <c r="BA208" s="105" t="n">
        <v>0</v>
      </c>
      <c r="BB208" s="105" t="n">
        <v>0</v>
      </c>
      <c r="BC208" s="105" t="n">
        <v>0</v>
      </c>
      <c r="BD208" s="105" t="n">
        <v>0</v>
      </c>
      <c r="BE208" s="105" t="n">
        <v>0</v>
      </c>
      <c r="BF208" s="105" t="n">
        <v>0</v>
      </c>
      <c r="BG208" s="105" t="n">
        <v>0</v>
      </c>
      <c r="BH208" s="105" t="n">
        <v>0</v>
      </c>
      <c r="BI208" s="105" t="n">
        <v>0</v>
      </c>
      <c r="BJ208" s="105" t="n">
        <v>0</v>
      </c>
      <c r="BK208" s="105" t="n">
        <v>0</v>
      </c>
      <c r="BL208" s="105" t="n">
        <v>0</v>
      </c>
      <c r="BM208" s="105" t="n">
        <v>0</v>
      </c>
      <c r="BN208" s="105" t="n">
        <v>0</v>
      </c>
      <c r="BO208" s="105" t="n">
        <v>0</v>
      </c>
      <c r="BP208" s="105" t="n">
        <v>0</v>
      </c>
      <c r="BQ208" s="105" t="n">
        <v>0</v>
      </c>
      <c r="BR208" s="106" t="n">
        <f aca="false">SUM(AP208:BQ208)/60</f>
        <v>0</v>
      </c>
      <c r="BS208" s="106" t="n">
        <f aca="false">SUM(AP208:BR208)/60</f>
        <v>0</v>
      </c>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row>
    <row r="209" customFormat="false" ht="14.9" hidden="true" customHeight="false" outlineLevel="0" collapsed="false">
      <c r="A209" s="74" t="n">
        <f aca="false">MONTH(B209)</f>
        <v>8</v>
      </c>
      <c r="B209" s="75" t="n">
        <v>44427</v>
      </c>
      <c r="C209" s="128" t="s">
        <v>152</v>
      </c>
      <c r="D209" s="77" t="str">
        <f aca="false">IFERROR(VLOOKUP(E:E,'Item Data Support Sheet'!A:O,7,0),"")</f>
        <v>NIPPLE MOLDED</v>
      </c>
      <c r="E209" s="80" t="s">
        <v>492</v>
      </c>
      <c r="F209" s="123" t="s">
        <v>137</v>
      </c>
      <c r="G209" s="77" t="s">
        <v>138</v>
      </c>
      <c r="H209" s="79" t="str">
        <f aca="false">IFERROR(VLOOKUP(E:E,'Item Data Support Sheet'!A:O,2,0),"")</f>
        <v>NIPPLE S TYPE LL SIZE INJECTION</v>
      </c>
      <c r="I209" s="80" t="s">
        <v>524</v>
      </c>
      <c r="J209" s="80" t="s">
        <v>143</v>
      </c>
      <c r="K209" s="81" t="n">
        <v>8</v>
      </c>
      <c r="L209" s="124" t="n">
        <v>4815</v>
      </c>
      <c r="M209" s="83" t="n">
        <f aca="false">IFERROR(L209/K209,0)</f>
        <v>601.875</v>
      </c>
      <c r="N209" s="84" t="n">
        <f aca="false">+O209+Q209+T209+U209</f>
        <v>5130</v>
      </c>
      <c r="O209" s="85" t="n">
        <v>5000</v>
      </c>
      <c r="P209" s="86" t="n">
        <v>0</v>
      </c>
      <c r="Q209" s="87" t="n">
        <v>70</v>
      </c>
      <c r="R209" s="88" t="n">
        <v>0</v>
      </c>
      <c r="S209" s="88" t="n">
        <v>0</v>
      </c>
      <c r="T209" s="88" t="n">
        <v>52</v>
      </c>
      <c r="U209" s="88" t="n">
        <v>8</v>
      </c>
      <c r="V209" s="89" t="n">
        <v>1</v>
      </c>
      <c r="W209" s="90" t="n">
        <f aca="false">IFERROR(O209/V209,0)</f>
        <v>5000</v>
      </c>
      <c r="X209" s="91" t="n">
        <f aca="false">O209/L209</f>
        <v>1.03842159916926</v>
      </c>
      <c r="Y209" s="92" t="str">
        <f aca="false">IFERROR(VLOOKUP(E:E,'Item Data Support Sheet'!A:J,6,0),0)</f>
        <v>FO148</v>
      </c>
      <c r="Z209" s="93" t="n">
        <f aca="false">IFERROR(VLOOKUP(E:E,'Item Data Support Sheet'!A:O,4,0),0)</f>
        <v>6.8</v>
      </c>
      <c r="AA209" s="93" t="n">
        <f aca="false">IFERROR(((N209)*(Z209/1000))+P209,0)</f>
        <v>34.884</v>
      </c>
      <c r="AB209" s="94" t="n">
        <f aca="false">IFERROR((O209*(Z209/1000)/(AA209))," ")</f>
        <v>0.974658869395711</v>
      </c>
      <c r="AC209" s="95" t="n">
        <f aca="false">IFERROR((T209)/((T209)+O209),0)</f>
        <v>0.0102929532858274</v>
      </c>
      <c r="AD209" s="96" t="n">
        <f aca="false">IFERROR(Q209/(Q209+N209),0)</f>
        <v>0.0134615384615385</v>
      </c>
      <c r="AE209" s="91" t="n">
        <f aca="false">(N209-T209)/N209</f>
        <v>0.989863547758285</v>
      </c>
      <c r="AF209" s="97" t="n">
        <f aca="false">BR209</f>
        <v>0.5</v>
      </c>
      <c r="AG209" s="98" t="n">
        <f aca="false">K209-AF209</f>
        <v>7.5</v>
      </c>
      <c r="AH209" s="99" t="n">
        <f aca="false">IFERROR(AG209/K209," ")</f>
        <v>0.9375</v>
      </c>
      <c r="AI209" s="100" t="n">
        <f aca="false">IFERROR(O209/K209,0)</f>
        <v>625</v>
      </c>
      <c r="AJ209" s="101" t="n">
        <f aca="false">VLOOKUP(D209,'Standard Cycle time'!C:D,2,0)</f>
        <v>5.25</v>
      </c>
      <c r="AK209" s="101" t="n">
        <f aca="false">AG209*V209*3600/O209</f>
        <v>5.4</v>
      </c>
      <c r="AL209" s="102" t="n">
        <f aca="false">AJ209/AK209</f>
        <v>0.972222222222222</v>
      </c>
      <c r="AM209" s="99" t="n">
        <f aca="false">AE209*AL209*AH209</f>
        <v>0.902219379467186</v>
      </c>
      <c r="AN209" s="103" t="n">
        <v>2566</v>
      </c>
      <c r="AO209" s="109" t="s">
        <v>525</v>
      </c>
      <c r="AP209" s="105" t="n">
        <v>0</v>
      </c>
      <c r="AQ209" s="105" t="n">
        <v>0</v>
      </c>
      <c r="AR209" s="105" t="n">
        <v>0</v>
      </c>
      <c r="AS209" s="105" t="n">
        <v>0</v>
      </c>
      <c r="AT209" s="105" t="n">
        <v>0</v>
      </c>
      <c r="AU209" s="105" t="n">
        <v>30</v>
      </c>
      <c r="AV209" s="105" t="n">
        <v>0</v>
      </c>
      <c r="AW209" s="105" t="n">
        <v>0</v>
      </c>
      <c r="AX209" s="105" t="n">
        <v>0</v>
      </c>
      <c r="AY209" s="105" t="n">
        <v>0</v>
      </c>
      <c r="AZ209" s="105" t="n">
        <v>0</v>
      </c>
      <c r="BA209" s="105" t="n">
        <v>0</v>
      </c>
      <c r="BB209" s="105" t="n">
        <v>0</v>
      </c>
      <c r="BC209" s="105" t="n">
        <v>0</v>
      </c>
      <c r="BD209" s="105" t="n">
        <v>0</v>
      </c>
      <c r="BE209" s="105" t="n">
        <v>0</v>
      </c>
      <c r="BF209" s="105" t="n">
        <v>0</v>
      </c>
      <c r="BG209" s="105" t="n">
        <v>0</v>
      </c>
      <c r="BH209" s="105" t="n">
        <v>0</v>
      </c>
      <c r="BI209" s="105" t="n">
        <v>0</v>
      </c>
      <c r="BJ209" s="105" t="n">
        <v>0</v>
      </c>
      <c r="BK209" s="105" t="n">
        <v>0</v>
      </c>
      <c r="BL209" s="105" t="n">
        <v>0</v>
      </c>
      <c r="BM209" s="105" t="n">
        <v>0</v>
      </c>
      <c r="BN209" s="105" t="n">
        <v>0</v>
      </c>
      <c r="BO209" s="105" t="n">
        <v>0</v>
      </c>
      <c r="BP209" s="105" t="n">
        <v>0</v>
      </c>
      <c r="BQ209" s="105" t="n">
        <v>0</v>
      </c>
      <c r="BR209" s="106" t="n">
        <f aca="false">SUM(AP209:BQ209)/60</f>
        <v>0.5</v>
      </c>
      <c r="BS209" s="106" t="n">
        <f aca="false">SUM(AP209:BR209)/60</f>
        <v>0.508333333333333</v>
      </c>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row>
    <row r="210" customFormat="false" ht="14.9" hidden="true" customHeight="false" outlineLevel="0" collapsed="false">
      <c r="A210" s="74" t="n">
        <f aca="false">MONTH(B210)</f>
        <v>8</v>
      </c>
      <c r="B210" s="75" t="n">
        <v>44427</v>
      </c>
      <c r="C210" s="128" t="s">
        <v>152</v>
      </c>
      <c r="D210" s="77" t="str">
        <f aca="false">IFERROR(VLOOKUP(E:E,'Item Data Support Sheet'!A:O,7,0),"")</f>
        <v>BOTTLE MOLDED</v>
      </c>
      <c r="E210" s="80" t="s">
        <v>69</v>
      </c>
      <c r="F210" s="122" t="s">
        <v>73</v>
      </c>
      <c r="G210" s="77" t="s">
        <v>74</v>
      </c>
      <c r="H210" s="79" t="str">
        <f aca="false">IFERROR(VLOOKUP(E:E,'Item Data Support Sheet'!A:O,2,0),"")</f>
        <v>KPP 240 ML BOTTLE MOLDED</v>
      </c>
      <c r="I210" s="80" t="s">
        <v>526</v>
      </c>
      <c r="J210" s="80" t="s">
        <v>143</v>
      </c>
      <c r="K210" s="81" t="n">
        <v>8</v>
      </c>
      <c r="L210" s="124" t="n">
        <v>2574</v>
      </c>
      <c r="M210" s="83" t="n">
        <f aca="false">IFERROR(L210/K210,0)</f>
        <v>321.75</v>
      </c>
      <c r="N210" s="84" t="n">
        <f aca="false">+O210+Q210+T210+U210</f>
        <v>3252</v>
      </c>
      <c r="O210" s="85" t="n">
        <f aca="false">29*108</f>
        <v>3132</v>
      </c>
      <c r="P210" s="86" t="n">
        <v>0</v>
      </c>
      <c r="Q210" s="87" t="n">
        <v>57</v>
      </c>
      <c r="R210" s="88" t="n">
        <v>0</v>
      </c>
      <c r="S210" s="88" t="n">
        <v>0</v>
      </c>
      <c r="T210" s="88" t="n">
        <v>55</v>
      </c>
      <c r="U210" s="88" t="n">
        <v>8</v>
      </c>
      <c r="V210" s="89" t="n">
        <v>1</v>
      </c>
      <c r="W210" s="90" t="n">
        <f aca="false">IFERROR(O210/V210,0)</f>
        <v>3132</v>
      </c>
      <c r="X210" s="91" t="n">
        <f aca="false">O210/L210</f>
        <v>1.21678321678322</v>
      </c>
      <c r="Y210" s="92" t="str">
        <f aca="false">IFERROR(VLOOKUP(E:E,'Item Data Support Sheet'!A:J,6,0),0)</f>
        <v>HMC</v>
      </c>
      <c r="Z210" s="93" t="n">
        <f aca="false">IFERROR(VLOOKUP(E:E,'Item Data Support Sheet'!A:O,4,0),0)</f>
        <v>32.1</v>
      </c>
      <c r="AA210" s="93" t="n">
        <f aca="false">IFERROR(((N210)*(Z210/1000))+P210,0)</f>
        <v>104.3892</v>
      </c>
      <c r="AB210" s="94" t="n">
        <f aca="false">IFERROR((O210*(Z210/1000)/(AA210))," ")</f>
        <v>0.96309963099631</v>
      </c>
      <c r="AC210" s="95" t="n">
        <f aca="false">IFERROR((T210)/((T210)+O210),0)</f>
        <v>0.0172576090367116</v>
      </c>
      <c r="AD210" s="96" t="n">
        <f aca="false">IFERROR(Q210/(Q210+N210),0)</f>
        <v>0.0172257479601088</v>
      </c>
      <c r="AE210" s="91" t="n">
        <f aca="false">(N210-T210)/N210</f>
        <v>0.983087330873309</v>
      </c>
      <c r="AF210" s="97" t="n">
        <f aca="false">BR210</f>
        <v>0</v>
      </c>
      <c r="AG210" s="98" t="n">
        <f aca="false">K210-AF210</f>
        <v>8</v>
      </c>
      <c r="AH210" s="99" t="n">
        <f aca="false">IFERROR(AG210/K210," ")</f>
        <v>1</v>
      </c>
      <c r="AI210" s="100" t="n">
        <f aca="false">IFERROR(O210/K210,0)</f>
        <v>391.5</v>
      </c>
      <c r="AJ210" s="101" t="n">
        <f aca="false">VLOOKUP(D210,'Standard Cycle time'!C:D,2,0)</f>
        <v>9</v>
      </c>
      <c r="AK210" s="101" t="n">
        <f aca="false">AG210*V210*3600/O210</f>
        <v>9.19540229885057</v>
      </c>
      <c r="AL210" s="102" t="n">
        <f aca="false">AJ210/AK210</f>
        <v>0.97875</v>
      </c>
      <c r="AM210" s="99" t="n">
        <f aca="false">AE210*AL210*AH210</f>
        <v>0.962196725092251</v>
      </c>
      <c r="AN210" s="103" t="s">
        <v>527</v>
      </c>
      <c r="AO210" s="104" t="s">
        <v>528</v>
      </c>
      <c r="AP210" s="105" t="n">
        <v>0</v>
      </c>
      <c r="AQ210" s="105" t="n">
        <v>0</v>
      </c>
      <c r="AR210" s="105" t="n">
        <v>0</v>
      </c>
      <c r="AS210" s="105" t="n">
        <v>0</v>
      </c>
      <c r="AT210" s="105" t="n">
        <v>0</v>
      </c>
      <c r="AU210" s="105" t="n">
        <v>0</v>
      </c>
      <c r="AV210" s="105" t="n">
        <v>0</v>
      </c>
      <c r="AW210" s="105" t="n">
        <v>0</v>
      </c>
      <c r="AX210" s="105" t="n">
        <v>0</v>
      </c>
      <c r="AY210" s="105" t="n">
        <v>0</v>
      </c>
      <c r="AZ210" s="105" t="n">
        <v>0</v>
      </c>
      <c r="BA210" s="105" t="n">
        <v>0</v>
      </c>
      <c r="BB210" s="105" t="n">
        <v>0</v>
      </c>
      <c r="BC210" s="105" t="n">
        <v>0</v>
      </c>
      <c r="BD210" s="105" t="n">
        <v>0</v>
      </c>
      <c r="BE210" s="105" t="n">
        <v>0</v>
      </c>
      <c r="BF210" s="105" t="n">
        <v>0</v>
      </c>
      <c r="BG210" s="105" t="n">
        <v>0</v>
      </c>
      <c r="BH210" s="105" t="n">
        <v>0</v>
      </c>
      <c r="BI210" s="105" t="n">
        <v>0</v>
      </c>
      <c r="BJ210" s="105" t="n">
        <v>0</v>
      </c>
      <c r="BK210" s="105" t="n">
        <v>0</v>
      </c>
      <c r="BL210" s="105" t="n">
        <v>0</v>
      </c>
      <c r="BM210" s="105" t="n">
        <v>0</v>
      </c>
      <c r="BN210" s="105" t="n">
        <v>0</v>
      </c>
      <c r="BO210" s="105" t="n">
        <v>0</v>
      </c>
      <c r="BP210" s="105" t="n">
        <v>0</v>
      </c>
      <c r="BQ210" s="105" t="n">
        <v>0</v>
      </c>
      <c r="BR210" s="106" t="n">
        <f aca="false">SUM(AP210:BQ210)/60</f>
        <v>0</v>
      </c>
      <c r="BS210" s="106" t="n">
        <f aca="false">SUM(AP210:BR210)/60</f>
        <v>0</v>
      </c>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row>
    <row r="211" customFormat="false" ht="15" hidden="true" customHeight="true" outlineLevel="0" collapsed="false">
      <c r="A211" s="74" t="n">
        <f aca="false">MONTH(B211)</f>
        <v>8</v>
      </c>
      <c r="B211" s="75" t="n">
        <v>44427</v>
      </c>
      <c r="C211" s="128" t="s">
        <v>152</v>
      </c>
      <c r="D211" s="77" t="str">
        <f aca="false">IFERROR(VLOOKUP(E:E,'Item Data Support Sheet'!A:O,7,0),"")</f>
        <v>HOOD MOLDED</v>
      </c>
      <c r="E211" s="80" t="s">
        <v>529</v>
      </c>
      <c r="F211" s="122"/>
      <c r="G211" s="77" t="s">
        <v>200</v>
      </c>
      <c r="H211" s="79" t="str">
        <f aca="false">IFERROR(VLOOKUP(E:E,'Item Data Support Sheet'!A:O,2,0),"")</f>
        <v>HOOD S TYPE MOLDED</v>
      </c>
      <c r="I211" s="80" t="s">
        <v>530</v>
      </c>
      <c r="J211" s="80" t="s">
        <v>143</v>
      </c>
      <c r="K211" s="81" t="n">
        <v>8</v>
      </c>
      <c r="L211" s="124" t="n">
        <v>4137</v>
      </c>
      <c r="M211" s="83" t="n">
        <f aca="false">IFERROR(L211/K211,0)</f>
        <v>517.125</v>
      </c>
      <c r="N211" s="84" t="n">
        <f aca="false">+O211+Q211+T211+U211</f>
        <v>5466</v>
      </c>
      <c r="O211" s="85" t="n">
        <v>5000</v>
      </c>
      <c r="P211" s="86" t="n">
        <v>1.8</v>
      </c>
      <c r="Q211" s="87" t="n">
        <v>403</v>
      </c>
      <c r="R211" s="88" t="n">
        <v>0</v>
      </c>
      <c r="S211" s="88" t="n">
        <v>0</v>
      </c>
      <c r="T211" s="88" t="n">
        <v>55</v>
      </c>
      <c r="U211" s="88" t="n">
        <v>8</v>
      </c>
      <c r="V211" s="89" t="n">
        <v>1</v>
      </c>
      <c r="W211" s="90" t="n">
        <f aca="false">IFERROR(O211/V211,0)</f>
        <v>5000</v>
      </c>
      <c r="X211" s="91" t="n">
        <f aca="false">O211/L211</f>
        <v>1.20860526951898</v>
      </c>
      <c r="Y211" s="92" t="str">
        <f aca="false">IFERROR(VLOOKUP(E:E,'Item Data Support Sheet'!A:J,6,0),0)</f>
        <v>HMC</v>
      </c>
      <c r="Z211" s="93" t="n">
        <f aca="false">IFERROR(VLOOKUP(E:E,'Item Data Support Sheet'!A:O,4,0),0)</f>
        <v>8.6</v>
      </c>
      <c r="AA211" s="93" t="n">
        <f aca="false">IFERROR(((N211)*(Z211/1000))+P211,0)</f>
        <v>48.8076</v>
      </c>
      <c r="AB211" s="94" t="n">
        <f aca="false">IFERROR((O211*(Z211/1000)/(AA211))," ")</f>
        <v>0.881010334456109</v>
      </c>
      <c r="AC211" s="95" t="n">
        <f aca="false">IFERROR((T211)/((T211)+O211),0)</f>
        <v>0.0108803165182987</v>
      </c>
      <c r="AD211" s="96" t="n">
        <f aca="false">IFERROR(Q211/(Q211+N211),0)</f>
        <v>0.0686658715283694</v>
      </c>
      <c r="AE211" s="91" t="n">
        <f aca="false">(N211-T211)/N211</f>
        <v>0.989937797292353</v>
      </c>
      <c r="AF211" s="97" t="n">
        <f aca="false">BR211</f>
        <v>0</v>
      </c>
      <c r="AG211" s="98" t="n">
        <f aca="false">K211-AF211</f>
        <v>8</v>
      </c>
      <c r="AH211" s="99" t="n">
        <f aca="false">IFERROR(AG211/K211," ")</f>
        <v>1</v>
      </c>
      <c r="AI211" s="100" t="n">
        <f aca="false">IFERROR(O211/K211,0)</f>
        <v>625</v>
      </c>
      <c r="AJ211" s="101" t="n">
        <f aca="false">VLOOKUP(D211,'Standard Cycle time'!C:D,2,0)</f>
        <v>6</v>
      </c>
      <c r="AK211" s="101" t="n">
        <f aca="false">AG211*V211*3600/O211</f>
        <v>5.76</v>
      </c>
      <c r="AL211" s="102" t="n">
        <f aca="false">AJ211/AK211</f>
        <v>1.04166666666667</v>
      </c>
      <c r="AM211" s="99" t="n">
        <f aca="false">AE211*AL211*AH211</f>
        <v>1.03118520551287</v>
      </c>
      <c r="AN211" s="103" t="n">
        <v>2565</v>
      </c>
      <c r="AO211" s="104" t="s">
        <v>531</v>
      </c>
      <c r="AP211" s="105" t="n">
        <v>0</v>
      </c>
      <c r="AQ211" s="105" t="n">
        <v>0</v>
      </c>
      <c r="AR211" s="105" t="n">
        <v>0</v>
      </c>
      <c r="AS211" s="105" t="n">
        <v>0</v>
      </c>
      <c r="AT211" s="105" t="n">
        <v>0</v>
      </c>
      <c r="AU211" s="105" t="n">
        <v>0</v>
      </c>
      <c r="AV211" s="105" t="n">
        <v>0</v>
      </c>
      <c r="AW211" s="105" t="n">
        <v>0</v>
      </c>
      <c r="AX211" s="105" t="n">
        <v>0</v>
      </c>
      <c r="AY211" s="105" t="n">
        <v>0</v>
      </c>
      <c r="AZ211" s="105" t="n">
        <v>0</v>
      </c>
      <c r="BA211" s="105" t="n">
        <v>0</v>
      </c>
      <c r="BB211" s="105" t="n">
        <v>0</v>
      </c>
      <c r="BC211" s="105" t="n">
        <v>0</v>
      </c>
      <c r="BD211" s="105" t="n">
        <v>0</v>
      </c>
      <c r="BE211" s="105" t="n">
        <v>0</v>
      </c>
      <c r="BF211" s="105" t="n">
        <v>0</v>
      </c>
      <c r="BG211" s="105" t="n">
        <v>0</v>
      </c>
      <c r="BH211" s="105" t="n">
        <v>0</v>
      </c>
      <c r="BI211" s="105" t="n">
        <v>0</v>
      </c>
      <c r="BJ211" s="105" t="n">
        <v>0</v>
      </c>
      <c r="BK211" s="105" t="n">
        <v>0</v>
      </c>
      <c r="BL211" s="105" t="n">
        <v>0</v>
      </c>
      <c r="BM211" s="105" t="n">
        <v>0</v>
      </c>
      <c r="BN211" s="105" t="n">
        <v>0</v>
      </c>
      <c r="BO211" s="105" t="n">
        <v>0</v>
      </c>
      <c r="BP211" s="105" t="n">
        <v>0</v>
      </c>
      <c r="BQ211" s="105" t="n">
        <v>0</v>
      </c>
      <c r="BR211" s="106" t="n">
        <f aca="false">SUM(AP211:BQ211)/60</f>
        <v>0</v>
      </c>
      <c r="BS211" s="106" t="n">
        <f aca="false">SUM(AP211:BR211)/60</f>
        <v>0</v>
      </c>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row>
    <row r="212" customFormat="false" ht="16.4" hidden="true" customHeight="true" outlineLevel="0" collapsed="false">
      <c r="A212" s="74" t="n">
        <f aca="false">MONTH(B212)</f>
        <v>8</v>
      </c>
      <c r="B212" s="75" t="n">
        <v>44427</v>
      </c>
      <c r="C212" s="128" t="s">
        <v>152</v>
      </c>
      <c r="D212" s="77" t="str">
        <f aca="false">IFERROR(VLOOKUP(E:E,'Item Data Support Sheet'!A:O,7,0),"")</f>
        <v>NIPPLE POSTCURE</v>
      </c>
      <c r="E212" s="80" t="s">
        <v>519</v>
      </c>
      <c r="F212" s="122"/>
      <c r="G212" s="77" t="s">
        <v>149</v>
      </c>
      <c r="H212" s="79" t="str">
        <f aca="false">IFERROR(VLOOKUP(E:E,'Item Data Support Sheet'!A:O,2,0),"")</f>
        <v>NIPPLE S TYPE LL SIZE POSTCURED</v>
      </c>
      <c r="I212" s="80" t="s">
        <v>532</v>
      </c>
      <c r="J212" s="80" t="s">
        <v>143</v>
      </c>
      <c r="K212" s="81" t="n">
        <v>6</v>
      </c>
      <c r="L212" s="124" t="n">
        <v>7036</v>
      </c>
      <c r="M212" s="83" t="n">
        <f aca="false">IFERROR(L212/K212,0)</f>
        <v>1172.66666666667</v>
      </c>
      <c r="N212" s="84" t="n">
        <f aca="false">+O212+Q212+T212+U212</f>
        <v>7300</v>
      </c>
      <c r="O212" s="85" t="n">
        <f aca="false">5300+2000</f>
        <v>7300</v>
      </c>
      <c r="P212" s="86" t="n">
        <v>0</v>
      </c>
      <c r="Q212" s="87" t="n">
        <v>0</v>
      </c>
      <c r="R212" s="88" t="n">
        <v>0</v>
      </c>
      <c r="S212" s="88" t="n">
        <v>0</v>
      </c>
      <c r="T212" s="88" t="n">
        <v>0</v>
      </c>
      <c r="U212" s="88" t="n">
        <v>0</v>
      </c>
      <c r="V212" s="89" t="n">
        <v>1</v>
      </c>
      <c r="W212" s="90" t="n">
        <f aca="false">IFERROR(O212/V212,0)</f>
        <v>7300</v>
      </c>
      <c r="X212" s="91" t="n">
        <f aca="false">O212/L212</f>
        <v>1.03752131893121</v>
      </c>
      <c r="Y212" s="92" t="str">
        <f aca="false">IFERROR(VLOOKUP(E:E,'Item Data Support Sheet'!A:J,6,0),0)</f>
        <v>FO149</v>
      </c>
      <c r="Z212" s="93" t="n">
        <f aca="false">IFERROR(VLOOKUP(E:E,'Item Data Support Sheet'!A:O,4,0),0)</f>
        <v>0</v>
      </c>
      <c r="AA212" s="93" t="n">
        <f aca="false">IFERROR(((N212)*(Z212/1000))+P212,0)</f>
        <v>0</v>
      </c>
      <c r="AB212" s="94" t="str">
        <f aca="false">IFERROR((O212*(Z212/1000)/(AA212))," ")</f>
        <v> </v>
      </c>
      <c r="AC212" s="95" t="n">
        <f aca="false">IFERROR((T212)/((T212)+O212),0)</f>
        <v>0</v>
      </c>
      <c r="AD212" s="96" t="n">
        <f aca="false">IFERROR(Q212/(Q212+N212),0)</f>
        <v>0</v>
      </c>
      <c r="AE212" s="91" t="n">
        <f aca="false">(N212-T212)/N212</f>
        <v>1</v>
      </c>
      <c r="AF212" s="97" t="n">
        <f aca="false">BR212</f>
        <v>0.666666666666667</v>
      </c>
      <c r="AG212" s="98" t="n">
        <f aca="false">K212-AF212</f>
        <v>5.33333333333333</v>
      </c>
      <c r="AH212" s="99" t="n">
        <f aca="false">IFERROR(AG212/K212," ")</f>
        <v>0.888888888888889</v>
      </c>
      <c r="AI212" s="100" t="n">
        <f aca="false">IFERROR(O212/K212,0)</f>
        <v>1216.66666666667</v>
      </c>
      <c r="AJ212" s="101" t="n">
        <f aca="false">VLOOKUP(D212,'Standard Cycle time'!C:D,2,0)</f>
        <v>2.3</v>
      </c>
      <c r="AK212" s="101" t="n">
        <f aca="false">AG212*V212*3600/O212</f>
        <v>2.63013698630137</v>
      </c>
      <c r="AL212" s="102" t="n">
        <f aca="false">AJ212/AK212</f>
        <v>0.874479166666667</v>
      </c>
      <c r="AM212" s="99" t="n">
        <f aca="false">AE212*AL212*AH212</f>
        <v>0.777314814814815</v>
      </c>
      <c r="AN212" s="103" t="s">
        <v>533</v>
      </c>
      <c r="AO212" s="109" t="s">
        <v>534</v>
      </c>
      <c r="AP212" s="105" t="n">
        <v>40</v>
      </c>
      <c r="AQ212" s="105" t="n">
        <v>0</v>
      </c>
      <c r="AR212" s="105" t="n">
        <v>0</v>
      </c>
      <c r="AS212" s="105" t="n">
        <v>0</v>
      </c>
      <c r="AT212" s="105" t="n">
        <v>0</v>
      </c>
      <c r="AU212" s="105" t="n">
        <v>0</v>
      </c>
      <c r="AV212" s="105" t="n">
        <v>0</v>
      </c>
      <c r="AW212" s="105" t="n">
        <v>0</v>
      </c>
      <c r="AX212" s="105" t="n">
        <v>0</v>
      </c>
      <c r="AY212" s="105" t="n">
        <v>0</v>
      </c>
      <c r="AZ212" s="105" t="n">
        <v>0</v>
      </c>
      <c r="BA212" s="105" t="n">
        <v>0</v>
      </c>
      <c r="BB212" s="105" t="n">
        <v>0</v>
      </c>
      <c r="BC212" s="105" t="n">
        <v>0</v>
      </c>
      <c r="BD212" s="105" t="n">
        <v>0</v>
      </c>
      <c r="BE212" s="105" t="n">
        <v>0</v>
      </c>
      <c r="BF212" s="105" t="n">
        <v>0</v>
      </c>
      <c r="BG212" s="105" t="n">
        <v>0</v>
      </c>
      <c r="BH212" s="105" t="n">
        <v>0</v>
      </c>
      <c r="BI212" s="105" t="n">
        <v>0</v>
      </c>
      <c r="BJ212" s="105" t="n">
        <v>0</v>
      </c>
      <c r="BK212" s="105" t="n">
        <v>0</v>
      </c>
      <c r="BL212" s="105" t="n">
        <v>0</v>
      </c>
      <c r="BM212" s="105" t="n">
        <v>0</v>
      </c>
      <c r="BN212" s="105" t="n">
        <v>0</v>
      </c>
      <c r="BO212" s="105" t="n">
        <v>0</v>
      </c>
      <c r="BP212" s="105" t="n">
        <v>0</v>
      </c>
      <c r="BQ212" s="105" t="n">
        <v>0</v>
      </c>
      <c r="BR212" s="106" t="n">
        <f aca="false">SUM(AP212:BQ212)/60</f>
        <v>0.666666666666667</v>
      </c>
      <c r="BS212" s="106" t="n">
        <f aca="false">SUM(AP212:BR212)/60</f>
        <v>0.677777777777778</v>
      </c>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row>
    <row r="213" customFormat="false" ht="16.4" hidden="true" customHeight="true" outlineLevel="0" collapsed="false">
      <c r="A213" s="74" t="n">
        <f aca="false">MONTH(B213)</f>
        <v>8</v>
      </c>
      <c r="B213" s="75" t="n">
        <v>44428</v>
      </c>
      <c r="C213" s="128" t="s">
        <v>51</v>
      </c>
      <c r="D213" s="77" t="str">
        <f aca="false">IFERROR(VLOOKUP(E:E,'Item Data Support Sheet'!A:O,7,0),"")</f>
        <v>BOTTLE MOLDED</v>
      </c>
      <c r="E213" s="80" t="s">
        <v>69</v>
      </c>
      <c r="F213" s="122" t="s">
        <v>73</v>
      </c>
      <c r="G213" s="77" t="s">
        <v>74</v>
      </c>
      <c r="H213" s="79" t="str">
        <f aca="false">IFERROR(VLOOKUP(E:E,'Item Data Support Sheet'!A:O,2,0),"")</f>
        <v>KPP 240 ML BOTTLE MOLDED</v>
      </c>
      <c r="I213" s="80" t="s">
        <v>535</v>
      </c>
      <c r="J213" s="80" t="s">
        <v>158</v>
      </c>
      <c r="K213" s="81" t="n">
        <v>8</v>
      </c>
      <c r="L213" s="124" t="n">
        <v>2574</v>
      </c>
      <c r="M213" s="83" t="n">
        <f aca="false">IFERROR(L213/K213,0)</f>
        <v>321.75</v>
      </c>
      <c r="N213" s="84" t="n">
        <f aca="false">+O213+Q213+T213+U213</f>
        <v>2943</v>
      </c>
      <c r="O213" s="85" t="n">
        <v>2808</v>
      </c>
      <c r="P213" s="86" t="n">
        <v>0</v>
      </c>
      <c r="Q213" s="87" t="n">
        <v>60</v>
      </c>
      <c r="R213" s="88" t="n">
        <v>0</v>
      </c>
      <c r="S213" s="88" t="n">
        <v>0</v>
      </c>
      <c r="T213" s="88" t="n">
        <v>67</v>
      </c>
      <c r="U213" s="88" t="n">
        <v>8</v>
      </c>
      <c r="V213" s="89" t="n">
        <v>1</v>
      </c>
      <c r="W213" s="90" t="n">
        <f aca="false">IFERROR(O213/V213,0)</f>
        <v>2808</v>
      </c>
      <c r="X213" s="91" t="n">
        <f aca="false">O213/L213</f>
        <v>1.09090909090909</v>
      </c>
      <c r="Y213" s="92" t="str">
        <f aca="false">IFERROR(VLOOKUP(E:E,'Item Data Support Sheet'!A:J,6,0),0)</f>
        <v>HMC</v>
      </c>
      <c r="Z213" s="93" t="n">
        <f aca="false">IFERROR(VLOOKUP(E:E,'Item Data Support Sheet'!A:O,4,0),0)</f>
        <v>32.1</v>
      </c>
      <c r="AA213" s="93" t="n">
        <f aca="false">IFERROR(((N213)*(Z213/1000))+P213,0)</f>
        <v>94.4703</v>
      </c>
      <c r="AB213" s="94" t="n">
        <f aca="false">IFERROR((O213*(Z213/1000)/(AA213))," ")</f>
        <v>0.954128440366972</v>
      </c>
      <c r="AC213" s="95" t="n">
        <f aca="false">IFERROR((T213)/((T213)+O213),0)</f>
        <v>0.023304347826087</v>
      </c>
      <c r="AD213" s="96" t="n">
        <f aca="false">IFERROR(Q213/(Q213+N213),0)</f>
        <v>0.01998001998002</v>
      </c>
      <c r="AE213" s="91" t="n">
        <f aca="false">(N213-T213)/N213</f>
        <v>0.977234114848794</v>
      </c>
      <c r="AF213" s="97" t="n">
        <f aca="false">BR213</f>
        <v>0</v>
      </c>
      <c r="AG213" s="98" t="n">
        <f aca="false">K213-AF213</f>
        <v>8</v>
      </c>
      <c r="AH213" s="99" t="n">
        <f aca="false">IFERROR(AG213/K213," ")</f>
        <v>1</v>
      </c>
      <c r="AI213" s="100" t="n">
        <f aca="false">IFERROR(O213/K213,0)</f>
        <v>351</v>
      </c>
      <c r="AJ213" s="101" t="n">
        <f aca="false">VLOOKUP(D213,'Standard Cycle time'!C:D,2,0)</f>
        <v>9</v>
      </c>
      <c r="AK213" s="101" t="n">
        <f aca="false">AG213*V213*3600/O213</f>
        <v>10.2564102564103</v>
      </c>
      <c r="AL213" s="102" t="n">
        <f aca="false">AJ213/AK213</f>
        <v>0.8775</v>
      </c>
      <c r="AM213" s="99" t="n">
        <f aca="false">AE213*AL213*AH213</f>
        <v>0.857522935779816</v>
      </c>
      <c r="AN213" s="103" t="n">
        <v>2573</v>
      </c>
      <c r="AO213" s="110" t="s">
        <v>536</v>
      </c>
      <c r="AP213" s="105" t="n">
        <v>0</v>
      </c>
      <c r="AQ213" s="105" t="n">
        <v>0</v>
      </c>
      <c r="AR213" s="105" t="n">
        <v>0</v>
      </c>
      <c r="AS213" s="105" t="n">
        <v>0</v>
      </c>
      <c r="AT213" s="105" t="n">
        <v>0</v>
      </c>
      <c r="AU213" s="105" t="n">
        <v>0</v>
      </c>
      <c r="AV213" s="105" t="n">
        <v>0</v>
      </c>
      <c r="AW213" s="105" t="n">
        <v>0</v>
      </c>
      <c r="AX213" s="105" t="n">
        <v>0</v>
      </c>
      <c r="AY213" s="105" t="n">
        <v>0</v>
      </c>
      <c r="AZ213" s="105" t="n">
        <v>0</v>
      </c>
      <c r="BA213" s="105" t="n">
        <v>0</v>
      </c>
      <c r="BB213" s="105" t="n">
        <v>0</v>
      </c>
      <c r="BC213" s="105" t="n">
        <v>0</v>
      </c>
      <c r="BD213" s="105" t="n">
        <v>0</v>
      </c>
      <c r="BE213" s="105" t="n">
        <v>0</v>
      </c>
      <c r="BF213" s="105" t="n">
        <v>0</v>
      </c>
      <c r="BG213" s="105" t="n">
        <v>0</v>
      </c>
      <c r="BH213" s="105" t="n">
        <v>0</v>
      </c>
      <c r="BI213" s="105" t="n">
        <v>0</v>
      </c>
      <c r="BJ213" s="105" t="n">
        <v>0</v>
      </c>
      <c r="BK213" s="105" t="n">
        <v>0</v>
      </c>
      <c r="BL213" s="105" t="n">
        <v>0</v>
      </c>
      <c r="BM213" s="105" t="n">
        <v>0</v>
      </c>
      <c r="BN213" s="105" t="n">
        <v>0</v>
      </c>
      <c r="BO213" s="105" t="n">
        <v>0</v>
      </c>
      <c r="BP213" s="105" t="n">
        <v>0</v>
      </c>
      <c r="BQ213" s="105" t="n">
        <v>0</v>
      </c>
      <c r="BR213" s="106" t="n">
        <f aca="false">SUM(AP213:BQ213)/60</f>
        <v>0</v>
      </c>
      <c r="BS213" s="106" t="n">
        <f aca="false">SUM(AP213:BR213)/60</f>
        <v>0</v>
      </c>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row>
    <row r="214" customFormat="false" ht="16.4" hidden="true" customHeight="true" outlineLevel="0" collapsed="false">
      <c r="A214" s="74" t="n">
        <f aca="false">MONTH(B214)</f>
        <v>8</v>
      </c>
      <c r="B214" s="75" t="n">
        <v>44428</v>
      </c>
      <c r="C214" s="128" t="s">
        <v>51</v>
      </c>
      <c r="D214" s="77" t="str">
        <f aca="false">IFERROR(VLOOKUP(E:E,'Item Data Support Sheet'!A:O,7,0),"")</f>
        <v>NIPPLE MOLDED</v>
      </c>
      <c r="E214" s="80" t="s">
        <v>492</v>
      </c>
      <c r="F214" s="122" t="s">
        <v>137</v>
      </c>
      <c r="G214" s="77" t="s">
        <v>138</v>
      </c>
      <c r="H214" s="79" t="str">
        <f aca="false">IFERROR(VLOOKUP(E:E,'Item Data Support Sheet'!A:O,2,0),"")</f>
        <v>NIPPLE S TYPE LL SIZE INJECTION</v>
      </c>
      <c r="I214" s="80" t="s">
        <v>537</v>
      </c>
      <c r="J214" s="80" t="s">
        <v>158</v>
      </c>
      <c r="K214" s="81" t="n">
        <v>8</v>
      </c>
      <c r="L214" s="124" t="n">
        <v>4815</v>
      </c>
      <c r="M214" s="83" t="n">
        <f aca="false">IFERROR(L214/K214,0)</f>
        <v>601.875</v>
      </c>
      <c r="N214" s="84" t="n">
        <f aca="false">+O214+Q214+T214+U214</f>
        <v>3973</v>
      </c>
      <c r="O214" s="85" t="n">
        <v>3600</v>
      </c>
      <c r="P214" s="86" t="n">
        <v>0</v>
      </c>
      <c r="Q214" s="87" t="n">
        <v>265</v>
      </c>
      <c r="R214" s="88" t="n">
        <v>0</v>
      </c>
      <c r="S214" s="88" t="n">
        <v>0</v>
      </c>
      <c r="T214" s="88" t="n">
        <v>100</v>
      </c>
      <c r="U214" s="88" t="n">
        <v>8</v>
      </c>
      <c r="V214" s="89" t="n">
        <v>1</v>
      </c>
      <c r="W214" s="90" t="n">
        <f aca="false">IFERROR(O214/V214,0)</f>
        <v>3600</v>
      </c>
      <c r="X214" s="91" t="n">
        <f aca="false">O214/L214</f>
        <v>0.747663551401869</v>
      </c>
      <c r="Y214" s="92" t="str">
        <f aca="false">IFERROR(VLOOKUP(E:E,'Item Data Support Sheet'!A:J,6,0),0)</f>
        <v>FO148</v>
      </c>
      <c r="Z214" s="93" t="n">
        <f aca="false">IFERROR(VLOOKUP(E:E,'Item Data Support Sheet'!A:O,4,0),0)</f>
        <v>6.8</v>
      </c>
      <c r="AA214" s="93" t="n">
        <f aca="false">IFERROR(((N214)*(Z214/1000))+P214,0)</f>
        <v>27.0164</v>
      </c>
      <c r="AB214" s="94" t="n">
        <f aca="false">IFERROR((O214*(Z214/1000)/(AA214))," ")</f>
        <v>0.906116284923232</v>
      </c>
      <c r="AC214" s="95" t="n">
        <f aca="false">IFERROR((T214)/((T214)+O214),0)</f>
        <v>0.027027027027027</v>
      </c>
      <c r="AD214" s="96" t="n">
        <f aca="false">IFERROR(Q214/(Q214+N214),0)</f>
        <v>0.0625294950448325</v>
      </c>
      <c r="AE214" s="91" t="n">
        <f aca="false">(N214-T214)/N214</f>
        <v>0.974830103196577</v>
      </c>
      <c r="AF214" s="97" t="n">
        <f aca="false">BR214</f>
        <v>2.16666666666667</v>
      </c>
      <c r="AG214" s="98" t="n">
        <f aca="false">K214-AF214</f>
        <v>5.83333333333333</v>
      </c>
      <c r="AH214" s="99" t="n">
        <f aca="false">IFERROR(AG214/K214," ")</f>
        <v>0.729166666666667</v>
      </c>
      <c r="AI214" s="100" t="n">
        <f aca="false">IFERROR(O214/K214,0)</f>
        <v>450</v>
      </c>
      <c r="AJ214" s="101" t="n">
        <f aca="false">VLOOKUP(D214,'Standard Cycle time'!C:D,2,0)</f>
        <v>5.25</v>
      </c>
      <c r="AK214" s="101" t="n">
        <f aca="false">AG214*V214*3600/O214</f>
        <v>5.83333333333333</v>
      </c>
      <c r="AL214" s="102" t="n">
        <f aca="false">AJ214/AK214</f>
        <v>0.9</v>
      </c>
      <c r="AM214" s="99" t="n">
        <f aca="false">AE214*AL214*AH214</f>
        <v>0.639732255222754</v>
      </c>
      <c r="AN214" s="103" t="n">
        <v>2574</v>
      </c>
      <c r="AO214" s="130" t="s">
        <v>538</v>
      </c>
      <c r="AP214" s="105" t="n">
        <v>0</v>
      </c>
      <c r="AQ214" s="105" t="n">
        <v>0</v>
      </c>
      <c r="AR214" s="105" t="n">
        <v>0</v>
      </c>
      <c r="AS214" s="105" t="n">
        <v>0</v>
      </c>
      <c r="AT214" s="105" t="n">
        <v>0</v>
      </c>
      <c r="AU214" s="105" t="n">
        <v>60</v>
      </c>
      <c r="AV214" s="105" t="n">
        <v>70</v>
      </c>
      <c r="AW214" s="105" t="n">
        <v>0</v>
      </c>
      <c r="AX214" s="105" t="n">
        <v>0</v>
      </c>
      <c r="AY214" s="105" t="n">
        <v>0</v>
      </c>
      <c r="AZ214" s="105" t="n">
        <v>0</v>
      </c>
      <c r="BA214" s="105" t="n">
        <v>0</v>
      </c>
      <c r="BB214" s="105" t="n">
        <v>0</v>
      </c>
      <c r="BC214" s="105" t="n">
        <v>0</v>
      </c>
      <c r="BD214" s="105" t="n">
        <v>0</v>
      </c>
      <c r="BE214" s="105" t="n">
        <v>0</v>
      </c>
      <c r="BF214" s="105" t="n">
        <v>0</v>
      </c>
      <c r="BG214" s="105" t="n">
        <v>0</v>
      </c>
      <c r="BH214" s="105" t="n">
        <v>0</v>
      </c>
      <c r="BI214" s="105" t="n">
        <v>0</v>
      </c>
      <c r="BJ214" s="105" t="n">
        <v>0</v>
      </c>
      <c r="BK214" s="105" t="n">
        <v>0</v>
      </c>
      <c r="BL214" s="105" t="n">
        <v>0</v>
      </c>
      <c r="BM214" s="105" t="n">
        <v>0</v>
      </c>
      <c r="BN214" s="105" t="n">
        <v>0</v>
      </c>
      <c r="BO214" s="105" t="n">
        <v>0</v>
      </c>
      <c r="BP214" s="105" t="n">
        <v>0</v>
      </c>
      <c r="BQ214" s="105" t="n">
        <v>0</v>
      </c>
      <c r="BR214" s="106" t="n">
        <f aca="false">SUM(AP214:BQ214)/60</f>
        <v>2.16666666666667</v>
      </c>
      <c r="BS214" s="106" t="n">
        <f aca="false">SUM(AP214:BR214)/60</f>
        <v>2.20277777777778</v>
      </c>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row>
    <row r="215" customFormat="false" ht="16.4" hidden="true" customHeight="true" outlineLevel="0" collapsed="false">
      <c r="A215" s="74" t="n">
        <f aca="false">MONTH(B215)</f>
        <v>8</v>
      </c>
      <c r="B215" s="75" t="n">
        <v>44428</v>
      </c>
      <c r="C215" s="128" t="s">
        <v>51</v>
      </c>
      <c r="D215" s="77" t="str">
        <f aca="false">IFERROR(VLOOKUP(E:E,'Item Data Support Sheet'!A:O,7,0),"")</f>
        <v>NIPPLE PUNCH</v>
      </c>
      <c r="E215" s="80" t="s">
        <v>53</v>
      </c>
      <c r="F215" s="122"/>
      <c r="G215" s="77"/>
      <c r="H215" s="79" t="str">
        <f aca="false">IFERROR(VLOOKUP(E:E,'Item Data Support Sheet'!A:O,2,0),"")</f>
        <v>NIPPLE S TYPE S SIZE PUNCHED</v>
      </c>
      <c r="I215" s="80" t="s">
        <v>539</v>
      </c>
      <c r="J215" s="80" t="s">
        <v>158</v>
      </c>
      <c r="K215" s="81" t="n">
        <v>8</v>
      </c>
      <c r="L215" s="124" t="n">
        <v>7000</v>
      </c>
      <c r="M215" s="83" t="n">
        <f aca="false">IFERROR(L215/K215,0)</f>
        <v>875</v>
      </c>
      <c r="N215" s="84" t="n">
        <f aca="false">+O215+Q215+T215+U215</f>
        <v>7200</v>
      </c>
      <c r="O215" s="85" t="n">
        <v>7200</v>
      </c>
      <c r="P215" s="86" t="n">
        <v>0</v>
      </c>
      <c r="Q215" s="87" t="n">
        <v>0</v>
      </c>
      <c r="R215" s="88" t="n">
        <v>0</v>
      </c>
      <c r="S215" s="88" t="n">
        <v>0</v>
      </c>
      <c r="T215" s="88" t="n">
        <v>0</v>
      </c>
      <c r="U215" s="88" t="n">
        <v>0</v>
      </c>
      <c r="V215" s="89" t="n">
        <v>1</v>
      </c>
      <c r="W215" s="90" t="n">
        <f aca="false">IFERROR(O215/V215,0)</f>
        <v>7200</v>
      </c>
      <c r="X215" s="91" t="n">
        <f aca="false">O215/L215</f>
        <v>1.02857142857143</v>
      </c>
      <c r="Y215" s="92" t="str">
        <f aca="false">IFERROR(VLOOKUP(E:E,'Item Data Support Sheet'!A:J,6,0),0)</f>
        <v>FO015</v>
      </c>
      <c r="Z215" s="93" t="n">
        <f aca="false">IFERROR(VLOOKUP(E:E,'Item Data Support Sheet'!A:O,4,0),0)</f>
        <v>0</v>
      </c>
      <c r="AA215" s="93" t="n">
        <f aca="false">IFERROR(((N215)*(Z215/1000))+P215,0)</f>
        <v>0</v>
      </c>
      <c r="AB215" s="94" t="str">
        <f aca="false">IFERROR((O215*(Z215/1000)/(AA215))," ")</f>
        <v> </v>
      </c>
      <c r="AC215" s="95" t="n">
        <f aca="false">IFERROR((T215)/((T215)+O215),0)</f>
        <v>0</v>
      </c>
      <c r="AD215" s="96" t="n">
        <f aca="false">IFERROR(Q215/(Q215+N215),0)</f>
        <v>0</v>
      </c>
      <c r="AE215" s="91" t="n">
        <f aca="false">(N215-T215)/N215</f>
        <v>1</v>
      </c>
      <c r="AF215" s="97" t="n">
        <f aca="false">BR215</f>
        <v>0.666666666666667</v>
      </c>
      <c r="AG215" s="98" t="n">
        <f aca="false">K215-AF215</f>
        <v>7.33333333333333</v>
      </c>
      <c r="AH215" s="99" t="n">
        <f aca="false">IFERROR(AG215/K215," ")</f>
        <v>0.916666666666667</v>
      </c>
      <c r="AI215" s="100" t="n">
        <f aca="false">IFERROR(O215/K215,0)</f>
        <v>900</v>
      </c>
      <c r="AJ215" s="101" t="n">
        <f aca="false">VLOOKUP(D215,'Standard Cycle time'!C:D,2,0)</f>
        <v>3.5</v>
      </c>
      <c r="AK215" s="101" t="n">
        <f aca="false">AG215*V215*3600/O215</f>
        <v>3.66666666666667</v>
      </c>
      <c r="AL215" s="102" t="n">
        <f aca="false">AJ215/AK215</f>
        <v>0.954545454545455</v>
      </c>
      <c r="AM215" s="99" t="n">
        <f aca="false">AE215*AL215*AH215</f>
        <v>0.875</v>
      </c>
      <c r="AN215" s="103" t="s">
        <v>540</v>
      </c>
      <c r="AO215" s="109"/>
      <c r="AP215" s="105" t="n">
        <v>40</v>
      </c>
      <c r="AQ215" s="105" t="n">
        <v>0</v>
      </c>
      <c r="AR215" s="105" t="n">
        <v>0</v>
      </c>
      <c r="AS215" s="105" t="n">
        <v>0</v>
      </c>
      <c r="AT215" s="105" t="n">
        <v>0</v>
      </c>
      <c r="AU215" s="105" t="n">
        <v>0</v>
      </c>
      <c r="AV215" s="105" t="n">
        <v>0</v>
      </c>
      <c r="AW215" s="105" t="n">
        <v>0</v>
      </c>
      <c r="AX215" s="105" t="n">
        <v>0</v>
      </c>
      <c r="AY215" s="105" t="n">
        <v>0</v>
      </c>
      <c r="AZ215" s="105" t="n">
        <v>0</v>
      </c>
      <c r="BA215" s="105" t="n">
        <v>0</v>
      </c>
      <c r="BB215" s="105" t="n">
        <v>0</v>
      </c>
      <c r="BC215" s="105" t="n">
        <v>0</v>
      </c>
      <c r="BD215" s="105" t="n">
        <v>0</v>
      </c>
      <c r="BE215" s="105" t="n">
        <v>0</v>
      </c>
      <c r="BF215" s="105" t="n">
        <v>0</v>
      </c>
      <c r="BG215" s="105" t="n">
        <v>0</v>
      </c>
      <c r="BH215" s="105" t="n">
        <v>0</v>
      </c>
      <c r="BI215" s="105" t="n">
        <v>0</v>
      </c>
      <c r="BJ215" s="105" t="n">
        <v>0</v>
      </c>
      <c r="BK215" s="105" t="n">
        <v>0</v>
      </c>
      <c r="BL215" s="105" t="n">
        <v>0</v>
      </c>
      <c r="BM215" s="105" t="n">
        <v>0</v>
      </c>
      <c r="BN215" s="105" t="n">
        <v>0</v>
      </c>
      <c r="BO215" s="105" t="n">
        <v>0</v>
      </c>
      <c r="BP215" s="105" t="n">
        <v>0</v>
      </c>
      <c r="BQ215" s="105" t="n">
        <v>0</v>
      </c>
      <c r="BR215" s="106" t="n">
        <f aca="false">SUM(AP215:BQ215)/60</f>
        <v>0.666666666666667</v>
      </c>
      <c r="BS215" s="106" t="n">
        <f aca="false">SUM(AP215:BR215)/60</f>
        <v>0.677777777777778</v>
      </c>
      <c r="BT215" s="107"/>
      <c r="BU215" s="107"/>
      <c r="BV215" s="107"/>
      <c r="BW215" s="107"/>
      <c r="BX215" s="107"/>
      <c r="BY215" s="107"/>
      <c r="BZ215" s="107"/>
      <c r="CA215" s="107"/>
      <c r="CB215" s="107"/>
      <c r="CC215" s="107"/>
      <c r="CD215" s="107"/>
      <c r="CE215" s="107"/>
      <c r="CF215" s="107"/>
      <c r="CG215" s="107"/>
      <c r="CH215" s="107"/>
      <c r="CI215" s="107"/>
      <c r="CJ215" s="107"/>
      <c r="CK215" s="107"/>
      <c r="CL215" s="107"/>
      <c r="CM215" s="107"/>
      <c r="CN215" s="107"/>
      <c r="CO215" s="107"/>
      <c r="CP215" s="107"/>
      <c r="CQ215" s="107"/>
      <c r="CR215" s="107"/>
      <c r="CS215" s="107"/>
      <c r="CT215" s="107"/>
      <c r="CU215" s="107"/>
      <c r="CV215" s="107"/>
    </row>
    <row r="216" customFormat="false" ht="16.4" hidden="true" customHeight="true" outlineLevel="0" collapsed="false">
      <c r="A216" s="74" t="n">
        <f aca="false">MONTH(B216)</f>
        <v>8</v>
      </c>
      <c r="B216" s="75" t="n">
        <v>44428</v>
      </c>
      <c r="C216" s="128" t="s">
        <v>51</v>
      </c>
      <c r="D216" s="77" t="str">
        <f aca="false">IFERROR(VLOOKUP(E:E,'Item Data Support Sheet'!A:O,7,0),"")</f>
        <v>NIPPLE LASER MARKING</v>
      </c>
      <c r="E216" s="80" t="s">
        <v>444</v>
      </c>
      <c r="F216" s="122"/>
      <c r="G216" s="77" t="s">
        <v>517</v>
      </c>
      <c r="H216" s="79" t="str">
        <f aca="false">IFERROR(VLOOKUP(E:E,'Item Data Support Sheet'!A:O,2,0),"")</f>
        <v>NIPPLE S TYPE S SIZE PUNCHED LASER MARKED</v>
      </c>
      <c r="I216" s="80" t="s">
        <v>541</v>
      </c>
      <c r="J216" s="80" t="s">
        <v>158</v>
      </c>
      <c r="K216" s="81" t="n">
        <v>8</v>
      </c>
      <c r="L216" s="124" t="n">
        <v>7000</v>
      </c>
      <c r="M216" s="83" t="n">
        <f aca="false">IFERROR(L216/K216,0)</f>
        <v>875</v>
      </c>
      <c r="N216" s="84" t="n">
        <f aca="false">+O216+Q216+T216+U216</f>
        <v>6000</v>
      </c>
      <c r="O216" s="85" t="n">
        <v>6000</v>
      </c>
      <c r="P216" s="86" t="n">
        <v>0</v>
      </c>
      <c r="Q216" s="87" t="n">
        <v>0</v>
      </c>
      <c r="R216" s="88" t="n">
        <v>0</v>
      </c>
      <c r="S216" s="88" t="n">
        <v>0</v>
      </c>
      <c r="T216" s="88" t="n">
        <v>0</v>
      </c>
      <c r="U216" s="88" t="n">
        <v>0</v>
      </c>
      <c r="V216" s="89" t="n">
        <v>1</v>
      </c>
      <c r="W216" s="90" t="n">
        <f aca="false">IFERROR(O216/V216,0)</f>
        <v>6000</v>
      </c>
      <c r="X216" s="91" t="n">
        <f aca="false">O216/L216</f>
        <v>0.857142857142857</v>
      </c>
      <c r="Y216" s="92" t="str">
        <f aca="false">IFERROR(VLOOKUP(E:E,'Item Data Support Sheet'!A:J,6,0),0)</f>
        <v>FO019</v>
      </c>
      <c r="Z216" s="93" t="n">
        <f aca="false">IFERROR(VLOOKUP(E:E,'Item Data Support Sheet'!A:O,4,0),0)</f>
        <v>0</v>
      </c>
      <c r="AA216" s="93" t="n">
        <f aca="false">IFERROR(((N216)*(Z216/1000))+P216,0)</f>
        <v>0</v>
      </c>
      <c r="AB216" s="94" t="str">
        <f aca="false">IFERROR((O216*(Z216/1000)/(AA216))," ")</f>
        <v> </v>
      </c>
      <c r="AC216" s="95" t="n">
        <f aca="false">IFERROR((T216)/((T216)+O216),0)</f>
        <v>0</v>
      </c>
      <c r="AD216" s="96" t="n">
        <f aca="false">IFERROR(Q216/(Q216+N216),0)</f>
        <v>0</v>
      </c>
      <c r="AE216" s="91" t="n">
        <f aca="false">(N216-T216)/N216</f>
        <v>1</v>
      </c>
      <c r="AF216" s="97" t="n">
        <f aca="false">BR216</f>
        <v>0.666666666666667</v>
      </c>
      <c r="AG216" s="98" t="n">
        <f aca="false">K216-AF216</f>
        <v>7.33333333333333</v>
      </c>
      <c r="AH216" s="99" t="n">
        <f aca="false">IFERROR(AG216/K216," ")</f>
        <v>0.916666666666667</v>
      </c>
      <c r="AI216" s="100" t="n">
        <f aca="false">IFERROR(O216/K216,0)</f>
        <v>750</v>
      </c>
      <c r="AJ216" s="101" t="n">
        <f aca="false">VLOOKUP(D216,'Standard Cycle time'!C:D,2,0)</f>
        <v>3.5</v>
      </c>
      <c r="AK216" s="101" t="n">
        <f aca="false">AG216*V216*3600/O216</f>
        <v>4.4</v>
      </c>
      <c r="AL216" s="102" t="n">
        <f aca="false">AJ216/AK216</f>
        <v>0.795454545454545</v>
      </c>
      <c r="AM216" s="99" t="n">
        <f aca="false">AE216*AL216*AH216</f>
        <v>0.729166666666667</v>
      </c>
      <c r="AN216" s="103" t="s">
        <v>542</v>
      </c>
      <c r="AO216" s="109"/>
      <c r="AP216" s="105" t="n">
        <v>40</v>
      </c>
      <c r="AQ216" s="105" t="n">
        <v>0</v>
      </c>
      <c r="AR216" s="105" t="n">
        <v>0</v>
      </c>
      <c r="AS216" s="105" t="n">
        <v>0</v>
      </c>
      <c r="AT216" s="105" t="n">
        <v>0</v>
      </c>
      <c r="AU216" s="105" t="n">
        <v>0</v>
      </c>
      <c r="AV216" s="105" t="n">
        <v>0</v>
      </c>
      <c r="AW216" s="105" t="n">
        <v>0</v>
      </c>
      <c r="AX216" s="105" t="n">
        <v>0</v>
      </c>
      <c r="AY216" s="105" t="n">
        <v>0</v>
      </c>
      <c r="AZ216" s="105" t="n">
        <v>0</v>
      </c>
      <c r="BA216" s="105" t="n">
        <v>0</v>
      </c>
      <c r="BB216" s="105" t="n">
        <v>0</v>
      </c>
      <c r="BC216" s="105" t="n">
        <v>0</v>
      </c>
      <c r="BD216" s="105" t="n">
        <v>0</v>
      </c>
      <c r="BE216" s="105" t="n">
        <v>0</v>
      </c>
      <c r="BF216" s="105" t="n">
        <v>0</v>
      </c>
      <c r="BG216" s="105" t="n">
        <v>0</v>
      </c>
      <c r="BH216" s="105" t="n">
        <v>0</v>
      </c>
      <c r="BI216" s="105" t="n">
        <v>0</v>
      </c>
      <c r="BJ216" s="105" t="n">
        <v>0</v>
      </c>
      <c r="BK216" s="105" t="n">
        <v>0</v>
      </c>
      <c r="BL216" s="105" t="n">
        <v>0</v>
      </c>
      <c r="BM216" s="105" t="n">
        <v>0</v>
      </c>
      <c r="BN216" s="105" t="n">
        <v>0</v>
      </c>
      <c r="BO216" s="105" t="n">
        <v>0</v>
      </c>
      <c r="BP216" s="105" t="n">
        <v>0</v>
      </c>
      <c r="BQ216" s="105" t="n">
        <v>0</v>
      </c>
      <c r="BR216" s="106" t="n">
        <f aca="false">SUM(AP216:BQ216)/60</f>
        <v>0.666666666666667</v>
      </c>
      <c r="BS216" s="106" t="n">
        <f aca="false">SUM(AP216:BR216)/60</f>
        <v>0.677777777777778</v>
      </c>
      <c r="BT216" s="107"/>
      <c r="BU216" s="107"/>
      <c r="BV216" s="107"/>
      <c r="BW216" s="107"/>
      <c r="BX216" s="107"/>
      <c r="BY216" s="107"/>
      <c r="BZ216" s="107"/>
      <c r="CA216" s="107"/>
      <c r="CB216" s="107"/>
      <c r="CC216" s="107"/>
      <c r="CD216" s="107"/>
      <c r="CE216" s="107"/>
      <c r="CF216" s="107"/>
      <c r="CG216" s="107"/>
      <c r="CH216" s="107"/>
      <c r="CI216" s="107"/>
      <c r="CJ216" s="107"/>
      <c r="CK216" s="107"/>
      <c r="CL216" s="107"/>
      <c r="CM216" s="107"/>
      <c r="CN216" s="107"/>
      <c r="CO216" s="107"/>
      <c r="CP216" s="107"/>
      <c r="CQ216" s="107"/>
      <c r="CR216" s="107"/>
      <c r="CS216" s="107"/>
      <c r="CT216" s="107"/>
      <c r="CU216" s="107"/>
      <c r="CV216" s="107"/>
    </row>
    <row r="217" customFormat="false" ht="16.4" hidden="true" customHeight="true" outlineLevel="0" collapsed="false">
      <c r="A217" s="74" t="n">
        <f aca="false">MONTH(B217)</f>
        <v>8</v>
      </c>
      <c r="B217" s="75" t="n">
        <v>44428</v>
      </c>
      <c r="C217" s="128" t="s">
        <v>51</v>
      </c>
      <c r="D217" s="77" t="str">
        <f aca="false">IFERROR(VLOOKUP(E:E,'Item Data Support Sheet'!A:O,7,0),"")</f>
        <v>HOOD MOLDED</v>
      </c>
      <c r="E217" s="80" t="s">
        <v>529</v>
      </c>
      <c r="F217" s="122"/>
      <c r="G217" s="77"/>
      <c r="H217" s="79" t="str">
        <f aca="false">IFERROR(VLOOKUP(E:E,'Item Data Support Sheet'!A:O,2,0),"")</f>
        <v>HOOD S TYPE MOLDED</v>
      </c>
      <c r="I217" s="80" t="s">
        <v>543</v>
      </c>
      <c r="J217" s="80" t="s">
        <v>158</v>
      </c>
      <c r="K217" s="81" t="n">
        <v>8</v>
      </c>
      <c r="L217" s="124" t="n">
        <v>4137</v>
      </c>
      <c r="M217" s="83" t="n">
        <f aca="false">IFERROR(L217/K217,0)</f>
        <v>517.125</v>
      </c>
      <c r="N217" s="84" t="n">
        <f aca="false">+O217+Q217+T217+U217</f>
        <v>4044</v>
      </c>
      <c r="O217" s="85" t="n">
        <v>4000</v>
      </c>
      <c r="P217" s="86" t="n">
        <v>0</v>
      </c>
      <c r="Q217" s="87" t="n">
        <v>0</v>
      </c>
      <c r="R217" s="88" t="n">
        <v>0</v>
      </c>
      <c r="S217" s="88" t="n">
        <v>0</v>
      </c>
      <c r="T217" s="88" t="n">
        <v>44</v>
      </c>
      <c r="U217" s="88" t="n">
        <v>0</v>
      </c>
      <c r="V217" s="89" t="n">
        <v>1</v>
      </c>
      <c r="W217" s="90" t="n">
        <f aca="false">IFERROR(O217/V217,0)</f>
        <v>4000</v>
      </c>
      <c r="X217" s="91" t="n">
        <f aca="false">O217/L217</f>
        <v>0.96688421561518</v>
      </c>
      <c r="Y217" s="92" t="str">
        <f aca="false">IFERROR(VLOOKUP(E:E,'Item Data Support Sheet'!A:J,6,0),0)</f>
        <v>HMC</v>
      </c>
      <c r="Z217" s="93" t="n">
        <f aca="false">IFERROR(VLOOKUP(E:E,'Item Data Support Sheet'!A:O,4,0),0)</f>
        <v>8.6</v>
      </c>
      <c r="AA217" s="93" t="n">
        <f aca="false">IFERROR(((N217)*(Z217/1000))+P217,0)</f>
        <v>34.7784</v>
      </c>
      <c r="AB217" s="94" t="n">
        <f aca="false">IFERROR((O217*(Z217/1000)/(AA217))," ")</f>
        <v>0.989119683481701</v>
      </c>
      <c r="AC217" s="95" t="n">
        <f aca="false">IFERROR((T217)/((T217)+O217),0)</f>
        <v>0.0108803165182987</v>
      </c>
      <c r="AD217" s="96" t="n">
        <f aca="false">IFERROR(Q217/(Q217+N217),0)</f>
        <v>0</v>
      </c>
      <c r="AE217" s="91" t="n">
        <f aca="false">(N217-T217)/N217</f>
        <v>0.989119683481701</v>
      </c>
      <c r="AF217" s="97" t="n">
        <f aca="false">BR217</f>
        <v>0.5</v>
      </c>
      <c r="AG217" s="98" t="n">
        <f aca="false">K217-AF217</f>
        <v>7.5</v>
      </c>
      <c r="AH217" s="99" t="n">
        <f aca="false">IFERROR(AG217/K217," ")</f>
        <v>0.9375</v>
      </c>
      <c r="AI217" s="100" t="n">
        <f aca="false">IFERROR(O217/K217,0)</f>
        <v>500</v>
      </c>
      <c r="AJ217" s="101" t="n">
        <f aca="false">VLOOKUP(D217,'Standard Cycle time'!C:D,2,0)</f>
        <v>6</v>
      </c>
      <c r="AK217" s="101" t="n">
        <f aca="false">AG217*V217*3600/O217</f>
        <v>6.75</v>
      </c>
      <c r="AL217" s="102" t="n">
        <f aca="false">AJ217/AK217</f>
        <v>0.888888888888889</v>
      </c>
      <c r="AM217" s="99" t="n">
        <f aca="false">AE217*AL217*AH217</f>
        <v>0.824266402901418</v>
      </c>
      <c r="AN217" s="103" t="n">
        <v>2586</v>
      </c>
      <c r="AO217" s="110" t="s">
        <v>544</v>
      </c>
      <c r="AP217" s="105" t="n">
        <v>0</v>
      </c>
      <c r="AQ217" s="105" t="n">
        <v>0</v>
      </c>
      <c r="AR217" s="105" t="n">
        <v>0</v>
      </c>
      <c r="AS217" s="105" t="n">
        <v>0</v>
      </c>
      <c r="AT217" s="105" t="n">
        <v>0</v>
      </c>
      <c r="AU217" s="105" t="n">
        <v>0</v>
      </c>
      <c r="AV217" s="105" t="n">
        <v>0</v>
      </c>
      <c r="AW217" s="105" t="n">
        <v>0</v>
      </c>
      <c r="AX217" s="105" t="n">
        <v>0</v>
      </c>
      <c r="AY217" s="105" t="n">
        <v>0</v>
      </c>
      <c r="AZ217" s="105" t="n">
        <v>0</v>
      </c>
      <c r="BA217" s="105" t="n">
        <v>0</v>
      </c>
      <c r="BB217" s="105" t="n">
        <v>0</v>
      </c>
      <c r="BC217" s="105" t="n">
        <v>0</v>
      </c>
      <c r="BD217" s="105" t="n">
        <v>0</v>
      </c>
      <c r="BE217" s="105" t="n">
        <v>0</v>
      </c>
      <c r="BF217" s="105" t="n">
        <v>0</v>
      </c>
      <c r="BG217" s="105" t="n">
        <v>0</v>
      </c>
      <c r="BH217" s="105" t="n">
        <v>0</v>
      </c>
      <c r="BI217" s="105" t="n">
        <v>0</v>
      </c>
      <c r="BJ217" s="105" t="n">
        <v>0</v>
      </c>
      <c r="BK217" s="105" t="n">
        <v>30</v>
      </c>
      <c r="BL217" s="105" t="n">
        <v>0</v>
      </c>
      <c r="BM217" s="105" t="n">
        <v>0</v>
      </c>
      <c r="BN217" s="105" t="n">
        <v>0</v>
      </c>
      <c r="BO217" s="105" t="n">
        <v>0</v>
      </c>
      <c r="BP217" s="105" t="n">
        <v>0</v>
      </c>
      <c r="BQ217" s="105" t="n">
        <v>0</v>
      </c>
      <c r="BR217" s="106" t="n">
        <f aca="false">SUM(AP217:BQ217)/60</f>
        <v>0.5</v>
      </c>
      <c r="BS217" s="106" t="n">
        <f aca="false">SUM(AP217:BR217)/60</f>
        <v>0.508333333333333</v>
      </c>
      <c r="BT217" s="107"/>
      <c r="BU217" s="107"/>
      <c r="BV217" s="107"/>
      <c r="BW217" s="107"/>
      <c r="BX217" s="107"/>
      <c r="BY217" s="107"/>
      <c r="BZ217" s="107"/>
      <c r="CA217" s="107"/>
      <c r="CB217" s="107"/>
      <c r="CC217" s="107"/>
      <c r="CD217" s="107"/>
      <c r="CE217" s="107"/>
      <c r="CF217" s="107"/>
      <c r="CG217" s="107"/>
      <c r="CH217" s="107"/>
      <c r="CI217" s="107"/>
      <c r="CJ217" s="107"/>
      <c r="CK217" s="107"/>
      <c r="CL217" s="107"/>
      <c r="CM217" s="107"/>
      <c r="CN217" s="107"/>
      <c r="CO217" s="107"/>
      <c r="CP217" s="107"/>
      <c r="CQ217" s="107"/>
      <c r="CR217" s="107"/>
      <c r="CS217" s="107"/>
      <c r="CT217" s="107"/>
      <c r="CU217" s="107"/>
      <c r="CV217" s="107"/>
    </row>
    <row r="218" customFormat="false" ht="16.4" hidden="true" customHeight="true" outlineLevel="0" collapsed="false">
      <c r="A218" s="74" t="n">
        <f aca="false">MONTH(B218)</f>
        <v>8</v>
      </c>
      <c r="B218" s="75" t="n">
        <v>44428</v>
      </c>
      <c r="C218" s="128" t="s">
        <v>63</v>
      </c>
      <c r="D218" s="77" t="str">
        <f aca="false">IFERROR(VLOOKUP(E:E,'Item Data Support Sheet'!A:O,7,0),"")</f>
        <v>BOTTLE PRINTED</v>
      </c>
      <c r="E218" s="80" t="s">
        <v>267</v>
      </c>
      <c r="F218" s="80"/>
      <c r="G218" s="77" t="s">
        <v>66</v>
      </c>
      <c r="H218" s="79" t="str">
        <f aca="false">IFERROR(VLOOKUP(E:E,'Item Data Support Sheet'!A:O,2,0),"")</f>
        <v>KPP 200 BOTTLE PRINTED (WMG3B) W/O OZ &amp; W/BIS LOGO</v>
      </c>
      <c r="I218" s="80" t="s">
        <v>545</v>
      </c>
      <c r="J218" s="80" t="s">
        <v>161</v>
      </c>
      <c r="K218" s="81" t="n">
        <v>2</v>
      </c>
      <c r="L218" s="124" t="n">
        <v>1200</v>
      </c>
      <c r="M218" s="83" t="n">
        <f aca="false">IFERROR(L218/K218,0)</f>
        <v>600</v>
      </c>
      <c r="N218" s="84" t="n">
        <f aca="false">+O218+Q218+T218+U218</f>
        <v>1168</v>
      </c>
      <c r="O218" s="85" t="n">
        <v>1156</v>
      </c>
      <c r="P218" s="86" t="n">
        <v>0</v>
      </c>
      <c r="Q218" s="87" t="n">
        <v>0</v>
      </c>
      <c r="R218" s="88" t="n">
        <v>13</v>
      </c>
      <c r="S218" s="88" t="n">
        <v>0</v>
      </c>
      <c r="T218" s="88" t="n">
        <v>12</v>
      </c>
      <c r="U218" s="88" t="n">
        <v>0</v>
      </c>
      <c r="V218" s="89" t="n">
        <v>5</v>
      </c>
      <c r="W218" s="90" t="n">
        <f aca="false">IFERROR(O218/V218,0)</f>
        <v>231.2</v>
      </c>
      <c r="X218" s="91" t="n">
        <f aca="false">O218/L218</f>
        <v>0.963333333333333</v>
      </c>
      <c r="Y218" s="92" t="str">
        <f aca="false">IFERROR(VLOOKUP(E:E,'Item Data Support Sheet'!A:J,6,0),0)</f>
        <v>FO043</v>
      </c>
      <c r="Z218" s="93" t="n">
        <f aca="false">IFERROR(VLOOKUP(E:E,'Item Data Support Sheet'!A:O,4,0),0)</f>
        <v>0</v>
      </c>
      <c r="AA218" s="93" t="n">
        <f aca="false">IFERROR(((N218)*(Z218/1000))+P218,0)</f>
        <v>0</v>
      </c>
      <c r="AB218" s="94" t="str">
        <f aca="false">IFERROR((O218*(Z218/1000)/(AA218))," ")</f>
        <v> </v>
      </c>
      <c r="AC218" s="95" t="n">
        <f aca="false">IFERROR((T218)/((T218)+O218),0)</f>
        <v>0.0102739726027397</v>
      </c>
      <c r="AD218" s="96" t="n">
        <f aca="false">IFERROR(Q218/(Q218+N218),0)</f>
        <v>0</v>
      </c>
      <c r="AE218" s="91" t="n">
        <f aca="false">(N218-T218)/N218</f>
        <v>0.98972602739726</v>
      </c>
      <c r="AF218" s="97" t="n">
        <f aca="false">BR218</f>
        <v>0</v>
      </c>
      <c r="AG218" s="98" t="n">
        <f aca="false">K218-AF218</f>
        <v>2</v>
      </c>
      <c r="AH218" s="99" t="n">
        <f aca="false">IFERROR(AG218/K218," ")</f>
        <v>1</v>
      </c>
      <c r="AI218" s="100" t="n">
        <f aca="false">IFERROR(O218/K218,0)</f>
        <v>578</v>
      </c>
      <c r="AJ218" s="101" t="n">
        <f aca="false">VLOOKUP(D218,'Standard Cycle time'!C:D,2,0)</f>
        <v>32.4</v>
      </c>
      <c r="AK218" s="101" t="n">
        <f aca="false">AG218*V218*3600/O218</f>
        <v>31.1418685121107</v>
      </c>
      <c r="AL218" s="102" t="n">
        <f aca="false">AJ218/AK218</f>
        <v>1.0404</v>
      </c>
      <c r="AM218" s="99" t="n">
        <f aca="false">AE218*AL218*AH218</f>
        <v>1.02971095890411</v>
      </c>
      <c r="AN218" s="103" t="s">
        <v>546</v>
      </c>
      <c r="AO218" s="109"/>
      <c r="AP218" s="105" t="n">
        <v>0</v>
      </c>
      <c r="AQ218" s="105" t="n">
        <v>0</v>
      </c>
      <c r="AR218" s="105" t="n">
        <v>0</v>
      </c>
      <c r="AS218" s="105" t="n">
        <v>0</v>
      </c>
      <c r="AT218" s="105" t="n">
        <v>0</v>
      </c>
      <c r="AU218" s="105" t="n">
        <v>0</v>
      </c>
      <c r="AV218" s="105" t="n">
        <v>0</v>
      </c>
      <c r="AW218" s="105" t="n">
        <v>0</v>
      </c>
      <c r="AX218" s="105" t="n">
        <v>0</v>
      </c>
      <c r="AY218" s="105" t="n">
        <v>0</v>
      </c>
      <c r="AZ218" s="105" t="n">
        <v>0</v>
      </c>
      <c r="BA218" s="105" t="n">
        <v>0</v>
      </c>
      <c r="BB218" s="105" t="n">
        <v>0</v>
      </c>
      <c r="BC218" s="105" t="n">
        <v>0</v>
      </c>
      <c r="BD218" s="105" t="n">
        <v>0</v>
      </c>
      <c r="BE218" s="105" t="n">
        <v>0</v>
      </c>
      <c r="BF218" s="105" t="n">
        <v>0</v>
      </c>
      <c r="BG218" s="105" t="n">
        <v>0</v>
      </c>
      <c r="BH218" s="105" t="n">
        <v>0</v>
      </c>
      <c r="BI218" s="105" t="n">
        <v>0</v>
      </c>
      <c r="BJ218" s="105" t="n">
        <v>0</v>
      </c>
      <c r="BK218" s="105" t="n">
        <v>0</v>
      </c>
      <c r="BL218" s="105" t="n">
        <v>0</v>
      </c>
      <c r="BM218" s="105" t="n">
        <v>0</v>
      </c>
      <c r="BN218" s="105" t="n">
        <v>0</v>
      </c>
      <c r="BO218" s="105" t="n">
        <v>0</v>
      </c>
      <c r="BP218" s="105" t="n">
        <v>0</v>
      </c>
      <c r="BQ218" s="105" t="n">
        <v>0</v>
      </c>
      <c r="BR218" s="106" t="n">
        <f aca="false">SUM(AP218:BQ218)/60</f>
        <v>0</v>
      </c>
      <c r="BS218" s="106" t="n">
        <f aca="false">SUM(AP218:BR218)/60</f>
        <v>0</v>
      </c>
      <c r="BT218" s="107"/>
      <c r="BU218" s="107"/>
      <c r="BV218" s="107"/>
      <c r="BW218" s="107"/>
      <c r="BX218" s="107"/>
      <c r="BY218" s="107"/>
      <c r="BZ218" s="107"/>
      <c r="CA218" s="107"/>
      <c r="CB218" s="107"/>
      <c r="CC218" s="107"/>
      <c r="CD218" s="107"/>
      <c r="CE218" s="107"/>
      <c r="CF218" s="107"/>
      <c r="CG218" s="107"/>
      <c r="CH218" s="107"/>
      <c r="CI218" s="107"/>
      <c r="CJ218" s="107"/>
      <c r="CK218" s="107"/>
      <c r="CL218" s="107"/>
      <c r="CM218" s="107"/>
      <c r="CN218" s="107"/>
      <c r="CO218" s="107"/>
      <c r="CP218" s="107"/>
      <c r="CQ218" s="107"/>
      <c r="CR218" s="107"/>
      <c r="CS218" s="107"/>
      <c r="CT218" s="107"/>
      <c r="CU218" s="107"/>
      <c r="CV218" s="107"/>
    </row>
    <row r="219" customFormat="false" ht="16.4" hidden="true" customHeight="true" outlineLevel="0" collapsed="false">
      <c r="A219" s="74" t="n">
        <f aca="false">MONTH(B219)</f>
        <v>8</v>
      </c>
      <c r="B219" s="75" t="n">
        <v>44428</v>
      </c>
      <c r="C219" s="128" t="s">
        <v>63</v>
      </c>
      <c r="D219" s="77" t="str">
        <f aca="false">IFERROR(VLOOKUP(E:E,'Item Data Support Sheet'!A:O,7,0),"")</f>
        <v>BOTTLE PRINTED</v>
      </c>
      <c r="E219" s="80" t="s">
        <v>547</v>
      </c>
      <c r="F219" s="122"/>
      <c r="G219" s="77" t="s">
        <v>66</v>
      </c>
      <c r="H219" s="79" t="str">
        <f aca="false">IFERROR(VLOOKUP(E:E,'Item Data Support Sheet'!A:O,2,0),"")</f>
        <v>RPP 240 ML RPP PRINTED ELEPHANT</v>
      </c>
      <c r="I219" s="80" t="s">
        <v>548</v>
      </c>
      <c r="J219" s="80" t="s">
        <v>161</v>
      </c>
      <c r="K219" s="81" t="n">
        <v>5.5</v>
      </c>
      <c r="L219" s="124" t="n">
        <v>1800</v>
      </c>
      <c r="M219" s="83" t="n">
        <f aca="false">IFERROR(L219/K219,0)</f>
        <v>327.272727272727</v>
      </c>
      <c r="N219" s="84" t="n">
        <f aca="false">+O219+Q219+T219+U219</f>
        <v>1495</v>
      </c>
      <c r="O219" s="85" t="n">
        <f aca="false">1489-5</f>
        <v>1484</v>
      </c>
      <c r="P219" s="86" t="n">
        <v>0</v>
      </c>
      <c r="Q219" s="86" t="n">
        <v>0</v>
      </c>
      <c r="R219" s="132" t="n">
        <v>36</v>
      </c>
      <c r="S219" s="128" t="n">
        <v>0</v>
      </c>
      <c r="T219" s="132" t="n">
        <v>11</v>
      </c>
      <c r="U219" s="128" t="n">
        <v>0</v>
      </c>
      <c r="V219" s="128" t="n">
        <v>6</v>
      </c>
      <c r="W219" s="90" t="n">
        <f aca="false">IFERROR(O219/V219,0)</f>
        <v>247.333333333333</v>
      </c>
      <c r="X219" s="91" t="n">
        <f aca="false">O219/L219</f>
        <v>0.824444444444444</v>
      </c>
      <c r="Y219" s="92" t="str">
        <f aca="false">IFERROR(VLOOKUP(E:E,'Item Data Support Sheet'!A:J,6,0),0)</f>
        <v>FO005</v>
      </c>
      <c r="Z219" s="93" t="n">
        <f aca="false">IFERROR(VLOOKUP(E:E,'Item Data Support Sheet'!A:O,4,0),0)</f>
        <v>32</v>
      </c>
      <c r="AA219" s="93" t="n">
        <f aca="false">IFERROR(((N219)*(Z219/1000))+P219,0)</f>
        <v>47.84</v>
      </c>
      <c r="AB219" s="94" t="n">
        <f aca="false">IFERROR((O219*(Z219/1000)/(AA219))," ")</f>
        <v>0.992642140468227</v>
      </c>
      <c r="AC219" s="95" t="n">
        <f aca="false">IFERROR((T219)/((T219)+O219),0)</f>
        <v>0.00735785953177258</v>
      </c>
      <c r="AD219" s="96" t="n">
        <f aca="false">IFERROR(Q219/(Q219+N219),0)</f>
        <v>0</v>
      </c>
      <c r="AE219" s="91" t="n">
        <f aca="false">(N219-T219)/N219</f>
        <v>0.992642140468227</v>
      </c>
      <c r="AF219" s="97" t="n">
        <f aca="false">BR219</f>
        <v>3</v>
      </c>
      <c r="AG219" s="98" t="n">
        <f aca="false">K219-AF219</f>
        <v>2.5</v>
      </c>
      <c r="AH219" s="99" t="n">
        <f aca="false">IFERROR(AG219/K219," ")</f>
        <v>0.454545454545455</v>
      </c>
      <c r="AI219" s="100" t="n">
        <f aca="false">IFERROR(O219/K219,0)</f>
        <v>269.818181818182</v>
      </c>
      <c r="AJ219" s="101" t="n">
        <f aca="false">VLOOKUP(D219,'Standard Cycle time'!C:D,2,0)</f>
        <v>32.4</v>
      </c>
      <c r="AK219" s="101" t="n">
        <f aca="false">AG219*V219*3600/O219</f>
        <v>36.3881401617251</v>
      </c>
      <c r="AL219" s="102" t="n">
        <f aca="false">AJ219/AK219</f>
        <v>0.8904</v>
      </c>
      <c r="AM219" s="99" t="n">
        <f aca="false">AE219*AL219*AH219</f>
        <v>0.401749346305868</v>
      </c>
      <c r="AN219" s="103" t="s">
        <v>549</v>
      </c>
      <c r="AO219" s="109" t="s">
        <v>550</v>
      </c>
      <c r="AP219" s="105" t="n">
        <v>40</v>
      </c>
      <c r="AQ219" s="105" t="n">
        <v>140</v>
      </c>
      <c r="AR219" s="105" t="n">
        <v>0</v>
      </c>
      <c r="AS219" s="105" t="n">
        <v>0</v>
      </c>
      <c r="AT219" s="105" t="n">
        <v>0</v>
      </c>
      <c r="AU219" s="105" t="n">
        <v>0</v>
      </c>
      <c r="AV219" s="105" t="n">
        <v>0</v>
      </c>
      <c r="AW219" s="105" t="n">
        <v>0</v>
      </c>
      <c r="AX219" s="105" t="n">
        <v>0</v>
      </c>
      <c r="AY219" s="105" t="n">
        <v>0</v>
      </c>
      <c r="AZ219" s="105" t="n">
        <v>0</v>
      </c>
      <c r="BA219" s="105" t="n">
        <v>0</v>
      </c>
      <c r="BB219" s="105" t="n">
        <v>0</v>
      </c>
      <c r="BC219" s="105" t="n">
        <v>0</v>
      </c>
      <c r="BD219" s="105" t="n">
        <v>0</v>
      </c>
      <c r="BE219" s="105" t="n">
        <v>0</v>
      </c>
      <c r="BF219" s="105" t="n">
        <v>0</v>
      </c>
      <c r="BG219" s="105" t="n">
        <v>0</v>
      </c>
      <c r="BH219" s="105" t="n">
        <v>0</v>
      </c>
      <c r="BI219" s="105" t="n">
        <v>0</v>
      </c>
      <c r="BJ219" s="105" t="n">
        <v>0</v>
      </c>
      <c r="BK219" s="105" t="n">
        <v>0</v>
      </c>
      <c r="BL219" s="105" t="n">
        <v>0</v>
      </c>
      <c r="BM219" s="105" t="n">
        <v>0</v>
      </c>
      <c r="BN219" s="105" t="n">
        <v>0</v>
      </c>
      <c r="BO219" s="105" t="n">
        <v>0</v>
      </c>
      <c r="BP219" s="105" t="n">
        <v>0</v>
      </c>
      <c r="BQ219" s="105" t="n">
        <v>0</v>
      </c>
      <c r="BR219" s="106" t="n">
        <f aca="false">SUM(AP219:BQ219)/60</f>
        <v>3</v>
      </c>
      <c r="BS219" s="106" t="n">
        <f aca="false">SUM(AP219:BR219)/60</f>
        <v>3.05</v>
      </c>
      <c r="BT219" s="107"/>
      <c r="BU219" s="107"/>
      <c r="BV219" s="107"/>
      <c r="BW219" s="107"/>
      <c r="BX219" s="107"/>
      <c r="BY219" s="107"/>
      <c r="BZ219" s="107"/>
      <c r="CA219" s="107"/>
      <c r="CB219" s="107"/>
      <c r="CC219" s="107"/>
      <c r="CD219" s="107"/>
      <c r="CE219" s="107"/>
      <c r="CF219" s="107"/>
      <c r="CG219" s="107"/>
      <c r="CH219" s="107"/>
      <c r="CI219" s="107"/>
      <c r="CJ219" s="107"/>
      <c r="CK219" s="107"/>
      <c r="CL219" s="107"/>
      <c r="CM219" s="107"/>
      <c r="CN219" s="107"/>
      <c r="CO219" s="107"/>
      <c r="CP219" s="107"/>
      <c r="CQ219" s="107"/>
      <c r="CR219" s="107"/>
      <c r="CS219" s="107"/>
      <c r="CT219" s="107"/>
      <c r="CU219" s="107"/>
      <c r="CV219" s="107"/>
    </row>
    <row r="220" customFormat="false" ht="14.9" hidden="true" customHeight="false" outlineLevel="0" collapsed="false">
      <c r="A220" s="74" t="n">
        <f aca="false">MONTH(B220)</f>
        <v>8</v>
      </c>
      <c r="B220" s="75" t="n">
        <v>44428</v>
      </c>
      <c r="C220" s="128" t="s">
        <v>63</v>
      </c>
      <c r="D220" s="77" t="str">
        <f aca="false">IFERROR(VLOOKUP(E:E,'Item Data Support Sheet'!A:O,7,0),"")</f>
        <v>NIPPLE WRAP PRINTED</v>
      </c>
      <c r="E220" s="80" t="s">
        <v>551</v>
      </c>
      <c r="F220" s="122"/>
      <c r="G220" s="77" t="s">
        <v>432</v>
      </c>
      <c r="H220" s="79" t="str">
        <f aca="false">IFERROR(VLOOKUP(E:E,'Item Data Support Sheet'!A:O,2,0),"")</f>
        <v>NIPPLE S TYPE S SIZE WITH PRINTED WRAP</v>
      </c>
      <c r="I220" s="80" t="s">
        <v>552</v>
      </c>
      <c r="J220" s="80" t="s">
        <v>158</v>
      </c>
      <c r="K220" s="81" t="n">
        <v>2.3</v>
      </c>
      <c r="L220" s="124" t="n">
        <v>3800</v>
      </c>
      <c r="M220" s="83" t="n">
        <f aca="false">IFERROR(L220/K220,0)</f>
        <v>1652.17391304348</v>
      </c>
      <c r="N220" s="84" t="n">
        <f aca="false">+O220+Q220+T220+U220</f>
        <v>4200</v>
      </c>
      <c r="O220" s="85" t="n">
        <v>4200</v>
      </c>
      <c r="P220" s="86" t="n">
        <v>0</v>
      </c>
      <c r="Q220" s="86" t="n">
        <v>0</v>
      </c>
      <c r="R220" s="132" t="n">
        <v>0</v>
      </c>
      <c r="S220" s="128" t="n">
        <v>0</v>
      </c>
      <c r="T220" s="132" t="n">
        <v>0</v>
      </c>
      <c r="U220" s="128" t="n">
        <v>0</v>
      </c>
      <c r="V220" s="128" t="n">
        <v>2</v>
      </c>
      <c r="W220" s="90" t="n">
        <f aca="false">IFERROR(O220/V220,0)</f>
        <v>2100</v>
      </c>
      <c r="X220" s="91" t="n">
        <f aca="false">O220/L220</f>
        <v>1.10526315789474</v>
      </c>
      <c r="Y220" s="92" t="str">
        <f aca="false">IFERROR(VLOOKUP(E:E,'Item Data Support Sheet'!A:J,6,0),0)</f>
        <v>FO108</v>
      </c>
      <c r="Z220" s="93" t="n">
        <f aca="false">IFERROR(VLOOKUP(E:E,'Item Data Support Sheet'!A:O,4,0),0)</f>
        <v>0</v>
      </c>
      <c r="AA220" s="93" t="n">
        <f aca="false">IFERROR(((N220)*(Z220/1000))+P220,0)</f>
        <v>0</v>
      </c>
      <c r="AB220" s="94" t="str">
        <f aca="false">IFERROR((O220*(Z220/1000)/(AA220))," ")</f>
        <v> </v>
      </c>
      <c r="AC220" s="95" t="n">
        <f aca="false">IFERROR((T220)/((T220)+O220),0)</f>
        <v>0</v>
      </c>
      <c r="AD220" s="96" t="n">
        <f aca="false">IFERROR(Q220/(Q220+N220),0)</f>
        <v>0</v>
      </c>
      <c r="AE220" s="91" t="n">
        <f aca="false">(N220-T220)/N220</f>
        <v>1</v>
      </c>
      <c r="AF220" s="97" t="n">
        <f aca="false">BR220</f>
        <v>0</v>
      </c>
      <c r="AG220" s="98" t="n">
        <f aca="false">K220-AF220</f>
        <v>2.3</v>
      </c>
      <c r="AH220" s="99" t="n">
        <f aca="false">IFERROR(AG220/K220," ")</f>
        <v>1</v>
      </c>
      <c r="AI220" s="100" t="n">
        <f aca="false">IFERROR(O220/K220,0)</f>
        <v>1826.08695652174</v>
      </c>
      <c r="AJ220" s="101" t="n">
        <f aca="false">VLOOKUP(D220,'Standard Cycle time'!C:D,2,0)</f>
        <v>2.5</v>
      </c>
      <c r="AK220" s="101" t="n">
        <f aca="false">AG220*V220*3600/O220</f>
        <v>3.94285714285714</v>
      </c>
      <c r="AL220" s="102" t="n">
        <f aca="false">AJ220/AK220</f>
        <v>0.634057971014493</v>
      </c>
      <c r="AM220" s="99" t="n">
        <f aca="false">AE220*AL220*AH220</f>
        <v>0.634057971014493</v>
      </c>
      <c r="AN220" s="103" t="s">
        <v>553</v>
      </c>
      <c r="AO220" s="104"/>
      <c r="AP220" s="105" t="n">
        <v>0</v>
      </c>
      <c r="AQ220" s="105" t="n">
        <v>0</v>
      </c>
      <c r="AR220" s="105" t="n">
        <v>0</v>
      </c>
      <c r="AS220" s="105" t="n">
        <v>0</v>
      </c>
      <c r="AT220" s="105" t="n">
        <v>0</v>
      </c>
      <c r="AU220" s="105" t="n">
        <v>0</v>
      </c>
      <c r="AV220" s="105" t="n">
        <v>0</v>
      </c>
      <c r="AW220" s="105" t="n">
        <v>0</v>
      </c>
      <c r="AX220" s="105" t="n">
        <v>0</v>
      </c>
      <c r="AY220" s="105" t="n">
        <v>0</v>
      </c>
      <c r="AZ220" s="105" t="n">
        <v>0</v>
      </c>
      <c r="BA220" s="105" t="n">
        <v>0</v>
      </c>
      <c r="BB220" s="105" t="n">
        <v>0</v>
      </c>
      <c r="BC220" s="105" t="n">
        <v>0</v>
      </c>
      <c r="BD220" s="105" t="n">
        <v>0</v>
      </c>
      <c r="BE220" s="105" t="n">
        <v>0</v>
      </c>
      <c r="BF220" s="105" t="n">
        <v>0</v>
      </c>
      <c r="BG220" s="105" t="n">
        <v>0</v>
      </c>
      <c r="BH220" s="105" t="n">
        <v>0</v>
      </c>
      <c r="BI220" s="105" t="n">
        <v>0</v>
      </c>
      <c r="BJ220" s="105" t="n">
        <v>0</v>
      </c>
      <c r="BK220" s="105" t="n">
        <v>0</v>
      </c>
      <c r="BL220" s="105" t="n">
        <v>0</v>
      </c>
      <c r="BM220" s="105" t="n">
        <v>0</v>
      </c>
      <c r="BN220" s="105" t="n">
        <v>0</v>
      </c>
      <c r="BO220" s="105" t="n">
        <v>0</v>
      </c>
      <c r="BP220" s="105" t="n">
        <v>0</v>
      </c>
      <c r="BQ220" s="105" t="n">
        <v>0</v>
      </c>
      <c r="BR220" s="106" t="n">
        <f aca="false">SUM(AP220:BQ220)/60</f>
        <v>0</v>
      </c>
      <c r="BS220" s="106" t="n">
        <f aca="false">SUM(AP220:BR220)/60</f>
        <v>0</v>
      </c>
      <c r="BT220" s="107"/>
      <c r="BU220" s="107"/>
      <c r="BV220" s="107"/>
      <c r="BW220" s="107"/>
      <c r="BX220" s="107"/>
      <c r="BY220" s="107"/>
      <c r="BZ220" s="107"/>
      <c r="CA220" s="107"/>
      <c r="CB220" s="107"/>
      <c r="CC220" s="107"/>
      <c r="CD220" s="107"/>
      <c r="CE220" s="107"/>
      <c r="CF220" s="107"/>
      <c r="CG220" s="107"/>
      <c r="CH220" s="107"/>
      <c r="CI220" s="107"/>
      <c r="CJ220" s="107"/>
      <c r="CK220" s="107"/>
      <c r="CL220" s="107"/>
      <c r="CM220" s="107"/>
      <c r="CN220" s="107"/>
      <c r="CO220" s="107"/>
      <c r="CP220" s="107"/>
      <c r="CQ220" s="107"/>
      <c r="CR220" s="107"/>
      <c r="CS220" s="107"/>
      <c r="CT220" s="107"/>
      <c r="CU220" s="107"/>
      <c r="CV220" s="107"/>
    </row>
    <row r="221" customFormat="false" ht="14.9" hidden="true" customHeight="false" outlineLevel="0" collapsed="false">
      <c r="A221" s="74" t="n">
        <f aca="false">MONTH(B221)</f>
        <v>8</v>
      </c>
      <c r="B221" s="75" t="n">
        <v>44428</v>
      </c>
      <c r="C221" s="128" t="s">
        <v>63</v>
      </c>
      <c r="D221" s="77" t="str">
        <f aca="false">IFERROR(VLOOKUP(E:E,'Item Data Support Sheet'!A:O,7,0),"")</f>
        <v>NIPPLE WRAP PRINTED</v>
      </c>
      <c r="E221" s="80" t="s">
        <v>431</v>
      </c>
      <c r="F221" s="122"/>
      <c r="G221" s="77" t="s">
        <v>432</v>
      </c>
      <c r="H221" s="79" t="str">
        <f aca="false">IFERROR(VLOOKUP(E:E,'Item Data Support Sheet'!A:O,2,0),"")</f>
        <v>NIPPLE S TYPE M SIZE WITH PRINTED WRAP</v>
      </c>
      <c r="I221" s="80" t="s">
        <v>554</v>
      </c>
      <c r="J221" s="80" t="s">
        <v>158</v>
      </c>
      <c r="K221" s="81" t="n">
        <v>2</v>
      </c>
      <c r="L221" s="124" t="n">
        <v>3700</v>
      </c>
      <c r="M221" s="83" t="n">
        <f aca="false">IFERROR(L221/K221,0)</f>
        <v>1850</v>
      </c>
      <c r="N221" s="84" t="n">
        <f aca="false">+O221+Q221+T221+U221</f>
        <v>4000</v>
      </c>
      <c r="O221" s="85" t="n">
        <v>4000</v>
      </c>
      <c r="P221" s="86" t="n">
        <v>0</v>
      </c>
      <c r="Q221" s="86" t="n">
        <v>0</v>
      </c>
      <c r="R221" s="132" t="n">
        <v>0</v>
      </c>
      <c r="S221" s="128" t="n">
        <v>0</v>
      </c>
      <c r="T221" s="132" t="n">
        <v>0</v>
      </c>
      <c r="U221" s="128" t="n">
        <v>0</v>
      </c>
      <c r="V221" s="128" t="n">
        <v>2</v>
      </c>
      <c r="W221" s="90" t="n">
        <f aca="false">IFERROR(O221/V221,0)</f>
        <v>2000</v>
      </c>
      <c r="X221" s="91" t="n">
        <f aca="false">O221/L221</f>
        <v>1.08108108108108</v>
      </c>
      <c r="Y221" s="92" t="str">
        <f aca="false">IFERROR(VLOOKUP(E:E,'Item Data Support Sheet'!A:J,6,0),0)</f>
        <v>FO020</v>
      </c>
      <c r="Z221" s="93" t="n">
        <f aca="false">IFERROR(VLOOKUP(E:E,'Item Data Support Sheet'!A:O,4,0),0)</f>
        <v>0</v>
      </c>
      <c r="AA221" s="93" t="n">
        <f aca="false">IFERROR(((N221)*(Z221/1000))+P221,0)</f>
        <v>0</v>
      </c>
      <c r="AB221" s="94" t="str">
        <f aca="false">IFERROR((O221*(Z221/1000)/(AA221))," ")</f>
        <v> </v>
      </c>
      <c r="AC221" s="95" t="n">
        <f aca="false">IFERROR((T221)/((T221)+O221),0)</f>
        <v>0</v>
      </c>
      <c r="AD221" s="96" t="n">
        <f aca="false">IFERROR(Q221/(Q221+N221),0)</f>
        <v>0</v>
      </c>
      <c r="AE221" s="91" t="n">
        <f aca="false">(N221-T221)/N221</f>
        <v>1</v>
      </c>
      <c r="AF221" s="97" t="n">
        <f aca="false">BR221</f>
        <v>0</v>
      </c>
      <c r="AG221" s="98" t="n">
        <f aca="false">K221-AF221</f>
        <v>2</v>
      </c>
      <c r="AH221" s="99" t="n">
        <f aca="false">IFERROR(AG221/K221," ")</f>
        <v>1</v>
      </c>
      <c r="AI221" s="100" t="n">
        <f aca="false">IFERROR(O221/K221,0)</f>
        <v>2000</v>
      </c>
      <c r="AJ221" s="101" t="n">
        <f aca="false">VLOOKUP(D221,'Standard Cycle time'!C:D,2,0)</f>
        <v>2.5</v>
      </c>
      <c r="AK221" s="101" t="n">
        <f aca="false">AG221*V221*3600/O221</f>
        <v>3.6</v>
      </c>
      <c r="AL221" s="102" t="n">
        <f aca="false">AJ221/AK221</f>
        <v>0.694444444444444</v>
      </c>
      <c r="AM221" s="99" t="n">
        <f aca="false">AE221*AL221*AH221</f>
        <v>0.694444444444444</v>
      </c>
      <c r="AN221" s="103" t="s">
        <v>555</v>
      </c>
      <c r="AO221" s="104"/>
      <c r="AP221" s="105" t="n">
        <v>0</v>
      </c>
      <c r="AQ221" s="105" t="n">
        <v>0</v>
      </c>
      <c r="AR221" s="105" t="n">
        <v>0</v>
      </c>
      <c r="AS221" s="105" t="n">
        <v>0</v>
      </c>
      <c r="AT221" s="105" t="n">
        <v>0</v>
      </c>
      <c r="AU221" s="105" t="n">
        <v>0</v>
      </c>
      <c r="AV221" s="105" t="n">
        <v>0</v>
      </c>
      <c r="AW221" s="105" t="n">
        <v>0</v>
      </c>
      <c r="AX221" s="105" t="n">
        <v>0</v>
      </c>
      <c r="AY221" s="105" t="n">
        <v>0</v>
      </c>
      <c r="AZ221" s="105" t="n">
        <v>0</v>
      </c>
      <c r="BA221" s="105" t="n">
        <v>0</v>
      </c>
      <c r="BB221" s="105" t="n">
        <v>0</v>
      </c>
      <c r="BC221" s="105" t="n">
        <v>0</v>
      </c>
      <c r="BD221" s="105" t="n">
        <v>0</v>
      </c>
      <c r="BE221" s="105" t="n">
        <v>0</v>
      </c>
      <c r="BF221" s="105" t="n">
        <v>0</v>
      </c>
      <c r="BG221" s="105" t="n">
        <v>0</v>
      </c>
      <c r="BH221" s="105" t="n">
        <v>0</v>
      </c>
      <c r="BI221" s="105" t="n">
        <v>0</v>
      </c>
      <c r="BJ221" s="105" t="n">
        <v>0</v>
      </c>
      <c r="BK221" s="105" t="n">
        <v>0</v>
      </c>
      <c r="BL221" s="105" t="n">
        <v>0</v>
      </c>
      <c r="BM221" s="105" t="n">
        <v>0</v>
      </c>
      <c r="BN221" s="105" t="n">
        <v>0</v>
      </c>
      <c r="BO221" s="105" t="n">
        <v>0</v>
      </c>
      <c r="BP221" s="105" t="n">
        <v>0</v>
      </c>
      <c r="BQ221" s="105" t="n">
        <v>0</v>
      </c>
      <c r="BR221" s="106" t="n">
        <f aca="false">SUM(AP221:BQ221)/60</f>
        <v>0</v>
      </c>
      <c r="BS221" s="106" t="n">
        <f aca="false">SUM(AP221:BR221)/60</f>
        <v>0</v>
      </c>
      <c r="BT221" s="107"/>
      <c r="BU221" s="107"/>
      <c r="BV221" s="107"/>
      <c r="BW221" s="107"/>
      <c r="BX221" s="107"/>
      <c r="BY221" s="107"/>
      <c r="BZ221" s="107"/>
      <c r="CA221" s="107"/>
      <c r="CB221" s="107"/>
      <c r="CC221" s="107"/>
      <c r="CD221" s="107"/>
      <c r="CE221" s="107"/>
      <c r="CF221" s="107"/>
      <c r="CG221" s="107"/>
      <c r="CH221" s="107"/>
      <c r="CI221" s="107"/>
      <c r="CJ221" s="107"/>
      <c r="CK221" s="107"/>
      <c r="CL221" s="107"/>
      <c r="CM221" s="107"/>
      <c r="CN221" s="107"/>
      <c r="CO221" s="107"/>
      <c r="CP221" s="107"/>
      <c r="CQ221" s="107"/>
      <c r="CR221" s="107"/>
      <c r="CS221" s="107"/>
      <c r="CT221" s="107"/>
      <c r="CU221" s="107"/>
      <c r="CV221" s="107"/>
    </row>
    <row r="222" customFormat="false" ht="14.9" hidden="true" customHeight="false" outlineLevel="0" collapsed="false">
      <c r="A222" s="74" t="n">
        <f aca="false">MONTH(B222)</f>
        <v>8</v>
      </c>
      <c r="B222" s="75" t="n">
        <v>44428</v>
      </c>
      <c r="C222" s="128" t="s">
        <v>63</v>
      </c>
      <c r="D222" s="77" t="str">
        <f aca="false">IFERROR(VLOOKUP(E:E,'Item Data Support Sheet'!A:O,7,0),"")</f>
        <v>NIPPLE WRAP PRINTED</v>
      </c>
      <c r="E222" s="80" t="s">
        <v>474</v>
      </c>
      <c r="F222" s="122"/>
      <c r="G222" s="77" t="s">
        <v>432</v>
      </c>
      <c r="H222" s="79" t="str">
        <f aca="false">IFERROR(VLOOKUP(E:E,'Item Data Support Sheet'!A:O,2,0),"")</f>
        <v>NIPPLE S TYPE L SIZE WITH PRINTED WRAP</v>
      </c>
      <c r="I222" s="80" t="s">
        <v>556</v>
      </c>
      <c r="J222" s="80" t="s">
        <v>158</v>
      </c>
      <c r="K222" s="81" t="n">
        <v>2</v>
      </c>
      <c r="L222" s="124" t="n">
        <v>3500</v>
      </c>
      <c r="M222" s="83" t="n">
        <f aca="false">IFERROR(L222/K222,0)</f>
        <v>1750</v>
      </c>
      <c r="N222" s="84" t="n">
        <f aca="false">+O222+Q222+T222+U222</f>
        <v>3752</v>
      </c>
      <c r="O222" s="85" t="n">
        <f aca="false">3757-5</f>
        <v>3752</v>
      </c>
      <c r="P222" s="86" t="n">
        <v>0</v>
      </c>
      <c r="Q222" s="86" t="n">
        <v>0</v>
      </c>
      <c r="R222" s="132" t="n">
        <v>0</v>
      </c>
      <c r="S222" s="128" t="n">
        <v>0</v>
      </c>
      <c r="T222" s="132" t="n">
        <v>0</v>
      </c>
      <c r="U222" s="128" t="n">
        <v>0</v>
      </c>
      <c r="V222" s="128" t="n">
        <v>2</v>
      </c>
      <c r="W222" s="90" t="n">
        <f aca="false">IFERROR(O222/V222,0)</f>
        <v>1876</v>
      </c>
      <c r="X222" s="91" t="n">
        <f aca="false">O222/L222</f>
        <v>1.072</v>
      </c>
      <c r="Y222" s="92" t="str">
        <f aca="false">IFERROR(VLOOKUP(E:E,'Item Data Support Sheet'!A:J,6,0),0)</f>
        <v>FO021</v>
      </c>
      <c r="Z222" s="93" t="n">
        <f aca="false">IFERROR(VLOOKUP(E:E,'Item Data Support Sheet'!A:O,4,0),0)</f>
        <v>0</v>
      </c>
      <c r="AA222" s="93" t="n">
        <f aca="false">IFERROR(((N222)*(Z222/1000))+P222,0)</f>
        <v>0</v>
      </c>
      <c r="AB222" s="94" t="str">
        <f aca="false">IFERROR((O222*(Z222/1000)/(AA222))," ")</f>
        <v> </v>
      </c>
      <c r="AC222" s="95" t="n">
        <f aca="false">IFERROR((T222)/((T222)+O222),0)</f>
        <v>0</v>
      </c>
      <c r="AD222" s="96" t="n">
        <f aca="false">IFERROR(Q222/(Q222+N222),0)</f>
        <v>0</v>
      </c>
      <c r="AE222" s="91" t="n">
        <f aca="false">(N222-T222)/N222</f>
        <v>1</v>
      </c>
      <c r="AF222" s="97" t="n">
        <f aca="false">BR222</f>
        <v>0</v>
      </c>
      <c r="AG222" s="98" t="n">
        <f aca="false">K222-AF222</f>
        <v>2</v>
      </c>
      <c r="AH222" s="99" t="n">
        <f aca="false">IFERROR(AG222/K222," ")</f>
        <v>1</v>
      </c>
      <c r="AI222" s="100" t="n">
        <f aca="false">IFERROR(O222/K222,0)</f>
        <v>1876</v>
      </c>
      <c r="AJ222" s="101" t="n">
        <f aca="false">VLOOKUP(D222,'Standard Cycle time'!C:D,2,0)</f>
        <v>2.5</v>
      </c>
      <c r="AK222" s="101" t="n">
        <f aca="false">AG222*V222*3600/O222</f>
        <v>3.83795309168443</v>
      </c>
      <c r="AL222" s="102" t="n">
        <f aca="false">AJ222/AK222</f>
        <v>0.651388888888889</v>
      </c>
      <c r="AM222" s="99" t="n">
        <f aca="false">AE222*AL222*AH222</f>
        <v>0.651388888888889</v>
      </c>
      <c r="AN222" s="103" t="s">
        <v>557</v>
      </c>
      <c r="AO222" s="104"/>
      <c r="AP222" s="105" t="n">
        <v>0</v>
      </c>
      <c r="AQ222" s="105" t="n">
        <v>0</v>
      </c>
      <c r="AR222" s="105" t="n">
        <v>0</v>
      </c>
      <c r="AS222" s="105" t="n">
        <v>0</v>
      </c>
      <c r="AT222" s="105" t="n">
        <v>0</v>
      </c>
      <c r="AU222" s="105" t="n">
        <v>0</v>
      </c>
      <c r="AV222" s="105" t="n">
        <v>0</v>
      </c>
      <c r="AW222" s="105" t="n">
        <v>0</v>
      </c>
      <c r="AX222" s="105" t="n">
        <v>0</v>
      </c>
      <c r="AY222" s="105" t="n">
        <v>0</v>
      </c>
      <c r="AZ222" s="105" t="n">
        <v>0</v>
      </c>
      <c r="BA222" s="105" t="n">
        <v>0</v>
      </c>
      <c r="BB222" s="105" t="n">
        <v>0</v>
      </c>
      <c r="BC222" s="105" t="n">
        <v>0</v>
      </c>
      <c r="BD222" s="105" t="n">
        <v>0</v>
      </c>
      <c r="BE222" s="105" t="n">
        <v>0</v>
      </c>
      <c r="BF222" s="105" t="n">
        <v>0</v>
      </c>
      <c r="BG222" s="105" t="n">
        <v>0</v>
      </c>
      <c r="BH222" s="105" t="n">
        <v>0</v>
      </c>
      <c r="BI222" s="105" t="n">
        <v>0</v>
      </c>
      <c r="BJ222" s="105" t="n">
        <v>0</v>
      </c>
      <c r="BK222" s="105" t="n">
        <v>0</v>
      </c>
      <c r="BL222" s="105" t="n">
        <v>0</v>
      </c>
      <c r="BM222" s="105" t="n">
        <v>0</v>
      </c>
      <c r="BN222" s="105" t="n">
        <v>0</v>
      </c>
      <c r="BO222" s="105" t="n">
        <v>0</v>
      </c>
      <c r="BP222" s="105" t="n">
        <v>0</v>
      </c>
      <c r="BQ222" s="105" t="n">
        <v>0</v>
      </c>
      <c r="BR222" s="106" t="n">
        <f aca="false">SUM(AP222:BQ222)/60</f>
        <v>0</v>
      </c>
      <c r="BS222" s="106" t="n">
        <f aca="false">SUM(AP222:BR222)/60</f>
        <v>0</v>
      </c>
      <c r="BT222" s="107"/>
      <c r="BU222" s="107"/>
      <c r="BV222" s="107"/>
      <c r="BW222" s="107"/>
      <c r="BX222" s="107"/>
      <c r="BY222" s="107"/>
      <c r="BZ222" s="107"/>
      <c r="CA222" s="107"/>
      <c r="CB222" s="107"/>
      <c r="CC222" s="107"/>
      <c r="CD222" s="107"/>
      <c r="CE222" s="107"/>
      <c r="CF222" s="107"/>
      <c r="CG222" s="107"/>
      <c r="CH222" s="107"/>
      <c r="CI222" s="107"/>
      <c r="CJ222" s="107"/>
      <c r="CK222" s="107"/>
      <c r="CL222" s="107"/>
      <c r="CM222" s="107"/>
      <c r="CN222" s="107"/>
      <c r="CO222" s="107"/>
      <c r="CP222" s="107"/>
      <c r="CQ222" s="107"/>
      <c r="CR222" s="107"/>
      <c r="CS222" s="107"/>
      <c r="CT222" s="107"/>
      <c r="CU222" s="107"/>
      <c r="CV222" s="107"/>
    </row>
    <row r="223" customFormat="false" ht="14.9" hidden="true" customHeight="false" outlineLevel="0" collapsed="false">
      <c r="A223" s="74" t="n">
        <f aca="false">MONTH(B223)</f>
        <v>8</v>
      </c>
      <c r="B223" s="75" t="n">
        <v>44428</v>
      </c>
      <c r="C223" s="128" t="s">
        <v>63</v>
      </c>
      <c r="D223" s="77" t="str">
        <f aca="false">IFERROR(VLOOKUP(E:E,'Item Data Support Sheet'!A:O,7,0),"")</f>
        <v>NIPPLE WRAP PRINTED</v>
      </c>
      <c r="E223" s="80" t="s">
        <v>506</v>
      </c>
      <c r="F223" s="122"/>
      <c r="G223" s="77" t="s">
        <v>432</v>
      </c>
      <c r="H223" s="79" t="str">
        <f aca="false">IFERROR(VLOOKUP(E:E,'Item Data Support Sheet'!A:O,2,0),"")</f>
        <v>NIPPLE S TYPE LL SIZE WRAPPED</v>
      </c>
      <c r="I223" s="80" t="s">
        <v>558</v>
      </c>
      <c r="J223" s="80" t="s">
        <v>158</v>
      </c>
      <c r="K223" s="81" t="n">
        <v>3</v>
      </c>
      <c r="L223" s="124" t="n">
        <v>5132</v>
      </c>
      <c r="M223" s="83" t="n">
        <f aca="false">IFERROR(L223/K223,0)</f>
        <v>1710.66666666667</v>
      </c>
      <c r="N223" s="84" t="n">
        <f aca="false">+O223+Q223+T223+U223</f>
        <v>6103</v>
      </c>
      <c r="O223" s="85" t="n">
        <v>6090</v>
      </c>
      <c r="P223" s="86" t="n">
        <v>0</v>
      </c>
      <c r="Q223" s="86" t="n">
        <v>0</v>
      </c>
      <c r="R223" s="132" t="n">
        <v>0</v>
      </c>
      <c r="S223" s="128" t="n">
        <v>0</v>
      </c>
      <c r="T223" s="132" t="n">
        <v>13</v>
      </c>
      <c r="U223" s="128" t="n">
        <v>0</v>
      </c>
      <c r="V223" s="128" t="n">
        <v>2</v>
      </c>
      <c r="W223" s="90" t="n">
        <f aca="false">IFERROR(O223/V223,0)</f>
        <v>3045</v>
      </c>
      <c r="X223" s="91" t="n">
        <f aca="false">O223/L223</f>
        <v>1.18667186282151</v>
      </c>
      <c r="Y223" s="92" t="str">
        <f aca="false">IFERROR(VLOOKUP(E:E,'Item Data Support Sheet'!A:J,6,0),0)</f>
        <v>FO141</v>
      </c>
      <c r="Z223" s="93" t="n">
        <f aca="false">IFERROR(VLOOKUP(E:E,'Item Data Support Sheet'!A:O,4,0),0)</f>
        <v>0</v>
      </c>
      <c r="AA223" s="93" t="n">
        <f aca="false">IFERROR(((N223)*(Z223/1000))+P223,0)</f>
        <v>0</v>
      </c>
      <c r="AB223" s="94" t="str">
        <f aca="false">IFERROR((O223*(Z223/1000)/(AA223))," ")</f>
        <v> </v>
      </c>
      <c r="AC223" s="95" t="n">
        <f aca="false">IFERROR((T223)/((T223)+O223),0)</f>
        <v>0.00213009995084385</v>
      </c>
      <c r="AD223" s="96" t="n">
        <f aca="false">IFERROR(Q223/(Q223+N223),0)</f>
        <v>0</v>
      </c>
      <c r="AE223" s="91" t="n">
        <f aca="false">(N223-T223)/N223</f>
        <v>0.997869900049156</v>
      </c>
      <c r="AF223" s="97" t="n">
        <f aca="false">BR223</f>
        <v>0</v>
      </c>
      <c r="AG223" s="98" t="n">
        <f aca="false">K223-AF223</f>
        <v>3</v>
      </c>
      <c r="AH223" s="99" t="n">
        <f aca="false">IFERROR(AG223/K223," ")</f>
        <v>1</v>
      </c>
      <c r="AI223" s="100" t="n">
        <f aca="false">IFERROR(O223/K223,0)</f>
        <v>2030</v>
      </c>
      <c r="AJ223" s="101" t="n">
        <f aca="false">VLOOKUP(D223,'Standard Cycle time'!C:D,2,0)</f>
        <v>2.5</v>
      </c>
      <c r="AK223" s="101" t="n">
        <f aca="false">AG223*V223*3600/O223</f>
        <v>3.54679802955665</v>
      </c>
      <c r="AL223" s="102" t="n">
        <f aca="false">AJ223/AK223</f>
        <v>0.704861111111111</v>
      </c>
      <c r="AM223" s="99" t="n">
        <f aca="false">AE223*AL223*AH223</f>
        <v>0.703359686492982</v>
      </c>
      <c r="AN223" s="103" t="n">
        <v>2588</v>
      </c>
      <c r="AO223" s="104"/>
      <c r="AP223" s="105" t="n">
        <v>0</v>
      </c>
      <c r="AQ223" s="105" t="n">
        <v>0</v>
      </c>
      <c r="AR223" s="105" t="n">
        <v>0</v>
      </c>
      <c r="AS223" s="105" t="n">
        <v>0</v>
      </c>
      <c r="AT223" s="105" t="n">
        <v>0</v>
      </c>
      <c r="AU223" s="105" t="n">
        <v>0</v>
      </c>
      <c r="AV223" s="105" t="n">
        <v>0</v>
      </c>
      <c r="AW223" s="105" t="n">
        <v>0</v>
      </c>
      <c r="AX223" s="105" t="n">
        <v>0</v>
      </c>
      <c r="AY223" s="105" t="n">
        <v>0</v>
      </c>
      <c r="AZ223" s="105" t="n">
        <v>0</v>
      </c>
      <c r="BA223" s="105" t="n">
        <v>0</v>
      </c>
      <c r="BB223" s="105" t="n">
        <v>0</v>
      </c>
      <c r="BC223" s="105" t="n">
        <v>0</v>
      </c>
      <c r="BD223" s="105" t="n">
        <v>0</v>
      </c>
      <c r="BE223" s="105" t="n">
        <v>0</v>
      </c>
      <c r="BF223" s="105" t="n">
        <v>0</v>
      </c>
      <c r="BG223" s="105" t="n">
        <v>0</v>
      </c>
      <c r="BH223" s="105" t="n">
        <v>0</v>
      </c>
      <c r="BI223" s="105" t="n">
        <v>0</v>
      </c>
      <c r="BJ223" s="105" t="n">
        <v>0</v>
      </c>
      <c r="BK223" s="105" t="n">
        <v>0</v>
      </c>
      <c r="BL223" s="105" t="n">
        <v>0</v>
      </c>
      <c r="BM223" s="105" t="n">
        <v>0</v>
      </c>
      <c r="BN223" s="105" t="n">
        <v>0</v>
      </c>
      <c r="BO223" s="105" t="n">
        <v>0</v>
      </c>
      <c r="BP223" s="105" t="n">
        <v>0</v>
      </c>
      <c r="BQ223" s="105" t="n">
        <v>0</v>
      </c>
      <c r="BR223" s="106" t="n">
        <f aca="false">SUM(AP223:BQ223)/60</f>
        <v>0</v>
      </c>
      <c r="BS223" s="106" t="n">
        <f aca="false">SUM(AP223:BR223)/60</f>
        <v>0</v>
      </c>
      <c r="BT223" s="107"/>
      <c r="BU223" s="107"/>
      <c r="BV223" s="107"/>
      <c r="BW223" s="107"/>
      <c r="BX223" s="107"/>
      <c r="BY223" s="107"/>
      <c r="BZ223" s="107"/>
      <c r="CA223" s="107"/>
      <c r="CB223" s="107"/>
      <c r="CC223" s="107"/>
      <c r="CD223" s="107"/>
      <c r="CE223" s="107"/>
      <c r="CF223" s="107"/>
      <c r="CG223" s="107"/>
      <c r="CH223" s="107"/>
      <c r="CI223" s="107"/>
      <c r="CJ223" s="107"/>
      <c r="CK223" s="107"/>
      <c r="CL223" s="107"/>
      <c r="CM223" s="107"/>
      <c r="CN223" s="107"/>
      <c r="CO223" s="107"/>
      <c r="CP223" s="107"/>
      <c r="CQ223" s="107"/>
      <c r="CR223" s="107"/>
      <c r="CS223" s="107"/>
      <c r="CT223" s="107"/>
      <c r="CU223" s="107"/>
      <c r="CV223" s="107"/>
    </row>
    <row r="224" customFormat="false" ht="14.9" hidden="true" customHeight="false" outlineLevel="0" collapsed="false">
      <c r="A224" s="74" t="n">
        <f aca="false">MONTH(B224)</f>
        <v>8</v>
      </c>
      <c r="B224" s="75" t="n">
        <v>44428</v>
      </c>
      <c r="C224" s="128" t="s">
        <v>63</v>
      </c>
      <c r="D224" s="77" t="str">
        <f aca="false">IFERROR(VLOOKUP(E:E,'Item Data Support Sheet'!A:O,7,0),"")</f>
        <v>NIPPLE PUNCH INSPECTED</v>
      </c>
      <c r="E224" s="80" t="s">
        <v>297</v>
      </c>
      <c r="F224" s="122"/>
      <c r="G224" s="77"/>
      <c r="H224" s="79" t="str">
        <f aca="false">IFERROR(VLOOKUP(E:E,'Item Data Support Sheet'!A:O,2,0),"")</f>
        <v>NIPPLE S TYPE S SIZE PUNCHED INSPECTED</v>
      </c>
      <c r="I224" s="80" t="s">
        <v>515</v>
      </c>
      <c r="J224" s="80" t="s">
        <v>158</v>
      </c>
      <c r="K224" s="81" t="n">
        <v>8.5</v>
      </c>
      <c r="L224" s="124" t="n">
        <v>7036</v>
      </c>
      <c r="M224" s="83" t="n">
        <f aca="false">IFERROR(L224/K224,0)</f>
        <v>827.764705882353</v>
      </c>
      <c r="N224" s="84" t="n">
        <f aca="false">+O224+Q224+T224+U224</f>
        <v>7300</v>
      </c>
      <c r="O224" s="85" t="n">
        <v>7262</v>
      </c>
      <c r="P224" s="86" t="n">
        <v>0</v>
      </c>
      <c r="Q224" s="86" t="n">
        <v>0</v>
      </c>
      <c r="R224" s="132" t="n">
        <v>0</v>
      </c>
      <c r="S224" s="128" t="n">
        <v>0</v>
      </c>
      <c r="T224" s="132" t="n">
        <v>38</v>
      </c>
      <c r="U224" s="128" t="n">
        <v>0</v>
      </c>
      <c r="V224" s="128" t="n">
        <v>1</v>
      </c>
      <c r="W224" s="90" t="n">
        <f aca="false">IFERROR(O224/V224,0)</f>
        <v>7262</v>
      </c>
      <c r="X224" s="91" t="n">
        <f aca="false">O224/L224</f>
        <v>1.03212052302445</v>
      </c>
      <c r="Y224" s="92" t="str">
        <f aca="false">IFERROR(VLOOKUP(E:E,'Item Data Support Sheet'!A:J,6,0),0)</f>
        <v>FO104</v>
      </c>
      <c r="Z224" s="93" t="n">
        <f aca="false">IFERROR(VLOOKUP(E:E,'Item Data Support Sheet'!A:O,4,0),0)</f>
        <v>0</v>
      </c>
      <c r="AA224" s="93" t="n">
        <f aca="false">IFERROR(((N224)*(Z224/1000))+P224,0)</f>
        <v>0</v>
      </c>
      <c r="AB224" s="94" t="str">
        <f aca="false">IFERROR((O224*(Z224/1000)/(AA224))," ")</f>
        <v> </v>
      </c>
      <c r="AC224" s="95" t="n">
        <f aca="false">IFERROR((T224)/((T224)+O224),0)</f>
        <v>0.00520547945205479</v>
      </c>
      <c r="AD224" s="96" t="n">
        <f aca="false">IFERROR(Q224/(Q224+N224),0)</f>
        <v>0</v>
      </c>
      <c r="AE224" s="91" t="n">
        <f aca="false">(N224-T224)/N224</f>
        <v>0.994794520547945</v>
      </c>
      <c r="AF224" s="97" t="n">
        <f aca="false">BR224</f>
        <v>0.833333333333333</v>
      </c>
      <c r="AG224" s="98" t="n">
        <f aca="false">K224-AF224</f>
        <v>7.66666666666667</v>
      </c>
      <c r="AH224" s="99" t="n">
        <f aca="false">IFERROR(AG224/K224," ")</f>
        <v>0.901960784313726</v>
      </c>
      <c r="AI224" s="100" t="n">
        <f aca="false">IFERROR(O224/K224,0)</f>
        <v>854.352941176471</v>
      </c>
      <c r="AJ224" s="101" t="n">
        <f aca="false">VLOOKUP(D224,'Standard Cycle time'!C:D,2,0)</f>
        <v>4</v>
      </c>
      <c r="AK224" s="101" t="n">
        <f aca="false">AG224*V224*3600/O224</f>
        <v>3.8006058936932</v>
      </c>
      <c r="AL224" s="102" t="n">
        <f aca="false">AJ224/AK224</f>
        <v>1.05246376811594</v>
      </c>
      <c r="AM224" s="99" t="n">
        <f aca="false">AE224*AL224*AH224</f>
        <v>0.944339582773749</v>
      </c>
      <c r="AN224" s="103" t="s">
        <v>559</v>
      </c>
      <c r="AO224" s="109"/>
      <c r="AP224" s="105" t="n">
        <v>50</v>
      </c>
      <c r="AQ224" s="105" t="n">
        <v>0</v>
      </c>
      <c r="AR224" s="105" t="n">
        <v>0</v>
      </c>
      <c r="AS224" s="105" t="n">
        <v>0</v>
      </c>
      <c r="AT224" s="105" t="n">
        <v>0</v>
      </c>
      <c r="AU224" s="105" t="n">
        <v>0</v>
      </c>
      <c r="AV224" s="105" t="n">
        <v>0</v>
      </c>
      <c r="AW224" s="105" t="n">
        <v>0</v>
      </c>
      <c r="AX224" s="105" t="n">
        <v>0</v>
      </c>
      <c r="AY224" s="105" t="n">
        <v>0</v>
      </c>
      <c r="AZ224" s="105" t="n">
        <v>0</v>
      </c>
      <c r="BA224" s="105" t="n">
        <v>0</v>
      </c>
      <c r="BB224" s="105" t="n">
        <v>0</v>
      </c>
      <c r="BC224" s="105" t="n">
        <v>0</v>
      </c>
      <c r="BD224" s="105" t="n">
        <v>0</v>
      </c>
      <c r="BE224" s="105" t="n">
        <v>0</v>
      </c>
      <c r="BF224" s="105" t="n">
        <v>0</v>
      </c>
      <c r="BG224" s="105" t="n">
        <v>0</v>
      </c>
      <c r="BH224" s="105" t="n">
        <v>0</v>
      </c>
      <c r="BI224" s="105" t="n">
        <v>0</v>
      </c>
      <c r="BJ224" s="105" t="n">
        <v>0</v>
      </c>
      <c r="BK224" s="105" t="n">
        <v>0</v>
      </c>
      <c r="BL224" s="105" t="n">
        <v>0</v>
      </c>
      <c r="BM224" s="105" t="n">
        <v>0</v>
      </c>
      <c r="BN224" s="105" t="n">
        <v>0</v>
      </c>
      <c r="BO224" s="105" t="n">
        <v>0</v>
      </c>
      <c r="BP224" s="105" t="n">
        <v>0</v>
      </c>
      <c r="BQ224" s="105" t="n">
        <v>0</v>
      </c>
      <c r="BR224" s="106" t="n">
        <f aca="false">SUM(AP224:BQ224)/60</f>
        <v>0.833333333333333</v>
      </c>
      <c r="BS224" s="106" t="n">
        <f aca="false">SUM(AP224:BR224)/60</f>
        <v>0.847222222222222</v>
      </c>
      <c r="BT224" s="107"/>
      <c r="BU224" s="107"/>
      <c r="BV224" s="107"/>
      <c r="BW224" s="107"/>
      <c r="BX224" s="107"/>
      <c r="BY224" s="107"/>
      <c r="BZ224" s="107"/>
      <c r="CA224" s="107"/>
      <c r="CB224" s="107"/>
      <c r="CC224" s="107"/>
      <c r="CD224" s="107"/>
      <c r="CE224" s="107"/>
      <c r="CF224" s="107"/>
      <c r="CG224" s="107"/>
      <c r="CH224" s="107"/>
      <c r="CI224" s="107"/>
      <c r="CJ224" s="107"/>
      <c r="CK224" s="107"/>
      <c r="CL224" s="107"/>
      <c r="CM224" s="107"/>
      <c r="CN224" s="107"/>
      <c r="CO224" s="107"/>
      <c r="CP224" s="107"/>
      <c r="CQ224" s="107"/>
      <c r="CR224" s="107"/>
      <c r="CS224" s="107"/>
      <c r="CT224" s="107"/>
      <c r="CU224" s="107"/>
      <c r="CV224" s="107"/>
    </row>
    <row r="225" customFormat="false" ht="14.9" hidden="true" customHeight="false" outlineLevel="0" collapsed="false">
      <c r="A225" s="74" t="n">
        <f aca="false">MONTH(B225)</f>
        <v>8</v>
      </c>
      <c r="B225" s="75" t="n">
        <v>44428</v>
      </c>
      <c r="C225" s="128" t="s">
        <v>70</v>
      </c>
      <c r="D225" s="77" t="str">
        <f aca="false">IFERROR(VLOOKUP(E:E,'Item Data Support Sheet'!A:O,7,0),"")</f>
        <v>BOTTLE MOLDED</v>
      </c>
      <c r="E225" s="80" t="s">
        <v>69</v>
      </c>
      <c r="F225" s="122" t="s">
        <v>73</v>
      </c>
      <c r="G225" s="77" t="s">
        <v>74</v>
      </c>
      <c r="H225" s="79" t="str">
        <f aca="false">IFERROR(VLOOKUP(E:E,'Item Data Support Sheet'!A:O,2,0),"")</f>
        <v>KPP 240 ML BOTTLE MOLDED</v>
      </c>
      <c r="I225" s="80" t="s">
        <v>560</v>
      </c>
      <c r="J225" s="80" t="s">
        <v>140</v>
      </c>
      <c r="K225" s="81" t="n">
        <v>8</v>
      </c>
      <c r="L225" s="124" t="n">
        <v>2574</v>
      </c>
      <c r="M225" s="83" t="n">
        <f aca="false">IFERROR(L225/K225,0)</f>
        <v>321.75</v>
      </c>
      <c r="N225" s="84" t="n">
        <f aca="false">+O225+Q225+T225+U225</f>
        <v>3227</v>
      </c>
      <c r="O225" s="85" t="n">
        <f aca="false">29*108</f>
        <v>3132</v>
      </c>
      <c r="P225" s="86" t="n">
        <v>0.35</v>
      </c>
      <c r="Q225" s="86" t="n">
        <v>24</v>
      </c>
      <c r="R225" s="132" t="n">
        <v>0</v>
      </c>
      <c r="S225" s="128" t="n">
        <v>0</v>
      </c>
      <c r="T225" s="132" t="n">
        <f aca="false">95-24</f>
        <v>71</v>
      </c>
      <c r="U225" s="128" t="n">
        <v>0</v>
      </c>
      <c r="V225" s="128" t="n">
        <v>1</v>
      </c>
      <c r="W225" s="90" t="n">
        <f aca="false">IFERROR(O225/V225,0)</f>
        <v>3132</v>
      </c>
      <c r="X225" s="91" t="n">
        <f aca="false">O225/L225</f>
        <v>1.21678321678322</v>
      </c>
      <c r="Y225" s="92" t="str">
        <f aca="false">IFERROR(VLOOKUP(E:E,'Item Data Support Sheet'!A:J,6,0),0)</f>
        <v>HMC</v>
      </c>
      <c r="Z225" s="93" t="n">
        <f aca="false">IFERROR(VLOOKUP(E:E,'Item Data Support Sheet'!A:O,4,0),0)</f>
        <v>32.1</v>
      </c>
      <c r="AA225" s="93" t="n">
        <f aca="false">IFERROR(((N225)*(Z225/1000))+P225,0)</f>
        <v>103.9367</v>
      </c>
      <c r="AB225" s="94" t="n">
        <f aca="false">IFERROR((O225*(Z225/1000)/(AA225))," ")</f>
        <v>0.967292592510634</v>
      </c>
      <c r="AC225" s="95" t="n">
        <f aca="false">IFERROR((T225)/((T225)+O225),0)</f>
        <v>0.0221667187012176</v>
      </c>
      <c r="AD225" s="96" t="n">
        <f aca="false">IFERROR(Q225/(Q225+N225),0)</f>
        <v>0.0073823438941864</v>
      </c>
      <c r="AE225" s="91" t="n">
        <f aca="false">(N225-T225)/N225</f>
        <v>0.977998140687945</v>
      </c>
      <c r="AF225" s="97" t="n">
        <f aca="false">BR225</f>
        <v>0</v>
      </c>
      <c r="AG225" s="98" t="n">
        <f aca="false">K225-AF225</f>
        <v>8</v>
      </c>
      <c r="AH225" s="99" t="n">
        <f aca="false">IFERROR(AG225/K225," ")</f>
        <v>1</v>
      </c>
      <c r="AI225" s="100" t="n">
        <f aca="false">IFERROR(O225/K225,0)</f>
        <v>391.5</v>
      </c>
      <c r="AJ225" s="101" t="n">
        <f aca="false">VLOOKUP(D225,'Standard Cycle time'!C:D,2,0)</f>
        <v>9</v>
      </c>
      <c r="AK225" s="101" t="n">
        <f aca="false">AG225*V225*3600/O225</f>
        <v>9.19540229885057</v>
      </c>
      <c r="AL225" s="102" t="n">
        <f aca="false">AJ225/AK225</f>
        <v>0.97875</v>
      </c>
      <c r="AM225" s="99" t="n">
        <f aca="false">AE225*AL225*AH225</f>
        <v>0.957215680198327</v>
      </c>
      <c r="AN225" s="103" t="n">
        <v>2594</v>
      </c>
      <c r="AO225" s="104"/>
      <c r="AP225" s="105" t="n">
        <v>0</v>
      </c>
      <c r="AQ225" s="105" t="n">
        <v>0</v>
      </c>
      <c r="AR225" s="105" t="n">
        <v>0</v>
      </c>
      <c r="AS225" s="105" t="n">
        <v>0</v>
      </c>
      <c r="AT225" s="105" t="n">
        <v>0</v>
      </c>
      <c r="AU225" s="105" t="n">
        <v>0</v>
      </c>
      <c r="AV225" s="105" t="n">
        <v>0</v>
      </c>
      <c r="AW225" s="105" t="n">
        <v>0</v>
      </c>
      <c r="AX225" s="105" t="n">
        <v>0</v>
      </c>
      <c r="AY225" s="105" t="n">
        <v>0</v>
      </c>
      <c r="AZ225" s="105" t="n">
        <v>0</v>
      </c>
      <c r="BA225" s="105" t="n">
        <v>0</v>
      </c>
      <c r="BB225" s="105" t="n">
        <v>0</v>
      </c>
      <c r="BC225" s="105" t="n">
        <v>0</v>
      </c>
      <c r="BD225" s="105" t="n">
        <v>0</v>
      </c>
      <c r="BE225" s="105" t="n">
        <v>0</v>
      </c>
      <c r="BF225" s="105" t="n">
        <v>0</v>
      </c>
      <c r="BG225" s="105" t="n">
        <v>0</v>
      </c>
      <c r="BH225" s="105" t="n">
        <v>0</v>
      </c>
      <c r="BI225" s="105" t="n">
        <v>0</v>
      </c>
      <c r="BJ225" s="105" t="n">
        <v>0</v>
      </c>
      <c r="BK225" s="105" t="n">
        <v>0</v>
      </c>
      <c r="BL225" s="105" t="n">
        <v>0</v>
      </c>
      <c r="BM225" s="105" t="n">
        <v>0</v>
      </c>
      <c r="BN225" s="105" t="n">
        <v>0</v>
      </c>
      <c r="BO225" s="105" t="n">
        <v>0</v>
      </c>
      <c r="BP225" s="105" t="n">
        <v>0</v>
      </c>
      <c r="BQ225" s="105" t="n">
        <v>0</v>
      </c>
      <c r="BR225" s="106" t="n">
        <f aca="false">SUM(AP225:BQ225)/60</f>
        <v>0</v>
      </c>
      <c r="BS225" s="106" t="n">
        <f aca="false">SUM(AP225:BR225)/60</f>
        <v>0</v>
      </c>
      <c r="BT225" s="107"/>
      <c r="BU225" s="107"/>
      <c r="BV225" s="107"/>
      <c r="BW225" s="107"/>
      <c r="BX225" s="107"/>
      <c r="BY225" s="107"/>
      <c r="BZ225" s="107"/>
      <c r="CA225" s="107"/>
      <c r="CB225" s="107"/>
      <c r="CC225" s="107"/>
      <c r="CD225" s="107"/>
      <c r="CE225" s="107"/>
      <c r="CF225" s="107"/>
      <c r="CG225" s="107"/>
      <c r="CH225" s="107"/>
      <c r="CI225" s="107"/>
      <c r="CJ225" s="107"/>
      <c r="CK225" s="107"/>
      <c r="CL225" s="107"/>
      <c r="CM225" s="107"/>
      <c r="CN225" s="107"/>
      <c r="CO225" s="107"/>
      <c r="CP225" s="107"/>
      <c r="CQ225" s="107"/>
      <c r="CR225" s="107"/>
      <c r="CS225" s="107"/>
      <c r="CT225" s="107"/>
      <c r="CU225" s="107"/>
      <c r="CV225" s="107"/>
    </row>
    <row r="226" customFormat="false" ht="14.9" hidden="true" customHeight="false" outlineLevel="0" collapsed="false">
      <c r="A226" s="74" t="n">
        <f aca="false">MONTH(B226)</f>
        <v>8</v>
      </c>
      <c r="B226" s="75" t="n">
        <v>44428</v>
      </c>
      <c r="C226" s="128" t="s">
        <v>70</v>
      </c>
      <c r="D226" s="77" t="str">
        <f aca="false">IFERROR(VLOOKUP(E:E,'Item Data Support Sheet'!A:O,7,0),"")</f>
        <v>NIPPLE PUNCH</v>
      </c>
      <c r="E226" s="80" t="s">
        <v>53</v>
      </c>
      <c r="F226" s="122"/>
      <c r="G226" s="77" t="s">
        <v>54</v>
      </c>
      <c r="H226" s="79" t="str">
        <f aca="false">IFERROR(VLOOKUP(E:E,'Item Data Support Sheet'!A:O,2,0),"")</f>
        <v>NIPPLE S TYPE S SIZE PUNCHED</v>
      </c>
      <c r="I226" s="80" t="s">
        <v>561</v>
      </c>
      <c r="J226" s="80" t="s">
        <v>140</v>
      </c>
      <c r="K226" s="81" t="n">
        <v>5</v>
      </c>
      <c r="L226" s="124" t="n">
        <v>4500</v>
      </c>
      <c r="M226" s="83" t="n">
        <f aca="false">IFERROR(L226/K226,0)</f>
        <v>900</v>
      </c>
      <c r="N226" s="84" t="n">
        <f aca="false">+O226+Q226+T226+U226</f>
        <v>3950</v>
      </c>
      <c r="O226" s="85" t="n">
        <v>3950</v>
      </c>
      <c r="P226" s="86" t="n">
        <v>0</v>
      </c>
      <c r="Q226" s="86" t="n">
        <v>0</v>
      </c>
      <c r="R226" s="132" t="n">
        <v>0</v>
      </c>
      <c r="S226" s="128" t="n">
        <v>0</v>
      </c>
      <c r="T226" s="132" t="n">
        <v>0</v>
      </c>
      <c r="U226" s="128" t="n">
        <v>0</v>
      </c>
      <c r="V226" s="128" t="n">
        <v>1</v>
      </c>
      <c r="W226" s="90" t="n">
        <f aca="false">IFERROR(O226/V226,0)</f>
        <v>3950</v>
      </c>
      <c r="X226" s="91" t="n">
        <f aca="false">O226/L226</f>
        <v>0.877777777777778</v>
      </c>
      <c r="Y226" s="92" t="str">
        <f aca="false">IFERROR(VLOOKUP(E:E,'Item Data Support Sheet'!A:J,6,0),0)</f>
        <v>FO015</v>
      </c>
      <c r="Z226" s="93" t="n">
        <f aca="false">IFERROR(VLOOKUP(E:E,'Item Data Support Sheet'!A:O,4,0),0)</f>
        <v>0</v>
      </c>
      <c r="AA226" s="93" t="n">
        <f aca="false">IFERROR(((N226)*(Z226/1000))+P226,0)</f>
        <v>0</v>
      </c>
      <c r="AB226" s="94" t="str">
        <f aca="false">IFERROR((O226*(Z226/1000)/(AA226))," ")</f>
        <v> </v>
      </c>
      <c r="AC226" s="95" t="n">
        <f aca="false">IFERROR((T226)/((T226)+O226),0)</f>
        <v>0</v>
      </c>
      <c r="AD226" s="96" t="n">
        <f aca="false">IFERROR(Q226/(Q226+N226),0)</f>
        <v>0</v>
      </c>
      <c r="AE226" s="91" t="n">
        <f aca="false">(N226-T226)/N226</f>
        <v>1</v>
      </c>
      <c r="AF226" s="97" t="n">
        <f aca="false">BR226</f>
        <v>0</v>
      </c>
      <c r="AG226" s="98" t="n">
        <f aca="false">K226-AF226</f>
        <v>5</v>
      </c>
      <c r="AH226" s="99" t="n">
        <f aca="false">IFERROR(AG226/K226," ")</f>
        <v>1</v>
      </c>
      <c r="AI226" s="100" t="n">
        <f aca="false">IFERROR(O226/K226,0)</f>
        <v>790</v>
      </c>
      <c r="AJ226" s="101" t="n">
        <f aca="false">VLOOKUP(D226,'Standard Cycle time'!C:D,2,0)</f>
        <v>3.5</v>
      </c>
      <c r="AK226" s="101" t="n">
        <f aca="false">AG226*V226*3600/O226</f>
        <v>4.55696202531646</v>
      </c>
      <c r="AL226" s="102" t="n">
        <f aca="false">AJ226/AK226</f>
        <v>0.768055555555555</v>
      </c>
      <c r="AM226" s="99" t="n">
        <f aca="false">AE226*AL226*AH226</f>
        <v>0.768055555555555</v>
      </c>
      <c r="AN226" s="103" t="n">
        <v>2601</v>
      </c>
      <c r="AO226" s="109" t="s">
        <v>562</v>
      </c>
      <c r="AP226" s="105" t="n">
        <v>0</v>
      </c>
      <c r="AQ226" s="105" t="n">
        <v>0</v>
      </c>
      <c r="AR226" s="105" t="n">
        <v>0</v>
      </c>
      <c r="AS226" s="105" t="n">
        <v>0</v>
      </c>
      <c r="AT226" s="105" t="n">
        <v>0</v>
      </c>
      <c r="AU226" s="105" t="n">
        <v>0</v>
      </c>
      <c r="AV226" s="105" t="n">
        <v>0</v>
      </c>
      <c r="AW226" s="105" t="n">
        <v>0</v>
      </c>
      <c r="AX226" s="105" t="n">
        <v>0</v>
      </c>
      <c r="AY226" s="105" t="n">
        <v>0</v>
      </c>
      <c r="AZ226" s="105" t="n">
        <v>0</v>
      </c>
      <c r="BA226" s="105" t="n">
        <v>0</v>
      </c>
      <c r="BB226" s="105" t="n">
        <v>0</v>
      </c>
      <c r="BC226" s="105" t="n">
        <v>0</v>
      </c>
      <c r="BD226" s="105" t="n">
        <v>0</v>
      </c>
      <c r="BE226" s="105" t="n">
        <v>0</v>
      </c>
      <c r="BF226" s="105" t="n">
        <v>0</v>
      </c>
      <c r="BG226" s="105" t="n">
        <v>0</v>
      </c>
      <c r="BH226" s="105" t="n">
        <v>0</v>
      </c>
      <c r="BI226" s="105" t="n">
        <v>0</v>
      </c>
      <c r="BJ226" s="105" t="n">
        <v>0</v>
      </c>
      <c r="BK226" s="105" t="n">
        <v>0</v>
      </c>
      <c r="BL226" s="105" t="n">
        <v>0</v>
      </c>
      <c r="BM226" s="105" t="n">
        <v>0</v>
      </c>
      <c r="BN226" s="105" t="n">
        <v>0</v>
      </c>
      <c r="BO226" s="105" t="n">
        <v>0</v>
      </c>
      <c r="BP226" s="105" t="n">
        <v>0</v>
      </c>
      <c r="BQ226" s="105" t="n">
        <v>0</v>
      </c>
      <c r="BR226" s="106" t="n">
        <f aca="false">SUM(AP226:BQ226)/60</f>
        <v>0</v>
      </c>
      <c r="BS226" s="106" t="n">
        <f aca="false">SUM(AP226:BR226)/60</f>
        <v>0</v>
      </c>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row>
    <row r="227" customFormat="false" ht="14.9" hidden="true" customHeight="false" outlineLevel="0" collapsed="false">
      <c r="A227" s="74" t="n">
        <f aca="false">MONTH(B227)</f>
        <v>8</v>
      </c>
      <c r="B227" s="75" t="n">
        <v>44428</v>
      </c>
      <c r="C227" s="128" t="s">
        <v>70</v>
      </c>
      <c r="D227" s="77" t="str">
        <f aca="false">IFERROR(VLOOKUP(E:E,'Item Data Support Sheet'!A:O,7,0),"")</f>
        <v>NIPPLE PUNCH</v>
      </c>
      <c r="E227" s="80" t="s">
        <v>563</v>
      </c>
      <c r="F227" s="122"/>
      <c r="G227" s="77" t="s">
        <v>54</v>
      </c>
      <c r="H227" s="79" t="str">
        <f aca="false">IFERROR(VLOOKUP(E:E,'Item Data Support Sheet'!A:O,2,0),"")</f>
        <v>NIPPLE S TYPE LL SIZE PUNCHED</v>
      </c>
      <c r="I227" s="80" t="s">
        <v>520</v>
      </c>
      <c r="J227" s="80" t="s">
        <v>140</v>
      </c>
      <c r="K227" s="81" t="n">
        <v>3</v>
      </c>
      <c r="L227" s="124" t="n">
        <f aca="false">7000-4500</f>
        <v>2500</v>
      </c>
      <c r="M227" s="83" t="n">
        <f aca="false">IFERROR(L227/K227,0)</f>
        <v>833.333333333333</v>
      </c>
      <c r="N227" s="84" t="n">
        <f aca="false">+O227+Q227+T227+U227</f>
        <v>2000</v>
      </c>
      <c r="O227" s="85" t="n">
        <v>2000</v>
      </c>
      <c r="P227" s="86" t="n">
        <v>0</v>
      </c>
      <c r="Q227" s="86" t="n">
        <v>0</v>
      </c>
      <c r="R227" s="132" t="n">
        <v>0</v>
      </c>
      <c r="S227" s="128" t="n">
        <v>0</v>
      </c>
      <c r="T227" s="132" t="n">
        <v>0</v>
      </c>
      <c r="U227" s="128" t="n">
        <v>0</v>
      </c>
      <c r="V227" s="128" t="n">
        <v>1</v>
      </c>
      <c r="W227" s="90" t="n">
        <f aca="false">IFERROR(O227/V227,0)</f>
        <v>2000</v>
      </c>
      <c r="X227" s="91" t="n">
        <f aca="false">O227/L227</f>
        <v>0.8</v>
      </c>
      <c r="Y227" s="92" t="str">
        <f aca="false">IFERROR(VLOOKUP(E:E,'Item Data Support Sheet'!A:J,6,0),0)</f>
        <v>FO150</v>
      </c>
      <c r="Z227" s="93" t="n">
        <f aca="false">IFERROR(VLOOKUP(E:E,'Item Data Support Sheet'!A:O,4,0),0)</f>
        <v>0</v>
      </c>
      <c r="AA227" s="93" t="n">
        <f aca="false">IFERROR(((N227)*(Z227/1000))+P227,0)</f>
        <v>0</v>
      </c>
      <c r="AB227" s="94" t="str">
        <f aca="false">IFERROR((O227*(Z227/1000)/(AA227))," ")</f>
        <v> </v>
      </c>
      <c r="AC227" s="95" t="n">
        <f aca="false">IFERROR((T227)/((T227)+O227),0)</f>
        <v>0</v>
      </c>
      <c r="AD227" s="96" t="n">
        <f aca="false">IFERROR(Q227/(Q227+N227),0)</f>
        <v>0</v>
      </c>
      <c r="AE227" s="91" t="n">
        <f aca="false">(N227-T227)/N227</f>
        <v>1</v>
      </c>
      <c r="AF227" s="97" t="n">
        <f aca="false">BR227</f>
        <v>1.16666666666667</v>
      </c>
      <c r="AG227" s="98" t="n">
        <f aca="false">K227-AF227</f>
        <v>1.83333333333333</v>
      </c>
      <c r="AH227" s="99" t="n">
        <f aca="false">IFERROR(AG227/K227," ")</f>
        <v>0.611111111111111</v>
      </c>
      <c r="AI227" s="100" t="n">
        <f aca="false">IFERROR(O227/K227,0)</f>
        <v>666.666666666667</v>
      </c>
      <c r="AJ227" s="101" t="n">
        <f aca="false">VLOOKUP(D227,'Standard Cycle time'!C:D,2,0)</f>
        <v>3.5</v>
      </c>
      <c r="AK227" s="101" t="n">
        <f aca="false">AG227*V227*3600/O227</f>
        <v>3.3</v>
      </c>
      <c r="AL227" s="102" t="n">
        <f aca="false">AJ227/AK227</f>
        <v>1.06060606060606</v>
      </c>
      <c r="AM227" s="99" t="n">
        <f aca="false">AE227*AL227*AH227</f>
        <v>0.648148148148148</v>
      </c>
      <c r="AN227" s="103" t="n">
        <v>2602</v>
      </c>
      <c r="AO227" s="109"/>
      <c r="AP227" s="105" t="n">
        <v>40</v>
      </c>
      <c r="AQ227" s="105" t="n">
        <v>0</v>
      </c>
      <c r="AR227" s="105" t="n">
        <v>0</v>
      </c>
      <c r="AS227" s="105" t="n">
        <v>0</v>
      </c>
      <c r="AT227" s="105" t="n">
        <v>0</v>
      </c>
      <c r="AU227" s="105" t="n">
        <v>0</v>
      </c>
      <c r="AV227" s="105" t="n">
        <v>0</v>
      </c>
      <c r="AW227" s="105" t="n">
        <v>0</v>
      </c>
      <c r="AX227" s="105" t="n">
        <v>0</v>
      </c>
      <c r="AY227" s="105" t="n">
        <v>0</v>
      </c>
      <c r="AZ227" s="105" t="n">
        <v>0</v>
      </c>
      <c r="BA227" s="105" t="n">
        <v>0</v>
      </c>
      <c r="BB227" s="105" t="n">
        <v>0</v>
      </c>
      <c r="BC227" s="105" t="n">
        <v>0</v>
      </c>
      <c r="BD227" s="105" t="n">
        <v>0</v>
      </c>
      <c r="BE227" s="105" t="n">
        <v>0</v>
      </c>
      <c r="BF227" s="105" t="n">
        <v>30</v>
      </c>
      <c r="BG227" s="105" t="n">
        <v>0</v>
      </c>
      <c r="BH227" s="105" t="n">
        <v>0</v>
      </c>
      <c r="BI227" s="105" t="n">
        <v>0</v>
      </c>
      <c r="BJ227" s="105" t="n">
        <v>0</v>
      </c>
      <c r="BK227" s="105" t="n">
        <v>0</v>
      </c>
      <c r="BL227" s="105" t="n">
        <v>0</v>
      </c>
      <c r="BM227" s="105" t="n">
        <v>0</v>
      </c>
      <c r="BN227" s="105" t="n">
        <v>0</v>
      </c>
      <c r="BO227" s="105" t="n">
        <v>0</v>
      </c>
      <c r="BP227" s="105" t="n">
        <v>0</v>
      </c>
      <c r="BQ227" s="105" t="n">
        <v>0</v>
      </c>
      <c r="BR227" s="106" t="n">
        <f aca="false">SUM(AP227:BQ227)/60</f>
        <v>1.16666666666667</v>
      </c>
      <c r="BS227" s="106" t="n">
        <f aca="false">SUM(AP227:BR227)/60</f>
        <v>1.18611111111111</v>
      </c>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row>
    <row r="228" customFormat="false" ht="14.9" hidden="true" customHeight="false" outlineLevel="0" collapsed="false">
      <c r="A228" s="74" t="n">
        <f aca="false">MONTH(B228)</f>
        <v>8</v>
      </c>
      <c r="B228" s="75" t="n">
        <v>44428</v>
      </c>
      <c r="C228" s="128" t="s">
        <v>70</v>
      </c>
      <c r="D228" s="77" t="str">
        <f aca="false">IFERROR(VLOOKUP(E:E,'Item Data Support Sheet'!A:O,7,0),"")</f>
        <v>NIPPLE LASER MARKING</v>
      </c>
      <c r="E228" s="80" t="s">
        <v>444</v>
      </c>
      <c r="F228" s="122"/>
      <c r="G228" s="77" t="s">
        <v>517</v>
      </c>
      <c r="H228" s="79" t="str">
        <f aca="false">IFERROR(VLOOKUP(E:E,'Item Data Support Sheet'!A:O,2,0),"")</f>
        <v>NIPPLE S TYPE S SIZE PUNCHED LASER MARKED</v>
      </c>
      <c r="I228" s="80" t="s">
        <v>564</v>
      </c>
      <c r="J228" s="80" t="s">
        <v>140</v>
      </c>
      <c r="K228" s="81" t="n">
        <v>8</v>
      </c>
      <c r="L228" s="124" t="n">
        <v>7000</v>
      </c>
      <c r="M228" s="83" t="n">
        <f aca="false">IFERROR(L228/K228,0)</f>
        <v>875</v>
      </c>
      <c r="N228" s="84" t="n">
        <f aca="false">+O228+Q228+T228+U228</f>
        <v>7200</v>
      </c>
      <c r="O228" s="85" t="n">
        <v>7200</v>
      </c>
      <c r="P228" s="86" t="n">
        <v>0</v>
      </c>
      <c r="Q228" s="86" t="n">
        <v>0</v>
      </c>
      <c r="R228" s="132" t="n">
        <v>0</v>
      </c>
      <c r="S228" s="128" t="n">
        <v>0</v>
      </c>
      <c r="T228" s="132" t="n">
        <v>0</v>
      </c>
      <c r="U228" s="128" t="n">
        <v>0</v>
      </c>
      <c r="V228" s="128" t="n">
        <v>1</v>
      </c>
      <c r="W228" s="90" t="n">
        <f aca="false">IFERROR(O228/V228,0)</f>
        <v>7200</v>
      </c>
      <c r="X228" s="91" t="n">
        <f aca="false">O228/L228</f>
        <v>1.02857142857143</v>
      </c>
      <c r="Y228" s="92" t="str">
        <f aca="false">IFERROR(VLOOKUP(E:E,'Item Data Support Sheet'!A:J,6,0),0)</f>
        <v>FO019</v>
      </c>
      <c r="Z228" s="93" t="n">
        <f aca="false">IFERROR(VLOOKUP(E:E,'Item Data Support Sheet'!A:O,4,0),0)</f>
        <v>0</v>
      </c>
      <c r="AA228" s="93" t="n">
        <f aca="false">IFERROR(((N228)*(Z228/1000))+P228,0)</f>
        <v>0</v>
      </c>
      <c r="AB228" s="94" t="str">
        <f aca="false">IFERROR((O228*(Z228/1000)/(AA228))," ")</f>
        <v> </v>
      </c>
      <c r="AC228" s="95" t="n">
        <f aca="false">IFERROR((T228)/((T228)+O228),0)</f>
        <v>0</v>
      </c>
      <c r="AD228" s="96" t="n">
        <f aca="false">IFERROR(Q228/(Q228+N228),0)</f>
        <v>0</v>
      </c>
      <c r="AE228" s="91" t="n">
        <f aca="false">(N228-T228)/N228</f>
        <v>1</v>
      </c>
      <c r="AF228" s="97" t="n">
        <f aca="false">BR228</f>
        <v>0.666666666666667</v>
      </c>
      <c r="AG228" s="98" t="n">
        <f aca="false">K228-AF228</f>
        <v>7.33333333333333</v>
      </c>
      <c r="AH228" s="99" t="n">
        <f aca="false">IFERROR(AG228/K228," ")</f>
        <v>0.916666666666667</v>
      </c>
      <c r="AI228" s="100" t="n">
        <f aca="false">IFERROR(O228/K228,0)</f>
        <v>900</v>
      </c>
      <c r="AJ228" s="101" t="n">
        <f aca="false">VLOOKUP(D228,'Standard Cycle time'!C:D,2,0)</f>
        <v>3.5</v>
      </c>
      <c r="AK228" s="101" t="n">
        <f aca="false">AG228*V228*3600/O228</f>
        <v>3.66666666666667</v>
      </c>
      <c r="AL228" s="102" t="n">
        <f aca="false">AJ228/AK228</f>
        <v>0.954545454545455</v>
      </c>
      <c r="AM228" s="99" t="n">
        <f aca="false">AE228*AL228*AH228</f>
        <v>0.875</v>
      </c>
      <c r="AN228" s="103" t="s">
        <v>565</v>
      </c>
      <c r="AO228" s="109"/>
      <c r="AP228" s="105" t="n">
        <v>40</v>
      </c>
      <c r="AQ228" s="105" t="n">
        <v>0</v>
      </c>
      <c r="AR228" s="105" t="n">
        <v>0</v>
      </c>
      <c r="AS228" s="105" t="n">
        <v>0</v>
      </c>
      <c r="AT228" s="105" t="n">
        <v>0</v>
      </c>
      <c r="AU228" s="105" t="n">
        <v>0</v>
      </c>
      <c r="AV228" s="105" t="n">
        <v>0</v>
      </c>
      <c r="AW228" s="105" t="n">
        <v>0</v>
      </c>
      <c r="AX228" s="105" t="n">
        <v>0</v>
      </c>
      <c r="AY228" s="105" t="n">
        <v>0</v>
      </c>
      <c r="AZ228" s="105" t="n">
        <v>0</v>
      </c>
      <c r="BA228" s="105" t="n">
        <v>0</v>
      </c>
      <c r="BB228" s="105" t="n">
        <v>0</v>
      </c>
      <c r="BC228" s="105" t="n">
        <v>0</v>
      </c>
      <c r="BD228" s="105" t="n">
        <v>0</v>
      </c>
      <c r="BE228" s="105" t="n">
        <v>0</v>
      </c>
      <c r="BF228" s="105" t="n">
        <v>0</v>
      </c>
      <c r="BG228" s="105" t="n">
        <v>0</v>
      </c>
      <c r="BH228" s="105" t="n">
        <v>0</v>
      </c>
      <c r="BI228" s="105" t="n">
        <v>0</v>
      </c>
      <c r="BJ228" s="105" t="n">
        <v>0</v>
      </c>
      <c r="BK228" s="105" t="n">
        <v>0</v>
      </c>
      <c r="BL228" s="105" t="n">
        <v>0</v>
      </c>
      <c r="BM228" s="105" t="n">
        <v>0</v>
      </c>
      <c r="BN228" s="105" t="n">
        <v>0</v>
      </c>
      <c r="BO228" s="105" t="n">
        <v>0</v>
      </c>
      <c r="BP228" s="105" t="n">
        <v>0</v>
      </c>
      <c r="BQ228" s="105" t="n">
        <v>0</v>
      </c>
      <c r="BR228" s="106" t="n">
        <f aca="false">SUM(AP228:BQ228)/60</f>
        <v>0.666666666666667</v>
      </c>
      <c r="BS228" s="106" t="n">
        <f aca="false">SUM(AP228:BR228)/60</f>
        <v>0.677777777777778</v>
      </c>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row>
    <row r="229" customFormat="false" ht="14.9" hidden="true" customHeight="false" outlineLevel="0" collapsed="false">
      <c r="A229" s="74" t="n">
        <f aca="false">MONTH(B229)</f>
        <v>8</v>
      </c>
      <c r="B229" s="75" t="n">
        <v>44428</v>
      </c>
      <c r="C229" s="128" t="s">
        <v>70</v>
      </c>
      <c r="D229" s="77" t="str">
        <f aca="false">IFERROR(VLOOKUP(E:E,'Item Data Support Sheet'!A:O,7,0),"")</f>
        <v>HOOD MOLDED</v>
      </c>
      <c r="E229" s="80" t="s">
        <v>529</v>
      </c>
      <c r="F229" s="122"/>
      <c r="G229" s="77" t="s">
        <v>200</v>
      </c>
      <c r="H229" s="79" t="str">
        <f aca="false">IFERROR(VLOOKUP(E:E,'Item Data Support Sheet'!A:O,2,0),"")</f>
        <v>HOOD S TYPE MOLDED</v>
      </c>
      <c r="I229" s="80" t="s">
        <v>566</v>
      </c>
      <c r="J229" s="80" t="s">
        <v>140</v>
      </c>
      <c r="K229" s="81" t="n">
        <v>4</v>
      </c>
      <c r="L229" s="124" t="n">
        <v>4137</v>
      </c>
      <c r="M229" s="83" t="n">
        <f aca="false">IFERROR(L229/K229,0)</f>
        <v>1034.25</v>
      </c>
      <c r="N229" s="84" t="n">
        <f aca="false">+O229+Q229+T229+U229</f>
        <v>2402</v>
      </c>
      <c r="O229" s="85" t="n">
        <v>2330</v>
      </c>
      <c r="P229" s="86" t="n">
        <v>0</v>
      </c>
      <c r="Q229" s="86" t="n">
        <v>50</v>
      </c>
      <c r="R229" s="132" t="n">
        <v>0</v>
      </c>
      <c r="S229" s="128" t="n">
        <v>0</v>
      </c>
      <c r="T229" s="132" t="n">
        <v>22</v>
      </c>
      <c r="U229" s="128" t="n">
        <v>0</v>
      </c>
      <c r="V229" s="128" t="n">
        <v>1</v>
      </c>
      <c r="W229" s="90" t="n">
        <f aca="false">IFERROR(O229/V229,0)</f>
        <v>2330</v>
      </c>
      <c r="X229" s="91" t="n">
        <f aca="false">O229/L229</f>
        <v>0.563210055595842</v>
      </c>
      <c r="Y229" s="92" t="str">
        <f aca="false">IFERROR(VLOOKUP(E:E,'Item Data Support Sheet'!A:J,6,0),0)</f>
        <v>HMC</v>
      </c>
      <c r="Z229" s="93" t="n">
        <f aca="false">IFERROR(VLOOKUP(E:E,'Item Data Support Sheet'!A:O,4,0),0)</f>
        <v>8.6</v>
      </c>
      <c r="AA229" s="93" t="n">
        <f aca="false">IFERROR(((N229)*(Z229/1000))+P229,0)</f>
        <v>20.6572</v>
      </c>
      <c r="AB229" s="94" t="n">
        <f aca="false">IFERROR((O229*(Z229/1000)/(AA229))," ")</f>
        <v>0.970024979184013</v>
      </c>
      <c r="AC229" s="95" t="n">
        <f aca="false">IFERROR((T229)/((T229)+O229),0)</f>
        <v>0.00935374149659864</v>
      </c>
      <c r="AD229" s="96" t="n">
        <f aca="false">IFERROR(Q229/(Q229+N229),0)</f>
        <v>0.0203915171288744</v>
      </c>
      <c r="AE229" s="91" t="n">
        <f aca="false">(N229-T229)/N229</f>
        <v>0.990840965861782</v>
      </c>
      <c r="AF229" s="97" t="n">
        <f aca="false">BR229</f>
        <v>0</v>
      </c>
      <c r="AG229" s="98" t="n">
        <f aca="false">K229-AF229</f>
        <v>4</v>
      </c>
      <c r="AH229" s="99" t="n">
        <f aca="false">IFERROR(AG229/K229," ")</f>
        <v>1</v>
      </c>
      <c r="AI229" s="100" t="n">
        <f aca="false">IFERROR(O229/K229,0)</f>
        <v>582.5</v>
      </c>
      <c r="AJ229" s="101" t="n">
        <f aca="false">VLOOKUP(D229,'Standard Cycle time'!C:D,2,0)</f>
        <v>6</v>
      </c>
      <c r="AK229" s="101" t="n">
        <f aca="false">AG229*V229*3600/O229</f>
        <v>6.18025751072961</v>
      </c>
      <c r="AL229" s="102" t="n">
        <f aca="false">AJ229/AK229</f>
        <v>0.970833333333333</v>
      </c>
      <c r="AM229" s="99" t="n">
        <f aca="false">AE229*AL229*AH229</f>
        <v>0.961941437690813</v>
      </c>
      <c r="AN229" s="103" t="n">
        <v>2603</v>
      </c>
      <c r="AO229" s="109" t="s">
        <v>567</v>
      </c>
      <c r="AP229" s="105"/>
      <c r="AQ229" s="105" t="n">
        <v>0</v>
      </c>
      <c r="AR229" s="105" t="n">
        <v>0</v>
      </c>
      <c r="AS229" s="105" t="n">
        <v>0</v>
      </c>
      <c r="AT229" s="105" t="n">
        <v>0</v>
      </c>
      <c r="AU229" s="105" t="n">
        <v>0</v>
      </c>
      <c r="AV229" s="105" t="n">
        <v>0</v>
      </c>
      <c r="AW229" s="105" t="n">
        <v>0</v>
      </c>
      <c r="AX229" s="105" t="n">
        <v>0</v>
      </c>
      <c r="AY229" s="105" t="n">
        <v>0</v>
      </c>
      <c r="AZ229" s="105" t="n">
        <v>0</v>
      </c>
      <c r="BA229" s="105" t="n">
        <v>0</v>
      </c>
      <c r="BB229" s="105" t="n">
        <v>0</v>
      </c>
      <c r="BC229" s="105" t="n">
        <v>0</v>
      </c>
      <c r="BD229" s="105" t="n">
        <v>0</v>
      </c>
      <c r="BE229" s="105" t="n">
        <v>0</v>
      </c>
      <c r="BF229" s="105" t="n">
        <v>0</v>
      </c>
      <c r="BG229" s="105" t="n">
        <v>0</v>
      </c>
      <c r="BH229" s="105" t="n">
        <v>0</v>
      </c>
      <c r="BI229" s="105" t="n">
        <v>0</v>
      </c>
      <c r="BJ229" s="105" t="n">
        <v>0</v>
      </c>
      <c r="BK229" s="105" t="n">
        <v>0</v>
      </c>
      <c r="BL229" s="105" t="n">
        <v>0</v>
      </c>
      <c r="BM229" s="105" t="n">
        <v>0</v>
      </c>
      <c r="BN229" s="105" t="n">
        <v>0</v>
      </c>
      <c r="BO229" s="105" t="n">
        <v>0</v>
      </c>
      <c r="BP229" s="105" t="n">
        <v>0</v>
      </c>
      <c r="BQ229" s="105" t="n">
        <v>0</v>
      </c>
      <c r="BR229" s="106" t="n">
        <f aca="false">SUM(AP229:BQ229)/60</f>
        <v>0</v>
      </c>
      <c r="BS229" s="106" t="n">
        <f aca="false">SUM(AP229:BR229)/60</f>
        <v>0</v>
      </c>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row>
    <row r="230" customFormat="false" ht="14.9" hidden="true" customHeight="false" outlineLevel="0" collapsed="false">
      <c r="A230" s="74" t="n">
        <f aca="false">MONTH(B230)</f>
        <v>8</v>
      </c>
      <c r="B230" s="75" t="n">
        <v>44428</v>
      </c>
      <c r="C230" s="128" t="s">
        <v>70</v>
      </c>
      <c r="D230" s="77" t="str">
        <f aca="false">IFERROR(VLOOKUP(E:E,'Item Data Support Sheet'!A:O,7,0),"")</f>
        <v>NIPPLE POSTCURE</v>
      </c>
      <c r="E230" s="80" t="s">
        <v>519</v>
      </c>
      <c r="F230" s="122"/>
      <c r="G230" s="77" t="s">
        <v>149</v>
      </c>
      <c r="H230" s="79" t="str">
        <f aca="false">IFERROR(VLOOKUP(E:E,'Item Data Support Sheet'!A:O,2,0),"")</f>
        <v>NIPPLE S TYPE LL SIZE POSTCURED</v>
      </c>
      <c r="I230" s="80" t="s">
        <v>568</v>
      </c>
      <c r="J230" s="80" t="s">
        <v>140</v>
      </c>
      <c r="K230" s="81" t="n">
        <v>5</v>
      </c>
      <c r="L230" s="124" t="n">
        <v>7096</v>
      </c>
      <c r="M230" s="83" t="n">
        <f aca="false">IFERROR(L230/K230,0)</f>
        <v>1419.2</v>
      </c>
      <c r="N230" s="84" t="n">
        <f aca="false">+O230+Q230+T230+U230</f>
        <v>6600</v>
      </c>
      <c r="O230" s="85" t="n">
        <f aca="false">3000+3600</f>
        <v>6600</v>
      </c>
      <c r="P230" s="86" t="n">
        <v>0</v>
      </c>
      <c r="Q230" s="86" t="n">
        <v>0</v>
      </c>
      <c r="R230" s="132" t="n">
        <v>0</v>
      </c>
      <c r="S230" s="128" t="n">
        <v>0</v>
      </c>
      <c r="T230" s="132" t="n">
        <v>0</v>
      </c>
      <c r="U230" s="128" t="n">
        <v>0</v>
      </c>
      <c r="V230" s="128" t="n">
        <v>1</v>
      </c>
      <c r="W230" s="90" t="n">
        <f aca="false">IFERROR(O230/V230,0)</f>
        <v>6600</v>
      </c>
      <c r="X230" s="91" t="n">
        <f aca="false">O230/L230</f>
        <v>0.930101465614431</v>
      </c>
      <c r="Y230" s="92" t="str">
        <f aca="false">IFERROR(VLOOKUP(E:E,'Item Data Support Sheet'!A:J,6,0),0)</f>
        <v>FO149</v>
      </c>
      <c r="Z230" s="93" t="n">
        <f aca="false">IFERROR(VLOOKUP(E:E,'Item Data Support Sheet'!A:O,4,0),0)</f>
        <v>0</v>
      </c>
      <c r="AA230" s="93" t="n">
        <f aca="false">IFERROR(((N230)*(Z230/1000))+P230,0)</f>
        <v>0</v>
      </c>
      <c r="AB230" s="94" t="str">
        <f aca="false">IFERROR((O230*(Z230/1000)/(AA230))," ")</f>
        <v> </v>
      </c>
      <c r="AC230" s="95" t="n">
        <f aca="false">IFERROR((T230)/((T230)+O230),0)</f>
        <v>0</v>
      </c>
      <c r="AD230" s="96" t="n">
        <f aca="false">IFERROR(Q230/(Q230+N230),0)</f>
        <v>0</v>
      </c>
      <c r="AE230" s="91" t="n">
        <f aca="false">(N230-T230)/N230</f>
        <v>1</v>
      </c>
      <c r="AF230" s="97" t="n">
        <f aca="false">BR230</f>
        <v>0.666666666666667</v>
      </c>
      <c r="AG230" s="98" t="n">
        <f aca="false">K230-AF230</f>
        <v>4.33333333333333</v>
      </c>
      <c r="AH230" s="99" t="n">
        <f aca="false">IFERROR(AG230/K230," ")</f>
        <v>0.866666666666667</v>
      </c>
      <c r="AI230" s="100" t="n">
        <f aca="false">IFERROR(O230/K230,0)</f>
        <v>1320</v>
      </c>
      <c r="AJ230" s="101" t="n">
        <f aca="false">VLOOKUP(D230,'Standard Cycle time'!C:D,2,0)</f>
        <v>2.3</v>
      </c>
      <c r="AK230" s="101" t="n">
        <f aca="false">AG230*V230*3600/O230</f>
        <v>2.36363636363636</v>
      </c>
      <c r="AL230" s="102" t="n">
        <f aca="false">AJ230/AK230</f>
        <v>0.973076923076923</v>
      </c>
      <c r="AM230" s="99" t="n">
        <f aca="false">AE230*AL230*AH230</f>
        <v>0.843333333333333</v>
      </c>
      <c r="AN230" s="103" t="s">
        <v>569</v>
      </c>
      <c r="AO230" s="104"/>
      <c r="AP230" s="105" t="n">
        <v>40</v>
      </c>
      <c r="AQ230" s="105" t="n">
        <v>0</v>
      </c>
      <c r="AR230" s="105" t="n">
        <v>0</v>
      </c>
      <c r="AS230" s="105" t="n">
        <v>0</v>
      </c>
      <c r="AT230" s="105" t="n">
        <v>0</v>
      </c>
      <c r="AU230" s="105" t="n">
        <v>0</v>
      </c>
      <c r="AV230" s="105" t="n">
        <v>0</v>
      </c>
      <c r="AW230" s="105" t="n">
        <v>0</v>
      </c>
      <c r="AX230" s="105" t="n">
        <v>0</v>
      </c>
      <c r="AY230" s="105" t="n">
        <v>0</v>
      </c>
      <c r="AZ230" s="105" t="n">
        <v>0</v>
      </c>
      <c r="BA230" s="105" t="n">
        <v>0</v>
      </c>
      <c r="BB230" s="105" t="n">
        <v>0</v>
      </c>
      <c r="BC230" s="105" t="n">
        <v>0</v>
      </c>
      <c r="BD230" s="105" t="n">
        <v>0</v>
      </c>
      <c r="BE230" s="105" t="n">
        <v>0</v>
      </c>
      <c r="BF230" s="105" t="n">
        <v>0</v>
      </c>
      <c r="BG230" s="105" t="n">
        <v>0</v>
      </c>
      <c r="BH230" s="105" t="n">
        <v>0</v>
      </c>
      <c r="BI230" s="105" t="n">
        <v>0</v>
      </c>
      <c r="BJ230" s="105" t="n">
        <v>0</v>
      </c>
      <c r="BK230" s="105" t="n">
        <v>0</v>
      </c>
      <c r="BL230" s="105" t="n">
        <v>0</v>
      </c>
      <c r="BM230" s="105" t="n">
        <v>0</v>
      </c>
      <c r="BN230" s="105" t="n">
        <v>0</v>
      </c>
      <c r="BO230" s="105" t="n">
        <v>0</v>
      </c>
      <c r="BP230" s="105" t="n">
        <v>0</v>
      </c>
      <c r="BQ230" s="105" t="n">
        <v>0</v>
      </c>
      <c r="BR230" s="106" t="n">
        <f aca="false">SUM(AP230:BQ230)/60</f>
        <v>0.666666666666667</v>
      </c>
      <c r="BS230" s="106" t="n">
        <f aca="false">SUM(AP230:BR230)/60</f>
        <v>0.677777777777778</v>
      </c>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row>
    <row r="231" customFormat="false" ht="14.9" hidden="true" customHeight="false" outlineLevel="0" collapsed="false">
      <c r="A231" s="74" t="n">
        <f aca="false">MONTH(B231)</f>
        <v>8</v>
      </c>
      <c r="B231" s="75" t="n">
        <v>44428</v>
      </c>
      <c r="C231" s="128" t="s">
        <v>70</v>
      </c>
      <c r="D231" s="77" t="str">
        <f aca="false">IFERROR(VLOOKUP(E:E,'Item Data Support Sheet'!A:O,7,0),"")</f>
        <v>NIPPLE MOLDED</v>
      </c>
      <c r="E231" s="80" t="s">
        <v>492</v>
      </c>
      <c r="F231" s="122" t="s">
        <v>137</v>
      </c>
      <c r="G231" s="77" t="s">
        <v>138</v>
      </c>
      <c r="H231" s="79" t="str">
        <f aca="false">IFERROR(VLOOKUP(E:E,'Item Data Support Sheet'!A:O,2,0),"")</f>
        <v>NIPPLE S TYPE LL SIZE INJECTION</v>
      </c>
      <c r="I231" s="80" t="s">
        <v>570</v>
      </c>
      <c r="J231" s="80" t="s">
        <v>140</v>
      </c>
      <c r="K231" s="81" t="n">
        <v>8</v>
      </c>
      <c r="L231" s="124" t="n">
        <v>4815</v>
      </c>
      <c r="M231" s="83" t="n">
        <f aca="false">IFERROR(L231/K231,0)</f>
        <v>601.875</v>
      </c>
      <c r="N231" s="84" t="n">
        <f aca="false">+O231+Q231+T231+U231</f>
        <v>3450</v>
      </c>
      <c r="O231" s="85" t="n">
        <v>3300</v>
      </c>
      <c r="P231" s="86" t="n">
        <v>0</v>
      </c>
      <c r="Q231" s="86" t="n">
        <v>100</v>
      </c>
      <c r="R231" s="132" t="n">
        <v>0</v>
      </c>
      <c r="S231" s="128" t="n">
        <v>0</v>
      </c>
      <c r="T231" s="132" t="n">
        <v>50</v>
      </c>
      <c r="U231" s="128" t="n">
        <v>0</v>
      </c>
      <c r="V231" s="128" t="n">
        <v>1</v>
      </c>
      <c r="W231" s="90" t="n">
        <f aca="false">IFERROR(O231/V231,0)</f>
        <v>3300</v>
      </c>
      <c r="X231" s="91" t="n">
        <f aca="false">O231/L231</f>
        <v>0.685358255451713</v>
      </c>
      <c r="Y231" s="92" t="str">
        <f aca="false">IFERROR(VLOOKUP(E:E,'Item Data Support Sheet'!A:J,6,0),0)</f>
        <v>FO148</v>
      </c>
      <c r="Z231" s="93" t="n">
        <f aca="false">IFERROR(VLOOKUP(E:E,'Item Data Support Sheet'!A:O,4,0),0)</f>
        <v>6.8</v>
      </c>
      <c r="AA231" s="93" t="n">
        <f aca="false">IFERROR(((N231)*(Z231/1000))+P231,0)</f>
        <v>23.46</v>
      </c>
      <c r="AB231" s="94" t="n">
        <f aca="false">IFERROR((O231*(Z231/1000)/(AA231))," ")</f>
        <v>0.956521739130435</v>
      </c>
      <c r="AC231" s="95" t="n">
        <f aca="false">IFERROR((T231)/((T231)+O231),0)</f>
        <v>0.0149253731343284</v>
      </c>
      <c r="AD231" s="96" t="n">
        <f aca="false">IFERROR(Q231/(Q231+N231),0)</f>
        <v>0.028169014084507</v>
      </c>
      <c r="AE231" s="91" t="n">
        <f aca="false">(N231-T231)/N231</f>
        <v>0.985507246376812</v>
      </c>
      <c r="AF231" s="97" t="n">
        <f aca="false">BR231</f>
        <v>1.83333333333333</v>
      </c>
      <c r="AG231" s="98" t="n">
        <f aca="false">K231-AF231</f>
        <v>6.16666666666667</v>
      </c>
      <c r="AH231" s="99" t="n">
        <f aca="false">IFERROR(AG231/K231," ")</f>
        <v>0.770833333333333</v>
      </c>
      <c r="AI231" s="100" t="n">
        <f aca="false">IFERROR(O231/K231,0)</f>
        <v>412.5</v>
      </c>
      <c r="AJ231" s="101" t="n">
        <f aca="false">VLOOKUP(D231,'Standard Cycle time'!C:D,2,0)</f>
        <v>5.25</v>
      </c>
      <c r="AK231" s="101" t="n">
        <f aca="false">AG231*V231*3600/O231</f>
        <v>6.72727272727273</v>
      </c>
      <c r="AL231" s="102" t="n">
        <f aca="false">AJ231/AK231</f>
        <v>0.780405405405405</v>
      </c>
      <c r="AM231" s="99" t="n">
        <f aca="false">AE231*AL231*AH231</f>
        <v>0.592844202898551</v>
      </c>
      <c r="AN231" s="103" t="n">
        <v>2604</v>
      </c>
      <c r="AO231" s="109"/>
      <c r="AP231" s="105" t="n">
        <v>0</v>
      </c>
      <c r="AQ231" s="105" t="n">
        <v>0</v>
      </c>
      <c r="AR231" s="105" t="n">
        <v>0</v>
      </c>
      <c r="AS231" s="105" t="n">
        <v>0</v>
      </c>
      <c r="AT231" s="105" t="n">
        <v>0</v>
      </c>
      <c r="AU231" s="105" t="n">
        <v>60</v>
      </c>
      <c r="AV231" s="105" t="n">
        <v>50</v>
      </c>
      <c r="AW231" s="105" t="n">
        <v>0</v>
      </c>
      <c r="AX231" s="105" t="n">
        <v>0</v>
      </c>
      <c r="AY231" s="105" t="n">
        <v>0</v>
      </c>
      <c r="AZ231" s="105" t="n">
        <v>0</v>
      </c>
      <c r="BA231" s="105" t="n">
        <v>0</v>
      </c>
      <c r="BB231" s="105" t="n">
        <v>0</v>
      </c>
      <c r="BC231" s="105" t="n">
        <v>0</v>
      </c>
      <c r="BD231" s="105" t="n">
        <v>0</v>
      </c>
      <c r="BE231" s="105" t="n">
        <v>0</v>
      </c>
      <c r="BF231" s="105" t="n">
        <v>0</v>
      </c>
      <c r="BG231" s="105" t="n">
        <v>0</v>
      </c>
      <c r="BH231" s="105" t="n">
        <v>0</v>
      </c>
      <c r="BI231" s="105" t="n">
        <v>0</v>
      </c>
      <c r="BJ231" s="105" t="n">
        <v>0</v>
      </c>
      <c r="BK231" s="105" t="n">
        <v>0</v>
      </c>
      <c r="BL231" s="105" t="n">
        <v>0</v>
      </c>
      <c r="BM231" s="105" t="n">
        <v>0</v>
      </c>
      <c r="BN231" s="105" t="n">
        <v>0</v>
      </c>
      <c r="BO231" s="105" t="n">
        <v>0</v>
      </c>
      <c r="BP231" s="105" t="n">
        <v>0</v>
      </c>
      <c r="BQ231" s="105" t="n">
        <v>0</v>
      </c>
      <c r="BR231" s="106" t="n">
        <f aca="false">SUM(AP231:BQ231)/60</f>
        <v>1.83333333333333</v>
      </c>
      <c r="BS231" s="106" t="n">
        <f aca="false">SUM(AP231:BR231)/60</f>
        <v>1.86388888888889</v>
      </c>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row>
    <row r="232" customFormat="false" ht="14.9" hidden="true" customHeight="false" outlineLevel="0" collapsed="false">
      <c r="A232" s="74" t="n">
        <f aca="false">MONTH(B232)</f>
        <v>8</v>
      </c>
      <c r="B232" s="75" t="n">
        <v>44428</v>
      </c>
      <c r="C232" s="128" t="s">
        <v>152</v>
      </c>
      <c r="D232" s="77" t="str">
        <f aca="false">IFERROR(VLOOKUP(E:E,'Item Data Support Sheet'!A:O,7,0),"")</f>
        <v>BOTTLE MOLDED</v>
      </c>
      <c r="E232" s="80" t="s">
        <v>69</v>
      </c>
      <c r="F232" s="122" t="s">
        <v>73</v>
      </c>
      <c r="G232" s="77" t="s">
        <v>74</v>
      </c>
      <c r="H232" s="79" t="str">
        <f aca="false">IFERROR(VLOOKUP(E:E,'Item Data Support Sheet'!A:O,2,0),"")</f>
        <v>KPP 240 ML BOTTLE MOLDED</v>
      </c>
      <c r="I232" s="80" t="s">
        <v>571</v>
      </c>
      <c r="J232" s="80" t="s">
        <v>143</v>
      </c>
      <c r="K232" s="81" t="n">
        <v>0.6</v>
      </c>
      <c r="L232" s="124" t="n">
        <v>324</v>
      </c>
      <c r="M232" s="83" t="n">
        <f aca="false">IFERROR(L232/K232,0)</f>
        <v>540</v>
      </c>
      <c r="N232" s="84" t="n">
        <f aca="false">+O232+Q232+T232+U232</f>
        <v>224</v>
      </c>
      <c r="O232" s="85" t="n">
        <v>222</v>
      </c>
      <c r="P232" s="86" t="n">
        <v>0.24</v>
      </c>
      <c r="Q232" s="86" t="n">
        <v>0</v>
      </c>
      <c r="R232" s="132" t="n">
        <v>0</v>
      </c>
      <c r="S232" s="128" t="n">
        <v>0</v>
      </c>
      <c r="T232" s="132" t="n">
        <v>2</v>
      </c>
      <c r="U232" s="128" t="n">
        <v>0</v>
      </c>
      <c r="V232" s="128" t="n">
        <v>1</v>
      </c>
      <c r="W232" s="90" t="n">
        <f aca="false">IFERROR(O232/V232,0)</f>
        <v>222</v>
      </c>
      <c r="X232" s="91" t="n">
        <f aca="false">O232/L232</f>
        <v>0.685185185185185</v>
      </c>
      <c r="Y232" s="92" t="str">
        <f aca="false">IFERROR(VLOOKUP(E:E,'Item Data Support Sheet'!A:J,6,0),0)</f>
        <v>HMC</v>
      </c>
      <c r="Z232" s="93" t="n">
        <f aca="false">IFERROR(VLOOKUP(E:E,'Item Data Support Sheet'!A:O,4,0),0)</f>
        <v>32.1</v>
      </c>
      <c r="AA232" s="93" t="n">
        <f aca="false">IFERROR(((N232)*(Z232/1000))+P232,0)</f>
        <v>7.4304</v>
      </c>
      <c r="AB232" s="94" t="n">
        <f aca="false">IFERROR((O232*(Z232/1000)/(AA232))," ")</f>
        <v>0.95906007751938</v>
      </c>
      <c r="AC232" s="95" t="n">
        <f aca="false">IFERROR((T232)/((T232)+O232),0)</f>
        <v>0.00892857142857143</v>
      </c>
      <c r="AD232" s="96" t="n">
        <f aca="false">IFERROR(Q232/(Q232+N232),0)</f>
        <v>0</v>
      </c>
      <c r="AE232" s="91" t="n">
        <f aca="false">(N232-T232)/N232</f>
        <v>0.991071428571429</v>
      </c>
      <c r="AF232" s="97" t="n">
        <f aca="false">BR232</f>
        <v>0</v>
      </c>
      <c r="AG232" s="98" t="n">
        <f aca="false">K232-AF232</f>
        <v>0.6</v>
      </c>
      <c r="AH232" s="99" t="n">
        <f aca="false">IFERROR(AG232/K232," ")</f>
        <v>1</v>
      </c>
      <c r="AI232" s="100" t="n">
        <f aca="false">IFERROR(O232/K232,0)</f>
        <v>370</v>
      </c>
      <c r="AJ232" s="101" t="n">
        <f aca="false">VLOOKUP(D232,'Standard Cycle time'!C:D,2,0)</f>
        <v>9</v>
      </c>
      <c r="AK232" s="101" t="n">
        <f aca="false">AG232*V232*3600/O232</f>
        <v>9.72972972972973</v>
      </c>
      <c r="AL232" s="102" t="n">
        <f aca="false">AJ232/AK232</f>
        <v>0.925</v>
      </c>
      <c r="AM232" s="99" t="n">
        <f aca="false">AE232*AL232*AH232</f>
        <v>0.916741071428571</v>
      </c>
      <c r="AN232" s="103" t="n">
        <v>2607</v>
      </c>
      <c r="AO232" s="104"/>
      <c r="AP232" s="105" t="n">
        <v>0</v>
      </c>
      <c r="AQ232" s="105" t="n">
        <v>0</v>
      </c>
      <c r="AR232" s="105" t="n">
        <v>0</v>
      </c>
      <c r="AS232" s="105" t="n">
        <v>0</v>
      </c>
      <c r="AT232" s="105" t="n">
        <v>0</v>
      </c>
      <c r="AU232" s="105" t="n">
        <v>0</v>
      </c>
      <c r="AV232" s="105" t="n">
        <v>0</v>
      </c>
      <c r="AW232" s="105" t="n">
        <v>0</v>
      </c>
      <c r="AX232" s="105" t="n">
        <v>0</v>
      </c>
      <c r="AY232" s="105" t="n">
        <v>0</v>
      </c>
      <c r="AZ232" s="105" t="n">
        <v>0</v>
      </c>
      <c r="BA232" s="105" t="n">
        <v>0</v>
      </c>
      <c r="BB232" s="105" t="n">
        <v>0</v>
      </c>
      <c r="BC232" s="105" t="n">
        <v>0</v>
      </c>
      <c r="BD232" s="105" t="n">
        <v>0</v>
      </c>
      <c r="BE232" s="105" t="n">
        <v>0</v>
      </c>
      <c r="BF232" s="105" t="n">
        <v>0</v>
      </c>
      <c r="BG232" s="105" t="n">
        <v>0</v>
      </c>
      <c r="BH232" s="105" t="n">
        <v>0</v>
      </c>
      <c r="BI232" s="105" t="n">
        <v>0</v>
      </c>
      <c r="BJ232" s="105" t="n">
        <v>0</v>
      </c>
      <c r="BK232" s="105" t="n">
        <v>0</v>
      </c>
      <c r="BL232" s="105" t="n">
        <v>0</v>
      </c>
      <c r="BM232" s="105" t="n">
        <v>0</v>
      </c>
      <c r="BN232" s="105" t="n">
        <v>0</v>
      </c>
      <c r="BO232" s="105" t="n">
        <v>0</v>
      </c>
      <c r="BP232" s="105" t="n">
        <v>0</v>
      </c>
      <c r="BQ232" s="105" t="n">
        <v>0</v>
      </c>
      <c r="BR232" s="106" t="n">
        <f aca="false">SUM(AP232:BQ232)/60</f>
        <v>0</v>
      </c>
      <c r="BS232" s="106" t="n">
        <f aca="false">SUM(AP232:BR232)/60</f>
        <v>0</v>
      </c>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row>
    <row r="233" customFormat="false" ht="14.65" hidden="true" customHeight="true" outlineLevel="0" collapsed="false">
      <c r="A233" s="74" t="n">
        <f aca="false">MONTH(B233)</f>
        <v>8</v>
      </c>
      <c r="B233" s="75" t="n">
        <v>44428</v>
      </c>
      <c r="C233" s="128" t="s">
        <v>152</v>
      </c>
      <c r="D233" s="77" t="str">
        <f aca="false">IFERROR(VLOOKUP(E:E,'Item Data Support Sheet'!A:O,7,0),"")</f>
        <v>BOTTLE MOLDED</v>
      </c>
      <c r="E233" s="80" t="s">
        <v>572</v>
      </c>
      <c r="F233" s="122" t="s">
        <v>79</v>
      </c>
      <c r="G233" s="77" t="s">
        <v>74</v>
      </c>
      <c r="H233" s="79" t="str">
        <f aca="false">IFERROR(VLOOKUP(E:E,'Item Data Support Sheet'!A:O,2,0),"")</f>
        <v>RPP 240 ML BOTTLE MOLDED</v>
      </c>
      <c r="I233" s="80" t="s">
        <v>571</v>
      </c>
      <c r="J233" s="80" t="s">
        <v>143</v>
      </c>
      <c r="K233" s="81" t="n">
        <v>7</v>
      </c>
      <c r="L233" s="124" t="n">
        <f aca="false">2574-L232</f>
        <v>2250</v>
      </c>
      <c r="M233" s="83" t="n">
        <f aca="false">IFERROR(L233/K233,0)</f>
        <v>321.428571428571</v>
      </c>
      <c r="N233" s="84" t="n">
        <f aca="false">+O233+Q233+T233+U233</f>
        <v>921</v>
      </c>
      <c r="O233" s="85" t="n">
        <f aca="false">7*120</f>
        <v>840</v>
      </c>
      <c r="P233" s="86" t="n">
        <v>0</v>
      </c>
      <c r="Q233" s="86" t="n">
        <v>40</v>
      </c>
      <c r="R233" s="132" t="n">
        <v>0</v>
      </c>
      <c r="S233" s="128" t="n">
        <v>0</v>
      </c>
      <c r="T233" s="132" t="n">
        <v>33</v>
      </c>
      <c r="U233" s="128" t="n">
        <v>8</v>
      </c>
      <c r="V233" s="128" t="n">
        <v>1</v>
      </c>
      <c r="W233" s="90" t="n">
        <f aca="false">IFERROR(O233/V233,0)</f>
        <v>840</v>
      </c>
      <c r="X233" s="91" t="n">
        <f aca="false">O233/L233</f>
        <v>0.373333333333333</v>
      </c>
      <c r="Y233" s="92" t="str">
        <f aca="false">IFERROR(VLOOKUP(E:E,'Item Data Support Sheet'!A:J,6,0),0)</f>
        <v>HMC</v>
      </c>
      <c r="Z233" s="93" t="n">
        <f aca="false">IFERROR(VLOOKUP(E:E,'Item Data Support Sheet'!A:O,4,0),0)</f>
        <v>32.1</v>
      </c>
      <c r="AA233" s="93" t="n">
        <f aca="false">IFERROR(((N233)*(Z233/1000))+P233,0)</f>
        <v>29.5641</v>
      </c>
      <c r="AB233" s="94" t="n">
        <f aca="false">IFERROR((O233*(Z233/1000)/(AA233))," ")</f>
        <v>0.912052117263844</v>
      </c>
      <c r="AC233" s="95" t="n">
        <f aca="false">IFERROR((T233)/((T233)+O233),0)</f>
        <v>0.0378006872852234</v>
      </c>
      <c r="AD233" s="96" t="n">
        <f aca="false">IFERROR(Q233/(Q233+N233),0)</f>
        <v>0.0416233090530697</v>
      </c>
      <c r="AE233" s="91" t="n">
        <f aca="false">(N233-T233)/N233</f>
        <v>0.964169381107492</v>
      </c>
      <c r="AF233" s="97" t="n">
        <f aca="false">BR233</f>
        <v>4.66666666666667</v>
      </c>
      <c r="AG233" s="98" t="n">
        <f aca="false">K233-AF233</f>
        <v>2.33333333333333</v>
      </c>
      <c r="AH233" s="99" t="n">
        <f aca="false">IFERROR(AG233/K233," ")</f>
        <v>0.333333333333333</v>
      </c>
      <c r="AI233" s="100" t="n">
        <f aca="false">IFERROR(O233/K233,0)</f>
        <v>120</v>
      </c>
      <c r="AJ233" s="101" t="n">
        <f aca="false">VLOOKUP(D233,'Standard Cycle time'!C:D,2,0)</f>
        <v>9</v>
      </c>
      <c r="AK233" s="101" t="n">
        <f aca="false">AG233*V233*3600/O233</f>
        <v>10</v>
      </c>
      <c r="AL233" s="102" t="n">
        <f aca="false">AJ233/AK233</f>
        <v>0.9</v>
      </c>
      <c r="AM233" s="99" t="n">
        <f aca="false">AE233*AL233*AH233</f>
        <v>0.289250814332248</v>
      </c>
      <c r="AN233" s="103" t="n">
        <v>2610</v>
      </c>
      <c r="AO233" s="104" t="s">
        <v>573</v>
      </c>
      <c r="AP233" s="105" t="n">
        <v>0</v>
      </c>
      <c r="AQ233" s="105" t="n">
        <v>140</v>
      </c>
      <c r="AR233" s="105" t="n">
        <v>80</v>
      </c>
      <c r="AS233" s="105" t="n">
        <v>0</v>
      </c>
      <c r="AT233" s="105" t="n">
        <v>0</v>
      </c>
      <c r="AU233" s="105" t="n">
        <v>0</v>
      </c>
      <c r="AV233" s="105" t="n">
        <v>0</v>
      </c>
      <c r="AW233" s="105" t="n">
        <v>60</v>
      </c>
      <c r="AX233" s="105" t="n">
        <v>0</v>
      </c>
      <c r="AY233" s="105" t="n">
        <v>0</v>
      </c>
      <c r="AZ233" s="105" t="n">
        <v>0</v>
      </c>
      <c r="BA233" s="105" t="n">
        <v>0</v>
      </c>
      <c r="BB233" s="105" t="n">
        <v>0</v>
      </c>
      <c r="BC233" s="105" t="n">
        <v>0</v>
      </c>
      <c r="BD233" s="105" t="n">
        <v>0</v>
      </c>
      <c r="BE233" s="105" t="n">
        <v>0</v>
      </c>
      <c r="BF233" s="105" t="n">
        <v>0</v>
      </c>
      <c r="BG233" s="105" t="n">
        <v>0</v>
      </c>
      <c r="BH233" s="105" t="n">
        <v>0</v>
      </c>
      <c r="BI233" s="105" t="n">
        <v>0</v>
      </c>
      <c r="BJ233" s="105" t="n">
        <v>0</v>
      </c>
      <c r="BK233" s="105" t="n">
        <v>0</v>
      </c>
      <c r="BL233" s="105" t="n">
        <v>0</v>
      </c>
      <c r="BM233" s="105" t="n">
        <v>0</v>
      </c>
      <c r="BN233" s="105" t="n">
        <v>0</v>
      </c>
      <c r="BO233" s="105" t="n">
        <v>0</v>
      </c>
      <c r="BP233" s="105" t="n">
        <v>0</v>
      </c>
      <c r="BQ233" s="105" t="n">
        <v>0</v>
      </c>
      <c r="BR233" s="106" t="n">
        <f aca="false">SUM(AP233:BQ233)/60</f>
        <v>4.66666666666667</v>
      </c>
      <c r="BS233" s="106" t="n">
        <f aca="false">SUM(AP233:BR233)/60</f>
        <v>4.74444444444444</v>
      </c>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row>
    <row r="234" customFormat="false" ht="14.9" hidden="true" customHeight="false" outlineLevel="0" collapsed="false">
      <c r="A234" s="74" t="n">
        <f aca="false">MONTH(B234)</f>
        <v>8</v>
      </c>
      <c r="B234" s="75" t="n">
        <v>44428</v>
      </c>
      <c r="C234" s="128" t="s">
        <v>152</v>
      </c>
      <c r="D234" s="77" t="str">
        <f aca="false">IFERROR(VLOOKUP(E:E,'Item Data Support Sheet'!A:O,7,0),"")</f>
        <v>NIPPLE MOLDED</v>
      </c>
      <c r="E234" s="80" t="s">
        <v>492</v>
      </c>
      <c r="F234" s="122" t="s">
        <v>137</v>
      </c>
      <c r="G234" s="77" t="s">
        <v>138</v>
      </c>
      <c r="H234" s="79" t="str">
        <f aca="false">IFERROR(VLOOKUP(E:E,'Item Data Support Sheet'!A:O,2,0),"")</f>
        <v>NIPPLE S TYPE LL SIZE INJECTION</v>
      </c>
      <c r="I234" s="80" t="s">
        <v>574</v>
      </c>
      <c r="J234" s="80" t="s">
        <v>143</v>
      </c>
      <c r="K234" s="81" t="n">
        <v>8</v>
      </c>
      <c r="L234" s="124" t="n">
        <v>4815</v>
      </c>
      <c r="M234" s="83" t="n">
        <f aca="false">IFERROR(L234/K234,0)</f>
        <v>601.875</v>
      </c>
      <c r="N234" s="84" t="n">
        <f aca="false">+O234+Q234+T234+U234</f>
        <v>4708</v>
      </c>
      <c r="O234" s="85" t="n">
        <v>4500</v>
      </c>
      <c r="P234" s="86" t="n">
        <v>0</v>
      </c>
      <c r="Q234" s="86" t="n">
        <v>110</v>
      </c>
      <c r="R234" s="132" t="n">
        <v>0</v>
      </c>
      <c r="S234" s="128" t="n">
        <v>0</v>
      </c>
      <c r="T234" s="132" t="n">
        <v>90</v>
      </c>
      <c r="U234" s="128" t="n">
        <v>8</v>
      </c>
      <c r="V234" s="128" t="n">
        <v>1</v>
      </c>
      <c r="W234" s="90" t="n">
        <f aca="false">IFERROR(O234/V234,0)</f>
        <v>4500</v>
      </c>
      <c r="X234" s="91" t="n">
        <f aca="false">O234/L234</f>
        <v>0.934579439252336</v>
      </c>
      <c r="Y234" s="92" t="str">
        <f aca="false">IFERROR(VLOOKUP(E:E,'Item Data Support Sheet'!A:J,6,0),0)</f>
        <v>FO148</v>
      </c>
      <c r="Z234" s="93" t="n">
        <f aca="false">IFERROR(VLOOKUP(E:E,'Item Data Support Sheet'!A:O,4,0),0)</f>
        <v>6.8</v>
      </c>
      <c r="AA234" s="93" t="n">
        <f aca="false">IFERROR(((N234)*(Z234/1000))+P234,0)</f>
        <v>32.0144</v>
      </c>
      <c r="AB234" s="94" t="n">
        <f aca="false">IFERROR((O234*(Z234/1000)/(AA234))," ")</f>
        <v>0.955819881053526</v>
      </c>
      <c r="AC234" s="95" t="n">
        <f aca="false">IFERROR((T234)/((T234)+O234),0)</f>
        <v>0.0196078431372549</v>
      </c>
      <c r="AD234" s="96" t="n">
        <f aca="false">IFERROR(Q234/(Q234+N234),0)</f>
        <v>0.0228310502283105</v>
      </c>
      <c r="AE234" s="91" t="n">
        <f aca="false">(N234-T234)/N234</f>
        <v>0.980883602378929</v>
      </c>
      <c r="AF234" s="97" t="n">
        <f aca="false">BR234</f>
        <v>0</v>
      </c>
      <c r="AG234" s="98" t="n">
        <f aca="false">K234-AF234</f>
        <v>8</v>
      </c>
      <c r="AH234" s="99" t="n">
        <f aca="false">IFERROR(AG234/K234," ")</f>
        <v>1</v>
      </c>
      <c r="AI234" s="100" t="n">
        <f aca="false">IFERROR(O234/K234,0)</f>
        <v>562.5</v>
      </c>
      <c r="AJ234" s="101" t="n">
        <f aca="false">VLOOKUP(D234,'Standard Cycle time'!C:D,2,0)</f>
        <v>5.25</v>
      </c>
      <c r="AK234" s="101" t="n">
        <f aca="false">AG234*V234*3600/O234</f>
        <v>6.4</v>
      </c>
      <c r="AL234" s="102" t="n">
        <f aca="false">AJ234/AK234</f>
        <v>0.8203125</v>
      </c>
      <c r="AM234" s="99" t="n">
        <f aca="false">AE234*AL234*AH234</f>
        <v>0.804631080076465</v>
      </c>
      <c r="AN234" s="103" t="n">
        <v>2611</v>
      </c>
      <c r="AO234" s="104"/>
      <c r="AP234" s="105" t="n">
        <v>0</v>
      </c>
      <c r="AQ234" s="105" t="n">
        <v>0</v>
      </c>
      <c r="AR234" s="105" t="n">
        <v>0</v>
      </c>
      <c r="AS234" s="105" t="n">
        <v>0</v>
      </c>
      <c r="AT234" s="105" t="n">
        <v>0</v>
      </c>
      <c r="AU234" s="105" t="n">
        <v>0</v>
      </c>
      <c r="AV234" s="105" t="n">
        <v>0</v>
      </c>
      <c r="AW234" s="105" t="n">
        <v>0</v>
      </c>
      <c r="AX234" s="105" t="n">
        <v>0</v>
      </c>
      <c r="AY234" s="105" t="n">
        <v>0</v>
      </c>
      <c r="AZ234" s="105" t="n">
        <v>0</v>
      </c>
      <c r="BA234" s="105" t="n">
        <v>0</v>
      </c>
      <c r="BB234" s="105" t="n">
        <v>0</v>
      </c>
      <c r="BC234" s="105" t="n">
        <v>0</v>
      </c>
      <c r="BD234" s="105" t="n">
        <v>0</v>
      </c>
      <c r="BE234" s="105" t="n">
        <v>0</v>
      </c>
      <c r="BF234" s="105" t="n">
        <v>0</v>
      </c>
      <c r="BG234" s="105" t="n">
        <v>0</v>
      </c>
      <c r="BH234" s="105" t="n">
        <v>0</v>
      </c>
      <c r="BI234" s="105" t="n">
        <v>0</v>
      </c>
      <c r="BJ234" s="105" t="n">
        <v>0</v>
      </c>
      <c r="BK234" s="105" t="n">
        <v>0</v>
      </c>
      <c r="BL234" s="105" t="n">
        <v>0</v>
      </c>
      <c r="BM234" s="105" t="n">
        <v>0</v>
      </c>
      <c r="BN234" s="105" t="n">
        <v>0</v>
      </c>
      <c r="BO234" s="105" t="n">
        <v>0</v>
      </c>
      <c r="BP234" s="105" t="n">
        <v>0</v>
      </c>
      <c r="BQ234" s="105" t="n">
        <v>0</v>
      </c>
      <c r="BR234" s="106" t="n">
        <f aca="false">SUM(AP234:BQ234)/60</f>
        <v>0</v>
      </c>
      <c r="BS234" s="106" t="n">
        <f aca="false">SUM(AP234:BR234)/60</f>
        <v>0</v>
      </c>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row>
    <row r="235" customFormat="false" ht="14.9" hidden="true" customHeight="false" outlineLevel="0" collapsed="false">
      <c r="A235" s="74" t="n">
        <f aca="false">MONTH(B235)</f>
        <v>8</v>
      </c>
      <c r="B235" s="75" t="n">
        <v>44428</v>
      </c>
      <c r="C235" s="128" t="s">
        <v>152</v>
      </c>
      <c r="D235" s="77" t="str">
        <f aca="false">IFERROR(VLOOKUP(E:E,'Item Data Support Sheet'!A:O,7,0),"")</f>
        <v>NIPPLE POSTCURE</v>
      </c>
      <c r="E235" s="80" t="s">
        <v>519</v>
      </c>
      <c r="F235" s="122"/>
      <c r="G235" s="77" t="s">
        <v>149</v>
      </c>
      <c r="H235" s="79" t="str">
        <f aca="false">IFERROR(VLOOKUP(E:E,'Item Data Support Sheet'!A:O,2,0),"")</f>
        <v>NIPPLE S TYPE LL SIZE POSTCURED</v>
      </c>
      <c r="I235" s="80" t="s">
        <v>575</v>
      </c>
      <c r="J235" s="80" t="s">
        <v>143</v>
      </c>
      <c r="K235" s="81" t="n">
        <v>5</v>
      </c>
      <c r="L235" s="124" t="n">
        <v>7036</v>
      </c>
      <c r="M235" s="83" t="n">
        <f aca="false">IFERROR(L235/K235,0)</f>
        <v>1407.2</v>
      </c>
      <c r="N235" s="84" t="n">
        <f aca="false">+O235+Q235+T235+U235</f>
        <v>6300</v>
      </c>
      <c r="O235" s="85" t="n">
        <f aca="false">3300+3000</f>
        <v>6300</v>
      </c>
      <c r="P235" s="86" t="n">
        <v>0</v>
      </c>
      <c r="Q235" s="86" t="n">
        <v>0</v>
      </c>
      <c r="R235" s="132" t="n">
        <v>0</v>
      </c>
      <c r="S235" s="128" t="n">
        <v>0</v>
      </c>
      <c r="T235" s="132" t="n">
        <v>0</v>
      </c>
      <c r="U235" s="128" t="n">
        <v>0</v>
      </c>
      <c r="V235" s="128" t="n">
        <v>1</v>
      </c>
      <c r="W235" s="90" t="n">
        <f aca="false">IFERROR(O235/V235,0)</f>
        <v>6300</v>
      </c>
      <c r="X235" s="91" t="n">
        <f aca="false">O235/L235</f>
        <v>0.895395110858442</v>
      </c>
      <c r="Y235" s="92" t="str">
        <f aca="false">IFERROR(VLOOKUP(E:E,'Item Data Support Sheet'!A:J,6,0),0)</f>
        <v>FO149</v>
      </c>
      <c r="Z235" s="93" t="n">
        <f aca="false">IFERROR(VLOOKUP(E:E,'Item Data Support Sheet'!A:O,4,0),0)</f>
        <v>0</v>
      </c>
      <c r="AA235" s="93" t="n">
        <f aca="false">IFERROR(((N235)*(Z235/1000))+P235,0)</f>
        <v>0</v>
      </c>
      <c r="AB235" s="94" t="str">
        <f aca="false">IFERROR((O235*(Z235/1000)/(AA235))," ")</f>
        <v> </v>
      </c>
      <c r="AC235" s="95" t="n">
        <f aca="false">IFERROR((T235)/((T235)+O235),0)</f>
        <v>0</v>
      </c>
      <c r="AD235" s="96" t="n">
        <f aca="false">IFERROR(Q235/(Q235+N235),0)</f>
        <v>0</v>
      </c>
      <c r="AE235" s="91" t="n">
        <f aca="false">(N235-T235)/N235</f>
        <v>1</v>
      </c>
      <c r="AF235" s="97" t="n">
        <f aca="false">BR235</f>
        <v>0.666666666666667</v>
      </c>
      <c r="AG235" s="98" t="n">
        <f aca="false">K235-AF235</f>
        <v>4.33333333333333</v>
      </c>
      <c r="AH235" s="99" t="n">
        <f aca="false">IFERROR(AG235/K235," ")</f>
        <v>0.866666666666667</v>
      </c>
      <c r="AI235" s="100" t="n">
        <f aca="false">IFERROR(O235/K235,0)</f>
        <v>1260</v>
      </c>
      <c r="AJ235" s="101" t="n">
        <f aca="false">VLOOKUP(D235,'Standard Cycle time'!C:D,2,0)</f>
        <v>2.3</v>
      </c>
      <c r="AK235" s="101" t="n">
        <f aca="false">AG235*V235*3600/O235</f>
        <v>2.47619047619048</v>
      </c>
      <c r="AL235" s="102" t="n">
        <f aca="false">AJ235/AK235</f>
        <v>0.928846153846154</v>
      </c>
      <c r="AM235" s="99" t="n">
        <f aca="false">AE235*AL235*AH235</f>
        <v>0.805</v>
      </c>
      <c r="AN235" s="103" t="s">
        <v>576</v>
      </c>
      <c r="AO235" s="104"/>
      <c r="AP235" s="105" t="n">
        <v>40</v>
      </c>
      <c r="AQ235" s="105" t="n">
        <v>0</v>
      </c>
      <c r="AR235" s="105" t="n">
        <v>0</v>
      </c>
      <c r="AS235" s="105" t="n">
        <v>0</v>
      </c>
      <c r="AT235" s="105" t="n">
        <v>0</v>
      </c>
      <c r="AU235" s="105" t="n">
        <v>0</v>
      </c>
      <c r="AV235" s="105" t="n">
        <v>0</v>
      </c>
      <c r="AW235" s="105" t="n">
        <v>0</v>
      </c>
      <c r="AX235" s="105" t="n">
        <v>0</v>
      </c>
      <c r="AY235" s="105" t="n">
        <v>0</v>
      </c>
      <c r="AZ235" s="105" t="n">
        <v>0</v>
      </c>
      <c r="BA235" s="105" t="n">
        <v>0</v>
      </c>
      <c r="BB235" s="105" t="n">
        <v>0</v>
      </c>
      <c r="BC235" s="105" t="n">
        <v>0</v>
      </c>
      <c r="BD235" s="105" t="n">
        <v>0</v>
      </c>
      <c r="BE235" s="105" t="n">
        <v>0</v>
      </c>
      <c r="BF235" s="105" t="n">
        <v>0</v>
      </c>
      <c r="BG235" s="105" t="n">
        <v>0</v>
      </c>
      <c r="BH235" s="105" t="n">
        <v>0</v>
      </c>
      <c r="BI235" s="105" t="n">
        <v>0</v>
      </c>
      <c r="BJ235" s="105" t="n">
        <v>0</v>
      </c>
      <c r="BK235" s="105" t="n">
        <v>0</v>
      </c>
      <c r="BL235" s="105" t="n">
        <v>0</v>
      </c>
      <c r="BM235" s="105" t="n">
        <v>0</v>
      </c>
      <c r="BN235" s="105" t="n">
        <v>0</v>
      </c>
      <c r="BO235" s="105" t="n">
        <v>0</v>
      </c>
      <c r="BP235" s="105" t="n">
        <v>0</v>
      </c>
      <c r="BQ235" s="105" t="n">
        <v>0</v>
      </c>
      <c r="BR235" s="106" t="n">
        <f aca="false">SUM(AP235:BQ235)/60</f>
        <v>0.666666666666667</v>
      </c>
      <c r="BS235" s="106" t="n">
        <f aca="false">SUM(AP235:BR235)/60</f>
        <v>0.677777777777778</v>
      </c>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row>
    <row r="236" customFormat="false" ht="14.9" hidden="true" customHeight="false" outlineLevel="0" collapsed="false">
      <c r="A236" s="74" t="n">
        <f aca="false">MONTH(B236)</f>
        <v>8</v>
      </c>
      <c r="B236" s="75" t="n">
        <v>44429</v>
      </c>
      <c r="C236" s="128" t="s">
        <v>51</v>
      </c>
      <c r="D236" s="77" t="str">
        <f aca="false">IFERROR(VLOOKUP(E:E,'Item Data Support Sheet'!A:O,7,0),"")</f>
        <v>NIPPLE MOLDED</v>
      </c>
      <c r="E236" s="80" t="s">
        <v>492</v>
      </c>
      <c r="F236" s="122" t="s">
        <v>137</v>
      </c>
      <c r="G236" s="77" t="s">
        <v>138</v>
      </c>
      <c r="H236" s="79" t="str">
        <f aca="false">IFERROR(VLOOKUP(E:E,'Item Data Support Sheet'!A:O,2,0),"")</f>
        <v>NIPPLE S TYPE LL SIZE INJECTION</v>
      </c>
      <c r="I236" s="80" t="s">
        <v>577</v>
      </c>
      <c r="J236" s="80" t="s">
        <v>143</v>
      </c>
      <c r="K236" s="81" t="n">
        <v>3</v>
      </c>
      <c r="L236" s="124" t="n">
        <v>3600</v>
      </c>
      <c r="M236" s="83" t="n">
        <f aca="false">IFERROR(L236/K236,0)</f>
        <v>1200</v>
      </c>
      <c r="N236" s="84" t="n">
        <f aca="false">+O236+Q236+T236+U236</f>
        <v>1873</v>
      </c>
      <c r="O236" s="85" t="n">
        <v>1750</v>
      </c>
      <c r="P236" s="86" t="n">
        <v>0</v>
      </c>
      <c r="Q236" s="86" t="n">
        <v>70</v>
      </c>
      <c r="R236" s="132" t="n">
        <v>0</v>
      </c>
      <c r="S236" s="128" t="n">
        <v>0</v>
      </c>
      <c r="T236" s="132" t="n">
        <v>45</v>
      </c>
      <c r="U236" s="128" t="n">
        <v>8</v>
      </c>
      <c r="V236" s="128" t="n">
        <v>1</v>
      </c>
      <c r="W236" s="90" t="n">
        <f aca="false">IFERROR(O236/V236,0)</f>
        <v>1750</v>
      </c>
      <c r="X236" s="91" t="n">
        <f aca="false">O236/L236</f>
        <v>0.486111111111111</v>
      </c>
      <c r="Y236" s="92" t="str">
        <f aca="false">IFERROR(VLOOKUP(E:E,'Item Data Support Sheet'!A:J,6,0),0)</f>
        <v>FO148</v>
      </c>
      <c r="Z236" s="93" t="n">
        <f aca="false">IFERROR(VLOOKUP(E:E,'Item Data Support Sheet'!A:O,4,0),0)</f>
        <v>6.8</v>
      </c>
      <c r="AA236" s="93" t="n">
        <f aca="false">IFERROR(((N236)*(Z236/1000))+P236,0)</f>
        <v>12.7364</v>
      </c>
      <c r="AB236" s="94" t="n">
        <f aca="false">IFERROR((O236*(Z236/1000)/(AA236))," ")</f>
        <v>0.934329951948745</v>
      </c>
      <c r="AC236" s="95" t="n">
        <f aca="false">IFERROR((T236)/((T236)+O236),0)</f>
        <v>0.0250696378830084</v>
      </c>
      <c r="AD236" s="96" t="n">
        <f aca="false">IFERROR(Q236/(Q236+N236),0)</f>
        <v>0.036026762738034</v>
      </c>
      <c r="AE236" s="91" t="n">
        <f aca="false">(N236-T236)/N236</f>
        <v>0.975974372664175</v>
      </c>
      <c r="AF236" s="97" t="n">
        <f aca="false">BR236</f>
        <v>0</v>
      </c>
      <c r="AG236" s="98" t="n">
        <f aca="false">K236-AF236</f>
        <v>3</v>
      </c>
      <c r="AH236" s="99" t="n">
        <f aca="false">IFERROR(AG236/K236," ")</f>
        <v>1</v>
      </c>
      <c r="AI236" s="100" t="n">
        <f aca="false">IFERROR(O236/K236,0)</f>
        <v>583.333333333333</v>
      </c>
      <c r="AJ236" s="101" t="n">
        <f aca="false">VLOOKUP(D236,'Standard Cycle time'!C:D,2,0)</f>
        <v>5.25</v>
      </c>
      <c r="AK236" s="101" t="n">
        <f aca="false">AG236*V236*3600/O236</f>
        <v>6.17142857142857</v>
      </c>
      <c r="AL236" s="102" t="n">
        <f aca="false">AJ236/AK236</f>
        <v>0.850694444444444</v>
      </c>
      <c r="AM236" s="99" t="n">
        <f aca="false">AE236*AL236*AH236</f>
        <v>0.830255976745566</v>
      </c>
      <c r="AN236" s="103" t="n">
        <v>2620</v>
      </c>
      <c r="AO236" s="109" t="s">
        <v>578</v>
      </c>
      <c r="AP236" s="105" t="n">
        <v>0</v>
      </c>
      <c r="AQ236" s="105" t="n">
        <v>0</v>
      </c>
      <c r="AR236" s="105" t="n">
        <v>0</v>
      </c>
      <c r="AS236" s="105" t="n">
        <v>0</v>
      </c>
      <c r="AT236" s="105" t="n">
        <v>0</v>
      </c>
      <c r="AU236" s="105" t="n">
        <v>0</v>
      </c>
      <c r="AV236" s="105" t="n">
        <v>0</v>
      </c>
      <c r="AW236" s="105" t="n">
        <v>0</v>
      </c>
      <c r="AX236" s="105" t="n">
        <v>0</v>
      </c>
      <c r="AY236" s="105" t="n">
        <v>0</v>
      </c>
      <c r="AZ236" s="105" t="n">
        <v>0</v>
      </c>
      <c r="BA236" s="105" t="n">
        <v>0</v>
      </c>
      <c r="BB236" s="105" t="n">
        <v>0</v>
      </c>
      <c r="BC236" s="105" t="n">
        <v>0</v>
      </c>
      <c r="BD236" s="105" t="n">
        <v>0</v>
      </c>
      <c r="BE236" s="105" t="n">
        <v>0</v>
      </c>
      <c r="BF236" s="105" t="n">
        <v>0</v>
      </c>
      <c r="BG236" s="105" t="n">
        <v>0</v>
      </c>
      <c r="BH236" s="105" t="n">
        <v>0</v>
      </c>
      <c r="BI236" s="105" t="n">
        <v>0</v>
      </c>
      <c r="BJ236" s="105" t="n">
        <v>0</v>
      </c>
      <c r="BK236" s="105" t="n">
        <v>0</v>
      </c>
      <c r="BL236" s="105" t="n">
        <v>0</v>
      </c>
      <c r="BM236" s="105" t="n">
        <v>0</v>
      </c>
      <c r="BN236" s="105" t="n">
        <v>0</v>
      </c>
      <c r="BO236" s="105" t="n">
        <v>0</v>
      </c>
      <c r="BP236" s="105" t="n">
        <v>0</v>
      </c>
      <c r="BQ236" s="105" t="n">
        <v>0</v>
      </c>
      <c r="BR236" s="106" t="n">
        <f aca="false">SUM(AP236:BQ236)/60</f>
        <v>0</v>
      </c>
      <c r="BS236" s="106" t="n">
        <f aca="false">SUM(AP236:BR236)/60</f>
        <v>0</v>
      </c>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row>
    <row r="237" customFormat="false" ht="14.9" hidden="true" customHeight="false" outlineLevel="0" collapsed="false">
      <c r="A237" s="74" t="n">
        <f aca="false">MONTH(B237)</f>
        <v>8</v>
      </c>
      <c r="B237" s="75" t="n">
        <v>44429</v>
      </c>
      <c r="C237" s="128" t="s">
        <v>51</v>
      </c>
      <c r="D237" s="77" t="str">
        <f aca="false">IFERROR(VLOOKUP(E:E,'Item Data Support Sheet'!A:O,7,0),"")</f>
        <v>NIPPLE POSTCURE</v>
      </c>
      <c r="E237" s="80" t="s">
        <v>519</v>
      </c>
      <c r="F237" s="122"/>
      <c r="G237" s="77" t="s">
        <v>149</v>
      </c>
      <c r="H237" s="79" t="str">
        <f aca="false">IFERROR(VLOOKUP(E:E,'Item Data Support Sheet'!A:O,2,0),"")</f>
        <v>NIPPLE S TYPE LL SIZE POSTCURED</v>
      </c>
      <c r="I237" s="80" t="s">
        <v>579</v>
      </c>
      <c r="J237" s="80" t="s">
        <v>143</v>
      </c>
      <c r="K237" s="81" t="n">
        <v>2.5</v>
      </c>
      <c r="L237" s="124" t="n">
        <v>3500</v>
      </c>
      <c r="M237" s="83" t="n">
        <f aca="false">IFERROR(L237/K237,0)</f>
        <v>1400</v>
      </c>
      <c r="N237" s="84" t="n">
        <f aca="false">+O237+Q237+T237+U237</f>
        <v>3250</v>
      </c>
      <c r="O237" s="85" t="n">
        <v>3250</v>
      </c>
      <c r="P237" s="86" t="n">
        <v>0</v>
      </c>
      <c r="Q237" s="86" t="n">
        <v>0</v>
      </c>
      <c r="R237" s="132" t="n">
        <v>0</v>
      </c>
      <c r="S237" s="128" t="n">
        <v>0</v>
      </c>
      <c r="T237" s="132" t="n">
        <v>0</v>
      </c>
      <c r="U237" s="128" t="n">
        <v>0</v>
      </c>
      <c r="V237" s="128" t="n">
        <v>1</v>
      </c>
      <c r="W237" s="90" t="n">
        <f aca="false">IFERROR(O237/V237,0)</f>
        <v>3250</v>
      </c>
      <c r="X237" s="91" t="n">
        <f aca="false">O237/L237</f>
        <v>0.928571428571429</v>
      </c>
      <c r="Y237" s="92" t="str">
        <f aca="false">IFERROR(VLOOKUP(E:E,'Item Data Support Sheet'!A:J,6,0),0)</f>
        <v>FO149</v>
      </c>
      <c r="Z237" s="93" t="n">
        <f aca="false">IFERROR(VLOOKUP(E:E,'Item Data Support Sheet'!A:O,4,0),0)</f>
        <v>0</v>
      </c>
      <c r="AA237" s="93" t="n">
        <f aca="false">IFERROR(((N237)*(Z237/1000))+P237,0)</f>
        <v>0</v>
      </c>
      <c r="AB237" s="94" t="str">
        <f aca="false">IFERROR((O237*(Z237/1000)/(AA237))," ")</f>
        <v> </v>
      </c>
      <c r="AC237" s="95" t="n">
        <f aca="false">IFERROR((T237)/((T237)+O237),0)</f>
        <v>0</v>
      </c>
      <c r="AD237" s="96" t="n">
        <f aca="false">IFERROR(Q237/(Q237+N237),0)</f>
        <v>0</v>
      </c>
      <c r="AE237" s="91" t="n">
        <f aca="false">(N237-T237)/N237</f>
        <v>1</v>
      </c>
      <c r="AF237" s="97" t="n">
        <f aca="false">BR237</f>
        <v>0</v>
      </c>
      <c r="AG237" s="98" t="n">
        <f aca="false">K237-AF237</f>
        <v>2.5</v>
      </c>
      <c r="AH237" s="99" t="n">
        <f aca="false">IFERROR(AG237/K237," ")</f>
        <v>1</v>
      </c>
      <c r="AI237" s="100" t="n">
        <f aca="false">IFERROR(O237/K237,0)</f>
        <v>1300</v>
      </c>
      <c r="AJ237" s="101" t="n">
        <f aca="false">VLOOKUP(D237,'Standard Cycle time'!C:D,2,0)</f>
        <v>2.3</v>
      </c>
      <c r="AK237" s="101" t="n">
        <f aca="false">AG237*V237*3600/O237</f>
        <v>2.76923076923077</v>
      </c>
      <c r="AL237" s="102" t="n">
        <f aca="false">AJ237/AK237</f>
        <v>0.830555555555555</v>
      </c>
      <c r="AM237" s="99" t="n">
        <f aca="false">AE237*AL237*AH237</f>
        <v>0.830555555555555</v>
      </c>
      <c r="AN237" s="103" t="s">
        <v>580</v>
      </c>
      <c r="AO237" s="104"/>
      <c r="AP237" s="105" t="n">
        <v>0</v>
      </c>
      <c r="AQ237" s="105" t="n">
        <v>0</v>
      </c>
      <c r="AR237" s="105" t="n">
        <v>0</v>
      </c>
      <c r="AS237" s="105" t="n">
        <v>0</v>
      </c>
      <c r="AT237" s="105" t="n">
        <v>0</v>
      </c>
      <c r="AU237" s="105" t="n">
        <v>0</v>
      </c>
      <c r="AV237" s="105" t="n">
        <v>0</v>
      </c>
      <c r="AW237" s="105" t="n">
        <v>0</v>
      </c>
      <c r="AX237" s="105" t="n">
        <v>0</v>
      </c>
      <c r="AY237" s="105" t="n">
        <v>0</v>
      </c>
      <c r="AZ237" s="105" t="n">
        <v>0</v>
      </c>
      <c r="BA237" s="105" t="n">
        <v>0</v>
      </c>
      <c r="BB237" s="105" t="n">
        <v>0</v>
      </c>
      <c r="BC237" s="105" t="n">
        <v>0</v>
      </c>
      <c r="BD237" s="105" t="n">
        <v>0</v>
      </c>
      <c r="BE237" s="105" t="n">
        <v>0</v>
      </c>
      <c r="BF237" s="105" t="n">
        <v>0</v>
      </c>
      <c r="BG237" s="105" t="n">
        <v>0</v>
      </c>
      <c r="BH237" s="105" t="n">
        <v>0</v>
      </c>
      <c r="BI237" s="105" t="n">
        <v>0</v>
      </c>
      <c r="BJ237" s="105" t="n">
        <v>0</v>
      </c>
      <c r="BK237" s="105" t="n">
        <v>0</v>
      </c>
      <c r="BL237" s="105" t="n">
        <v>0</v>
      </c>
      <c r="BM237" s="105" t="n">
        <v>0</v>
      </c>
      <c r="BN237" s="105" t="n">
        <v>0</v>
      </c>
      <c r="BO237" s="105" t="n">
        <v>0</v>
      </c>
      <c r="BP237" s="105" t="n">
        <v>0</v>
      </c>
      <c r="BQ237" s="105" t="n">
        <v>0</v>
      </c>
      <c r="BR237" s="106" t="n">
        <f aca="false">SUM(AP237:BQ237)/60</f>
        <v>0</v>
      </c>
      <c r="BS237" s="106" t="n">
        <f aca="false">SUM(AP237:BR237)/60</f>
        <v>0</v>
      </c>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row>
    <row r="238" customFormat="false" ht="14.9" hidden="true" customHeight="false" outlineLevel="0" collapsed="false">
      <c r="A238" s="74" t="n">
        <f aca="false">MONTH(B238)</f>
        <v>8</v>
      </c>
      <c r="B238" s="75" t="n">
        <v>44429</v>
      </c>
      <c r="C238" s="128" t="s">
        <v>51</v>
      </c>
      <c r="D238" s="77" t="str">
        <f aca="false">IFERROR(VLOOKUP(E:E,'Item Data Support Sheet'!A:O,7,0),"")</f>
        <v>NIPPLE PUNCH</v>
      </c>
      <c r="E238" s="80" t="s">
        <v>563</v>
      </c>
      <c r="F238" s="122"/>
      <c r="G238" s="77" t="s">
        <v>54</v>
      </c>
      <c r="H238" s="79" t="str">
        <f aca="false">IFERROR(VLOOKUP(E:E,'Item Data Support Sheet'!A:O,2,0),"")</f>
        <v>NIPPLE S TYPE LL SIZE PUNCHED</v>
      </c>
      <c r="I238" s="80" t="s">
        <v>581</v>
      </c>
      <c r="J238" s="80" t="s">
        <v>143</v>
      </c>
      <c r="K238" s="81" t="n">
        <v>6</v>
      </c>
      <c r="L238" s="124" t="n">
        <v>5000</v>
      </c>
      <c r="M238" s="83" t="n">
        <f aca="false">IFERROR(L238/K238,0)</f>
        <v>833.333333333333</v>
      </c>
      <c r="N238" s="84" t="n">
        <f aca="false">+O238+Q238+T238+U238</f>
        <v>5600</v>
      </c>
      <c r="O238" s="85" t="n">
        <v>5600</v>
      </c>
      <c r="P238" s="86" t="n">
        <v>0</v>
      </c>
      <c r="Q238" s="86" t="n">
        <v>0</v>
      </c>
      <c r="R238" s="132" t="n">
        <v>0</v>
      </c>
      <c r="S238" s="128" t="n">
        <v>0</v>
      </c>
      <c r="T238" s="132" t="n">
        <v>0</v>
      </c>
      <c r="U238" s="128" t="n">
        <v>0</v>
      </c>
      <c r="V238" s="128" t="n">
        <v>1</v>
      </c>
      <c r="W238" s="90" t="n">
        <f aca="false">IFERROR(O238/V238,0)</f>
        <v>5600</v>
      </c>
      <c r="X238" s="91" t="n">
        <f aca="false">O238/L238</f>
        <v>1.12</v>
      </c>
      <c r="Y238" s="92" t="str">
        <f aca="false">IFERROR(VLOOKUP(E:E,'Item Data Support Sheet'!A:J,6,0),0)</f>
        <v>FO150</v>
      </c>
      <c r="Z238" s="93" t="n">
        <f aca="false">IFERROR(VLOOKUP(E:E,'Item Data Support Sheet'!A:O,4,0),0)</f>
        <v>0</v>
      </c>
      <c r="AA238" s="93" t="n">
        <f aca="false">IFERROR(((N238)*(Z238/1000))+P238,0)</f>
        <v>0</v>
      </c>
      <c r="AB238" s="94" t="str">
        <f aca="false">IFERROR((O238*(Z238/1000)/(AA238))," ")</f>
        <v> </v>
      </c>
      <c r="AC238" s="95" t="n">
        <f aca="false">IFERROR((T238)/((T238)+O238),0)</f>
        <v>0</v>
      </c>
      <c r="AD238" s="96" t="n">
        <f aca="false">IFERROR(Q238/(Q238+N238),0)</f>
        <v>0</v>
      </c>
      <c r="AE238" s="91" t="n">
        <f aca="false">(N238-T238)/N238</f>
        <v>1</v>
      </c>
      <c r="AF238" s="97" t="n">
        <f aca="false">BR238</f>
        <v>0.666666666666667</v>
      </c>
      <c r="AG238" s="98" t="n">
        <f aca="false">K238-AF238</f>
        <v>5.33333333333333</v>
      </c>
      <c r="AH238" s="99" t="n">
        <f aca="false">IFERROR(AG238/K238," ")</f>
        <v>0.888888888888889</v>
      </c>
      <c r="AI238" s="100" t="n">
        <f aca="false">IFERROR(O238/K238,0)</f>
        <v>933.333333333333</v>
      </c>
      <c r="AJ238" s="101" t="n">
        <f aca="false">VLOOKUP(D238,'Standard Cycle time'!C:D,2,0)</f>
        <v>3.5</v>
      </c>
      <c r="AK238" s="101" t="n">
        <f aca="false">AG238*V238*3600/O238</f>
        <v>3.42857142857143</v>
      </c>
      <c r="AL238" s="102" t="n">
        <f aca="false">AJ238/AK238</f>
        <v>1.02083333333333</v>
      </c>
      <c r="AM238" s="99" t="n">
        <f aca="false">AE238*AL238*AH238</f>
        <v>0.907407407407407</v>
      </c>
      <c r="AN238" s="103" t="s">
        <v>582</v>
      </c>
      <c r="AO238" s="109"/>
      <c r="AP238" s="105" t="n">
        <v>40</v>
      </c>
      <c r="AQ238" s="105" t="n">
        <v>0</v>
      </c>
      <c r="AR238" s="105" t="n">
        <v>0</v>
      </c>
      <c r="AS238" s="105" t="n">
        <v>0</v>
      </c>
      <c r="AT238" s="105" t="n">
        <v>0</v>
      </c>
      <c r="AU238" s="105" t="n">
        <v>0</v>
      </c>
      <c r="AV238" s="105" t="n">
        <v>0</v>
      </c>
      <c r="AW238" s="105" t="n">
        <v>0</v>
      </c>
      <c r="AX238" s="105" t="n">
        <v>0</v>
      </c>
      <c r="AY238" s="105" t="n">
        <v>0</v>
      </c>
      <c r="AZ238" s="105" t="n">
        <v>0</v>
      </c>
      <c r="BA238" s="105" t="n">
        <v>0</v>
      </c>
      <c r="BB238" s="105" t="n">
        <v>0</v>
      </c>
      <c r="BC238" s="105" t="n">
        <v>0</v>
      </c>
      <c r="BD238" s="105" t="n">
        <v>0</v>
      </c>
      <c r="BE238" s="105" t="n">
        <v>0</v>
      </c>
      <c r="BF238" s="105" t="n">
        <v>0</v>
      </c>
      <c r="BG238" s="105" t="n">
        <v>0</v>
      </c>
      <c r="BH238" s="105" t="n">
        <v>0</v>
      </c>
      <c r="BI238" s="105" t="n">
        <v>0</v>
      </c>
      <c r="BJ238" s="105" t="n">
        <v>0</v>
      </c>
      <c r="BK238" s="105" t="n">
        <v>0</v>
      </c>
      <c r="BL238" s="105" t="n">
        <v>0</v>
      </c>
      <c r="BM238" s="105" t="n">
        <v>0</v>
      </c>
      <c r="BN238" s="105" t="n">
        <v>0</v>
      </c>
      <c r="BO238" s="105" t="n">
        <v>0</v>
      </c>
      <c r="BP238" s="105" t="n">
        <v>0</v>
      </c>
      <c r="BQ238" s="105" t="n">
        <v>0</v>
      </c>
      <c r="BR238" s="106" t="n">
        <f aca="false">SUM(AP238:BQ238)/60</f>
        <v>0.666666666666667</v>
      </c>
      <c r="BS238" s="106" t="n">
        <f aca="false">SUM(AP238:BR238)/60</f>
        <v>0.677777777777778</v>
      </c>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row>
    <row r="239" customFormat="false" ht="14.9" hidden="true" customHeight="false" outlineLevel="0" collapsed="false">
      <c r="A239" s="74" t="n">
        <f aca="false">MONTH(B239)</f>
        <v>8</v>
      </c>
      <c r="B239" s="75" t="n">
        <v>44429</v>
      </c>
      <c r="C239" s="128" t="s">
        <v>51</v>
      </c>
      <c r="D239" s="77" t="str">
        <f aca="false">IFERROR(VLOOKUP(E:E,'Item Data Support Sheet'!A:O,7,0),"")</f>
        <v>NIPPLE LASER MARKING</v>
      </c>
      <c r="E239" s="80" t="s">
        <v>444</v>
      </c>
      <c r="F239" s="122"/>
      <c r="G239" s="77"/>
      <c r="H239" s="79" t="str">
        <f aca="false">IFERROR(VLOOKUP(E:E,'Item Data Support Sheet'!A:O,2,0),"")</f>
        <v>NIPPLE S TYPE S SIZE PUNCHED LASER MARKED</v>
      </c>
      <c r="I239" s="80" t="s">
        <v>583</v>
      </c>
      <c r="J239" s="80" t="s">
        <v>143</v>
      </c>
      <c r="K239" s="81" t="n">
        <v>5</v>
      </c>
      <c r="L239" s="124" t="n">
        <v>5000</v>
      </c>
      <c r="M239" s="83" t="n">
        <f aca="false">IFERROR(L239/K239,0)</f>
        <v>1000</v>
      </c>
      <c r="N239" s="84" t="n">
        <f aca="false">+O239+Q239+T239+U239</f>
        <v>4950</v>
      </c>
      <c r="O239" s="85" t="n">
        <v>4950</v>
      </c>
      <c r="P239" s="86" t="n">
        <v>0</v>
      </c>
      <c r="Q239" s="86" t="n">
        <v>0</v>
      </c>
      <c r="R239" s="132" t="n">
        <v>0</v>
      </c>
      <c r="S239" s="128" t="n">
        <v>0</v>
      </c>
      <c r="T239" s="132" t="n">
        <v>0</v>
      </c>
      <c r="U239" s="128" t="n">
        <v>0</v>
      </c>
      <c r="V239" s="128" t="n">
        <v>1</v>
      </c>
      <c r="W239" s="90" t="n">
        <f aca="false">IFERROR(O239/V239,0)</f>
        <v>4950</v>
      </c>
      <c r="X239" s="91" t="n">
        <f aca="false">O239/L239</f>
        <v>0.99</v>
      </c>
      <c r="Y239" s="92" t="str">
        <f aca="false">IFERROR(VLOOKUP(E:E,'Item Data Support Sheet'!A:J,6,0),0)</f>
        <v>FO019</v>
      </c>
      <c r="Z239" s="93" t="n">
        <f aca="false">IFERROR(VLOOKUP(E:E,'Item Data Support Sheet'!A:O,4,0),0)</f>
        <v>0</v>
      </c>
      <c r="AA239" s="93" t="n">
        <f aca="false">IFERROR(((N239)*(Z239/1000))+P239,0)</f>
        <v>0</v>
      </c>
      <c r="AB239" s="94" t="str">
        <f aca="false">IFERROR((O239*(Z239/1000)/(AA239))," ")</f>
        <v> </v>
      </c>
      <c r="AC239" s="95" t="n">
        <f aca="false">IFERROR((T239)/((T239)+O239),0)</f>
        <v>0</v>
      </c>
      <c r="AD239" s="96" t="n">
        <f aca="false">IFERROR(Q239/(Q239+N239),0)</f>
        <v>0</v>
      </c>
      <c r="AE239" s="91" t="n">
        <f aca="false">(N239-T239)/N239</f>
        <v>1</v>
      </c>
      <c r="AF239" s="97" t="n">
        <f aca="false">BR239</f>
        <v>0</v>
      </c>
      <c r="AG239" s="98" t="n">
        <f aca="false">K239-AF239</f>
        <v>5</v>
      </c>
      <c r="AH239" s="99" t="n">
        <f aca="false">IFERROR(AG239/K239," ")</f>
        <v>1</v>
      </c>
      <c r="AI239" s="100" t="n">
        <f aca="false">IFERROR(O239/K239,0)</f>
        <v>990</v>
      </c>
      <c r="AJ239" s="101" t="n">
        <f aca="false">VLOOKUP(D239,'Standard Cycle time'!C:D,2,0)</f>
        <v>3.5</v>
      </c>
      <c r="AK239" s="101" t="n">
        <f aca="false">AG239*V239*3600/O239</f>
        <v>3.63636363636364</v>
      </c>
      <c r="AL239" s="102" t="n">
        <f aca="false">AJ239/AK239</f>
        <v>0.9625</v>
      </c>
      <c r="AM239" s="99" t="n">
        <f aca="false">AE239*AL239*AH239</f>
        <v>0.9625</v>
      </c>
      <c r="AN239" s="103" t="s">
        <v>584</v>
      </c>
      <c r="AO239" s="109"/>
      <c r="AP239" s="105" t="n">
        <v>0</v>
      </c>
      <c r="AQ239" s="105" t="n">
        <v>0</v>
      </c>
      <c r="AR239" s="105" t="n">
        <v>0</v>
      </c>
      <c r="AS239" s="105" t="n">
        <v>0</v>
      </c>
      <c r="AT239" s="105" t="n">
        <v>0</v>
      </c>
      <c r="AU239" s="105" t="n">
        <v>0</v>
      </c>
      <c r="AV239" s="105" t="n">
        <v>0</v>
      </c>
      <c r="AW239" s="105" t="n">
        <v>0</v>
      </c>
      <c r="AX239" s="105" t="n">
        <v>0</v>
      </c>
      <c r="AY239" s="105" t="n">
        <v>0</v>
      </c>
      <c r="AZ239" s="105" t="n">
        <v>0</v>
      </c>
      <c r="BA239" s="105" t="n">
        <v>0</v>
      </c>
      <c r="BB239" s="105" t="n">
        <v>0</v>
      </c>
      <c r="BC239" s="105" t="n">
        <v>0</v>
      </c>
      <c r="BD239" s="105" t="n">
        <v>0</v>
      </c>
      <c r="BE239" s="105" t="n">
        <v>0</v>
      </c>
      <c r="BF239" s="105" t="n">
        <v>0</v>
      </c>
      <c r="BG239" s="105" t="n">
        <v>0</v>
      </c>
      <c r="BH239" s="105" t="n">
        <v>0</v>
      </c>
      <c r="BI239" s="105" t="n">
        <v>0</v>
      </c>
      <c r="BJ239" s="105" t="n">
        <v>0</v>
      </c>
      <c r="BK239" s="105" t="n">
        <v>0</v>
      </c>
      <c r="BL239" s="105" t="n">
        <v>0</v>
      </c>
      <c r="BM239" s="105" t="n">
        <v>0</v>
      </c>
      <c r="BN239" s="105" t="n">
        <v>0</v>
      </c>
      <c r="BO239" s="105" t="n">
        <v>0</v>
      </c>
      <c r="BP239" s="105" t="n">
        <v>0</v>
      </c>
      <c r="BQ239" s="105" t="n">
        <v>0</v>
      </c>
      <c r="BR239" s="106" t="n">
        <f aca="false">SUM(AP239:BQ239)/60</f>
        <v>0</v>
      </c>
      <c r="BS239" s="106" t="n">
        <f aca="false">SUM(AP239:BR239)/60</f>
        <v>0</v>
      </c>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row>
    <row r="240" customFormat="false" ht="14.9" hidden="true" customHeight="false" outlineLevel="0" collapsed="false">
      <c r="A240" s="74" t="n">
        <f aca="false">MONTH(B240)</f>
        <v>8</v>
      </c>
      <c r="B240" s="75" t="n">
        <v>44429</v>
      </c>
      <c r="C240" s="128" t="s">
        <v>63</v>
      </c>
      <c r="D240" s="77" t="str">
        <f aca="false">IFERROR(VLOOKUP(E:E,'Item Data Support Sheet'!A:O,7,0),"")</f>
        <v>NIPPLE PUNCH INSPECTED</v>
      </c>
      <c r="E240" s="80" t="s">
        <v>297</v>
      </c>
      <c r="F240" s="122"/>
      <c r="G240" s="77"/>
      <c r="H240" s="79" t="str">
        <f aca="false">IFERROR(VLOOKUP(E:E,'Item Data Support Sheet'!A:O,2,0),"")</f>
        <v>NIPPLE S TYPE S SIZE PUNCHED INSPECTED</v>
      </c>
      <c r="I240" s="80" t="s">
        <v>585</v>
      </c>
      <c r="J240" s="80" t="s">
        <v>158</v>
      </c>
      <c r="K240" s="81" t="n">
        <v>5</v>
      </c>
      <c r="L240" s="124" t="n">
        <v>5000</v>
      </c>
      <c r="M240" s="83" t="n">
        <f aca="false">IFERROR(L240/K240,0)</f>
        <v>1000</v>
      </c>
      <c r="N240" s="84" t="n">
        <f aca="false">+O240+Q240+T240+U240</f>
        <v>7224</v>
      </c>
      <c r="O240" s="85" t="n">
        <v>7200</v>
      </c>
      <c r="P240" s="86" t="n">
        <v>0</v>
      </c>
      <c r="Q240" s="86" t="n">
        <v>0</v>
      </c>
      <c r="R240" s="132" t="n">
        <v>0</v>
      </c>
      <c r="S240" s="128" t="n">
        <v>0</v>
      </c>
      <c r="T240" s="132" t="n">
        <v>24</v>
      </c>
      <c r="U240" s="128" t="n">
        <v>0</v>
      </c>
      <c r="V240" s="128" t="n">
        <v>1</v>
      </c>
      <c r="W240" s="90" t="n">
        <f aca="false">IFERROR(O240/V240,0)</f>
        <v>7200</v>
      </c>
      <c r="X240" s="91" t="n">
        <f aca="false">O240/L240</f>
        <v>1.44</v>
      </c>
      <c r="Y240" s="92" t="str">
        <f aca="false">IFERROR(VLOOKUP(E:E,'Item Data Support Sheet'!A:J,6,0),0)</f>
        <v>FO104</v>
      </c>
      <c r="Z240" s="93" t="n">
        <f aca="false">IFERROR(VLOOKUP(E:E,'Item Data Support Sheet'!A:O,4,0),0)</f>
        <v>0</v>
      </c>
      <c r="AA240" s="93" t="n">
        <f aca="false">IFERROR(((N240)*(Z240/1000))+P240,0)</f>
        <v>0</v>
      </c>
      <c r="AB240" s="94" t="str">
        <f aca="false">IFERROR((O240*(Z240/1000)/(AA240))," ")</f>
        <v> </v>
      </c>
      <c r="AC240" s="95" t="n">
        <f aca="false">IFERROR((T240)/((T240)+O240),0)</f>
        <v>0.00332225913621262</v>
      </c>
      <c r="AD240" s="96" t="n">
        <f aca="false">IFERROR(Q240/(Q240+N240),0)</f>
        <v>0</v>
      </c>
      <c r="AE240" s="91" t="n">
        <f aca="false">(N240-T240)/N240</f>
        <v>0.996677740863787</v>
      </c>
      <c r="AF240" s="97" t="n">
        <f aca="false">BR240</f>
        <v>0</v>
      </c>
      <c r="AG240" s="98" t="n">
        <f aca="false">K240-AF240</f>
        <v>5</v>
      </c>
      <c r="AH240" s="99" t="n">
        <f aca="false">IFERROR(AG240/K240," ")</f>
        <v>1</v>
      </c>
      <c r="AI240" s="100" t="n">
        <f aca="false">IFERROR(O240/K240,0)</f>
        <v>1440</v>
      </c>
      <c r="AJ240" s="101" t="n">
        <f aca="false">VLOOKUP(D240,'Standard Cycle time'!C:D,2,0)</f>
        <v>4</v>
      </c>
      <c r="AK240" s="101" t="n">
        <f aca="false">AG240*V240*3600/O240</f>
        <v>2.5</v>
      </c>
      <c r="AL240" s="102" t="n">
        <f aca="false">AJ240/AK240</f>
        <v>1.6</v>
      </c>
      <c r="AM240" s="99" t="n">
        <f aca="false">AE240*AL240*AH240</f>
        <v>1.59468438538206</v>
      </c>
      <c r="AN240" s="103" t="s">
        <v>586</v>
      </c>
      <c r="AO240" s="109"/>
      <c r="AP240" s="105" t="n">
        <v>0</v>
      </c>
      <c r="AQ240" s="105" t="n">
        <v>0</v>
      </c>
      <c r="AR240" s="105" t="n">
        <v>0</v>
      </c>
      <c r="AS240" s="105" t="n">
        <v>0</v>
      </c>
      <c r="AT240" s="105" t="n">
        <v>0</v>
      </c>
      <c r="AU240" s="105" t="n">
        <v>0</v>
      </c>
      <c r="AV240" s="105" t="n">
        <v>0</v>
      </c>
      <c r="AW240" s="105" t="n">
        <v>0</v>
      </c>
      <c r="AX240" s="105" t="n">
        <v>0</v>
      </c>
      <c r="AY240" s="105" t="n">
        <v>0</v>
      </c>
      <c r="AZ240" s="105" t="n">
        <v>0</v>
      </c>
      <c r="BA240" s="105" t="n">
        <v>0</v>
      </c>
      <c r="BB240" s="105" t="n">
        <v>0</v>
      </c>
      <c r="BC240" s="105" t="n">
        <v>0</v>
      </c>
      <c r="BD240" s="105" t="n">
        <v>0</v>
      </c>
      <c r="BE240" s="105" t="n">
        <v>0</v>
      </c>
      <c r="BF240" s="105" t="n">
        <v>0</v>
      </c>
      <c r="BG240" s="105" t="n">
        <v>0</v>
      </c>
      <c r="BH240" s="105" t="n">
        <v>0</v>
      </c>
      <c r="BI240" s="105" t="n">
        <v>0</v>
      </c>
      <c r="BJ240" s="105" t="n">
        <v>0</v>
      </c>
      <c r="BK240" s="105" t="n">
        <v>0</v>
      </c>
      <c r="BL240" s="105" t="n">
        <v>0</v>
      </c>
      <c r="BM240" s="105" t="n">
        <v>0</v>
      </c>
      <c r="BN240" s="105" t="n">
        <v>0</v>
      </c>
      <c r="BO240" s="105" t="n">
        <v>0</v>
      </c>
      <c r="BP240" s="105" t="n">
        <v>0</v>
      </c>
      <c r="BQ240" s="105" t="n">
        <v>0</v>
      </c>
      <c r="BR240" s="106" t="n">
        <f aca="false">SUM(AP240:BQ240)/60</f>
        <v>0</v>
      </c>
      <c r="BS240" s="106" t="n">
        <f aca="false">SUM(AP240:BR240)/60</f>
        <v>0</v>
      </c>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row>
    <row r="241" customFormat="false" ht="14.9" hidden="true" customHeight="false" outlineLevel="0" collapsed="false">
      <c r="A241" s="74" t="n">
        <f aca="false">MONTH(B241)</f>
        <v>8</v>
      </c>
      <c r="B241" s="75" t="n">
        <v>44429</v>
      </c>
      <c r="C241" s="128" t="s">
        <v>63</v>
      </c>
      <c r="D241" s="77" t="str">
        <f aca="false">IFERROR(VLOOKUP(E:E,'Item Data Support Sheet'!A:O,7,0),"")</f>
        <v>NIPPLE WRAP PRINTED</v>
      </c>
      <c r="E241" s="80" t="s">
        <v>431</v>
      </c>
      <c r="F241" s="122"/>
      <c r="G241" s="77" t="s">
        <v>432</v>
      </c>
      <c r="H241" s="79" t="str">
        <f aca="false">IFERROR(VLOOKUP(E:E,'Item Data Support Sheet'!A:O,2,0),"")</f>
        <v>NIPPLE S TYPE M SIZE WITH PRINTED WRAP</v>
      </c>
      <c r="I241" s="80" t="s">
        <v>587</v>
      </c>
      <c r="J241" s="80" t="s">
        <v>158</v>
      </c>
      <c r="K241" s="81" t="n">
        <v>5</v>
      </c>
      <c r="L241" s="124" t="n">
        <v>6000</v>
      </c>
      <c r="M241" s="83" t="n">
        <f aca="false">IFERROR(L241/K241,0)</f>
        <v>1200</v>
      </c>
      <c r="N241" s="84" t="n">
        <f aca="false">+O241+Q241+T241+U241</f>
        <v>8705</v>
      </c>
      <c r="O241" s="85" t="n">
        <v>8701</v>
      </c>
      <c r="P241" s="86" t="n">
        <v>0</v>
      </c>
      <c r="Q241" s="86" t="n">
        <v>0</v>
      </c>
      <c r="R241" s="132" t="n">
        <v>0</v>
      </c>
      <c r="S241" s="128" t="n">
        <v>0</v>
      </c>
      <c r="T241" s="132" t="n">
        <v>4</v>
      </c>
      <c r="U241" s="128" t="n">
        <v>0</v>
      </c>
      <c r="V241" s="128" t="n">
        <v>1</v>
      </c>
      <c r="W241" s="90" t="n">
        <f aca="false">IFERROR(O241/V241,0)</f>
        <v>8701</v>
      </c>
      <c r="X241" s="91" t="n">
        <f aca="false">O241/L241</f>
        <v>1.45016666666667</v>
      </c>
      <c r="Y241" s="92" t="str">
        <f aca="false">IFERROR(VLOOKUP(E:E,'Item Data Support Sheet'!A:J,6,0),0)</f>
        <v>FO020</v>
      </c>
      <c r="Z241" s="93" t="n">
        <f aca="false">IFERROR(VLOOKUP(E:E,'Item Data Support Sheet'!A:O,4,0),0)</f>
        <v>0</v>
      </c>
      <c r="AA241" s="93" t="n">
        <f aca="false">IFERROR(((N241)*(Z241/1000))+P241,0)</f>
        <v>0</v>
      </c>
      <c r="AB241" s="94" t="str">
        <f aca="false">IFERROR((O241*(Z241/1000)/(AA241))," ")</f>
        <v> </v>
      </c>
      <c r="AC241" s="95" t="n">
        <f aca="false">IFERROR((T241)/((T241)+O241),0)</f>
        <v>0.000459506031016657</v>
      </c>
      <c r="AD241" s="96" t="n">
        <f aca="false">IFERROR(Q241/(Q241+N241),0)</f>
        <v>0</v>
      </c>
      <c r="AE241" s="91" t="n">
        <f aca="false">(N241-T241)/N241</f>
        <v>0.999540493968983</v>
      </c>
      <c r="AF241" s="97" t="n">
        <f aca="false">BR241</f>
        <v>0</v>
      </c>
      <c r="AG241" s="98" t="n">
        <f aca="false">K241-AF241</f>
        <v>5</v>
      </c>
      <c r="AH241" s="99" t="n">
        <f aca="false">IFERROR(AG241/K241," ")</f>
        <v>1</v>
      </c>
      <c r="AI241" s="100" t="n">
        <f aca="false">IFERROR(O241/K241,0)</f>
        <v>1740.2</v>
      </c>
      <c r="AJ241" s="101" t="n">
        <f aca="false">VLOOKUP(D241,'Standard Cycle time'!C:D,2,0)</f>
        <v>2.5</v>
      </c>
      <c r="AK241" s="101" t="n">
        <f aca="false">AG241*V241*3600/O241</f>
        <v>2.06872773244455</v>
      </c>
      <c r="AL241" s="102" t="n">
        <f aca="false">AJ241/AK241</f>
        <v>1.20847222222222</v>
      </c>
      <c r="AM241" s="99" t="n">
        <f aca="false">AE241*AL241*AH241</f>
        <v>1.2079169219478</v>
      </c>
      <c r="AN241" s="103" t="s">
        <v>588</v>
      </c>
      <c r="AO241" s="104"/>
      <c r="AP241" s="105"/>
      <c r="AQ241" s="105" t="n">
        <v>0</v>
      </c>
      <c r="AR241" s="105" t="n">
        <v>0</v>
      </c>
      <c r="AS241" s="105" t="n">
        <v>0</v>
      </c>
      <c r="AT241" s="105" t="n">
        <v>0</v>
      </c>
      <c r="AU241" s="105" t="n">
        <v>0</v>
      </c>
      <c r="AV241" s="105" t="n">
        <v>0</v>
      </c>
      <c r="AW241" s="105" t="n">
        <v>0</v>
      </c>
      <c r="AX241" s="105" t="n">
        <v>0</v>
      </c>
      <c r="AY241" s="105" t="n">
        <v>0</v>
      </c>
      <c r="AZ241" s="105" t="n">
        <v>0</v>
      </c>
      <c r="BA241" s="105" t="n">
        <v>0</v>
      </c>
      <c r="BB241" s="105" t="n">
        <v>0</v>
      </c>
      <c r="BC241" s="105" t="n">
        <v>0</v>
      </c>
      <c r="BD241" s="105" t="n">
        <v>0</v>
      </c>
      <c r="BE241" s="105" t="n">
        <v>0</v>
      </c>
      <c r="BF241" s="105" t="n">
        <v>0</v>
      </c>
      <c r="BG241" s="105" t="n">
        <v>0</v>
      </c>
      <c r="BH241" s="105" t="n">
        <v>0</v>
      </c>
      <c r="BI241" s="105" t="n">
        <v>0</v>
      </c>
      <c r="BJ241" s="105" t="n">
        <v>0</v>
      </c>
      <c r="BK241" s="105" t="n">
        <v>0</v>
      </c>
      <c r="BL241" s="105" t="n">
        <v>0</v>
      </c>
      <c r="BM241" s="105" t="n">
        <v>0</v>
      </c>
      <c r="BN241" s="105" t="n">
        <v>0</v>
      </c>
      <c r="BO241" s="105" t="n">
        <v>0</v>
      </c>
      <c r="BP241" s="105" t="n">
        <v>0</v>
      </c>
      <c r="BQ241" s="105" t="n">
        <v>0</v>
      </c>
      <c r="BR241" s="106" t="n">
        <f aca="false">SUM(AP241:BQ241)/60</f>
        <v>0</v>
      </c>
      <c r="BS241" s="106" t="n">
        <f aca="false">SUM(AP241:BR241)/60</f>
        <v>0</v>
      </c>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row>
    <row r="242" customFormat="false" ht="14.9" hidden="true" customHeight="false" outlineLevel="0" collapsed="false">
      <c r="A242" s="74" t="n">
        <f aca="false">MONTH(B242)</f>
        <v>8</v>
      </c>
      <c r="B242" s="75" t="n">
        <v>44429</v>
      </c>
      <c r="C242" s="128" t="s">
        <v>51</v>
      </c>
      <c r="D242" s="77" t="str">
        <f aca="false">IFERROR(VLOOKUP(E:E,'Item Data Support Sheet'!A:O,7,0),"")</f>
        <v>BOTTLE MOLDED</v>
      </c>
      <c r="E242" s="80" t="s">
        <v>572</v>
      </c>
      <c r="F242" s="122" t="s">
        <v>589</v>
      </c>
      <c r="G242" s="77" t="s">
        <v>74</v>
      </c>
      <c r="H242" s="79" t="str">
        <f aca="false">IFERROR(VLOOKUP(E:E,'Item Data Support Sheet'!A:O,2,0),"")</f>
        <v>RPP 240 ML BOTTLE MOLDED</v>
      </c>
      <c r="I242" s="80" t="s">
        <v>590</v>
      </c>
      <c r="J242" s="80" t="s">
        <v>143</v>
      </c>
      <c r="K242" s="81" t="n">
        <v>8</v>
      </c>
      <c r="L242" s="124" t="n">
        <v>2574</v>
      </c>
      <c r="M242" s="83" t="n">
        <f aca="false">IFERROR(L242/K242,0)</f>
        <v>321.75</v>
      </c>
      <c r="N242" s="84" t="n">
        <f aca="false">+O242+Q242+T242+U242</f>
        <v>2640</v>
      </c>
      <c r="O242" s="85" t="n">
        <v>2520</v>
      </c>
      <c r="P242" s="86" t="n">
        <v>0.2</v>
      </c>
      <c r="Q242" s="86" t="n">
        <v>80</v>
      </c>
      <c r="R242" s="132" t="n">
        <v>0</v>
      </c>
      <c r="S242" s="128" t="n">
        <v>0</v>
      </c>
      <c r="T242" s="132" t="n">
        <v>40</v>
      </c>
      <c r="U242" s="128" t="n">
        <v>0</v>
      </c>
      <c r="V242" s="128" t="n">
        <v>1</v>
      </c>
      <c r="W242" s="90" t="n">
        <f aca="false">IFERROR(O242/V242,0)</f>
        <v>2520</v>
      </c>
      <c r="X242" s="91" t="n">
        <f aca="false">O242/L242</f>
        <v>0.979020979020979</v>
      </c>
      <c r="Y242" s="92" t="str">
        <f aca="false">IFERROR(VLOOKUP(E:E,'Item Data Support Sheet'!A:J,6,0),0)</f>
        <v>HMC</v>
      </c>
      <c r="Z242" s="93" t="n">
        <f aca="false">IFERROR(VLOOKUP(E:E,'Item Data Support Sheet'!A:O,4,0),0)</f>
        <v>32.1</v>
      </c>
      <c r="AA242" s="93" t="n">
        <f aca="false">IFERROR(((N242)*(Z242/1000))+P242,0)</f>
        <v>84.944</v>
      </c>
      <c r="AB242" s="94" t="n">
        <f aca="false">IFERROR((O242*(Z242/1000)/(AA242))," ")</f>
        <v>0.95229798455453</v>
      </c>
      <c r="AC242" s="95" t="n">
        <f aca="false">IFERROR((T242)/((T242)+O242),0)</f>
        <v>0.015625</v>
      </c>
      <c r="AD242" s="96" t="n">
        <f aca="false">IFERROR(Q242/(Q242+N242),0)</f>
        <v>0.0294117647058823</v>
      </c>
      <c r="AE242" s="91" t="n">
        <f aca="false">(N242-T242)/N242</f>
        <v>0.984848484848485</v>
      </c>
      <c r="AF242" s="97" t="n">
        <f aca="false">BR242</f>
        <v>0</v>
      </c>
      <c r="AG242" s="98" t="n">
        <f aca="false">K242-AF242</f>
        <v>8</v>
      </c>
      <c r="AH242" s="99" t="n">
        <f aca="false">IFERROR(AG242/K242," ")</f>
        <v>1</v>
      </c>
      <c r="AI242" s="100" t="n">
        <f aca="false">IFERROR(O242/K242,0)</f>
        <v>315</v>
      </c>
      <c r="AJ242" s="101" t="n">
        <f aca="false">VLOOKUP(D242,'Standard Cycle time'!C:D,2,0)</f>
        <v>9</v>
      </c>
      <c r="AK242" s="101" t="n">
        <f aca="false">AG242*V242*3600/O242</f>
        <v>11.4285714285714</v>
      </c>
      <c r="AL242" s="102" t="n">
        <f aca="false">AJ242/AK242</f>
        <v>0.7875</v>
      </c>
      <c r="AM242" s="99" t="n">
        <f aca="false">AE242*AL242*AH242</f>
        <v>0.775568181818182</v>
      </c>
      <c r="AN242" s="103" t="n">
        <v>2633</v>
      </c>
      <c r="AO242" s="104"/>
      <c r="AP242" s="105"/>
      <c r="AQ242" s="105" t="n">
        <v>0</v>
      </c>
      <c r="AR242" s="105" t="n">
        <v>0</v>
      </c>
      <c r="AS242" s="105" t="n">
        <v>0</v>
      </c>
      <c r="AT242" s="105" t="n">
        <v>0</v>
      </c>
      <c r="AU242" s="105" t="n">
        <v>0</v>
      </c>
      <c r="AV242" s="105" t="n">
        <v>0</v>
      </c>
      <c r="AW242" s="105" t="n">
        <v>0</v>
      </c>
      <c r="AX242" s="105" t="n">
        <v>0</v>
      </c>
      <c r="AY242" s="105" t="n">
        <v>0</v>
      </c>
      <c r="AZ242" s="105" t="n">
        <v>0</v>
      </c>
      <c r="BA242" s="105" t="n">
        <v>0</v>
      </c>
      <c r="BB242" s="105" t="n">
        <v>0</v>
      </c>
      <c r="BC242" s="105" t="n">
        <v>0</v>
      </c>
      <c r="BD242" s="105" t="n">
        <v>0</v>
      </c>
      <c r="BE242" s="105" t="n">
        <v>0</v>
      </c>
      <c r="BF242" s="105" t="n">
        <v>0</v>
      </c>
      <c r="BG242" s="105" t="n">
        <v>0</v>
      </c>
      <c r="BH242" s="105" t="n">
        <v>0</v>
      </c>
      <c r="BI242" s="105" t="n">
        <v>0</v>
      </c>
      <c r="BJ242" s="105" t="n">
        <v>0</v>
      </c>
      <c r="BK242" s="105" t="n">
        <v>0</v>
      </c>
      <c r="BL242" s="105" t="n">
        <v>0</v>
      </c>
      <c r="BM242" s="105" t="n">
        <v>0</v>
      </c>
      <c r="BN242" s="105" t="n">
        <v>0</v>
      </c>
      <c r="BO242" s="105" t="n">
        <v>0</v>
      </c>
      <c r="BP242" s="105" t="n">
        <v>0</v>
      </c>
      <c r="BQ242" s="105" t="n">
        <v>0</v>
      </c>
      <c r="BR242" s="106" t="n">
        <f aca="false">SUM(AP242:BQ242)/60</f>
        <v>0</v>
      </c>
      <c r="BS242" s="106" t="n">
        <f aca="false">SUM(AP242:BR242)/60</f>
        <v>0</v>
      </c>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row>
    <row r="243" customFormat="false" ht="14.9" hidden="true" customHeight="false" outlineLevel="0" collapsed="false">
      <c r="A243" s="74" t="n">
        <f aca="false">MONTH(B243)</f>
        <v>8</v>
      </c>
      <c r="B243" s="75" t="n">
        <v>44429</v>
      </c>
      <c r="C243" s="128" t="s">
        <v>63</v>
      </c>
      <c r="D243" s="77" t="str">
        <f aca="false">IFERROR(VLOOKUP(E:E,'Item Data Support Sheet'!A:O,7,0),"")</f>
        <v>BOTTLE PRINTED</v>
      </c>
      <c r="E243" s="80" t="s">
        <v>591</v>
      </c>
      <c r="F243" s="122"/>
      <c r="G243" s="77"/>
      <c r="H243" s="79" t="str">
        <f aca="false">IFERROR(VLOOKUP(E:E,'Item Data Support Sheet'!A:O,2,0),"")</f>
        <v>RPP 240 ML BOTTLE PRINTED</v>
      </c>
      <c r="I243" s="80" t="s">
        <v>592</v>
      </c>
      <c r="J243" s="80" t="s">
        <v>161</v>
      </c>
      <c r="K243" s="81" t="n">
        <v>2</v>
      </c>
      <c r="L243" s="124" t="n">
        <v>1200</v>
      </c>
      <c r="M243" s="83" t="n">
        <f aca="false">IFERROR(L243/K243,0)</f>
        <v>600</v>
      </c>
      <c r="N243" s="84" t="n">
        <f aca="false">+O243+Q243+T243+U243</f>
        <v>1257</v>
      </c>
      <c r="O243" s="85" t="n">
        <v>1246</v>
      </c>
      <c r="P243" s="86" t="n">
        <v>0</v>
      </c>
      <c r="Q243" s="86" t="n">
        <v>0</v>
      </c>
      <c r="R243" s="132" t="n">
        <v>8</v>
      </c>
      <c r="S243" s="128" t="n">
        <v>0</v>
      </c>
      <c r="T243" s="132" t="n">
        <v>11</v>
      </c>
      <c r="U243" s="128" t="n">
        <v>0</v>
      </c>
      <c r="V243" s="128" t="n">
        <v>6</v>
      </c>
      <c r="W243" s="90" t="n">
        <f aca="false">IFERROR(O243/V243,0)</f>
        <v>207.666666666667</v>
      </c>
      <c r="X243" s="91" t="n">
        <f aca="false">O243/L243</f>
        <v>1.03833333333333</v>
      </c>
      <c r="Y243" s="92" t="str">
        <f aca="false">IFERROR(VLOOKUP(E:E,'Item Data Support Sheet'!A:J,6,0),0)</f>
        <v>FO005</v>
      </c>
      <c r="Z243" s="93" t="n">
        <f aca="false">IFERROR(VLOOKUP(E:E,'Item Data Support Sheet'!A:O,4,0),0)</f>
        <v>0</v>
      </c>
      <c r="AA243" s="93" t="n">
        <f aca="false">IFERROR(((N243)*(Z243/1000))+P243,0)</f>
        <v>0</v>
      </c>
      <c r="AB243" s="94" t="str">
        <f aca="false">IFERROR((O243*(Z243/1000)/(AA243))," ")</f>
        <v> </v>
      </c>
      <c r="AC243" s="95" t="n">
        <f aca="false">IFERROR((T243)/((T243)+O243),0)</f>
        <v>0.00875099443118536</v>
      </c>
      <c r="AD243" s="96" t="n">
        <f aca="false">IFERROR(Q243/(Q243+N243),0)</f>
        <v>0</v>
      </c>
      <c r="AE243" s="91" t="n">
        <f aca="false">(N243-T243)/N243</f>
        <v>0.991249005568815</v>
      </c>
      <c r="AF243" s="97" t="n">
        <f aca="false">BR243</f>
        <v>0.166666666666667</v>
      </c>
      <c r="AG243" s="98" t="n">
        <f aca="false">K243-AF243</f>
        <v>1.83333333333333</v>
      </c>
      <c r="AH243" s="99" t="n">
        <f aca="false">IFERROR(AG243/K243," ")</f>
        <v>0.916666666666667</v>
      </c>
      <c r="AI243" s="100" t="n">
        <f aca="false">IFERROR(O243/K243,0)</f>
        <v>623</v>
      </c>
      <c r="AJ243" s="101" t="n">
        <f aca="false">VLOOKUP(D243,'Standard Cycle time'!C:D,2,0)</f>
        <v>32.4</v>
      </c>
      <c r="AK243" s="101" t="n">
        <f aca="false">AG243*V243*3600/O243</f>
        <v>31.7817014446228</v>
      </c>
      <c r="AL243" s="102" t="n">
        <f aca="false">AJ243/AK243</f>
        <v>1.01945454545455</v>
      </c>
      <c r="AM243" s="99" t="n">
        <f aca="false">AE243*AL243*AH243</f>
        <v>0.926322195704057</v>
      </c>
      <c r="AN243" s="103" t="s">
        <v>593</v>
      </c>
      <c r="AO243" s="109"/>
      <c r="AP243" s="105" t="n">
        <v>10</v>
      </c>
      <c r="AQ243" s="105" t="n">
        <v>0</v>
      </c>
      <c r="AR243" s="105" t="n">
        <v>0</v>
      </c>
      <c r="AS243" s="105" t="n">
        <v>0</v>
      </c>
      <c r="AT243" s="105" t="n">
        <v>0</v>
      </c>
      <c r="AU243" s="105" t="n">
        <v>0</v>
      </c>
      <c r="AV243" s="105" t="n">
        <v>0</v>
      </c>
      <c r="AW243" s="105" t="n">
        <v>0</v>
      </c>
      <c r="AX243" s="105" t="n">
        <v>0</v>
      </c>
      <c r="AY243" s="105" t="n">
        <v>0</v>
      </c>
      <c r="AZ243" s="105" t="n">
        <v>0</v>
      </c>
      <c r="BA243" s="105" t="n">
        <v>0</v>
      </c>
      <c r="BB243" s="105" t="n">
        <v>0</v>
      </c>
      <c r="BC243" s="105" t="n">
        <v>0</v>
      </c>
      <c r="BD243" s="105" t="n">
        <v>0</v>
      </c>
      <c r="BE243" s="105" t="n">
        <v>0</v>
      </c>
      <c r="BF243" s="105" t="n">
        <v>0</v>
      </c>
      <c r="BG243" s="105" t="n">
        <v>0</v>
      </c>
      <c r="BH243" s="105" t="n">
        <v>0</v>
      </c>
      <c r="BI243" s="105" t="n">
        <v>0</v>
      </c>
      <c r="BJ243" s="105" t="n">
        <v>0</v>
      </c>
      <c r="BK243" s="105" t="n">
        <v>0</v>
      </c>
      <c r="BL243" s="105" t="n">
        <v>0</v>
      </c>
      <c r="BM243" s="105" t="n">
        <v>0</v>
      </c>
      <c r="BN243" s="105" t="n">
        <v>0</v>
      </c>
      <c r="BO243" s="105" t="n">
        <v>0</v>
      </c>
      <c r="BP243" s="105" t="n">
        <v>0</v>
      </c>
      <c r="BQ243" s="105" t="n">
        <v>0</v>
      </c>
      <c r="BR243" s="106" t="n">
        <f aca="false">SUM(AP243:BQ243)/60</f>
        <v>0.166666666666667</v>
      </c>
      <c r="BS243" s="106" t="n">
        <f aca="false">SUM(AP243:BR243)/60</f>
        <v>0.169444444444444</v>
      </c>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row>
    <row r="244" customFormat="false" ht="14.9" hidden="true" customHeight="false" outlineLevel="0" collapsed="false">
      <c r="A244" s="74" t="n">
        <f aca="false">MONTH(B244)</f>
        <v>8</v>
      </c>
      <c r="B244" s="75" t="n">
        <v>44429</v>
      </c>
      <c r="C244" s="128" t="s">
        <v>63</v>
      </c>
      <c r="D244" s="77" t="str">
        <f aca="false">IFERROR(VLOOKUP(E:E,'Item Data Support Sheet'!A:O,7,0),"")</f>
        <v>BOTTLE PRINTED</v>
      </c>
      <c r="E244" s="80" t="s">
        <v>594</v>
      </c>
      <c r="F244" s="122"/>
      <c r="G244" s="77"/>
      <c r="H244" s="79" t="str">
        <f aca="false">IFERROR(VLOOKUP(E:E,'Item Data Support Sheet'!A:O,2,0),"")</f>
        <v>RPP 120 ML RPP PRINTED ELEPHANT</v>
      </c>
      <c r="I244" s="80" t="s">
        <v>595</v>
      </c>
      <c r="J244" s="80" t="s">
        <v>161</v>
      </c>
      <c r="K244" s="81" t="n">
        <v>2.5</v>
      </c>
      <c r="L244" s="124" t="n">
        <v>1062</v>
      </c>
      <c r="M244" s="83" t="n">
        <f aca="false">IFERROR(L244/K244,0)</f>
        <v>424.8</v>
      </c>
      <c r="N244" s="84" t="n">
        <f aca="false">+O244+Q244+T244+U244</f>
        <v>283</v>
      </c>
      <c r="O244" s="85" t="n">
        <v>275</v>
      </c>
      <c r="P244" s="86" t="n">
        <v>0</v>
      </c>
      <c r="Q244" s="86" t="n">
        <v>0</v>
      </c>
      <c r="R244" s="132" t="n">
        <v>12</v>
      </c>
      <c r="S244" s="128" t="n">
        <v>0</v>
      </c>
      <c r="T244" s="132" t="n">
        <v>8</v>
      </c>
      <c r="U244" s="128" t="n">
        <v>0</v>
      </c>
      <c r="V244" s="128" t="n">
        <v>6</v>
      </c>
      <c r="W244" s="90" t="n">
        <f aca="false">IFERROR(O244/V244,0)</f>
        <v>45.8333333333333</v>
      </c>
      <c r="X244" s="91" t="n">
        <f aca="false">O244/L244</f>
        <v>0.25894538606403</v>
      </c>
      <c r="Y244" s="92" t="str">
        <f aca="false">IFERROR(VLOOKUP(E:E,'Item Data Support Sheet'!A:J,6,0),0)</f>
        <v>FO004</v>
      </c>
      <c r="Z244" s="93" t="n">
        <f aca="false">IFERROR(VLOOKUP(E:E,'Item Data Support Sheet'!A:O,4,0),0)</f>
        <v>0</v>
      </c>
      <c r="AA244" s="93" t="n">
        <f aca="false">IFERROR(((N244)*(Z244/1000))+P244,0)</f>
        <v>0</v>
      </c>
      <c r="AB244" s="94" t="str">
        <f aca="false">IFERROR((O244*(Z244/1000)/(AA244))," ")</f>
        <v> </v>
      </c>
      <c r="AC244" s="95" t="n">
        <f aca="false">IFERROR((T244)/((T244)+O244),0)</f>
        <v>0.0282685512367491</v>
      </c>
      <c r="AD244" s="96" t="n">
        <f aca="false">IFERROR(Q244/(Q244+N244),0)</f>
        <v>0</v>
      </c>
      <c r="AE244" s="91" t="n">
        <f aca="false">(N244-T244)/N244</f>
        <v>0.971731448763251</v>
      </c>
      <c r="AF244" s="97" t="n">
        <f aca="false">BR244</f>
        <v>2</v>
      </c>
      <c r="AG244" s="98" t="n">
        <f aca="false">K244-AF244</f>
        <v>0.5</v>
      </c>
      <c r="AH244" s="99" t="n">
        <f aca="false">IFERROR(AG244/K244," ")</f>
        <v>0.2</v>
      </c>
      <c r="AI244" s="100" t="n">
        <f aca="false">IFERROR(O244/K244,0)</f>
        <v>110</v>
      </c>
      <c r="AJ244" s="101" t="n">
        <f aca="false">VLOOKUP(D244,'Standard Cycle time'!C:D,2,0)</f>
        <v>32.4</v>
      </c>
      <c r="AK244" s="101" t="n">
        <f aca="false">AG244*V244*3600/O244</f>
        <v>39.2727272727273</v>
      </c>
      <c r="AL244" s="102" t="n">
        <f aca="false">AJ244/AK244</f>
        <v>0.825</v>
      </c>
      <c r="AM244" s="99" t="n">
        <f aca="false">AE244*AL244*AH244</f>
        <v>0.160335689045936</v>
      </c>
      <c r="AN244" s="103" t="s">
        <v>596</v>
      </c>
      <c r="AO244" s="109" t="s">
        <v>597</v>
      </c>
      <c r="AP244" s="105" t="n">
        <v>30</v>
      </c>
      <c r="AQ244" s="105" t="n">
        <v>90</v>
      </c>
      <c r="AR244" s="105" t="n">
        <v>0</v>
      </c>
      <c r="AS244" s="105" t="n">
        <v>0</v>
      </c>
      <c r="AT244" s="105" t="n">
        <v>0</v>
      </c>
      <c r="AU244" s="105" t="n">
        <v>0</v>
      </c>
      <c r="AV244" s="105" t="n">
        <v>0</v>
      </c>
      <c r="AW244" s="105" t="n">
        <v>0</v>
      </c>
      <c r="AX244" s="105" t="n">
        <v>0</v>
      </c>
      <c r="AY244" s="105" t="n">
        <v>0</v>
      </c>
      <c r="AZ244" s="105" t="n">
        <v>0</v>
      </c>
      <c r="BA244" s="105" t="n">
        <v>0</v>
      </c>
      <c r="BB244" s="105" t="n">
        <v>0</v>
      </c>
      <c r="BC244" s="105" t="n">
        <v>0</v>
      </c>
      <c r="BD244" s="105" t="n">
        <v>0</v>
      </c>
      <c r="BE244" s="105" t="n">
        <v>0</v>
      </c>
      <c r="BF244" s="105" t="n">
        <v>0</v>
      </c>
      <c r="BG244" s="105" t="n">
        <v>0</v>
      </c>
      <c r="BH244" s="105" t="n">
        <v>0</v>
      </c>
      <c r="BI244" s="105" t="n">
        <v>0</v>
      </c>
      <c r="BJ244" s="105" t="n">
        <v>0</v>
      </c>
      <c r="BK244" s="105" t="n">
        <v>0</v>
      </c>
      <c r="BL244" s="105" t="n">
        <v>0</v>
      </c>
      <c r="BM244" s="105" t="n">
        <v>0</v>
      </c>
      <c r="BN244" s="105" t="n">
        <v>0</v>
      </c>
      <c r="BO244" s="105" t="n">
        <v>0</v>
      </c>
      <c r="BP244" s="105" t="n">
        <v>0</v>
      </c>
      <c r="BQ244" s="105" t="n">
        <v>0</v>
      </c>
      <c r="BR244" s="106" t="n">
        <f aca="false">SUM(AP244:BQ244)/60</f>
        <v>2</v>
      </c>
      <c r="BS244" s="106" t="n">
        <f aca="false">SUM(AP244:BR244)/60</f>
        <v>2.03333333333333</v>
      </c>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row>
    <row r="245" customFormat="false" ht="14.9" hidden="true" customHeight="false" outlineLevel="0" collapsed="false">
      <c r="A245" s="74" t="n">
        <f aca="false">MONTH(B245)</f>
        <v>8</v>
      </c>
      <c r="B245" s="133" t="n">
        <v>44432</v>
      </c>
      <c r="C245" s="128" t="s">
        <v>51</v>
      </c>
      <c r="D245" s="77" t="str">
        <f aca="false">IFERROR(VLOOKUP(E:E,'Item Data Support Sheet'!A:O,7,0),"")</f>
        <v>NIPPLE PUNCH</v>
      </c>
      <c r="E245" s="80" t="s">
        <v>563</v>
      </c>
      <c r="F245" s="122"/>
      <c r="G245" s="77"/>
      <c r="H245" s="79" t="str">
        <f aca="false">IFERROR(VLOOKUP(E:E,'Item Data Support Sheet'!A:O,2,0),"")</f>
        <v>NIPPLE S TYPE LL SIZE PUNCHED</v>
      </c>
      <c r="I245" s="80" t="s">
        <v>598</v>
      </c>
      <c r="J245" s="80" t="s">
        <v>140</v>
      </c>
      <c r="K245" s="81" t="n">
        <v>8</v>
      </c>
      <c r="L245" s="124" t="n">
        <v>7000</v>
      </c>
      <c r="M245" s="83" t="n">
        <f aca="false">IFERROR(L245/K245,0)</f>
        <v>875</v>
      </c>
      <c r="N245" s="84" t="n">
        <f aca="false">+O245+Q245+T245+U245</f>
        <v>6500</v>
      </c>
      <c r="O245" s="85" t="n">
        <v>6500</v>
      </c>
      <c r="P245" s="86" t="n">
        <v>0</v>
      </c>
      <c r="Q245" s="86" t="n">
        <v>0</v>
      </c>
      <c r="R245" s="132" t="n">
        <v>0</v>
      </c>
      <c r="S245" s="128" t="n">
        <v>0</v>
      </c>
      <c r="T245" s="132" t="n">
        <v>0</v>
      </c>
      <c r="U245" s="128" t="n">
        <v>0</v>
      </c>
      <c r="V245" s="128" t="n">
        <v>1</v>
      </c>
      <c r="W245" s="90" t="n">
        <f aca="false">IFERROR(O245/V245,0)</f>
        <v>6500</v>
      </c>
      <c r="X245" s="91" t="n">
        <f aca="false">O245/L245</f>
        <v>0.928571428571429</v>
      </c>
      <c r="Y245" s="92" t="str">
        <f aca="false">IFERROR(VLOOKUP(E:E,'Item Data Support Sheet'!A:J,6,0),0)</f>
        <v>FO150</v>
      </c>
      <c r="Z245" s="93" t="n">
        <f aca="false">IFERROR(VLOOKUP(E:E,'Item Data Support Sheet'!A:O,4,0),0)</f>
        <v>0</v>
      </c>
      <c r="AA245" s="93" t="n">
        <f aca="false">IFERROR(((N245)*(Z245/1000))+P245,0)</f>
        <v>0</v>
      </c>
      <c r="AB245" s="94" t="str">
        <f aca="false">IFERROR((O245*(Z245/1000)/(AA245))," ")</f>
        <v> </v>
      </c>
      <c r="AC245" s="95" t="n">
        <f aca="false">IFERROR((T245)/((T245)+O245),0)</f>
        <v>0</v>
      </c>
      <c r="AD245" s="96" t="n">
        <f aca="false">IFERROR(Q245/(Q245+N245),0)</f>
        <v>0</v>
      </c>
      <c r="AE245" s="91" t="n">
        <f aca="false">(N245-T245)/N245</f>
        <v>1</v>
      </c>
      <c r="AF245" s="97" t="n">
        <f aca="false">BR245</f>
        <v>0.666666666666667</v>
      </c>
      <c r="AG245" s="98" t="n">
        <f aca="false">K245-AF245</f>
        <v>7.33333333333333</v>
      </c>
      <c r="AH245" s="99" t="n">
        <f aca="false">IFERROR(AG245/K245," ")</f>
        <v>0.916666666666667</v>
      </c>
      <c r="AI245" s="100" t="n">
        <f aca="false">IFERROR(O245/K245,0)</f>
        <v>812.5</v>
      </c>
      <c r="AJ245" s="101" t="n">
        <f aca="false">VLOOKUP(D245,'Standard Cycle time'!C:D,2,0)</f>
        <v>3.5</v>
      </c>
      <c r="AK245" s="101" t="n">
        <f aca="false">AG245*V245*3600/O245</f>
        <v>4.06153846153846</v>
      </c>
      <c r="AL245" s="102" t="n">
        <f aca="false">AJ245/AK245</f>
        <v>0.861742424242424</v>
      </c>
      <c r="AM245" s="99" t="n">
        <f aca="false">AE245*AL245*AH245</f>
        <v>0.789930555555556</v>
      </c>
      <c r="AN245" s="103" t="n">
        <v>2640</v>
      </c>
      <c r="AO245" s="130" t="s">
        <v>599</v>
      </c>
      <c r="AP245" s="105" t="n">
        <v>40</v>
      </c>
      <c r="AQ245" s="105" t="n">
        <v>0</v>
      </c>
      <c r="AR245" s="105" t="n">
        <v>0</v>
      </c>
      <c r="AS245" s="105" t="n">
        <v>0</v>
      </c>
      <c r="AT245" s="105" t="n">
        <v>0</v>
      </c>
      <c r="AU245" s="105" t="n">
        <v>0</v>
      </c>
      <c r="AV245" s="105" t="n">
        <v>0</v>
      </c>
      <c r="AW245" s="105" t="n">
        <v>0</v>
      </c>
      <c r="AX245" s="105" t="n">
        <v>0</v>
      </c>
      <c r="AY245" s="105" t="n">
        <v>0</v>
      </c>
      <c r="AZ245" s="105" t="n">
        <v>0</v>
      </c>
      <c r="BA245" s="105" t="n">
        <v>0</v>
      </c>
      <c r="BB245" s="105" t="n">
        <v>0</v>
      </c>
      <c r="BC245" s="105" t="n">
        <v>0</v>
      </c>
      <c r="BD245" s="105" t="n">
        <v>0</v>
      </c>
      <c r="BE245" s="105" t="n">
        <v>0</v>
      </c>
      <c r="BF245" s="105" t="n">
        <v>0</v>
      </c>
      <c r="BG245" s="105" t="n">
        <v>0</v>
      </c>
      <c r="BH245" s="105" t="n">
        <v>0</v>
      </c>
      <c r="BI245" s="105" t="n">
        <v>0</v>
      </c>
      <c r="BJ245" s="105" t="n">
        <v>0</v>
      </c>
      <c r="BK245" s="105" t="n">
        <v>0</v>
      </c>
      <c r="BL245" s="105" t="n">
        <v>0</v>
      </c>
      <c r="BM245" s="105" t="n">
        <v>0</v>
      </c>
      <c r="BN245" s="105" t="n">
        <v>0</v>
      </c>
      <c r="BO245" s="105" t="n">
        <v>0</v>
      </c>
      <c r="BP245" s="105" t="n">
        <v>0</v>
      </c>
      <c r="BQ245" s="105" t="n">
        <v>0</v>
      </c>
      <c r="BR245" s="106" t="n">
        <f aca="false">SUM(AP245:BQ245)/60</f>
        <v>0.666666666666667</v>
      </c>
      <c r="BS245" s="106" t="n">
        <f aca="false">SUM(AP245:BR245)/60</f>
        <v>0.677777777777778</v>
      </c>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row>
    <row r="246" customFormat="false" ht="14.9" hidden="true" customHeight="false" outlineLevel="0" collapsed="false">
      <c r="A246" s="74" t="n">
        <f aca="false">MONTH(B246)</f>
        <v>8</v>
      </c>
      <c r="B246" s="133" t="n">
        <v>44432</v>
      </c>
      <c r="C246" s="128" t="s">
        <v>51</v>
      </c>
      <c r="D246" s="77" t="str">
        <f aca="false">IFERROR(VLOOKUP(E:E,'Item Data Support Sheet'!A:O,7,0),"")</f>
        <v>NIPPLE LASER MARKING</v>
      </c>
      <c r="E246" s="80" t="s">
        <v>600</v>
      </c>
      <c r="F246" s="122"/>
      <c r="G246" s="77"/>
      <c r="H246" s="79" t="str">
        <f aca="false">IFERROR(VLOOKUP(E:E,'Item Data Support Sheet'!A:O,2,0),"")</f>
        <v>NIPPLE S TYPE LL SIZE LASER MARKED</v>
      </c>
      <c r="I246" s="80" t="s">
        <v>601</v>
      </c>
      <c r="J246" s="80" t="s">
        <v>140</v>
      </c>
      <c r="K246" s="81" t="n">
        <v>8</v>
      </c>
      <c r="L246" s="124" t="n">
        <v>7000</v>
      </c>
      <c r="M246" s="83" t="n">
        <f aca="false">IFERROR(L246/K246,0)</f>
        <v>875</v>
      </c>
      <c r="N246" s="84" t="n">
        <f aca="false">+O246+Q246+T246+U246</f>
        <v>7100</v>
      </c>
      <c r="O246" s="85" t="n">
        <v>7100</v>
      </c>
      <c r="P246" s="86" t="n">
        <v>0</v>
      </c>
      <c r="Q246" s="86" t="n">
        <v>0</v>
      </c>
      <c r="R246" s="132" t="n">
        <v>0</v>
      </c>
      <c r="S246" s="128" t="n">
        <v>0</v>
      </c>
      <c r="T246" s="132" t="n">
        <v>0</v>
      </c>
      <c r="U246" s="128" t="n">
        <v>0</v>
      </c>
      <c r="V246" s="128" t="n">
        <v>1</v>
      </c>
      <c r="W246" s="90" t="n">
        <f aca="false">IFERROR(O246/V246,0)</f>
        <v>7100</v>
      </c>
      <c r="X246" s="91" t="n">
        <f aca="false">O246/L246</f>
        <v>1.01428571428571</v>
      </c>
      <c r="Y246" s="92" t="str">
        <f aca="false">IFERROR(VLOOKUP(E:E,'Item Data Support Sheet'!A:J,6,0),0)</f>
        <v>FO151</v>
      </c>
      <c r="Z246" s="93" t="n">
        <f aca="false">IFERROR(VLOOKUP(E:E,'Item Data Support Sheet'!A:O,4,0),0)</f>
        <v>0</v>
      </c>
      <c r="AA246" s="93" t="n">
        <f aca="false">IFERROR(((N246)*(Z246/1000))+P246,0)</f>
        <v>0</v>
      </c>
      <c r="AB246" s="94" t="str">
        <f aca="false">IFERROR((O246*(Z246/1000)/(AA246))," ")</f>
        <v> </v>
      </c>
      <c r="AC246" s="95" t="n">
        <f aca="false">IFERROR((T246)/((T246)+O246),0)</f>
        <v>0</v>
      </c>
      <c r="AD246" s="96" t="n">
        <f aca="false">IFERROR(Q246/(Q246+N246),0)</f>
        <v>0</v>
      </c>
      <c r="AE246" s="91" t="n">
        <f aca="false">(N246-T246)/N246</f>
        <v>1</v>
      </c>
      <c r="AF246" s="97" t="n">
        <f aca="false">BR246</f>
        <v>0.666666666666667</v>
      </c>
      <c r="AG246" s="98" t="n">
        <f aca="false">K246-AF246</f>
        <v>7.33333333333333</v>
      </c>
      <c r="AH246" s="99" t="n">
        <f aca="false">IFERROR(AG246/K246," ")</f>
        <v>0.916666666666667</v>
      </c>
      <c r="AI246" s="100" t="n">
        <f aca="false">IFERROR(O246/K246,0)</f>
        <v>887.5</v>
      </c>
      <c r="AJ246" s="101" t="n">
        <f aca="false">VLOOKUP(D246,'Standard Cycle time'!C:D,2,0)</f>
        <v>3.5</v>
      </c>
      <c r="AK246" s="101" t="n">
        <f aca="false">AG246*V246*3600/O246</f>
        <v>3.71830985915493</v>
      </c>
      <c r="AL246" s="102" t="n">
        <f aca="false">AJ246/AK246</f>
        <v>0.941287878787879</v>
      </c>
      <c r="AM246" s="99" t="n">
        <f aca="false">AE246*AL246*AH246</f>
        <v>0.862847222222222</v>
      </c>
      <c r="AN246" s="103" t="s">
        <v>602</v>
      </c>
      <c r="AO246" s="109"/>
      <c r="AP246" s="105" t="n">
        <v>40</v>
      </c>
      <c r="AQ246" s="105" t="n">
        <v>0</v>
      </c>
      <c r="AR246" s="105" t="n">
        <v>0</v>
      </c>
      <c r="AS246" s="105" t="n">
        <v>0</v>
      </c>
      <c r="AT246" s="105" t="n">
        <v>0</v>
      </c>
      <c r="AU246" s="105" t="n">
        <v>0</v>
      </c>
      <c r="AV246" s="105" t="n">
        <v>0</v>
      </c>
      <c r="AW246" s="105" t="n">
        <v>0</v>
      </c>
      <c r="AX246" s="105" t="n">
        <v>0</v>
      </c>
      <c r="AY246" s="105" t="n">
        <v>0</v>
      </c>
      <c r="AZ246" s="105" t="n">
        <v>0</v>
      </c>
      <c r="BA246" s="105" t="n">
        <v>0</v>
      </c>
      <c r="BB246" s="105" t="n">
        <v>0</v>
      </c>
      <c r="BC246" s="105" t="n">
        <v>0</v>
      </c>
      <c r="BD246" s="105" t="n">
        <v>0</v>
      </c>
      <c r="BE246" s="105" t="n">
        <v>0</v>
      </c>
      <c r="BF246" s="105" t="n">
        <v>0</v>
      </c>
      <c r="BG246" s="105" t="n">
        <v>0</v>
      </c>
      <c r="BH246" s="105" t="n">
        <v>0</v>
      </c>
      <c r="BI246" s="105" t="n">
        <v>0</v>
      </c>
      <c r="BJ246" s="105" t="n">
        <v>0</v>
      </c>
      <c r="BK246" s="105" t="n">
        <v>0</v>
      </c>
      <c r="BL246" s="105" t="n">
        <v>0</v>
      </c>
      <c r="BM246" s="105" t="n">
        <v>0</v>
      </c>
      <c r="BN246" s="105" t="n">
        <v>0</v>
      </c>
      <c r="BO246" s="105" t="n">
        <v>0</v>
      </c>
      <c r="BP246" s="105" t="n">
        <v>0</v>
      </c>
      <c r="BQ246" s="105" t="n">
        <v>0</v>
      </c>
      <c r="BR246" s="106" t="n">
        <f aca="false">SUM(AP246:BQ246)/60</f>
        <v>0.666666666666667</v>
      </c>
      <c r="BS246" s="106" t="n">
        <f aca="false">SUM(AP246:BR246)/60</f>
        <v>0.677777777777778</v>
      </c>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row>
    <row r="247" customFormat="false" ht="15.75" hidden="true" customHeight="true" outlineLevel="0" collapsed="false">
      <c r="A247" s="74" t="n">
        <f aca="false">MONTH(B247)</f>
        <v>8</v>
      </c>
      <c r="B247" s="133" t="n">
        <v>44432</v>
      </c>
      <c r="C247" s="128" t="s">
        <v>51</v>
      </c>
      <c r="D247" s="77" t="str">
        <f aca="false">IFERROR(VLOOKUP(E:E,'Item Data Support Sheet'!A:O,7,0),"")</f>
        <v>HOOD MOLDED</v>
      </c>
      <c r="E247" s="80" t="s">
        <v>529</v>
      </c>
      <c r="F247" s="122"/>
      <c r="G247" s="77"/>
      <c r="H247" s="79" t="str">
        <f aca="false">IFERROR(VLOOKUP(E:E,'Item Data Support Sheet'!A:O,2,0),"")</f>
        <v>HOOD S TYPE MOLDED</v>
      </c>
      <c r="I247" s="80" t="s">
        <v>603</v>
      </c>
      <c r="J247" s="80" t="s">
        <v>140</v>
      </c>
      <c r="K247" s="81" t="n">
        <v>2</v>
      </c>
      <c r="L247" s="124" t="n">
        <v>4137</v>
      </c>
      <c r="M247" s="83" t="n">
        <f aca="false">IFERROR(L247/K247,0)</f>
        <v>2068.5</v>
      </c>
      <c r="N247" s="84" t="n">
        <f aca="false">+O247+Q247+T247+U247</f>
        <v>1795</v>
      </c>
      <c r="O247" s="85" t="n">
        <v>1100</v>
      </c>
      <c r="P247" s="86" t="n">
        <v>0</v>
      </c>
      <c r="Q247" s="86" t="n">
        <v>600</v>
      </c>
      <c r="R247" s="132" t="n">
        <v>0</v>
      </c>
      <c r="S247" s="128" t="n">
        <v>0</v>
      </c>
      <c r="T247" s="132" t="n">
        <v>95</v>
      </c>
      <c r="U247" s="128" t="n">
        <v>0</v>
      </c>
      <c r="V247" s="128" t="n">
        <v>1</v>
      </c>
      <c r="W247" s="90" t="n">
        <f aca="false">IFERROR(O247/V247,0)</f>
        <v>1100</v>
      </c>
      <c r="X247" s="91" t="n">
        <f aca="false">O247/L247</f>
        <v>0.265893159294174</v>
      </c>
      <c r="Y247" s="92" t="str">
        <f aca="false">IFERROR(VLOOKUP(E:E,'Item Data Support Sheet'!A:J,6,0),0)</f>
        <v>HMC</v>
      </c>
      <c r="Z247" s="93" t="n">
        <f aca="false">IFERROR(VLOOKUP(E:E,'Item Data Support Sheet'!A:O,4,0),0)</f>
        <v>8.6</v>
      </c>
      <c r="AA247" s="93" t="n">
        <f aca="false">IFERROR(((N247)*(Z247/1000))+P247,0)</f>
        <v>15.437</v>
      </c>
      <c r="AB247" s="94" t="n">
        <f aca="false">IFERROR((O247*(Z247/1000)/(AA247))," ")</f>
        <v>0.612813370473538</v>
      </c>
      <c r="AC247" s="95" t="n">
        <f aca="false">IFERROR((T247)/((T247)+O247),0)</f>
        <v>0.0794979079497908</v>
      </c>
      <c r="AD247" s="96" t="n">
        <f aca="false">IFERROR(Q247/(Q247+N247),0)</f>
        <v>0.250521920668058</v>
      </c>
      <c r="AE247" s="91" t="n">
        <f aca="false">(N247-T247)/N247</f>
        <v>0.947075208913649</v>
      </c>
      <c r="AF247" s="97" t="n">
        <f aca="false">BR247</f>
        <v>0</v>
      </c>
      <c r="AG247" s="98" t="n">
        <f aca="false">K247-AF247</f>
        <v>2</v>
      </c>
      <c r="AH247" s="99" t="n">
        <f aca="false">IFERROR(AG247/K247," ")</f>
        <v>1</v>
      </c>
      <c r="AI247" s="100" t="n">
        <f aca="false">IFERROR(O247/K247,0)</f>
        <v>550</v>
      </c>
      <c r="AJ247" s="101" t="n">
        <f aca="false">VLOOKUP(D247,'Standard Cycle time'!C:D,2,0)</f>
        <v>6</v>
      </c>
      <c r="AK247" s="101" t="n">
        <f aca="false">AG247*V247*3600/O247</f>
        <v>6.54545454545455</v>
      </c>
      <c r="AL247" s="102" t="n">
        <f aca="false">AJ247/AK247</f>
        <v>0.916666666666667</v>
      </c>
      <c r="AM247" s="99" t="n">
        <f aca="false">AE247*AL247*AH247</f>
        <v>0.868152274837512</v>
      </c>
      <c r="AN247" s="103" t="n">
        <v>2643</v>
      </c>
      <c r="AO247" s="110" t="s">
        <v>604</v>
      </c>
      <c r="AP247" s="105"/>
      <c r="AQ247" s="105" t="n">
        <v>0</v>
      </c>
      <c r="AR247" s="105" t="n">
        <v>0</v>
      </c>
      <c r="AS247" s="105" t="n">
        <v>0</v>
      </c>
      <c r="AT247" s="105" t="n">
        <v>0</v>
      </c>
      <c r="AU247" s="105" t="n">
        <v>0</v>
      </c>
      <c r="AV247" s="105" t="n">
        <v>0</v>
      </c>
      <c r="AW247" s="105" t="n">
        <v>0</v>
      </c>
      <c r="AX247" s="105" t="n">
        <v>0</v>
      </c>
      <c r="AY247" s="105" t="n">
        <v>0</v>
      </c>
      <c r="AZ247" s="105" t="n">
        <v>0</v>
      </c>
      <c r="BA247" s="105" t="n">
        <v>0</v>
      </c>
      <c r="BB247" s="105" t="n">
        <v>0</v>
      </c>
      <c r="BC247" s="105" t="n">
        <v>0</v>
      </c>
      <c r="BD247" s="105" t="n">
        <v>0</v>
      </c>
      <c r="BE247" s="105" t="n">
        <v>0</v>
      </c>
      <c r="BF247" s="105" t="n">
        <v>0</v>
      </c>
      <c r="BG247" s="105" t="n">
        <v>0</v>
      </c>
      <c r="BH247" s="105" t="n">
        <v>0</v>
      </c>
      <c r="BI247" s="105" t="n">
        <v>0</v>
      </c>
      <c r="BJ247" s="105" t="n">
        <v>0</v>
      </c>
      <c r="BK247" s="105" t="n">
        <v>0</v>
      </c>
      <c r="BL247" s="105" t="n">
        <v>0</v>
      </c>
      <c r="BM247" s="105" t="n">
        <v>0</v>
      </c>
      <c r="BN247" s="105" t="n">
        <v>0</v>
      </c>
      <c r="BO247" s="105" t="n">
        <v>0</v>
      </c>
      <c r="BP247" s="105" t="n">
        <v>0</v>
      </c>
      <c r="BQ247" s="105" t="n">
        <v>0</v>
      </c>
      <c r="BR247" s="106" t="n">
        <f aca="false">SUM(AP247:BQ247)/60</f>
        <v>0</v>
      </c>
      <c r="BS247" s="106" t="n">
        <f aca="false">SUM(AP247:BR247)/60</f>
        <v>0</v>
      </c>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row>
    <row r="248" customFormat="false" ht="14.9" hidden="true" customHeight="false" outlineLevel="0" collapsed="false">
      <c r="A248" s="74" t="n">
        <f aca="false">MONTH(B248)</f>
        <v>8</v>
      </c>
      <c r="B248" s="133" t="n">
        <v>44432</v>
      </c>
      <c r="C248" s="128" t="s">
        <v>63</v>
      </c>
      <c r="D248" s="77" t="str">
        <f aca="false">IFERROR(VLOOKUP(E:E,'Item Data Support Sheet'!A:O,7,0),"")</f>
        <v>BOTTLE PRINTED</v>
      </c>
      <c r="E248" s="80" t="s">
        <v>594</v>
      </c>
      <c r="F248" s="122"/>
      <c r="G248" s="77" t="s">
        <v>66</v>
      </c>
      <c r="H248" s="79" t="str">
        <f aca="false">IFERROR(VLOOKUP(E:E,'Item Data Support Sheet'!A:O,2,0),"")</f>
        <v>RPP 120 ML RPP PRINTED ELEPHANT</v>
      </c>
      <c r="I248" s="80" t="s">
        <v>605</v>
      </c>
      <c r="J248" s="80" t="s">
        <v>161</v>
      </c>
      <c r="K248" s="81" t="n">
        <v>2</v>
      </c>
      <c r="L248" s="124" t="n">
        <v>600</v>
      </c>
      <c r="M248" s="83" t="n">
        <f aca="false">IFERROR(L248/K248,0)</f>
        <v>300</v>
      </c>
      <c r="N248" s="84" t="n">
        <f aca="false">+O248+Q248+T248+U248</f>
        <v>140</v>
      </c>
      <c r="O248" s="85" t="n">
        <v>137</v>
      </c>
      <c r="P248" s="86" t="n">
        <v>0</v>
      </c>
      <c r="Q248" s="86" t="n">
        <v>0</v>
      </c>
      <c r="R248" s="132" t="n">
        <v>5</v>
      </c>
      <c r="S248" s="128" t="n">
        <v>0</v>
      </c>
      <c r="T248" s="132" t="n">
        <v>3</v>
      </c>
      <c r="U248" s="128" t="n">
        <v>0</v>
      </c>
      <c r="V248" s="128" t="n">
        <v>5</v>
      </c>
      <c r="W248" s="90" t="n">
        <f aca="false">IFERROR(O248/V248,0)</f>
        <v>27.4</v>
      </c>
      <c r="X248" s="91" t="n">
        <f aca="false">O248/L248</f>
        <v>0.228333333333333</v>
      </c>
      <c r="Y248" s="92" t="str">
        <f aca="false">IFERROR(VLOOKUP(E:E,'Item Data Support Sheet'!A:J,6,0),0)</f>
        <v>FO004</v>
      </c>
      <c r="Z248" s="93" t="n">
        <f aca="false">IFERROR(VLOOKUP(E:E,'Item Data Support Sheet'!A:O,4,0),0)</f>
        <v>0</v>
      </c>
      <c r="AA248" s="93" t="n">
        <f aca="false">IFERROR(((N248)*(Z248/1000))+P248,0)</f>
        <v>0</v>
      </c>
      <c r="AB248" s="94" t="str">
        <f aca="false">IFERROR((O248*(Z248/1000)/(AA248))," ")</f>
        <v> </v>
      </c>
      <c r="AC248" s="95" t="n">
        <f aca="false">IFERROR((T248)/((T248)+O248),0)</f>
        <v>0.0214285714285714</v>
      </c>
      <c r="AD248" s="96" t="n">
        <f aca="false">IFERROR(Q248/(Q248+N248),0)</f>
        <v>0</v>
      </c>
      <c r="AE248" s="91" t="n">
        <f aca="false">(N248-T248)/N248</f>
        <v>0.978571428571429</v>
      </c>
      <c r="AF248" s="97" t="n">
        <f aca="false">BR248</f>
        <v>1.66666666666667</v>
      </c>
      <c r="AG248" s="98" t="n">
        <f aca="false">K248-AF248</f>
        <v>0.333333333333333</v>
      </c>
      <c r="AH248" s="99" t="n">
        <f aca="false">IFERROR(AG248/K248," ")</f>
        <v>0.166666666666667</v>
      </c>
      <c r="AI248" s="100" t="n">
        <f aca="false">IFERROR(O248/K248,0)</f>
        <v>68.5</v>
      </c>
      <c r="AJ248" s="101" t="n">
        <f aca="false">VLOOKUP(D248,'Standard Cycle time'!C:D,2,0)</f>
        <v>32.4</v>
      </c>
      <c r="AK248" s="101" t="n">
        <f aca="false">AG248*V248*3600/O248</f>
        <v>43.7956204379562</v>
      </c>
      <c r="AL248" s="102" t="n">
        <f aca="false">AJ248/AK248</f>
        <v>0.7398</v>
      </c>
      <c r="AM248" s="99" t="n">
        <f aca="false">AE248*AL248*AH248</f>
        <v>0.120657857142857</v>
      </c>
      <c r="AN248" s="103" t="s">
        <v>606</v>
      </c>
      <c r="AO248" s="130" t="s">
        <v>607</v>
      </c>
      <c r="AP248" s="105" t="n">
        <v>20</v>
      </c>
      <c r="AQ248" s="105" t="n">
        <v>80</v>
      </c>
      <c r="AR248" s="105" t="n">
        <v>0</v>
      </c>
      <c r="AS248" s="105" t="n">
        <v>0</v>
      </c>
      <c r="AT248" s="105" t="n">
        <v>0</v>
      </c>
      <c r="AU248" s="105" t="n">
        <v>0</v>
      </c>
      <c r="AV248" s="105" t="n">
        <v>0</v>
      </c>
      <c r="AW248" s="105" t="n">
        <v>0</v>
      </c>
      <c r="AX248" s="105" t="n">
        <v>0</v>
      </c>
      <c r="AY248" s="105" t="n">
        <v>0</v>
      </c>
      <c r="AZ248" s="105" t="n">
        <v>0</v>
      </c>
      <c r="BA248" s="105" t="n">
        <v>0</v>
      </c>
      <c r="BB248" s="105" t="n">
        <v>0</v>
      </c>
      <c r="BC248" s="105" t="n">
        <v>0</v>
      </c>
      <c r="BD248" s="105" t="n">
        <v>0</v>
      </c>
      <c r="BE248" s="105" t="n">
        <v>0</v>
      </c>
      <c r="BF248" s="105" t="n">
        <v>0</v>
      </c>
      <c r="BG248" s="105" t="n">
        <v>0</v>
      </c>
      <c r="BH248" s="105" t="n">
        <v>0</v>
      </c>
      <c r="BI248" s="105" t="n">
        <v>0</v>
      </c>
      <c r="BJ248" s="105" t="n">
        <v>0</v>
      </c>
      <c r="BK248" s="105" t="n">
        <v>0</v>
      </c>
      <c r="BL248" s="105" t="n">
        <v>0</v>
      </c>
      <c r="BM248" s="105" t="n">
        <v>0</v>
      </c>
      <c r="BN248" s="105" t="n">
        <v>0</v>
      </c>
      <c r="BO248" s="105" t="n">
        <v>0</v>
      </c>
      <c r="BP248" s="105" t="n">
        <v>0</v>
      </c>
      <c r="BQ248" s="105" t="n">
        <v>0</v>
      </c>
      <c r="BR248" s="106" t="n">
        <f aca="false">SUM(AP248:BQ248)/60</f>
        <v>1.66666666666667</v>
      </c>
      <c r="BS248" s="106" t="n">
        <f aca="false">SUM(AP248:BR248)/60</f>
        <v>1.69444444444444</v>
      </c>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row>
    <row r="249" customFormat="false" ht="14.9" hidden="true" customHeight="false" outlineLevel="0" collapsed="false">
      <c r="A249" s="74" t="n">
        <f aca="false">MONTH(B249)</f>
        <v>8</v>
      </c>
      <c r="B249" s="133" t="n">
        <v>44432</v>
      </c>
      <c r="C249" s="128" t="s">
        <v>63</v>
      </c>
      <c r="D249" s="77" t="str">
        <f aca="false">IFERROR(VLOOKUP(E:E,'Item Data Support Sheet'!A:O,7,0),"")</f>
        <v>BOTTLE PRINTED</v>
      </c>
      <c r="E249" s="80" t="s">
        <v>608</v>
      </c>
      <c r="F249" s="122"/>
      <c r="G249" s="77" t="s">
        <v>66</v>
      </c>
      <c r="H249" s="79" t="str">
        <f aca="false">IFERROR(VLOOKUP(E:E,'Item Data Support Sheet'!A:O,2,0),"")</f>
        <v>RPP 120ML BOY BLUE BOTLE PNTD WM3GB W/BIS LOGO</v>
      </c>
      <c r="I249" s="80" t="s">
        <v>609</v>
      </c>
      <c r="J249" s="80" t="s">
        <v>161</v>
      </c>
      <c r="K249" s="81" t="n">
        <v>2</v>
      </c>
      <c r="L249" s="124" t="n">
        <v>600</v>
      </c>
      <c r="M249" s="83" t="n">
        <f aca="false">IFERROR(L249/K249,0)</f>
        <v>300</v>
      </c>
      <c r="N249" s="84" t="n">
        <f aca="false">+O249+Q249+T249+U249</f>
        <v>407</v>
      </c>
      <c r="O249" s="85" t="n">
        <v>396</v>
      </c>
      <c r="P249" s="86" t="n">
        <v>0</v>
      </c>
      <c r="Q249" s="86" t="n">
        <v>0</v>
      </c>
      <c r="R249" s="132" t="n">
        <v>9</v>
      </c>
      <c r="S249" s="128" t="n">
        <v>0</v>
      </c>
      <c r="T249" s="132" t="n">
        <v>11</v>
      </c>
      <c r="U249" s="128" t="n">
        <v>0</v>
      </c>
      <c r="V249" s="128" t="n">
        <v>5</v>
      </c>
      <c r="W249" s="90" t="n">
        <f aca="false">IFERROR(O249/V249,0)</f>
        <v>79.2</v>
      </c>
      <c r="X249" s="91" t="n">
        <f aca="false">O249/L249</f>
        <v>0.66</v>
      </c>
      <c r="Y249" s="92" t="str">
        <f aca="false">IFERROR(VLOOKUP(E:E,'Item Data Support Sheet'!A:J,6,0),0)</f>
        <v>FO054</v>
      </c>
      <c r="Z249" s="93" t="n">
        <f aca="false">IFERROR(VLOOKUP(E:E,'Item Data Support Sheet'!A:O,4,0),0)</f>
        <v>0</v>
      </c>
      <c r="AA249" s="93" t="n">
        <f aca="false">IFERROR(((N249)*(Z249/1000))+P249,0)</f>
        <v>0</v>
      </c>
      <c r="AB249" s="94" t="str">
        <f aca="false">IFERROR((O249*(Z249/1000)/(AA249))," ")</f>
        <v> </v>
      </c>
      <c r="AC249" s="95" t="n">
        <f aca="false">IFERROR((T249)/((T249)+O249),0)</f>
        <v>0.027027027027027</v>
      </c>
      <c r="AD249" s="96" t="n">
        <f aca="false">IFERROR(Q249/(Q249+N249),0)</f>
        <v>0</v>
      </c>
      <c r="AE249" s="91" t="n">
        <f aca="false">(N249-T249)/N249</f>
        <v>0.972972972972973</v>
      </c>
      <c r="AF249" s="97" t="n">
        <f aca="false">BR249</f>
        <v>1.16666666666667</v>
      </c>
      <c r="AG249" s="98" t="n">
        <f aca="false">K249-AF249</f>
        <v>0.833333333333333</v>
      </c>
      <c r="AH249" s="99" t="n">
        <f aca="false">IFERROR(AG249/K249," ")</f>
        <v>0.416666666666667</v>
      </c>
      <c r="AI249" s="100" t="n">
        <f aca="false">IFERROR(O249/K249,0)</f>
        <v>198</v>
      </c>
      <c r="AJ249" s="101" t="n">
        <f aca="false">VLOOKUP(D249,'Standard Cycle time'!C:D,2,0)</f>
        <v>32.4</v>
      </c>
      <c r="AK249" s="101" t="n">
        <f aca="false">AG249*V249*3600/O249</f>
        <v>37.8787878787879</v>
      </c>
      <c r="AL249" s="102" t="n">
        <f aca="false">AJ249/AK249</f>
        <v>0.85536</v>
      </c>
      <c r="AM249" s="99" t="n">
        <f aca="false">AE249*AL249*AH249</f>
        <v>0.346767567567568</v>
      </c>
      <c r="AN249" s="103" t="s">
        <v>610</v>
      </c>
      <c r="AO249" s="130" t="s">
        <v>611</v>
      </c>
      <c r="AP249" s="105" t="n">
        <v>30</v>
      </c>
      <c r="AQ249" s="105" t="n">
        <v>40</v>
      </c>
      <c r="AR249" s="105" t="n">
        <v>0</v>
      </c>
      <c r="AS249" s="105" t="n">
        <v>0</v>
      </c>
      <c r="AT249" s="105" t="n">
        <v>0</v>
      </c>
      <c r="AU249" s="105" t="n">
        <v>0</v>
      </c>
      <c r="AV249" s="105" t="n">
        <v>0</v>
      </c>
      <c r="AW249" s="105" t="n">
        <v>0</v>
      </c>
      <c r="AX249" s="105" t="n">
        <v>0</v>
      </c>
      <c r="AY249" s="105" t="n">
        <v>0</v>
      </c>
      <c r="AZ249" s="105" t="n">
        <v>0</v>
      </c>
      <c r="BA249" s="105" t="n">
        <v>0</v>
      </c>
      <c r="BB249" s="105" t="n">
        <v>0</v>
      </c>
      <c r="BC249" s="105" t="n">
        <v>0</v>
      </c>
      <c r="BD249" s="105" t="n">
        <v>0</v>
      </c>
      <c r="BE249" s="105" t="n">
        <v>0</v>
      </c>
      <c r="BF249" s="105" t="n">
        <v>0</v>
      </c>
      <c r="BG249" s="105" t="n">
        <v>0</v>
      </c>
      <c r="BH249" s="105" t="n">
        <v>0</v>
      </c>
      <c r="BI249" s="105" t="n">
        <v>0</v>
      </c>
      <c r="BJ249" s="105" t="n">
        <v>0</v>
      </c>
      <c r="BK249" s="105" t="n">
        <v>0</v>
      </c>
      <c r="BL249" s="105" t="n">
        <v>0</v>
      </c>
      <c r="BM249" s="105" t="n">
        <v>0</v>
      </c>
      <c r="BN249" s="105" t="n">
        <v>0</v>
      </c>
      <c r="BO249" s="105" t="n">
        <v>0</v>
      </c>
      <c r="BP249" s="105" t="n">
        <v>0</v>
      </c>
      <c r="BQ249" s="105" t="n">
        <v>0</v>
      </c>
      <c r="BR249" s="106" t="n">
        <f aca="false">SUM(AP249:BQ249)/60</f>
        <v>1.16666666666667</v>
      </c>
      <c r="BS249" s="106" t="n">
        <f aca="false">SUM(AP249:BR249)/60</f>
        <v>1.18611111111111</v>
      </c>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row>
    <row r="250" customFormat="false" ht="14.9" hidden="true" customHeight="false" outlineLevel="0" collapsed="false">
      <c r="A250" s="74" t="n">
        <f aca="false">MONTH(B250)</f>
        <v>8</v>
      </c>
      <c r="B250" s="133" t="n">
        <v>44432</v>
      </c>
      <c r="C250" s="128" t="s">
        <v>63</v>
      </c>
      <c r="D250" s="77" t="str">
        <f aca="false">IFERROR(VLOOKUP(E:E,'Item Data Support Sheet'!A:O,7,0),"")</f>
        <v>BOTTLE PRINTED</v>
      </c>
      <c r="E250" s="80" t="s">
        <v>612</v>
      </c>
      <c r="F250" s="122"/>
      <c r="G250" s="77" t="s">
        <v>66</v>
      </c>
      <c r="H250" s="79" t="str">
        <f aca="false">IFERROR(VLOOKUP(E:E,'Item Data Support Sheet'!A:O,2,0),"")</f>
        <v>RPP 240 ML RPP PRINTED BEE</v>
      </c>
      <c r="I250" s="80" t="s">
        <v>613</v>
      </c>
      <c r="J250" s="80" t="s">
        <v>161</v>
      </c>
      <c r="K250" s="81" t="n">
        <v>2</v>
      </c>
      <c r="L250" s="124" t="n">
        <v>600</v>
      </c>
      <c r="M250" s="83" t="n">
        <f aca="false">IFERROR(L250/K250,0)</f>
        <v>300</v>
      </c>
      <c r="N250" s="84" t="n">
        <f aca="false">+O250+Q250+T250+U250</f>
        <v>1051</v>
      </c>
      <c r="O250" s="85" t="n">
        <v>1038</v>
      </c>
      <c r="P250" s="86" t="n">
        <v>0</v>
      </c>
      <c r="Q250" s="86" t="n">
        <v>0</v>
      </c>
      <c r="R250" s="132" t="n">
        <v>6</v>
      </c>
      <c r="S250" s="128" t="n">
        <v>0</v>
      </c>
      <c r="T250" s="132" t="n">
        <v>13</v>
      </c>
      <c r="U250" s="128" t="n">
        <v>0</v>
      </c>
      <c r="V250" s="128" t="n">
        <v>5</v>
      </c>
      <c r="W250" s="90" t="n">
        <f aca="false">IFERROR(O250/V250,0)</f>
        <v>207.6</v>
      </c>
      <c r="X250" s="91" t="n">
        <f aca="false">O250/L250</f>
        <v>1.73</v>
      </c>
      <c r="Y250" s="92" t="str">
        <f aca="false">IFERROR(VLOOKUP(E:E,'Item Data Support Sheet'!A:J,6,0),0)</f>
        <v>FO005</v>
      </c>
      <c r="Z250" s="93" t="n">
        <f aca="false">IFERROR(VLOOKUP(E:E,'Item Data Support Sheet'!A:O,4,0),0)</f>
        <v>0</v>
      </c>
      <c r="AA250" s="93" t="n">
        <f aca="false">IFERROR(((N250)*(Z250/1000))+P250,0)</f>
        <v>0</v>
      </c>
      <c r="AB250" s="94" t="str">
        <f aca="false">IFERROR((O250*(Z250/1000)/(AA250))," ")</f>
        <v> </v>
      </c>
      <c r="AC250" s="95" t="n">
        <f aca="false">IFERROR((T250)/((T250)+O250),0)</f>
        <v>0.0123691722169363</v>
      </c>
      <c r="AD250" s="96" t="n">
        <f aca="false">IFERROR(Q250/(Q250+N250),0)</f>
        <v>0</v>
      </c>
      <c r="AE250" s="91" t="n">
        <f aca="false">(N250-T250)/N250</f>
        <v>0.987630827783064</v>
      </c>
      <c r="AF250" s="97" t="n">
        <f aca="false">BR250</f>
        <v>0</v>
      </c>
      <c r="AG250" s="98" t="n">
        <f aca="false">K250-AF250</f>
        <v>2</v>
      </c>
      <c r="AH250" s="99" t="n">
        <f aca="false">IFERROR(AG250/K250," ")</f>
        <v>1</v>
      </c>
      <c r="AI250" s="100" t="n">
        <f aca="false">IFERROR(O250/K250,0)</f>
        <v>519</v>
      </c>
      <c r="AJ250" s="101" t="n">
        <f aca="false">VLOOKUP(D250,'Standard Cycle time'!C:D,2,0)</f>
        <v>32.4</v>
      </c>
      <c r="AK250" s="101" t="n">
        <f aca="false">AG250*V250*3600/O250</f>
        <v>34.6820809248555</v>
      </c>
      <c r="AL250" s="102" t="n">
        <f aca="false">AJ250/AK250</f>
        <v>0.9342</v>
      </c>
      <c r="AM250" s="99" t="n">
        <f aca="false">AE250*AL250*AH250</f>
        <v>0.922644719314938</v>
      </c>
      <c r="AN250" s="103" t="s">
        <v>614</v>
      </c>
      <c r="AO250" s="130" t="s">
        <v>615</v>
      </c>
      <c r="AP250" s="105" t="n">
        <v>0</v>
      </c>
      <c r="AQ250" s="105" t="n">
        <v>0</v>
      </c>
      <c r="AR250" s="105" t="n">
        <v>0</v>
      </c>
      <c r="AS250" s="105" t="n">
        <v>0</v>
      </c>
      <c r="AT250" s="105" t="n">
        <v>0</v>
      </c>
      <c r="AU250" s="105" t="n">
        <v>0</v>
      </c>
      <c r="AV250" s="105" t="n">
        <v>0</v>
      </c>
      <c r="AW250" s="105" t="n">
        <v>0</v>
      </c>
      <c r="AX250" s="105" t="n">
        <v>0</v>
      </c>
      <c r="AY250" s="105" t="n">
        <v>0</v>
      </c>
      <c r="AZ250" s="105" t="n">
        <v>0</v>
      </c>
      <c r="BA250" s="105" t="n">
        <v>0</v>
      </c>
      <c r="BB250" s="105" t="n">
        <v>0</v>
      </c>
      <c r="BC250" s="105" t="n">
        <v>0</v>
      </c>
      <c r="BD250" s="105" t="n">
        <v>0</v>
      </c>
      <c r="BE250" s="105" t="n">
        <v>0</v>
      </c>
      <c r="BF250" s="105" t="n">
        <v>0</v>
      </c>
      <c r="BG250" s="105" t="n">
        <v>0</v>
      </c>
      <c r="BH250" s="105" t="n">
        <v>0</v>
      </c>
      <c r="BI250" s="105" t="n">
        <v>0</v>
      </c>
      <c r="BJ250" s="105" t="n">
        <v>0</v>
      </c>
      <c r="BK250" s="105" t="n">
        <v>0</v>
      </c>
      <c r="BL250" s="105" t="n">
        <v>0</v>
      </c>
      <c r="BM250" s="105" t="n">
        <v>0</v>
      </c>
      <c r="BN250" s="105" t="n">
        <v>0</v>
      </c>
      <c r="BO250" s="105" t="n">
        <v>0</v>
      </c>
      <c r="BP250" s="105" t="n">
        <v>0</v>
      </c>
      <c r="BQ250" s="105" t="n">
        <v>0</v>
      </c>
      <c r="BR250" s="106" t="n">
        <f aca="false">SUM(AP250:BQ250)/60</f>
        <v>0</v>
      </c>
      <c r="BS250" s="106" t="n">
        <f aca="false">SUM(AP250:BR250)/60</f>
        <v>0</v>
      </c>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row>
    <row r="251" customFormat="false" ht="14.9" hidden="true" customHeight="false" outlineLevel="0" collapsed="false">
      <c r="A251" s="74" t="n">
        <f aca="false">MONTH(B251)</f>
        <v>8</v>
      </c>
      <c r="B251" s="133" t="n">
        <v>44432</v>
      </c>
      <c r="C251" s="128" t="s">
        <v>63</v>
      </c>
      <c r="D251" s="77" t="str">
        <f aca="false">IFERROR(VLOOKUP(E:E,'Item Data Support Sheet'!A:O,7,0),"")</f>
        <v>BOTTLE PRINTED</v>
      </c>
      <c r="E251" s="80" t="s">
        <v>616</v>
      </c>
      <c r="F251" s="122"/>
      <c r="G251" s="77" t="s">
        <v>66</v>
      </c>
      <c r="H251" s="79" t="str">
        <f aca="false">IFERROR(VLOOKUP(E:E,'Item Data Support Sheet'!A:O,2,0),"")</f>
        <v>RPP 240ML GRL PNK BOTLE PNTD WM3GB W/BIS LOGO</v>
      </c>
      <c r="I251" s="80" t="s">
        <v>617</v>
      </c>
      <c r="J251" s="80" t="s">
        <v>161</v>
      </c>
      <c r="K251" s="81" t="n">
        <v>2</v>
      </c>
      <c r="L251" s="124" t="n">
        <v>600</v>
      </c>
      <c r="M251" s="83" t="n">
        <f aca="false">IFERROR(L251/K251,0)</f>
        <v>300</v>
      </c>
      <c r="N251" s="84" t="n">
        <f aca="false">+O251+Q251+T251+U251</f>
        <v>468</v>
      </c>
      <c r="O251" s="85" t="n">
        <v>457</v>
      </c>
      <c r="P251" s="86" t="n">
        <v>0</v>
      </c>
      <c r="Q251" s="86" t="n">
        <v>0</v>
      </c>
      <c r="R251" s="132" t="n">
        <v>9</v>
      </c>
      <c r="S251" s="128" t="n">
        <v>0</v>
      </c>
      <c r="T251" s="132" t="n">
        <v>11</v>
      </c>
      <c r="U251" s="128" t="n">
        <v>0</v>
      </c>
      <c r="V251" s="128" t="n">
        <v>5</v>
      </c>
      <c r="W251" s="90" t="n">
        <f aca="false">IFERROR(O251/V251,0)</f>
        <v>91.4</v>
      </c>
      <c r="X251" s="91" t="n">
        <f aca="false">O251/L251</f>
        <v>0.761666666666667</v>
      </c>
      <c r="Y251" s="92" t="str">
        <f aca="false">IFERROR(VLOOKUP(E:E,'Item Data Support Sheet'!A:J,6,0),0)</f>
        <v>FO057</v>
      </c>
      <c r="Z251" s="93" t="n">
        <f aca="false">IFERROR(VLOOKUP(E:E,'Item Data Support Sheet'!A:O,4,0),0)</f>
        <v>0</v>
      </c>
      <c r="AA251" s="93" t="n">
        <f aca="false">IFERROR(((N251)*(Z251/1000))+P251,0)</f>
        <v>0</v>
      </c>
      <c r="AB251" s="94" t="str">
        <f aca="false">IFERROR((O251*(Z251/1000)/(AA251))," ")</f>
        <v> </v>
      </c>
      <c r="AC251" s="95" t="n">
        <f aca="false">IFERROR((T251)/((T251)+O251),0)</f>
        <v>0.0235042735042735</v>
      </c>
      <c r="AD251" s="96" t="n">
        <f aca="false">IFERROR(Q251/(Q251+N251),0)</f>
        <v>0</v>
      </c>
      <c r="AE251" s="91" t="n">
        <f aca="false">(N251-T251)/N251</f>
        <v>0.976495726495726</v>
      </c>
      <c r="AF251" s="97" t="n">
        <f aca="false">BR251</f>
        <v>1</v>
      </c>
      <c r="AG251" s="98" t="n">
        <f aca="false">K251-AF251</f>
        <v>1</v>
      </c>
      <c r="AH251" s="99" t="n">
        <f aca="false">IFERROR(AG251/K251," ")</f>
        <v>0.5</v>
      </c>
      <c r="AI251" s="100" t="n">
        <f aca="false">IFERROR(O251/K251,0)</f>
        <v>228.5</v>
      </c>
      <c r="AJ251" s="101" t="n">
        <f aca="false">VLOOKUP(D251,'Standard Cycle time'!C:D,2,0)</f>
        <v>32.4</v>
      </c>
      <c r="AK251" s="101" t="n">
        <f aca="false">AG251*V251*3600/O251</f>
        <v>39.3873085339168</v>
      </c>
      <c r="AL251" s="102" t="n">
        <f aca="false">AJ251/AK251</f>
        <v>0.8226</v>
      </c>
      <c r="AM251" s="99" t="n">
        <f aca="false">AE251*AL251*AH251</f>
        <v>0.401632692307692</v>
      </c>
      <c r="AN251" s="103" t="s">
        <v>618</v>
      </c>
      <c r="AO251" s="109"/>
      <c r="AP251" s="105" t="n">
        <v>0</v>
      </c>
      <c r="AQ251" s="105" t="n">
        <v>60</v>
      </c>
      <c r="AR251" s="105" t="n">
        <v>0</v>
      </c>
      <c r="AS251" s="105" t="n">
        <v>0</v>
      </c>
      <c r="AT251" s="105" t="n">
        <v>0</v>
      </c>
      <c r="AU251" s="105" t="n">
        <v>0</v>
      </c>
      <c r="AV251" s="105" t="n">
        <v>0</v>
      </c>
      <c r="AW251" s="105" t="n">
        <v>0</v>
      </c>
      <c r="AX251" s="105" t="n">
        <v>0</v>
      </c>
      <c r="AY251" s="105" t="n">
        <v>0</v>
      </c>
      <c r="AZ251" s="105" t="n">
        <v>0</v>
      </c>
      <c r="BA251" s="105" t="n">
        <v>0</v>
      </c>
      <c r="BB251" s="105" t="n">
        <v>0</v>
      </c>
      <c r="BC251" s="105" t="n">
        <v>0</v>
      </c>
      <c r="BD251" s="105" t="n">
        <v>0</v>
      </c>
      <c r="BE251" s="105" t="n">
        <v>0</v>
      </c>
      <c r="BF251" s="105" t="n">
        <v>0</v>
      </c>
      <c r="BG251" s="105" t="n">
        <v>0</v>
      </c>
      <c r="BH251" s="105" t="n">
        <v>0</v>
      </c>
      <c r="BI251" s="105" t="n">
        <v>0</v>
      </c>
      <c r="BJ251" s="105" t="n">
        <v>0</v>
      </c>
      <c r="BK251" s="105" t="n">
        <v>0</v>
      </c>
      <c r="BL251" s="105" t="n">
        <v>0</v>
      </c>
      <c r="BM251" s="105" t="n">
        <v>0</v>
      </c>
      <c r="BN251" s="105" t="n">
        <v>0</v>
      </c>
      <c r="BO251" s="105" t="n">
        <v>0</v>
      </c>
      <c r="BP251" s="105" t="n">
        <v>0</v>
      </c>
      <c r="BQ251" s="105" t="n">
        <v>0</v>
      </c>
      <c r="BR251" s="106" t="n">
        <f aca="false">SUM(AP251:BQ251)/60</f>
        <v>1</v>
      </c>
      <c r="BS251" s="106" t="n">
        <f aca="false">SUM(AP251:BR251)/60</f>
        <v>1.01666666666667</v>
      </c>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row>
    <row r="252" customFormat="false" ht="14.9" hidden="true" customHeight="false" outlineLevel="0" collapsed="false">
      <c r="A252" s="74" t="n">
        <f aca="false">MONTH(B252)</f>
        <v>8</v>
      </c>
      <c r="B252" s="133" t="n">
        <v>44432</v>
      </c>
      <c r="C252" s="128" t="s">
        <v>63</v>
      </c>
      <c r="D252" s="77" t="str">
        <f aca="false">IFERROR(VLOOKUP(E:E,'Item Data Support Sheet'!A:O,7,0),"")</f>
        <v>NIPPLE PUNCH INSPECTED</v>
      </c>
      <c r="E252" s="80" t="s">
        <v>297</v>
      </c>
      <c r="F252" s="122"/>
      <c r="G252" s="77"/>
      <c r="H252" s="79" t="str">
        <f aca="false">IFERROR(VLOOKUP(E:E,'Item Data Support Sheet'!A:O,2,0),"")</f>
        <v>NIPPLE S TYPE S SIZE PUNCHED INSPECTED</v>
      </c>
      <c r="I252" s="80" t="s">
        <v>619</v>
      </c>
      <c r="J252" s="80" t="s">
        <v>158</v>
      </c>
      <c r="K252" s="81" t="n">
        <v>4</v>
      </c>
      <c r="L252" s="124" t="n">
        <v>7000</v>
      </c>
      <c r="M252" s="83" t="n">
        <f aca="false">IFERROR(L252/K252,0)</f>
        <v>1750</v>
      </c>
      <c r="N252" s="84" t="n">
        <f aca="false">+O252+Q252+T252+U252</f>
        <v>7926</v>
      </c>
      <c r="O252" s="85" t="n">
        <f aca="false">7921-16</f>
        <v>7905</v>
      </c>
      <c r="P252" s="86" t="n">
        <v>0</v>
      </c>
      <c r="Q252" s="86" t="n">
        <v>0</v>
      </c>
      <c r="R252" s="132" t="n">
        <v>0</v>
      </c>
      <c r="S252" s="128" t="n">
        <v>0</v>
      </c>
      <c r="T252" s="132" t="n">
        <f aca="false">29-8</f>
        <v>21</v>
      </c>
      <c r="U252" s="128" t="n">
        <v>0</v>
      </c>
      <c r="V252" s="128" t="n">
        <v>2</v>
      </c>
      <c r="W252" s="90" t="n">
        <f aca="false">IFERROR(O252/V252,0)</f>
        <v>3952.5</v>
      </c>
      <c r="X252" s="91" t="n">
        <f aca="false">O252/L252</f>
        <v>1.12928571428571</v>
      </c>
      <c r="Y252" s="92" t="str">
        <f aca="false">IFERROR(VLOOKUP(E:E,'Item Data Support Sheet'!A:J,6,0),0)</f>
        <v>FO104</v>
      </c>
      <c r="Z252" s="93" t="n">
        <f aca="false">IFERROR(VLOOKUP(E:E,'Item Data Support Sheet'!A:O,4,0),0)</f>
        <v>0</v>
      </c>
      <c r="AA252" s="93" t="n">
        <f aca="false">IFERROR(((N252)*(Z252/1000))+P252,0)</f>
        <v>0</v>
      </c>
      <c r="AB252" s="94" t="str">
        <f aca="false">IFERROR((O252*(Z252/1000)/(AA252))," ")</f>
        <v> </v>
      </c>
      <c r="AC252" s="95" t="n">
        <f aca="false">IFERROR((T252)/((T252)+O252),0)</f>
        <v>0.00264950794852385</v>
      </c>
      <c r="AD252" s="96" t="n">
        <f aca="false">IFERROR(Q252/(Q252+N252),0)</f>
        <v>0</v>
      </c>
      <c r="AE252" s="91" t="n">
        <f aca="false">(N252-T252)/N252</f>
        <v>0.997350492051476</v>
      </c>
      <c r="AF252" s="97" t="n">
        <f aca="false">BR252</f>
        <v>0</v>
      </c>
      <c r="AG252" s="98" t="n">
        <f aca="false">K252-AF252</f>
        <v>4</v>
      </c>
      <c r="AH252" s="99" t="n">
        <f aca="false">IFERROR(AG252/K252," ")</f>
        <v>1</v>
      </c>
      <c r="AI252" s="100" t="n">
        <f aca="false">IFERROR(O252/K252,0)</f>
        <v>1976.25</v>
      </c>
      <c r="AJ252" s="101" t="n">
        <f aca="false">VLOOKUP(D252,'Standard Cycle time'!C:D,2,0)</f>
        <v>4</v>
      </c>
      <c r="AK252" s="101" t="n">
        <f aca="false">AG252*V252*3600/O252</f>
        <v>3.64326375711575</v>
      </c>
      <c r="AL252" s="102" t="n">
        <f aca="false">AJ252/AK252</f>
        <v>1.09791666666667</v>
      </c>
      <c r="AM252" s="99" t="n">
        <f aca="false">AE252*AL252*AH252</f>
        <v>1.09500772773152</v>
      </c>
      <c r="AN252" s="103" t="s">
        <v>620</v>
      </c>
      <c r="AO252" s="130" t="s">
        <v>461</v>
      </c>
      <c r="AP252" s="105" t="n">
        <v>0</v>
      </c>
      <c r="AQ252" s="105" t="n">
        <v>0</v>
      </c>
      <c r="AR252" s="105" t="n">
        <v>0</v>
      </c>
      <c r="AS252" s="105" t="n">
        <v>0</v>
      </c>
      <c r="AT252" s="105" t="n">
        <v>0</v>
      </c>
      <c r="AU252" s="105" t="n">
        <v>0</v>
      </c>
      <c r="AV252" s="105" t="n">
        <v>0</v>
      </c>
      <c r="AW252" s="105" t="n">
        <v>0</v>
      </c>
      <c r="AX252" s="105" t="n">
        <v>0</v>
      </c>
      <c r="AY252" s="105" t="n">
        <v>0</v>
      </c>
      <c r="AZ252" s="105" t="n">
        <v>0</v>
      </c>
      <c r="BA252" s="105" t="n">
        <v>0</v>
      </c>
      <c r="BB252" s="105" t="n">
        <v>0</v>
      </c>
      <c r="BC252" s="105" t="n">
        <v>0</v>
      </c>
      <c r="BD252" s="105" t="n">
        <v>0</v>
      </c>
      <c r="BE252" s="105" t="n">
        <v>0</v>
      </c>
      <c r="BF252" s="105" t="n">
        <v>0</v>
      </c>
      <c r="BG252" s="105" t="n">
        <v>0</v>
      </c>
      <c r="BH252" s="105" t="n">
        <v>0</v>
      </c>
      <c r="BI252" s="105" t="n">
        <v>0</v>
      </c>
      <c r="BJ252" s="105" t="n">
        <v>0</v>
      </c>
      <c r="BK252" s="105" t="n">
        <v>0</v>
      </c>
      <c r="BL252" s="105" t="n">
        <v>0</v>
      </c>
      <c r="BM252" s="105" t="n">
        <v>0</v>
      </c>
      <c r="BN252" s="105" t="n">
        <v>0</v>
      </c>
      <c r="BO252" s="105" t="n">
        <v>0</v>
      </c>
      <c r="BP252" s="105" t="n">
        <v>0</v>
      </c>
      <c r="BQ252" s="105" t="n">
        <v>0</v>
      </c>
      <c r="BR252" s="106" t="n">
        <f aca="false">SUM(AP252:BQ252)/60</f>
        <v>0</v>
      </c>
      <c r="BS252" s="106" t="n">
        <f aca="false">SUM(AP252:BR252)/60</f>
        <v>0</v>
      </c>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row>
    <row r="253" customFormat="false" ht="14.9" hidden="true" customHeight="false" outlineLevel="0" collapsed="false">
      <c r="A253" s="74" t="n">
        <f aca="false">MONTH(B253)</f>
        <v>8</v>
      </c>
      <c r="B253" s="133" t="n">
        <v>44432</v>
      </c>
      <c r="C253" s="128" t="s">
        <v>63</v>
      </c>
      <c r="D253" s="77" t="str">
        <f aca="false">IFERROR(VLOOKUP(E:E,'Item Data Support Sheet'!A:O,7,0),"")</f>
        <v>NIPPLE PUNCH INSPECTED</v>
      </c>
      <c r="E253" s="80" t="s">
        <v>621</v>
      </c>
      <c r="F253" s="122"/>
      <c r="G253" s="77"/>
      <c r="H253" s="79" t="str">
        <f aca="false">IFERROR(VLOOKUP(E:E,'Item Data Support Sheet'!A:O,2,0),"")</f>
        <v>NIPPLE S TYPE LL SIZE INSPECTED</v>
      </c>
      <c r="I253" s="80" t="s">
        <v>622</v>
      </c>
      <c r="J253" s="80" t="s">
        <v>158</v>
      </c>
      <c r="K253" s="81" t="n">
        <v>4</v>
      </c>
      <c r="L253" s="124" t="n">
        <v>7072</v>
      </c>
      <c r="M253" s="83" t="n">
        <f aca="false">IFERROR(L253/K253,0)</f>
        <v>1768</v>
      </c>
      <c r="N253" s="84" t="n">
        <f aca="false">+O253+Q253+T253+U253</f>
        <v>9100</v>
      </c>
      <c r="O253" s="85" t="n">
        <v>9086</v>
      </c>
      <c r="P253" s="86" t="n">
        <v>0</v>
      </c>
      <c r="Q253" s="86" t="n">
        <v>0</v>
      </c>
      <c r="R253" s="132" t="n">
        <v>0</v>
      </c>
      <c r="S253" s="128" t="n">
        <v>0</v>
      </c>
      <c r="T253" s="132" t="n">
        <v>14</v>
      </c>
      <c r="U253" s="128" t="n">
        <v>0</v>
      </c>
      <c r="V253" s="128" t="n">
        <v>1</v>
      </c>
      <c r="W253" s="90" t="n">
        <f aca="false">IFERROR(O253/V253,0)</f>
        <v>9086</v>
      </c>
      <c r="X253" s="91" t="n">
        <f aca="false">O253/L253</f>
        <v>1.2847850678733</v>
      </c>
      <c r="Y253" s="92" t="str">
        <f aca="false">IFERROR(VLOOKUP(E:E,'Item Data Support Sheet'!A:J,6,0),0)</f>
        <v>FO152</v>
      </c>
      <c r="Z253" s="93" t="n">
        <f aca="false">IFERROR(VLOOKUP(E:E,'Item Data Support Sheet'!A:O,4,0),0)</f>
        <v>0</v>
      </c>
      <c r="AA253" s="93" t="n">
        <f aca="false">IFERROR(((N253)*(Z253/1000))+P253,0)</f>
        <v>0</v>
      </c>
      <c r="AB253" s="94" t="str">
        <f aca="false">IFERROR((O253*(Z253/1000)/(AA253))," ")</f>
        <v> </v>
      </c>
      <c r="AC253" s="95" t="n">
        <f aca="false">IFERROR((T253)/((T253)+O253),0)</f>
        <v>0.00153846153846154</v>
      </c>
      <c r="AD253" s="96" t="n">
        <f aca="false">IFERROR(Q253/(Q253+N253),0)</f>
        <v>0</v>
      </c>
      <c r="AE253" s="91" t="n">
        <f aca="false">(N253-T253)/N253</f>
        <v>0.998461538461538</v>
      </c>
      <c r="AF253" s="97" t="n">
        <f aca="false">BR253</f>
        <v>0</v>
      </c>
      <c r="AG253" s="98" t="n">
        <f aca="false">K253-AF253</f>
        <v>4</v>
      </c>
      <c r="AH253" s="99" t="n">
        <f aca="false">IFERROR(AG253/K253," ")</f>
        <v>1</v>
      </c>
      <c r="AI253" s="100" t="n">
        <f aca="false">IFERROR(O253/K253,0)</f>
        <v>2271.5</v>
      </c>
      <c r="AJ253" s="101" t="n">
        <f aca="false">VLOOKUP(D253,'Standard Cycle time'!C:D,2,0)</f>
        <v>4</v>
      </c>
      <c r="AK253" s="101" t="n">
        <f aca="false">AG253*V253*3600/O253</f>
        <v>1.58485582214396</v>
      </c>
      <c r="AL253" s="102" t="n">
        <f aca="false">AJ253/AK253</f>
        <v>2.52388888888889</v>
      </c>
      <c r="AM253" s="99" t="n">
        <f aca="false">AE253*AL253*AH253</f>
        <v>2.52000598290598</v>
      </c>
      <c r="AN253" s="103" t="s">
        <v>623</v>
      </c>
      <c r="AO253" s="130" t="s">
        <v>461</v>
      </c>
      <c r="AP253" s="105" t="n">
        <v>0</v>
      </c>
      <c r="AQ253" s="105" t="n">
        <v>0</v>
      </c>
      <c r="AR253" s="105" t="n">
        <v>0</v>
      </c>
      <c r="AS253" s="105" t="n">
        <v>0</v>
      </c>
      <c r="AT253" s="105" t="n">
        <v>0</v>
      </c>
      <c r="AU253" s="105" t="n">
        <v>0</v>
      </c>
      <c r="AV253" s="105" t="n">
        <v>0</v>
      </c>
      <c r="AW253" s="105" t="n">
        <v>0</v>
      </c>
      <c r="AX253" s="105" t="n">
        <v>0</v>
      </c>
      <c r="AY253" s="105" t="n">
        <v>0</v>
      </c>
      <c r="AZ253" s="105" t="n">
        <v>0</v>
      </c>
      <c r="BA253" s="105" t="n">
        <v>0</v>
      </c>
      <c r="BB253" s="105" t="n">
        <v>0</v>
      </c>
      <c r="BC253" s="105" t="n">
        <v>0</v>
      </c>
      <c r="BD253" s="105" t="n">
        <v>0</v>
      </c>
      <c r="BE253" s="105" t="n">
        <v>0</v>
      </c>
      <c r="BF253" s="105" t="n">
        <v>0</v>
      </c>
      <c r="BG253" s="105" t="n">
        <v>0</v>
      </c>
      <c r="BH253" s="105" t="n">
        <v>0</v>
      </c>
      <c r="BI253" s="105" t="n">
        <v>0</v>
      </c>
      <c r="BJ253" s="105" t="n">
        <v>0</v>
      </c>
      <c r="BK253" s="105" t="n">
        <v>0</v>
      </c>
      <c r="BL253" s="105" t="n">
        <v>0</v>
      </c>
      <c r="BM253" s="105" t="n">
        <v>0</v>
      </c>
      <c r="BN253" s="105" t="n">
        <v>0</v>
      </c>
      <c r="BO253" s="105" t="n">
        <v>0</v>
      </c>
      <c r="BP253" s="105" t="n">
        <v>0</v>
      </c>
      <c r="BQ253" s="105" t="n">
        <v>0</v>
      </c>
      <c r="BR253" s="106" t="n">
        <f aca="false">SUM(AP253:BQ253)/60</f>
        <v>0</v>
      </c>
      <c r="BS253" s="106" t="n">
        <f aca="false">SUM(AP253:BR253)/60</f>
        <v>0</v>
      </c>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row>
    <row r="254" customFormat="false" ht="14.9" hidden="true" customHeight="false" outlineLevel="0" collapsed="false">
      <c r="A254" s="74" t="n">
        <f aca="false">MONTH(B254)</f>
        <v>8</v>
      </c>
      <c r="B254" s="133" t="n">
        <v>44432</v>
      </c>
      <c r="C254" s="128" t="s">
        <v>63</v>
      </c>
      <c r="D254" s="77" t="str">
        <f aca="false">IFERROR(VLOOKUP(E:E,'Item Data Support Sheet'!A:O,7,0),"")</f>
        <v>NIPPLE WRAP PRINTED</v>
      </c>
      <c r="E254" s="80" t="s">
        <v>431</v>
      </c>
      <c r="F254" s="122"/>
      <c r="G254" s="77" t="s">
        <v>432</v>
      </c>
      <c r="H254" s="79" t="str">
        <f aca="false">IFERROR(VLOOKUP(E:E,'Item Data Support Sheet'!A:O,2,0),"")</f>
        <v>NIPPLE S TYPE M SIZE WITH PRINTED WRAP</v>
      </c>
      <c r="I254" s="80" t="s">
        <v>624</v>
      </c>
      <c r="J254" s="80" t="s">
        <v>158</v>
      </c>
      <c r="K254" s="81" t="n">
        <v>8</v>
      </c>
      <c r="L254" s="124" t="n">
        <v>16132</v>
      </c>
      <c r="M254" s="83" t="n">
        <f aca="false">IFERROR(L254/K254,0)</f>
        <v>2016.5</v>
      </c>
      <c r="N254" s="84" t="n">
        <f aca="false">+O254+Q254+T254+U254</f>
        <v>18065</v>
      </c>
      <c r="O254" s="85" t="n">
        <v>18065</v>
      </c>
      <c r="P254" s="86" t="n">
        <v>0</v>
      </c>
      <c r="Q254" s="86" t="n">
        <v>0</v>
      </c>
      <c r="R254" s="132" t="n">
        <v>0</v>
      </c>
      <c r="S254" s="128" t="n">
        <v>0</v>
      </c>
      <c r="T254" s="132" t="n">
        <v>0</v>
      </c>
      <c r="U254" s="128" t="n">
        <v>0</v>
      </c>
      <c r="V254" s="128" t="n">
        <v>2</v>
      </c>
      <c r="W254" s="90" t="n">
        <f aca="false">IFERROR(O254/V254,0)</f>
        <v>9032.5</v>
      </c>
      <c r="X254" s="91" t="n">
        <f aca="false">O254/L254</f>
        <v>1.11982395239276</v>
      </c>
      <c r="Y254" s="92" t="str">
        <f aca="false">IFERROR(VLOOKUP(E:E,'Item Data Support Sheet'!A:J,6,0),0)</f>
        <v>FO020</v>
      </c>
      <c r="Z254" s="93" t="n">
        <f aca="false">IFERROR(VLOOKUP(E:E,'Item Data Support Sheet'!A:O,4,0),0)</f>
        <v>0</v>
      </c>
      <c r="AA254" s="93" t="n">
        <f aca="false">IFERROR(((N254)*(Z254/1000))+P254,0)</f>
        <v>0</v>
      </c>
      <c r="AB254" s="94" t="str">
        <f aca="false">IFERROR((O254*(Z254/1000)/(AA254))," ")</f>
        <v> </v>
      </c>
      <c r="AC254" s="95" t="n">
        <f aca="false">IFERROR((T254)/((T254)+O254),0)</f>
        <v>0</v>
      </c>
      <c r="AD254" s="96" t="n">
        <f aca="false">IFERROR(Q254/(Q254+N254),0)</f>
        <v>0</v>
      </c>
      <c r="AE254" s="91" t="n">
        <f aca="false">(N254-T254)/N254</f>
        <v>1</v>
      </c>
      <c r="AF254" s="97" t="n">
        <f aca="false">BR254</f>
        <v>0</v>
      </c>
      <c r="AG254" s="98" t="n">
        <f aca="false">K254-AF254</f>
        <v>8</v>
      </c>
      <c r="AH254" s="99" t="n">
        <f aca="false">IFERROR(AG254/K254," ")</f>
        <v>1</v>
      </c>
      <c r="AI254" s="100" t="n">
        <f aca="false">IFERROR(O254/K254,0)</f>
        <v>2258.125</v>
      </c>
      <c r="AJ254" s="101" t="n">
        <f aca="false">VLOOKUP(D254,'Standard Cycle time'!C:D,2,0)</f>
        <v>2.5</v>
      </c>
      <c r="AK254" s="101" t="n">
        <f aca="false">AG254*V254*3600/O254</f>
        <v>3.18848602269582</v>
      </c>
      <c r="AL254" s="102" t="n">
        <f aca="false">AJ254/AK254</f>
        <v>0.784071180555556</v>
      </c>
      <c r="AM254" s="99" t="n">
        <f aca="false">AE254*AL254*AH254</f>
        <v>0.784071180555556</v>
      </c>
      <c r="AN254" s="103" t="s">
        <v>625</v>
      </c>
      <c r="AO254" s="110" t="s">
        <v>461</v>
      </c>
      <c r="AP254" s="105" t="n">
        <v>0</v>
      </c>
      <c r="AQ254" s="105" t="n">
        <v>0</v>
      </c>
      <c r="AR254" s="105" t="n">
        <v>0</v>
      </c>
      <c r="AS254" s="105" t="n">
        <v>0</v>
      </c>
      <c r="AT254" s="105" t="n">
        <v>0</v>
      </c>
      <c r="AU254" s="105" t="n">
        <v>0</v>
      </c>
      <c r="AV254" s="105" t="n">
        <v>0</v>
      </c>
      <c r="AW254" s="105" t="n">
        <v>0</v>
      </c>
      <c r="AX254" s="105" t="n">
        <v>0</v>
      </c>
      <c r="AY254" s="105" t="n">
        <v>0</v>
      </c>
      <c r="AZ254" s="105" t="n">
        <v>0</v>
      </c>
      <c r="BA254" s="105" t="n">
        <v>0</v>
      </c>
      <c r="BB254" s="105" t="n">
        <v>0</v>
      </c>
      <c r="BC254" s="105" t="n">
        <v>0</v>
      </c>
      <c r="BD254" s="105" t="n">
        <v>0</v>
      </c>
      <c r="BE254" s="105" t="n">
        <v>0</v>
      </c>
      <c r="BF254" s="105" t="n">
        <v>0</v>
      </c>
      <c r="BG254" s="105" t="n">
        <v>0</v>
      </c>
      <c r="BH254" s="105" t="n">
        <v>0</v>
      </c>
      <c r="BI254" s="105" t="n">
        <v>0</v>
      </c>
      <c r="BJ254" s="105" t="n">
        <v>0</v>
      </c>
      <c r="BK254" s="105" t="n">
        <v>0</v>
      </c>
      <c r="BL254" s="105" t="n">
        <v>0</v>
      </c>
      <c r="BM254" s="105" t="n">
        <v>0</v>
      </c>
      <c r="BN254" s="105" t="n">
        <v>0</v>
      </c>
      <c r="BO254" s="105" t="n">
        <v>0</v>
      </c>
      <c r="BP254" s="105" t="n">
        <v>0</v>
      </c>
      <c r="BQ254" s="105" t="n">
        <v>0</v>
      </c>
      <c r="BR254" s="106" t="n">
        <f aca="false">SUM(AP254:BQ254)/60</f>
        <v>0</v>
      </c>
      <c r="BS254" s="106" t="n">
        <f aca="false">SUM(AP254:BR254)/60</f>
        <v>0</v>
      </c>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row>
    <row r="255" customFormat="false" ht="14.9" hidden="true" customHeight="false" outlineLevel="0" collapsed="false">
      <c r="A255" s="74" t="n">
        <f aca="false">MONTH(B255)</f>
        <v>8</v>
      </c>
      <c r="B255" s="133" t="n">
        <v>44432</v>
      </c>
      <c r="C255" s="128" t="s">
        <v>70</v>
      </c>
      <c r="D255" s="77" t="str">
        <f aca="false">IFERROR(VLOOKUP(E:E,'Item Data Support Sheet'!A:O,7,0),"")</f>
        <v>BOTTLE MOLDED</v>
      </c>
      <c r="E255" s="80" t="s">
        <v>626</v>
      </c>
      <c r="F255" s="122" t="s">
        <v>589</v>
      </c>
      <c r="G255" s="77" t="s">
        <v>74</v>
      </c>
      <c r="H255" s="79" t="str">
        <f aca="false">IFERROR(VLOOKUP(E:E,'Item Data Support Sheet'!A:O,2,0),"")</f>
        <v>RPP 240ML PINK BOTTLE MOLDED (WM3GB)</v>
      </c>
      <c r="I255" s="80" t="s">
        <v>627</v>
      </c>
      <c r="J255" s="80" t="s">
        <v>143</v>
      </c>
      <c r="K255" s="81" t="n">
        <v>8</v>
      </c>
      <c r="L255" s="124" t="n">
        <v>1600</v>
      </c>
      <c r="M255" s="83" t="n">
        <f aca="false">IFERROR(L255/K255,0)</f>
        <v>200</v>
      </c>
      <c r="N255" s="84" t="n">
        <f aca="false">+O255+Q255+T255+U255</f>
        <v>1648</v>
      </c>
      <c r="O255" s="85" t="n">
        <v>1440</v>
      </c>
      <c r="P255" s="86" t="n">
        <v>1.85</v>
      </c>
      <c r="Q255" s="86" t="n">
        <v>120</v>
      </c>
      <c r="R255" s="132" t="n">
        <v>0</v>
      </c>
      <c r="S255" s="128" t="n">
        <v>0</v>
      </c>
      <c r="T255" s="132" t="n">
        <v>80</v>
      </c>
      <c r="U255" s="128" t="n">
        <v>8</v>
      </c>
      <c r="V255" s="128" t="n">
        <v>1</v>
      </c>
      <c r="W255" s="90" t="n">
        <f aca="false">IFERROR(O255/V255,0)</f>
        <v>1440</v>
      </c>
      <c r="X255" s="91" t="n">
        <f aca="false">O255/L255</f>
        <v>0.9</v>
      </c>
      <c r="Y255" s="92" t="str">
        <f aca="false">IFERROR(VLOOKUP(E:E,'Item Data Support Sheet'!A:J,6,0),0)</f>
        <v>WMG3B</v>
      </c>
      <c r="Z255" s="93" t="n">
        <f aca="false">IFERROR(VLOOKUP(E:E,'Item Data Support Sheet'!A:O,4,0),0)</f>
        <v>33.13</v>
      </c>
      <c r="AA255" s="93" t="n">
        <f aca="false">IFERROR(((N255)*(Z255/1000))+P255,0)</f>
        <v>56.44824</v>
      </c>
      <c r="AB255" s="94" t="n">
        <f aca="false">IFERROR((O255*(Z255/1000)/(AA255))," ")</f>
        <v>0.845149467901922</v>
      </c>
      <c r="AC255" s="95" t="n">
        <f aca="false">IFERROR((T255)/((T255)+O255),0)</f>
        <v>0.0526315789473684</v>
      </c>
      <c r="AD255" s="96" t="n">
        <f aca="false">IFERROR(Q255/(Q255+N255),0)</f>
        <v>0.0678733031674208</v>
      </c>
      <c r="AE255" s="91" t="n">
        <f aca="false">(N255-T255)/N255</f>
        <v>0.951456310679612</v>
      </c>
      <c r="AF255" s="97" t="n">
        <f aca="false">BR255</f>
        <v>3.83333333333333</v>
      </c>
      <c r="AG255" s="98" t="n">
        <f aca="false">K255-AF255</f>
        <v>4.16666666666667</v>
      </c>
      <c r="AH255" s="99" t="n">
        <f aca="false">IFERROR(AG255/K255," ")</f>
        <v>0.520833333333333</v>
      </c>
      <c r="AI255" s="100" t="n">
        <f aca="false">IFERROR(O255/K255,0)</f>
        <v>180</v>
      </c>
      <c r="AJ255" s="101" t="n">
        <f aca="false">VLOOKUP(D255,'Standard Cycle time'!C:D,2,0)</f>
        <v>9</v>
      </c>
      <c r="AK255" s="101" t="n">
        <f aca="false">AG255*V255*3600/O255</f>
        <v>10.4166666666667</v>
      </c>
      <c r="AL255" s="102" t="n">
        <f aca="false">AJ255/AK255</f>
        <v>0.864</v>
      </c>
      <c r="AM255" s="99" t="n">
        <f aca="false">AE255*AL255*AH255</f>
        <v>0.428155339805825</v>
      </c>
      <c r="AN255" s="103" t="n">
        <v>2644</v>
      </c>
      <c r="AO255" s="130" t="s">
        <v>628</v>
      </c>
      <c r="AP255" s="105" t="n">
        <v>0</v>
      </c>
      <c r="AQ255" s="105" t="n">
        <v>120</v>
      </c>
      <c r="AR255" s="105" t="n">
        <v>0</v>
      </c>
      <c r="AS255" s="105" t="n">
        <v>0</v>
      </c>
      <c r="AT255" s="105" t="n">
        <v>0</v>
      </c>
      <c r="AU255" s="105" t="n">
        <v>0</v>
      </c>
      <c r="AV255" s="105" t="n">
        <v>60</v>
      </c>
      <c r="AW255" s="105" t="n">
        <v>0</v>
      </c>
      <c r="AX255" s="105" t="n">
        <v>0</v>
      </c>
      <c r="AY255" s="105" t="n">
        <v>0</v>
      </c>
      <c r="AZ255" s="105" t="n">
        <v>20</v>
      </c>
      <c r="BA255" s="105" t="n">
        <v>0</v>
      </c>
      <c r="BB255" s="105" t="n">
        <v>30</v>
      </c>
      <c r="BC255" s="105" t="n">
        <v>0</v>
      </c>
      <c r="BD255" s="105" t="n">
        <v>0</v>
      </c>
      <c r="BE255" s="105" t="n">
        <v>0</v>
      </c>
      <c r="BF255" s="105" t="n">
        <v>0</v>
      </c>
      <c r="BG255" s="105" t="n">
        <v>0</v>
      </c>
      <c r="BH255" s="105" t="n">
        <v>0</v>
      </c>
      <c r="BI255" s="105" t="n">
        <v>0</v>
      </c>
      <c r="BJ255" s="105" t="n">
        <v>0</v>
      </c>
      <c r="BK255" s="105" t="n">
        <v>0</v>
      </c>
      <c r="BL255" s="105" t="n">
        <v>0</v>
      </c>
      <c r="BM255" s="105" t="n">
        <v>0</v>
      </c>
      <c r="BN255" s="105" t="n">
        <v>0</v>
      </c>
      <c r="BO255" s="105" t="n">
        <v>0</v>
      </c>
      <c r="BP255" s="105" t="n">
        <v>0</v>
      </c>
      <c r="BQ255" s="105" t="n">
        <v>0</v>
      </c>
      <c r="BR255" s="106" t="n">
        <f aca="false">SUM(AP255:BQ255)/60</f>
        <v>3.83333333333333</v>
      </c>
      <c r="BS255" s="106" t="n">
        <f aca="false">SUM(AP255:BR255)/60</f>
        <v>3.89722222222222</v>
      </c>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row>
    <row r="256" customFormat="false" ht="55.2" hidden="true" customHeight="false" outlineLevel="0" collapsed="false">
      <c r="A256" s="74" t="n">
        <f aca="false">MONTH(B256)</f>
        <v>8</v>
      </c>
      <c r="B256" s="133" t="n">
        <v>44432</v>
      </c>
      <c r="C256" s="128" t="s">
        <v>70</v>
      </c>
      <c r="D256" s="77" t="str">
        <f aca="false">IFERROR(VLOOKUP(E:E,'Item Data Support Sheet'!A:O,7,0),"")</f>
        <v>BOTTLE MOLDED</v>
      </c>
      <c r="E256" s="80" t="s">
        <v>357</v>
      </c>
      <c r="F256" s="122" t="s">
        <v>79</v>
      </c>
      <c r="G256" s="77" t="s">
        <v>80</v>
      </c>
      <c r="H256" s="79" t="str">
        <f aca="false">IFERROR(VLOOKUP(E:E,'Item Data Support Sheet'!A:O,2,0),"")</f>
        <v>KPP 120 ML BOTTLE MOLDED</v>
      </c>
      <c r="I256" s="80" t="s">
        <v>629</v>
      </c>
      <c r="J256" s="80" t="s">
        <v>143</v>
      </c>
      <c r="K256" s="81" t="n">
        <v>8</v>
      </c>
      <c r="L256" s="124" t="n">
        <v>2574</v>
      </c>
      <c r="M256" s="83" t="n">
        <f aca="false">IFERROR(L256/K256,0)</f>
        <v>321.75</v>
      </c>
      <c r="N256" s="84" t="n">
        <f aca="false">+O256+Q256+T256+U256</f>
        <v>2852</v>
      </c>
      <c r="O256" s="85" t="n">
        <f aca="false">14*180</f>
        <v>2520</v>
      </c>
      <c r="P256" s="86" t="n">
        <v>0.84</v>
      </c>
      <c r="Q256" s="86" t="n">
        <v>220</v>
      </c>
      <c r="R256" s="132" t="n">
        <v>0</v>
      </c>
      <c r="S256" s="128" t="n">
        <v>0</v>
      </c>
      <c r="T256" s="132" t="n">
        <f aca="false">112-28</f>
        <v>84</v>
      </c>
      <c r="U256" s="128" t="n">
        <v>28</v>
      </c>
      <c r="V256" s="128" t="n">
        <v>1</v>
      </c>
      <c r="W256" s="90" t="n">
        <f aca="false">IFERROR(O256/V256,0)</f>
        <v>2520</v>
      </c>
      <c r="X256" s="91" t="n">
        <f aca="false">O256/L256</f>
        <v>0.979020979020979</v>
      </c>
      <c r="Y256" s="92" t="str">
        <f aca="false">IFERROR(VLOOKUP(E:E,'Item Data Support Sheet'!A:J,6,0),0)</f>
        <v>HMC</v>
      </c>
      <c r="Z256" s="93" t="n">
        <f aca="false">IFERROR(VLOOKUP(E:E,'Item Data Support Sheet'!A:O,4,0),0)</f>
        <v>21.3</v>
      </c>
      <c r="AA256" s="93" t="n">
        <f aca="false">IFERROR(((N256)*(Z256/1000))+P256,0)</f>
        <v>61.5876</v>
      </c>
      <c r="AB256" s="94" t="n">
        <f aca="false">IFERROR((O256*(Z256/1000)/(AA256))," ")</f>
        <v>0.871539076047776</v>
      </c>
      <c r="AC256" s="95" t="n">
        <f aca="false">IFERROR((T256)/((T256)+O256),0)</f>
        <v>0.032258064516129</v>
      </c>
      <c r="AD256" s="96" t="n">
        <f aca="false">IFERROR(Q256/(Q256+N256),0)</f>
        <v>0.0716145833333333</v>
      </c>
      <c r="AE256" s="91" t="n">
        <f aca="false">(N256-T256)/N256</f>
        <v>0.97054698457223</v>
      </c>
      <c r="AF256" s="97" t="n">
        <f aca="false">BR256</f>
        <v>0</v>
      </c>
      <c r="AG256" s="98" t="n">
        <f aca="false">K256-AF256</f>
        <v>8</v>
      </c>
      <c r="AH256" s="99" t="n">
        <f aca="false">IFERROR(AG256/K256," ")</f>
        <v>1</v>
      </c>
      <c r="AI256" s="100" t="n">
        <f aca="false">IFERROR(O256/K256,0)</f>
        <v>315</v>
      </c>
      <c r="AJ256" s="101" t="n">
        <f aca="false">VLOOKUP(D256,'Standard Cycle time'!C:D,2,0)</f>
        <v>9</v>
      </c>
      <c r="AK256" s="101" t="n">
        <f aca="false">AG256*V256*3600/O256</f>
        <v>11.4285714285714</v>
      </c>
      <c r="AL256" s="102" t="n">
        <f aca="false">AJ256/AK256</f>
        <v>0.7875</v>
      </c>
      <c r="AM256" s="99" t="n">
        <f aca="false">AE256*AL256*AH256</f>
        <v>0.764305750350631</v>
      </c>
      <c r="AN256" s="103" t="n">
        <v>2656</v>
      </c>
      <c r="AO256" s="110" t="s">
        <v>630</v>
      </c>
      <c r="AP256" s="105" t="n">
        <v>0</v>
      </c>
      <c r="AQ256" s="105" t="n">
        <v>0</v>
      </c>
      <c r="AR256" s="105" t="n">
        <v>0</v>
      </c>
      <c r="AS256" s="105" t="n">
        <v>0</v>
      </c>
      <c r="AT256" s="105" t="n">
        <v>0</v>
      </c>
      <c r="AU256" s="105" t="n">
        <v>0</v>
      </c>
      <c r="AV256" s="105" t="n">
        <v>0</v>
      </c>
      <c r="AW256" s="105" t="n">
        <v>0</v>
      </c>
      <c r="AX256" s="105" t="n">
        <v>0</v>
      </c>
      <c r="AY256" s="105" t="n">
        <v>0</v>
      </c>
      <c r="AZ256" s="105" t="n">
        <v>0</v>
      </c>
      <c r="BA256" s="105" t="n">
        <v>0</v>
      </c>
      <c r="BB256" s="105" t="n">
        <v>0</v>
      </c>
      <c r="BC256" s="105" t="n">
        <v>0</v>
      </c>
      <c r="BD256" s="105" t="n">
        <v>0</v>
      </c>
      <c r="BE256" s="105" t="n">
        <v>0</v>
      </c>
      <c r="BF256" s="105" t="n">
        <v>0</v>
      </c>
      <c r="BG256" s="105" t="n">
        <v>0</v>
      </c>
      <c r="BH256" s="105" t="n">
        <v>0</v>
      </c>
      <c r="BI256" s="105" t="n">
        <v>0</v>
      </c>
      <c r="BJ256" s="105" t="n">
        <v>0</v>
      </c>
      <c r="BK256" s="105" t="n">
        <v>0</v>
      </c>
      <c r="BL256" s="105" t="n">
        <v>0</v>
      </c>
      <c r="BM256" s="105" t="n">
        <v>0</v>
      </c>
      <c r="BN256" s="105" t="n">
        <v>0</v>
      </c>
      <c r="BO256" s="105" t="n">
        <v>0</v>
      </c>
      <c r="BP256" s="105" t="n">
        <v>0</v>
      </c>
      <c r="BQ256" s="105" t="n">
        <v>0</v>
      </c>
      <c r="BR256" s="106" t="n">
        <f aca="false">SUM(AP256:BQ256)/60</f>
        <v>0</v>
      </c>
      <c r="BS256" s="106" t="n">
        <f aca="false">SUM(AP256:BR256)/60</f>
        <v>0</v>
      </c>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row>
    <row r="257" customFormat="false" ht="14.9" hidden="true" customHeight="false" outlineLevel="0" collapsed="false">
      <c r="A257" s="74" t="n">
        <f aca="false">MONTH(B257)</f>
        <v>8</v>
      </c>
      <c r="B257" s="133" t="n">
        <v>44432</v>
      </c>
      <c r="C257" s="128" t="s">
        <v>70</v>
      </c>
      <c r="D257" s="77" t="str">
        <f aca="false">IFERROR(VLOOKUP(E:E,'Item Data Support Sheet'!A:O,7,0),"")</f>
        <v>NIPPLE PUNCH</v>
      </c>
      <c r="E257" s="80" t="s">
        <v>563</v>
      </c>
      <c r="F257" s="122"/>
      <c r="G257" s="77" t="s">
        <v>54</v>
      </c>
      <c r="H257" s="79" t="str">
        <f aca="false">IFERROR(VLOOKUP(E:E,'Item Data Support Sheet'!A:O,2,0),"")</f>
        <v>NIPPLE S TYPE LL SIZE PUNCHED</v>
      </c>
      <c r="I257" s="80" t="s">
        <v>631</v>
      </c>
      <c r="J257" s="80" t="s">
        <v>143</v>
      </c>
      <c r="K257" s="81" t="n">
        <v>8</v>
      </c>
      <c r="L257" s="124" t="n">
        <v>7036</v>
      </c>
      <c r="M257" s="83" t="n">
        <f aca="false">IFERROR(L257/K257,0)</f>
        <v>879.5</v>
      </c>
      <c r="N257" s="84" t="n">
        <f aca="false">+O257+Q257+T257+U257</f>
        <v>6900</v>
      </c>
      <c r="O257" s="85" t="n">
        <v>6900</v>
      </c>
      <c r="P257" s="86" t="n">
        <v>0</v>
      </c>
      <c r="Q257" s="86" t="n">
        <v>0</v>
      </c>
      <c r="R257" s="132" t="n">
        <v>0</v>
      </c>
      <c r="S257" s="128" t="n">
        <v>0</v>
      </c>
      <c r="T257" s="132" t="n">
        <v>0</v>
      </c>
      <c r="U257" s="128" t="n">
        <v>0</v>
      </c>
      <c r="V257" s="128" t="n">
        <v>1</v>
      </c>
      <c r="W257" s="90" t="n">
        <f aca="false">IFERROR(O257/V257,0)</f>
        <v>6900</v>
      </c>
      <c r="X257" s="91" t="n">
        <f aca="false">O257/L257</f>
        <v>0.980670835702103</v>
      </c>
      <c r="Y257" s="92" t="str">
        <f aca="false">IFERROR(VLOOKUP(E:E,'Item Data Support Sheet'!A:J,6,0),0)</f>
        <v>FO150</v>
      </c>
      <c r="Z257" s="93" t="n">
        <f aca="false">IFERROR(VLOOKUP(E:E,'Item Data Support Sheet'!A:O,4,0),0)</f>
        <v>0</v>
      </c>
      <c r="AA257" s="93" t="n">
        <f aca="false">IFERROR(((N257)*(Z257/1000))+P257,0)</f>
        <v>0</v>
      </c>
      <c r="AB257" s="94" t="str">
        <f aca="false">IFERROR((O257*(Z257/1000)/(AA257))," ")</f>
        <v> </v>
      </c>
      <c r="AC257" s="95" t="n">
        <f aca="false">IFERROR((T257)/((T257)+O257),0)</f>
        <v>0</v>
      </c>
      <c r="AD257" s="96" t="n">
        <f aca="false">IFERROR(Q257/(Q257+N257),0)</f>
        <v>0</v>
      </c>
      <c r="AE257" s="91" t="n">
        <f aca="false">(N257-T257)/N257</f>
        <v>1</v>
      </c>
      <c r="AF257" s="97" t="n">
        <f aca="false">BR257</f>
        <v>0.666666666666667</v>
      </c>
      <c r="AG257" s="98" t="n">
        <f aca="false">K257-AF257</f>
        <v>7.33333333333333</v>
      </c>
      <c r="AH257" s="99" t="n">
        <f aca="false">IFERROR(AG257/K257," ")</f>
        <v>0.916666666666667</v>
      </c>
      <c r="AI257" s="100" t="n">
        <f aca="false">IFERROR(O257/K257,0)</f>
        <v>862.5</v>
      </c>
      <c r="AJ257" s="101" t="n">
        <f aca="false">VLOOKUP(D257,'Standard Cycle time'!C:D,2,0)</f>
        <v>3.5</v>
      </c>
      <c r="AK257" s="101" t="n">
        <f aca="false">AG257*V257*3600/O257</f>
        <v>3.82608695652174</v>
      </c>
      <c r="AL257" s="102" t="n">
        <f aca="false">AJ257/AK257</f>
        <v>0.914772727272727</v>
      </c>
      <c r="AM257" s="99" t="n">
        <f aca="false">AE257*AL257*AH257</f>
        <v>0.838541666666667</v>
      </c>
      <c r="AN257" s="103" t="n">
        <v>2652</v>
      </c>
      <c r="AO257" s="109"/>
      <c r="AP257" s="105" t="n">
        <v>40</v>
      </c>
      <c r="AQ257" s="105" t="n">
        <v>0</v>
      </c>
      <c r="AR257" s="105" t="n">
        <v>0</v>
      </c>
      <c r="AS257" s="105" t="n">
        <v>0</v>
      </c>
      <c r="AT257" s="105" t="n">
        <v>0</v>
      </c>
      <c r="AU257" s="105" t="n">
        <v>0</v>
      </c>
      <c r="AV257" s="105" t="n">
        <v>0</v>
      </c>
      <c r="AW257" s="105" t="n">
        <v>0</v>
      </c>
      <c r="AX257" s="105" t="n">
        <v>0</v>
      </c>
      <c r="AY257" s="105" t="n">
        <v>0</v>
      </c>
      <c r="AZ257" s="105" t="n">
        <v>0</v>
      </c>
      <c r="BA257" s="105" t="n">
        <v>0</v>
      </c>
      <c r="BB257" s="105" t="n">
        <v>0</v>
      </c>
      <c r="BC257" s="105" t="n">
        <v>0</v>
      </c>
      <c r="BD257" s="105" t="n">
        <v>0</v>
      </c>
      <c r="BE257" s="105" t="n">
        <v>0</v>
      </c>
      <c r="BF257" s="105" t="n">
        <v>0</v>
      </c>
      <c r="BG257" s="105" t="n">
        <v>0</v>
      </c>
      <c r="BH257" s="105" t="n">
        <v>0</v>
      </c>
      <c r="BI257" s="105" t="n">
        <v>0</v>
      </c>
      <c r="BJ257" s="105" t="n">
        <v>0</v>
      </c>
      <c r="BK257" s="105" t="n">
        <v>0</v>
      </c>
      <c r="BL257" s="105" t="n">
        <v>0</v>
      </c>
      <c r="BM257" s="105" t="n">
        <v>0</v>
      </c>
      <c r="BN257" s="105" t="n">
        <v>0</v>
      </c>
      <c r="BO257" s="105" t="n">
        <v>0</v>
      </c>
      <c r="BP257" s="105" t="n">
        <v>0</v>
      </c>
      <c r="BQ257" s="105" t="n">
        <v>0</v>
      </c>
      <c r="BR257" s="106" t="n">
        <f aca="false">SUM(AP257:BQ257)/60</f>
        <v>0.666666666666667</v>
      </c>
      <c r="BS257" s="106" t="n">
        <f aca="false">SUM(AP257:BR257)/60</f>
        <v>0.677777777777778</v>
      </c>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row>
    <row r="258" customFormat="false" ht="14.9" hidden="true" customHeight="false" outlineLevel="0" collapsed="false">
      <c r="A258" s="74" t="n">
        <f aca="false">MONTH(B258)</f>
        <v>8</v>
      </c>
      <c r="B258" s="133" t="n">
        <v>44432</v>
      </c>
      <c r="C258" s="128" t="s">
        <v>70</v>
      </c>
      <c r="D258" s="77" t="str">
        <f aca="false">IFERROR(VLOOKUP(E:E,'Item Data Support Sheet'!A:O,7,0),"")</f>
        <v>NIPPLE LASER MARKING</v>
      </c>
      <c r="E258" s="80" t="s">
        <v>600</v>
      </c>
      <c r="F258" s="122"/>
      <c r="G258" s="77" t="s">
        <v>517</v>
      </c>
      <c r="H258" s="79" t="str">
        <f aca="false">IFERROR(VLOOKUP(E:E,'Item Data Support Sheet'!A:O,2,0),"")</f>
        <v>NIPPLE S TYPE LL SIZE LASER MARKED</v>
      </c>
      <c r="I258" s="80" t="s">
        <v>632</v>
      </c>
      <c r="J258" s="80" t="s">
        <v>143</v>
      </c>
      <c r="K258" s="81" t="n">
        <v>8</v>
      </c>
      <c r="L258" s="124" t="n">
        <v>7036</v>
      </c>
      <c r="M258" s="83" t="n">
        <f aca="false">IFERROR(L258/K258,0)</f>
        <v>879.5</v>
      </c>
      <c r="N258" s="84" t="n">
        <f aca="false">+O258+Q258+T258+U258</f>
        <v>6000</v>
      </c>
      <c r="O258" s="85" t="n">
        <v>6000</v>
      </c>
      <c r="P258" s="86" t="n">
        <v>0</v>
      </c>
      <c r="Q258" s="86" t="n">
        <v>0</v>
      </c>
      <c r="R258" s="132" t="n">
        <v>0</v>
      </c>
      <c r="S258" s="128" t="n">
        <v>0</v>
      </c>
      <c r="T258" s="132" t="n">
        <v>0</v>
      </c>
      <c r="U258" s="128" t="n">
        <v>0</v>
      </c>
      <c r="V258" s="128" t="n">
        <v>1</v>
      </c>
      <c r="W258" s="90" t="n">
        <f aca="false">IFERROR(O258/V258,0)</f>
        <v>6000</v>
      </c>
      <c r="X258" s="91" t="n">
        <f aca="false">O258/L258</f>
        <v>0.852757248436612</v>
      </c>
      <c r="Y258" s="92" t="str">
        <f aca="false">IFERROR(VLOOKUP(E:E,'Item Data Support Sheet'!A:J,6,0),0)</f>
        <v>FO151</v>
      </c>
      <c r="Z258" s="93" t="n">
        <f aca="false">IFERROR(VLOOKUP(E:E,'Item Data Support Sheet'!A:O,4,0),0)</f>
        <v>0</v>
      </c>
      <c r="AA258" s="93" t="n">
        <f aca="false">IFERROR(((N258)*(Z258/1000))+P258,0)</f>
        <v>0</v>
      </c>
      <c r="AB258" s="94" t="str">
        <f aca="false">IFERROR((O258*(Z258/1000)/(AA258))," ")</f>
        <v> </v>
      </c>
      <c r="AC258" s="95" t="n">
        <f aca="false">IFERROR((T258)/((T258)+O258),0)</f>
        <v>0</v>
      </c>
      <c r="AD258" s="96" t="n">
        <f aca="false">IFERROR(Q258/(Q258+N258),0)</f>
        <v>0</v>
      </c>
      <c r="AE258" s="91" t="n">
        <f aca="false">(N258-T258)/N258</f>
        <v>1</v>
      </c>
      <c r="AF258" s="97" t="n">
        <f aca="false">BR258</f>
        <v>0.666666666666667</v>
      </c>
      <c r="AG258" s="98" t="n">
        <f aca="false">K258-AF258</f>
        <v>7.33333333333333</v>
      </c>
      <c r="AH258" s="99" t="n">
        <f aca="false">IFERROR(AG258/K258," ")</f>
        <v>0.916666666666667</v>
      </c>
      <c r="AI258" s="100" t="n">
        <f aca="false">IFERROR(O258/K258,0)</f>
        <v>750</v>
      </c>
      <c r="AJ258" s="101" t="n">
        <f aca="false">VLOOKUP(D258,'Standard Cycle time'!C:D,2,0)</f>
        <v>3.5</v>
      </c>
      <c r="AK258" s="101" t="n">
        <f aca="false">AG258*V258*3600/O258</f>
        <v>4.4</v>
      </c>
      <c r="AL258" s="102" t="n">
        <f aca="false">AJ258/AK258</f>
        <v>0.795454545454545</v>
      </c>
      <c r="AM258" s="99" t="n">
        <f aca="false">AE258*AL258*AH258</f>
        <v>0.729166666666667</v>
      </c>
      <c r="AN258" s="103" t="n">
        <v>2653</v>
      </c>
      <c r="AO258" s="109"/>
      <c r="AP258" s="105" t="n">
        <v>40</v>
      </c>
      <c r="AQ258" s="105" t="n">
        <v>0</v>
      </c>
      <c r="AR258" s="105" t="n">
        <v>0</v>
      </c>
      <c r="AS258" s="105" t="n">
        <v>0</v>
      </c>
      <c r="AT258" s="105" t="n">
        <v>0</v>
      </c>
      <c r="AU258" s="105" t="n">
        <v>0</v>
      </c>
      <c r="AV258" s="105" t="n">
        <v>0</v>
      </c>
      <c r="AW258" s="105" t="n">
        <v>0</v>
      </c>
      <c r="AX258" s="105" t="n">
        <v>0</v>
      </c>
      <c r="AY258" s="105" t="n">
        <v>0</v>
      </c>
      <c r="AZ258" s="105" t="n">
        <v>0</v>
      </c>
      <c r="BA258" s="105" t="n">
        <v>0</v>
      </c>
      <c r="BB258" s="105" t="n">
        <v>0</v>
      </c>
      <c r="BC258" s="105" t="n">
        <v>0</v>
      </c>
      <c r="BD258" s="105" t="n">
        <v>0</v>
      </c>
      <c r="BE258" s="105" t="n">
        <v>0</v>
      </c>
      <c r="BF258" s="105" t="n">
        <v>0</v>
      </c>
      <c r="BG258" s="105" t="n">
        <v>0</v>
      </c>
      <c r="BH258" s="105" t="n">
        <v>0</v>
      </c>
      <c r="BI258" s="105" t="n">
        <v>0</v>
      </c>
      <c r="BJ258" s="105" t="n">
        <v>0</v>
      </c>
      <c r="BK258" s="105" t="n">
        <v>0</v>
      </c>
      <c r="BL258" s="105" t="n">
        <v>0</v>
      </c>
      <c r="BM258" s="105" t="n">
        <v>0</v>
      </c>
      <c r="BN258" s="105" t="n">
        <v>0</v>
      </c>
      <c r="BO258" s="105" t="n">
        <v>0</v>
      </c>
      <c r="BP258" s="105" t="n">
        <v>0</v>
      </c>
      <c r="BQ258" s="105" t="n">
        <v>0</v>
      </c>
      <c r="BR258" s="106" t="n">
        <f aca="false">SUM(AP258:BQ258)/60</f>
        <v>0.666666666666667</v>
      </c>
      <c r="BS258" s="106" t="n">
        <f aca="false">SUM(AP258:BR258)/60</f>
        <v>0.677777777777778</v>
      </c>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row>
    <row r="259" customFormat="false" ht="14.9" hidden="true" customHeight="false" outlineLevel="0" collapsed="false">
      <c r="A259" s="74" t="n">
        <f aca="false">MONTH(B259)</f>
        <v>8</v>
      </c>
      <c r="B259" s="133" t="n">
        <v>44432</v>
      </c>
      <c r="C259" s="128" t="s">
        <v>152</v>
      </c>
      <c r="D259" s="77" t="str">
        <f aca="false">IFERROR(VLOOKUP(E:E,'Item Data Support Sheet'!A:O,7,0),"")</f>
        <v>BOTTLE MOLDED</v>
      </c>
      <c r="E259" s="80" t="s">
        <v>357</v>
      </c>
      <c r="F259" s="122" t="s">
        <v>79</v>
      </c>
      <c r="G259" s="77" t="s">
        <v>80</v>
      </c>
      <c r="H259" s="79" t="str">
        <f aca="false">IFERROR(VLOOKUP(E:E,'Item Data Support Sheet'!A:O,2,0),"")</f>
        <v>KPP 120 ML BOTTLE MOLDED</v>
      </c>
      <c r="I259" s="80" t="s">
        <v>633</v>
      </c>
      <c r="J259" s="80"/>
      <c r="K259" s="81" t="n">
        <v>8</v>
      </c>
      <c r="L259" s="124" t="n">
        <v>2574</v>
      </c>
      <c r="M259" s="83" t="n">
        <f aca="false">IFERROR(L259/K259,0)</f>
        <v>321.75</v>
      </c>
      <c r="N259" s="84" t="n">
        <f aca="false">+O259+Q259+T259+U259</f>
        <v>3182</v>
      </c>
      <c r="O259" s="85" t="n">
        <v>3060</v>
      </c>
      <c r="P259" s="86" t="n">
        <v>0</v>
      </c>
      <c r="Q259" s="86" t="n">
        <v>57</v>
      </c>
      <c r="R259" s="132" t="n">
        <v>0</v>
      </c>
      <c r="S259" s="128" t="n">
        <v>0</v>
      </c>
      <c r="T259" s="132" t="n">
        <v>65</v>
      </c>
      <c r="U259" s="128" t="n">
        <v>0</v>
      </c>
      <c r="V259" s="128" t="n">
        <v>1</v>
      </c>
      <c r="W259" s="90" t="n">
        <f aca="false">IFERROR(O259/V259,0)</f>
        <v>3060</v>
      </c>
      <c r="X259" s="91" t="n">
        <f aca="false">O259/L259</f>
        <v>1.18881118881119</v>
      </c>
      <c r="Y259" s="92" t="str">
        <f aca="false">IFERROR(VLOOKUP(E:E,'Item Data Support Sheet'!A:J,6,0),0)</f>
        <v>HMC</v>
      </c>
      <c r="Z259" s="93" t="n">
        <f aca="false">IFERROR(VLOOKUP(E:E,'Item Data Support Sheet'!A:O,4,0),0)</f>
        <v>21.3</v>
      </c>
      <c r="AA259" s="93" t="n">
        <f aca="false">IFERROR(((N259)*(Z259/1000))+P259,0)</f>
        <v>67.7766</v>
      </c>
      <c r="AB259" s="94" t="n">
        <f aca="false">IFERROR((O259*(Z259/1000)/(AA259))," ")</f>
        <v>0.961659333752357</v>
      </c>
      <c r="AC259" s="95" t="n">
        <f aca="false">IFERROR((T259)/((T259)+O259),0)</f>
        <v>0.0208</v>
      </c>
      <c r="AD259" s="96" t="n">
        <f aca="false">IFERROR(Q259/(Q259+N259),0)</f>
        <v>0.0175980240815066</v>
      </c>
      <c r="AE259" s="91" t="n">
        <f aca="false">(N259-T259)/N259</f>
        <v>0.979572595851666</v>
      </c>
      <c r="AF259" s="97" t="n">
        <f aca="false">BR259</f>
        <v>0.333333333333333</v>
      </c>
      <c r="AG259" s="98" t="n">
        <f aca="false">K259-AF259</f>
        <v>7.66666666666667</v>
      </c>
      <c r="AH259" s="99" t="n">
        <f aca="false">IFERROR(AG259/K259," ")</f>
        <v>0.958333333333333</v>
      </c>
      <c r="AI259" s="100" t="n">
        <f aca="false">IFERROR(O259/K259,0)</f>
        <v>382.5</v>
      </c>
      <c r="AJ259" s="101" t="n">
        <f aca="false">VLOOKUP(D259,'Standard Cycle time'!C:D,2,0)</f>
        <v>9</v>
      </c>
      <c r="AK259" s="101" t="n">
        <f aca="false">AG259*V259*3600/O259</f>
        <v>9.01960784313726</v>
      </c>
      <c r="AL259" s="102" t="n">
        <f aca="false">AJ259/AK259</f>
        <v>0.997826086956522</v>
      </c>
      <c r="AM259" s="99" t="n">
        <f aca="false">AE259*AL259*AH259</f>
        <v>0.936716294783155</v>
      </c>
      <c r="AN259" s="103" t="s">
        <v>634</v>
      </c>
      <c r="AO259" s="104"/>
      <c r="AP259" s="105" t="n">
        <v>0</v>
      </c>
      <c r="AQ259" s="105" t="n">
        <v>0</v>
      </c>
      <c r="AR259" s="105" t="n">
        <v>0</v>
      </c>
      <c r="AS259" s="105" t="n">
        <v>0</v>
      </c>
      <c r="AT259" s="105" t="n">
        <v>0</v>
      </c>
      <c r="AU259" s="105" t="n">
        <v>0</v>
      </c>
      <c r="AV259" s="105" t="n">
        <v>0</v>
      </c>
      <c r="AW259" s="105" t="n">
        <v>20</v>
      </c>
      <c r="AX259" s="105" t="n">
        <v>0</v>
      </c>
      <c r="AY259" s="105" t="n">
        <v>0</v>
      </c>
      <c r="AZ259" s="105" t="n">
        <v>0</v>
      </c>
      <c r="BA259" s="105" t="n">
        <v>0</v>
      </c>
      <c r="BB259" s="105" t="n">
        <v>0</v>
      </c>
      <c r="BC259" s="105" t="n">
        <v>0</v>
      </c>
      <c r="BD259" s="105" t="n">
        <v>0</v>
      </c>
      <c r="BE259" s="105" t="n">
        <v>0</v>
      </c>
      <c r="BF259" s="105" t="n">
        <v>0</v>
      </c>
      <c r="BG259" s="105" t="n">
        <v>0</v>
      </c>
      <c r="BH259" s="105" t="n">
        <v>0</v>
      </c>
      <c r="BI259" s="105" t="n">
        <v>0</v>
      </c>
      <c r="BJ259" s="105" t="n">
        <v>0</v>
      </c>
      <c r="BK259" s="105" t="n">
        <v>0</v>
      </c>
      <c r="BL259" s="105" t="n">
        <v>0</v>
      </c>
      <c r="BM259" s="105" t="n">
        <v>0</v>
      </c>
      <c r="BN259" s="105" t="n">
        <v>0</v>
      </c>
      <c r="BO259" s="105" t="n">
        <v>0</v>
      </c>
      <c r="BP259" s="105" t="n">
        <v>0</v>
      </c>
      <c r="BQ259" s="105" t="n">
        <v>0</v>
      </c>
      <c r="BR259" s="106" t="n">
        <f aca="false">SUM(AP259:BQ259)/60</f>
        <v>0.333333333333333</v>
      </c>
      <c r="BS259" s="106" t="n">
        <f aca="false">SUM(AP259:BR259)/60</f>
        <v>0.338888888888889</v>
      </c>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row>
    <row r="260" customFormat="false" ht="14.9" hidden="true" customHeight="false" outlineLevel="0" collapsed="false">
      <c r="A260" s="74" t="n">
        <f aca="false">MONTH(B260)</f>
        <v>8</v>
      </c>
      <c r="B260" s="133" t="n">
        <v>44432</v>
      </c>
      <c r="C260" s="128" t="s">
        <v>152</v>
      </c>
      <c r="D260" s="77" t="str">
        <f aca="false">IFERROR(VLOOKUP(E:E,'Item Data Support Sheet'!A:O,7,0),"")</f>
        <v>HOOD MOLDED</v>
      </c>
      <c r="E260" s="80" t="s">
        <v>529</v>
      </c>
      <c r="F260" s="122"/>
      <c r="G260" s="77" t="s">
        <v>200</v>
      </c>
      <c r="H260" s="79" t="str">
        <f aca="false">IFERROR(VLOOKUP(E:E,'Item Data Support Sheet'!A:O,2,0),"")</f>
        <v>HOOD S TYPE MOLDED</v>
      </c>
      <c r="I260" s="80" t="s">
        <v>635</v>
      </c>
      <c r="J260" s="80" t="s">
        <v>148</v>
      </c>
      <c r="K260" s="81" t="n">
        <v>8</v>
      </c>
      <c r="L260" s="124" t="n">
        <v>4137</v>
      </c>
      <c r="M260" s="83" t="n">
        <f aca="false">IFERROR(L260/K260,0)</f>
        <v>517.125</v>
      </c>
      <c r="N260" s="84" t="n">
        <f aca="false">+O260+Q260+T260+U260</f>
        <v>4116</v>
      </c>
      <c r="O260" s="85" t="n">
        <v>4000</v>
      </c>
      <c r="P260" s="86" t="n">
        <v>0.12</v>
      </c>
      <c r="Q260" s="86" t="n">
        <v>80</v>
      </c>
      <c r="R260" s="132" t="n">
        <v>0</v>
      </c>
      <c r="S260" s="128" t="n">
        <v>0</v>
      </c>
      <c r="T260" s="132" t="n">
        <v>28</v>
      </c>
      <c r="U260" s="128" t="n">
        <v>8</v>
      </c>
      <c r="V260" s="128" t="n">
        <v>1</v>
      </c>
      <c r="W260" s="90" t="n">
        <f aca="false">IFERROR(O260/V260,0)</f>
        <v>4000</v>
      </c>
      <c r="X260" s="91" t="n">
        <f aca="false">O260/L260</f>
        <v>0.96688421561518</v>
      </c>
      <c r="Y260" s="92" t="str">
        <f aca="false">IFERROR(VLOOKUP(E:E,'Item Data Support Sheet'!A:J,6,0),0)</f>
        <v>HMC</v>
      </c>
      <c r="Z260" s="93" t="n">
        <f aca="false">IFERROR(VLOOKUP(E:E,'Item Data Support Sheet'!A:O,4,0),0)</f>
        <v>8.6</v>
      </c>
      <c r="AA260" s="93" t="n">
        <f aca="false">IFERROR(((N260)*(Z260/1000))+P260,0)</f>
        <v>35.5176</v>
      </c>
      <c r="AB260" s="94" t="n">
        <f aca="false">IFERROR((O260*(Z260/1000)/(AA260))," ")</f>
        <v>0.96853390994887</v>
      </c>
      <c r="AC260" s="95" t="n">
        <f aca="false">IFERROR((T260)/((T260)+O260),0)</f>
        <v>0.00695134061569017</v>
      </c>
      <c r="AD260" s="96" t="n">
        <f aca="false">IFERROR(Q260/(Q260+N260),0)</f>
        <v>0.0190657769304099</v>
      </c>
      <c r="AE260" s="91" t="n">
        <f aca="false">(N260-T260)/N260</f>
        <v>0.993197278911565</v>
      </c>
      <c r="AF260" s="97" t="n">
        <f aca="false">BR260</f>
        <v>1.28333333333333</v>
      </c>
      <c r="AG260" s="98" t="n">
        <f aca="false">K260-AF260</f>
        <v>6.71666666666667</v>
      </c>
      <c r="AH260" s="99" t="n">
        <f aca="false">IFERROR(AG260/K260," ")</f>
        <v>0.839583333333333</v>
      </c>
      <c r="AI260" s="100" t="n">
        <f aca="false">IFERROR(O260/K260,0)</f>
        <v>500</v>
      </c>
      <c r="AJ260" s="101" t="n">
        <f aca="false">VLOOKUP(D260,'Standard Cycle time'!C:D,2,0)</f>
        <v>6</v>
      </c>
      <c r="AK260" s="101" t="n">
        <f aca="false">AG260*V260*3600/O260</f>
        <v>6.045</v>
      </c>
      <c r="AL260" s="102" t="n">
        <f aca="false">AJ260/AK260</f>
        <v>0.992555831265509</v>
      </c>
      <c r="AM260" s="99" t="n">
        <f aca="false">AE260*AL260*AH260</f>
        <v>0.827664399092971</v>
      </c>
      <c r="AN260" s="103" t="s">
        <v>636</v>
      </c>
      <c r="AO260" s="104"/>
      <c r="AP260" s="105" t="n">
        <v>0</v>
      </c>
      <c r="AQ260" s="105" t="n">
        <v>0</v>
      </c>
      <c r="AR260" s="105" t="n">
        <v>0</v>
      </c>
      <c r="AS260" s="105" t="n">
        <v>0</v>
      </c>
      <c r="AT260" s="105" t="n">
        <v>0</v>
      </c>
      <c r="AU260" s="105" t="n">
        <v>0</v>
      </c>
      <c r="AV260" s="105" t="n">
        <v>0</v>
      </c>
      <c r="AW260" s="105" t="n">
        <v>32</v>
      </c>
      <c r="AX260" s="105" t="n">
        <v>0</v>
      </c>
      <c r="AY260" s="105" t="n">
        <v>0</v>
      </c>
      <c r="AZ260" s="105" t="n">
        <v>0</v>
      </c>
      <c r="BA260" s="105" t="n">
        <v>0</v>
      </c>
      <c r="BB260" s="105" t="n">
        <v>45</v>
      </c>
      <c r="BC260" s="105" t="n">
        <v>0</v>
      </c>
      <c r="BD260" s="105" t="n">
        <v>0</v>
      </c>
      <c r="BE260" s="105" t="n">
        <v>0</v>
      </c>
      <c r="BF260" s="105" t="n">
        <v>0</v>
      </c>
      <c r="BG260" s="105" t="n">
        <v>0</v>
      </c>
      <c r="BH260" s="105" t="n">
        <v>0</v>
      </c>
      <c r="BI260" s="105" t="n">
        <v>0</v>
      </c>
      <c r="BJ260" s="105" t="n">
        <v>0</v>
      </c>
      <c r="BK260" s="105" t="n">
        <v>0</v>
      </c>
      <c r="BL260" s="105" t="n">
        <v>0</v>
      </c>
      <c r="BM260" s="105" t="n">
        <v>0</v>
      </c>
      <c r="BN260" s="105" t="n">
        <v>0</v>
      </c>
      <c r="BO260" s="105" t="n">
        <v>0</v>
      </c>
      <c r="BP260" s="105" t="n">
        <v>0</v>
      </c>
      <c r="BQ260" s="105" t="n">
        <v>0</v>
      </c>
      <c r="BR260" s="106" t="n">
        <f aca="false">SUM(AP260:BQ260)/60</f>
        <v>1.28333333333333</v>
      </c>
      <c r="BS260" s="106" t="n">
        <f aca="false">SUM(AP260:BR260)/60</f>
        <v>1.30472222222222</v>
      </c>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row>
    <row r="261" customFormat="false" ht="14.9" hidden="true" customHeight="false" outlineLevel="0" collapsed="false">
      <c r="A261" s="74" t="n">
        <f aca="false">MONTH(B261)</f>
        <v>8</v>
      </c>
      <c r="B261" s="133" t="n">
        <v>44433</v>
      </c>
      <c r="C261" s="128" t="s">
        <v>51</v>
      </c>
      <c r="D261" s="77" t="str">
        <f aca="false">IFERROR(VLOOKUP(E:E,'Item Data Support Sheet'!A:O,7,0),"")</f>
        <v>NIPPLE PUNCH</v>
      </c>
      <c r="E261" s="80" t="s">
        <v>563</v>
      </c>
      <c r="F261" s="122"/>
      <c r="G261" s="77"/>
      <c r="H261" s="79" t="str">
        <f aca="false">IFERROR(VLOOKUP(E:E,'Item Data Support Sheet'!A:O,2,0),"")</f>
        <v>NIPPLE S TYPE LL SIZE PUNCHED</v>
      </c>
      <c r="I261" s="80" t="s">
        <v>637</v>
      </c>
      <c r="J261" s="80" t="s">
        <v>140</v>
      </c>
      <c r="K261" s="81" t="n">
        <v>8</v>
      </c>
      <c r="L261" s="124" t="n">
        <v>7000</v>
      </c>
      <c r="M261" s="83" t="n">
        <f aca="false">IFERROR(L261/K261,0)</f>
        <v>875</v>
      </c>
      <c r="N261" s="84" t="n">
        <f aca="false">+O261+Q261+T261+U261</f>
        <v>7300</v>
      </c>
      <c r="O261" s="85" t="n">
        <v>7300</v>
      </c>
      <c r="P261" s="86" t="n">
        <v>0</v>
      </c>
      <c r="Q261" s="86" t="n">
        <v>0</v>
      </c>
      <c r="R261" s="132" t="n">
        <v>0</v>
      </c>
      <c r="S261" s="128" t="n">
        <v>0</v>
      </c>
      <c r="T261" s="132" t="n">
        <v>0</v>
      </c>
      <c r="U261" s="128" t="n">
        <v>0</v>
      </c>
      <c r="V261" s="128" t="n">
        <v>1</v>
      </c>
      <c r="W261" s="90" t="n">
        <f aca="false">IFERROR(O261/V261,0)</f>
        <v>7300</v>
      </c>
      <c r="X261" s="91" t="n">
        <f aca="false">O261/L261</f>
        <v>1.04285714285714</v>
      </c>
      <c r="Y261" s="92" t="str">
        <f aca="false">IFERROR(VLOOKUP(E:E,'Item Data Support Sheet'!A:J,6,0),0)</f>
        <v>FO150</v>
      </c>
      <c r="Z261" s="93" t="n">
        <f aca="false">IFERROR(VLOOKUP(E:E,'Item Data Support Sheet'!A:O,4,0),0)</f>
        <v>0</v>
      </c>
      <c r="AA261" s="93" t="n">
        <f aca="false">IFERROR(((N261)*(Z261/1000))+P261,0)</f>
        <v>0</v>
      </c>
      <c r="AB261" s="94" t="str">
        <f aca="false">IFERROR((O261*(Z261/1000)/(AA261))," ")</f>
        <v> </v>
      </c>
      <c r="AC261" s="95" t="n">
        <f aca="false">IFERROR((T261)/((T261)+O261),0)</f>
        <v>0</v>
      </c>
      <c r="AD261" s="96" t="n">
        <f aca="false">IFERROR(Q261/(Q261+N261),0)</f>
        <v>0</v>
      </c>
      <c r="AE261" s="91" t="n">
        <f aca="false">(N261-T261)/N261</f>
        <v>1</v>
      </c>
      <c r="AF261" s="97" t="n">
        <f aca="false">BR261</f>
        <v>0.666666666666667</v>
      </c>
      <c r="AG261" s="98" t="n">
        <f aca="false">K261-AF261</f>
        <v>7.33333333333333</v>
      </c>
      <c r="AH261" s="99" t="n">
        <f aca="false">IFERROR(AG261/K261," ")</f>
        <v>0.916666666666667</v>
      </c>
      <c r="AI261" s="100" t="n">
        <f aca="false">IFERROR(O261/K261,0)</f>
        <v>912.5</v>
      </c>
      <c r="AJ261" s="101" t="n">
        <f aca="false">VLOOKUP(D261,'Standard Cycle time'!C:D,2,0)</f>
        <v>3.5</v>
      </c>
      <c r="AK261" s="101" t="n">
        <f aca="false">AG261*V261*3600/O261</f>
        <v>3.61643835616438</v>
      </c>
      <c r="AL261" s="102" t="n">
        <f aca="false">AJ261/AK261</f>
        <v>0.96780303030303</v>
      </c>
      <c r="AM261" s="99" t="n">
        <f aca="false">AE261*AL261*AH261</f>
        <v>0.887152777777778</v>
      </c>
      <c r="AN261" s="103" t="s">
        <v>638</v>
      </c>
      <c r="AO261" s="109"/>
      <c r="AP261" s="105" t="n">
        <v>40</v>
      </c>
      <c r="AQ261" s="105" t="n">
        <v>0</v>
      </c>
      <c r="AR261" s="105" t="n">
        <v>0</v>
      </c>
      <c r="AS261" s="105" t="n">
        <v>0</v>
      </c>
      <c r="AT261" s="105" t="n">
        <v>0</v>
      </c>
      <c r="AU261" s="105" t="n">
        <v>0</v>
      </c>
      <c r="AV261" s="105" t="n">
        <v>0</v>
      </c>
      <c r="AW261" s="105" t="n">
        <v>0</v>
      </c>
      <c r="AX261" s="105" t="n">
        <v>0</v>
      </c>
      <c r="AY261" s="105" t="n">
        <v>0</v>
      </c>
      <c r="AZ261" s="105" t="n">
        <v>0</v>
      </c>
      <c r="BA261" s="105" t="n">
        <v>0</v>
      </c>
      <c r="BB261" s="105" t="n">
        <v>0</v>
      </c>
      <c r="BC261" s="105" t="n">
        <v>0</v>
      </c>
      <c r="BD261" s="105" t="n">
        <v>0</v>
      </c>
      <c r="BE261" s="105" t="n">
        <v>0</v>
      </c>
      <c r="BF261" s="105" t="n">
        <v>0</v>
      </c>
      <c r="BG261" s="105" t="n">
        <v>0</v>
      </c>
      <c r="BH261" s="105" t="n">
        <v>0</v>
      </c>
      <c r="BI261" s="105" t="n">
        <v>0</v>
      </c>
      <c r="BJ261" s="105" t="n">
        <v>0</v>
      </c>
      <c r="BK261" s="105" t="n">
        <v>0</v>
      </c>
      <c r="BL261" s="105" t="n">
        <v>0</v>
      </c>
      <c r="BM261" s="105" t="n">
        <v>0</v>
      </c>
      <c r="BN261" s="105" t="n">
        <v>0</v>
      </c>
      <c r="BO261" s="105" t="n">
        <v>0</v>
      </c>
      <c r="BP261" s="105" t="n">
        <v>0</v>
      </c>
      <c r="BQ261" s="105" t="n">
        <v>0</v>
      </c>
      <c r="BR261" s="106" t="n">
        <f aca="false">SUM(AP261:BQ261)/60</f>
        <v>0.666666666666667</v>
      </c>
      <c r="BS261" s="106" t="n">
        <f aca="false">SUM(AP261:BR261)/60</f>
        <v>0.677777777777778</v>
      </c>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row>
    <row r="262" customFormat="false" ht="14.9" hidden="true" customHeight="false" outlineLevel="0" collapsed="false">
      <c r="A262" s="74" t="n">
        <f aca="false">MONTH(B262)</f>
        <v>8</v>
      </c>
      <c r="B262" s="133" t="n">
        <v>44433</v>
      </c>
      <c r="C262" s="128" t="s">
        <v>51</v>
      </c>
      <c r="D262" s="77" t="str">
        <f aca="false">IFERROR(VLOOKUP(E:E,'Item Data Support Sheet'!A:O,7,0),"")</f>
        <v>NIPPLE LASER MARKING</v>
      </c>
      <c r="E262" s="80" t="s">
        <v>600</v>
      </c>
      <c r="F262" s="122"/>
      <c r="G262" s="77"/>
      <c r="H262" s="79" t="str">
        <f aca="false">IFERROR(VLOOKUP(E:E,'Item Data Support Sheet'!A:O,2,0),"")</f>
        <v>NIPPLE S TYPE LL SIZE LASER MARKED</v>
      </c>
      <c r="I262" s="80" t="s">
        <v>639</v>
      </c>
      <c r="J262" s="80" t="s">
        <v>140</v>
      </c>
      <c r="K262" s="81" t="n">
        <v>8</v>
      </c>
      <c r="L262" s="124" t="n">
        <v>7000</v>
      </c>
      <c r="M262" s="83" t="n">
        <f aca="false">IFERROR(L262/K262,0)</f>
        <v>875</v>
      </c>
      <c r="N262" s="84" t="n">
        <f aca="false">+O262+Q262+T262+U262</f>
        <v>6900</v>
      </c>
      <c r="O262" s="85" t="n">
        <v>6900</v>
      </c>
      <c r="P262" s="86" t="n">
        <v>0</v>
      </c>
      <c r="Q262" s="86" t="n">
        <v>0</v>
      </c>
      <c r="R262" s="132" t="n">
        <v>0</v>
      </c>
      <c r="S262" s="128" t="n">
        <v>0</v>
      </c>
      <c r="T262" s="132" t="n">
        <v>0</v>
      </c>
      <c r="U262" s="128" t="n">
        <v>0</v>
      </c>
      <c r="V262" s="128" t="n">
        <v>1</v>
      </c>
      <c r="W262" s="90" t="n">
        <f aca="false">IFERROR(O262/V262,0)</f>
        <v>6900</v>
      </c>
      <c r="X262" s="91" t="n">
        <f aca="false">O262/L262</f>
        <v>0.985714285714286</v>
      </c>
      <c r="Y262" s="92" t="str">
        <f aca="false">IFERROR(VLOOKUP(E:E,'Item Data Support Sheet'!A:J,6,0),0)</f>
        <v>FO151</v>
      </c>
      <c r="Z262" s="93" t="n">
        <f aca="false">IFERROR(VLOOKUP(E:E,'Item Data Support Sheet'!A:O,4,0),0)</f>
        <v>0</v>
      </c>
      <c r="AA262" s="93" t="n">
        <f aca="false">IFERROR(((N262)*(Z262/1000))+P262,0)</f>
        <v>0</v>
      </c>
      <c r="AB262" s="94" t="str">
        <f aca="false">IFERROR((O262*(Z262/1000)/(AA262))," ")</f>
        <v> </v>
      </c>
      <c r="AC262" s="95" t="n">
        <f aca="false">IFERROR((T262)/((T262)+O262),0)</f>
        <v>0</v>
      </c>
      <c r="AD262" s="96" t="n">
        <f aca="false">IFERROR(Q262/(Q262+N262),0)</f>
        <v>0</v>
      </c>
      <c r="AE262" s="91" t="n">
        <f aca="false">(N262-T262)/N262</f>
        <v>1</v>
      </c>
      <c r="AF262" s="97" t="n">
        <f aca="false">BR262</f>
        <v>0.666666666666667</v>
      </c>
      <c r="AG262" s="98" t="n">
        <f aca="false">K262-AF262</f>
        <v>7.33333333333333</v>
      </c>
      <c r="AH262" s="99" t="n">
        <f aca="false">IFERROR(AG262/K262," ")</f>
        <v>0.916666666666667</v>
      </c>
      <c r="AI262" s="100" t="n">
        <f aca="false">IFERROR(O262/K262,0)</f>
        <v>862.5</v>
      </c>
      <c r="AJ262" s="101" t="n">
        <f aca="false">VLOOKUP(D262,'Standard Cycle time'!C:D,2,0)</f>
        <v>3.5</v>
      </c>
      <c r="AK262" s="101" t="n">
        <f aca="false">AG262*V262*3600/O262</f>
        <v>3.82608695652174</v>
      </c>
      <c r="AL262" s="102" t="n">
        <f aca="false">AJ262/AK262</f>
        <v>0.914772727272727</v>
      </c>
      <c r="AM262" s="99" t="n">
        <f aca="false">AE262*AL262*AH262</f>
        <v>0.838541666666667</v>
      </c>
      <c r="AN262" s="103" t="s">
        <v>640</v>
      </c>
      <c r="AO262" s="109"/>
      <c r="AP262" s="105" t="n">
        <v>40</v>
      </c>
      <c r="AQ262" s="105" t="n">
        <v>0</v>
      </c>
      <c r="AR262" s="105" t="n">
        <v>0</v>
      </c>
      <c r="AS262" s="105" t="n">
        <v>0</v>
      </c>
      <c r="AT262" s="105" t="n">
        <v>0</v>
      </c>
      <c r="AU262" s="105" t="n">
        <v>0</v>
      </c>
      <c r="AV262" s="105" t="n">
        <v>0</v>
      </c>
      <c r="AW262" s="105" t="n">
        <v>0</v>
      </c>
      <c r="AX262" s="105" t="n">
        <v>0</v>
      </c>
      <c r="AY262" s="105" t="n">
        <v>0</v>
      </c>
      <c r="AZ262" s="105" t="n">
        <v>0</v>
      </c>
      <c r="BA262" s="105" t="n">
        <v>0</v>
      </c>
      <c r="BB262" s="105" t="n">
        <v>0</v>
      </c>
      <c r="BC262" s="105" t="n">
        <v>0</v>
      </c>
      <c r="BD262" s="105" t="n">
        <v>0</v>
      </c>
      <c r="BE262" s="105" t="n">
        <v>0</v>
      </c>
      <c r="BF262" s="105" t="n">
        <v>0</v>
      </c>
      <c r="BG262" s="105" t="n">
        <v>0</v>
      </c>
      <c r="BH262" s="105" t="n">
        <v>0</v>
      </c>
      <c r="BI262" s="105" t="n">
        <v>0</v>
      </c>
      <c r="BJ262" s="105" t="n">
        <v>0</v>
      </c>
      <c r="BK262" s="105" t="n">
        <v>0</v>
      </c>
      <c r="BL262" s="105" t="n">
        <v>0</v>
      </c>
      <c r="BM262" s="105" t="n">
        <v>0</v>
      </c>
      <c r="BN262" s="105" t="n">
        <v>0</v>
      </c>
      <c r="BO262" s="105" t="n">
        <v>0</v>
      </c>
      <c r="BP262" s="105" t="n">
        <v>0</v>
      </c>
      <c r="BQ262" s="105" t="n">
        <v>0</v>
      </c>
      <c r="BR262" s="106" t="n">
        <f aca="false">SUM(AP262:BQ262)/60</f>
        <v>0.666666666666667</v>
      </c>
      <c r="BS262" s="106" t="n">
        <f aca="false">SUM(AP262:BR262)/60</f>
        <v>0.677777777777778</v>
      </c>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row>
    <row r="263" customFormat="false" ht="14.9" hidden="true" customHeight="false" outlineLevel="0" collapsed="false">
      <c r="A263" s="74" t="n">
        <f aca="false">MONTH(B263)</f>
        <v>8</v>
      </c>
      <c r="B263" s="133" t="n">
        <v>44433</v>
      </c>
      <c r="C263" s="128" t="s">
        <v>51</v>
      </c>
      <c r="D263" s="77" t="str">
        <f aca="false">IFERROR(VLOOKUP(E:E,'Item Data Support Sheet'!A:O,7,0),"")</f>
        <v>HOOD MOLDED</v>
      </c>
      <c r="E263" s="80" t="s">
        <v>529</v>
      </c>
      <c r="F263" s="122"/>
      <c r="G263" s="77" t="s">
        <v>200</v>
      </c>
      <c r="H263" s="79" t="str">
        <f aca="false">IFERROR(VLOOKUP(E:E,'Item Data Support Sheet'!A:O,2,0),"")</f>
        <v>HOOD S TYPE MOLDED</v>
      </c>
      <c r="I263" s="80" t="s">
        <v>641</v>
      </c>
      <c r="J263" s="80" t="s">
        <v>140</v>
      </c>
      <c r="K263" s="81" t="n">
        <v>7</v>
      </c>
      <c r="L263" s="124" t="n">
        <v>4137</v>
      </c>
      <c r="M263" s="83" t="n">
        <f aca="false">IFERROR(L263/K263,0)</f>
        <v>591</v>
      </c>
      <c r="N263" s="84" t="n">
        <f aca="false">+O263+Q263+T263+U263</f>
        <v>4148</v>
      </c>
      <c r="O263" s="85" t="n">
        <v>4000</v>
      </c>
      <c r="P263" s="86" t="n">
        <v>0</v>
      </c>
      <c r="Q263" s="86" t="n">
        <v>100</v>
      </c>
      <c r="R263" s="132" t="n">
        <v>0</v>
      </c>
      <c r="S263" s="128" t="n">
        <v>0</v>
      </c>
      <c r="T263" s="132" t="n">
        <v>40</v>
      </c>
      <c r="U263" s="128" t="n">
        <v>8</v>
      </c>
      <c r="V263" s="128" t="n">
        <v>1</v>
      </c>
      <c r="W263" s="90" t="n">
        <f aca="false">IFERROR(O263/V263,0)</f>
        <v>4000</v>
      </c>
      <c r="X263" s="91" t="n">
        <f aca="false">O263/L263</f>
        <v>0.96688421561518</v>
      </c>
      <c r="Y263" s="92" t="str">
        <f aca="false">IFERROR(VLOOKUP(E:E,'Item Data Support Sheet'!A:J,6,0),0)</f>
        <v>HMC</v>
      </c>
      <c r="Z263" s="93" t="n">
        <f aca="false">IFERROR(VLOOKUP(E:E,'Item Data Support Sheet'!A:O,4,0),0)</f>
        <v>8.6</v>
      </c>
      <c r="AA263" s="93" t="n">
        <f aca="false">IFERROR(((N263)*(Z263/1000))+P263,0)</f>
        <v>35.6728</v>
      </c>
      <c r="AB263" s="94" t="n">
        <f aca="false">IFERROR((O263*(Z263/1000)/(AA263))," ")</f>
        <v>0.964320154291225</v>
      </c>
      <c r="AC263" s="95" t="n">
        <f aca="false">IFERROR((T263)/((T263)+O263),0)</f>
        <v>0.0099009900990099</v>
      </c>
      <c r="AD263" s="96" t="n">
        <f aca="false">IFERROR(Q263/(Q263+N263),0)</f>
        <v>0.0235404896421846</v>
      </c>
      <c r="AE263" s="91" t="n">
        <f aca="false">(N263-T263)/N263</f>
        <v>0.990356798457088</v>
      </c>
      <c r="AF263" s="97" t="n">
        <f aca="false">BR263</f>
        <v>0</v>
      </c>
      <c r="AG263" s="98" t="n">
        <f aca="false">K263-AF263</f>
        <v>7</v>
      </c>
      <c r="AH263" s="99" t="n">
        <f aca="false">IFERROR(AG263/K263," ")</f>
        <v>1</v>
      </c>
      <c r="AI263" s="100" t="n">
        <f aca="false">IFERROR(O263/K263,0)</f>
        <v>571.428571428571</v>
      </c>
      <c r="AJ263" s="101" t="n">
        <f aca="false">VLOOKUP(D263,'Standard Cycle time'!C:D,2,0)</f>
        <v>6</v>
      </c>
      <c r="AK263" s="101" t="n">
        <f aca="false">AG263*V263*3600/O263</f>
        <v>6.3</v>
      </c>
      <c r="AL263" s="102" t="n">
        <f aca="false">AJ263/AK263</f>
        <v>0.952380952380952</v>
      </c>
      <c r="AM263" s="99" t="n">
        <f aca="false">AE263*AL263*AH263</f>
        <v>0.943196950911512</v>
      </c>
      <c r="AN263" s="103" t="n">
        <v>2680</v>
      </c>
      <c r="AO263" s="104"/>
      <c r="AP263" s="105" t="n">
        <v>0</v>
      </c>
      <c r="AQ263" s="105" t="n">
        <v>0</v>
      </c>
      <c r="AR263" s="105" t="n">
        <v>0</v>
      </c>
      <c r="AS263" s="105" t="n">
        <v>0</v>
      </c>
      <c r="AT263" s="105" t="n">
        <v>0</v>
      </c>
      <c r="AU263" s="105" t="n">
        <v>0</v>
      </c>
      <c r="AV263" s="105" t="n">
        <v>0</v>
      </c>
      <c r="AW263" s="105" t="n">
        <v>0</v>
      </c>
      <c r="AX263" s="105" t="n">
        <v>0</v>
      </c>
      <c r="AY263" s="105" t="n">
        <v>0</v>
      </c>
      <c r="AZ263" s="105" t="n">
        <v>0</v>
      </c>
      <c r="BA263" s="105" t="n">
        <v>0</v>
      </c>
      <c r="BB263" s="105" t="n">
        <v>0</v>
      </c>
      <c r="BC263" s="105" t="n">
        <v>0</v>
      </c>
      <c r="BD263" s="105" t="n">
        <v>0</v>
      </c>
      <c r="BE263" s="105" t="n">
        <v>0</v>
      </c>
      <c r="BF263" s="105" t="n">
        <v>0</v>
      </c>
      <c r="BG263" s="105" t="n">
        <v>0</v>
      </c>
      <c r="BH263" s="105" t="n">
        <v>0</v>
      </c>
      <c r="BI263" s="105" t="n">
        <v>0</v>
      </c>
      <c r="BJ263" s="105" t="n">
        <v>0</v>
      </c>
      <c r="BK263" s="105" t="n">
        <v>0</v>
      </c>
      <c r="BL263" s="105" t="n">
        <v>0</v>
      </c>
      <c r="BM263" s="105" t="n">
        <v>0</v>
      </c>
      <c r="BN263" s="105" t="n">
        <v>0</v>
      </c>
      <c r="BO263" s="105" t="n">
        <v>0</v>
      </c>
      <c r="BP263" s="105" t="n">
        <v>0</v>
      </c>
      <c r="BQ263" s="105" t="n">
        <v>0</v>
      </c>
      <c r="BR263" s="106" t="n">
        <f aca="false">SUM(AP263:BQ263)/60</f>
        <v>0</v>
      </c>
      <c r="BS263" s="106" t="n">
        <f aca="false">SUM(AP263:BR263)/60</f>
        <v>0</v>
      </c>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row>
    <row r="264" customFormat="false" ht="14.9" hidden="true" customHeight="false" outlineLevel="0" collapsed="false">
      <c r="A264" s="74" t="n">
        <f aca="false">MONTH(B264)</f>
        <v>8</v>
      </c>
      <c r="B264" s="133" t="n">
        <v>44433</v>
      </c>
      <c r="C264" s="128" t="s">
        <v>63</v>
      </c>
      <c r="D264" s="77" t="str">
        <f aca="false">IFERROR(VLOOKUP(E:E,'Item Data Support Sheet'!A:O,7,0),"")</f>
        <v>NIPPLE PUNCH INSPECTED</v>
      </c>
      <c r="E264" s="80" t="s">
        <v>621</v>
      </c>
      <c r="F264" s="122"/>
      <c r="G264" s="77"/>
      <c r="H264" s="79" t="str">
        <f aca="false">IFERROR(VLOOKUP(E:E,'Item Data Support Sheet'!A:O,2,0),"")</f>
        <v>NIPPLE S TYPE LL SIZE INSPECTED</v>
      </c>
      <c r="I264" s="80" t="s">
        <v>642</v>
      </c>
      <c r="J264" s="80" t="s">
        <v>158</v>
      </c>
      <c r="K264" s="81" t="n">
        <v>8.5</v>
      </c>
      <c r="L264" s="124" t="n">
        <v>14072</v>
      </c>
      <c r="M264" s="83" t="n">
        <f aca="false">IFERROR(L264/K264,0)</f>
        <v>1655.52941176471</v>
      </c>
      <c r="N264" s="84" t="n">
        <f aca="false">+O264+Q264+T264+U264</f>
        <v>12900</v>
      </c>
      <c r="O264" s="85" t="n">
        <v>12752</v>
      </c>
      <c r="P264" s="86" t="n">
        <v>0</v>
      </c>
      <c r="Q264" s="86" t="n">
        <v>0</v>
      </c>
      <c r="R264" s="132" t="n">
        <v>0</v>
      </c>
      <c r="S264" s="128" t="n">
        <v>0</v>
      </c>
      <c r="T264" s="132" t="n">
        <v>148</v>
      </c>
      <c r="U264" s="128" t="n">
        <v>0</v>
      </c>
      <c r="V264" s="128" t="n">
        <v>2</v>
      </c>
      <c r="W264" s="90" t="n">
        <f aca="false">IFERROR(O264/V264,0)</f>
        <v>6376</v>
      </c>
      <c r="X264" s="91" t="n">
        <f aca="false">O264/L264</f>
        <v>0.906196702671973</v>
      </c>
      <c r="Y264" s="92" t="str">
        <f aca="false">IFERROR(VLOOKUP(E:E,'Item Data Support Sheet'!A:J,6,0),0)</f>
        <v>FO152</v>
      </c>
      <c r="Z264" s="93" t="n">
        <f aca="false">IFERROR(VLOOKUP(E:E,'Item Data Support Sheet'!A:O,4,0),0)</f>
        <v>0</v>
      </c>
      <c r="AA264" s="93" t="n">
        <f aca="false">IFERROR(((N264)*(Z264/1000))+P264,0)</f>
        <v>0</v>
      </c>
      <c r="AB264" s="94" t="str">
        <f aca="false">IFERROR((O264*(Z264/1000)/(AA264))," ")</f>
        <v> </v>
      </c>
      <c r="AC264" s="95" t="n">
        <f aca="false">IFERROR((T264)/((T264)+O264),0)</f>
        <v>0.0114728682170543</v>
      </c>
      <c r="AD264" s="96" t="n">
        <f aca="false">IFERROR(Q264/(Q264+N264),0)</f>
        <v>0</v>
      </c>
      <c r="AE264" s="91" t="n">
        <f aca="false">(N264-T264)/N264</f>
        <v>0.988527131782946</v>
      </c>
      <c r="AF264" s="97" t="n">
        <f aca="false">BR264</f>
        <v>0.833333333333333</v>
      </c>
      <c r="AG264" s="98" t="n">
        <f aca="false">K264-AF264</f>
        <v>7.66666666666667</v>
      </c>
      <c r="AH264" s="99" t="n">
        <f aca="false">IFERROR(AG264/K264," ")</f>
        <v>0.901960784313726</v>
      </c>
      <c r="AI264" s="100" t="n">
        <f aca="false">IFERROR(O264/K264,0)</f>
        <v>1500.23529411765</v>
      </c>
      <c r="AJ264" s="101" t="n">
        <f aca="false">VLOOKUP(D264,'Standard Cycle time'!C:D,2,0)</f>
        <v>4</v>
      </c>
      <c r="AK264" s="101" t="n">
        <f aca="false">AG264*V264*3600/O264</f>
        <v>4.32873274780427</v>
      </c>
      <c r="AL264" s="102" t="n">
        <f aca="false">AJ264/AK264</f>
        <v>0.924057971014493</v>
      </c>
      <c r="AM264" s="99" t="n">
        <f aca="false">AE264*AL264*AH264</f>
        <v>0.823901829052034</v>
      </c>
      <c r="AN264" s="103" t="s">
        <v>643</v>
      </c>
      <c r="AO264" s="109"/>
      <c r="AP264" s="105" t="n">
        <v>50</v>
      </c>
      <c r="AQ264" s="105" t="n">
        <v>0</v>
      </c>
      <c r="AR264" s="105" t="n">
        <v>0</v>
      </c>
      <c r="AS264" s="105" t="n">
        <v>0</v>
      </c>
      <c r="AT264" s="105" t="n">
        <v>0</v>
      </c>
      <c r="AU264" s="105" t="n">
        <v>0</v>
      </c>
      <c r="AV264" s="105" t="n">
        <v>0</v>
      </c>
      <c r="AW264" s="105" t="n">
        <v>0</v>
      </c>
      <c r="AX264" s="105" t="n">
        <v>0</v>
      </c>
      <c r="AY264" s="105" t="n">
        <v>0</v>
      </c>
      <c r="AZ264" s="105" t="n">
        <v>0</v>
      </c>
      <c r="BA264" s="105" t="n">
        <v>0</v>
      </c>
      <c r="BB264" s="105" t="n">
        <v>0</v>
      </c>
      <c r="BC264" s="105" t="n">
        <v>0</v>
      </c>
      <c r="BD264" s="105" t="n">
        <v>0</v>
      </c>
      <c r="BE264" s="105" t="n">
        <v>0</v>
      </c>
      <c r="BF264" s="105" t="n">
        <v>0</v>
      </c>
      <c r="BG264" s="105" t="n">
        <v>0</v>
      </c>
      <c r="BH264" s="105" t="n">
        <v>0</v>
      </c>
      <c r="BI264" s="105" t="n">
        <v>0</v>
      </c>
      <c r="BJ264" s="105" t="n">
        <v>0</v>
      </c>
      <c r="BK264" s="105" t="n">
        <v>0</v>
      </c>
      <c r="BL264" s="105" t="n">
        <v>0</v>
      </c>
      <c r="BM264" s="105" t="n">
        <v>0</v>
      </c>
      <c r="BN264" s="105" t="n">
        <v>0</v>
      </c>
      <c r="BO264" s="105" t="n">
        <v>0</v>
      </c>
      <c r="BP264" s="105" t="n">
        <v>0</v>
      </c>
      <c r="BQ264" s="105" t="n">
        <v>0</v>
      </c>
      <c r="BR264" s="106" t="n">
        <f aca="false">SUM(AP264:BQ264)/60</f>
        <v>0.833333333333333</v>
      </c>
      <c r="BS264" s="106" t="n">
        <f aca="false">SUM(AP264:BR264)/60</f>
        <v>0.847222222222222</v>
      </c>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row>
    <row r="265" customFormat="false" ht="14.9" hidden="true" customHeight="false" outlineLevel="0" collapsed="false">
      <c r="A265" s="74" t="n">
        <f aca="false">MONTH(B265)</f>
        <v>8</v>
      </c>
      <c r="B265" s="133" t="n">
        <v>44433</v>
      </c>
      <c r="C265" s="128" t="s">
        <v>63</v>
      </c>
      <c r="D265" s="77" t="str">
        <f aca="false">IFERROR(VLOOKUP(E:E,'Item Data Support Sheet'!A:O,7,0),"")</f>
        <v>NIPPLE WRAP PRINTED</v>
      </c>
      <c r="E265" s="80" t="s">
        <v>551</v>
      </c>
      <c r="F265" s="122"/>
      <c r="G265" s="77"/>
      <c r="H265" s="79" t="str">
        <f aca="false">IFERROR(VLOOKUP(E:E,'Item Data Support Sheet'!A:O,2,0),"")</f>
        <v>NIPPLE S TYPE S SIZE WITH PRINTED WRAP</v>
      </c>
      <c r="I265" s="80" t="s">
        <v>644</v>
      </c>
      <c r="J265" s="80" t="s">
        <v>158</v>
      </c>
      <c r="K265" s="81" t="n">
        <v>8.5</v>
      </c>
      <c r="L265" s="124" t="n">
        <v>16132</v>
      </c>
      <c r="M265" s="83" t="n">
        <f aca="false">IFERROR(L265/K265,0)</f>
        <v>1897.88235294118</v>
      </c>
      <c r="N265" s="84" t="n">
        <f aca="false">+O265+Q265+T265+U265</f>
        <v>17547</v>
      </c>
      <c r="O265" s="85" t="n">
        <v>17545</v>
      </c>
      <c r="P265" s="86" t="n">
        <v>0</v>
      </c>
      <c r="Q265" s="86" t="n">
        <v>0</v>
      </c>
      <c r="R265" s="132" t="n">
        <v>0</v>
      </c>
      <c r="S265" s="128" t="n">
        <v>0</v>
      </c>
      <c r="T265" s="132" t="n">
        <v>2</v>
      </c>
      <c r="U265" s="128" t="n">
        <v>0</v>
      </c>
      <c r="V265" s="128" t="n">
        <v>1</v>
      </c>
      <c r="W265" s="90" t="n">
        <f aca="false">IFERROR(O265/V265,0)</f>
        <v>17545</v>
      </c>
      <c r="X265" s="91" t="n">
        <f aca="false">O265/L265</f>
        <v>1.08758988346144</v>
      </c>
      <c r="Y265" s="92" t="str">
        <f aca="false">IFERROR(VLOOKUP(E:E,'Item Data Support Sheet'!A:J,6,0),0)</f>
        <v>FO108</v>
      </c>
      <c r="Z265" s="93" t="n">
        <f aca="false">IFERROR(VLOOKUP(E:E,'Item Data Support Sheet'!A:O,4,0),0)</f>
        <v>0</v>
      </c>
      <c r="AA265" s="93" t="n">
        <f aca="false">IFERROR(((N265)*(Z265/1000))+P265,0)</f>
        <v>0</v>
      </c>
      <c r="AB265" s="94" t="str">
        <f aca="false">IFERROR((O265*(Z265/1000)/(AA265))," ")</f>
        <v> </v>
      </c>
      <c r="AC265" s="95" t="n">
        <f aca="false">IFERROR((T265)/((T265)+O265),0)</f>
        <v>0.00011397959765202</v>
      </c>
      <c r="AD265" s="96" t="n">
        <f aca="false">IFERROR(Q265/(Q265+N265),0)</f>
        <v>0</v>
      </c>
      <c r="AE265" s="91" t="n">
        <f aca="false">(N265-T265)/N265</f>
        <v>0.999886020402348</v>
      </c>
      <c r="AF265" s="97" t="n">
        <f aca="false">BR265</f>
        <v>0</v>
      </c>
      <c r="AG265" s="98" t="n">
        <f aca="false">K265-AF265</f>
        <v>8.5</v>
      </c>
      <c r="AH265" s="99" t="n">
        <f aca="false">IFERROR(AG265/K265," ")</f>
        <v>1</v>
      </c>
      <c r="AI265" s="100" t="n">
        <f aca="false">IFERROR(O265/K265,0)</f>
        <v>2064.11764705882</v>
      </c>
      <c r="AJ265" s="101" t="n">
        <f aca="false">VLOOKUP(D265,'Standard Cycle time'!C:D,2,0)</f>
        <v>2.5</v>
      </c>
      <c r="AK265" s="101" t="n">
        <f aca="false">AG265*V265*3600/O265</f>
        <v>1.74408663436877</v>
      </c>
      <c r="AL265" s="102" t="n">
        <f aca="false">AJ265/AK265</f>
        <v>1.43341503267974</v>
      </c>
      <c r="AM265" s="99" t="n">
        <f aca="false">AE265*AL265*AH265</f>
        <v>1.43325165261105</v>
      </c>
      <c r="AN265" s="103" t="s">
        <v>645</v>
      </c>
      <c r="AO265" s="104"/>
      <c r="AP265" s="105"/>
      <c r="AQ265" s="105" t="n">
        <v>0</v>
      </c>
      <c r="AR265" s="105" t="n">
        <v>0</v>
      </c>
      <c r="AS265" s="105" t="n">
        <v>0</v>
      </c>
      <c r="AT265" s="105" t="n">
        <v>0</v>
      </c>
      <c r="AU265" s="105" t="n">
        <v>0</v>
      </c>
      <c r="AV265" s="105" t="n">
        <v>0</v>
      </c>
      <c r="AW265" s="105" t="n">
        <v>0</v>
      </c>
      <c r="AX265" s="105" t="n">
        <v>0</v>
      </c>
      <c r="AY265" s="105" t="n">
        <v>0</v>
      </c>
      <c r="AZ265" s="105" t="n">
        <v>0</v>
      </c>
      <c r="BA265" s="105" t="n">
        <v>0</v>
      </c>
      <c r="BB265" s="105" t="n">
        <v>0</v>
      </c>
      <c r="BC265" s="105" t="n">
        <v>0</v>
      </c>
      <c r="BD265" s="105" t="n">
        <v>0</v>
      </c>
      <c r="BE265" s="105" t="n">
        <v>0</v>
      </c>
      <c r="BF265" s="105" t="n">
        <v>0</v>
      </c>
      <c r="BG265" s="105" t="n">
        <v>0</v>
      </c>
      <c r="BH265" s="105" t="n">
        <v>0</v>
      </c>
      <c r="BI265" s="105" t="n">
        <v>0</v>
      </c>
      <c r="BJ265" s="105" t="n">
        <v>0</v>
      </c>
      <c r="BK265" s="105" t="n">
        <v>0</v>
      </c>
      <c r="BL265" s="105" t="n">
        <v>0</v>
      </c>
      <c r="BM265" s="105" t="n">
        <v>0</v>
      </c>
      <c r="BN265" s="105" t="n">
        <v>0</v>
      </c>
      <c r="BO265" s="105" t="n">
        <v>0</v>
      </c>
      <c r="BP265" s="105" t="n">
        <v>0</v>
      </c>
      <c r="BQ265" s="105" t="n">
        <v>0</v>
      </c>
      <c r="BR265" s="106" t="n">
        <f aca="false">SUM(AP265:BQ265)/60</f>
        <v>0</v>
      </c>
      <c r="BS265" s="106" t="n">
        <f aca="false">SUM(AP265:BR265)/60</f>
        <v>0</v>
      </c>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row>
    <row r="266" customFormat="false" ht="14.9" hidden="true" customHeight="false" outlineLevel="0" collapsed="false">
      <c r="A266" s="74" t="n">
        <f aca="false">MONTH(B266)</f>
        <v>8</v>
      </c>
      <c r="B266" s="133" t="n">
        <v>44433</v>
      </c>
      <c r="C266" s="128" t="s">
        <v>63</v>
      </c>
      <c r="D266" s="77" t="str">
        <f aca="false">IFERROR(VLOOKUP(E:E,'Item Data Support Sheet'!A:O,7,0),"")</f>
        <v>BOTTLE PRINTED</v>
      </c>
      <c r="E266" s="80" t="s">
        <v>646</v>
      </c>
      <c r="F266" s="122"/>
      <c r="G266" s="77" t="s">
        <v>66</v>
      </c>
      <c r="H266" s="79" t="str">
        <f aca="false">IFERROR(VLOOKUP(E:E,'Item Data Support Sheet'!A:O,2,0),"")</f>
        <v>RPP 240ML FLORAL PNK BOTLE PNTD WM3GB W/BIS LOGO</v>
      </c>
      <c r="I266" s="80" t="s">
        <v>647</v>
      </c>
      <c r="J266" s="80" t="s">
        <v>161</v>
      </c>
      <c r="K266" s="81" t="n">
        <v>2</v>
      </c>
      <c r="L266" s="124" t="n">
        <v>400</v>
      </c>
      <c r="M266" s="83" t="n">
        <f aca="false">IFERROR(L266/K266,0)</f>
        <v>200</v>
      </c>
      <c r="N266" s="84" t="n">
        <f aca="false">+O266+Q266+T266+U266</f>
        <v>393</v>
      </c>
      <c r="O266" s="85" t="n">
        <v>385</v>
      </c>
      <c r="P266" s="86" t="n">
        <v>0</v>
      </c>
      <c r="Q266" s="86" t="n">
        <v>0</v>
      </c>
      <c r="R266" s="132" t="n">
        <v>5</v>
      </c>
      <c r="S266" s="128" t="n">
        <v>0</v>
      </c>
      <c r="T266" s="132" t="n">
        <v>8</v>
      </c>
      <c r="U266" s="128" t="n">
        <v>0</v>
      </c>
      <c r="V266" s="128" t="n">
        <v>6</v>
      </c>
      <c r="W266" s="90" t="n">
        <f aca="false">IFERROR(O266/V266,0)</f>
        <v>64.1666666666667</v>
      </c>
      <c r="X266" s="91" t="n">
        <f aca="false">O266/L266</f>
        <v>0.9625</v>
      </c>
      <c r="Y266" s="92" t="str">
        <f aca="false">IFERROR(VLOOKUP(E:E,'Item Data Support Sheet'!A:J,6,0),0)</f>
        <v>FO053</v>
      </c>
      <c r="Z266" s="93" t="n">
        <f aca="false">IFERROR(VLOOKUP(E:E,'Item Data Support Sheet'!A:O,4,0),0)</f>
        <v>0</v>
      </c>
      <c r="AA266" s="93" t="n">
        <f aca="false">IFERROR(((N266)*(Z266/1000))+P266,0)</f>
        <v>0</v>
      </c>
      <c r="AB266" s="94" t="str">
        <f aca="false">IFERROR((O266*(Z266/1000)/(AA266))," ")</f>
        <v> </v>
      </c>
      <c r="AC266" s="95" t="n">
        <f aca="false">IFERROR((T266)/((T266)+O266),0)</f>
        <v>0.0203562340966921</v>
      </c>
      <c r="AD266" s="96" t="n">
        <f aca="false">IFERROR(Q266/(Q266+N266),0)</f>
        <v>0</v>
      </c>
      <c r="AE266" s="91" t="n">
        <f aca="false">(N266-T266)/N266</f>
        <v>0.979643765903308</v>
      </c>
      <c r="AF266" s="97" t="n">
        <f aca="false">BR266</f>
        <v>1.33333333333333</v>
      </c>
      <c r="AG266" s="98" t="n">
        <f aca="false">K266-AF266</f>
        <v>0.666666666666667</v>
      </c>
      <c r="AH266" s="99" t="n">
        <f aca="false">IFERROR(AG266/K266," ")</f>
        <v>0.333333333333333</v>
      </c>
      <c r="AI266" s="100" t="n">
        <f aca="false">IFERROR(O266/K266,0)</f>
        <v>192.5</v>
      </c>
      <c r="AJ266" s="101" t="n">
        <f aca="false">VLOOKUP(D266,'Standard Cycle time'!C:D,2,0)</f>
        <v>32.4</v>
      </c>
      <c r="AK266" s="101" t="n">
        <f aca="false">AG266*V266*3600/O266</f>
        <v>37.4025974025974</v>
      </c>
      <c r="AL266" s="102" t="n">
        <f aca="false">AJ266/AK266</f>
        <v>0.86625</v>
      </c>
      <c r="AM266" s="99" t="n">
        <f aca="false">AE266*AL266*AH266</f>
        <v>0.28287213740458</v>
      </c>
      <c r="AN266" s="103" t="s">
        <v>648</v>
      </c>
      <c r="AO266" s="109" t="s">
        <v>649</v>
      </c>
      <c r="AP266" s="105" t="n">
        <v>30</v>
      </c>
      <c r="AQ266" s="105" t="n">
        <v>50</v>
      </c>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6" t="n">
        <f aca="false">SUM(AP266:BQ266)/60</f>
        <v>1.33333333333333</v>
      </c>
      <c r="BS266" s="106" t="n">
        <f aca="false">SUM(AP266:BR266)/60</f>
        <v>1.35555555555556</v>
      </c>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row>
    <row r="267" customFormat="false" ht="14.9" hidden="true" customHeight="false" outlineLevel="0" collapsed="false">
      <c r="A267" s="74" t="n">
        <f aca="false">MONTH(B267)</f>
        <v>8</v>
      </c>
      <c r="B267" s="133" t="n">
        <v>44433</v>
      </c>
      <c r="C267" s="128" t="s">
        <v>63</v>
      </c>
      <c r="D267" s="77" t="str">
        <f aca="false">IFERROR(VLOOKUP(E:E,'Item Data Support Sheet'!A:O,7,0),"")</f>
        <v>BOTTLE PRINTED</v>
      </c>
      <c r="E267" s="80" t="s">
        <v>650</v>
      </c>
      <c r="F267" s="122"/>
      <c r="G267" s="77" t="s">
        <v>66</v>
      </c>
      <c r="H267" s="79" t="str">
        <f aca="false">IFERROR(VLOOKUP(E:E,'Item Data Support Sheet'!A:O,2,0),"")</f>
        <v>RPP 120ML FLORAL PNK BOTLE PNTD WM3GB W/BIS LOGO</v>
      </c>
      <c r="I267" s="80" t="s">
        <v>651</v>
      </c>
      <c r="J267" s="80" t="s">
        <v>161</v>
      </c>
      <c r="K267" s="81" t="n">
        <v>4</v>
      </c>
      <c r="L267" s="124" t="n">
        <v>1600</v>
      </c>
      <c r="M267" s="83" t="n">
        <f aca="false">IFERROR(L267/K267,0)</f>
        <v>400</v>
      </c>
      <c r="N267" s="84" t="n">
        <f aca="false">+O267+Q267+T267+U267</f>
        <v>1624</v>
      </c>
      <c r="O267" s="85" t="n">
        <v>1609</v>
      </c>
      <c r="P267" s="86" t="n">
        <v>0</v>
      </c>
      <c r="Q267" s="86" t="n">
        <v>0</v>
      </c>
      <c r="R267" s="132" t="n">
        <v>13</v>
      </c>
      <c r="S267" s="128" t="n">
        <v>0</v>
      </c>
      <c r="T267" s="132" t="n">
        <v>15</v>
      </c>
      <c r="U267" s="128" t="n">
        <v>0</v>
      </c>
      <c r="V267" s="128" t="n">
        <v>6</v>
      </c>
      <c r="W267" s="90" t="n">
        <f aca="false">IFERROR(O267/V267,0)</f>
        <v>268.166666666667</v>
      </c>
      <c r="X267" s="91" t="n">
        <f aca="false">O267/L267</f>
        <v>1.005625</v>
      </c>
      <c r="Y267" s="92" t="str">
        <f aca="false">IFERROR(VLOOKUP(E:E,'Item Data Support Sheet'!A:J,6,0),0)</f>
        <v>FO052</v>
      </c>
      <c r="Z267" s="93" t="n">
        <f aca="false">IFERROR(VLOOKUP(E:E,'Item Data Support Sheet'!A:O,4,0),0)</f>
        <v>0</v>
      </c>
      <c r="AA267" s="93" t="n">
        <f aca="false">IFERROR(((N267)*(Z267/1000))+P267,0)</f>
        <v>0</v>
      </c>
      <c r="AB267" s="94" t="str">
        <f aca="false">IFERROR((O267*(Z267/1000)/(AA267))," ")</f>
        <v> </v>
      </c>
      <c r="AC267" s="95" t="n">
        <f aca="false">IFERROR((T267)/((T267)+O267),0)</f>
        <v>0.00923645320197045</v>
      </c>
      <c r="AD267" s="96" t="n">
        <f aca="false">IFERROR(Q267/(Q267+N267),0)</f>
        <v>0</v>
      </c>
      <c r="AE267" s="91" t="n">
        <f aca="false">(N267-T267)/N267</f>
        <v>0.99076354679803</v>
      </c>
      <c r="AF267" s="97" t="n">
        <f aca="false">BR267</f>
        <v>0.833333333333333</v>
      </c>
      <c r="AG267" s="98" t="n">
        <f aca="false">K267-AF267</f>
        <v>3.16666666666667</v>
      </c>
      <c r="AH267" s="99" t="n">
        <f aca="false">IFERROR(AG267/K267," ")</f>
        <v>0.791666666666667</v>
      </c>
      <c r="AI267" s="100" t="n">
        <f aca="false">IFERROR(O267/K267,0)</f>
        <v>402.25</v>
      </c>
      <c r="AJ267" s="101" t="n">
        <f aca="false">VLOOKUP(D267,'Standard Cycle time'!C:D,2,0)</f>
        <v>32.4</v>
      </c>
      <c r="AK267" s="101" t="n">
        <f aca="false">AG267*V267*3600/O267</f>
        <v>42.5108763206961</v>
      </c>
      <c r="AL267" s="102" t="n">
        <f aca="false">AJ267/AK267</f>
        <v>0.762157894736842</v>
      </c>
      <c r="AM267" s="99" t="n">
        <f aca="false">AE267*AL267*AH267</f>
        <v>0.597801955049261</v>
      </c>
      <c r="AN267" s="103" t="s">
        <v>652</v>
      </c>
      <c r="AO267" s="109" t="s">
        <v>653</v>
      </c>
      <c r="AP267" s="105" t="n">
        <v>10</v>
      </c>
      <c r="AQ267" s="105" t="n">
        <v>40</v>
      </c>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6" t="n">
        <f aca="false">SUM(AP267:BQ267)/60</f>
        <v>0.833333333333333</v>
      </c>
      <c r="BS267" s="106" t="n">
        <f aca="false">SUM(AP267:BR267)/60</f>
        <v>0.847222222222222</v>
      </c>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row>
    <row r="268" customFormat="false" ht="14.9" hidden="true" customHeight="false" outlineLevel="0" collapsed="false">
      <c r="A268" s="74" t="n">
        <f aca="false">MONTH(B268)</f>
        <v>8</v>
      </c>
      <c r="B268" s="133" t="n">
        <v>44433</v>
      </c>
      <c r="C268" s="128" t="s">
        <v>63</v>
      </c>
      <c r="D268" s="77" t="str">
        <f aca="false">IFERROR(VLOOKUP(E:E,'Item Data Support Sheet'!A:O,7,0),"")</f>
        <v>BOTTLE PRINTED</v>
      </c>
      <c r="E268" s="80" t="s">
        <v>654</v>
      </c>
      <c r="F268" s="122"/>
      <c r="G268" s="77" t="s">
        <v>66</v>
      </c>
      <c r="H268" s="79" t="str">
        <f aca="false">IFERROR(VLOOKUP(E:E,'Item Data Support Sheet'!A:O,2,0),"")</f>
        <v>RPP 120ML ABSTRCT PNK BOTLE PNTD WM3GB W/BIS LOGO</v>
      </c>
      <c r="I268" s="80" t="s">
        <v>651</v>
      </c>
      <c r="J268" s="80" t="s">
        <v>161</v>
      </c>
      <c r="K268" s="81" t="n">
        <v>2</v>
      </c>
      <c r="L268" s="124" t="n">
        <v>800</v>
      </c>
      <c r="M268" s="83" t="n">
        <f aca="false">IFERROR(L268/K268,0)</f>
        <v>400</v>
      </c>
      <c r="N268" s="84" t="n">
        <f aca="false">+O268+Q268+T268+U268</f>
        <v>652</v>
      </c>
      <c r="O268" s="85" t="n">
        <v>642</v>
      </c>
      <c r="P268" s="86" t="n">
        <v>0</v>
      </c>
      <c r="Q268" s="86" t="n">
        <v>0</v>
      </c>
      <c r="R268" s="132" t="n">
        <v>8</v>
      </c>
      <c r="S268" s="128" t="n">
        <v>0</v>
      </c>
      <c r="T268" s="132" t="n">
        <v>10</v>
      </c>
      <c r="U268" s="128" t="n">
        <v>0</v>
      </c>
      <c r="V268" s="128" t="n">
        <v>6</v>
      </c>
      <c r="W268" s="90" t="n">
        <f aca="false">IFERROR(O268/V268,0)</f>
        <v>107</v>
      </c>
      <c r="X268" s="91" t="n">
        <f aca="false">O268/L268</f>
        <v>0.8025</v>
      </c>
      <c r="Y268" s="92" t="str">
        <f aca="false">IFERROR(VLOOKUP(E:E,'Item Data Support Sheet'!A:J,6,0),0)</f>
        <v>FO052</v>
      </c>
      <c r="Z268" s="93" t="n">
        <f aca="false">IFERROR(VLOOKUP(E:E,'Item Data Support Sheet'!A:O,4,0),0)</f>
        <v>0</v>
      </c>
      <c r="AA268" s="93" t="n">
        <f aca="false">IFERROR(((N268)*(Z268/1000))+P268,0)</f>
        <v>0</v>
      </c>
      <c r="AB268" s="94" t="str">
        <f aca="false">IFERROR((O268*(Z268/1000)/(AA268))," ")</f>
        <v> </v>
      </c>
      <c r="AC268" s="95" t="n">
        <f aca="false">IFERROR((T268)/((T268)+O268),0)</f>
        <v>0.0153374233128834</v>
      </c>
      <c r="AD268" s="96" t="n">
        <f aca="false">IFERROR(Q268/(Q268+N268),0)</f>
        <v>0</v>
      </c>
      <c r="AE268" s="91" t="n">
        <f aca="false">(N268-T268)/N268</f>
        <v>0.984662576687117</v>
      </c>
      <c r="AF268" s="97" t="n">
        <f aca="false">BR268</f>
        <v>0.833333333333333</v>
      </c>
      <c r="AG268" s="98" t="n">
        <f aca="false">K268-AF268</f>
        <v>1.16666666666667</v>
      </c>
      <c r="AH268" s="99" t="n">
        <f aca="false">IFERROR(AG268/K268," ")</f>
        <v>0.583333333333333</v>
      </c>
      <c r="AI268" s="100" t="n">
        <f aca="false">IFERROR(O268/K268,0)</f>
        <v>321</v>
      </c>
      <c r="AJ268" s="101" t="n">
        <f aca="false">VLOOKUP(D268,'Standard Cycle time'!C:D,2,0)</f>
        <v>32.4</v>
      </c>
      <c r="AK268" s="101" t="n">
        <f aca="false">AG268*V268*3600/O268</f>
        <v>39.2523364485981</v>
      </c>
      <c r="AL268" s="102" t="n">
        <f aca="false">AJ268/AK268</f>
        <v>0.825428571428572</v>
      </c>
      <c r="AM268" s="99" t="n">
        <f aca="false">AE268*AL268*AH268</f>
        <v>0.474115030674847</v>
      </c>
      <c r="AN268" s="103" t="s">
        <v>655</v>
      </c>
      <c r="AO268" s="109" t="s">
        <v>656</v>
      </c>
      <c r="AP268" s="105" t="n">
        <v>10</v>
      </c>
      <c r="AQ268" s="105" t="n">
        <v>40</v>
      </c>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6" t="n">
        <f aca="false">SUM(AP268:BQ268)/60</f>
        <v>0.833333333333333</v>
      </c>
      <c r="BS268" s="106" t="n">
        <f aca="false">SUM(AP268:BR268)/60</f>
        <v>0.847222222222222</v>
      </c>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row>
    <row r="269" customFormat="false" ht="14.65" hidden="true" customHeight="true" outlineLevel="0" collapsed="false">
      <c r="A269" s="74" t="n">
        <f aca="false">MONTH(B269)</f>
        <v>8</v>
      </c>
      <c r="B269" s="133" t="n">
        <v>44433</v>
      </c>
      <c r="C269" s="128" t="s">
        <v>70</v>
      </c>
      <c r="D269" s="77" t="str">
        <f aca="false">IFERROR(VLOOKUP(E:E,'Item Data Support Sheet'!A:O,7,0),"")</f>
        <v>NIPPLE LASER MARKING</v>
      </c>
      <c r="E269" s="80" t="s">
        <v>600</v>
      </c>
      <c r="F269" s="122"/>
      <c r="G269" s="77" t="s">
        <v>517</v>
      </c>
      <c r="H269" s="79" t="str">
        <f aca="false">IFERROR(VLOOKUP(E:E,'Item Data Support Sheet'!A:O,2,0),"")</f>
        <v>NIPPLE S TYPE LL SIZE LASER MARKED</v>
      </c>
      <c r="I269" s="80" t="s">
        <v>657</v>
      </c>
      <c r="J269" s="80" t="s">
        <v>143</v>
      </c>
      <c r="K269" s="81" t="n">
        <v>8</v>
      </c>
      <c r="L269" s="124" t="n">
        <v>7036</v>
      </c>
      <c r="M269" s="83" t="n">
        <f aca="false">IFERROR(L269/K269,0)</f>
        <v>879.5</v>
      </c>
      <c r="N269" s="84" t="n">
        <f aca="false">+O269+Q269+T269+U269</f>
        <v>6300</v>
      </c>
      <c r="O269" s="85" t="n">
        <f aca="false">4300+2000</f>
        <v>6300</v>
      </c>
      <c r="P269" s="86" t="n">
        <v>0</v>
      </c>
      <c r="Q269" s="86" t="n">
        <v>0</v>
      </c>
      <c r="R269" s="132" t="n">
        <v>0</v>
      </c>
      <c r="S269" s="128" t="n">
        <v>0</v>
      </c>
      <c r="T269" s="132" t="n">
        <v>0</v>
      </c>
      <c r="U269" s="128" t="n">
        <v>0</v>
      </c>
      <c r="V269" s="128" t="n">
        <v>1</v>
      </c>
      <c r="W269" s="90" t="n">
        <f aca="false">IFERROR(O269/V269,0)</f>
        <v>6300</v>
      </c>
      <c r="X269" s="91" t="n">
        <f aca="false">O269/L269</f>
        <v>0.895395110858442</v>
      </c>
      <c r="Y269" s="92" t="str">
        <f aca="false">IFERROR(VLOOKUP(E:E,'Item Data Support Sheet'!A:J,6,0),0)</f>
        <v>FO151</v>
      </c>
      <c r="Z269" s="93" t="n">
        <f aca="false">IFERROR(VLOOKUP(E:E,'Item Data Support Sheet'!A:O,4,0),0)</f>
        <v>0</v>
      </c>
      <c r="AA269" s="93" t="n">
        <f aca="false">IFERROR(((N269)*(Z269/1000))+P269,0)</f>
        <v>0</v>
      </c>
      <c r="AB269" s="94" t="str">
        <f aca="false">IFERROR((O269*(Z269/1000)/(AA269))," ")</f>
        <v> </v>
      </c>
      <c r="AC269" s="95" t="n">
        <f aca="false">IFERROR((T269)/((T269)+O269),0)</f>
        <v>0</v>
      </c>
      <c r="AD269" s="96" t="n">
        <f aca="false">IFERROR(Q269/(Q269+N269),0)</f>
        <v>0</v>
      </c>
      <c r="AE269" s="91" t="n">
        <f aca="false">(N269-T269)/N269</f>
        <v>1</v>
      </c>
      <c r="AF269" s="97" t="n">
        <f aca="false">BR269</f>
        <v>0.666666666666667</v>
      </c>
      <c r="AG269" s="98" t="n">
        <f aca="false">K269-AF269</f>
        <v>7.33333333333333</v>
      </c>
      <c r="AH269" s="99" t="n">
        <f aca="false">IFERROR(AG269/K269," ")</f>
        <v>0.916666666666667</v>
      </c>
      <c r="AI269" s="100" t="n">
        <f aca="false">IFERROR(O269/K269,0)</f>
        <v>787.5</v>
      </c>
      <c r="AJ269" s="101" t="n">
        <f aca="false">VLOOKUP(D269,'Standard Cycle time'!C:D,2,0)</f>
        <v>3.5</v>
      </c>
      <c r="AK269" s="101" t="n">
        <f aca="false">AG269*V269*3600/O269</f>
        <v>4.19047619047619</v>
      </c>
      <c r="AL269" s="102" t="n">
        <f aca="false">AJ269/AK269</f>
        <v>0.835227272727273</v>
      </c>
      <c r="AM269" s="99" t="n">
        <f aca="false">AE269*AL269*AH269</f>
        <v>0.765625</v>
      </c>
      <c r="AN269" s="103" t="s">
        <v>658</v>
      </c>
      <c r="AO269" s="109"/>
      <c r="AP269" s="105" t="n">
        <v>40</v>
      </c>
      <c r="AQ269" s="105" t="n">
        <v>0</v>
      </c>
      <c r="AR269" s="105" t="n">
        <v>0</v>
      </c>
      <c r="AS269" s="105" t="n">
        <v>0</v>
      </c>
      <c r="AT269" s="105" t="n">
        <v>0</v>
      </c>
      <c r="AU269" s="105" t="n">
        <v>0</v>
      </c>
      <c r="AV269" s="105" t="n">
        <v>0</v>
      </c>
      <c r="AW269" s="105" t="n">
        <v>0</v>
      </c>
      <c r="AX269" s="105" t="n">
        <v>0</v>
      </c>
      <c r="AY269" s="105" t="n">
        <v>0</v>
      </c>
      <c r="AZ269" s="105" t="n">
        <v>0</v>
      </c>
      <c r="BA269" s="105" t="n">
        <v>0</v>
      </c>
      <c r="BB269" s="105" t="n">
        <v>0</v>
      </c>
      <c r="BC269" s="105" t="n">
        <v>0</v>
      </c>
      <c r="BD269" s="105" t="n">
        <v>0</v>
      </c>
      <c r="BE269" s="105" t="n">
        <v>0</v>
      </c>
      <c r="BF269" s="105" t="n">
        <v>0</v>
      </c>
      <c r="BG269" s="105" t="n">
        <v>0</v>
      </c>
      <c r="BH269" s="105" t="n">
        <v>0</v>
      </c>
      <c r="BI269" s="105" t="n">
        <v>0</v>
      </c>
      <c r="BJ269" s="105" t="n">
        <v>0</v>
      </c>
      <c r="BK269" s="105" t="n">
        <v>0</v>
      </c>
      <c r="BL269" s="105" t="n">
        <v>0</v>
      </c>
      <c r="BM269" s="105" t="n">
        <v>0</v>
      </c>
      <c r="BN269" s="105" t="n">
        <v>0</v>
      </c>
      <c r="BO269" s="105" t="n">
        <v>0</v>
      </c>
      <c r="BP269" s="105" t="n">
        <v>0</v>
      </c>
      <c r="BQ269" s="105" t="n">
        <v>0</v>
      </c>
      <c r="BR269" s="106" t="n">
        <f aca="false">SUM(AP269:BQ269)/60</f>
        <v>0.666666666666667</v>
      </c>
      <c r="BS269" s="106" t="n">
        <f aca="false">SUM(AP269:BR269)/60</f>
        <v>0.677777777777778</v>
      </c>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row>
    <row r="270" customFormat="false" ht="14.9" hidden="true" customHeight="false" outlineLevel="0" collapsed="false">
      <c r="A270" s="74" t="n">
        <f aca="false">MONTH(B270)</f>
        <v>8</v>
      </c>
      <c r="B270" s="133" t="n">
        <v>44433</v>
      </c>
      <c r="C270" s="128" t="s">
        <v>70</v>
      </c>
      <c r="D270" s="77" t="str">
        <f aca="false">IFERROR(VLOOKUP(E:E,'Item Data Support Sheet'!A:O,7,0),"")</f>
        <v>NIPPLE PUNCH</v>
      </c>
      <c r="E270" s="80" t="s">
        <v>563</v>
      </c>
      <c r="F270" s="122"/>
      <c r="G270" s="77" t="s">
        <v>54</v>
      </c>
      <c r="H270" s="79" t="str">
        <f aca="false">IFERROR(VLOOKUP(E:E,'Item Data Support Sheet'!A:O,2,0),"")</f>
        <v>NIPPLE S TYPE LL SIZE PUNCHED</v>
      </c>
      <c r="I270" s="80" t="s">
        <v>659</v>
      </c>
      <c r="J270" s="80" t="s">
        <v>143</v>
      </c>
      <c r="K270" s="81" t="n">
        <v>5.5</v>
      </c>
      <c r="L270" s="124" t="n">
        <v>5000</v>
      </c>
      <c r="M270" s="83" t="n">
        <f aca="false">IFERROR(L270/K270,0)</f>
        <v>909.090909090909</v>
      </c>
      <c r="N270" s="84" t="n">
        <f aca="false">+O270+Q270+T270+U270</f>
        <v>4250</v>
      </c>
      <c r="O270" s="85" t="n">
        <f aca="false">2500+1750</f>
        <v>4250</v>
      </c>
      <c r="P270" s="86" t="n">
        <v>0</v>
      </c>
      <c r="Q270" s="86" t="n">
        <v>0</v>
      </c>
      <c r="R270" s="132" t="n">
        <v>0</v>
      </c>
      <c r="S270" s="128" t="n">
        <v>0</v>
      </c>
      <c r="T270" s="132" t="n">
        <v>0</v>
      </c>
      <c r="U270" s="128" t="n">
        <v>0</v>
      </c>
      <c r="V270" s="128" t="n">
        <v>1</v>
      </c>
      <c r="W270" s="90" t="n">
        <f aca="false">IFERROR(O270/V270,0)</f>
        <v>4250</v>
      </c>
      <c r="X270" s="91" t="n">
        <f aca="false">O270/L270</f>
        <v>0.85</v>
      </c>
      <c r="Y270" s="92" t="str">
        <f aca="false">IFERROR(VLOOKUP(E:E,'Item Data Support Sheet'!A:J,6,0),0)</f>
        <v>FO150</v>
      </c>
      <c r="Z270" s="93" t="n">
        <f aca="false">IFERROR(VLOOKUP(E:E,'Item Data Support Sheet'!A:O,4,0),0)</f>
        <v>0</v>
      </c>
      <c r="AA270" s="93" t="n">
        <f aca="false">IFERROR(((N270)*(Z270/1000))+P270,0)</f>
        <v>0</v>
      </c>
      <c r="AB270" s="94" t="str">
        <f aca="false">IFERROR((O270*(Z270/1000)/(AA270))," ")</f>
        <v> </v>
      </c>
      <c r="AC270" s="95" t="n">
        <f aca="false">IFERROR((T270)/((T270)+O270),0)</f>
        <v>0</v>
      </c>
      <c r="AD270" s="96" t="n">
        <f aca="false">IFERROR(Q270/(Q270+N270),0)</f>
        <v>0</v>
      </c>
      <c r="AE270" s="91" t="n">
        <f aca="false">(N270-T270)/N270</f>
        <v>1</v>
      </c>
      <c r="AF270" s="97" t="n">
        <f aca="false">BR270</f>
        <v>0.916666666666667</v>
      </c>
      <c r="AG270" s="98" t="n">
        <f aca="false">K270-AF270</f>
        <v>4.58333333333333</v>
      </c>
      <c r="AH270" s="99" t="n">
        <f aca="false">IFERROR(AG270/K270," ")</f>
        <v>0.833333333333333</v>
      </c>
      <c r="AI270" s="100" t="n">
        <f aca="false">IFERROR(O270/K270,0)</f>
        <v>772.727272727273</v>
      </c>
      <c r="AJ270" s="101" t="n">
        <f aca="false">VLOOKUP(D270,'Standard Cycle time'!C:D,2,0)</f>
        <v>3.5</v>
      </c>
      <c r="AK270" s="101" t="n">
        <f aca="false">AG270*V270*3600/O270</f>
        <v>3.88235294117647</v>
      </c>
      <c r="AL270" s="102" t="n">
        <f aca="false">AJ270/AK270</f>
        <v>0.901515151515151</v>
      </c>
      <c r="AM270" s="99" t="n">
        <f aca="false">AE270*AL270*AH270</f>
        <v>0.751262626262626</v>
      </c>
      <c r="AN270" s="103" t="s">
        <v>660</v>
      </c>
      <c r="AO270" s="109"/>
      <c r="AP270" s="105" t="n">
        <v>40</v>
      </c>
      <c r="AQ270" s="105" t="n">
        <v>15</v>
      </c>
      <c r="AR270" s="105" t="n">
        <v>0</v>
      </c>
      <c r="AS270" s="105" t="n">
        <v>0</v>
      </c>
      <c r="AT270" s="105" t="n">
        <v>0</v>
      </c>
      <c r="AU270" s="105" t="n">
        <v>0</v>
      </c>
      <c r="AV270" s="105" t="n">
        <v>0</v>
      </c>
      <c r="AW270" s="105" t="n">
        <v>0</v>
      </c>
      <c r="AX270" s="105" t="n">
        <v>0</v>
      </c>
      <c r="AY270" s="105" t="n">
        <v>0</v>
      </c>
      <c r="AZ270" s="105" t="n">
        <v>0</v>
      </c>
      <c r="BA270" s="105" t="n">
        <v>0</v>
      </c>
      <c r="BB270" s="105" t="n">
        <v>0</v>
      </c>
      <c r="BC270" s="105" t="n">
        <v>0</v>
      </c>
      <c r="BD270" s="105" t="n">
        <v>0</v>
      </c>
      <c r="BE270" s="105" t="n">
        <v>0</v>
      </c>
      <c r="BF270" s="105" t="n">
        <v>0</v>
      </c>
      <c r="BG270" s="105" t="n">
        <v>0</v>
      </c>
      <c r="BH270" s="105" t="n">
        <v>0</v>
      </c>
      <c r="BI270" s="105" t="n">
        <v>0</v>
      </c>
      <c r="BJ270" s="105" t="n">
        <v>0</v>
      </c>
      <c r="BK270" s="105" t="n">
        <v>0</v>
      </c>
      <c r="BL270" s="105" t="n">
        <v>0</v>
      </c>
      <c r="BM270" s="105" t="n">
        <v>0</v>
      </c>
      <c r="BN270" s="105" t="n">
        <v>0</v>
      </c>
      <c r="BO270" s="105" t="n">
        <v>0</v>
      </c>
      <c r="BP270" s="105" t="n">
        <v>0</v>
      </c>
      <c r="BQ270" s="105" t="n">
        <v>0</v>
      </c>
      <c r="BR270" s="106" t="n">
        <f aca="false">SUM(AP270:BQ270)/60</f>
        <v>0.916666666666667</v>
      </c>
      <c r="BS270" s="106" t="n">
        <f aca="false">SUM(AP270:BR270)/60</f>
        <v>0.931944444444444</v>
      </c>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row>
    <row r="271" customFormat="false" ht="16.15" hidden="true" customHeight="true" outlineLevel="0" collapsed="false">
      <c r="A271" s="74" t="n">
        <f aca="false">MONTH(B271)</f>
        <v>8</v>
      </c>
      <c r="B271" s="133" t="n">
        <v>44433</v>
      </c>
      <c r="C271" s="128" t="s">
        <v>70</v>
      </c>
      <c r="D271" s="77" t="str">
        <f aca="false">IFERROR(VLOOKUP(E:E,'Item Data Support Sheet'!A:O,7,0),"")</f>
        <v>NIPPLE MOLDED</v>
      </c>
      <c r="E271" s="80" t="s">
        <v>661</v>
      </c>
      <c r="F271" s="122" t="s">
        <v>137</v>
      </c>
      <c r="G271" s="77" t="s">
        <v>138</v>
      </c>
      <c r="H271" s="79" t="str">
        <f aca="false">IFERROR(VLOOKUP(E:E,'Item Data Support Sheet'!A:O,2,0),"")</f>
        <v>NIPPLE S TYPE L SIZE INJECTION</v>
      </c>
      <c r="I271" s="80" t="s">
        <v>662</v>
      </c>
      <c r="J271" s="80" t="s">
        <v>143</v>
      </c>
      <c r="K271" s="81" t="n">
        <v>8</v>
      </c>
      <c r="L271" s="124" t="n">
        <v>4815</v>
      </c>
      <c r="M271" s="83" t="n">
        <f aca="false">IFERROR(L271/K271,0)</f>
        <v>601.875</v>
      </c>
      <c r="N271" s="84" t="n">
        <f aca="false">+O271+Q271+T271+U271</f>
        <v>6048</v>
      </c>
      <c r="O271" s="85" t="n">
        <v>5700</v>
      </c>
      <c r="P271" s="86" t="n">
        <v>1.2</v>
      </c>
      <c r="Q271" s="86" t="n">
        <v>230</v>
      </c>
      <c r="R271" s="132" t="n">
        <v>0</v>
      </c>
      <c r="S271" s="128" t="n">
        <v>0</v>
      </c>
      <c r="T271" s="132" t="n">
        <v>110</v>
      </c>
      <c r="U271" s="128" t="n">
        <v>8</v>
      </c>
      <c r="V271" s="128" t="n">
        <v>1</v>
      </c>
      <c r="W271" s="90" t="n">
        <f aca="false">IFERROR(O271/V271,0)</f>
        <v>5700</v>
      </c>
      <c r="X271" s="91" t="n">
        <f aca="false">O271/L271</f>
        <v>1.18380062305296</v>
      </c>
      <c r="Y271" s="92" t="str">
        <f aca="false">IFERROR(VLOOKUP(E:E,'Item Data Support Sheet'!A:J,6,0),0)</f>
        <v>Silicon</v>
      </c>
      <c r="Z271" s="93" t="n">
        <f aca="false">IFERROR(VLOOKUP(E:E,'Item Data Support Sheet'!A:O,4,0),0)</f>
        <v>6.8</v>
      </c>
      <c r="AA271" s="93" t="n">
        <f aca="false">IFERROR(((N271)*(Z271/1000))+P271,0)</f>
        <v>42.3264</v>
      </c>
      <c r="AB271" s="94" t="n">
        <f aca="false">IFERROR((O271*(Z271/1000)/(AA271))," ")</f>
        <v>0.915740530732592</v>
      </c>
      <c r="AC271" s="95" t="n">
        <f aca="false">IFERROR((T271)/((T271)+O271),0)</f>
        <v>0.0189328743545611</v>
      </c>
      <c r="AD271" s="96" t="n">
        <f aca="false">IFERROR(Q271/(Q271+N271),0)</f>
        <v>0.0366358712965913</v>
      </c>
      <c r="AE271" s="91" t="n">
        <f aca="false">(N271-T271)/N271</f>
        <v>0.981812169312169</v>
      </c>
      <c r="AF271" s="97" t="n">
        <f aca="false">BR271</f>
        <v>0</v>
      </c>
      <c r="AG271" s="98" t="n">
        <f aca="false">K271-AF271</f>
        <v>8</v>
      </c>
      <c r="AH271" s="99" t="n">
        <f aca="false">IFERROR(AG271/K271," ")</f>
        <v>1</v>
      </c>
      <c r="AI271" s="100" t="n">
        <f aca="false">IFERROR(O271/K271,0)</f>
        <v>712.5</v>
      </c>
      <c r="AJ271" s="101" t="n">
        <f aca="false">VLOOKUP(D271,'Standard Cycle time'!C:D,2,0)</f>
        <v>5.25</v>
      </c>
      <c r="AK271" s="101" t="n">
        <f aca="false">AG271*V271*3600/O271</f>
        <v>5.05263157894737</v>
      </c>
      <c r="AL271" s="102" t="n">
        <f aca="false">AJ271/AK271</f>
        <v>1.0390625</v>
      </c>
      <c r="AM271" s="99" t="n">
        <f aca="false">AE271*AL271*AH271</f>
        <v>1.02016420717593</v>
      </c>
      <c r="AN271" s="103" t="n">
        <v>2709</v>
      </c>
      <c r="AO271" s="109" t="s">
        <v>663</v>
      </c>
      <c r="AP271" s="105" t="n">
        <v>0</v>
      </c>
      <c r="AQ271" s="105"/>
      <c r="AR271" s="105" t="n">
        <v>0</v>
      </c>
      <c r="AS271" s="105" t="n">
        <v>0</v>
      </c>
      <c r="AT271" s="105" t="n">
        <v>0</v>
      </c>
      <c r="AU271" s="105" t="n">
        <v>0</v>
      </c>
      <c r="AV271" s="105" t="n">
        <v>0</v>
      </c>
      <c r="AW271" s="105"/>
      <c r="AX271" s="105" t="n">
        <v>0</v>
      </c>
      <c r="AY271" s="105" t="n">
        <v>0</v>
      </c>
      <c r="AZ271" s="105" t="n">
        <v>0</v>
      </c>
      <c r="BA271" s="105" t="n">
        <v>0</v>
      </c>
      <c r="BB271" s="105"/>
      <c r="BC271" s="105" t="n">
        <v>0</v>
      </c>
      <c r="BD271" s="105" t="n">
        <v>0</v>
      </c>
      <c r="BE271" s="105" t="n">
        <v>0</v>
      </c>
      <c r="BF271" s="105" t="n">
        <v>0</v>
      </c>
      <c r="BG271" s="105" t="n">
        <v>0</v>
      </c>
      <c r="BH271" s="105" t="n">
        <v>0</v>
      </c>
      <c r="BI271" s="105" t="n">
        <v>0</v>
      </c>
      <c r="BJ271" s="105" t="n">
        <v>0</v>
      </c>
      <c r="BK271" s="105" t="n">
        <v>0</v>
      </c>
      <c r="BL271" s="105" t="n">
        <v>0</v>
      </c>
      <c r="BM271" s="105" t="n">
        <v>0</v>
      </c>
      <c r="BN271" s="105" t="n">
        <v>0</v>
      </c>
      <c r="BO271" s="105" t="n">
        <v>0</v>
      </c>
      <c r="BP271" s="105" t="n">
        <v>0</v>
      </c>
      <c r="BQ271" s="105" t="n">
        <v>0</v>
      </c>
      <c r="BR271" s="106" t="n">
        <f aca="false">SUM(AP271:BQ271)/60</f>
        <v>0</v>
      </c>
      <c r="BS271" s="106" t="n">
        <f aca="false">SUM(AP271:BR271)/60</f>
        <v>0</v>
      </c>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row>
    <row r="272" customFormat="false" ht="14.9" hidden="true" customHeight="false" outlineLevel="0" collapsed="false">
      <c r="A272" s="74" t="n">
        <f aca="false">MONTH(B272)</f>
        <v>8</v>
      </c>
      <c r="B272" s="133" t="n">
        <v>44433</v>
      </c>
      <c r="C272" s="128" t="s">
        <v>70</v>
      </c>
      <c r="D272" s="77" t="str">
        <f aca="false">IFERROR(VLOOKUP(E:E,'Item Data Support Sheet'!A:O,7,0),"")</f>
        <v>NIPPLE POSTCURE</v>
      </c>
      <c r="E272" s="80" t="s">
        <v>664</v>
      </c>
      <c r="F272" s="122"/>
      <c r="G272" s="77" t="s">
        <v>149</v>
      </c>
      <c r="H272" s="79" t="str">
        <f aca="false">IFERROR(VLOOKUP(E:E,'Item Data Support Sheet'!A:O,2,0),"")</f>
        <v>NIPPLE S TYPE L SIZE POSTCURED</v>
      </c>
      <c r="I272" s="80" t="s">
        <v>665</v>
      </c>
      <c r="J272" s="80" t="s">
        <v>143</v>
      </c>
      <c r="K272" s="81" t="n">
        <v>5</v>
      </c>
      <c r="L272" s="124" t="n">
        <v>7036</v>
      </c>
      <c r="M272" s="83" t="n">
        <f aca="false">IFERROR(L272/K272,0)</f>
        <v>1407.2</v>
      </c>
      <c r="N272" s="84" t="n">
        <f aca="false">+O272+Q272+T272+U272</f>
        <v>5000</v>
      </c>
      <c r="O272" s="85" t="n">
        <v>5000</v>
      </c>
      <c r="P272" s="86" t="n">
        <v>0</v>
      </c>
      <c r="Q272" s="86" t="n">
        <v>0</v>
      </c>
      <c r="R272" s="132" t="n">
        <v>0</v>
      </c>
      <c r="S272" s="128" t="n">
        <v>0</v>
      </c>
      <c r="T272" s="132" t="n">
        <v>0</v>
      </c>
      <c r="U272" s="128" t="n">
        <v>0</v>
      </c>
      <c r="V272" s="128" t="n">
        <v>1</v>
      </c>
      <c r="W272" s="90" t="n">
        <f aca="false">IFERROR(O272/V272,0)</f>
        <v>5000</v>
      </c>
      <c r="X272" s="91" t="n">
        <f aca="false">O272/L272</f>
        <v>0.710631040363843</v>
      </c>
      <c r="Y272" s="92" t="str">
        <f aca="false">IFERROR(VLOOKUP(E:E,'Item Data Support Sheet'!A:J,6,0),0)</f>
        <v>FO013</v>
      </c>
      <c r="Z272" s="93" t="n">
        <f aca="false">IFERROR(VLOOKUP(E:E,'Item Data Support Sheet'!A:O,4,0),0)</f>
        <v>0</v>
      </c>
      <c r="AA272" s="93" t="n">
        <f aca="false">IFERROR(((N272)*(Z272/1000))+P272,0)</f>
        <v>0</v>
      </c>
      <c r="AB272" s="94" t="str">
        <f aca="false">IFERROR((O272*(Z272/1000)/(AA272))," ")</f>
        <v> </v>
      </c>
      <c r="AC272" s="95" t="n">
        <f aca="false">IFERROR((T272)/((T272)+O272),0)</f>
        <v>0</v>
      </c>
      <c r="AD272" s="96" t="n">
        <f aca="false">IFERROR(Q272/(Q272+N272),0)</f>
        <v>0</v>
      </c>
      <c r="AE272" s="91" t="n">
        <f aca="false">(N272-T272)/N272</f>
        <v>1</v>
      </c>
      <c r="AF272" s="97" t="n">
        <f aca="false">BR272</f>
        <v>0.666666666666667</v>
      </c>
      <c r="AG272" s="98" t="n">
        <f aca="false">K272-AF272</f>
        <v>4.33333333333333</v>
      </c>
      <c r="AH272" s="99" t="n">
        <f aca="false">IFERROR(AG272/K272," ")</f>
        <v>0.866666666666667</v>
      </c>
      <c r="AI272" s="100" t="n">
        <f aca="false">IFERROR(O272/K272,0)</f>
        <v>1000</v>
      </c>
      <c r="AJ272" s="101" t="n">
        <f aca="false">VLOOKUP(D272,'Standard Cycle time'!C:D,2,0)</f>
        <v>2.3</v>
      </c>
      <c r="AK272" s="101" t="n">
        <f aca="false">AG272*V272*3600/O272</f>
        <v>3.12</v>
      </c>
      <c r="AL272" s="102" t="n">
        <f aca="false">AJ272/AK272</f>
        <v>0.737179487179487</v>
      </c>
      <c r="AM272" s="99" t="n">
        <f aca="false">AE272*AL272*AH272</f>
        <v>0.638888888888889</v>
      </c>
      <c r="AN272" s="103" t="n">
        <v>2711</v>
      </c>
      <c r="AO272" s="104"/>
      <c r="AP272" s="105" t="n">
        <v>40</v>
      </c>
      <c r="AQ272" s="105" t="n">
        <v>0</v>
      </c>
      <c r="AR272" s="105" t="n">
        <v>0</v>
      </c>
      <c r="AS272" s="105" t="n">
        <v>0</v>
      </c>
      <c r="AT272" s="105" t="n">
        <v>0</v>
      </c>
      <c r="AU272" s="105" t="n">
        <v>0</v>
      </c>
      <c r="AV272" s="105" t="n">
        <v>0</v>
      </c>
      <c r="AW272" s="105" t="n">
        <v>0</v>
      </c>
      <c r="AX272" s="105" t="n">
        <v>0</v>
      </c>
      <c r="AY272" s="105" t="n">
        <v>0</v>
      </c>
      <c r="AZ272" s="105" t="n">
        <v>0</v>
      </c>
      <c r="BA272" s="105" t="n">
        <v>0</v>
      </c>
      <c r="BB272" s="105" t="n">
        <v>0</v>
      </c>
      <c r="BC272" s="105" t="n">
        <v>0</v>
      </c>
      <c r="BD272" s="105" t="n">
        <v>0</v>
      </c>
      <c r="BE272" s="105" t="n">
        <v>0</v>
      </c>
      <c r="BF272" s="105" t="n">
        <v>0</v>
      </c>
      <c r="BG272" s="105" t="n">
        <v>0</v>
      </c>
      <c r="BH272" s="105" t="n">
        <v>0</v>
      </c>
      <c r="BI272" s="105" t="n">
        <v>0</v>
      </c>
      <c r="BJ272" s="105" t="n">
        <v>0</v>
      </c>
      <c r="BK272" s="105" t="n">
        <v>0</v>
      </c>
      <c r="BL272" s="105" t="n">
        <v>0</v>
      </c>
      <c r="BM272" s="105" t="n">
        <v>0</v>
      </c>
      <c r="BN272" s="105" t="n">
        <v>0</v>
      </c>
      <c r="BO272" s="105" t="n">
        <v>0</v>
      </c>
      <c r="BP272" s="105" t="n">
        <v>0</v>
      </c>
      <c r="BQ272" s="105" t="n">
        <v>0</v>
      </c>
      <c r="BR272" s="106" t="n">
        <f aca="false">SUM(AP272:BQ272)/60</f>
        <v>0.666666666666667</v>
      </c>
      <c r="BS272" s="106" t="n">
        <f aca="false">SUM(AP272:BR272)/60</f>
        <v>0.677777777777778</v>
      </c>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row>
    <row r="273" customFormat="false" ht="14.9" hidden="true" customHeight="false" outlineLevel="0" collapsed="false">
      <c r="A273" s="74" t="n">
        <f aca="false">MONTH(B273)</f>
        <v>8</v>
      </c>
      <c r="B273" s="133" t="n">
        <v>44433</v>
      </c>
      <c r="C273" s="128" t="s">
        <v>70</v>
      </c>
      <c r="D273" s="77" t="str">
        <f aca="false">IFERROR(VLOOKUP(E:E,'Item Data Support Sheet'!A:O,7,0),"")</f>
        <v>NIPPLE PUNCH</v>
      </c>
      <c r="E273" s="80" t="s">
        <v>666</v>
      </c>
      <c r="F273" s="122"/>
      <c r="G273" s="77" t="s">
        <v>54</v>
      </c>
      <c r="H273" s="79" t="str">
        <f aca="false">IFERROR(VLOOKUP(E:E,'Item Data Support Sheet'!A:O,2,0),"")</f>
        <v>NIPPLE S TYPE L SIZE PUNCHED</v>
      </c>
      <c r="I273" s="80" t="s">
        <v>667</v>
      </c>
      <c r="J273" s="80" t="s">
        <v>143</v>
      </c>
      <c r="K273" s="81" t="n">
        <v>2.5</v>
      </c>
      <c r="L273" s="124" t="n">
        <v>2036</v>
      </c>
      <c r="M273" s="83" t="n">
        <f aca="false">IFERROR(L273/K273,0)</f>
        <v>814.4</v>
      </c>
      <c r="N273" s="84" t="n">
        <f aca="false">+O273+Q273+T273+U273</f>
        <v>2000</v>
      </c>
      <c r="O273" s="85" t="n">
        <v>2000</v>
      </c>
      <c r="P273" s="86" t="n">
        <v>0</v>
      </c>
      <c r="Q273" s="86" t="n">
        <v>0</v>
      </c>
      <c r="R273" s="132" t="n">
        <v>0</v>
      </c>
      <c r="S273" s="128" t="n">
        <v>0</v>
      </c>
      <c r="T273" s="132" t="n">
        <v>0</v>
      </c>
      <c r="U273" s="128" t="n">
        <v>0</v>
      </c>
      <c r="V273" s="128" t="n">
        <v>1</v>
      </c>
      <c r="W273" s="90" t="n">
        <f aca="false">IFERROR(O273/V273,0)</f>
        <v>2000</v>
      </c>
      <c r="X273" s="91" t="n">
        <f aca="false">O273/L273</f>
        <v>0.982318271119843</v>
      </c>
      <c r="Y273" s="92" t="str">
        <f aca="false">IFERROR(VLOOKUP(E:E,'Item Data Support Sheet'!A:J,6,0),0)</f>
        <v>FO017</v>
      </c>
      <c r="Z273" s="93" t="n">
        <f aca="false">IFERROR(VLOOKUP(E:E,'Item Data Support Sheet'!A:O,4,0),0)</f>
        <v>0</v>
      </c>
      <c r="AA273" s="93" t="n">
        <f aca="false">IFERROR(((N273)*(Z273/1000))+P273,0)</f>
        <v>0</v>
      </c>
      <c r="AB273" s="94" t="str">
        <f aca="false">IFERROR((O273*(Z273/1000)/(AA273))," ")</f>
        <v> </v>
      </c>
      <c r="AC273" s="95" t="n">
        <f aca="false">IFERROR((T273)/((T273)+O273),0)</f>
        <v>0</v>
      </c>
      <c r="AD273" s="96" t="n">
        <f aca="false">IFERROR(Q273/(Q273+N273),0)</f>
        <v>0</v>
      </c>
      <c r="AE273" s="91" t="n">
        <f aca="false">(N273-T273)/N273</f>
        <v>1</v>
      </c>
      <c r="AF273" s="97" t="n">
        <f aca="false">BR273</f>
        <v>0.333333333333333</v>
      </c>
      <c r="AG273" s="98" t="n">
        <f aca="false">K273-AF273</f>
        <v>2.16666666666667</v>
      </c>
      <c r="AH273" s="99" t="n">
        <f aca="false">IFERROR(AG273/K273," ")</f>
        <v>0.866666666666667</v>
      </c>
      <c r="AI273" s="100" t="n">
        <f aca="false">IFERROR(O273/K273,0)</f>
        <v>800</v>
      </c>
      <c r="AJ273" s="101" t="n">
        <f aca="false">VLOOKUP(D273,'Standard Cycle time'!C:D,2,0)</f>
        <v>3.5</v>
      </c>
      <c r="AK273" s="101" t="n">
        <f aca="false">AG273*V273*3600/O273</f>
        <v>3.9</v>
      </c>
      <c r="AL273" s="102" t="n">
        <f aca="false">AJ273/AK273</f>
        <v>0.897435897435897</v>
      </c>
      <c r="AM273" s="99" t="n">
        <f aca="false">AE273*AL273*AH273</f>
        <v>0.777777777777778</v>
      </c>
      <c r="AN273" s="103" t="n">
        <v>2713</v>
      </c>
      <c r="AO273" s="109" t="s">
        <v>668</v>
      </c>
      <c r="AP273" s="105" t="n">
        <v>0</v>
      </c>
      <c r="AQ273" s="105" t="n">
        <v>0</v>
      </c>
      <c r="AR273" s="105" t="n">
        <v>0</v>
      </c>
      <c r="AS273" s="105" t="n">
        <v>0</v>
      </c>
      <c r="AT273" s="105" t="n">
        <v>0</v>
      </c>
      <c r="AU273" s="105" t="n">
        <v>0</v>
      </c>
      <c r="AV273" s="105" t="n">
        <v>0</v>
      </c>
      <c r="AW273" s="105" t="n">
        <v>0</v>
      </c>
      <c r="AX273" s="105" t="n">
        <v>0</v>
      </c>
      <c r="AY273" s="105" t="n">
        <v>0</v>
      </c>
      <c r="AZ273" s="105" t="n">
        <v>0</v>
      </c>
      <c r="BA273" s="105" t="n">
        <v>0</v>
      </c>
      <c r="BB273" s="105" t="n">
        <v>0</v>
      </c>
      <c r="BC273" s="105" t="n">
        <v>0</v>
      </c>
      <c r="BD273" s="105" t="n">
        <v>0</v>
      </c>
      <c r="BE273" s="105" t="n">
        <v>0</v>
      </c>
      <c r="BF273" s="105" t="n">
        <v>0</v>
      </c>
      <c r="BG273" s="105" t="n">
        <v>0</v>
      </c>
      <c r="BH273" s="105" t="n">
        <v>0</v>
      </c>
      <c r="BI273" s="105" t="n">
        <v>0</v>
      </c>
      <c r="BJ273" s="105" t="n">
        <v>0</v>
      </c>
      <c r="BK273" s="105" t="n">
        <v>0</v>
      </c>
      <c r="BL273" s="105" t="n">
        <v>0</v>
      </c>
      <c r="BM273" s="105" t="n">
        <v>0</v>
      </c>
      <c r="BN273" s="105" t="n">
        <v>0</v>
      </c>
      <c r="BO273" s="105" t="n">
        <v>0</v>
      </c>
      <c r="BP273" s="105" t="n">
        <v>0</v>
      </c>
      <c r="BQ273" s="105" t="n">
        <v>20</v>
      </c>
      <c r="BR273" s="106" t="n">
        <f aca="false">SUM(AP273:BQ273)/60</f>
        <v>0.333333333333333</v>
      </c>
      <c r="BS273" s="106" t="n">
        <f aca="false">SUM(AP273:BR273)/60</f>
        <v>0.338888888888889</v>
      </c>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row>
    <row r="274" customFormat="false" ht="28.35" hidden="true" customHeight="false" outlineLevel="0" collapsed="false">
      <c r="A274" s="74" t="n">
        <f aca="false">MONTH(B274)</f>
        <v>8</v>
      </c>
      <c r="B274" s="133" t="n">
        <v>44433</v>
      </c>
      <c r="C274" s="128" t="s">
        <v>70</v>
      </c>
      <c r="D274" s="77" t="str">
        <f aca="false">IFERROR(VLOOKUP(E:E,'Item Data Support Sheet'!A:O,7,0),"")</f>
        <v>BOTTLE MOLDED</v>
      </c>
      <c r="E274" s="80" t="s">
        <v>357</v>
      </c>
      <c r="F274" s="122" t="s">
        <v>79</v>
      </c>
      <c r="G274" s="77" t="s">
        <v>80</v>
      </c>
      <c r="H274" s="79" t="str">
        <f aca="false">IFERROR(VLOOKUP(E:E,'Item Data Support Sheet'!A:O,2,0),"")</f>
        <v>KPP 120 ML BOTTLE MOLDED</v>
      </c>
      <c r="I274" s="80" t="s">
        <v>669</v>
      </c>
      <c r="J274" s="80" t="s">
        <v>143</v>
      </c>
      <c r="K274" s="81" t="n">
        <v>10.5</v>
      </c>
      <c r="L274" s="124" t="n">
        <v>2574</v>
      </c>
      <c r="M274" s="83" t="n">
        <f aca="false">IFERROR(L274/K274,0)</f>
        <v>245.142857142857</v>
      </c>
      <c r="N274" s="84" t="n">
        <f aca="false">+O274+Q274+T274+U274</f>
        <v>4718</v>
      </c>
      <c r="O274" s="85" t="n">
        <f aca="false">25*180</f>
        <v>4500</v>
      </c>
      <c r="P274" s="86" t="n">
        <v>1.5</v>
      </c>
      <c r="Q274" s="86" t="n">
        <v>118</v>
      </c>
      <c r="R274" s="132" t="n">
        <v>0</v>
      </c>
      <c r="S274" s="128" t="n">
        <v>0</v>
      </c>
      <c r="T274" s="132" t="n">
        <v>92</v>
      </c>
      <c r="U274" s="128" t="n">
        <v>8</v>
      </c>
      <c r="V274" s="128" t="n">
        <v>1</v>
      </c>
      <c r="W274" s="90" t="n">
        <f aca="false">IFERROR(O274/V274,0)</f>
        <v>4500</v>
      </c>
      <c r="X274" s="91" t="n">
        <f aca="false">O274/L274</f>
        <v>1.74825174825175</v>
      </c>
      <c r="Y274" s="92" t="str">
        <f aca="false">IFERROR(VLOOKUP(E:E,'Item Data Support Sheet'!A:J,6,0),0)</f>
        <v>HMC</v>
      </c>
      <c r="Z274" s="93" t="n">
        <f aca="false">IFERROR(VLOOKUP(E:E,'Item Data Support Sheet'!A:O,4,0),0)</f>
        <v>21.3</v>
      </c>
      <c r="AA274" s="93" t="n">
        <f aca="false">IFERROR(((N274)*(Z274/1000))+P274,0)</f>
        <v>101.9934</v>
      </c>
      <c r="AB274" s="94" t="n">
        <f aca="false">IFERROR((O274*(Z274/1000)/(AA274))," ")</f>
        <v>0.939766690785874</v>
      </c>
      <c r="AC274" s="95" t="n">
        <f aca="false">IFERROR((T274)/((T274)+O274),0)</f>
        <v>0.0200348432055749</v>
      </c>
      <c r="AD274" s="96" t="n">
        <f aca="false">IFERROR(Q274/(Q274+N274),0)</f>
        <v>0.0244003308519438</v>
      </c>
      <c r="AE274" s="91" t="n">
        <f aca="false">(N274-T274)/N274</f>
        <v>0.980500211954218</v>
      </c>
      <c r="AF274" s="97" t="n">
        <f aca="false">BR274</f>
        <v>0</v>
      </c>
      <c r="AG274" s="98" t="n">
        <f aca="false">K274-AF274</f>
        <v>10.5</v>
      </c>
      <c r="AH274" s="99" t="n">
        <f aca="false">IFERROR(AG274/K274," ")</f>
        <v>1</v>
      </c>
      <c r="AI274" s="100" t="n">
        <f aca="false">IFERROR(O274/K274,0)</f>
        <v>428.571428571429</v>
      </c>
      <c r="AJ274" s="101" t="n">
        <f aca="false">VLOOKUP(D274,'Standard Cycle time'!C:D,2,0)</f>
        <v>9</v>
      </c>
      <c r="AK274" s="101" t="n">
        <f aca="false">AG274*V274*3600/O274</f>
        <v>8.4</v>
      </c>
      <c r="AL274" s="102" t="n">
        <f aca="false">AJ274/AK274</f>
        <v>1.07142857142857</v>
      </c>
      <c r="AM274" s="99" t="n">
        <f aca="false">AE274*AL274*AH274</f>
        <v>1.05053594137952</v>
      </c>
      <c r="AN274" s="103" t="n">
        <v>2710</v>
      </c>
      <c r="AO274" s="104" t="s">
        <v>670</v>
      </c>
      <c r="AP274" s="105" t="n">
        <v>0</v>
      </c>
      <c r="AQ274" s="105" t="n">
        <v>0</v>
      </c>
      <c r="AR274" s="105" t="n">
        <v>0</v>
      </c>
      <c r="AS274" s="105" t="n">
        <v>0</v>
      </c>
      <c r="AT274" s="105" t="n">
        <v>0</v>
      </c>
      <c r="AU274" s="105" t="n">
        <v>0</v>
      </c>
      <c r="AV274" s="105" t="n">
        <v>0</v>
      </c>
      <c r="AW274" s="105" t="n">
        <v>0</v>
      </c>
      <c r="AX274" s="105" t="n">
        <v>0</v>
      </c>
      <c r="AY274" s="105" t="n">
        <v>0</v>
      </c>
      <c r="AZ274" s="105" t="n">
        <v>0</v>
      </c>
      <c r="BA274" s="105" t="n">
        <v>0</v>
      </c>
      <c r="BB274" s="105" t="n">
        <v>0</v>
      </c>
      <c r="BC274" s="105" t="n">
        <v>0</v>
      </c>
      <c r="BD274" s="105" t="n">
        <v>0</v>
      </c>
      <c r="BE274" s="105" t="n">
        <v>0</v>
      </c>
      <c r="BF274" s="105" t="n">
        <v>0</v>
      </c>
      <c r="BG274" s="105" t="n">
        <v>0</v>
      </c>
      <c r="BH274" s="105" t="n">
        <v>0</v>
      </c>
      <c r="BI274" s="105" t="n">
        <v>0</v>
      </c>
      <c r="BJ274" s="105" t="n">
        <v>0</v>
      </c>
      <c r="BK274" s="105" t="n">
        <v>0</v>
      </c>
      <c r="BL274" s="105" t="n">
        <v>0</v>
      </c>
      <c r="BM274" s="105" t="n">
        <v>0</v>
      </c>
      <c r="BN274" s="105" t="n">
        <v>0</v>
      </c>
      <c r="BO274" s="105" t="n">
        <v>0</v>
      </c>
      <c r="BP274" s="105" t="n">
        <v>0</v>
      </c>
      <c r="BQ274" s="105" t="n">
        <v>0</v>
      </c>
      <c r="BR274" s="106" t="n">
        <f aca="false">SUM(AP274:BQ274)/60</f>
        <v>0</v>
      </c>
      <c r="BS274" s="106" t="n">
        <f aca="false">SUM(AP274:BR274)/60</f>
        <v>0</v>
      </c>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row>
    <row r="275" customFormat="false" ht="17.15" hidden="true" customHeight="true" outlineLevel="0" collapsed="false">
      <c r="A275" s="74" t="n">
        <f aca="false">MONTH(B275)</f>
        <v>8</v>
      </c>
      <c r="B275" s="133" t="n">
        <v>44433</v>
      </c>
      <c r="C275" s="128" t="s">
        <v>70</v>
      </c>
      <c r="D275" s="77" t="str">
        <f aca="false">IFERROR(VLOOKUP(E:E,'Item Data Support Sheet'!A:O,7,0),"")</f>
        <v>HOOD MOLDED</v>
      </c>
      <c r="E275" s="80" t="s">
        <v>529</v>
      </c>
      <c r="F275" s="122"/>
      <c r="G275" s="77" t="s">
        <v>200</v>
      </c>
      <c r="H275" s="79" t="str">
        <f aca="false">IFERROR(VLOOKUP(E:E,'Item Data Support Sheet'!A:O,2,0),"")</f>
        <v>HOOD S TYPE MOLDED</v>
      </c>
      <c r="I275" s="80" t="s">
        <v>671</v>
      </c>
      <c r="J275" s="80" t="s">
        <v>143</v>
      </c>
      <c r="K275" s="81" t="n">
        <v>8</v>
      </c>
      <c r="L275" s="124" t="n">
        <v>4137</v>
      </c>
      <c r="M275" s="83" t="n">
        <f aca="false">IFERROR(L275/K275,0)</f>
        <v>517.125</v>
      </c>
      <c r="N275" s="84" t="n">
        <f aca="false">+O275+Q275+T275+U275</f>
        <v>3615</v>
      </c>
      <c r="O275" s="85" t="n">
        <v>3408</v>
      </c>
      <c r="P275" s="86" t="n">
        <v>0</v>
      </c>
      <c r="Q275" s="86" t="n">
        <v>115</v>
      </c>
      <c r="R275" s="132" t="n">
        <v>0</v>
      </c>
      <c r="S275" s="128" t="n">
        <v>0</v>
      </c>
      <c r="T275" s="132" t="n">
        <v>92</v>
      </c>
      <c r="U275" s="128" t="n">
        <v>0</v>
      </c>
      <c r="V275" s="128" t="n">
        <v>1</v>
      </c>
      <c r="W275" s="90" t="n">
        <f aca="false">IFERROR(O275/V275,0)</f>
        <v>3408</v>
      </c>
      <c r="X275" s="91" t="n">
        <f aca="false">O275/L275</f>
        <v>0.823785351704133</v>
      </c>
      <c r="Y275" s="92" t="str">
        <f aca="false">IFERROR(VLOOKUP(E:E,'Item Data Support Sheet'!A:J,6,0),0)</f>
        <v>HMC</v>
      </c>
      <c r="Z275" s="93" t="n">
        <f aca="false">IFERROR(VLOOKUP(E:E,'Item Data Support Sheet'!A:O,4,0),0)</f>
        <v>8.6</v>
      </c>
      <c r="AA275" s="93" t="n">
        <f aca="false">IFERROR(((N275)*(Z275/1000))+P275,0)</f>
        <v>31.089</v>
      </c>
      <c r="AB275" s="94" t="n">
        <f aca="false">IFERROR((O275*(Z275/1000)/(AA275))," ")</f>
        <v>0.942738589211618</v>
      </c>
      <c r="AC275" s="95" t="n">
        <f aca="false">IFERROR((T275)/((T275)+O275),0)</f>
        <v>0.0262857142857143</v>
      </c>
      <c r="AD275" s="96" t="n">
        <f aca="false">IFERROR(Q275/(Q275+N275),0)</f>
        <v>0.0308310991957105</v>
      </c>
      <c r="AE275" s="91" t="n">
        <f aca="false">(N275-T275)/N275</f>
        <v>0.974550484094053</v>
      </c>
      <c r="AF275" s="97" t="n">
        <f aca="false">BR275</f>
        <v>2</v>
      </c>
      <c r="AG275" s="98" t="n">
        <f aca="false">K275-AF275</f>
        <v>6</v>
      </c>
      <c r="AH275" s="99" t="n">
        <f aca="false">IFERROR(AG275/K275," ")</f>
        <v>0.75</v>
      </c>
      <c r="AI275" s="100" t="n">
        <f aca="false">IFERROR(O275/K275,0)</f>
        <v>426</v>
      </c>
      <c r="AJ275" s="101" t="n">
        <f aca="false">VLOOKUP(D275,'Standard Cycle time'!C:D,2,0)</f>
        <v>6</v>
      </c>
      <c r="AK275" s="101" t="n">
        <f aca="false">AG275*V275*3600/O275</f>
        <v>6.33802816901409</v>
      </c>
      <c r="AL275" s="102" t="n">
        <f aca="false">AJ275/AK275</f>
        <v>0.946666666666667</v>
      </c>
      <c r="AM275" s="99" t="n">
        <f aca="false">AE275*AL275*AH275</f>
        <v>0.691930843706777</v>
      </c>
      <c r="AN275" s="103" t="n">
        <v>2712</v>
      </c>
      <c r="AO275" s="110" t="s">
        <v>567</v>
      </c>
      <c r="AP275" s="105" t="n">
        <v>0</v>
      </c>
      <c r="AQ275" s="105" t="n">
        <v>0</v>
      </c>
      <c r="AR275" s="105" t="n">
        <v>0</v>
      </c>
      <c r="AS275" s="105" t="n">
        <v>0</v>
      </c>
      <c r="AT275" s="105" t="n">
        <v>0</v>
      </c>
      <c r="AU275" s="105" t="n">
        <v>0</v>
      </c>
      <c r="AV275" s="105" t="n">
        <v>120</v>
      </c>
      <c r="AW275" s="105" t="n">
        <v>0</v>
      </c>
      <c r="AX275" s="105" t="n">
        <v>0</v>
      </c>
      <c r="AY275" s="105" t="n">
        <v>0</v>
      </c>
      <c r="AZ275" s="105" t="n">
        <v>0</v>
      </c>
      <c r="BA275" s="105" t="n">
        <v>0</v>
      </c>
      <c r="BB275" s="105" t="n">
        <v>0</v>
      </c>
      <c r="BC275" s="105" t="n">
        <v>0</v>
      </c>
      <c r="BD275" s="105" t="n">
        <v>0</v>
      </c>
      <c r="BE275" s="105" t="n">
        <v>0</v>
      </c>
      <c r="BF275" s="105" t="n">
        <v>0</v>
      </c>
      <c r="BG275" s="105" t="n">
        <v>0</v>
      </c>
      <c r="BH275" s="105" t="n">
        <v>0</v>
      </c>
      <c r="BI275" s="105" t="n">
        <v>0</v>
      </c>
      <c r="BJ275" s="105" t="n">
        <v>0</v>
      </c>
      <c r="BK275" s="105" t="n">
        <v>0</v>
      </c>
      <c r="BL275" s="105" t="n">
        <v>0</v>
      </c>
      <c r="BM275" s="105" t="n">
        <v>0</v>
      </c>
      <c r="BN275" s="105" t="n">
        <v>0</v>
      </c>
      <c r="BO275" s="105" t="n">
        <v>0</v>
      </c>
      <c r="BP275" s="105" t="n">
        <v>0</v>
      </c>
      <c r="BQ275" s="105" t="n">
        <v>0</v>
      </c>
      <c r="BR275" s="106" t="n">
        <f aca="false">SUM(AP275:BQ275)/60</f>
        <v>2</v>
      </c>
      <c r="BS275" s="106" t="n">
        <f aca="false">SUM(AP275:BR275)/60</f>
        <v>2.03333333333333</v>
      </c>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row>
    <row r="276" customFormat="false" ht="14.9" hidden="true" customHeight="false" outlineLevel="0" collapsed="false">
      <c r="A276" s="74" t="n">
        <f aca="false">MONTH(B276)</f>
        <v>8</v>
      </c>
      <c r="B276" s="133" t="n">
        <v>44433</v>
      </c>
      <c r="C276" s="128" t="s">
        <v>152</v>
      </c>
      <c r="D276" s="77" t="str">
        <f aca="false">IFERROR(VLOOKUP(E:E,'Item Data Support Sheet'!A:O,7,0),"")</f>
        <v>BOTTLE MOLDED</v>
      </c>
      <c r="E276" s="80" t="s">
        <v>357</v>
      </c>
      <c r="F276" s="122" t="s">
        <v>79</v>
      </c>
      <c r="G276" s="77" t="s">
        <v>80</v>
      </c>
      <c r="H276" s="79" t="str">
        <f aca="false">IFERROR(VLOOKUP(E:E,'Item Data Support Sheet'!A:O,2,0),"")</f>
        <v>KPP 120 ML BOTTLE MOLDED</v>
      </c>
      <c r="I276" s="80" t="s">
        <v>672</v>
      </c>
      <c r="J276" s="80" t="s">
        <v>148</v>
      </c>
      <c r="K276" s="81" t="n">
        <v>8</v>
      </c>
      <c r="L276" s="124" t="n">
        <v>2574</v>
      </c>
      <c r="M276" s="83" t="n">
        <f aca="false">IFERROR(L276/K276,0)</f>
        <v>321.75</v>
      </c>
      <c r="N276" s="84" t="n">
        <f aca="false">+O276+Q276+T276+U276</f>
        <v>3382</v>
      </c>
      <c r="O276" s="85" t="n">
        <f aca="false">180*18</f>
        <v>3240</v>
      </c>
      <c r="P276" s="86" t="n">
        <v>0</v>
      </c>
      <c r="Q276" s="86" t="n">
        <v>53</v>
      </c>
      <c r="R276" s="132" t="n">
        <v>0</v>
      </c>
      <c r="S276" s="128" t="n">
        <v>0</v>
      </c>
      <c r="T276" s="132" t="n">
        <v>81</v>
      </c>
      <c r="U276" s="128" t="n">
        <v>8</v>
      </c>
      <c r="V276" s="128" t="n">
        <v>1</v>
      </c>
      <c r="W276" s="90" t="n">
        <f aca="false">IFERROR(O276/V276,0)</f>
        <v>3240</v>
      </c>
      <c r="X276" s="91" t="n">
        <f aca="false">O276/L276</f>
        <v>1.25874125874126</v>
      </c>
      <c r="Y276" s="92" t="str">
        <f aca="false">IFERROR(VLOOKUP(E:E,'Item Data Support Sheet'!A:J,6,0),0)</f>
        <v>HMC</v>
      </c>
      <c r="Z276" s="93" t="n">
        <f aca="false">IFERROR(VLOOKUP(E:E,'Item Data Support Sheet'!A:O,4,0),0)</f>
        <v>21.3</v>
      </c>
      <c r="AA276" s="93" t="n">
        <f aca="false">IFERROR(((N276)*(Z276/1000))+P276,0)</f>
        <v>72.0366</v>
      </c>
      <c r="AB276" s="94" t="n">
        <f aca="false">IFERROR((O276*(Z276/1000)/(AA276))," ")</f>
        <v>0.958013010053223</v>
      </c>
      <c r="AC276" s="95" t="n">
        <f aca="false">IFERROR((T276)/((T276)+O276),0)</f>
        <v>0.024390243902439</v>
      </c>
      <c r="AD276" s="96" t="n">
        <f aca="false">IFERROR(Q276/(Q276+N276),0)</f>
        <v>0.015429403202329</v>
      </c>
      <c r="AE276" s="91" t="n">
        <f aca="false">(N276-T276)/N276</f>
        <v>0.976049674748669</v>
      </c>
      <c r="AF276" s="97" t="n">
        <f aca="false">BR276</f>
        <v>0</v>
      </c>
      <c r="AG276" s="98" t="n">
        <f aca="false">K276-AF276</f>
        <v>8</v>
      </c>
      <c r="AH276" s="99" t="n">
        <f aca="false">IFERROR(AG276/K276," ")</f>
        <v>1</v>
      </c>
      <c r="AI276" s="100" t="n">
        <f aca="false">IFERROR(O276/K276,0)</f>
        <v>405</v>
      </c>
      <c r="AJ276" s="101" t="n">
        <f aca="false">VLOOKUP(D276,'Standard Cycle time'!C:D,2,0)</f>
        <v>9</v>
      </c>
      <c r="AK276" s="101" t="n">
        <f aca="false">AG276*V276*3600/O276</f>
        <v>8.88888888888889</v>
      </c>
      <c r="AL276" s="102" t="n">
        <f aca="false">AJ276/AK276</f>
        <v>1.0125</v>
      </c>
      <c r="AM276" s="99" t="n">
        <f aca="false">AE276*AL276*AH276</f>
        <v>0.988250295683028</v>
      </c>
      <c r="AN276" s="103" t="n">
        <v>2714</v>
      </c>
      <c r="AO276" s="104"/>
      <c r="AP276" s="105" t="n">
        <v>0</v>
      </c>
      <c r="AQ276" s="105" t="n">
        <v>0</v>
      </c>
      <c r="AR276" s="105" t="n">
        <v>0</v>
      </c>
      <c r="AS276" s="105" t="n">
        <v>0</v>
      </c>
      <c r="AT276" s="105" t="n">
        <v>0</v>
      </c>
      <c r="AU276" s="105" t="n">
        <v>0</v>
      </c>
      <c r="AV276" s="105" t="n">
        <v>0</v>
      </c>
      <c r="AW276" s="105" t="n">
        <v>0</v>
      </c>
      <c r="AX276" s="105" t="n">
        <v>0</v>
      </c>
      <c r="AY276" s="105" t="n">
        <v>0</v>
      </c>
      <c r="AZ276" s="105" t="n">
        <v>0</v>
      </c>
      <c r="BA276" s="105" t="n">
        <v>0</v>
      </c>
      <c r="BB276" s="105" t="n">
        <v>0</v>
      </c>
      <c r="BC276" s="105" t="n">
        <v>0</v>
      </c>
      <c r="BD276" s="105" t="n">
        <v>0</v>
      </c>
      <c r="BE276" s="105" t="n">
        <v>0</v>
      </c>
      <c r="BF276" s="105" t="n">
        <v>0</v>
      </c>
      <c r="BG276" s="105" t="n">
        <v>0</v>
      </c>
      <c r="BH276" s="105" t="n">
        <v>0</v>
      </c>
      <c r="BI276" s="105" t="n">
        <v>0</v>
      </c>
      <c r="BJ276" s="105" t="n">
        <v>0</v>
      </c>
      <c r="BK276" s="105" t="n">
        <v>0</v>
      </c>
      <c r="BL276" s="105" t="n">
        <v>0</v>
      </c>
      <c r="BM276" s="105" t="n">
        <v>0</v>
      </c>
      <c r="BN276" s="105" t="n">
        <v>0</v>
      </c>
      <c r="BO276" s="105" t="n">
        <v>0</v>
      </c>
      <c r="BP276" s="105" t="n">
        <v>0</v>
      </c>
      <c r="BQ276" s="105" t="n">
        <v>0</v>
      </c>
      <c r="BR276" s="106" t="n">
        <f aca="false">SUM(AP276:BQ276)/60</f>
        <v>0</v>
      </c>
      <c r="BS276" s="106" t="n">
        <f aca="false">SUM(AP276:BR276)/60</f>
        <v>0</v>
      </c>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row>
    <row r="277" customFormat="false" ht="14.9" hidden="true" customHeight="false" outlineLevel="0" collapsed="false">
      <c r="A277" s="74" t="n">
        <f aca="false">MONTH(B277)</f>
        <v>8</v>
      </c>
      <c r="B277" s="133" t="n">
        <v>44433</v>
      </c>
      <c r="C277" s="128" t="s">
        <v>152</v>
      </c>
      <c r="D277" s="77" t="str">
        <f aca="false">IFERROR(VLOOKUP(E:E,'Item Data Support Sheet'!A:O,7,0),"")</f>
        <v>NIPPLE MOLDED</v>
      </c>
      <c r="E277" s="80" t="s">
        <v>661</v>
      </c>
      <c r="F277" s="122" t="s">
        <v>137</v>
      </c>
      <c r="G277" s="77" t="s">
        <v>138</v>
      </c>
      <c r="H277" s="79" t="str">
        <f aca="false">IFERROR(VLOOKUP(E:E,'Item Data Support Sheet'!A:O,2,0),"")</f>
        <v>NIPPLE S TYPE L SIZE INJECTION</v>
      </c>
      <c r="I277" s="80" t="s">
        <v>673</v>
      </c>
      <c r="J277" s="80" t="s">
        <v>148</v>
      </c>
      <c r="K277" s="81" t="n">
        <v>8</v>
      </c>
      <c r="L277" s="124" t="n">
        <v>4815</v>
      </c>
      <c r="M277" s="83" t="n">
        <f aca="false">IFERROR(L277/K277,0)</f>
        <v>601.875</v>
      </c>
      <c r="N277" s="84" t="n">
        <f aca="false">+O277+Q277+T277+U277</f>
        <v>5010</v>
      </c>
      <c r="O277" s="85" t="n">
        <v>4888</v>
      </c>
      <c r="P277" s="86" t="n">
        <v>0</v>
      </c>
      <c r="Q277" s="86" t="n">
        <v>52</v>
      </c>
      <c r="R277" s="132" t="n">
        <v>0</v>
      </c>
      <c r="S277" s="128" t="n">
        <v>0</v>
      </c>
      <c r="T277" s="132" t="n">
        <v>70</v>
      </c>
      <c r="U277" s="128" t="n">
        <v>0</v>
      </c>
      <c r="V277" s="128" t="n">
        <v>1</v>
      </c>
      <c r="W277" s="90" t="n">
        <f aca="false">IFERROR(O277/V277,0)</f>
        <v>4888</v>
      </c>
      <c r="X277" s="91" t="n">
        <f aca="false">O277/L277</f>
        <v>1.01516095534787</v>
      </c>
      <c r="Y277" s="92" t="str">
        <f aca="false">IFERROR(VLOOKUP(E:E,'Item Data Support Sheet'!A:J,6,0),0)</f>
        <v>Silicon</v>
      </c>
      <c r="Z277" s="93" t="n">
        <f aca="false">IFERROR(VLOOKUP(E:E,'Item Data Support Sheet'!A:O,4,0),0)</f>
        <v>6.8</v>
      </c>
      <c r="AA277" s="93" t="n">
        <f aca="false">IFERROR(((N277)*(Z277/1000))+P277,0)</f>
        <v>34.068</v>
      </c>
      <c r="AB277" s="94" t="n">
        <f aca="false">IFERROR((O277*(Z277/1000)/(AA277))," ")</f>
        <v>0.97564870259481</v>
      </c>
      <c r="AC277" s="95" t="n">
        <f aca="false">IFERROR((T277)/((T277)+O277),0)</f>
        <v>0.0141185962081484</v>
      </c>
      <c r="AD277" s="96" t="n">
        <f aca="false">IFERROR(Q277/(Q277+N277),0)</f>
        <v>0.0102726195179771</v>
      </c>
      <c r="AE277" s="91" t="n">
        <f aca="false">(N277-T277)/N277</f>
        <v>0.986027944111776</v>
      </c>
      <c r="AF277" s="97" t="n">
        <f aca="false">BR277</f>
        <v>0</v>
      </c>
      <c r="AG277" s="98" t="n">
        <f aca="false">K277-AF277</f>
        <v>8</v>
      </c>
      <c r="AH277" s="99" t="n">
        <f aca="false">IFERROR(AG277/K277," ")</f>
        <v>1</v>
      </c>
      <c r="AI277" s="100" t="n">
        <f aca="false">IFERROR(O277/K277,0)</f>
        <v>611</v>
      </c>
      <c r="AJ277" s="101" t="n">
        <f aca="false">VLOOKUP(D277,'Standard Cycle time'!C:D,2,0)</f>
        <v>5.25</v>
      </c>
      <c r="AK277" s="101" t="n">
        <f aca="false">AG277*V277*3600/O277</f>
        <v>5.89198036006547</v>
      </c>
      <c r="AL277" s="102" t="n">
        <f aca="false">AJ277/AK277</f>
        <v>0.891041666666667</v>
      </c>
      <c r="AM277" s="99" t="n">
        <f aca="false">AE277*AL277*AH277</f>
        <v>0.878591982701264</v>
      </c>
      <c r="AN277" s="103" t="s">
        <v>674</v>
      </c>
      <c r="AO277" s="104"/>
      <c r="AP277" s="105" t="n">
        <v>0</v>
      </c>
      <c r="AQ277" s="105" t="n">
        <v>0</v>
      </c>
      <c r="AR277" s="105" t="n">
        <v>0</v>
      </c>
      <c r="AS277" s="105" t="n">
        <v>0</v>
      </c>
      <c r="AT277" s="105" t="n">
        <v>0</v>
      </c>
      <c r="AU277" s="105" t="n">
        <v>0</v>
      </c>
      <c r="AV277" s="105" t="n">
        <v>0</v>
      </c>
      <c r="AW277" s="105" t="n">
        <v>0</v>
      </c>
      <c r="AX277" s="105" t="n">
        <v>0</v>
      </c>
      <c r="AY277" s="105" t="n">
        <v>0</v>
      </c>
      <c r="AZ277" s="105" t="n">
        <v>0</v>
      </c>
      <c r="BA277" s="105" t="n">
        <v>0</v>
      </c>
      <c r="BB277" s="105" t="n">
        <v>0</v>
      </c>
      <c r="BC277" s="105" t="n">
        <v>0</v>
      </c>
      <c r="BD277" s="105" t="n">
        <v>0</v>
      </c>
      <c r="BE277" s="105" t="n">
        <v>0</v>
      </c>
      <c r="BF277" s="105" t="n">
        <v>0</v>
      </c>
      <c r="BG277" s="105" t="n">
        <v>0</v>
      </c>
      <c r="BH277" s="105" t="n">
        <v>0</v>
      </c>
      <c r="BI277" s="105" t="n">
        <v>0</v>
      </c>
      <c r="BJ277" s="105" t="n">
        <v>0</v>
      </c>
      <c r="BK277" s="105" t="n">
        <v>0</v>
      </c>
      <c r="BL277" s="105" t="n">
        <v>0</v>
      </c>
      <c r="BM277" s="105" t="n">
        <v>0</v>
      </c>
      <c r="BN277" s="105" t="n">
        <v>0</v>
      </c>
      <c r="BO277" s="105" t="n">
        <v>0</v>
      </c>
      <c r="BP277" s="105" t="n">
        <v>0</v>
      </c>
      <c r="BQ277" s="105" t="n">
        <v>0</v>
      </c>
      <c r="BR277" s="106" t="n">
        <f aca="false">SUM(AP277:BQ277)/60</f>
        <v>0</v>
      </c>
      <c r="BS277" s="106" t="n">
        <f aca="false">SUM(AP277:BR277)/60</f>
        <v>0</v>
      </c>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row>
    <row r="278" customFormat="false" ht="14.9" hidden="true" customHeight="false" outlineLevel="0" collapsed="false">
      <c r="A278" s="74" t="n">
        <f aca="false">MONTH(B278)</f>
        <v>8</v>
      </c>
      <c r="B278" s="133" t="n">
        <v>44433</v>
      </c>
      <c r="C278" s="128" t="s">
        <v>152</v>
      </c>
      <c r="D278" s="77" t="str">
        <f aca="false">IFERROR(VLOOKUP(E:E,'Item Data Support Sheet'!A:O,7,0),"")</f>
        <v>HOOD MOLDED</v>
      </c>
      <c r="E278" s="80" t="s">
        <v>529</v>
      </c>
      <c r="F278" s="122"/>
      <c r="G278" s="77" t="s">
        <v>200</v>
      </c>
      <c r="H278" s="79" t="str">
        <f aca="false">IFERROR(VLOOKUP(E:E,'Item Data Support Sheet'!A:O,2,0),"")</f>
        <v>HOOD S TYPE MOLDED</v>
      </c>
      <c r="I278" s="80" t="s">
        <v>675</v>
      </c>
      <c r="J278" s="80" t="s">
        <v>148</v>
      </c>
      <c r="K278" s="81" t="n">
        <v>8</v>
      </c>
      <c r="L278" s="124" t="n">
        <v>4137</v>
      </c>
      <c r="M278" s="83" t="n">
        <f aca="false">IFERROR(L278/K278,0)</f>
        <v>517.125</v>
      </c>
      <c r="N278" s="84" t="n">
        <f aca="false">+O278+Q278+T278+U278</f>
        <v>5510</v>
      </c>
      <c r="O278" s="85" t="n">
        <v>5500</v>
      </c>
      <c r="P278" s="86" t="n">
        <v>0</v>
      </c>
      <c r="Q278" s="86" t="n">
        <v>0</v>
      </c>
      <c r="R278" s="132" t="n">
        <v>0</v>
      </c>
      <c r="S278" s="128" t="n">
        <v>0</v>
      </c>
      <c r="T278" s="132" t="n">
        <v>2</v>
      </c>
      <c r="U278" s="128" t="n">
        <v>8</v>
      </c>
      <c r="V278" s="128" t="n">
        <v>1</v>
      </c>
      <c r="W278" s="90" t="n">
        <f aca="false">IFERROR(O278/V278,0)</f>
        <v>5500</v>
      </c>
      <c r="X278" s="91" t="n">
        <f aca="false">O278/L278</f>
        <v>1.32946579647087</v>
      </c>
      <c r="Y278" s="92" t="str">
        <f aca="false">IFERROR(VLOOKUP(E:E,'Item Data Support Sheet'!A:J,6,0),0)</f>
        <v>HMC</v>
      </c>
      <c r="Z278" s="93" t="n">
        <f aca="false">IFERROR(VLOOKUP(E:E,'Item Data Support Sheet'!A:O,4,0),0)</f>
        <v>8.6</v>
      </c>
      <c r="AA278" s="93" t="n">
        <f aca="false">IFERROR(((N278)*(Z278/1000))+P278,0)</f>
        <v>47.386</v>
      </c>
      <c r="AB278" s="94" t="n">
        <f aca="false">IFERROR((O278*(Z278/1000)/(AA278))," ")</f>
        <v>0.998185117967332</v>
      </c>
      <c r="AC278" s="95" t="n">
        <f aca="false">IFERROR((T278)/((T278)+O278),0)</f>
        <v>0.000363504180298073</v>
      </c>
      <c r="AD278" s="96" t="n">
        <f aca="false">IFERROR(Q278/(Q278+N278),0)</f>
        <v>0</v>
      </c>
      <c r="AE278" s="91" t="n">
        <f aca="false">(N278-T278)/N278</f>
        <v>0.999637023593466</v>
      </c>
      <c r="AF278" s="97" t="n">
        <f aca="false">BR278</f>
        <v>0</v>
      </c>
      <c r="AG278" s="98" t="n">
        <f aca="false">K278-AF278</f>
        <v>8</v>
      </c>
      <c r="AH278" s="99" t="n">
        <f aca="false">IFERROR(AG278/K278," ")</f>
        <v>1</v>
      </c>
      <c r="AI278" s="100" t="n">
        <f aca="false">IFERROR(O278/K278,0)</f>
        <v>687.5</v>
      </c>
      <c r="AJ278" s="101" t="n">
        <f aca="false">VLOOKUP(D278,'Standard Cycle time'!C:D,2,0)</f>
        <v>6</v>
      </c>
      <c r="AK278" s="101" t="n">
        <f aca="false">AG278*V278*3600/O278</f>
        <v>5.23636363636364</v>
      </c>
      <c r="AL278" s="102" t="n">
        <f aca="false">AJ278/AK278</f>
        <v>1.14583333333333</v>
      </c>
      <c r="AM278" s="99" t="n">
        <f aca="false">AE278*AL278*AH278</f>
        <v>1.14541742286751</v>
      </c>
      <c r="AN278" s="103" t="s">
        <v>676</v>
      </c>
      <c r="AO278" s="104"/>
      <c r="AP278" s="105" t="n">
        <v>0</v>
      </c>
      <c r="AQ278" s="105" t="n">
        <v>0</v>
      </c>
      <c r="AR278" s="105" t="n">
        <v>0</v>
      </c>
      <c r="AS278" s="105" t="n">
        <v>0</v>
      </c>
      <c r="AT278" s="105" t="n">
        <v>0</v>
      </c>
      <c r="AU278" s="105" t="n">
        <v>0</v>
      </c>
      <c r="AV278" s="105" t="n">
        <v>0</v>
      </c>
      <c r="AW278" s="105" t="n">
        <v>0</v>
      </c>
      <c r="AX278" s="105" t="n">
        <v>0</v>
      </c>
      <c r="AY278" s="105" t="n">
        <v>0</v>
      </c>
      <c r="AZ278" s="105" t="n">
        <v>0</v>
      </c>
      <c r="BA278" s="105" t="n">
        <v>0</v>
      </c>
      <c r="BB278" s="105" t="n">
        <v>0</v>
      </c>
      <c r="BC278" s="105" t="n">
        <v>0</v>
      </c>
      <c r="BD278" s="105" t="n">
        <v>0</v>
      </c>
      <c r="BE278" s="105" t="n">
        <v>0</v>
      </c>
      <c r="BF278" s="105" t="n">
        <v>0</v>
      </c>
      <c r="BG278" s="105" t="n">
        <v>0</v>
      </c>
      <c r="BH278" s="105" t="n">
        <v>0</v>
      </c>
      <c r="BI278" s="105" t="n">
        <v>0</v>
      </c>
      <c r="BJ278" s="105" t="n">
        <v>0</v>
      </c>
      <c r="BK278" s="105" t="n">
        <v>0</v>
      </c>
      <c r="BL278" s="105" t="n">
        <v>0</v>
      </c>
      <c r="BM278" s="105" t="n">
        <v>0</v>
      </c>
      <c r="BN278" s="105" t="n">
        <v>0</v>
      </c>
      <c r="BO278" s="105" t="n">
        <v>0</v>
      </c>
      <c r="BP278" s="105" t="n">
        <v>0</v>
      </c>
      <c r="BQ278" s="105" t="n">
        <v>0</v>
      </c>
      <c r="BR278" s="106" t="n">
        <f aca="false">SUM(AP278:BQ278)/60</f>
        <v>0</v>
      </c>
      <c r="BS278" s="106" t="n">
        <f aca="false">SUM(AP278:BR278)/60</f>
        <v>0</v>
      </c>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row>
    <row r="279" customFormat="false" ht="14.9" hidden="true" customHeight="false" outlineLevel="0" collapsed="false">
      <c r="A279" s="74" t="n">
        <f aca="false">MONTH(B279)</f>
        <v>8</v>
      </c>
      <c r="B279" s="133" t="n">
        <v>44434</v>
      </c>
      <c r="C279" s="128" t="s">
        <v>51</v>
      </c>
      <c r="D279" s="77" t="str">
        <f aca="false">IFERROR(VLOOKUP(E:E,'Item Data Support Sheet'!A:O,7,0),"")</f>
        <v>NIPPLE MOLDED</v>
      </c>
      <c r="E279" s="80" t="s">
        <v>661</v>
      </c>
      <c r="F279" s="122" t="s">
        <v>137</v>
      </c>
      <c r="G279" s="134" t="s">
        <v>138</v>
      </c>
      <c r="H279" s="79" t="str">
        <f aca="false">IFERROR(VLOOKUP(E:E,'Item Data Support Sheet'!A:O,2,0),"")</f>
        <v>NIPPLE S TYPE L SIZE INJECTION</v>
      </c>
      <c r="I279" s="80" t="s">
        <v>677</v>
      </c>
      <c r="J279" s="80" t="s">
        <v>140</v>
      </c>
      <c r="K279" s="81" t="n">
        <v>8</v>
      </c>
      <c r="L279" s="124" t="n">
        <v>4815</v>
      </c>
      <c r="M279" s="83" t="n">
        <f aca="false">IFERROR(L279/K279,0)</f>
        <v>601.875</v>
      </c>
      <c r="N279" s="84" t="n">
        <f aca="false">+O279+Q279+T279+U279</f>
        <v>3358</v>
      </c>
      <c r="O279" s="85" t="n">
        <v>3000</v>
      </c>
      <c r="P279" s="86" t="n">
        <f aca="false">5+4+0.95</f>
        <v>9.95</v>
      </c>
      <c r="Q279" s="86" t="n">
        <v>280</v>
      </c>
      <c r="R279" s="132" t="n">
        <v>0</v>
      </c>
      <c r="S279" s="128" t="n">
        <v>0</v>
      </c>
      <c r="T279" s="132" t="n">
        <v>70</v>
      </c>
      <c r="U279" s="128" t="n">
        <v>8</v>
      </c>
      <c r="V279" s="128" t="n">
        <v>1</v>
      </c>
      <c r="W279" s="90" t="n">
        <f aca="false">IFERROR(O279/V279,0)</f>
        <v>3000</v>
      </c>
      <c r="X279" s="91" t="n">
        <f aca="false">O279/L279</f>
        <v>0.623052959501558</v>
      </c>
      <c r="Y279" s="92" t="str">
        <f aca="false">IFERROR(VLOOKUP(E:E,'Item Data Support Sheet'!A:J,6,0),0)</f>
        <v>Silicon</v>
      </c>
      <c r="Z279" s="93" t="n">
        <f aca="false">IFERROR(VLOOKUP(E:E,'Item Data Support Sheet'!A:O,4,0),0)</f>
        <v>6.8</v>
      </c>
      <c r="AA279" s="93" t="n">
        <f aca="false">IFERROR(((N279)*(Z279/1000))+P279,0)</f>
        <v>32.7844</v>
      </c>
      <c r="AB279" s="94" t="n">
        <f aca="false">IFERROR((O279*(Z279/1000)/(AA279))," ")</f>
        <v>0.622247166335208</v>
      </c>
      <c r="AC279" s="95" t="n">
        <f aca="false">IFERROR((T279)/((T279)+O279),0)</f>
        <v>0.0228013029315961</v>
      </c>
      <c r="AD279" s="96" t="n">
        <f aca="false">IFERROR(Q279/(Q279+N279),0)</f>
        <v>0.0769653655854865</v>
      </c>
      <c r="AE279" s="91" t="n">
        <f aca="false">(N279-T279)/N279</f>
        <v>0.979154258487195</v>
      </c>
      <c r="AF279" s="97" t="n">
        <f aca="false">BR279</f>
        <v>2.16666666666667</v>
      </c>
      <c r="AG279" s="98" t="n">
        <f aca="false">K279-AF279</f>
        <v>5.83333333333333</v>
      </c>
      <c r="AH279" s="99" t="n">
        <f aca="false">IFERROR(AG279/K279," ")</f>
        <v>0.729166666666667</v>
      </c>
      <c r="AI279" s="100" t="n">
        <f aca="false">IFERROR(O279/K279,0)</f>
        <v>375</v>
      </c>
      <c r="AJ279" s="101" t="n">
        <f aca="false">VLOOKUP(D279,'Standard Cycle time'!C:D,2,0)</f>
        <v>5.25</v>
      </c>
      <c r="AK279" s="101" t="n">
        <f aca="false">AG279*V279*3600/O279</f>
        <v>7</v>
      </c>
      <c r="AL279" s="102" t="n">
        <f aca="false">AJ279/AK279</f>
        <v>0.75</v>
      </c>
      <c r="AM279" s="99" t="n">
        <f aca="false">AE279*AL279*AH279</f>
        <v>0.535474985110185</v>
      </c>
      <c r="AN279" s="103" t="n">
        <v>2729</v>
      </c>
      <c r="AO279" s="130" t="s">
        <v>678</v>
      </c>
      <c r="AP279" s="105" t="n">
        <v>0</v>
      </c>
      <c r="AQ279" s="105" t="n">
        <v>0</v>
      </c>
      <c r="AR279" s="105" t="n">
        <v>0</v>
      </c>
      <c r="AS279" s="105" t="n">
        <v>0</v>
      </c>
      <c r="AT279" s="105" t="n">
        <v>0</v>
      </c>
      <c r="AU279" s="105" t="n">
        <v>60</v>
      </c>
      <c r="AV279" s="105" t="n">
        <v>20</v>
      </c>
      <c r="AW279" s="105" t="n">
        <v>0</v>
      </c>
      <c r="AX279" s="105" t="n">
        <v>50</v>
      </c>
      <c r="AY279" s="105" t="n">
        <v>0</v>
      </c>
      <c r="AZ279" s="105" t="n">
        <v>0</v>
      </c>
      <c r="BA279" s="105" t="n">
        <v>0</v>
      </c>
      <c r="BB279" s="105" t="n">
        <v>0</v>
      </c>
      <c r="BC279" s="105" t="n">
        <v>0</v>
      </c>
      <c r="BD279" s="105" t="n">
        <v>0</v>
      </c>
      <c r="BE279" s="105" t="n">
        <v>0</v>
      </c>
      <c r="BF279" s="105" t="n">
        <v>0</v>
      </c>
      <c r="BG279" s="105" t="n">
        <v>0</v>
      </c>
      <c r="BH279" s="105" t="n">
        <v>0</v>
      </c>
      <c r="BI279" s="105" t="n">
        <v>0</v>
      </c>
      <c r="BJ279" s="105" t="n">
        <v>0</v>
      </c>
      <c r="BK279" s="105" t="n">
        <v>0</v>
      </c>
      <c r="BL279" s="105" t="n">
        <v>0</v>
      </c>
      <c r="BM279" s="105" t="n">
        <v>0</v>
      </c>
      <c r="BN279" s="105" t="n">
        <v>0</v>
      </c>
      <c r="BO279" s="105" t="n">
        <v>0</v>
      </c>
      <c r="BP279" s="105" t="n">
        <v>0</v>
      </c>
      <c r="BQ279" s="105" t="n">
        <v>0</v>
      </c>
      <c r="BR279" s="106" t="n">
        <f aca="false">SUM(AP279:BQ279)/60</f>
        <v>2.16666666666667</v>
      </c>
      <c r="BS279" s="106" t="n">
        <f aca="false">SUM(AP279:BR279)/60</f>
        <v>2.20277777777778</v>
      </c>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row>
    <row r="280" customFormat="false" ht="14.9" hidden="true" customHeight="false" outlineLevel="0" collapsed="false">
      <c r="A280" s="74" t="n">
        <f aca="false">MONTH(B280)</f>
        <v>8</v>
      </c>
      <c r="B280" s="133" t="n">
        <v>44434</v>
      </c>
      <c r="C280" s="128" t="s">
        <v>51</v>
      </c>
      <c r="D280" s="77" t="str">
        <f aca="false">IFERROR(VLOOKUP(E:E,'Item Data Support Sheet'!A:O,7,0),"")</f>
        <v>HOOD MOLDED</v>
      </c>
      <c r="E280" s="80" t="s">
        <v>529</v>
      </c>
      <c r="F280" s="122"/>
      <c r="G280" s="77" t="s">
        <v>200</v>
      </c>
      <c r="H280" s="79" t="str">
        <f aca="false">IFERROR(VLOOKUP(E:E,'Item Data Support Sheet'!A:O,2,0),"")</f>
        <v>HOOD S TYPE MOLDED</v>
      </c>
      <c r="I280" s="80" t="s">
        <v>679</v>
      </c>
      <c r="J280" s="80" t="s">
        <v>140</v>
      </c>
      <c r="K280" s="81" t="n">
        <v>8</v>
      </c>
      <c r="L280" s="124" t="n">
        <v>4137</v>
      </c>
      <c r="M280" s="83" t="n">
        <f aca="false">IFERROR(L280/K280,0)</f>
        <v>517.125</v>
      </c>
      <c r="N280" s="84" t="n">
        <f aca="false">+O280+Q280+T280+U280</f>
        <v>5020</v>
      </c>
      <c r="O280" s="85" t="n">
        <v>5000</v>
      </c>
      <c r="P280" s="86" t="n">
        <v>0.2</v>
      </c>
      <c r="Q280" s="86" t="n">
        <v>0</v>
      </c>
      <c r="R280" s="132" t="n">
        <v>0</v>
      </c>
      <c r="S280" s="128" t="n">
        <v>0</v>
      </c>
      <c r="T280" s="132" t="n">
        <v>12</v>
      </c>
      <c r="U280" s="128" t="n">
        <v>8</v>
      </c>
      <c r="V280" s="128" t="n">
        <v>1</v>
      </c>
      <c r="W280" s="90" t="n">
        <f aca="false">IFERROR(O280/V280,0)</f>
        <v>5000</v>
      </c>
      <c r="X280" s="91" t="n">
        <f aca="false">O280/L280</f>
        <v>1.20860526951898</v>
      </c>
      <c r="Y280" s="92" t="str">
        <f aca="false">IFERROR(VLOOKUP(E:E,'Item Data Support Sheet'!A:J,6,0),0)</f>
        <v>HMC</v>
      </c>
      <c r="Z280" s="93" t="n">
        <f aca="false">IFERROR(VLOOKUP(E:E,'Item Data Support Sheet'!A:O,4,0),0)</f>
        <v>8.6</v>
      </c>
      <c r="AA280" s="93" t="n">
        <f aca="false">IFERROR(((N280)*(Z280/1000))+P280,0)</f>
        <v>43.372</v>
      </c>
      <c r="AB280" s="94" t="n">
        <f aca="false">IFERROR((O280*(Z280/1000)/(AA280))," ")</f>
        <v>0.991423037904639</v>
      </c>
      <c r="AC280" s="95" t="n">
        <f aca="false">IFERROR((T280)/((T280)+O280),0)</f>
        <v>0.00239425379090184</v>
      </c>
      <c r="AD280" s="96" t="n">
        <f aca="false">IFERROR(Q280/(Q280+N280),0)</f>
        <v>0</v>
      </c>
      <c r="AE280" s="91" t="n">
        <f aca="false">(N280-T280)/N280</f>
        <v>0.997609561752988</v>
      </c>
      <c r="AF280" s="97" t="n">
        <f aca="false">BR280</f>
        <v>0</v>
      </c>
      <c r="AG280" s="98" t="n">
        <f aca="false">K280-AF280</f>
        <v>8</v>
      </c>
      <c r="AH280" s="99" t="n">
        <f aca="false">IFERROR(AG280/K280," ")</f>
        <v>1</v>
      </c>
      <c r="AI280" s="100" t="n">
        <f aca="false">IFERROR(O280/K280,0)</f>
        <v>625</v>
      </c>
      <c r="AJ280" s="101" t="n">
        <f aca="false">VLOOKUP(D280,'Standard Cycle time'!C:D,2,0)</f>
        <v>6</v>
      </c>
      <c r="AK280" s="101" t="n">
        <f aca="false">AG280*V280*3600/O280</f>
        <v>5.76</v>
      </c>
      <c r="AL280" s="102" t="n">
        <f aca="false">AJ280/AK280</f>
        <v>1.04166666666667</v>
      </c>
      <c r="AM280" s="99" t="n">
        <f aca="false">AE280*AL280*AH280</f>
        <v>1.03917662682603</v>
      </c>
      <c r="AN280" s="103" t="n">
        <v>2721</v>
      </c>
      <c r="AO280" s="104"/>
      <c r="AP280" s="105" t="n">
        <v>0</v>
      </c>
      <c r="AQ280" s="105" t="n">
        <v>0</v>
      </c>
      <c r="AR280" s="105" t="n">
        <v>0</v>
      </c>
      <c r="AS280" s="105" t="n">
        <v>0</v>
      </c>
      <c r="AT280" s="105" t="n">
        <v>0</v>
      </c>
      <c r="AU280" s="105" t="n">
        <v>0</v>
      </c>
      <c r="AV280" s="105" t="n">
        <v>0</v>
      </c>
      <c r="AW280" s="105" t="n">
        <v>0</v>
      </c>
      <c r="AX280" s="105" t="n">
        <v>0</v>
      </c>
      <c r="AY280" s="105" t="n">
        <v>0</v>
      </c>
      <c r="AZ280" s="105" t="n">
        <v>0</v>
      </c>
      <c r="BA280" s="105" t="n">
        <v>0</v>
      </c>
      <c r="BB280" s="105" t="n">
        <v>0</v>
      </c>
      <c r="BC280" s="105" t="n">
        <v>0</v>
      </c>
      <c r="BD280" s="105" t="n">
        <v>0</v>
      </c>
      <c r="BE280" s="105" t="n">
        <v>0</v>
      </c>
      <c r="BF280" s="105" t="n">
        <v>0</v>
      </c>
      <c r="BG280" s="105" t="n">
        <v>0</v>
      </c>
      <c r="BH280" s="105" t="n">
        <v>0</v>
      </c>
      <c r="BI280" s="105" t="n">
        <v>0</v>
      </c>
      <c r="BJ280" s="105" t="n">
        <v>0</v>
      </c>
      <c r="BK280" s="105" t="n">
        <v>0</v>
      </c>
      <c r="BL280" s="105" t="n">
        <v>0</v>
      </c>
      <c r="BM280" s="105" t="n">
        <v>0</v>
      </c>
      <c r="BN280" s="105" t="n">
        <v>0</v>
      </c>
      <c r="BO280" s="105" t="n">
        <v>0</v>
      </c>
      <c r="BP280" s="105" t="n">
        <v>0</v>
      </c>
      <c r="BQ280" s="105" t="n">
        <v>0</v>
      </c>
      <c r="BR280" s="106" t="n">
        <f aca="false">SUM(AP280:BQ280)/60</f>
        <v>0</v>
      </c>
      <c r="BS280" s="106" t="n">
        <f aca="false">SUM(AP280:BR280)/60</f>
        <v>0</v>
      </c>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row>
    <row r="281" customFormat="false" ht="14.9" hidden="true" customHeight="false" outlineLevel="0" collapsed="false">
      <c r="A281" s="74" t="n">
        <f aca="false">MONTH(B281)</f>
        <v>8</v>
      </c>
      <c r="B281" s="133" t="n">
        <v>44434</v>
      </c>
      <c r="C281" s="128" t="s">
        <v>51</v>
      </c>
      <c r="D281" s="77" t="str">
        <f aca="false">IFERROR(VLOOKUP(E:E,'Item Data Support Sheet'!A:O,7,0),"")</f>
        <v>NIPPLE LASER MARKING</v>
      </c>
      <c r="E281" s="80" t="s">
        <v>600</v>
      </c>
      <c r="F281" s="122"/>
      <c r="G281" s="77" t="s">
        <v>517</v>
      </c>
      <c r="H281" s="79" t="str">
        <f aca="false">IFERROR(VLOOKUP(E:E,'Item Data Support Sheet'!A:O,2,0),"")</f>
        <v>NIPPLE S TYPE LL SIZE LASER MARKED</v>
      </c>
      <c r="I281" s="80" t="s">
        <v>680</v>
      </c>
      <c r="J281" s="80" t="s">
        <v>140</v>
      </c>
      <c r="K281" s="81" t="n">
        <v>4.5</v>
      </c>
      <c r="L281" s="124" t="n">
        <v>4000</v>
      </c>
      <c r="M281" s="83" t="n">
        <f aca="false">IFERROR(L281/K281,0)</f>
        <v>888.888888888889</v>
      </c>
      <c r="N281" s="84" t="n">
        <f aca="false">+O281+Q281+T281+U281</f>
        <v>4000</v>
      </c>
      <c r="O281" s="85" t="n">
        <v>4000</v>
      </c>
      <c r="P281" s="86" t="n">
        <v>0</v>
      </c>
      <c r="Q281" s="86" t="n">
        <v>0</v>
      </c>
      <c r="R281" s="132" t="n">
        <v>0</v>
      </c>
      <c r="S281" s="128" t="n">
        <v>0</v>
      </c>
      <c r="T281" s="132" t="n">
        <v>0</v>
      </c>
      <c r="U281" s="128" t="n">
        <v>0</v>
      </c>
      <c r="V281" s="128" t="n">
        <v>1</v>
      </c>
      <c r="W281" s="90" t="n">
        <f aca="false">IFERROR(O281/V281,0)</f>
        <v>4000</v>
      </c>
      <c r="X281" s="91" t="n">
        <f aca="false">O281/L281</f>
        <v>1</v>
      </c>
      <c r="Y281" s="92" t="str">
        <f aca="false">IFERROR(VLOOKUP(E:E,'Item Data Support Sheet'!A:J,6,0),0)</f>
        <v>FO151</v>
      </c>
      <c r="Z281" s="93" t="n">
        <f aca="false">IFERROR(VLOOKUP(E:E,'Item Data Support Sheet'!A:O,4,0),0)</f>
        <v>0</v>
      </c>
      <c r="AA281" s="93" t="n">
        <f aca="false">IFERROR(((N281)*(Z281/1000))+P281,0)</f>
        <v>0</v>
      </c>
      <c r="AB281" s="94" t="str">
        <f aca="false">IFERROR((O281*(Z281/1000)/(AA281))," ")</f>
        <v> </v>
      </c>
      <c r="AC281" s="95" t="n">
        <f aca="false">IFERROR((T281)/((T281)+O281),0)</f>
        <v>0</v>
      </c>
      <c r="AD281" s="96" t="n">
        <f aca="false">IFERROR(Q281/(Q281+N281),0)</f>
        <v>0</v>
      </c>
      <c r="AE281" s="91" t="n">
        <f aca="false">(N281-T281)/N281</f>
        <v>1</v>
      </c>
      <c r="AF281" s="97" t="n">
        <f aca="false">BR281</f>
        <v>0.5</v>
      </c>
      <c r="AG281" s="98" t="n">
        <f aca="false">K281-AF281</f>
        <v>4</v>
      </c>
      <c r="AH281" s="99" t="n">
        <f aca="false">IFERROR(AG281/K281," ")</f>
        <v>0.888888888888889</v>
      </c>
      <c r="AI281" s="100" t="n">
        <f aca="false">IFERROR(O281/K281,0)</f>
        <v>888.888888888889</v>
      </c>
      <c r="AJ281" s="101" t="n">
        <f aca="false">VLOOKUP(D281,'Standard Cycle time'!C:D,2,0)</f>
        <v>3.5</v>
      </c>
      <c r="AK281" s="101" t="n">
        <f aca="false">AG281*V281*3600/O281</f>
        <v>3.6</v>
      </c>
      <c r="AL281" s="102" t="n">
        <f aca="false">AJ281/AK281</f>
        <v>0.972222222222222</v>
      </c>
      <c r="AM281" s="99" t="n">
        <f aca="false">AE281*AL281*AH281</f>
        <v>0.864197530864197</v>
      </c>
      <c r="AN281" s="103" t="n">
        <v>2724</v>
      </c>
      <c r="AO281" s="109"/>
      <c r="AP281" s="105" t="n">
        <v>30</v>
      </c>
      <c r="AQ281" s="105" t="n">
        <v>0</v>
      </c>
      <c r="AR281" s="105" t="n">
        <v>0</v>
      </c>
      <c r="AS281" s="105" t="n">
        <v>0</v>
      </c>
      <c r="AT281" s="105" t="n">
        <v>0</v>
      </c>
      <c r="AU281" s="105" t="n">
        <v>0</v>
      </c>
      <c r="AV281" s="105" t="n">
        <v>0</v>
      </c>
      <c r="AW281" s="105" t="n">
        <v>0</v>
      </c>
      <c r="AX281" s="105" t="n">
        <v>0</v>
      </c>
      <c r="AY281" s="105" t="n">
        <v>0</v>
      </c>
      <c r="AZ281" s="105" t="n">
        <v>0</v>
      </c>
      <c r="BA281" s="105" t="n">
        <v>0</v>
      </c>
      <c r="BB281" s="105" t="n">
        <v>0</v>
      </c>
      <c r="BC281" s="105" t="n">
        <v>0</v>
      </c>
      <c r="BD281" s="105" t="n">
        <v>0</v>
      </c>
      <c r="BE281" s="105" t="n">
        <v>0</v>
      </c>
      <c r="BF281" s="105" t="n">
        <v>0</v>
      </c>
      <c r="BG281" s="105" t="n">
        <v>0</v>
      </c>
      <c r="BH281" s="105" t="n">
        <v>0</v>
      </c>
      <c r="BI281" s="105" t="n">
        <v>0</v>
      </c>
      <c r="BJ281" s="105" t="n">
        <v>0</v>
      </c>
      <c r="BK281" s="105" t="n">
        <v>0</v>
      </c>
      <c r="BL281" s="105" t="n">
        <v>0</v>
      </c>
      <c r="BM281" s="105" t="n">
        <v>0</v>
      </c>
      <c r="BN281" s="105" t="n">
        <v>0</v>
      </c>
      <c r="BO281" s="105" t="n">
        <v>0</v>
      </c>
      <c r="BP281" s="105" t="n">
        <v>0</v>
      </c>
      <c r="BQ281" s="105" t="n">
        <v>0</v>
      </c>
      <c r="BR281" s="106" t="n">
        <f aca="false">SUM(AP281:BQ281)/60</f>
        <v>0.5</v>
      </c>
      <c r="BS281" s="106" t="n">
        <f aca="false">SUM(AP281:BR281)/60</f>
        <v>0.508333333333333</v>
      </c>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row>
    <row r="282" customFormat="false" ht="14.9" hidden="true" customHeight="false" outlineLevel="0" collapsed="false">
      <c r="A282" s="74" t="n">
        <f aca="false">MONTH(B282)</f>
        <v>8</v>
      </c>
      <c r="B282" s="133" t="n">
        <v>44434</v>
      </c>
      <c r="C282" s="128" t="s">
        <v>51</v>
      </c>
      <c r="D282" s="77" t="str">
        <f aca="false">IFERROR(VLOOKUP(E:E,'Item Data Support Sheet'!A:O,7,0),"")</f>
        <v>NIPPLE LASER MARKING</v>
      </c>
      <c r="E282" s="80" t="s">
        <v>681</v>
      </c>
      <c r="F282" s="122"/>
      <c r="G282" s="77" t="s">
        <v>517</v>
      </c>
      <c r="H282" s="79" t="str">
        <f aca="false">IFERROR(VLOOKUP(E:E,'Item Data Support Sheet'!A:O,2,0),"")</f>
        <v>NIPPLE S TYPE L SIZE PUNCHED LASER MARKED</v>
      </c>
      <c r="I282" s="80" t="s">
        <v>682</v>
      </c>
      <c r="J282" s="80" t="s">
        <v>140</v>
      </c>
      <c r="K282" s="81" t="n">
        <v>3</v>
      </c>
      <c r="L282" s="124" t="n">
        <v>3000</v>
      </c>
      <c r="M282" s="83" t="n">
        <f aca="false">IFERROR(L282/K282,0)</f>
        <v>1000</v>
      </c>
      <c r="N282" s="84" t="n">
        <f aca="false">+O282+Q282+T282+U282</f>
        <v>3000</v>
      </c>
      <c r="O282" s="85" t="n">
        <v>2982</v>
      </c>
      <c r="P282" s="86" t="n">
        <v>0</v>
      </c>
      <c r="Q282" s="86" t="n">
        <v>0</v>
      </c>
      <c r="R282" s="132" t="n">
        <v>0</v>
      </c>
      <c r="S282" s="128" t="n">
        <v>0</v>
      </c>
      <c r="T282" s="132" t="n">
        <v>18</v>
      </c>
      <c r="U282" s="128" t="n">
        <v>0</v>
      </c>
      <c r="V282" s="128" t="n">
        <v>1</v>
      </c>
      <c r="W282" s="90" t="n">
        <f aca="false">IFERROR(O282/V282,0)</f>
        <v>2982</v>
      </c>
      <c r="X282" s="91" t="n">
        <f aca="false">O282/L282</f>
        <v>0.994</v>
      </c>
      <c r="Y282" s="92" t="str">
        <f aca="false">IFERROR(VLOOKUP(E:E,'Item Data Support Sheet'!A:J,6,0),0)</f>
        <v>FO021</v>
      </c>
      <c r="Z282" s="93" t="n">
        <f aca="false">IFERROR(VLOOKUP(E:E,'Item Data Support Sheet'!A:O,4,0),0)</f>
        <v>0</v>
      </c>
      <c r="AA282" s="93" t="n">
        <f aca="false">IFERROR(((N282)*(Z282/1000))+P282,0)</f>
        <v>0</v>
      </c>
      <c r="AB282" s="94" t="str">
        <f aca="false">IFERROR((O282*(Z282/1000)/(AA282))," ")</f>
        <v> </v>
      </c>
      <c r="AC282" s="95" t="n">
        <f aca="false">IFERROR((T282)/((T282)+O282),0)</f>
        <v>0.006</v>
      </c>
      <c r="AD282" s="96" t="n">
        <f aca="false">IFERROR(Q282/(Q282+N282),0)</f>
        <v>0</v>
      </c>
      <c r="AE282" s="91" t="n">
        <f aca="false">(N282-T282)/N282</f>
        <v>0.994</v>
      </c>
      <c r="AF282" s="97" t="n">
        <f aca="false">BR282</f>
        <v>0</v>
      </c>
      <c r="AG282" s="98" t="n">
        <f aca="false">K282-AF282</f>
        <v>3</v>
      </c>
      <c r="AH282" s="99" t="n">
        <f aca="false">IFERROR(AG282/K282," ")</f>
        <v>1</v>
      </c>
      <c r="AI282" s="100" t="n">
        <f aca="false">IFERROR(O282/K282,0)</f>
        <v>994</v>
      </c>
      <c r="AJ282" s="101" t="n">
        <f aca="false">VLOOKUP(D282,'Standard Cycle time'!C:D,2,0)</f>
        <v>3.5</v>
      </c>
      <c r="AK282" s="101" t="n">
        <f aca="false">AG282*V282*3600/O282</f>
        <v>3.62173038229376</v>
      </c>
      <c r="AL282" s="102" t="n">
        <f aca="false">AJ282/AK282</f>
        <v>0.966388888888889</v>
      </c>
      <c r="AM282" s="99" t="n">
        <f aca="false">AE282*AL282*AH282</f>
        <v>0.960590555555556</v>
      </c>
      <c r="AN282" s="103" t="n">
        <v>2727</v>
      </c>
      <c r="AO282" s="109"/>
      <c r="AP282" s="105" t="n">
        <v>0</v>
      </c>
      <c r="AQ282" s="105" t="n">
        <v>0</v>
      </c>
      <c r="AR282" s="105" t="n">
        <v>0</v>
      </c>
      <c r="AS282" s="105" t="n">
        <v>0</v>
      </c>
      <c r="AT282" s="105" t="n">
        <v>0</v>
      </c>
      <c r="AU282" s="105" t="n">
        <v>0</v>
      </c>
      <c r="AV282" s="105" t="n">
        <v>0</v>
      </c>
      <c r="AW282" s="105" t="n">
        <v>0</v>
      </c>
      <c r="AX282" s="105" t="n">
        <v>0</v>
      </c>
      <c r="AY282" s="105" t="n">
        <v>0</v>
      </c>
      <c r="AZ282" s="105" t="n">
        <v>0</v>
      </c>
      <c r="BA282" s="105" t="n">
        <v>0</v>
      </c>
      <c r="BB282" s="105" t="n">
        <v>0</v>
      </c>
      <c r="BC282" s="105" t="n">
        <v>0</v>
      </c>
      <c r="BD282" s="105" t="n">
        <v>0</v>
      </c>
      <c r="BE282" s="105" t="n">
        <v>0</v>
      </c>
      <c r="BF282" s="105" t="n">
        <v>0</v>
      </c>
      <c r="BG282" s="105" t="n">
        <v>0</v>
      </c>
      <c r="BH282" s="105" t="n">
        <v>0</v>
      </c>
      <c r="BI282" s="105" t="n">
        <v>0</v>
      </c>
      <c r="BJ282" s="105" t="n">
        <v>0</v>
      </c>
      <c r="BK282" s="105" t="n">
        <v>0</v>
      </c>
      <c r="BL282" s="105" t="n">
        <v>0</v>
      </c>
      <c r="BM282" s="105" t="n">
        <v>0</v>
      </c>
      <c r="BN282" s="105" t="n">
        <v>0</v>
      </c>
      <c r="BO282" s="105" t="n">
        <v>0</v>
      </c>
      <c r="BP282" s="105" t="n">
        <v>0</v>
      </c>
      <c r="BQ282" s="105" t="n">
        <v>0</v>
      </c>
      <c r="BR282" s="106" t="n">
        <f aca="false">SUM(AP282:BQ282)/60</f>
        <v>0</v>
      </c>
      <c r="BS282" s="106" t="n">
        <f aca="false">SUM(AP282:BR282)/60</f>
        <v>0</v>
      </c>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row>
    <row r="283" customFormat="false" ht="14.9" hidden="true" customHeight="false" outlineLevel="0" collapsed="false">
      <c r="A283" s="74" t="n">
        <f aca="false">MONTH(B283)</f>
        <v>8</v>
      </c>
      <c r="B283" s="133" t="n">
        <v>44434</v>
      </c>
      <c r="C283" s="128" t="s">
        <v>51</v>
      </c>
      <c r="D283" s="77" t="str">
        <f aca="false">IFERROR(VLOOKUP(E:E,'Item Data Support Sheet'!A:O,7,0),"")</f>
        <v>NIPPLE POSTCURE</v>
      </c>
      <c r="E283" s="80" t="s">
        <v>664</v>
      </c>
      <c r="F283" s="122"/>
      <c r="G283" s="77" t="s">
        <v>149</v>
      </c>
      <c r="H283" s="79" t="str">
        <f aca="false">IFERROR(VLOOKUP(E:E,'Item Data Support Sheet'!A:O,2,0),"")</f>
        <v>NIPPLE S TYPE L SIZE POSTCURED</v>
      </c>
      <c r="I283" s="80" t="s">
        <v>683</v>
      </c>
      <c r="J283" s="80" t="s">
        <v>140</v>
      </c>
      <c r="K283" s="81" t="n">
        <v>5</v>
      </c>
      <c r="L283" s="124" t="n">
        <v>7036</v>
      </c>
      <c r="M283" s="83" t="n">
        <f aca="false">IFERROR(L283/K283,0)</f>
        <v>1407.2</v>
      </c>
      <c r="N283" s="84" t="n">
        <f aca="false">+O283+Q283+T283+U283</f>
        <v>5588</v>
      </c>
      <c r="O283" s="85" t="n">
        <f aca="false">3700+1888</f>
        <v>5588</v>
      </c>
      <c r="P283" s="86" t="n">
        <v>0</v>
      </c>
      <c r="Q283" s="86" t="n">
        <v>0</v>
      </c>
      <c r="R283" s="132" t="n">
        <v>0</v>
      </c>
      <c r="S283" s="128" t="n">
        <v>0</v>
      </c>
      <c r="T283" s="132" t="n">
        <v>0</v>
      </c>
      <c r="U283" s="128" t="n">
        <v>0</v>
      </c>
      <c r="V283" s="128" t="n">
        <v>1</v>
      </c>
      <c r="W283" s="90" t="n">
        <f aca="false">IFERROR(O283/V283,0)</f>
        <v>5588</v>
      </c>
      <c r="X283" s="91" t="n">
        <f aca="false">O283/L283</f>
        <v>0.794201250710631</v>
      </c>
      <c r="Y283" s="92" t="str">
        <f aca="false">IFERROR(VLOOKUP(E:E,'Item Data Support Sheet'!A:J,6,0),0)</f>
        <v>FO013</v>
      </c>
      <c r="Z283" s="93" t="n">
        <f aca="false">IFERROR(VLOOKUP(E:E,'Item Data Support Sheet'!A:O,4,0),0)</f>
        <v>0</v>
      </c>
      <c r="AA283" s="93" t="n">
        <f aca="false">IFERROR(((N283)*(Z283/1000))+P283,0)</f>
        <v>0</v>
      </c>
      <c r="AB283" s="94" t="str">
        <f aca="false">IFERROR((O283*(Z283/1000)/(AA283))," ")</f>
        <v> </v>
      </c>
      <c r="AC283" s="95" t="n">
        <f aca="false">IFERROR((T283)/((T283)+O283),0)</f>
        <v>0</v>
      </c>
      <c r="AD283" s="96" t="n">
        <f aca="false">IFERROR(Q283/(Q283+N283),0)</f>
        <v>0</v>
      </c>
      <c r="AE283" s="91" t="n">
        <f aca="false">(N283-T283)/N283</f>
        <v>1</v>
      </c>
      <c r="AF283" s="97" t="n">
        <f aca="false">BR283</f>
        <v>0.666666666666667</v>
      </c>
      <c r="AG283" s="98" t="n">
        <f aca="false">K283-AF283</f>
        <v>4.33333333333333</v>
      </c>
      <c r="AH283" s="99" t="n">
        <f aca="false">IFERROR(AG283/K283," ")</f>
        <v>0.866666666666667</v>
      </c>
      <c r="AI283" s="100" t="n">
        <f aca="false">IFERROR(O283/K283,0)</f>
        <v>1117.6</v>
      </c>
      <c r="AJ283" s="101" t="n">
        <f aca="false">VLOOKUP(D283,'Standard Cycle time'!C:D,2,0)</f>
        <v>2.3</v>
      </c>
      <c r="AK283" s="101" t="n">
        <f aca="false">AG283*V283*3600/O283</f>
        <v>2.79169649248389</v>
      </c>
      <c r="AL283" s="102" t="n">
        <f aca="false">AJ283/AK283</f>
        <v>0.823871794871795</v>
      </c>
      <c r="AM283" s="99" t="n">
        <f aca="false">AE283*AL283*AH283</f>
        <v>0.714022222222222</v>
      </c>
      <c r="AN283" s="103" t="s">
        <v>684</v>
      </c>
      <c r="AO283" s="104"/>
      <c r="AP283" s="105" t="n">
        <v>40</v>
      </c>
      <c r="AQ283" s="105" t="n">
        <v>0</v>
      </c>
      <c r="AR283" s="105" t="n">
        <v>0</v>
      </c>
      <c r="AS283" s="105" t="n">
        <v>0</v>
      </c>
      <c r="AT283" s="105" t="n">
        <v>0</v>
      </c>
      <c r="AU283" s="105" t="n">
        <v>0</v>
      </c>
      <c r="AV283" s="105" t="n">
        <v>0</v>
      </c>
      <c r="AW283" s="105" t="n">
        <v>0</v>
      </c>
      <c r="AX283" s="105" t="n">
        <v>0</v>
      </c>
      <c r="AY283" s="105" t="n">
        <v>0</v>
      </c>
      <c r="AZ283" s="105" t="n">
        <v>0</v>
      </c>
      <c r="BA283" s="105" t="n">
        <v>0</v>
      </c>
      <c r="BB283" s="105" t="n">
        <v>0</v>
      </c>
      <c r="BC283" s="105" t="n">
        <v>0</v>
      </c>
      <c r="BD283" s="105" t="n">
        <v>0</v>
      </c>
      <c r="BE283" s="105" t="n">
        <v>0</v>
      </c>
      <c r="BF283" s="105" t="n">
        <v>0</v>
      </c>
      <c r="BG283" s="105" t="n">
        <v>0</v>
      </c>
      <c r="BH283" s="105" t="n">
        <v>0</v>
      </c>
      <c r="BI283" s="105" t="n">
        <v>0</v>
      </c>
      <c r="BJ283" s="105" t="n">
        <v>0</v>
      </c>
      <c r="BK283" s="105" t="n">
        <v>0</v>
      </c>
      <c r="BL283" s="105" t="n">
        <v>0</v>
      </c>
      <c r="BM283" s="105" t="n">
        <v>0</v>
      </c>
      <c r="BN283" s="105" t="n">
        <v>0</v>
      </c>
      <c r="BO283" s="105" t="n">
        <v>0</v>
      </c>
      <c r="BP283" s="105" t="n">
        <v>0</v>
      </c>
      <c r="BQ283" s="105" t="n">
        <v>0</v>
      </c>
      <c r="BR283" s="106" t="n">
        <f aca="false">SUM(AP283:BQ283)/60</f>
        <v>0.666666666666667</v>
      </c>
      <c r="BS283" s="106" t="n">
        <f aca="false">SUM(AP283:BR283)/60</f>
        <v>0.677777777777778</v>
      </c>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row>
    <row r="284" customFormat="false" ht="14.9" hidden="true" customHeight="false" outlineLevel="0" collapsed="false">
      <c r="A284" s="74" t="n">
        <f aca="false">MONTH(B284)</f>
        <v>8</v>
      </c>
      <c r="B284" s="133" t="n">
        <v>44434</v>
      </c>
      <c r="C284" s="128" t="s">
        <v>51</v>
      </c>
      <c r="D284" s="77" t="str">
        <f aca="false">IFERROR(VLOOKUP(E:E,'Item Data Support Sheet'!A:O,7,0),"")</f>
        <v>NIPPLE PUNCH</v>
      </c>
      <c r="E284" s="80" t="s">
        <v>666</v>
      </c>
      <c r="F284" s="122"/>
      <c r="G284" s="77" t="s">
        <v>54</v>
      </c>
      <c r="H284" s="79" t="str">
        <f aca="false">IFERROR(VLOOKUP(E:E,'Item Data Support Sheet'!A:O,2,0),"")</f>
        <v>NIPPLE S TYPE L SIZE PUNCHED</v>
      </c>
      <c r="I284" s="80" t="s">
        <v>685</v>
      </c>
      <c r="J284" s="80" t="s">
        <v>140</v>
      </c>
      <c r="K284" s="81" t="n">
        <v>8</v>
      </c>
      <c r="L284" s="124" t="n">
        <v>7000</v>
      </c>
      <c r="M284" s="83" t="n">
        <f aca="false">IFERROR(L284/K284,0)</f>
        <v>875</v>
      </c>
      <c r="N284" s="84" t="n">
        <f aca="false">+O284+Q284+T284+U284</f>
        <v>6000</v>
      </c>
      <c r="O284" s="85" t="n">
        <v>6000</v>
      </c>
      <c r="P284" s="86" t="n">
        <v>0</v>
      </c>
      <c r="Q284" s="86" t="n">
        <v>0</v>
      </c>
      <c r="R284" s="132" t="n">
        <v>0</v>
      </c>
      <c r="S284" s="128" t="n">
        <v>0</v>
      </c>
      <c r="T284" s="132" t="n">
        <v>0</v>
      </c>
      <c r="U284" s="128" t="n">
        <v>0</v>
      </c>
      <c r="V284" s="128" t="n">
        <v>1</v>
      </c>
      <c r="W284" s="90" t="n">
        <f aca="false">IFERROR(O284/V284,0)</f>
        <v>6000</v>
      </c>
      <c r="X284" s="91" t="n">
        <f aca="false">O284/L284</f>
        <v>0.857142857142857</v>
      </c>
      <c r="Y284" s="92" t="str">
        <f aca="false">IFERROR(VLOOKUP(E:E,'Item Data Support Sheet'!A:J,6,0),0)</f>
        <v>FO017</v>
      </c>
      <c r="Z284" s="93" t="n">
        <f aca="false">IFERROR(VLOOKUP(E:E,'Item Data Support Sheet'!A:O,4,0),0)</f>
        <v>0</v>
      </c>
      <c r="AA284" s="93" t="n">
        <f aca="false">IFERROR(((N284)*(Z284/1000))+P284,0)</f>
        <v>0</v>
      </c>
      <c r="AB284" s="94" t="str">
        <f aca="false">IFERROR((O284*(Z284/1000)/(AA284))," ")</f>
        <v> </v>
      </c>
      <c r="AC284" s="95" t="n">
        <f aca="false">IFERROR((T284)/((T284)+O284),0)</f>
        <v>0</v>
      </c>
      <c r="AD284" s="96" t="n">
        <f aca="false">IFERROR(Q284/(Q284+N284),0)</f>
        <v>0</v>
      </c>
      <c r="AE284" s="91" t="n">
        <f aca="false">(N284-T284)/N284</f>
        <v>1</v>
      </c>
      <c r="AF284" s="97" t="n">
        <f aca="false">BR284</f>
        <v>0.666666666666667</v>
      </c>
      <c r="AG284" s="98" t="n">
        <f aca="false">K284-AF284</f>
        <v>7.33333333333333</v>
      </c>
      <c r="AH284" s="99" t="n">
        <f aca="false">IFERROR(AG284/K284," ")</f>
        <v>0.916666666666667</v>
      </c>
      <c r="AI284" s="100" t="n">
        <f aca="false">IFERROR(O284/K284,0)</f>
        <v>750</v>
      </c>
      <c r="AJ284" s="101" t="n">
        <f aca="false">VLOOKUP(D284,'Standard Cycle time'!C:D,2,0)</f>
        <v>3.5</v>
      </c>
      <c r="AK284" s="101" t="n">
        <f aca="false">AG284*V284*3600/O284</f>
        <v>4.4</v>
      </c>
      <c r="AL284" s="102" t="n">
        <f aca="false">AJ284/AK284</f>
        <v>0.795454545454545</v>
      </c>
      <c r="AM284" s="99" t="n">
        <f aca="false">AE284*AL284*AH284</f>
        <v>0.729166666666667</v>
      </c>
      <c r="AN284" s="103" t="s">
        <v>686</v>
      </c>
      <c r="AO284" s="109"/>
      <c r="AP284" s="105" t="n">
        <v>40</v>
      </c>
      <c r="AQ284" s="105" t="n">
        <v>0</v>
      </c>
      <c r="AR284" s="105" t="n">
        <v>0</v>
      </c>
      <c r="AS284" s="105" t="n">
        <v>0</v>
      </c>
      <c r="AT284" s="105" t="n">
        <v>0</v>
      </c>
      <c r="AU284" s="105" t="n">
        <v>0</v>
      </c>
      <c r="AV284" s="105" t="n">
        <v>0</v>
      </c>
      <c r="AW284" s="105" t="n">
        <v>0</v>
      </c>
      <c r="AX284" s="105" t="n">
        <v>0</v>
      </c>
      <c r="AY284" s="105" t="n">
        <v>0</v>
      </c>
      <c r="AZ284" s="105" t="n">
        <v>0</v>
      </c>
      <c r="BA284" s="105" t="n">
        <v>0</v>
      </c>
      <c r="BB284" s="105" t="n">
        <v>0</v>
      </c>
      <c r="BC284" s="105" t="n">
        <v>0</v>
      </c>
      <c r="BD284" s="105" t="n">
        <v>0</v>
      </c>
      <c r="BE284" s="105" t="n">
        <v>0</v>
      </c>
      <c r="BF284" s="105" t="n">
        <v>0</v>
      </c>
      <c r="BG284" s="105" t="n">
        <v>0</v>
      </c>
      <c r="BH284" s="105" t="n">
        <v>0</v>
      </c>
      <c r="BI284" s="105" t="n">
        <v>0</v>
      </c>
      <c r="BJ284" s="105" t="n">
        <v>0</v>
      </c>
      <c r="BK284" s="105" t="n">
        <v>0</v>
      </c>
      <c r="BL284" s="105" t="n">
        <v>0</v>
      </c>
      <c r="BM284" s="105" t="n">
        <v>0</v>
      </c>
      <c r="BN284" s="105" t="n">
        <v>0</v>
      </c>
      <c r="BO284" s="105" t="n">
        <v>0</v>
      </c>
      <c r="BP284" s="105" t="n">
        <v>0</v>
      </c>
      <c r="BQ284" s="105" t="n">
        <v>0</v>
      </c>
      <c r="BR284" s="106" t="n">
        <f aca="false">SUM(AP284:BQ284)/60</f>
        <v>0.666666666666667</v>
      </c>
      <c r="BS284" s="106" t="n">
        <f aca="false">SUM(AP284:BR284)/60</f>
        <v>0.677777777777778</v>
      </c>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row>
    <row r="285" customFormat="false" ht="14.9" hidden="true" customHeight="false" outlineLevel="0" collapsed="false">
      <c r="A285" s="74" t="n">
        <f aca="false">MONTH(B285)</f>
        <v>8</v>
      </c>
      <c r="B285" s="133" t="n">
        <v>44434</v>
      </c>
      <c r="C285" s="128" t="s">
        <v>63</v>
      </c>
      <c r="D285" s="77" t="str">
        <f aca="false">IFERROR(VLOOKUP(E:E,'Item Data Support Sheet'!A:O,7,0),"")</f>
        <v>NIPPLE PUNCH INSPECTED</v>
      </c>
      <c r="E285" s="80" t="s">
        <v>621</v>
      </c>
      <c r="F285" s="122"/>
      <c r="G285" s="77"/>
      <c r="H285" s="79" t="str">
        <f aca="false">IFERROR(VLOOKUP(E:E,'Item Data Support Sheet'!A:O,2,0),"")</f>
        <v>NIPPLE S TYPE LL SIZE INSPECTED</v>
      </c>
      <c r="I285" s="80" t="s">
        <v>657</v>
      </c>
      <c r="J285" s="80" t="s">
        <v>158</v>
      </c>
      <c r="K285" s="81" t="n">
        <v>5.5</v>
      </c>
      <c r="L285" s="124" t="n">
        <f aca="false">14072-L286</f>
        <v>10072</v>
      </c>
      <c r="M285" s="83" t="n">
        <f aca="false">IFERROR(L285/K285,0)</f>
        <v>1831.27272727273</v>
      </c>
      <c r="N285" s="84" t="n">
        <f aca="false">+O285+Q285+T285+U285</f>
        <v>8058</v>
      </c>
      <c r="O285" s="85" t="n">
        <v>7978</v>
      </c>
      <c r="P285" s="86" t="n">
        <v>0</v>
      </c>
      <c r="Q285" s="86" t="n">
        <v>0</v>
      </c>
      <c r="R285" s="132" t="n">
        <v>0</v>
      </c>
      <c r="S285" s="128" t="n">
        <v>0</v>
      </c>
      <c r="T285" s="132" t="n">
        <v>80</v>
      </c>
      <c r="U285" s="128" t="n">
        <v>0</v>
      </c>
      <c r="V285" s="128" t="n">
        <v>2</v>
      </c>
      <c r="W285" s="90" t="n">
        <f aca="false">IFERROR(O285/V285,0)</f>
        <v>3989</v>
      </c>
      <c r="X285" s="91" t="n">
        <f aca="false">O285/L285</f>
        <v>0.792096902303415</v>
      </c>
      <c r="Y285" s="92" t="str">
        <f aca="false">IFERROR(VLOOKUP(E:E,'Item Data Support Sheet'!A:J,6,0),0)</f>
        <v>FO152</v>
      </c>
      <c r="Z285" s="93" t="n">
        <f aca="false">IFERROR(VLOOKUP(E:E,'Item Data Support Sheet'!A:O,4,0),0)</f>
        <v>0</v>
      </c>
      <c r="AA285" s="93" t="n">
        <f aca="false">IFERROR(((N285)*(Z285/1000))+P285,0)</f>
        <v>0</v>
      </c>
      <c r="AB285" s="94" t="str">
        <f aca="false">IFERROR((O285*(Z285/1000)/(AA285))," ")</f>
        <v> </v>
      </c>
      <c r="AC285" s="95" t="n">
        <f aca="false">IFERROR((T285)/((T285)+O285),0)</f>
        <v>0.00992802184164805</v>
      </c>
      <c r="AD285" s="96" t="n">
        <f aca="false">IFERROR(Q285/(Q285+N285),0)</f>
        <v>0</v>
      </c>
      <c r="AE285" s="91" t="n">
        <f aca="false">(N285-T285)/N285</f>
        <v>0.990071978158352</v>
      </c>
      <c r="AF285" s="97" t="n">
        <f aca="false">BR285</f>
        <v>0.5</v>
      </c>
      <c r="AG285" s="98" t="n">
        <f aca="false">K285-AF285</f>
        <v>5</v>
      </c>
      <c r="AH285" s="99" t="n">
        <f aca="false">IFERROR(AG285/K285," ")</f>
        <v>0.909090909090909</v>
      </c>
      <c r="AI285" s="100" t="n">
        <f aca="false">IFERROR(O285/K285,0)</f>
        <v>1450.54545454545</v>
      </c>
      <c r="AJ285" s="101" t="n">
        <f aca="false">VLOOKUP(D285,'Standard Cycle time'!C:D,2,0)</f>
        <v>4</v>
      </c>
      <c r="AK285" s="101" t="n">
        <f aca="false">AG285*V285*3600/O285</f>
        <v>4.51240912509401</v>
      </c>
      <c r="AL285" s="102" t="n">
        <f aca="false">AJ285/AK285</f>
        <v>0.886444444444444</v>
      </c>
      <c r="AM285" s="99" t="n">
        <f aca="false">AE285*AL285*AH285</f>
        <v>0.797858004216902</v>
      </c>
      <c r="AN285" s="103" t="s">
        <v>687</v>
      </c>
      <c r="AO285" s="109"/>
      <c r="AP285" s="105" t="n">
        <v>30</v>
      </c>
      <c r="AQ285" s="105" t="n">
        <v>0</v>
      </c>
      <c r="AR285" s="105" t="n">
        <v>0</v>
      </c>
      <c r="AS285" s="105" t="n">
        <v>0</v>
      </c>
      <c r="AT285" s="105" t="n">
        <v>0</v>
      </c>
      <c r="AU285" s="105" t="n">
        <v>0</v>
      </c>
      <c r="AV285" s="105" t="n">
        <v>0</v>
      </c>
      <c r="AW285" s="105" t="n">
        <v>0</v>
      </c>
      <c r="AX285" s="105" t="n">
        <v>0</v>
      </c>
      <c r="AY285" s="105" t="n">
        <v>0</v>
      </c>
      <c r="AZ285" s="105" t="n">
        <v>0</v>
      </c>
      <c r="BA285" s="105" t="n">
        <v>0</v>
      </c>
      <c r="BB285" s="105" t="n">
        <v>0</v>
      </c>
      <c r="BC285" s="105" t="n">
        <v>0</v>
      </c>
      <c r="BD285" s="105" t="n">
        <v>0</v>
      </c>
      <c r="BE285" s="105" t="n">
        <v>0</v>
      </c>
      <c r="BF285" s="105" t="n">
        <v>0</v>
      </c>
      <c r="BG285" s="105" t="n">
        <v>0</v>
      </c>
      <c r="BH285" s="105" t="n">
        <v>0</v>
      </c>
      <c r="BI285" s="105" t="n">
        <v>0</v>
      </c>
      <c r="BJ285" s="105" t="n">
        <v>0</v>
      </c>
      <c r="BK285" s="105" t="n">
        <v>0</v>
      </c>
      <c r="BL285" s="105" t="n">
        <v>0</v>
      </c>
      <c r="BM285" s="105" t="n">
        <v>0</v>
      </c>
      <c r="BN285" s="105" t="n">
        <v>0</v>
      </c>
      <c r="BO285" s="105" t="n">
        <v>0</v>
      </c>
      <c r="BP285" s="105" t="n">
        <v>0</v>
      </c>
      <c r="BQ285" s="105" t="n">
        <v>0</v>
      </c>
      <c r="BR285" s="106" t="n">
        <f aca="false">SUM(AP285:BQ285)/60</f>
        <v>0.5</v>
      </c>
      <c r="BS285" s="106" t="n">
        <f aca="false">SUM(AP285:BR285)/60</f>
        <v>0.508333333333333</v>
      </c>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row>
    <row r="286" customFormat="false" ht="14.9" hidden="true" customHeight="false" outlineLevel="0" collapsed="false">
      <c r="A286" s="74" t="n">
        <f aca="false">MONTH(B286)</f>
        <v>8</v>
      </c>
      <c r="B286" s="133" t="n">
        <v>44434</v>
      </c>
      <c r="C286" s="128" t="s">
        <v>63</v>
      </c>
      <c r="D286" s="77" t="str">
        <f aca="false">IFERROR(VLOOKUP(E:E,'Item Data Support Sheet'!A:O,7,0),"")</f>
        <v>NIPPLE PUNCH INSPECTED</v>
      </c>
      <c r="E286" s="80" t="s">
        <v>688</v>
      </c>
      <c r="F286" s="122"/>
      <c r="G286" s="77"/>
      <c r="H286" s="79" t="str">
        <f aca="false">IFERROR(VLOOKUP(E:E,'Item Data Support Sheet'!A:O,2,0),"")</f>
        <v>NIPPLE S TYPE L SIZE PUNCHED INSPECTED</v>
      </c>
      <c r="I286" s="80" t="s">
        <v>682</v>
      </c>
      <c r="J286" s="80" t="s">
        <v>158</v>
      </c>
      <c r="K286" s="81" t="n">
        <v>3</v>
      </c>
      <c r="L286" s="124" t="n">
        <v>4000</v>
      </c>
      <c r="M286" s="83" t="n">
        <f aca="false">IFERROR(L286/K286,0)</f>
        <v>1333.33333333333</v>
      </c>
      <c r="N286" s="84" t="n">
        <f aca="false">+O286+Q286+T286+U286</f>
        <v>3982</v>
      </c>
      <c r="O286" s="85" t="n">
        <v>3942</v>
      </c>
      <c r="P286" s="86" t="n">
        <v>0</v>
      </c>
      <c r="Q286" s="86" t="n">
        <v>0</v>
      </c>
      <c r="R286" s="132" t="n">
        <v>0</v>
      </c>
      <c r="S286" s="128" t="n">
        <v>0</v>
      </c>
      <c r="T286" s="132" t="n">
        <v>40</v>
      </c>
      <c r="U286" s="128" t="n">
        <v>0</v>
      </c>
      <c r="V286" s="128" t="n">
        <v>2</v>
      </c>
      <c r="W286" s="90" t="n">
        <f aca="false">IFERROR(O286/V286,0)</f>
        <v>1971</v>
      </c>
      <c r="X286" s="91" t="n">
        <f aca="false">O286/L286</f>
        <v>0.9855</v>
      </c>
      <c r="Y286" s="92" t="str">
        <f aca="false">IFERROR(VLOOKUP(E:E,'Item Data Support Sheet'!A:J,6,0),0)</f>
        <v>FO106</v>
      </c>
      <c r="Z286" s="93" t="n">
        <f aca="false">IFERROR(VLOOKUP(E:E,'Item Data Support Sheet'!A:O,4,0),0)</f>
        <v>0</v>
      </c>
      <c r="AA286" s="93" t="n">
        <f aca="false">IFERROR(((N286)*(Z286/1000))+P286,0)</f>
        <v>0</v>
      </c>
      <c r="AB286" s="94" t="str">
        <f aca="false">IFERROR((O286*(Z286/1000)/(AA286))," ")</f>
        <v> </v>
      </c>
      <c r="AC286" s="95" t="n">
        <f aca="false">IFERROR((T286)/((T286)+O286),0)</f>
        <v>0.0100452034153692</v>
      </c>
      <c r="AD286" s="96" t="n">
        <f aca="false">IFERROR(Q286/(Q286+N286),0)</f>
        <v>0</v>
      </c>
      <c r="AE286" s="91" t="n">
        <f aca="false">(N286-T286)/N286</f>
        <v>0.989954796584631</v>
      </c>
      <c r="AF286" s="97" t="n">
        <f aca="false">BR286</f>
        <v>0.333333333333333</v>
      </c>
      <c r="AG286" s="98" t="n">
        <f aca="false">K286-AF286</f>
        <v>2.66666666666667</v>
      </c>
      <c r="AH286" s="99" t="n">
        <f aca="false">IFERROR(AG286/K286," ")</f>
        <v>0.888888888888889</v>
      </c>
      <c r="AI286" s="100" t="n">
        <f aca="false">IFERROR(O286/K286,0)</f>
        <v>1314</v>
      </c>
      <c r="AJ286" s="101" t="n">
        <f aca="false">VLOOKUP(D286,'Standard Cycle time'!C:D,2,0)</f>
        <v>4</v>
      </c>
      <c r="AK286" s="101" t="n">
        <f aca="false">AG286*V286*3600/O286</f>
        <v>4.87062404870624</v>
      </c>
      <c r="AL286" s="102" t="n">
        <f aca="false">AJ286/AK286</f>
        <v>0.82125</v>
      </c>
      <c r="AM286" s="99" t="n">
        <f aca="false">AE286*AL286*AH286</f>
        <v>0.722667001506781</v>
      </c>
      <c r="AN286" s="103" t="n">
        <v>2765</v>
      </c>
      <c r="AO286" s="109"/>
      <c r="AP286" s="105" t="n">
        <v>20</v>
      </c>
      <c r="AQ286" s="105" t="n">
        <v>0</v>
      </c>
      <c r="AR286" s="105" t="n">
        <v>0</v>
      </c>
      <c r="AS286" s="105" t="n">
        <v>0</v>
      </c>
      <c r="AT286" s="105" t="n">
        <v>0</v>
      </c>
      <c r="AU286" s="105" t="n">
        <v>0</v>
      </c>
      <c r="AV286" s="105" t="n">
        <v>0</v>
      </c>
      <c r="AW286" s="105" t="n">
        <v>0</v>
      </c>
      <c r="AX286" s="105" t="n">
        <v>0</v>
      </c>
      <c r="AY286" s="105" t="n">
        <v>0</v>
      </c>
      <c r="AZ286" s="105" t="n">
        <v>0</v>
      </c>
      <c r="BA286" s="105" t="n">
        <v>0</v>
      </c>
      <c r="BB286" s="105" t="n">
        <v>0</v>
      </c>
      <c r="BC286" s="105" t="n">
        <v>0</v>
      </c>
      <c r="BD286" s="105" t="n">
        <v>0</v>
      </c>
      <c r="BE286" s="105" t="n">
        <v>0</v>
      </c>
      <c r="BF286" s="105" t="n">
        <v>0</v>
      </c>
      <c r="BG286" s="105" t="n">
        <v>0</v>
      </c>
      <c r="BH286" s="105" t="n">
        <v>0</v>
      </c>
      <c r="BI286" s="105" t="n">
        <v>0</v>
      </c>
      <c r="BJ286" s="105" t="n">
        <v>0</v>
      </c>
      <c r="BK286" s="105" t="n">
        <v>0</v>
      </c>
      <c r="BL286" s="105" t="n">
        <v>0</v>
      </c>
      <c r="BM286" s="105" t="n">
        <v>0</v>
      </c>
      <c r="BN286" s="105" t="n">
        <v>0</v>
      </c>
      <c r="BO286" s="105" t="n">
        <v>0</v>
      </c>
      <c r="BP286" s="105" t="n">
        <v>0</v>
      </c>
      <c r="BQ286" s="105" t="n">
        <v>0</v>
      </c>
      <c r="BR286" s="106" t="n">
        <f aca="false">SUM(AP286:BQ286)/60</f>
        <v>0.333333333333333</v>
      </c>
      <c r="BS286" s="106" t="n">
        <f aca="false">SUM(AP286:BR286)/60</f>
        <v>0.338888888888889</v>
      </c>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row>
    <row r="287" customFormat="false" ht="14.9" hidden="true" customHeight="false" outlineLevel="0" collapsed="false">
      <c r="A287" s="74" t="n">
        <f aca="false">MONTH(B287)</f>
        <v>8</v>
      </c>
      <c r="B287" s="133" t="n">
        <v>44434</v>
      </c>
      <c r="C287" s="128" t="s">
        <v>63</v>
      </c>
      <c r="D287" s="77" t="str">
        <f aca="false">IFERROR(VLOOKUP(E:E,'Item Data Support Sheet'!A:O,7,0),"")</f>
        <v>NIPPLE WRAP PRINTED</v>
      </c>
      <c r="E287" s="80" t="s">
        <v>431</v>
      </c>
      <c r="F287" s="122"/>
      <c r="G287" s="77" t="s">
        <v>432</v>
      </c>
      <c r="H287" s="79" t="str">
        <f aca="false">IFERROR(VLOOKUP(E:E,'Item Data Support Sheet'!A:O,2,0),"")</f>
        <v>NIPPLE S TYPE M SIZE WITH PRINTED WRAP</v>
      </c>
      <c r="I287" s="80" t="s">
        <v>689</v>
      </c>
      <c r="J287" s="80" t="s">
        <v>158</v>
      </c>
      <c r="K287" s="81" t="n">
        <v>8.5</v>
      </c>
      <c r="L287" s="124" t="n">
        <v>16132</v>
      </c>
      <c r="M287" s="83" t="n">
        <f aca="false">IFERROR(L287/K287,0)</f>
        <v>1897.88235294118</v>
      </c>
      <c r="N287" s="84" t="n">
        <f aca="false">+O287+Q287+T287+U287</f>
        <v>17945</v>
      </c>
      <c r="O287" s="85" t="n">
        <v>17935</v>
      </c>
      <c r="P287" s="86" t="n">
        <v>0</v>
      </c>
      <c r="Q287" s="86" t="n">
        <v>0</v>
      </c>
      <c r="R287" s="132" t="n">
        <v>0</v>
      </c>
      <c r="S287" s="128" t="n">
        <v>0</v>
      </c>
      <c r="T287" s="132" t="n">
        <v>10</v>
      </c>
      <c r="U287" s="128" t="n">
        <v>0</v>
      </c>
      <c r="V287" s="128" t="n">
        <v>2</v>
      </c>
      <c r="W287" s="90" t="n">
        <f aca="false">IFERROR(O287/V287,0)</f>
        <v>8967.5</v>
      </c>
      <c r="X287" s="91" t="n">
        <f aca="false">O287/L287</f>
        <v>1.11176543515993</v>
      </c>
      <c r="Y287" s="92" t="str">
        <f aca="false">IFERROR(VLOOKUP(E:E,'Item Data Support Sheet'!A:J,6,0),0)</f>
        <v>FO020</v>
      </c>
      <c r="Z287" s="93" t="n">
        <f aca="false">IFERROR(VLOOKUP(E:E,'Item Data Support Sheet'!A:O,4,0),0)</f>
        <v>0</v>
      </c>
      <c r="AA287" s="93" t="n">
        <f aca="false">IFERROR(((N287)*(Z287/1000))+P287,0)</f>
        <v>0</v>
      </c>
      <c r="AB287" s="94" t="str">
        <f aca="false">IFERROR((O287*(Z287/1000)/(AA287))," ")</f>
        <v> </v>
      </c>
      <c r="AC287" s="95" t="n">
        <f aca="false">IFERROR((T287)/((T287)+O287),0)</f>
        <v>0.000557258289217052</v>
      </c>
      <c r="AD287" s="96" t="n">
        <f aca="false">IFERROR(Q287/(Q287+N287),0)</f>
        <v>0</v>
      </c>
      <c r="AE287" s="91" t="n">
        <f aca="false">(N287-T287)/N287</f>
        <v>0.999442741710783</v>
      </c>
      <c r="AF287" s="97" t="n">
        <f aca="false">BR287</f>
        <v>0.833333333333333</v>
      </c>
      <c r="AG287" s="98" t="n">
        <f aca="false">K287-AF287</f>
        <v>7.66666666666667</v>
      </c>
      <c r="AH287" s="99" t="n">
        <f aca="false">IFERROR(AG287/K287," ")</f>
        <v>0.901960784313726</v>
      </c>
      <c r="AI287" s="100" t="n">
        <f aca="false">IFERROR(O287/K287,0)</f>
        <v>2110</v>
      </c>
      <c r="AJ287" s="101" t="n">
        <f aca="false">VLOOKUP(D287,'Standard Cycle time'!C:D,2,0)</f>
        <v>2.5</v>
      </c>
      <c r="AK287" s="101" t="n">
        <f aca="false">AG287*V287*3600/O287</f>
        <v>3.07778087538333</v>
      </c>
      <c r="AL287" s="102" t="n">
        <f aca="false">AJ287/AK287</f>
        <v>0.812273550724638</v>
      </c>
      <c r="AM287" s="99" t="n">
        <f aca="false">AE287*AL287*AH287</f>
        <v>0.732230619795053</v>
      </c>
      <c r="AN287" s="103" t="s">
        <v>690</v>
      </c>
      <c r="AO287" s="104"/>
      <c r="AP287" s="105" t="n">
        <v>50</v>
      </c>
      <c r="AQ287" s="105" t="n">
        <v>0</v>
      </c>
      <c r="AR287" s="105" t="n">
        <v>0</v>
      </c>
      <c r="AS287" s="105" t="n">
        <v>0</v>
      </c>
      <c r="AT287" s="105" t="n">
        <v>0</v>
      </c>
      <c r="AU287" s="105" t="n">
        <v>0</v>
      </c>
      <c r="AV287" s="105" t="n">
        <v>0</v>
      </c>
      <c r="AW287" s="105" t="n">
        <v>0</v>
      </c>
      <c r="AX287" s="105" t="n">
        <v>0</v>
      </c>
      <c r="AY287" s="105" t="n">
        <v>0</v>
      </c>
      <c r="AZ287" s="105" t="n">
        <v>0</v>
      </c>
      <c r="BA287" s="105" t="n">
        <v>0</v>
      </c>
      <c r="BB287" s="105" t="n">
        <v>0</v>
      </c>
      <c r="BC287" s="105" t="n">
        <v>0</v>
      </c>
      <c r="BD287" s="105" t="n">
        <v>0</v>
      </c>
      <c r="BE287" s="105" t="n">
        <v>0</v>
      </c>
      <c r="BF287" s="105" t="n">
        <v>0</v>
      </c>
      <c r="BG287" s="105" t="n">
        <v>0</v>
      </c>
      <c r="BH287" s="105" t="n">
        <v>0</v>
      </c>
      <c r="BI287" s="105" t="n">
        <v>0</v>
      </c>
      <c r="BJ287" s="105" t="n">
        <v>0</v>
      </c>
      <c r="BK287" s="105" t="n">
        <v>0</v>
      </c>
      <c r="BL287" s="105" t="n">
        <v>0</v>
      </c>
      <c r="BM287" s="105" t="n">
        <v>0</v>
      </c>
      <c r="BN287" s="105" t="n">
        <v>0</v>
      </c>
      <c r="BO287" s="105" t="n">
        <v>0</v>
      </c>
      <c r="BP287" s="105" t="n">
        <v>0</v>
      </c>
      <c r="BQ287" s="105" t="n">
        <v>0</v>
      </c>
      <c r="BR287" s="106" t="n">
        <f aca="false">SUM(AP287:BQ287)/60</f>
        <v>0.833333333333333</v>
      </c>
      <c r="BS287" s="106" t="n">
        <f aca="false">SUM(AP287:BR287)/60</f>
        <v>0.847222222222222</v>
      </c>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row>
    <row r="288" customFormat="false" ht="14.9" hidden="true" customHeight="false" outlineLevel="0" collapsed="false">
      <c r="A288" s="74" t="n">
        <f aca="false">MONTH(B288)</f>
        <v>8</v>
      </c>
      <c r="B288" s="133" t="n">
        <v>44434</v>
      </c>
      <c r="C288" s="128" t="s">
        <v>63</v>
      </c>
      <c r="D288" s="77" t="str">
        <f aca="false">IFERROR(VLOOKUP(E:E,'Item Data Support Sheet'!A:O,7,0),"")</f>
        <v>BOTTLE PRINTED</v>
      </c>
      <c r="E288" s="80" t="s">
        <v>691</v>
      </c>
      <c r="F288" s="122"/>
      <c r="G288" s="77" t="s">
        <v>66</v>
      </c>
      <c r="H288" s="79" t="str">
        <f aca="false">IFERROR(VLOOKUP(E:E,'Item Data Support Sheet'!A:O,2,0),"")</f>
        <v>KPP 120 ML BOTTLE PRINTED</v>
      </c>
      <c r="I288" s="80" t="s">
        <v>692</v>
      </c>
      <c r="J288" s="80" t="s">
        <v>161</v>
      </c>
      <c r="K288" s="81" t="n">
        <v>8.5</v>
      </c>
      <c r="L288" s="124" t="n">
        <v>5100</v>
      </c>
      <c r="M288" s="83" t="n">
        <f aca="false">IFERROR(L288/K288,0)</f>
        <v>600</v>
      </c>
      <c r="N288" s="84" t="n">
        <f aca="false">+O288+Q288+T288+U288</f>
        <v>6529</v>
      </c>
      <c r="O288" s="85" t="n">
        <v>6480</v>
      </c>
      <c r="P288" s="86" t="n">
        <v>0</v>
      </c>
      <c r="Q288" s="86" t="n">
        <v>0</v>
      </c>
      <c r="R288" s="132" t="n">
        <v>0</v>
      </c>
      <c r="S288" s="128" t="n">
        <v>0</v>
      </c>
      <c r="T288" s="132" t="n">
        <v>49</v>
      </c>
      <c r="U288" s="128" t="n">
        <v>0</v>
      </c>
      <c r="V288" s="128" t="n">
        <v>6</v>
      </c>
      <c r="W288" s="90" t="n">
        <f aca="false">IFERROR(O288/V288,0)</f>
        <v>1080</v>
      </c>
      <c r="X288" s="91" t="n">
        <f aca="false">O288/L288</f>
        <v>1.27058823529412</v>
      </c>
      <c r="Y288" s="92" t="str">
        <f aca="false">IFERROR(VLOOKUP(E:E,'Item Data Support Sheet'!A:J,6,0),0)</f>
        <v>FO001</v>
      </c>
      <c r="Z288" s="93" t="n">
        <f aca="false">IFERROR(VLOOKUP(E:E,'Item Data Support Sheet'!A:O,4,0),0)</f>
        <v>0</v>
      </c>
      <c r="AA288" s="93" t="n">
        <f aca="false">IFERROR(((N288)*(Z288/1000))+P288,0)</f>
        <v>0</v>
      </c>
      <c r="AB288" s="94" t="str">
        <f aca="false">IFERROR((O288*(Z288/1000)/(AA288))," ")</f>
        <v> </v>
      </c>
      <c r="AC288" s="95" t="n">
        <f aca="false">IFERROR((T288)/((T288)+O288),0)</f>
        <v>0.00750497779139225</v>
      </c>
      <c r="AD288" s="96" t="n">
        <f aca="false">IFERROR(Q288/(Q288+N288),0)</f>
        <v>0</v>
      </c>
      <c r="AE288" s="91" t="n">
        <f aca="false">(N288-T288)/N288</f>
        <v>0.992495022208608</v>
      </c>
      <c r="AF288" s="97" t="n">
        <f aca="false">BR288</f>
        <v>0.833333333333333</v>
      </c>
      <c r="AG288" s="98" t="n">
        <f aca="false">K288-AF288</f>
        <v>7.66666666666667</v>
      </c>
      <c r="AH288" s="99" t="n">
        <f aca="false">IFERROR(AG288/K288," ")</f>
        <v>0.901960784313726</v>
      </c>
      <c r="AI288" s="100" t="n">
        <f aca="false">IFERROR(O288/K288,0)</f>
        <v>762.352941176471</v>
      </c>
      <c r="AJ288" s="101" t="n">
        <f aca="false">VLOOKUP(D288,'Standard Cycle time'!C:D,2,0)</f>
        <v>32.4</v>
      </c>
      <c r="AK288" s="101" t="n">
        <f aca="false">AG288*V288*3600/O288</f>
        <v>25.5555555555556</v>
      </c>
      <c r="AL288" s="102" t="n">
        <f aca="false">AJ288/AK288</f>
        <v>1.26782608695652</v>
      </c>
      <c r="AM288" s="99" t="n">
        <f aca="false">AE288*AL288*AH288</f>
        <v>1.13494724892561</v>
      </c>
      <c r="AN288" s="103" t="s">
        <v>693</v>
      </c>
      <c r="AO288" s="109"/>
      <c r="AP288" s="105" t="n">
        <v>50</v>
      </c>
      <c r="AQ288" s="105" t="n">
        <v>0</v>
      </c>
      <c r="AR288" s="105" t="n">
        <v>0</v>
      </c>
      <c r="AS288" s="105" t="n">
        <v>0</v>
      </c>
      <c r="AT288" s="105" t="n">
        <v>0</v>
      </c>
      <c r="AU288" s="105" t="n">
        <v>0</v>
      </c>
      <c r="AV288" s="105" t="n">
        <v>0</v>
      </c>
      <c r="AW288" s="105" t="n">
        <v>0</v>
      </c>
      <c r="AX288" s="105" t="n">
        <v>0</v>
      </c>
      <c r="AY288" s="105" t="n">
        <v>0</v>
      </c>
      <c r="AZ288" s="105" t="n">
        <v>0</v>
      </c>
      <c r="BA288" s="105" t="n">
        <v>0</v>
      </c>
      <c r="BB288" s="105" t="n">
        <v>0</v>
      </c>
      <c r="BC288" s="105" t="n">
        <v>0</v>
      </c>
      <c r="BD288" s="105" t="n">
        <v>0</v>
      </c>
      <c r="BE288" s="105" t="n">
        <v>0</v>
      </c>
      <c r="BF288" s="105" t="n">
        <v>0</v>
      </c>
      <c r="BG288" s="105" t="n">
        <v>0</v>
      </c>
      <c r="BH288" s="105" t="n">
        <v>0</v>
      </c>
      <c r="BI288" s="105" t="n">
        <v>0</v>
      </c>
      <c r="BJ288" s="105" t="n">
        <v>0</v>
      </c>
      <c r="BK288" s="105" t="n">
        <v>0</v>
      </c>
      <c r="BL288" s="105" t="n">
        <v>0</v>
      </c>
      <c r="BM288" s="105" t="n">
        <v>0</v>
      </c>
      <c r="BN288" s="105" t="n">
        <v>0</v>
      </c>
      <c r="BO288" s="105" t="n">
        <v>0</v>
      </c>
      <c r="BP288" s="105" t="n">
        <v>0</v>
      </c>
      <c r="BQ288" s="105" t="n">
        <v>0</v>
      </c>
      <c r="BR288" s="106" t="n">
        <f aca="false">SUM(AP288:BQ288)/60</f>
        <v>0.833333333333333</v>
      </c>
      <c r="BS288" s="106" t="n">
        <f aca="false">SUM(AP288:BR288)/60</f>
        <v>0.847222222222222</v>
      </c>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row>
    <row r="289" customFormat="false" ht="14.9" hidden="true" customHeight="false" outlineLevel="0" collapsed="false">
      <c r="A289" s="74" t="n">
        <f aca="false">MONTH(B289)</f>
        <v>8</v>
      </c>
      <c r="B289" s="133" t="n">
        <v>44434</v>
      </c>
      <c r="C289" s="128" t="s">
        <v>70</v>
      </c>
      <c r="D289" s="77" t="str">
        <f aca="false">IFERROR(VLOOKUP(E:E,'Item Data Support Sheet'!A:O,7,0),"")</f>
        <v>NIPPLE PUNCH</v>
      </c>
      <c r="E289" s="80" t="s">
        <v>666</v>
      </c>
      <c r="F289" s="122"/>
      <c r="G289" s="77" t="s">
        <v>54</v>
      </c>
      <c r="H289" s="79" t="str">
        <f aca="false">IFERROR(VLOOKUP(E:E,'Item Data Support Sheet'!A:O,2,0),"")</f>
        <v>NIPPLE S TYPE L SIZE PUNCHED</v>
      </c>
      <c r="I289" s="80" t="s">
        <v>694</v>
      </c>
      <c r="J289" s="80" t="s">
        <v>143</v>
      </c>
      <c r="K289" s="81" t="n">
        <v>1</v>
      </c>
      <c r="L289" s="124" t="n">
        <v>1000</v>
      </c>
      <c r="M289" s="83" t="n">
        <f aca="false">IFERROR(L289/K289,0)</f>
        <v>1000</v>
      </c>
      <c r="N289" s="84" t="n">
        <f aca="false">+O289+Q289+T289+U289</f>
        <v>1000</v>
      </c>
      <c r="O289" s="85" t="n">
        <v>1000</v>
      </c>
      <c r="P289" s="86" t="n">
        <v>0</v>
      </c>
      <c r="Q289" s="86" t="n">
        <v>0</v>
      </c>
      <c r="R289" s="132" t="n">
        <v>0</v>
      </c>
      <c r="S289" s="128" t="n">
        <v>0</v>
      </c>
      <c r="T289" s="132" t="n">
        <v>0</v>
      </c>
      <c r="U289" s="128" t="n">
        <v>0</v>
      </c>
      <c r="V289" s="128" t="n">
        <v>1</v>
      </c>
      <c r="W289" s="90" t="n">
        <f aca="false">IFERROR(O289/V289,0)</f>
        <v>1000</v>
      </c>
      <c r="X289" s="91" t="n">
        <f aca="false">O289/L289</f>
        <v>1</v>
      </c>
      <c r="Y289" s="92" t="str">
        <f aca="false">IFERROR(VLOOKUP(E:E,'Item Data Support Sheet'!A:J,6,0),0)</f>
        <v>FO017</v>
      </c>
      <c r="Z289" s="93" t="n">
        <f aca="false">IFERROR(VLOOKUP(E:E,'Item Data Support Sheet'!A:O,4,0),0)</f>
        <v>0</v>
      </c>
      <c r="AA289" s="93" t="n">
        <f aca="false">IFERROR(((N289)*(Z289/1000))+P289,0)</f>
        <v>0</v>
      </c>
      <c r="AB289" s="94" t="str">
        <f aca="false">IFERROR((O289*(Z289/1000)/(AA289))," ")</f>
        <v> </v>
      </c>
      <c r="AC289" s="95" t="n">
        <f aca="false">IFERROR((T289)/((T289)+O289),0)</f>
        <v>0</v>
      </c>
      <c r="AD289" s="96" t="n">
        <f aca="false">IFERROR(Q289/(Q289+N289),0)</f>
        <v>0</v>
      </c>
      <c r="AE289" s="91" t="n">
        <f aca="false">(N289-T289)/N289</f>
        <v>1</v>
      </c>
      <c r="AF289" s="97" t="n">
        <f aca="false">BR289</f>
        <v>0</v>
      </c>
      <c r="AG289" s="98" t="n">
        <f aca="false">K289-AF289</f>
        <v>1</v>
      </c>
      <c r="AH289" s="99" t="n">
        <f aca="false">IFERROR(AG289/K289," ")</f>
        <v>1</v>
      </c>
      <c r="AI289" s="100" t="n">
        <f aca="false">IFERROR(O289/K289,0)</f>
        <v>1000</v>
      </c>
      <c r="AJ289" s="101" t="n">
        <f aca="false">VLOOKUP(D289,'Standard Cycle time'!C:D,2,0)</f>
        <v>3.5</v>
      </c>
      <c r="AK289" s="101" t="n">
        <f aca="false">AG289*V289*3600/O289</f>
        <v>3.6</v>
      </c>
      <c r="AL289" s="102" t="n">
        <f aca="false">AJ289/AK289</f>
        <v>0.972222222222222</v>
      </c>
      <c r="AM289" s="99" t="n">
        <f aca="false">AE289*AL289*AH289</f>
        <v>0.972222222222222</v>
      </c>
      <c r="AN289" s="103" t="n">
        <v>2757</v>
      </c>
      <c r="AO289" s="109" t="s">
        <v>695</v>
      </c>
      <c r="AP289" s="105" t="n">
        <v>0</v>
      </c>
      <c r="AQ289" s="105" t="n">
        <v>0</v>
      </c>
      <c r="AR289" s="105" t="n">
        <v>0</v>
      </c>
      <c r="AS289" s="105" t="n">
        <v>0</v>
      </c>
      <c r="AT289" s="105" t="n">
        <v>0</v>
      </c>
      <c r="AU289" s="105" t="n">
        <v>0</v>
      </c>
      <c r="AV289" s="105" t="n">
        <v>0</v>
      </c>
      <c r="AW289" s="105" t="n">
        <v>0</v>
      </c>
      <c r="AX289" s="105" t="n">
        <v>0</v>
      </c>
      <c r="AY289" s="105" t="n">
        <v>0</v>
      </c>
      <c r="AZ289" s="105" t="n">
        <v>0</v>
      </c>
      <c r="BA289" s="105" t="n">
        <v>0</v>
      </c>
      <c r="BB289" s="105" t="n">
        <v>0</v>
      </c>
      <c r="BC289" s="105" t="n">
        <v>0</v>
      </c>
      <c r="BD289" s="105" t="n">
        <v>0</v>
      </c>
      <c r="BE289" s="105" t="n">
        <v>0</v>
      </c>
      <c r="BF289" s="105" t="n">
        <v>0</v>
      </c>
      <c r="BG289" s="105" t="n">
        <v>0</v>
      </c>
      <c r="BH289" s="105" t="n">
        <v>0</v>
      </c>
      <c r="BI289" s="105" t="n">
        <v>0</v>
      </c>
      <c r="BJ289" s="105" t="n">
        <v>0</v>
      </c>
      <c r="BK289" s="105" t="n">
        <v>0</v>
      </c>
      <c r="BL289" s="105" t="n">
        <v>0</v>
      </c>
      <c r="BM289" s="105" t="n">
        <v>0</v>
      </c>
      <c r="BN289" s="105" t="n">
        <v>0</v>
      </c>
      <c r="BO289" s="105" t="n">
        <v>0</v>
      </c>
      <c r="BP289" s="105" t="n">
        <v>0</v>
      </c>
      <c r="BQ289" s="105" t="n">
        <v>0</v>
      </c>
      <c r="BR289" s="106" t="n">
        <f aca="false">SUM(AP289:BQ289)/60</f>
        <v>0</v>
      </c>
      <c r="BS289" s="106" t="n">
        <f aca="false">SUM(AP289:BR289)/60</f>
        <v>0</v>
      </c>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row>
    <row r="290" customFormat="false" ht="14.9" hidden="true" customHeight="false" outlineLevel="0" collapsed="false">
      <c r="A290" s="74" t="n">
        <f aca="false">MONTH(B290)</f>
        <v>8</v>
      </c>
      <c r="B290" s="133" t="n">
        <v>44434</v>
      </c>
      <c r="C290" s="128" t="s">
        <v>70</v>
      </c>
      <c r="D290" s="77" t="str">
        <f aca="false">IFERROR(VLOOKUP(E:E,'Item Data Support Sheet'!A:O,7,0),"")</f>
        <v>NIPPLE LASER MARKING</v>
      </c>
      <c r="E290" s="80" t="s">
        <v>681</v>
      </c>
      <c r="F290" s="122"/>
      <c r="G290" s="77" t="s">
        <v>517</v>
      </c>
      <c r="H290" s="79" t="str">
        <f aca="false">IFERROR(VLOOKUP(E:E,'Item Data Support Sheet'!A:O,2,0),"")</f>
        <v>NIPPLE S TYPE L SIZE PUNCHED LASER MARKED</v>
      </c>
      <c r="I290" s="80" t="s">
        <v>682</v>
      </c>
      <c r="J290" s="80" t="s">
        <v>143</v>
      </c>
      <c r="K290" s="81" t="n">
        <v>6.5</v>
      </c>
      <c r="L290" s="124" t="n">
        <v>7036</v>
      </c>
      <c r="M290" s="83" t="n">
        <f aca="false">IFERROR(L290/K290,0)</f>
        <v>1082.46153846154</v>
      </c>
      <c r="N290" s="84" t="n">
        <f aca="false">+O290+Q290+T290+U290</f>
        <v>6000</v>
      </c>
      <c r="O290" s="85" t="n">
        <v>6000</v>
      </c>
      <c r="P290" s="86" t="n">
        <v>0</v>
      </c>
      <c r="Q290" s="86" t="n">
        <v>0</v>
      </c>
      <c r="R290" s="132" t="n">
        <v>0</v>
      </c>
      <c r="S290" s="128" t="n">
        <v>0</v>
      </c>
      <c r="T290" s="132" t="n">
        <v>0</v>
      </c>
      <c r="U290" s="128" t="n">
        <v>0</v>
      </c>
      <c r="V290" s="128" t="n">
        <v>1</v>
      </c>
      <c r="W290" s="90" t="n">
        <f aca="false">IFERROR(O290/V290,0)</f>
        <v>6000</v>
      </c>
      <c r="X290" s="91" t="n">
        <f aca="false">O290/L290</f>
        <v>0.852757248436612</v>
      </c>
      <c r="Y290" s="92" t="str">
        <f aca="false">IFERROR(VLOOKUP(E:E,'Item Data Support Sheet'!A:J,6,0),0)</f>
        <v>FO021</v>
      </c>
      <c r="Z290" s="93" t="n">
        <f aca="false">IFERROR(VLOOKUP(E:E,'Item Data Support Sheet'!A:O,4,0),0)</f>
        <v>0</v>
      </c>
      <c r="AA290" s="93" t="n">
        <f aca="false">IFERROR(((N290)*(Z290/1000))+P290,0)</f>
        <v>0</v>
      </c>
      <c r="AB290" s="94" t="str">
        <f aca="false">IFERROR((O290*(Z290/1000)/(AA290))," ")</f>
        <v> </v>
      </c>
      <c r="AC290" s="95" t="n">
        <f aca="false">IFERROR((T290)/((T290)+O290),0)</f>
        <v>0</v>
      </c>
      <c r="AD290" s="96" t="n">
        <f aca="false">IFERROR(Q290/(Q290+N290),0)</f>
        <v>0</v>
      </c>
      <c r="AE290" s="91" t="n">
        <f aca="false">(N290-T290)/N290</f>
        <v>1</v>
      </c>
      <c r="AF290" s="97" t="n">
        <f aca="false">BR290</f>
        <v>0.833333333333333</v>
      </c>
      <c r="AG290" s="98" t="n">
        <f aca="false">K290-AF290</f>
        <v>5.66666666666667</v>
      </c>
      <c r="AH290" s="99" t="n">
        <f aca="false">IFERROR(AG290/K290," ")</f>
        <v>0.871794871794872</v>
      </c>
      <c r="AI290" s="100" t="n">
        <f aca="false">IFERROR(O290/K290,0)</f>
        <v>923.076923076923</v>
      </c>
      <c r="AJ290" s="101" t="n">
        <f aca="false">VLOOKUP(D290,'Standard Cycle time'!C:D,2,0)</f>
        <v>3.5</v>
      </c>
      <c r="AK290" s="101" t="n">
        <f aca="false">AG290*V290*3600/O290</f>
        <v>3.4</v>
      </c>
      <c r="AL290" s="102" t="n">
        <f aca="false">AJ290/AK290</f>
        <v>1.02941176470588</v>
      </c>
      <c r="AM290" s="99" t="n">
        <f aca="false">AE290*AL290*AH290</f>
        <v>0.897435897435897</v>
      </c>
      <c r="AN290" s="103" t="s">
        <v>696</v>
      </c>
      <c r="AO290" s="109"/>
      <c r="AP290" s="105" t="n">
        <v>30</v>
      </c>
      <c r="AQ290" s="105" t="n">
        <v>0</v>
      </c>
      <c r="AR290" s="105" t="n">
        <v>0</v>
      </c>
      <c r="AS290" s="105" t="n">
        <v>0</v>
      </c>
      <c r="AT290" s="105" t="n">
        <v>20</v>
      </c>
      <c r="AU290" s="105" t="n">
        <v>0</v>
      </c>
      <c r="AV290" s="105" t="n">
        <v>0</v>
      </c>
      <c r="AW290" s="105" t="n">
        <v>0</v>
      </c>
      <c r="AX290" s="105" t="n">
        <v>0</v>
      </c>
      <c r="AY290" s="105" t="n">
        <v>0</v>
      </c>
      <c r="AZ290" s="105" t="n">
        <v>0</v>
      </c>
      <c r="BA290" s="105" t="n">
        <v>0</v>
      </c>
      <c r="BB290" s="105" t="n">
        <v>0</v>
      </c>
      <c r="BC290" s="105" t="n">
        <v>0</v>
      </c>
      <c r="BD290" s="105" t="n">
        <v>0</v>
      </c>
      <c r="BE290" s="105" t="n">
        <v>0</v>
      </c>
      <c r="BF290" s="105" t="n">
        <v>0</v>
      </c>
      <c r="BG290" s="105" t="n">
        <v>0</v>
      </c>
      <c r="BH290" s="105" t="n">
        <v>0</v>
      </c>
      <c r="BI290" s="105" t="n">
        <v>0</v>
      </c>
      <c r="BJ290" s="105" t="n">
        <v>0</v>
      </c>
      <c r="BK290" s="105" t="n">
        <v>0</v>
      </c>
      <c r="BL290" s="105" t="n">
        <v>0</v>
      </c>
      <c r="BM290" s="105" t="n">
        <v>0</v>
      </c>
      <c r="BN290" s="105" t="n">
        <v>0</v>
      </c>
      <c r="BO290" s="105" t="n">
        <v>0</v>
      </c>
      <c r="BP290" s="105" t="n">
        <v>0</v>
      </c>
      <c r="BQ290" s="105" t="n">
        <v>0</v>
      </c>
      <c r="BR290" s="106" t="n">
        <f aca="false">SUM(AP290:BQ290)/60</f>
        <v>0.833333333333333</v>
      </c>
      <c r="BS290" s="106" t="n">
        <f aca="false">SUM(AP290:BR290)/60</f>
        <v>0.847222222222222</v>
      </c>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row>
    <row r="291" customFormat="false" ht="14.9" hidden="true" customHeight="false" outlineLevel="0" collapsed="false">
      <c r="A291" s="74" t="n">
        <f aca="false">MONTH(B291)</f>
        <v>8</v>
      </c>
      <c r="B291" s="133" t="n">
        <v>44434</v>
      </c>
      <c r="C291" s="128" t="s">
        <v>70</v>
      </c>
      <c r="D291" s="77" t="str">
        <f aca="false">IFERROR(VLOOKUP(E:E,'Item Data Support Sheet'!A:O,7,0),"")</f>
        <v>NIPPLE MOLDED</v>
      </c>
      <c r="E291" s="80" t="s">
        <v>661</v>
      </c>
      <c r="F291" s="122" t="s">
        <v>137</v>
      </c>
      <c r="G291" s="77" t="s">
        <v>138</v>
      </c>
      <c r="H291" s="79" t="str">
        <f aca="false">IFERROR(VLOOKUP(E:E,'Item Data Support Sheet'!A:O,2,0),"")</f>
        <v>NIPPLE S TYPE L SIZE INJECTION</v>
      </c>
      <c r="I291" s="80" t="s">
        <v>697</v>
      </c>
      <c r="J291" s="80" t="s">
        <v>143</v>
      </c>
      <c r="K291" s="81" t="n">
        <v>8</v>
      </c>
      <c r="L291" s="124" t="n">
        <v>4815</v>
      </c>
      <c r="M291" s="83" t="n">
        <f aca="false">IFERROR(L291/K291,0)</f>
        <v>601.875</v>
      </c>
      <c r="N291" s="84" t="n">
        <f aca="false">+O291+Q291+T291+U291</f>
        <v>5090</v>
      </c>
      <c r="O291" s="85" t="n">
        <v>5000</v>
      </c>
      <c r="P291" s="86" t="n">
        <v>0</v>
      </c>
      <c r="Q291" s="86" t="n">
        <v>40</v>
      </c>
      <c r="R291" s="132" t="n">
        <v>0</v>
      </c>
      <c r="S291" s="128" t="n">
        <v>0</v>
      </c>
      <c r="T291" s="132" t="n">
        <v>50</v>
      </c>
      <c r="U291" s="128" t="n">
        <v>0</v>
      </c>
      <c r="V291" s="128" t="n">
        <v>1</v>
      </c>
      <c r="W291" s="90" t="n">
        <f aca="false">IFERROR(O291/V291,0)</f>
        <v>5000</v>
      </c>
      <c r="X291" s="91" t="n">
        <f aca="false">O291/L291</f>
        <v>1.03842159916926</v>
      </c>
      <c r="Y291" s="92" t="str">
        <f aca="false">IFERROR(VLOOKUP(E:E,'Item Data Support Sheet'!A:J,6,0),0)</f>
        <v>Silicon</v>
      </c>
      <c r="Z291" s="93" t="n">
        <f aca="false">IFERROR(VLOOKUP(E:E,'Item Data Support Sheet'!A:O,4,0),0)</f>
        <v>6.8</v>
      </c>
      <c r="AA291" s="93" t="n">
        <f aca="false">IFERROR(((N291)*(Z291/1000))+P291,0)</f>
        <v>34.612</v>
      </c>
      <c r="AB291" s="94" t="n">
        <f aca="false">IFERROR((O291*(Z291/1000)/(AA291))," ")</f>
        <v>0.982318271119843</v>
      </c>
      <c r="AC291" s="95" t="n">
        <f aca="false">IFERROR((T291)/((T291)+O291),0)</f>
        <v>0.0099009900990099</v>
      </c>
      <c r="AD291" s="96" t="n">
        <f aca="false">IFERROR(Q291/(Q291+N291),0)</f>
        <v>0.00779727095516569</v>
      </c>
      <c r="AE291" s="91" t="n">
        <f aca="false">(N291-T291)/N291</f>
        <v>0.990176817288802</v>
      </c>
      <c r="AF291" s="97" t="n">
        <f aca="false">BR291</f>
        <v>0</v>
      </c>
      <c r="AG291" s="98" t="n">
        <f aca="false">K291-AF291</f>
        <v>8</v>
      </c>
      <c r="AH291" s="99" t="n">
        <f aca="false">IFERROR(AG291/K291," ")</f>
        <v>1</v>
      </c>
      <c r="AI291" s="100" t="n">
        <f aca="false">IFERROR(O291/K291,0)</f>
        <v>625</v>
      </c>
      <c r="AJ291" s="101" t="n">
        <f aca="false">VLOOKUP(D291,'Standard Cycle time'!C:D,2,0)</f>
        <v>5.25</v>
      </c>
      <c r="AK291" s="101" t="n">
        <f aca="false">AG291*V291*3600/O291</f>
        <v>5.76</v>
      </c>
      <c r="AL291" s="102" t="n">
        <f aca="false">AJ291/AK291</f>
        <v>0.911458333333333</v>
      </c>
      <c r="AM291" s="99" t="n">
        <f aca="false">AE291*AL291*AH291</f>
        <v>0.902504911591356</v>
      </c>
      <c r="AN291" s="103" t="s">
        <v>698</v>
      </c>
      <c r="AO291" s="104"/>
      <c r="AP291" s="105" t="n">
        <v>0</v>
      </c>
      <c r="AQ291" s="105" t="n">
        <v>0</v>
      </c>
      <c r="AR291" s="105" t="n">
        <v>0</v>
      </c>
      <c r="AS291" s="105" t="n">
        <v>0</v>
      </c>
      <c r="AT291" s="105" t="n">
        <v>0</v>
      </c>
      <c r="AU291" s="105" t="n">
        <v>0</v>
      </c>
      <c r="AV291" s="105" t="n">
        <v>0</v>
      </c>
      <c r="AW291" s="105" t="n">
        <v>0</v>
      </c>
      <c r="AX291" s="105" t="n">
        <v>0</v>
      </c>
      <c r="AY291" s="105" t="n">
        <v>0</v>
      </c>
      <c r="AZ291" s="105" t="n">
        <v>0</v>
      </c>
      <c r="BA291" s="105" t="n">
        <v>0</v>
      </c>
      <c r="BB291" s="105" t="n">
        <v>0</v>
      </c>
      <c r="BC291" s="105" t="n">
        <v>0</v>
      </c>
      <c r="BD291" s="105" t="n">
        <v>0</v>
      </c>
      <c r="BE291" s="105" t="n">
        <v>0</v>
      </c>
      <c r="BF291" s="105" t="n">
        <v>0</v>
      </c>
      <c r="BG291" s="105" t="n">
        <v>0</v>
      </c>
      <c r="BH291" s="105" t="n">
        <v>0</v>
      </c>
      <c r="BI291" s="105" t="n">
        <v>0</v>
      </c>
      <c r="BJ291" s="105" t="n">
        <v>0</v>
      </c>
      <c r="BK291" s="105" t="n">
        <v>0</v>
      </c>
      <c r="BL291" s="105" t="n">
        <v>0</v>
      </c>
      <c r="BM291" s="105" t="n">
        <v>0</v>
      </c>
      <c r="BN291" s="105" t="n">
        <v>0</v>
      </c>
      <c r="BO291" s="105" t="n">
        <v>0</v>
      </c>
      <c r="BP291" s="105" t="n">
        <v>0</v>
      </c>
      <c r="BQ291" s="105" t="n">
        <v>0</v>
      </c>
      <c r="BR291" s="106" t="n">
        <f aca="false">SUM(AP291:BQ291)/60</f>
        <v>0</v>
      </c>
      <c r="BS291" s="106" t="n">
        <f aca="false">SUM(AP291:BR291)/60</f>
        <v>0</v>
      </c>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row>
    <row r="292" customFormat="false" ht="14.9" hidden="true" customHeight="false" outlineLevel="0" collapsed="false">
      <c r="A292" s="74" t="n">
        <f aca="false">MONTH(B292)</f>
        <v>8</v>
      </c>
      <c r="B292" s="133" t="n">
        <v>44434</v>
      </c>
      <c r="C292" s="128" t="s">
        <v>70</v>
      </c>
      <c r="D292" s="77" t="str">
        <f aca="false">IFERROR(VLOOKUP(E:E,'Item Data Support Sheet'!A:O,7,0),"")</f>
        <v>NIPPLE POSTCURE</v>
      </c>
      <c r="E292" s="80" t="s">
        <v>664</v>
      </c>
      <c r="F292" s="122"/>
      <c r="G292" s="77" t="s">
        <v>149</v>
      </c>
      <c r="H292" s="79" t="str">
        <f aca="false">IFERROR(VLOOKUP(E:E,'Item Data Support Sheet'!A:O,2,0),"")</f>
        <v>NIPPLE S TYPE L SIZE POSTCURED</v>
      </c>
      <c r="I292" s="80" t="s">
        <v>699</v>
      </c>
      <c r="J292" s="80" t="s">
        <v>143</v>
      </c>
      <c r="K292" s="81" t="n">
        <v>6</v>
      </c>
      <c r="L292" s="124" t="n">
        <v>7036</v>
      </c>
      <c r="M292" s="83" t="n">
        <f aca="false">IFERROR(L292/K292,0)</f>
        <v>1172.66666666667</v>
      </c>
      <c r="N292" s="84" t="n">
        <f aca="false">+O292+Q292+T292+U292</f>
        <v>7000</v>
      </c>
      <c r="O292" s="85" t="n">
        <v>7000</v>
      </c>
      <c r="P292" s="86" t="n">
        <v>0</v>
      </c>
      <c r="Q292" s="86" t="n">
        <v>0</v>
      </c>
      <c r="R292" s="132" t="n">
        <v>0</v>
      </c>
      <c r="S292" s="128" t="n">
        <v>0</v>
      </c>
      <c r="T292" s="132" t="n">
        <v>0</v>
      </c>
      <c r="U292" s="128" t="n">
        <v>0</v>
      </c>
      <c r="V292" s="128" t="n">
        <v>1</v>
      </c>
      <c r="W292" s="90" t="n">
        <f aca="false">IFERROR(O292/V292,0)</f>
        <v>7000</v>
      </c>
      <c r="X292" s="91" t="n">
        <f aca="false">O292/L292</f>
        <v>0.99488345650938</v>
      </c>
      <c r="Y292" s="92" t="str">
        <f aca="false">IFERROR(VLOOKUP(E:E,'Item Data Support Sheet'!A:J,6,0),0)</f>
        <v>FO013</v>
      </c>
      <c r="Z292" s="93" t="n">
        <f aca="false">IFERROR(VLOOKUP(E:E,'Item Data Support Sheet'!A:O,4,0),0)</f>
        <v>0</v>
      </c>
      <c r="AA292" s="93" t="n">
        <f aca="false">IFERROR(((N292)*(Z292/1000))+P292,0)</f>
        <v>0</v>
      </c>
      <c r="AB292" s="94" t="str">
        <f aca="false">IFERROR((O292*(Z292/1000)/(AA292))," ")</f>
        <v> </v>
      </c>
      <c r="AC292" s="95" t="n">
        <f aca="false">IFERROR((T292)/((T292)+O292),0)</f>
        <v>0</v>
      </c>
      <c r="AD292" s="96" t="n">
        <f aca="false">IFERROR(Q292/(Q292+N292),0)</f>
        <v>0</v>
      </c>
      <c r="AE292" s="91" t="n">
        <f aca="false">(N292-T292)/N292</f>
        <v>1</v>
      </c>
      <c r="AF292" s="97" t="n">
        <f aca="false">BR292</f>
        <v>0.5</v>
      </c>
      <c r="AG292" s="98" t="n">
        <f aca="false">K292-AF292</f>
        <v>5.5</v>
      </c>
      <c r="AH292" s="99" t="n">
        <f aca="false">IFERROR(AG292/K292," ")</f>
        <v>0.916666666666667</v>
      </c>
      <c r="AI292" s="100" t="n">
        <f aca="false">IFERROR(O292/K292,0)</f>
        <v>1166.66666666667</v>
      </c>
      <c r="AJ292" s="101" t="n">
        <f aca="false">VLOOKUP(D292,'Standard Cycle time'!C:D,2,0)</f>
        <v>2.3</v>
      </c>
      <c r="AK292" s="101" t="n">
        <f aca="false">AG292*V292*3600/O292</f>
        <v>2.82857142857143</v>
      </c>
      <c r="AL292" s="102" t="n">
        <f aca="false">AJ292/AK292</f>
        <v>0.813131313131313</v>
      </c>
      <c r="AM292" s="99" t="n">
        <f aca="false">AE292*AL292*AH292</f>
        <v>0.74537037037037</v>
      </c>
      <c r="AN292" s="103" t="s">
        <v>700</v>
      </c>
      <c r="AO292" s="109"/>
      <c r="AP292" s="105" t="n">
        <v>30</v>
      </c>
      <c r="AQ292" s="105" t="n">
        <v>0</v>
      </c>
      <c r="AR292" s="105" t="n">
        <v>0</v>
      </c>
      <c r="AS292" s="105" t="n">
        <v>0</v>
      </c>
      <c r="AT292" s="105" t="n">
        <v>0</v>
      </c>
      <c r="AU292" s="105" t="n">
        <v>0</v>
      </c>
      <c r="AV292" s="105" t="n">
        <v>0</v>
      </c>
      <c r="AW292" s="105" t="n">
        <v>0</v>
      </c>
      <c r="AX292" s="105" t="n">
        <v>0</v>
      </c>
      <c r="AY292" s="105" t="n">
        <v>0</v>
      </c>
      <c r="AZ292" s="105" t="n">
        <v>0</v>
      </c>
      <c r="BA292" s="105" t="n">
        <v>0</v>
      </c>
      <c r="BB292" s="105" t="n">
        <v>0</v>
      </c>
      <c r="BC292" s="105" t="n">
        <v>0</v>
      </c>
      <c r="BD292" s="105" t="n">
        <v>0</v>
      </c>
      <c r="BE292" s="105" t="n">
        <v>0</v>
      </c>
      <c r="BF292" s="105" t="n">
        <v>0</v>
      </c>
      <c r="BG292" s="105" t="n">
        <v>0</v>
      </c>
      <c r="BH292" s="105" t="n">
        <v>0</v>
      </c>
      <c r="BI292" s="105" t="n">
        <v>0</v>
      </c>
      <c r="BJ292" s="105" t="n">
        <v>0</v>
      </c>
      <c r="BK292" s="105" t="n">
        <v>0</v>
      </c>
      <c r="BL292" s="105" t="n">
        <v>0</v>
      </c>
      <c r="BM292" s="105" t="n">
        <v>0</v>
      </c>
      <c r="BN292" s="105" t="n">
        <v>0</v>
      </c>
      <c r="BO292" s="105" t="n">
        <v>0</v>
      </c>
      <c r="BP292" s="105" t="n">
        <v>0</v>
      </c>
      <c r="BQ292" s="105" t="n">
        <v>0</v>
      </c>
      <c r="BR292" s="106" t="n">
        <f aca="false">SUM(AP292:BQ292)/60</f>
        <v>0.5</v>
      </c>
      <c r="BS292" s="106" t="n">
        <f aca="false">SUM(AP292:BR292)/60</f>
        <v>0.508333333333333</v>
      </c>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row>
    <row r="293" customFormat="false" ht="14.9" hidden="true" customHeight="false" outlineLevel="0" collapsed="false">
      <c r="A293" s="74" t="n">
        <f aca="false">MONTH(B293)</f>
        <v>8</v>
      </c>
      <c r="B293" s="133" t="n">
        <v>44434</v>
      </c>
      <c r="C293" s="128" t="s">
        <v>70</v>
      </c>
      <c r="D293" s="77" t="str">
        <f aca="false">IFERROR(VLOOKUP(E:E,'Item Data Support Sheet'!A:O,7,0),"")</f>
        <v>BOTTLE MOLDED</v>
      </c>
      <c r="E293" s="80" t="s">
        <v>357</v>
      </c>
      <c r="F293" s="122" t="s">
        <v>79</v>
      </c>
      <c r="G293" s="77" t="s">
        <v>80</v>
      </c>
      <c r="H293" s="79" t="str">
        <f aca="false">IFERROR(VLOOKUP(E:E,'Item Data Support Sheet'!A:O,2,0),"")</f>
        <v>KPP 120 ML BOTTLE MOLDED</v>
      </c>
      <c r="I293" s="80" t="s">
        <v>701</v>
      </c>
      <c r="J293" s="80" t="s">
        <v>143</v>
      </c>
      <c r="K293" s="81" t="n">
        <v>8</v>
      </c>
      <c r="L293" s="124" t="n">
        <v>2574</v>
      </c>
      <c r="M293" s="83" t="n">
        <f aca="false">IFERROR(L293/K293,0)</f>
        <v>321.75</v>
      </c>
      <c r="N293" s="84" t="n">
        <f aca="false">+O293+Q293+T293+U293</f>
        <v>3271</v>
      </c>
      <c r="O293" s="85" t="n">
        <f aca="false">17*180</f>
        <v>3060</v>
      </c>
      <c r="P293" s="86" t="n">
        <v>0</v>
      </c>
      <c r="Q293" s="86" t="n">
        <v>90</v>
      </c>
      <c r="R293" s="132" t="n">
        <v>0</v>
      </c>
      <c r="S293" s="128" t="n">
        <v>0</v>
      </c>
      <c r="T293" s="132" t="n">
        <v>88</v>
      </c>
      <c r="U293" s="128" t="n">
        <v>33</v>
      </c>
      <c r="V293" s="128" t="n">
        <v>1</v>
      </c>
      <c r="W293" s="90" t="n">
        <f aca="false">IFERROR(O293/V293,0)</f>
        <v>3060</v>
      </c>
      <c r="X293" s="91" t="n">
        <f aca="false">O293/L293</f>
        <v>1.18881118881119</v>
      </c>
      <c r="Y293" s="92" t="str">
        <f aca="false">IFERROR(VLOOKUP(E:E,'Item Data Support Sheet'!A:J,6,0),0)</f>
        <v>HMC</v>
      </c>
      <c r="Z293" s="93" t="n">
        <f aca="false">IFERROR(VLOOKUP(E:E,'Item Data Support Sheet'!A:O,4,0),0)</f>
        <v>21.3</v>
      </c>
      <c r="AA293" s="93" t="n">
        <f aca="false">IFERROR(((N293)*(Z293/1000))+P293,0)</f>
        <v>69.6723</v>
      </c>
      <c r="AB293" s="94" t="n">
        <f aca="false">IFERROR((O293*(Z293/1000)/(AA293))," ")</f>
        <v>0.935493732803424</v>
      </c>
      <c r="AC293" s="95" t="n">
        <f aca="false">IFERROR((T293)/((T293)+O293),0)</f>
        <v>0.0279542566709022</v>
      </c>
      <c r="AD293" s="96" t="n">
        <f aca="false">IFERROR(Q293/(Q293+N293),0)</f>
        <v>0.0267777447188337</v>
      </c>
      <c r="AE293" s="91" t="n">
        <f aca="false">(N293-T293)/N293</f>
        <v>0.973096912259248</v>
      </c>
      <c r="AF293" s="97" t="n">
        <f aca="false">BR293</f>
        <v>0</v>
      </c>
      <c r="AG293" s="98" t="n">
        <f aca="false">K293-AF293</f>
        <v>8</v>
      </c>
      <c r="AH293" s="99" t="n">
        <f aca="false">IFERROR(AG293/K293," ")</f>
        <v>1</v>
      </c>
      <c r="AI293" s="100" t="n">
        <f aca="false">IFERROR(O293/K293,0)</f>
        <v>382.5</v>
      </c>
      <c r="AJ293" s="101" t="n">
        <f aca="false">VLOOKUP(D293,'Standard Cycle time'!C:D,2,0)</f>
        <v>9</v>
      </c>
      <c r="AK293" s="101" t="n">
        <f aca="false">AG293*V293*3600/O293</f>
        <v>9.41176470588235</v>
      </c>
      <c r="AL293" s="102" t="n">
        <f aca="false">AJ293/AK293</f>
        <v>0.95625</v>
      </c>
      <c r="AM293" s="99" t="n">
        <f aca="false">AE293*AL293*AH293</f>
        <v>0.930523922347906</v>
      </c>
      <c r="AN293" s="103" t="n">
        <v>2770</v>
      </c>
      <c r="AO293" s="104"/>
      <c r="AP293" s="105" t="n">
        <v>0</v>
      </c>
      <c r="AQ293" s="105" t="n">
        <v>0</v>
      </c>
      <c r="AR293" s="105" t="n">
        <v>0</v>
      </c>
      <c r="AS293" s="105" t="n">
        <v>0</v>
      </c>
      <c r="AT293" s="105" t="n">
        <v>0</v>
      </c>
      <c r="AU293" s="105" t="n">
        <v>0</v>
      </c>
      <c r="AV293" s="105" t="n">
        <v>0</v>
      </c>
      <c r="AW293" s="105" t="n">
        <v>0</v>
      </c>
      <c r="AX293" s="105" t="n">
        <v>0</v>
      </c>
      <c r="AY293" s="105" t="n">
        <v>0</v>
      </c>
      <c r="AZ293" s="105" t="n">
        <v>0</v>
      </c>
      <c r="BA293" s="105" t="n">
        <v>0</v>
      </c>
      <c r="BB293" s="105" t="n">
        <v>0</v>
      </c>
      <c r="BC293" s="105" t="n">
        <v>0</v>
      </c>
      <c r="BD293" s="105" t="n">
        <v>0</v>
      </c>
      <c r="BE293" s="105" t="n">
        <v>0</v>
      </c>
      <c r="BF293" s="105" t="n">
        <v>0</v>
      </c>
      <c r="BG293" s="105" t="n">
        <v>0</v>
      </c>
      <c r="BH293" s="105" t="n">
        <v>0</v>
      </c>
      <c r="BI293" s="105" t="n">
        <v>0</v>
      </c>
      <c r="BJ293" s="105" t="n">
        <v>0</v>
      </c>
      <c r="BK293" s="105" t="n">
        <v>0</v>
      </c>
      <c r="BL293" s="105" t="n">
        <v>0</v>
      </c>
      <c r="BM293" s="105" t="n">
        <v>0</v>
      </c>
      <c r="BN293" s="105" t="n">
        <v>0</v>
      </c>
      <c r="BO293" s="105" t="n">
        <v>0</v>
      </c>
      <c r="BP293" s="105" t="n">
        <v>0</v>
      </c>
      <c r="BQ293" s="105" t="n">
        <v>0</v>
      </c>
      <c r="BR293" s="106" t="n">
        <f aca="false">SUM(AP293:BQ293)/60</f>
        <v>0</v>
      </c>
      <c r="BS293" s="106" t="n">
        <f aca="false">SUM(AP293:BR293)/60</f>
        <v>0</v>
      </c>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row>
    <row r="294" customFormat="false" ht="14.9" hidden="true" customHeight="false" outlineLevel="0" collapsed="false">
      <c r="A294" s="74" t="n">
        <f aca="false">MONTH(B294)</f>
        <v>8</v>
      </c>
      <c r="B294" s="133" t="n">
        <v>44434</v>
      </c>
      <c r="C294" s="128" t="s">
        <v>70</v>
      </c>
      <c r="D294" s="77" t="str">
        <f aca="false">IFERROR(VLOOKUP(E:E,'Item Data Support Sheet'!A:O,7,0),"")</f>
        <v>HOOD MOLDED</v>
      </c>
      <c r="E294" s="80" t="s">
        <v>529</v>
      </c>
      <c r="F294" s="122"/>
      <c r="G294" s="77" t="s">
        <v>200</v>
      </c>
      <c r="H294" s="79" t="str">
        <f aca="false">IFERROR(VLOOKUP(E:E,'Item Data Support Sheet'!A:O,2,0),"")</f>
        <v>HOOD S TYPE MOLDED</v>
      </c>
      <c r="I294" s="80" t="s">
        <v>702</v>
      </c>
      <c r="J294" s="80" t="s">
        <v>143</v>
      </c>
      <c r="K294" s="81" t="n">
        <v>8</v>
      </c>
      <c r="L294" s="124" t="n">
        <v>4137</v>
      </c>
      <c r="M294" s="83" t="n">
        <f aca="false">IFERROR(L294/K294,0)</f>
        <v>517.125</v>
      </c>
      <c r="N294" s="84" t="n">
        <f aca="false">+O294+Q294+T294+U294</f>
        <v>5520</v>
      </c>
      <c r="O294" s="85" t="n">
        <v>5500</v>
      </c>
      <c r="P294" s="86" t="n">
        <v>0</v>
      </c>
      <c r="Q294" s="86" t="n">
        <v>0</v>
      </c>
      <c r="R294" s="132" t="n">
        <v>0</v>
      </c>
      <c r="S294" s="128" t="n">
        <v>0</v>
      </c>
      <c r="T294" s="132" t="n">
        <v>20</v>
      </c>
      <c r="U294" s="128" t="n">
        <v>0</v>
      </c>
      <c r="V294" s="128" t="n">
        <v>1</v>
      </c>
      <c r="W294" s="90" t="n">
        <f aca="false">IFERROR(O294/V294,0)</f>
        <v>5500</v>
      </c>
      <c r="X294" s="91" t="n">
        <f aca="false">O294/L294</f>
        <v>1.32946579647087</v>
      </c>
      <c r="Y294" s="92" t="str">
        <f aca="false">IFERROR(VLOOKUP(E:E,'Item Data Support Sheet'!A:J,6,0),0)</f>
        <v>HMC</v>
      </c>
      <c r="Z294" s="93" t="n">
        <f aca="false">IFERROR(VLOOKUP(E:E,'Item Data Support Sheet'!A:O,4,0),0)</f>
        <v>8.6</v>
      </c>
      <c r="AA294" s="93" t="n">
        <f aca="false">IFERROR(((N294)*(Z294/1000))+P294,0)</f>
        <v>47.472</v>
      </c>
      <c r="AB294" s="94" t="n">
        <f aca="false">IFERROR((O294*(Z294/1000)/(AA294))," ")</f>
        <v>0.996376811594203</v>
      </c>
      <c r="AC294" s="95" t="n">
        <f aca="false">IFERROR((T294)/((T294)+O294),0)</f>
        <v>0.0036231884057971</v>
      </c>
      <c r="AD294" s="96" t="n">
        <f aca="false">IFERROR(Q294/(Q294+N294),0)</f>
        <v>0</v>
      </c>
      <c r="AE294" s="91" t="n">
        <f aca="false">(N294-T294)/N294</f>
        <v>0.996376811594203</v>
      </c>
      <c r="AF294" s="97" t="n">
        <f aca="false">BR294</f>
        <v>0</v>
      </c>
      <c r="AG294" s="98" t="n">
        <f aca="false">K294-AF294</f>
        <v>8</v>
      </c>
      <c r="AH294" s="99" t="n">
        <f aca="false">IFERROR(AG294/K294," ")</f>
        <v>1</v>
      </c>
      <c r="AI294" s="100" t="n">
        <f aca="false">IFERROR(O294/K294,0)</f>
        <v>687.5</v>
      </c>
      <c r="AJ294" s="101" t="n">
        <f aca="false">VLOOKUP(D294,'Standard Cycle time'!C:D,2,0)</f>
        <v>6</v>
      </c>
      <c r="AK294" s="101" t="n">
        <f aca="false">AG294*V294*3600/O294</f>
        <v>5.23636363636364</v>
      </c>
      <c r="AL294" s="102" t="n">
        <f aca="false">AJ294/AK294</f>
        <v>1.14583333333333</v>
      </c>
      <c r="AM294" s="99" t="n">
        <f aca="false">AE294*AL294*AH294</f>
        <v>1.14168176328502</v>
      </c>
      <c r="AN294" s="103" t="n">
        <v>2769</v>
      </c>
      <c r="AO294" s="104"/>
      <c r="AP294" s="105" t="n">
        <v>0</v>
      </c>
      <c r="AQ294" s="105" t="n">
        <v>0</v>
      </c>
      <c r="AR294" s="105" t="n">
        <v>0</v>
      </c>
      <c r="AS294" s="105" t="n">
        <v>0</v>
      </c>
      <c r="AT294" s="105" t="n">
        <v>0</v>
      </c>
      <c r="AU294" s="105" t="n">
        <v>0</v>
      </c>
      <c r="AV294" s="105" t="n">
        <v>0</v>
      </c>
      <c r="AW294" s="105" t="n">
        <v>0</v>
      </c>
      <c r="AX294" s="105" t="n">
        <v>0</v>
      </c>
      <c r="AY294" s="105" t="n">
        <v>0</v>
      </c>
      <c r="AZ294" s="105" t="n">
        <v>0</v>
      </c>
      <c r="BA294" s="105" t="n">
        <v>0</v>
      </c>
      <c r="BB294" s="105" t="n">
        <v>0</v>
      </c>
      <c r="BC294" s="105" t="n">
        <v>0</v>
      </c>
      <c r="BD294" s="105" t="n">
        <v>0</v>
      </c>
      <c r="BE294" s="105" t="n">
        <v>0</v>
      </c>
      <c r="BF294" s="105" t="n">
        <v>0</v>
      </c>
      <c r="BG294" s="105" t="n">
        <v>0</v>
      </c>
      <c r="BH294" s="105" t="n">
        <v>0</v>
      </c>
      <c r="BI294" s="105" t="n">
        <v>0</v>
      </c>
      <c r="BJ294" s="105" t="n">
        <v>0</v>
      </c>
      <c r="BK294" s="105" t="n">
        <v>0</v>
      </c>
      <c r="BL294" s="105" t="n">
        <v>0</v>
      </c>
      <c r="BM294" s="105" t="n">
        <v>0</v>
      </c>
      <c r="BN294" s="105" t="n">
        <v>0</v>
      </c>
      <c r="BO294" s="105" t="n">
        <v>0</v>
      </c>
      <c r="BP294" s="105" t="n">
        <v>0</v>
      </c>
      <c r="BQ294" s="105" t="n">
        <v>0</v>
      </c>
      <c r="BR294" s="106" t="n">
        <f aca="false">SUM(AP294:BQ294)/60</f>
        <v>0</v>
      </c>
      <c r="BS294" s="106" t="n">
        <f aca="false">SUM(AP294:BR294)/60</f>
        <v>0</v>
      </c>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row>
    <row r="295" customFormat="false" ht="14.9" hidden="true" customHeight="false" outlineLevel="0" collapsed="false">
      <c r="A295" s="74" t="n">
        <f aca="false">MONTH(B295)</f>
        <v>8</v>
      </c>
      <c r="B295" s="133" t="n">
        <v>44434</v>
      </c>
      <c r="C295" s="128" t="s">
        <v>152</v>
      </c>
      <c r="D295" s="77" t="str">
        <f aca="false">IFERROR(VLOOKUP(E:E,'Item Data Support Sheet'!A:O,7,0),"")</f>
        <v>BOTTLE MOLDED</v>
      </c>
      <c r="E295" s="80" t="s">
        <v>357</v>
      </c>
      <c r="F295" s="122" t="s">
        <v>79</v>
      </c>
      <c r="G295" s="77" t="s">
        <v>80</v>
      </c>
      <c r="H295" s="79" t="str">
        <f aca="false">IFERROR(VLOOKUP(E:E,'Item Data Support Sheet'!A:O,2,0),"")</f>
        <v>KPP 120 ML BOTTLE MOLDED</v>
      </c>
      <c r="I295" s="80" t="s">
        <v>703</v>
      </c>
      <c r="J295" s="80" t="s">
        <v>148</v>
      </c>
      <c r="K295" s="81" t="n">
        <v>8</v>
      </c>
      <c r="L295" s="124" t="n">
        <v>2574</v>
      </c>
      <c r="M295" s="83" t="n">
        <f aca="false">IFERROR(L295/K295,0)</f>
        <v>321.75</v>
      </c>
      <c r="N295" s="84" t="n">
        <f aca="false">+O295+Q295+T295+U295</f>
        <v>3390</v>
      </c>
      <c r="O295" s="85" t="n">
        <f aca="false">3240-30</f>
        <v>3210</v>
      </c>
      <c r="P295" s="86" t="n">
        <v>0</v>
      </c>
      <c r="Q295" s="86" t="n">
        <v>80</v>
      </c>
      <c r="R295" s="132" t="n">
        <v>0</v>
      </c>
      <c r="S295" s="128" t="n">
        <v>0</v>
      </c>
      <c r="T295" s="132" t="n">
        <v>70</v>
      </c>
      <c r="U295" s="128" t="n">
        <v>30</v>
      </c>
      <c r="V295" s="128" t="n">
        <v>1</v>
      </c>
      <c r="W295" s="90" t="n">
        <f aca="false">IFERROR(O295/V295,0)</f>
        <v>3210</v>
      </c>
      <c r="X295" s="91" t="n">
        <f aca="false">O295/L295</f>
        <v>1.24708624708625</v>
      </c>
      <c r="Y295" s="92" t="str">
        <f aca="false">IFERROR(VLOOKUP(E:E,'Item Data Support Sheet'!A:J,6,0),0)</f>
        <v>HMC</v>
      </c>
      <c r="Z295" s="93" t="n">
        <f aca="false">IFERROR(VLOOKUP(E:E,'Item Data Support Sheet'!A:O,4,0),0)</f>
        <v>21.3</v>
      </c>
      <c r="AA295" s="93" t="n">
        <f aca="false">IFERROR(((N295)*(Z295/1000))+P295,0)</f>
        <v>72.207</v>
      </c>
      <c r="AB295" s="94" t="n">
        <f aca="false">IFERROR((O295*(Z295/1000)/(AA295))," ")</f>
        <v>0.946902654867257</v>
      </c>
      <c r="AC295" s="95" t="n">
        <f aca="false">IFERROR((T295)/((T295)+O295),0)</f>
        <v>0.0213414634146341</v>
      </c>
      <c r="AD295" s="96" t="n">
        <f aca="false">IFERROR(Q295/(Q295+N295),0)</f>
        <v>0.0230547550432277</v>
      </c>
      <c r="AE295" s="91" t="n">
        <f aca="false">(N295-T295)/N295</f>
        <v>0.979351032448378</v>
      </c>
      <c r="AF295" s="97" t="n">
        <f aca="false">BR295</f>
        <v>0</v>
      </c>
      <c r="AG295" s="98" t="n">
        <f aca="false">K295-AF295</f>
        <v>8</v>
      </c>
      <c r="AH295" s="99" t="n">
        <f aca="false">IFERROR(AG295/K295," ")</f>
        <v>1</v>
      </c>
      <c r="AI295" s="100" t="n">
        <f aca="false">IFERROR(O295/K295,0)</f>
        <v>401.25</v>
      </c>
      <c r="AJ295" s="101" t="n">
        <f aca="false">VLOOKUP(D295,'Standard Cycle time'!C:D,2,0)</f>
        <v>9</v>
      </c>
      <c r="AK295" s="101" t="n">
        <f aca="false">AG295*V295*3600/O295</f>
        <v>8.97196261682243</v>
      </c>
      <c r="AL295" s="102" t="n">
        <f aca="false">AJ295/AK295</f>
        <v>1.003125</v>
      </c>
      <c r="AM295" s="99" t="n">
        <f aca="false">AE295*AL295*AH295</f>
        <v>0.982411504424779</v>
      </c>
      <c r="AN295" s="103" t="n">
        <v>2804</v>
      </c>
      <c r="AO295" s="104"/>
      <c r="AP295" s="105" t="n">
        <v>0</v>
      </c>
      <c r="AQ295" s="105" t="n">
        <v>0</v>
      </c>
      <c r="AR295" s="105" t="n">
        <v>0</v>
      </c>
      <c r="AS295" s="105" t="n">
        <v>0</v>
      </c>
      <c r="AT295" s="105" t="n">
        <v>0</v>
      </c>
      <c r="AU295" s="105" t="n">
        <v>0</v>
      </c>
      <c r="AV295" s="105" t="n">
        <v>0</v>
      </c>
      <c r="AW295" s="105" t="n">
        <v>0</v>
      </c>
      <c r="AX295" s="105" t="n">
        <v>0</v>
      </c>
      <c r="AY295" s="105" t="n">
        <v>0</v>
      </c>
      <c r="AZ295" s="105" t="n">
        <v>0</v>
      </c>
      <c r="BA295" s="105" t="n">
        <v>0</v>
      </c>
      <c r="BB295" s="105" t="n">
        <v>0</v>
      </c>
      <c r="BC295" s="105" t="n">
        <v>0</v>
      </c>
      <c r="BD295" s="105" t="n">
        <v>0</v>
      </c>
      <c r="BE295" s="105" t="n">
        <v>0</v>
      </c>
      <c r="BF295" s="105" t="n">
        <v>0</v>
      </c>
      <c r="BG295" s="105" t="n">
        <v>0</v>
      </c>
      <c r="BH295" s="105" t="n">
        <v>0</v>
      </c>
      <c r="BI295" s="105" t="n">
        <v>0</v>
      </c>
      <c r="BJ295" s="105" t="n">
        <v>0</v>
      </c>
      <c r="BK295" s="105" t="n">
        <v>0</v>
      </c>
      <c r="BL295" s="105" t="n">
        <v>0</v>
      </c>
      <c r="BM295" s="105" t="n">
        <v>0</v>
      </c>
      <c r="BN295" s="105" t="n">
        <v>0</v>
      </c>
      <c r="BO295" s="105" t="n">
        <v>0</v>
      </c>
      <c r="BP295" s="105" t="n">
        <v>0</v>
      </c>
      <c r="BQ295" s="105" t="n">
        <v>0</v>
      </c>
      <c r="BR295" s="106" t="n">
        <f aca="false">SUM(AP295:BQ295)/60</f>
        <v>0</v>
      </c>
      <c r="BS295" s="106" t="n">
        <f aca="false">SUM(AP295:BR295)/60</f>
        <v>0</v>
      </c>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row>
    <row r="296" customFormat="false" ht="14.9" hidden="true" customHeight="false" outlineLevel="0" collapsed="false">
      <c r="A296" s="74" t="n">
        <f aca="false">MONTH(B296)</f>
        <v>8</v>
      </c>
      <c r="B296" s="133" t="n">
        <v>44434</v>
      </c>
      <c r="C296" s="128" t="s">
        <v>152</v>
      </c>
      <c r="D296" s="77" t="str">
        <f aca="false">IFERROR(VLOOKUP(E:E,'Item Data Support Sheet'!A:O,7,0),"")</f>
        <v>NIPPLE MOLDED</v>
      </c>
      <c r="E296" s="80" t="s">
        <v>661</v>
      </c>
      <c r="F296" s="122" t="s">
        <v>137</v>
      </c>
      <c r="G296" s="77" t="s">
        <v>138</v>
      </c>
      <c r="H296" s="79" t="str">
        <f aca="false">IFERROR(VLOOKUP(E:E,'Item Data Support Sheet'!A:O,2,0),"")</f>
        <v>NIPPLE S TYPE L SIZE INJECTION</v>
      </c>
      <c r="I296" s="80" t="s">
        <v>704</v>
      </c>
      <c r="J296" s="80" t="s">
        <v>148</v>
      </c>
      <c r="K296" s="81" t="n">
        <v>8</v>
      </c>
      <c r="L296" s="124" t="n">
        <v>4815</v>
      </c>
      <c r="M296" s="83" t="n">
        <f aca="false">IFERROR(L296/K296,0)</f>
        <v>601.875</v>
      </c>
      <c r="N296" s="84" t="n">
        <f aca="false">+O296+Q296+T296+U296</f>
        <v>5411</v>
      </c>
      <c r="O296" s="85" t="n">
        <v>5300</v>
      </c>
      <c r="P296" s="86" t="n">
        <v>0</v>
      </c>
      <c r="Q296" s="86" t="n">
        <v>43</v>
      </c>
      <c r="R296" s="132" t="n">
        <v>0</v>
      </c>
      <c r="S296" s="128" t="n">
        <v>0</v>
      </c>
      <c r="T296" s="132" t="n">
        <v>60</v>
      </c>
      <c r="U296" s="128" t="n">
        <v>8</v>
      </c>
      <c r="V296" s="128" t="n">
        <v>1</v>
      </c>
      <c r="W296" s="90" t="n">
        <f aca="false">IFERROR(O296/V296,0)</f>
        <v>5300</v>
      </c>
      <c r="X296" s="91" t="n">
        <f aca="false">O296/L296</f>
        <v>1.10072689511942</v>
      </c>
      <c r="Y296" s="92" t="str">
        <f aca="false">IFERROR(VLOOKUP(E:E,'Item Data Support Sheet'!A:J,6,0),0)</f>
        <v>Silicon</v>
      </c>
      <c r="Z296" s="93" t="n">
        <f aca="false">IFERROR(VLOOKUP(E:E,'Item Data Support Sheet'!A:O,4,0),0)</f>
        <v>6.8</v>
      </c>
      <c r="AA296" s="93" t="n">
        <f aca="false">IFERROR(((N296)*(Z296/1000))+P296,0)</f>
        <v>36.7948</v>
      </c>
      <c r="AB296" s="94" t="n">
        <f aca="false">IFERROR((O296*(Z296/1000)/(AA296))," ")</f>
        <v>0.979486231750139</v>
      </c>
      <c r="AC296" s="95" t="n">
        <f aca="false">IFERROR((T296)/((T296)+O296),0)</f>
        <v>0.0111940298507463</v>
      </c>
      <c r="AD296" s="96" t="n">
        <f aca="false">IFERROR(Q296/(Q296+N296),0)</f>
        <v>0.00788412174550788</v>
      </c>
      <c r="AE296" s="91" t="n">
        <f aca="false">(N296-T296)/N296</f>
        <v>0.988911476621697</v>
      </c>
      <c r="AF296" s="97" t="n">
        <f aca="false">BR296</f>
        <v>0</v>
      </c>
      <c r="AG296" s="98" t="n">
        <f aca="false">K296-AF296</f>
        <v>8</v>
      </c>
      <c r="AH296" s="99" t="n">
        <f aca="false">IFERROR(AG296/K296," ")</f>
        <v>1</v>
      </c>
      <c r="AI296" s="100" t="n">
        <f aca="false">IFERROR(O296/K296,0)</f>
        <v>662.5</v>
      </c>
      <c r="AJ296" s="101" t="n">
        <f aca="false">VLOOKUP(D296,'Standard Cycle time'!C:D,2,0)</f>
        <v>5.25</v>
      </c>
      <c r="AK296" s="101" t="n">
        <f aca="false">AG296*V296*3600/O296</f>
        <v>5.43396226415094</v>
      </c>
      <c r="AL296" s="102" t="n">
        <f aca="false">AJ296/AK296</f>
        <v>0.966145833333333</v>
      </c>
      <c r="AM296" s="99" t="n">
        <f aca="false">AE296*AL296*AH296</f>
        <v>0.955432702673566</v>
      </c>
      <c r="AN296" s="103" t="s">
        <v>705</v>
      </c>
      <c r="AO296" s="109"/>
      <c r="AP296" s="105" t="n">
        <v>0</v>
      </c>
      <c r="AQ296" s="105" t="n">
        <v>0</v>
      </c>
      <c r="AR296" s="105" t="n">
        <v>0</v>
      </c>
      <c r="AS296" s="105" t="n">
        <v>0</v>
      </c>
      <c r="AT296" s="105" t="n">
        <v>0</v>
      </c>
      <c r="AU296" s="105" t="n">
        <v>0</v>
      </c>
      <c r="AV296" s="105" t="n">
        <v>0</v>
      </c>
      <c r="AW296" s="105" t="n">
        <v>0</v>
      </c>
      <c r="AX296" s="105" t="n">
        <v>0</v>
      </c>
      <c r="AY296" s="105" t="n">
        <v>0</v>
      </c>
      <c r="AZ296" s="105" t="n">
        <v>0</v>
      </c>
      <c r="BA296" s="105" t="n">
        <v>0</v>
      </c>
      <c r="BB296" s="105" t="n">
        <v>0</v>
      </c>
      <c r="BC296" s="105" t="n">
        <v>0</v>
      </c>
      <c r="BD296" s="105" t="n">
        <v>0</v>
      </c>
      <c r="BE296" s="105" t="n">
        <v>0</v>
      </c>
      <c r="BF296" s="105" t="n">
        <v>0</v>
      </c>
      <c r="BG296" s="105" t="n">
        <v>0</v>
      </c>
      <c r="BH296" s="105" t="n">
        <v>0</v>
      </c>
      <c r="BI296" s="105" t="n">
        <v>0</v>
      </c>
      <c r="BJ296" s="105" t="n">
        <v>0</v>
      </c>
      <c r="BK296" s="105" t="n">
        <v>0</v>
      </c>
      <c r="BL296" s="105" t="n">
        <v>0</v>
      </c>
      <c r="BM296" s="105" t="n">
        <v>0</v>
      </c>
      <c r="BN296" s="105" t="n">
        <v>0</v>
      </c>
      <c r="BO296" s="105" t="n">
        <v>0</v>
      </c>
      <c r="BP296" s="105" t="n">
        <v>0</v>
      </c>
      <c r="BQ296" s="105" t="n">
        <v>0</v>
      </c>
      <c r="BR296" s="106" t="n">
        <f aca="false">SUM(AP296:BQ296)/60</f>
        <v>0</v>
      </c>
      <c r="BS296" s="106" t="n">
        <f aca="false">SUM(AP296:BR296)/60</f>
        <v>0</v>
      </c>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row>
    <row r="297" customFormat="false" ht="14.9" hidden="true" customHeight="false" outlineLevel="0" collapsed="false">
      <c r="A297" s="74" t="n">
        <f aca="false">MONTH(B297)</f>
        <v>8</v>
      </c>
      <c r="B297" s="133" t="n">
        <v>44434</v>
      </c>
      <c r="C297" s="128" t="s">
        <v>152</v>
      </c>
      <c r="D297" s="77" t="str">
        <f aca="false">IFERROR(VLOOKUP(E:E,'Item Data Support Sheet'!A:O,7,0),"")</f>
        <v>HOOD MOLDED</v>
      </c>
      <c r="E297" s="80" t="s">
        <v>529</v>
      </c>
      <c r="F297" s="122"/>
      <c r="G297" s="77" t="s">
        <v>200</v>
      </c>
      <c r="H297" s="79" t="str">
        <f aca="false">IFERROR(VLOOKUP(E:E,'Item Data Support Sheet'!A:O,2,0),"")</f>
        <v>HOOD S TYPE MOLDED</v>
      </c>
      <c r="I297" s="80" t="s">
        <v>706</v>
      </c>
      <c r="J297" s="80" t="s">
        <v>148</v>
      </c>
      <c r="K297" s="81" t="n">
        <v>8</v>
      </c>
      <c r="L297" s="124" t="n">
        <v>4137</v>
      </c>
      <c r="M297" s="83" t="n">
        <f aca="false">IFERROR(L297/K297,0)</f>
        <v>517.125</v>
      </c>
      <c r="N297" s="84" t="n">
        <f aca="false">+O297+Q297+T297+U297</f>
        <v>5012</v>
      </c>
      <c r="O297" s="85" t="n">
        <v>5000</v>
      </c>
      <c r="P297" s="86" t="n">
        <v>0</v>
      </c>
      <c r="Q297" s="86" t="n">
        <v>0</v>
      </c>
      <c r="R297" s="132" t="n">
        <v>0</v>
      </c>
      <c r="S297" s="128" t="n">
        <v>0</v>
      </c>
      <c r="T297" s="132" t="n">
        <v>4</v>
      </c>
      <c r="U297" s="128" t="n">
        <v>8</v>
      </c>
      <c r="V297" s="128" t="n">
        <v>1</v>
      </c>
      <c r="W297" s="90" t="n">
        <f aca="false">IFERROR(O297/V297,0)</f>
        <v>5000</v>
      </c>
      <c r="X297" s="91" t="n">
        <f aca="false">O297/L297</f>
        <v>1.20860526951898</v>
      </c>
      <c r="Y297" s="92" t="str">
        <f aca="false">IFERROR(VLOOKUP(E:E,'Item Data Support Sheet'!A:J,6,0),0)</f>
        <v>HMC</v>
      </c>
      <c r="Z297" s="93" t="n">
        <f aca="false">IFERROR(VLOOKUP(E:E,'Item Data Support Sheet'!A:O,4,0),0)</f>
        <v>8.6</v>
      </c>
      <c r="AA297" s="93" t="n">
        <f aca="false">IFERROR(((N297)*(Z297/1000))+P297,0)</f>
        <v>43.1032</v>
      </c>
      <c r="AB297" s="94" t="n">
        <f aca="false">IFERROR((O297*(Z297/1000)/(AA297))," ")</f>
        <v>0.997605746209098</v>
      </c>
      <c r="AC297" s="95" t="n">
        <f aca="false">IFERROR((T297)/((T297)+O297),0)</f>
        <v>0.000799360511590727</v>
      </c>
      <c r="AD297" s="96" t="n">
        <f aca="false">IFERROR(Q297/(Q297+N297),0)</f>
        <v>0</v>
      </c>
      <c r="AE297" s="91" t="n">
        <f aca="false">(N297-T297)/N297</f>
        <v>0.999201915403033</v>
      </c>
      <c r="AF297" s="97" t="n">
        <f aca="false">BR297</f>
        <v>0</v>
      </c>
      <c r="AG297" s="98" t="n">
        <f aca="false">K297-AF297</f>
        <v>8</v>
      </c>
      <c r="AH297" s="99" t="n">
        <f aca="false">IFERROR(AG297/K297," ")</f>
        <v>1</v>
      </c>
      <c r="AI297" s="100" t="n">
        <f aca="false">IFERROR(O297/K297,0)</f>
        <v>625</v>
      </c>
      <c r="AJ297" s="101" t="n">
        <f aca="false">VLOOKUP(D297,'Standard Cycle time'!C:D,2,0)</f>
        <v>6</v>
      </c>
      <c r="AK297" s="101" t="n">
        <f aca="false">AG297*V297*3600/O297</f>
        <v>5.76</v>
      </c>
      <c r="AL297" s="102" t="n">
        <f aca="false">AJ297/AK297</f>
        <v>1.04166666666667</v>
      </c>
      <c r="AM297" s="99" t="n">
        <f aca="false">AE297*AL297*AH297</f>
        <v>1.04083532854483</v>
      </c>
      <c r="AN297" s="103" t="s">
        <v>707</v>
      </c>
      <c r="AO297" s="104"/>
      <c r="AP297" s="105" t="n">
        <v>0</v>
      </c>
      <c r="AQ297" s="105" t="n">
        <v>0</v>
      </c>
      <c r="AR297" s="105" t="n">
        <v>0</v>
      </c>
      <c r="AS297" s="105" t="n">
        <v>0</v>
      </c>
      <c r="AT297" s="105" t="n">
        <v>0</v>
      </c>
      <c r="AU297" s="105" t="n">
        <v>0</v>
      </c>
      <c r="AV297" s="105" t="n">
        <v>0</v>
      </c>
      <c r="AW297" s="105" t="n">
        <v>0</v>
      </c>
      <c r="AX297" s="105" t="n">
        <v>0</v>
      </c>
      <c r="AY297" s="105" t="n">
        <v>0</v>
      </c>
      <c r="AZ297" s="105" t="n">
        <v>0</v>
      </c>
      <c r="BA297" s="105" t="n">
        <v>0</v>
      </c>
      <c r="BB297" s="105" t="n">
        <v>0</v>
      </c>
      <c r="BC297" s="105" t="n">
        <v>0</v>
      </c>
      <c r="BD297" s="105" t="n">
        <v>0</v>
      </c>
      <c r="BE297" s="105" t="n">
        <v>0</v>
      </c>
      <c r="BF297" s="105" t="n">
        <v>0</v>
      </c>
      <c r="BG297" s="105" t="n">
        <v>0</v>
      </c>
      <c r="BH297" s="105" t="n">
        <v>0</v>
      </c>
      <c r="BI297" s="105" t="n">
        <v>0</v>
      </c>
      <c r="BJ297" s="105" t="n">
        <v>0</v>
      </c>
      <c r="BK297" s="105" t="n">
        <v>0</v>
      </c>
      <c r="BL297" s="105" t="n">
        <v>0</v>
      </c>
      <c r="BM297" s="105" t="n">
        <v>0</v>
      </c>
      <c r="BN297" s="105" t="n">
        <v>0</v>
      </c>
      <c r="BO297" s="105" t="n">
        <v>0</v>
      </c>
      <c r="BP297" s="105" t="n">
        <v>0</v>
      </c>
      <c r="BQ297" s="105" t="n">
        <v>0</v>
      </c>
      <c r="BR297" s="106" t="n">
        <f aca="false">SUM(AP297:BQ297)/60</f>
        <v>0</v>
      </c>
      <c r="BS297" s="106" t="n">
        <f aca="false">SUM(AP297:BR297)/60</f>
        <v>0</v>
      </c>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row>
    <row r="298" customFormat="false" ht="14.9" hidden="true" customHeight="false" outlineLevel="0" collapsed="false">
      <c r="A298" s="74" t="n">
        <f aca="false">MONTH(B298)</f>
        <v>8</v>
      </c>
      <c r="B298" s="133" t="n">
        <v>44435</v>
      </c>
      <c r="C298" s="128" t="s">
        <v>51</v>
      </c>
      <c r="D298" s="77" t="str">
        <f aca="false">IFERROR(VLOOKUP(E:E,'Item Data Support Sheet'!A:O,7,0),"")</f>
        <v>NIPPLE POSTCURE</v>
      </c>
      <c r="E298" s="80" t="s">
        <v>664</v>
      </c>
      <c r="F298" s="122"/>
      <c r="G298" s="77" t="s">
        <v>149</v>
      </c>
      <c r="H298" s="79" t="str">
        <f aca="false">IFERROR(VLOOKUP(E:E,'Item Data Support Sheet'!A:O,2,0),"")</f>
        <v>NIPPLE S TYPE L SIZE POSTCURED</v>
      </c>
      <c r="I298" s="80" t="s">
        <v>708</v>
      </c>
      <c r="J298" s="80" t="s">
        <v>140</v>
      </c>
      <c r="K298" s="81" t="n">
        <v>8</v>
      </c>
      <c r="L298" s="124" t="n">
        <v>7036</v>
      </c>
      <c r="M298" s="83" t="n">
        <f aca="false">IFERROR(L298/K298,0)</f>
        <v>879.5</v>
      </c>
      <c r="N298" s="84" t="n">
        <f aca="false">+O298+Q298+T298+U298</f>
        <v>10300</v>
      </c>
      <c r="O298" s="85" t="n">
        <f aca="false">6300+4000</f>
        <v>10300</v>
      </c>
      <c r="P298" s="86" t="n">
        <v>0</v>
      </c>
      <c r="Q298" s="86" t="n">
        <v>0</v>
      </c>
      <c r="R298" s="132" t="n">
        <v>0</v>
      </c>
      <c r="S298" s="128" t="n">
        <v>0</v>
      </c>
      <c r="T298" s="132" t="n">
        <v>0</v>
      </c>
      <c r="U298" s="128" t="n">
        <v>0</v>
      </c>
      <c r="V298" s="128" t="n">
        <v>1</v>
      </c>
      <c r="W298" s="90" t="n">
        <f aca="false">IFERROR(O298/V298,0)</f>
        <v>10300</v>
      </c>
      <c r="X298" s="91" t="n">
        <f aca="false">O298/L298</f>
        <v>1.46389994314952</v>
      </c>
      <c r="Y298" s="92" t="str">
        <f aca="false">IFERROR(VLOOKUP(E:E,'Item Data Support Sheet'!A:J,6,0),0)</f>
        <v>FO013</v>
      </c>
      <c r="Z298" s="93" t="n">
        <f aca="false">IFERROR(VLOOKUP(E:E,'Item Data Support Sheet'!A:O,4,0),0)</f>
        <v>0</v>
      </c>
      <c r="AA298" s="93" t="n">
        <f aca="false">IFERROR(((N298)*(Z298/1000))+P298,0)</f>
        <v>0</v>
      </c>
      <c r="AB298" s="94" t="str">
        <f aca="false">IFERROR((O298*(Z298/1000)/(AA298))," ")</f>
        <v> </v>
      </c>
      <c r="AC298" s="95" t="n">
        <f aca="false">IFERROR((T298)/((T298)+O298),0)</f>
        <v>0</v>
      </c>
      <c r="AD298" s="96" t="n">
        <f aca="false">IFERROR(Q298/(Q298+N298),0)</f>
        <v>0</v>
      </c>
      <c r="AE298" s="91" t="n">
        <f aca="false">(N298-T298)/N298</f>
        <v>1</v>
      </c>
      <c r="AF298" s="97" t="n">
        <f aca="false">BR298</f>
        <v>0.666666666666667</v>
      </c>
      <c r="AG298" s="98" t="n">
        <f aca="false">K298-AF298</f>
        <v>7.33333333333333</v>
      </c>
      <c r="AH298" s="99" t="n">
        <f aca="false">IFERROR(AG298/K298," ")</f>
        <v>0.916666666666667</v>
      </c>
      <c r="AI298" s="100" t="n">
        <f aca="false">IFERROR(O298/K298,0)</f>
        <v>1287.5</v>
      </c>
      <c r="AJ298" s="101" t="n">
        <f aca="false">VLOOKUP(D298,'Standard Cycle time'!C:D,2,0)</f>
        <v>2.3</v>
      </c>
      <c r="AK298" s="101" t="n">
        <f aca="false">AG298*V298*3600/O298</f>
        <v>2.5631067961165</v>
      </c>
      <c r="AL298" s="102" t="n">
        <f aca="false">AJ298/AK298</f>
        <v>0.897348484848485</v>
      </c>
      <c r="AM298" s="99" t="n">
        <f aca="false">AE298*AL298*AH298</f>
        <v>0.822569444444444</v>
      </c>
      <c r="AN298" s="103" t="s">
        <v>709</v>
      </c>
      <c r="AO298" s="104"/>
      <c r="AP298" s="105" t="n">
        <v>40</v>
      </c>
      <c r="AQ298" s="105" t="n">
        <v>0</v>
      </c>
      <c r="AR298" s="105" t="n">
        <v>0</v>
      </c>
      <c r="AS298" s="105" t="n">
        <v>0</v>
      </c>
      <c r="AT298" s="105" t="n">
        <v>0</v>
      </c>
      <c r="AU298" s="105" t="n">
        <v>0</v>
      </c>
      <c r="AV298" s="105" t="n">
        <v>0</v>
      </c>
      <c r="AW298" s="105" t="n">
        <v>0</v>
      </c>
      <c r="AX298" s="105" t="n">
        <v>0</v>
      </c>
      <c r="AY298" s="105" t="n">
        <v>0</v>
      </c>
      <c r="AZ298" s="105" t="n">
        <v>0</v>
      </c>
      <c r="BA298" s="105" t="n">
        <v>0</v>
      </c>
      <c r="BB298" s="105" t="n">
        <v>0</v>
      </c>
      <c r="BC298" s="105" t="n">
        <v>0</v>
      </c>
      <c r="BD298" s="105" t="n">
        <v>0</v>
      </c>
      <c r="BE298" s="105" t="n">
        <v>0</v>
      </c>
      <c r="BF298" s="105" t="n">
        <v>0</v>
      </c>
      <c r="BG298" s="105" t="n">
        <v>0</v>
      </c>
      <c r="BH298" s="105" t="n">
        <v>0</v>
      </c>
      <c r="BI298" s="105" t="n">
        <v>0</v>
      </c>
      <c r="BJ298" s="105" t="n">
        <v>0</v>
      </c>
      <c r="BK298" s="105" t="n">
        <v>0</v>
      </c>
      <c r="BL298" s="105" t="n">
        <v>0</v>
      </c>
      <c r="BM298" s="105" t="n">
        <v>0</v>
      </c>
      <c r="BN298" s="105" t="n">
        <v>0</v>
      </c>
      <c r="BO298" s="105" t="n">
        <v>0</v>
      </c>
      <c r="BP298" s="105" t="n">
        <v>0</v>
      </c>
      <c r="BQ298" s="105" t="n">
        <v>0</v>
      </c>
      <c r="BR298" s="106" t="n">
        <f aca="false">SUM(AP298:BQ298)/60</f>
        <v>0.666666666666667</v>
      </c>
      <c r="BS298" s="106" t="n">
        <f aca="false">SUM(AP298:BR298)/60</f>
        <v>0.677777777777778</v>
      </c>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row>
    <row r="299" customFormat="false" ht="55.2" hidden="true" customHeight="false" outlineLevel="0" collapsed="false">
      <c r="A299" s="74" t="n">
        <f aca="false">MONTH(B299)</f>
        <v>8</v>
      </c>
      <c r="B299" s="135" t="n">
        <v>44435</v>
      </c>
      <c r="C299" s="128" t="s">
        <v>51</v>
      </c>
      <c r="D299" s="77" t="str">
        <f aca="false">IFERROR(VLOOKUP(E:E,'Item Data Support Sheet'!A:O,7,0),"")</f>
        <v>NIPPLE MOLDED</v>
      </c>
      <c r="E299" s="80" t="s">
        <v>661</v>
      </c>
      <c r="F299" s="122"/>
      <c r="G299" s="77" t="s">
        <v>138</v>
      </c>
      <c r="H299" s="79" t="str">
        <f aca="false">IFERROR(VLOOKUP(E:E,'Item Data Support Sheet'!A:O,2,0),"")</f>
        <v>NIPPLE S TYPE L SIZE INJECTION</v>
      </c>
      <c r="I299" s="80" t="s">
        <v>710</v>
      </c>
      <c r="J299" s="80" t="s">
        <v>140</v>
      </c>
      <c r="K299" s="81" t="n">
        <v>8</v>
      </c>
      <c r="L299" s="124" t="n">
        <v>4815</v>
      </c>
      <c r="M299" s="83" t="n">
        <f aca="false">IFERROR(L299/K299,0)</f>
        <v>601.875</v>
      </c>
      <c r="N299" s="84" t="n">
        <f aca="false">+O299+Q299+T299+U299</f>
        <v>4340</v>
      </c>
      <c r="O299" s="85" t="n">
        <v>4170</v>
      </c>
      <c r="P299" s="86" t="n">
        <v>0</v>
      </c>
      <c r="Q299" s="86" t="n">
        <v>111</v>
      </c>
      <c r="R299" s="132" t="n">
        <v>0</v>
      </c>
      <c r="S299" s="128" t="n">
        <v>0</v>
      </c>
      <c r="T299" s="132" t="n">
        <v>51</v>
      </c>
      <c r="U299" s="128" t="n">
        <v>8</v>
      </c>
      <c r="V299" s="128" t="n">
        <v>1</v>
      </c>
      <c r="W299" s="90" t="n">
        <f aca="false">IFERROR(O299/V299,0)</f>
        <v>4170</v>
      </c>
      <c r="X299" s="91" t="n">
        <f aca="false">O299/L299</f>
        <v>0.866043613707165</v>
      </c>
      <c r="Y299" s="92" t="str">
        <f aca="false">IFERROR(VLOOKUP(E:E,'Item Data Support Sheet'!A:J,6,0),0)</f>
        <v>Silicon</v>
      </c>
      <c r="Z299" s="93" t="n">
        <f aca="false">IFERROR(VLOOKUP(E:E,'Item Data Support Sheet'!A:O,4,0),0)</f>
        <v>6.8</v>
      </c>
      <c r="AA299" s="93" t="n">
        <f aca="false">IFERROR(((N299)*(Z299/1000))+P299,0)</f>
        <v>29.512</v>
      </c>
      <c r="AB299" s="94" t="n">
        <f aca="false">IFERROR((O299*(Z299/1000)/(AA299))," ")</f>
        <v>0.960829493087558</v>
      </c>
      <c r="AC299" s="95" t="n">
        <f aca="false">IFERROR((T299)/((T299)+O299),0)</f>
        <v>0.0120824449182658</v>
      </c>
      <c r="AD299" s="96" t="n">
        <f aca="false">IFERROR(Q299/(Q299+N299),0)</f>
        <v>0.0249382161312065</v>
      </c>
      <c r="AE299" s="91" t="n">
        <f aca="false">(N299-T299)/N299</f>
        <v>0.988248847926267</v>
      </c>
      <c r="AF299" s="97" t="n">
        <f aca="false">BR299</f>
        <v>1</v>
      </c>
      <c r="AG299" s="98" t="n">
        <f aca="false">K299-AF299</f>
        <v>7</v>
      </c>
      <c r="AH299" s="99" t="n">
        <f aca="false">IFERROR(AG299/K299," ")</f>
        <v>0.875</v>
      </c>
      <c r="AI299" s="100" t="n">
        <f aca="false">IFERROR(O299/K299,0)</f>
        <v>521.25</v>
      </c>
      <c r="AJ299" s="101" t="n">
        <f aca="false">VLOOKUP(D299,'Standard Cycle time'!C:D,2,0)</f>
        <v>5.25</v>
      </c>
      <c r="AK299" s="101" t="n">
        <f aca="false">AG299*V299*3600/O299</f>
        <v>6.0431654676259</v>
      </c>
      <c r="AL299" s="102" t="n">
        <f aca="false">AJ299/AK299</f>
        <v>0.86875</v>
      </c>
      <c r="AM299" s="99" t="n">
        <f aca="false">AE299*AL299*AH299</f>
        <v>0.751223538306452</v>
      </c>
      <c r="AN299" s="103" t="n">
        <v>2777</v>
      </c>
      <c r="AO299" s="136" t="s">
        <v>711</v>
      </c>
      <c r="AP299" s="105" t="n">
        <v>0</v>
      </c>
      <c r="AQ299" s="105" t="n">
        <v>0</v>
      </c>
      <c r="AR299" s="105" t="n">
        <v>0</v>
      </c>
      <c r="AS299" s="105" t="n">
        <v>0</v>
      </c>
      <c r="AT299" s="105" t="n">
        <v>0</v>
      </c>
      <c r="AU299" s="105" t="n">
        <v>0</v>
      </c>
      <c r="AV299" s="105" t="n">
        <v>60</v>
      </c>
      <c r="AW299" s="105" t="n">
        <v>0</v>
      </c>
      <c r="AX299" s="105" t="n">
        <v>0</v>
      </c>
      <c r="AY299" s="105" t="n">
        <v>0</v>
      </c>
      <c r="AZ299" s="105" t="n">
        <v>0</v>
      </c>
      <c r="BA299" s="105" t="n">
        <v>0</v>
      </c>
      <c r="BB299" s="105" t="n">
        <v>0</v>
      </c>
      <c r="BC299" s="105" t="n">
        <v>0</v>
      </c>
      <c r="BD299" s="105" t="n">
        <v>0</v>
      </c>
      <c r="BE299" s="105" t="n">
        <v>0</v>
      </c>
      <c r="BF299" s="105" t="n">
        <v>0</v>
      </c>
      <c r="BG299" s="105" t="n">
        <v>0</v>
      </c>
      <c r="BH299" s="105" t="n">
        <v>0</v>
      </c>
      <c r="BI299" s="105" t="n">
        <v>0</v>
      </c>
      <c r="BJ299" s="105" t="n">
        <v>0</v>
      </c>
      <c r="BK299" s="105" t="n">
        <v>0</v>
      </c>
      <c r="BL299" s="105" t="n">
        <v>0</v>
      </c>
      <c r="BM299" s="105" t="n">
        <v>0</v>
      </c>
      <c r="BN299" s="105" t="n">
        <v>0</v>
      </c>
      <c r="BO299" s="105" t="n">
        <v>0</v>
      </c>
      <c r="BP299" s="105" t="n">
        <v>0</v>
      </c>
      <c r="BQ299" s="105" t="n">
        <v>0</v>
      </c>
      <c r="BR299" s="106" t="n">
        <f aca="false">SUM(AP299:BQ299)/60</f>
        <v>1</v>
      </c>
      <c r="BS299" s="106" t="n">
        <f aca="false">SUM(AP299:BR299)/60</f>
        <v>1.01666666666667</v>
      </c>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row>
    <row r="300" customFormat="false" ht="14.9" hidden="true" customHeight="false" outlineLevel="0" collapsed="false">
      <c r="A300" s="74" t="n">
        <f aca="false">MONTH(B300)</f>
        <v>8</v>
      </c>
      <c r="B300" s="135" t="n">
        <v>44435</v>
      </c>
      <c r="C300" s="128" t="s">
        <v>51</v>
      </c>
      <c r="D300" s="77" t="str">
        <f aca="false">IFERROR(VLOOKUP(E:E,'Item Data Support Sheet'!A:O,7,0),"")</f>
        <v>HOOD MOLDED</v>
      </c>
      <c r="E300" s="80" t="s">
        <v>529</v>
      </c>
      <c r="F300" s="122"/>
      <c r="G300" s="77" t="s">
        <v>200</v>
      </c>
      <c r="H300" s="79" t="str">
        <f aca="false">IFERROR(VLOOKUP(E:E,'Item Data Support Sheet'!A:O,2,0),"")</f>
        <v>HOOD S TYPE MOLDED</v>
      </c>
      <c r="I300" s="80" t="s">
        <v>712</v>
      </c>
      <c r="J300" s="80" t="s">
        <v>140</v>
      </c>
      <c r="K300" s="81" t="n">
        <v>8</v>
      </c>
      <c r="L300" s="124" t="n">
        <v>4137</v>
      </c>
      <c r="M300" s="83" t="n">
        <f aca="false">IFERROR(L300/K300,0)</f>
        <v>517.125</v>
      </c>
      <c r="N300" s="84" t="n">
        <f aca="false">+O300+Q300+T300+U300</f>
        <v>5526</v>
      </c>
      <c r="O300" s="85" t="n">
        <v>5500</v>
      </c>
      <c r="P300" s="86" t="n">
        <v>0</v>
      </c>
      <c r="Q300" s="86" t="n">
        <v>0</v>
      </c>
      <c r="R300" s="132" t="n">
        <v>0</v>
      </c>
      <c r="S300" s="128" t="n">
        <v>0</v>
      </c>
      <c r="T300" s="132" t="n">
        <v>18</v>
      </c>
      <c r="U300" s="128" t="n">
        <v>8</v>
      </c>
      <c r="V300" s="128" t="n">
        <v>1</v>
      </c>
      <c r="W300" s="90" t="n">
        <f aca="false">IFERROR(O300/V300,0)</f>
        <v>5500</v>
      </c>
      <c r="X300" s="91" t="n">
        <f aca="false">O300/L300</f>
        <v>1.32946579647087</v>
      </c>
      <c r="Y300" s="92" t="str">
        <f aca="false">IFERROR(VLOOKUP(E:E,'Item Data Support Sheet'!A:J,6,0),0)</f>
        <v>HMC</v>
      </c>
      <c r="Z300" s="93" t="n">
        <f aca="false">IFERROR(VLOOKUP(E:E,'Item Data Support Sheet'!A:O,4,0),0)</f>
        <v>8.6</v>
      </c>
      <c r="AA300" s="93" t="n">
        <f aca="false">IFERROR(((N300)*(Z300/1000))+P300,0)</f>
        <v>47.5236</v>
      </c>
      <c r="AB300" s="94" t="n">
        <f aca="false">IFERROR((O300*(Z300/1000)/(AA300))," ")</f>
        <v>0.995294969236337</v>
      </c>
      <c r="AC300" s="95" t="n">
        <f aca="false">IFERROR((T300)/((T300)+O300),0)</f>
        <v>0.00326205146792316</v>
      </c>
      <c r="AD300" s="96" t="n">
        <f aca="false">IFERROR(Q300/(Q300+N300),0)</f>
        <v>0</v>
      </c>
      <c r="AE300" s="91" t="n">
        <f aca="false">(N300-T300)/N300</f>
        <v>0.996742671009772</v>
      </c>
      <c r="AF300" s="97" t="n">
        <f aca="false">BR300</f>
        <v>0</v>
      </c>
      <c r="AG300" s="98" t="n">
        <f aca="false">K300-AF300</f>
        <v>8</v>
      </c>
      <c r="AH300" s="99" t="n">
        <f aca="false">IFERROR(AG300/K300," ")</f>
        <v>1</v>
      </c>
      <c r="AI300" s="100" t="n">
        <f aca="false">IFERROR(O300/K300,0)</f>
        <v>687.5</v>
      </c>
      <c r="AJ300" s="101" t="n">
        <f aca="false">VLOOKUP(D300,'Standard Cycle time'!C:D,2,0)</f>
        <v>6</v>
      </c>
      <c r="AK300" s="101" t="n">
        <f aca="false">AG300*V300*3600/O300</f>
        <v>5.23636363636364</v>
      </c>
      <c r="AL300" s="102" t="n">
        <f aca="false">AJ300/AK300</f>
        <v>1.14583333333333</v>
      </c>
      <c r="AM300" s="99" t="n">
        <f aca="false">AE300*AL300*AH300</f>
        <v>1.1421009771987</v>
      </c>
      <c r="AN300" s="103" t="n">
        <v>2778</v>
      </c>
      <c r="AO300" s="104"/>
      <c r="AP300" s="105" t="n">
        <v>0</v>
      </c>
      <c r="AQ300" s="105" t="n">
        <v>0</v>
      </c>
      <c r="AR300" s="105" t="n">
        <v>0</v>
      </c>
      <c r="AS300" s="105" t="n">
        <v>0</v>
      </c>
      <c r="AT300" s="105" t="n">
        <v>0</v>
      </c>
      <c r="AU300" s="105" t="n">
        <v>0</v>
      </c>
      <c r="AV300" s="105" t="n">
        <v>0</v>
      </c>
      <c r="AW300" s="105" t="n">
        <v>0</v>
      </c>
      <c r="AX300" s="105" t="n">
        <v>0</v>
      </c>
      <c r="AY300" s="105" t="n">
        <v>0</v>
      </c>
      <c r="AZ300" s="105" t="n">
        <v>0</v>
      </c>
      <c r="BA300" s="105" t="n">
        <v>0</v>
      </c>
      <c r="BB300" s="105" t="n">
        <v>0</v>
      </c>
      <c r="BC300" s="105" t="n">
        <v>0</v>
      </c>
      <c r="BD300" s="105" t="n">
        <v>0</v>
      </c>
      <c r="BE300" s="105" t="n">
        <v>0</v>
      </c>
      <c r="BF300" s="105" t="n">
        <v>0</v>
      </c>
      <c r="BG300" s="105" t="n">
        <v>0</v>
      </c>
      <c r="BH300" s="105" t="n">
        <v>0</v>
      </c>
      <c r="BI300" s="105" t="n">
        <v>0</v>
      </c>
      <c r="BJ300" s="105" t="n">
        <v>0</v>
      </c>
      <c r="BK300" s="105" t="n">
        <v>0</v>
      </c>
      <c r="BL300" s="105" t="n">
        <v>0</v>
      </c>
      <c r="BM300" s="105" t="n">
        <v>0</v>
      </c>
      <c r="BN300" s="105" t="n">
        <v>0</v>
      </c>
      <c r="BO300" s="105" t="n">
        <v>0</v>
      </c>
      <c r="BP300" s="105" t="n">
        <v>0</v>
      </c>
      <c r="BQ300" s="105" t="n">
        <v>0</v>
      </c>
      <c r="BR300" s="106" t="n">
        <f aca="false">SUM(AP300:BQ300)/60</f>
        <v>0</v>
      </c>
      <c r="BS300" s="106" t="n">
        <f aca="false">SUM(AP300:BR300)/60</f>
        <v>0</v>
      </c>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row>
    <row r="301" customFormat="false" ht="14.9" hidden="true" customHeight="false" outlineLevel="0" collapsed="false">
      <c r="A301" s="74" t="n">
        <f aca="false">MONTH(B301)</f>
        <v>8</v>
      </c>
      <c r="B301" s="135" t="n">
        <v>44435</v>
      </c>
      <c r="C301" s="128" t="s">
        <v>51</v>
      </c>
      <c r="D301" s="77" t="str">
        <f aca="false">IFERROR(VLOOKUP(E:E,'Item Data Support Sheet'!A:O,7,0),"")</f>
        <v>NIPPLE PUNCH</v>
      </c>
      <c r="E301" s="80" t="s">
        <v>666</v>
      </c>
      <c r="F301" s="122"/>
      <c r="G301" s="77" t="s">
        <v>138</v>
      </c>
      <c r="H301" s="79" t="str">
        <f aca="false">IFERROR(VLOOKUP(E:E,'Item Data Support Sheet'!A:O,2,0),"")</f>
        <v>NIPPLE S TYPE L SIZE PUNCHED</v>
      </c>
      <c r="I301" s="80" t="s">
        <v>713</v>
      </c>
      <c r="J301" s="80" t="s">
        <v>140</v>
      </c>
      <c r="K301" s="81" t="n">
        <v>8</v>
      </c>
      <c r="L301" s="124" t="n">
        <v>7036</v>
      </c>
      <c r="M301" s="83" t="n">
        <f aca="false">IFERROR(L301/K301,0)</f>
        <v>879.5</v>
      </c>
      <c r="N301" s="84" t="n">
        <f aca="false">+O301+Q301+T301+U301</f>
        <v>6588</v>
      </c>
      <c r="O301" s="85" t="n">
        <v>6588</v>
      </c>
      <c r="P301" s="86" t="n">
        <v>0</v>
      </c>
      <c r="Q301" s="86" t="n">
        <v>0</v>
      </c>
      <c r="R301" s="132" t="n">
        <v>0</v>
      </c>
      <c r="S301" s="128" t="n">
        <v>0</v>
      </c>
      <c r="T301" s="132" t="n">
        <v>0</v>
      </c>
      <c r="U301" s="128" t="n">
        <v>0</v>
      </c>
      <c r="V301" s="128" t="n">
        <v>1</v>
      </c>
      <c r="W301" s="90" t="n">
        <f aca="false">IFERROR(O301/V301,0)</f>
        <v>6588</v>
      </c>
      <c r="X301" s="91" t="n">
        <f aca="false">O301/L301</f>
        <v>0.9363274587834</v>
      </c>
      <c r="Y301" s="92" t="str">
        <f aca="false">IFERROR(VLOOKUP(E:E,'Item Data Support Sheet'!A:J,6,0),0)</f>
        <v>FO017</v>
      </c>
      <c r="Z301" s="93" t="n">
        <f aca="false">IFERROR(VLOOKUP(E:E,'Item Data Support Sheet'!A:O,4,0),0)</f>
        <v>0</v>
      </c>
      <c r="AA301" s="93" t="n">
        <f aca="false">IFERROR(((N301)*(Z301/1000))+P301,0)</f>
        <v>0</v>
      </c>
      <c r="AB301" s="94" t="str">
        <f aca="false">IFERROR((O301*(Z301/1000)/(AA301))," ")</f>
        <v> </v>
      </c>
      <c r="AC301" s="95" t="n">
        <f aca="false">IFERROR((T301)/((T301)+O301),0)</f>
        <v>0</v>
      </c>
      <c r="AD301" s="96" t="n">
        <f aca="false">IFERROR(Q301/(Q301+N301),0)</f>
        <v>0</v>
      </c>
      <c r="AE301" s="91" t="n">
        <f aca="false">(N301-T301)/N301</f>
        <v>1</v>
      </c>
      <c r="AF301" s="97" t="n">
        <f aca="false">BR301</f>
        <v>0.666666666666667</v>
      </c>
      <c r="AG301" s="98" t="n">
        <f aca="false">K301-AF301</f>
        <v>7.33333333333333</v>
      </c>
      <c r="AH301" s="99" t="n">
        <f aca="false">IFERROR(AG301/K301," ")</f>
        <v>0.916666666666667</v>
      </c>
      <c r="AI301" s="100" t="n">
        <f aca="false">IFERROR(O301/K301,0)</f>
        <v>823.5</v>
      </c>
      <c r="AJ301" s="101" t="n">
        <f aca="false">VLOOKUP(D301,'Standard Cycle time'!C:D,2,0)</f>
        <v>3.5</v>
      </c>
      <c r="AK301" s="101" t="n">
        <f aca="false">AG301*V301*3600/O301</f>
        <v>4.00728597449909</v>
      </c>
      <c r="AL301" s="102" t="n">
        <f aca="false">AJ301/AK301</f>
        <v>0.873409090909091</v>
      </c>
      <c r="AM301" s="99" t="n">
        <f aca="false">AE301*AL301*AH301</f>
        <v>0.800625</v>
      </c>
      <c r="AN301" s="103" t="s">
        <v>714</v>
      </c>
      <c r="AO301" s="109" t="s">
        <v>715</v>
      </c>
      <c r="AP301" s="105" t="n">
        <v>40</v>
      </c>
      <c r="AQ301" s="105" t="n">
        <v>0</v>
      </c>
      <c r="AR301" s="105" t="n">
        <v>0</v>
      </c>
      <c r="AS301" s="105" t="n">
        <v>0</v>
      </c>
      <c r="AT301" s="105" t="n">
        <v>0</v>
      </c>
      <c r="AU301" s="105" t="n">
        <v>0</v>
      </c>
      <c r="AV301" s="105" t="n">
        <v>0</v>
      </c>
      <c r="AW301" s="105" t="n">
        <v>0</v>
      </c>
      <c r="AX301" s="105" t="n">
        <v>0</v>
      </c>
      <c r="AY301" s="105" t="n">
        <v>0</v>
      </c>
      <c r="AZ301" s="105" t="n">
        <v>0</v>
      </c>
      <c r="BA301" s="105" t="n">
        <v>0</v>
      </c>
      <c r="BB301" s="105" t="n">
        <v>0</v>
      </c>
      <c r="BC301" s="105" t="n">
        <v>0</v>
      </c>
      <c r="BD301" s="105" t="n">
        <v>0</v>
      </c>
      <c r="BE301" s="105" t="n">
        <v>0</v>
      </c>
      <c r="BF301" s="105" t="n">
        <v>0</v>
      </c>
      <c r="BG301" s="105" t="n">
        <v>0</v>
      </c>
      <c r="BH301" s="105" t="n">
        <v>0</v>
      </c>
      <c r="BI301" s="105" t="n">
        <v>0</v>
      </c>
      <c r="BJ301" s="105" t="n">
        <v>0</v>
      </c>
      <c r="BK301" s="105" t="n">
        <v>0</v>
      </c>
      <c r="BL301" s="105" t="n">
        <v>0</v>
      </c>
      <c r="BM301" s="105" t="n">
        <v>0</v>
      </c>
      <c r="BN301" s="105" t="n">
        <v>0</v>
      </c>
      <c r="BO301" s="105" t="n">
        <v>0</v>
      </c>
      <c r="BP301" s="105" t="n">
        <v>0</v>
      </c>
      <c r="BQ301" s="105" t="n">
        <v>0</v>
      </c>
      <c r="BR301" s="106" t="n">
        <f aca="false">SUM(AP301:BQ301)/60</f>
        <v>0.666666666666667</v>
      </c>
      <c r="BS301" s="106" t="n">
        <f aca="false">SUM(AP301:BR301)/60</f>
        <v>0.677777777777778</v>
      </c>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row>
    <row r="302" customFormat="false" ht="14.9" hidden="true" customHeight="false" outlineLevel="0" collapsed="false">
      <c r="A302" s="74" t="n">
        <f aca="false">MONTH(B302)</f>
        <v>8</v>
      </c>
      <c r="B302" s="135" t="n">
        <v>44435</v>
      </c>
      <c r="C302" s="128" t="s">
        <v>51</v>
      </c>
      <c r="D302" s="77" t="str">
        <f aca="false">IFERROR(VLOOKUP(E:E,'Item Data Support Sheet'!A:O,7,0),"")</f>
        <v>NIPPLE LASER MARKING</v>
      </c>
      <c r="E302" s="80" t="s">
        <v>600</v>
      </c>
      <c r="F302" s="122"/>
      <c r="G302" s="77" t="s">
        <v>517</v>
      </c>
      <c r="H302" s="79" t="str">
        <f aca="false">IFERROR(VLOOKUP(E:E,'Item Data Support Sheet'!A:O,2,0),"")</f>
        <v>NIPPLE S TYPE LL SIZE LASER MARKED</v>
      </c>
      <c r="I302" s="80" t="s">
        <v>680</v>
      </c>
      <c r="J302" s="80" t="s">
        <v>140</v>
      </c>
      <c r="K302" s="81" t="n">
        <v>2.3</v>
      </c>
      <c r="L302" s="124" t="n">
        <v>2250</v>
      </c>
      <c r="M302" s="83" t="n">
        <f aca="false">IFERROR(L302/K302,0)</f>
        <v>978.260869565218</v>
      </c>
      <c r="N302" s="84" t="n">
        <f aca="false">+O302+Q302+T302+U302</f>
        <v>2250</v>
      </c>
      <c r="O302" s="85" t="n">
        <v>2250</v>
      </c>
      <c r="P302" s="86" t="n">
        <v>0</v>
      </c>
      <c r="Q302" s="86" t="n">
        <v>0</v>
      </c>
      <c r="R302" s="132" t="n">
        <v>0</v>
      </c>
      <c r="S302" s="128" t="n">
        <v>0</v>
      </c>
      <c r="T302" s="132" t="n">
        <v>0</v>
      </c>
      <c r="U302" s="128" t="n">
        <v>0</v>
      </c>
      <c r="V302" s="128" t="n">
        <v>1</v>
      </c>
      <c r="W302" s="90" t="n">
        <f aca="false">IFERROR(O302/V302,0)</f>
        <v>2250</v>
      </c>
      <c r="X302" s="91" t="n">
        <f aca="false">O302/L302</f>
        <v>1</v>
      </c>
      <c r="Y302" s="92" t="str">
        <f aca="false">IFERROR(VLOOKUP(E:E,'Item Data Support Sheet'!A:J,6,0),0)</f>
        <v>FO151</v>
      </c>
      <c r="Z302" s="93" t="n">
        <f aca="false">IFERROR(VLOOKUP(E:E,'Item Data Support Sheet'!A:O,4,0),0)</f>
        <v>0</v>
      </c>
      <c r="AA302" s="93" t="n">
        <f aca="false">IFERROR(((N302)*(Z302/1000))+P302,0)</f>
        <v>0</v>
      </c>
      <c r="AB302" s="94" t="str">
        <f aca="false">IFERROR((O302*(Z302/1000)/(AA302))," ")</f>
        <v> </v>
      </c>
      <c r="AC302" s="95" t="n">
        <f aca="false">IFERROR((T302)/((T302)+O302),0)</f>
        <v>0</v>
      </c>
      <c r="AD302" s="96" t="n">
        <f aca="false">IFERROR(Q302/(Q302+N302),0)</f>
        <v>0</v>
      </c>
      <c r="AE302" s="91" t="n">
        <f aca="false">(N302-T302)/N302</f>
        <v>1</v>
      </c>
      <c r="AF302" s="97" t="n">
        <f aca="false">BR302</f>
        <v>0</v>
      </c>
      <c r="AG302" s="98" t="n">
        <f aca="false">K302-AF302</f>
        <v>2.3</v>
      </c>
      <c r="AH302" s="99" t="n">
        <f aca="false">IFERROR(AG302/K302," ")</f>
        <v>1</v>
      </c>
      <c r="AI302" s="100" t="n">
        <f aca="false">IFERROR(O302/K302,0)</f>
        <v>978.260869565218</v>
      </c>
      <c r="AJ302" s="101" t="n">
        <f aca="false">VLOOKUP(D302,'Standard Cycle time'!C:D,2,0)</f>
        <v>3.5</v>
      </c>
      <c r="AK302" s="101" t="n">
        <f aca="false">AG302*V302*3600/O302</f>
        <v>3.68</v>
      </c>
      <c r="AL302" s="102" t="n">
        <f aca="false">AJ302/AK302</f>
        <v>0.951086956521739</v>
      </c>
      <c r="AM302" s="99" t="n">
        <f aca="false">AE302*AL302*AH302</f>
        <v>0.951086956521739</v>
      </c>
      <c r="AN302" s="103" t="s">
        <v>716</v>
      </c>
      <c r="AO302" s="109"/>
      <c r="AP302" s="105" t="n">
        <v>0</v>
      </c>
      <c r="AQ302" s="105" t="n">
        <v>0</v>
      </c>
      <c r="AR302" s="105" t="n">
        <v>0</v>
      </c>
      <c r="AS302" s="105" t="n">
        <v>0</v>
      </c>
      <c r="AT302" s="105" t="n">
        <v>0</v>
      </c>
      <c r="AU302" s="105" t="n">
        <v>0</v>
      </c>
      <c r="AV302" s="105" t="n">
        <v>0</v>
      </c>
      <c r="AW302" s="105" t="n">
        <v>0</v>
      </c>
      <c r="AX302" s="105" t="n">
        <v>0</v>
      </c>
      <c r="AY302" s="105" t="n">
        <v>0</v>
      </c>
      <c r="AZ302" s="105" t="n">
        <v>0</v>
      </c>
      <c r="BA302" s="105" t="n">
        <v>0</v>
      </c>
      <c r="BB302" s="105" t="n">
        <v>0</v>
      </c>
      <c r="BC302" s="105" t="n">
        <v>0</v>
      </c>
      <c r="BD302" s="105" t="n">
        <v>0</v>
      </c>
      <c r="BE302" s="105" t="n">
        <v>0</v>
      </c>
      <c r="BF302" s="105" t="n">
        <v>0</v>
      </c>
      <c r="BG302" s="105" t="n">
        <v>0</v>
      </c>
      <c r="BH302" s="105" t="n">
        <v>0</v>
      </c>
      <c r="BI302" s="105" t="n">
        <v>0</v>
      </c>
      <c r="BJ302" s="105" t="n">
        <v>0</v>
      </c>
      <c r="BK302" s="105" t="n">
        <v>0</v>
      </c>
      <c r="BL302" s="105" t="n">
        <v>0</v>
      </c>
      <c r="BM302" s="105" t="n">
        <v>0</v>
      </c>
      <c r="BN302" s="105" t="n">
        <v>0</v>
      </c>
      <c r="BO302" s="105" t="n">
        <v>0</v>
      </c>
      <c r="BP302" s="105" t="n">
        <v>0</v>
      </c>
      <c r="BQ302" s="105" t="n">
        <v>0</v>
      </c>
      <c r="BR302" s="106" t="n">
        <f aca="false">SUM(AP302:BQ302)/60</f>
        <v>0</v>
      </c>
      <c r="BS302" s="106" t="n">
        <f aca="false">SUM(AP302:BR302)/60</f>
        <v>0</v>
      </c>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row>
    <row r="303" customFormat="false" ht="14.9" hidden="true" customHeight="false" outlineLevel="0" collapsed="false">
      <c r="A303" s="74" t="n">
        <f aca="false">MONTH(B303)</f>
        <v>8</v>
      </c>
      <c r="B303" s="135" t="n">
        <v>44435</v>
      </c>
      <c r="C303" s="128" t="s">
        <v>51</v>
      </c>
      <c r="D303" s="77" t="str">
        <f aca="false">IFERROR(VLOOKUP(E:E,'Item Data Support Sheet'!A:O,7,0),"")</f>
        <v>NIPPLE LASER MARKING</v>
      </c>
      <c r="E303" s="80" t="s">
        <v>681</v>
      </c>
      <c r="F303" s="122"/>
      <c r="G303" s="77" t="s">
        <v>517</v>
      </c>
      <c r="H303" s="79" t="str">
        <f aca="false">IFERROR(VLOOKUP(E:E,'Item Data Support Sheet'!A:O,2,0),"")</f>
        <v>NIPPLE S TYPE L SIZE PUNCHED LASER MARKED</v>
      </c>
      <c r="I303" s="80" t="s">
        <v>717</v>
      </c>
      <c r="J303" s="80" t="s">
        <v>140</v>
      </c>
      <c r="K303" s="81" t="n">
        <v>5</v>
      </c>
      <c r="L303" s="124" t="n">
        <f aca="false">7000-2250</f>
        <v>4750</v>
      </c>
      <c r="M303" s="83" t="n">
        <f aca="false">IFERROR(L303/K303,0)</f>
        <v>950</v>
      </c>
      <c r="N303" s="84" t="n">
        <f aca="false">+O303+Q303+T303+U303</f>
        <v>3588</v>
      </c>
      <c r="O303" s="85" t="n">
        <v>3588</v>
      </c>
      <c r="P303" s="86" t="n">
        <v>0</v>
      </c>
      <c r="Q303" s="86" t="n">
        <v>0</v>
      </c>
      <c r="R303" s="132" t="n">
        <v>0</v>
      </c>
      <c r="S303" s="128" t="n">
        <v>0</v>
      </c>
      <c r="T303" s="132" t="n">
        <v>0</v>
      </c>
      <c r="U303" s="128" t="n">
        <v>0</v>
      </c>
      <c r="V303" s="128" t="n">
        <v>1</v>
      </c>
      <c r="W303" s="90" t="n">
        <f aca="false">IFERROR(O303/V303,0)</f>
        <v>3588</v>
      </c>
      <c r="X303" s="91" t="n">
        <f aca="false">O303/L303</f>
        <v>0.755368421052632</v>
      </c>
      <c r="Y303" s="92" t="str">
        <f aca="false">IFERROR(VLOOKUP(E:E,'Item Data Support Sheet'!A:J,6,0),0)</f>
        <v>FO021</v>
      </c>
      <c r="Z303" s="93" t="n">
        <f aca="false">IFERROR(VLOOKUP(E:E,'Item Data Support Sheet'!A:O,4,0),0)</f>
        <v>0</v>
      </c>
      <c r="AA303" s="93" t="n">
        <f aca="false">IFERROR(((N303)*(Z303/1000))+P303,0)</f>
        <v>0</v>
      </c>
      <c r="AB303" s="94" t="str">
        <f aca="false">IFERROR((O303*(Z303/1000)/(AA303))," ")</f>
        <v> </v>
      </c>
      <c r="AC303" s="95" t="n">
        <f aca="false">IFERROR((T303)/((T303)+O303),0)</f>
        <v>0</v>
      </c>
      <c r="AD303" s="96" t="n">
        <f aca="false">IFERROR(Q303/(Q303+N303),0)</f>
        <v>0</v>
      </c>
      <c r="AE303" s="91" t="n">
        <f aca="false">(N303-T303)/N303</f>
        <v>1</v>
      </c>
      <c r="AF303" s="97" t="n">
        <f aca="false">BR303</f>
        <v>0.5</v>
      </c>
      <c r="AG303" s="98" t="n">
        <f aca="false">K303-AF303</f>
        <v>4.5</v>
      </c>
      <c r="AH303" s="99" t="n">
        <f aca="false">IFERROR(AG303/K303," ")</f>
        <v>0.9</v>
      </c>
      <c r="AI303" s="100" t="n">
        <f aca="false">IFERROR(O303/K303,0)</f>
        <v>717.6</v>
      </c>
      <c r="AJ303" s="101" t="n">
        <f aca="false">VLOOKUP(D303,'Standard Cycle time'!C:D,2,0)</f>
        <v>3.5</v>
      </c>
      <c r="AK303" s="101" t="n">
        <f aca="false">AG303*V303*3600/O303</f>
        <v>4.51505016722408</v>
      </c>
      <c r="AL303" s="102" t="n">
        <f aca="false">AJ303/AK303</f>
        <v>0.775185185185185</v>
      </c>
      <c r="AM303" s="99" t="n">
        <f aca="false">AE303*AL303*AH303</f>
        <v>0.697666666666667</v>
      </c>
      <c r="AN303" s="103" t="s">
        <v>718</v>
      </c>
      <c r="AO303" s="109" t="s">
        <v>719</v>
      </c>
      <c r="AP303" s="105" t="n">
        <v>30</v>
      </c>
      <c r="AQ303" s="105" t="n">
        <v>0</v>
      </c>
      <c r="AR303" s="105" t="n">
        <v>0</v>
      </c>
      <c r="AS303" s="105" t="n">
        <v>0</v>
      </c>
      <c r="AT303" s="105" t="n">
        <v>0</v>
      </c>
      <c r="AU303" s="105" t="n">
        <v>0</v>
      </c>
      <c r="AV303" s="105" t="n">
        <v>0</v>
      </c>
      <c r="AW303" s="105" t="n">
        <v>0</v>
      </c>
      <c r="AX303" s="105" t="n">
        <v>0</v>
      </c>
      <c r="AY303" s="105" t="n">
        <v>0</v>
      </c>
      <c r="AZ303" s="105" t="n">
        <v>0</v>
      </c>
      <c r="BA303" s="105" t="n">
        <v>0</v>
      </c>
      <c r="BB303" s="105" t="n">
        <v>0</v>
      </c>
      <c r="BC303" s="105" t="n">
        <v>0</v>
      </c>
      <c r="BD303" s="105" t="n">
        <v>0</v>
      </c>
      <c r="BE303" s="105" t="n">
        <v>0</v>
      </c>
      <c r="BF303" s="105" t="n">
        <v>0</v>
      </c>
      <c r="BG303" s="105" t="n">
        <v>0</v>
      </c>
      <c r="BH303" s="105" t="n">
        <v>0</v>
      </c>
      <c r="BI303" s="105" t="n">
        <v>0</v>
      </c>
      <c r="BJ303" s="105" t="n">
        <v>0</v>
      </c>
      <c r="BK303" s="105" t="n">
        <v>0</v>
      </c>
      <c r="BL303" s="105" t="n">
        <v>0</v>
      </c>
      <c r="BM303" s="105" t="n">
        <v>0</v>
      </c>
      <c r="BN303" s="105" t="n">
        <v>0</v>
      </c>
      <c r="BO303" s="105" t="n">
        <v>0</v>
      </c>
      <c r="BP303" s="105" t="n">
        <v>0</v>
      </c>
      <c r="BQ303" s="105" t="n">
        <v>0</v>
      </c>
      <c r="BR303" s="106" t="n">
        <f aca="false">SUM(AP303:BQ303)/60</f>
        <v>0.5</v>
      </c>
      <c r="BS303" s="106" t="n">
        <f aca="false">SUM(AP303:BR303)/60</f>
        <v>0.508333333333333</v>
      </c>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row>
    <row r="304" customFormat="false" ht="14.9" hidden="true" customHeight="false" outlineLevel="0" collapsed="false">
      <c r="A304" s="74" t="n">
        <f aca="false">MONTH(B304)</f>
        <v>8</v>
      </c>
      <c r="B304" s="135" t="n">
        <v>44435</v>
      </c>
      <c r="C304" s="128" t="s">
        <v>63</v>
      </c>
      <c r="D304" s="77" t="str">
        <f aca="false">IFERROR(VLOOKUP(E:E,'Item Data Support Sheet'!A:O,7,0),"")</f>
        <v>BOTTLE PRINTED</v>
      </c>
      <c r="E304" s="80" t="s">
        <v>691</v>
      </c>
      <c r="F304" s="122"/>
      <c r="G304" s="77" t="s">
        <v>66</v>
      </c>
      <c r="H304" s="79" t="str">
        <f aca="false">IFERROR(VLOOKUP(E:E,'Item Data Support Sheet'!A:O,2,0),"")</f>
        <v>KPP 120 ML BOTTLE PRINTED</v>
      </c>
      <c r="I304" s="80" t="s">
        <v>720</v>
      </c>
      <c r="J304" s="80" t="s">
        <v>161</v>
      </c>
      <c r="K304" s="81" t="n">
        <v>8.5</v>
      </c>
      <c r="L304" s="124" t="n">
        <v>5100</v>
      </c>
      <c r="M304" s="83" t="n">
        <f aca="false">IFERROR(L304/K304,0)</f>
        <v>600</v>
      </c>
      <c r="N304" s="84" t="n">
        <f aca="false">+O304+Q304+T304+U304</f>
        <v>6347</v>
      </c>
      <c r="O304" s="85" t="n">
        <v>6300</v>
      </c>
      <c r="P304" s="86" t="n">
        <v>0</v>
      </c>
      <c r="Q304" s="86" t="n">
        <v>0</v>
      </c>
      <c r="R304" s="132" t="n">
        <v>0</v>
      </c>
      <c r="S304" s="128" t="n">
        <v>0</v>
      </c>
      <c r="T304" s="132" t="n">
        <v>47</v>
      </c>
      <c r="U304" s="128" t="n">
        <v>0</v>
      </c>
      <c r="V304" s="128" t="n">
        <v>6</v>
      </c>
      <c r="W304" s="90" t="n">
        <f aca="false">IFERROR(O304/V304,0)</f>
        <v>1050</v>
      </c>
      <c r="X304" s="91" t="n">
        <f aca="false">O304/L304</f>
        <v>1.23529411764706</v>
      </c>
      <c r="Y304" s="92" t="str">
        <f aca="false">IFERROR(VLOOKUP(E:E,'Item Data Support Sheet'!A:J,6,0),0)</f>
        <v>FO001</v>
      </c>
      <c r="Z304" s="93" t="n">
        <f aca="false">IFERROR(VLOOKUP(E:E,'Item Data Support Sheet'!A:O,4,0),0)</f>
        <v>0</v>
      </c>
      <c r="AA304" s="93" t="n">
        <f aca="false">IFERROR(((N304)*(Z304/1000))+P304,0)</f>
        <v>0</v>
      </c>
      <c r="AB304" s="94" t="str">
        <f aca="false">IFERROR((O304*(Z304/1000)/(AA304))," ")</f>
        <v> </v>
      </c>
      <c r="AC304" s="95" t="n">
        <f aca="false">IFERROR((T304)/((T304)+O304),0)</f>
        <v>0.00740507326295888</v>
      </c>
      <c r="AD304" s="96" t="n">
        <f aca="false">IFERROR(Q304/(Q304+N304),0)</f>
        <v>0</v>
      </c>
      <c r="AE304" s="91" t="n">
        <f aca="false">(N304-T304)/N304</f>
        <v>0.992594926737041</v>
      </c>
      <c r="AF304" s="97" t="n">
        <f aca="false">BR304</f>
        <v>0.833333333333333</v>
      </c>
      <c r="AG304" s="98" t="n">
        <f aca="false">K304-AF304</f>
        <v>7.66666666666667</v>
      </c>
      <c r="AH304" s="99" t="n">
        <f aca="false">IFERROR(AG304/K304," ")</f>
        <v>0.901960784313726</v>
      </c>
      <c r="AI304" s="100" t="n">
        <f aca="false">IFERROR(O304/K304,0)</f>
        <v>741.176470588235</v>
      </c>
      <c r="AJ304" s="101" t="n">
        <f aca="false">VLOOKUP(D304,'Standard Cycle time'!C:D,2,0)</f>
        <v>32.4</v>
      </c>
      <c r="AK304" s="101" t="n">
        <f aca="false">AG304*V304*3600/O304</f>
        <v>26.2857142857143</v>
      </c>
      <c r="AL304" s="102" t="n">
        <f aca="false">AJ304/AK304</f>
        <v>1.23260869565217</v>
      </c>
      <c r="AM304" s="99" t="n">
        <f aca="false">AE304*AL304*AH304</f>
        <v>1.10353200678412</v>
      </c>
      <c r="AN304" s="103" t="s">
        <v>721</v>
      </c>
      <c r="AO304" s="109"/>
      <c r="AP304" s="105" t="n">
        <v>50</v>
      </c>
      <c r="AQ304" s="105" t="n">
        <v>0</v>
      </c>
      <c r="AR304" s="105" t="n">
        <v>0</v>
      </c>
      <c r="AS304" s="105" t="n">
        <v>0</v>
      </c>
      <c r="AT304" s="105" t="n">
        <v>0</v>
      </c>
      <c r="AU304" s="105" t="n">
        <v>0</v>
      </c>
      <c r="AV304" s="105" t="n">
        <v>0</v>
      </c>
      <c r="AW304" s="105" t="n">
        <v>0</v>
      </c>
      <c r="AX304" s="105" t="n">
        <v>0</v>
      </c>
      <c r="AY304" s="105" t="n">
        <v>0</v>
      </c>
      <c r="AZ304" s="105" t="n">
        <v>0</v>
      </c>
      <c r="BA304" s="105" t="n">
        <v>0</v>
      </c>
      <c r="BB304" s="105" t="n">
        <v>0</v>
      </c>
      <c r="BC304" s="105" t="n">
        <v>0</v>
      </c>
      <c r="BD304" s="105" t="n">
        <v>0</v>
      </c>
      <c r="BE304" s="105" t="n">
        <v>0</v>
      </c>
      <c r="BF304" s="105" t="n">
        <v>0</v>
      </c>
      <c r="BG304" s="105" t="n">
        <v>0</v>
      </c>
      <c r="BH304" s="105" t="n">
        <v>0</v>
      </c>
      <c r="BI304" s="105" t="n">
        <v>0</v>
      </c>
      <c r="BJ304" s="105" t="n">
        <v>0</v>
      </c>
      <c r="BK304" s="105" t="n">
        <v>0</v>
      </c>
      <c r="BL304" s="105" t="n">
        <v>0</v>
      </c>
      <c r="BM304" s="105" t="n">
        <v>0</v>
      </c>
      <c r="BN304" s="105" t="n">
        <v>0</v>
      </c>
      <c r="BO304" s="105" t="n">
        <v>0</v>
      </c>
      <c r="BP304" s="105" t="n">
        <v>0</v>
      </c>
      <c r="BQ304" s="105" t="n">
        <v>0</v>
      </c>
      <c r="BR304" s="106" t="n">
        <f aca="false">SUM(AP304:BQ304)/60</f>
        <v>0.833333333333333</v>
      </c>
      <c r="BS304" s="106" t="n">
        <f aca="false">SUM(AP304:BR304)/60</f>
        <v>0.847222222222222</v>
      </c>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row>
    <row r="305" customFormat="false" ht="14.9" hidden="true" customHeight="false" outlineLevel="0" collapsed="false">
      <c r="A305" s="74" t="n">
        <f aca="false">MONTH(B305)</f>
        <v>8</v>
      </c>
      <c r="B305" s="135" t="n">
        <v>44435</v>
      </c>
      <c r="C305" s="128" t="s">
        <v>63</v>
      </c>
      <c r="D305" s="77" t="str">
        <f aca="false">IFERROR(VLOOKUP(E:E,'Item Data Support Sheet'!A:O,7,0),"")</f>
        <v>NIPPLE PUNCH INSPECTED</v>
      </c>
      <c r="E305" s="80" t="s">
        <v>688</v>
      </c>
      <c r="F305" s="122"/>
      <c r="G305" s="77"/>
      <c r="H305" s="79" t="str">
        <f aca="false">IFERROR(VLOOKUP(E:E,'Item Data Support Sheet'!A:O,2,0),"")</f>
        <v>NIPPLE S TYPE L SIZE PUNCHED INSPECTED</v>
      </c>
      <c r="I305" s="80" t="s">
        <v>682</v>
      </c>
      <c r="J305" s="80" t="s">
        <v>158</v>
      </c>
      <c r="K305" s="81" t="n">
        <v>6.5</v>
      </c>
      <c r="L305" s="124" t="n">
        <v>12000</v>
      </c>
      <c r="M305" s="83" t="n">
        <f aca="false">IFERROR(L305/K305,0)</f>
        <v>1846.15384615385</v>
      </c>
      <c r="N305" s="84" t="n">
        <f aca="false">+O305+Q305+T305+U305</f>
        <v>11588</v>
      </c>
      <c r="O305" s="85" t="n">
        <v>11344</v>
      </c>
      <c r="P305" s="86" t="n">
        <v>0</v>
      </c>
      <c r="Q305" s="86" t="n">
        <v>0</v>
      </c>
      <c r="R305" s="132" t="n">
        <v>0</v>
      </c>
      <c r="S305" s="128" t="n">
        <v>0</v>
      </c>
      <c r="T305" s="132" t="n">
        <v>244</v>
      </c>
      <c r="U305" s="128" t="n">
        <v>0</v>
      </c>
      <c r="V305" s="128" t="n">
        <v>2</v>
      </c>
      <c r="W305" s="90" t="n">
        <f aca="false">IFERROR(O305/V305,0)</f>
        <v>5672</v>
      </c>
      <c r="X305" s="91" t="n">
        <f aca="false">O305/L305</f>
        <v>0.945333333333333</v>
      </c>
      <c r="Y305" s="92" t="str">
        <f aca="false">IFERROR(VLOOKUP(E:E,'Item Data Support Sheet'!A:J,6,0),0)</f>
        <v>FO106</v>
      </c>
      <c r="Z305" s="93" t="n">
        <f aca="false">IFERROR(VLOOKUP(E:E,'Item Data Support Sheet'!A:O,4,0),0)</f>
        <v>0</v>
      </c>
      <c r="AA305" s="93" t="n">
        <f aca="false">IFERROR(((N305)*(Z305/1000))+P305,0)</f>
        <v>0</v>
      </c>
      <c r="AB305" s="94" t="str">
        <f aca="false">IFERROR((O305*(Z305/1000)/(AA305))," ")</f>
        <v> </v>
      </c>
      <c r="AC305" s="95" t="n">
        <f aca="false">IFERROR((T305)/((T305)+O305),0)</f>
        <v>0.0210562651018295</v>
      </c>
      <c r="AD305" s="96" t="n">
        <f aca="false">IFERROR(Q305/(Q305+N305),0)</f>
        <v>0</v>
      </c>
      <c r="AE305" s="91" t="n">
        <f aca="false">(N305-T305)/N305</f>
        <v>0.978943734898171</v>
      </c>
      <c r="AF305" s="97" t="n">
        <f aca="false">BR305</f>
        <v>0.833333333333333</v>
      </c>
      <c r="AG305" s="98" t="n">
        <f aca="false">K305-AF305</f>
        <v>5.66666666666667</v>
      </c>
      <c r="AH305" s="99" t="n">
        <f aca="false">IFERROR(AG305/K305," ")</f>
        <v>0.871794871794872</v>
      </c>
      <c r="AI305" s="100" t="n">
        <f aca="false">IFERROR(O305/K305,0)</f>
        <v>1745.23076923077</v>
      </c>
      <c r="AJ305" s="101" t="n">
        <f aca="false">VLOOKUP(D305,'Standard Cycle time'!C:D,2,0)</f>
        <v>4</v>
      </c>
      <c r="AK305" s="101" t="n">
        <f aca="false">AG305*V305*3600/O305</f>
        <v>3.5966149506347</v>
      </c>
      <c r="AL305" s="102" t="n">
        <f aca="false">AJ305/AK305</f>
        <v>1.1121568627451</v>
      </c>
      <c r="AM305" s="99" t="n">
        <f aca="false">AE305*AL305*AH305</f>
        <v>0.949157070827765</v>
      </c>
      <c r="AN305" s="103" t="s">
        <v>722</v>
      </c>
      <c r="AO305" s="109"/>
      <c r="AP305" s="105" t="n">
        <v>50</v>
      </c>
      <c r="AQ305" s="105" t="n">
        <v>0</v>
      </c>
      <c r="AR305" s="105" t="n">
        <v>0</v>
      </c>
      <c r="AS305" s="105" t="n">
        <v>0</v>
      </c>
      <c r="AT305" s="105" t="n">
        <v>0</v>
      </c>
      <c r="AU305" s="105" t="n">
        <v>0</v>
      </c>
      <c r="AV305" s="105" t="n">
        <v>0</v>
      </c>
      <c r="AW305" s="105" t="n">
        <v>0</v>
      </c>
      <c r="AX305" s="105" t="n">
        <v>0</v>
      </c>
      <c r="AY305" s="105" t="n">
        <v>0</v>
      </c>
      <c r="AZ305" s="105" t="n">
        <v>0</v>
      </c>
      <c r="BA305" s="105" t="n">
        <v>0</v>
      </c>
      <c r="BB305" s="105" t="n">
        <v>0</v>
      </c>
      <c r="BC305" s="105" t="n">
        <v>0</v>
      </c>
      <c r="BD305" s="105" t="n">
        <v>0</v>
      </c>
      <c r="BE305" s="105" t="n">
        <v>0</v>
      </c>
      <c r="BF305" s="105" t="n">
        <v>0</v>
      </c>
      <c r="BG305" s="105" t="n">
        <v>0</v>
      </c>
      <c r="BH305" s="105" t="n">
        <v>0</v>
      </c>
      <c r="BI305" s="105" t="n">
        <v>0</v>
      </c>
      <c r="BJ305" s="105" t="n">
        <v>0</v>
      </c>
      <c r="BK305" s="105" t="n">
        <v>0</v>
      </c>
      <c r="BL305" s="105" t="n">
        <v>0</v>
      </c>
      <c r="BM305" s="105" t="n">
        <v>0</v>
      </c>
      <c r="BN305" s="105" t="n">
        <v>0</v>
      </c>
      <c r="BO305" s="105" t="n">
        <v>0</v>
      </c>
      <c r="BP305" s="105" t="n">
        <v>0</v>
      </c>
      <c r="BQ305" s="105" t="n">
        <v>0</v>
      </c>
      <c r="BR305" s="106" t="n">
        <f aca="false">SUM(AP305:BQ305)/60</f>
        <v>0.833333333333333</v>
      </c>
      <c r="BS305" s="106" t="n">
        <f aca="false">SUM(AP305:BR305)/60</f>
        <v>0.847222222222222</v>
      </c>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row>
    <row r="306" customFormat="false" ht="14.9" hidden="true" customHeight="false" outlineLevel="0" collapsed="false">
      <c r="A306" s="74" t="n">
        <f aca="false">MONTH(B306)</f>
        <v>8</v>
      </c>
      <c r="B306" s="135" t="n">
        <v>44435</v>
      </c>
      <c r="C306" s="128" t="s">
        <v>63</v>
      </c>
      <c r="D306" s="77" t="str">
        <f aca="false">IFERROR(VLOOKUP(E:E,'Item Data Support Sheet'!A:O,7,0),"")</f>
        <v>NIPPLE PUNCH INSPECTED</v>
      </c>
      <c r="E306" s="80" t="s">
        <v>621</v>
      </c>
      <c r="F306" s="122"/>
      <c r="G306" s="77"/>
      <c r="H306" s="79" t="str">
        <f aca="false">IFERROR(VLOOKUP(E:E,'Item Data Support Sheet'!A:O,2,0),"")</f>
        <v>NIPPLE S TYPE LL SIZE INSPECTED</v>
      </c>
      <c r="I306" s="80" t="s">
        <v>680</v>
      </c>
      <c r="J306" s="80" t="s">
        <v>158</v>
      </c>
      <c r="K306" s="81" t="n">
        <v>2</v>
      </c>
      <c r="L306" s="124" t="n">
        <v>2072</v>
      </c>
      <c r="M306" s="83" t="n">
        <f aca="false">IFERROR(L306/K306,0)</f>
        <v>1036</v>
      </c>
      <c r="N306" s="84" t="n">
        <f aca="false">+O306+Q306+T306+U306</f>
        <v>2492</v>
      </c>
      <c r="O306" s="85" t="n">
        <f aca="false">2206+176</f>
        <v>2382</v>
      </c>
      <c r="P306" s="86" t="n">
        <v>0</v>
      </c>
      <c r="Q306" s="86" t="n">
        <v>0</v>
      </c>
      <c r="R306" s="132" t="n">
        <v>0</v>
      </c>
      <c r="S306" s="128" t="n">
        <v>0</v>
      </c>
      <c r="T306" s="132" t="n">
        <f aca="false">44+66</f>
        <v>110</v>
      </c>
      <c r="U306" s="128" t="n">
        <v>0</v>
      </c>
      <c r="V306" s="128" t="n">
        <v>2</v>
      </c>
      <c r="W306" s="90" t="n">
        <f aca="false">IFERROR(O306/V306,0)</f>
        <v>1191</v>
      </c>
      <c r="X306" s="91" t="n">
        <f aca="false">O306/L306</f>
        <v>1.1496138996139</v>
      </c>
      <c r="Y306" s="92" t="str">
        <f aca="false">IFERROR(VLOOKUP(E:E,'Item Data Support Sheet'!A:J,6,0),0)</f>
        <v>FO152</v>
      </c>
      <c r="Z306" s="93" t="n">
        <f aca="false">IFERROR(VLOOKUP(E:E,'Item Data Support Sheet'!A:O,4,0),0)</f>
        <v>0</v>
      </c>
      <c r="AA306" s="93" t="n">
        <f aca="false">IFERROR(((N306)*(Z306/1000))+P306,0)</f>
        <v>0</v>
      </c>
      <c r="AB306" s="94" t="str">
        <f aca="false">IFERROR((O306*(Z306/1000)/(AA306))," ")</f>
        <v> </v>
      </c>
      <c r="AC306" s="95" t="n">
        <f aca="false">IFERROR((T306)/((T306)+O306),0)</f>
        <v>0.0441412520064205</v>
      </c>
      <c r="AD306" s="96" t="n">
        <f aca="false">IFERROR(Q306/(Q306+N306),0)</f>
        <v>0</v>
      </c>
      <c r="AE306" s="91" t="n">
        <f aca="false">(N306-T306)/N306</f>
        <v>0.95585874799358</v>
      </c>
      <c r="AF306" s="97" t="n">
        <f aca="false">BR306</f>
        <v>0.5</v>
      </c>
      <c r="AG306" s="98" t="n">
        <f aca="false">K306-AF306</f>
        <v>1.5</v>
      </c>
      <c r="AH306" s="99" t="n">
        <f aca="false">IFERROR(AG306/K306," ")</f>
        <v>0.75</v>
      </c>
      <c r="AI306" s="100" t="n">
        <f aca="false">IFERROR(O306/K306,0)</f>
        <v>1191</v>
      </c>
      <c r="AJ306" s="101" t="n">
        <f aca="false">VLOOKUP(D306,'Standard Cycle time'!C:D,2,0)</f>
        <v>4</v>
      </c>
      <c r="AK306" s="101" t="n">
        <f aca="false">AG306*V306*3600/O306</f>
        <v>4.53400503778338</v>
      </c>
      <c r="AL306" s="102" t="n">
        <f aca="false">AJ306/AK306</f>
        <v>0.882222222222222</v>
      </c>
      <c r="AM306" s="99" t="n">
        <f aca="false">AE306*AL306*AH306</f>
        <v>0.632459871589085</v>
      </c>
      <c r="AN306" s="103" t="s">
        <v>723</v>
      </c>
      <c r="AO306" s="109"/>
      <c r="AP306" s="105" t="n">
        <v>0</v>
      </c>
      <c r="AQ306" s="105" t="n">
        <v>0</v>
      </c>
      <c r="AR306" s="105" t="n">
        <v>0</v>
      </c>
      <c r="AS306" s="105" t="n">
        <v>30</v>
      </c>
      <c r="AT306" s="105" t="n">
        <v>0</v>
      </c>
      <c r="AU306" s="105" t="n">
        <v>0</v>
      </c>
      <c r="AV306" s="105" t="n">
        <v>0</v>
      </c>
      <c r="AW306" s="105" t="n">
        <v>0</v>
      </c>
      <c r="AX306" s="105" t="n">
        <v>0</v>
      </c>
      <c r="AY306" s="105" t="n">
        <v>0</v>
      </c>
      <c r="AZ306" s="105" t="n">
        <v>0</v>
      </c>
      <c r="BA306" s="105" t="n">
        <v>0</v>
      </c>
      <c r="BB306" s="105" t="n">
        <v>0</v>
      </c>
      <c r="BC306" s="105" t="n">
        <v>0</v>
      </c>
      <c r="BD306" s="105" t="n">
        <v>0</v>
      </c>
      <c r="BE306" s="105" t="n">
        <v>0</v>
      </c>
      <c r="BF306" s="105" t="n">
        <v>0</v>
      </c>
      <c r="BG306" s="105" t="n">
        <v>0</v>
      </c>
      <c r="BH306" s="105" t="n">
        <v>0</v>
      </c>
      <c r="BI306" s="105" t="n">
        <v>0</v>
      </c>
      <c r="BJ306" s="105" t="n">
        <v>0</v>
      </c>
      <c r="BK306" s="105" t="n">
        <v>0</v>
      </c>
      <c r="BL306" s="105" t="n">
        <v>0</v>
      </c>
      <c r="BM306" s="105" t="n">
        <v>0</v>
      </c>
      <c r="BN306" s="105" t="n">
        <v>0</v>
      </c>
      <c r="BO306" s="105" t="n">
        <v>0</v>
      </c>
      <c r="BP306" s="105" t="n">
        <v>0</v>
      </c>
      <c r="BQ306" s="105" t="n">
        <v>0</v>
      </c>
      <c r="BR306" s="106" t="n">
        <f aca="false">SUM(AP306:BQ306)/60</f>
        <v>0.5</v>
      </c>
      <c r="BS306" s="106" t="n">
        <f aca="false">SUM(AP306:BR306)/60</f>
        <v>0.508333333333333</v>
      </c>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row>
    <row r="307" customFormat="false" ht="14.9" hidden="true" customHeight="false" outlineLevel="0" collapsed="false">
      <c r="A307" s="74" t="n">
        <f aca="false">MONTH(B307)</f>
        <v>8</v>
      </c>
      <c r="B307" s="135" t="n">
        <v>44435</v>
      </c>
      <c r="C307" s="128" t="s">
        <v>63</v>
      </c>
      <c r="D307" s="77" t="str">
        <f aca="false">IFERROR(VLOOKUP(E:E,'Item Data Support Sheet'!A:O,7,0),"")</f>
        <v>NIPPLE WRAP PRINTED</v>
      </c>
      <c r="E307" s="80" t="s">
        <v>474</v>
      </c>
      <c r="F307" s="122"/>
      <c r="G307" s="77" t="s">
        <v>432</v>
      </c>
      <c r="H307" s="79" t="str">
        <f aca="false">IFERROR(VLOOKUP(E:E,'Item Data Support Sheet'!A:O,2,0),"")</f>
        <v>NIPPLE S TYPE L SIZE WITH PRINTED WRAP</v>
      </c>
      <c r="I307" s="80" t="s">
        <v>724</v>
      </c>
      <c r="J307" s="80" t="s">
        <v>158</v>
      </c>
      <c r="K307" s="81" t="n">
        <v>4</v>
      </c>
      <c r="L307" s="124" t="n">
        <v>8016</v>
      </c>
      <c r="M307" s="83" t="n">
        <f aca="false">IFERROR(L307/K307,0)</f>
        <v>2004</v>
      </c>
      <c r="N307" s="84" t="n">
        <f aca="false">+O307+Q307+T307+U307</f>
        <v>7668</v>
      </c>
      <c r="O307" s="85" t="n">
        <v>7668</v>
      </c>
      <c r="P307" s="86" t="n">
        <v>0</v>
      </c>
      <c r="Q307" s="86" t="n">
        <v>0</v>
      </c>
      <c r="R307" s="132" t="n">
        <v>0</v>
      </c>
      <c r="S307" s="128" t="n">
        <v>0</v>
      </c>
      <c r="T307" s="132" t="n">
        <v>0</v>
      </c>
      <c r="U307" s="128" t="n">
        <v>0</v>
      </c>
      <c r="V307" s="128" t="n">
        <v>2</v>
      </c>
      <c r="W307" s="90" t="n">
        <f aca="false">IFERROR(O307/V307,0)</f>
        <v>3834</v>
      </c>
      <c r="X307" s="91" t="n">
        <f aca="false">O307/L307</f>
        <v>0.956586826347305</v>
      </c>
      <c r="Y307" s="92" t="str">
        <f aca="false">IFERROR(VLOOKUP(E:E,'Item Data Support Sheet'!A:J,6,0),0)</f>
        <v>FO021</v>
      </c>
      <c r="Z307" s="93" t="n">
        <f aca="false">IFERROR(VLOOKUP(E:E,'Item Data Support Sheet'!A:O,4,0),0)</f>
        <v>0</v>
      </c>
      <c r="AA307" s="93" t="n">
        <f aca="false">IFERROR(((N307)*(Z307/1000))+P307,0)</f>
        <v>0</v>
      </c>
      <c r="AB307" s="94" t="str">
        <f aca="false">IFERROR((O307*(Z307/1000)/(AA307))," ")</f>
        <v> </v>
      </c>
      <c r="AC307" s="95" t="n">
        <f aca="false">IFERROR((T307)/((T307)+O307),0)</f>
        <v>0</v>
      </c>
      <c r="AD307" s="96" t="n">
        <f aca="false">IFERROR(Q307/(Q307+N307),0)</f>
        <v>0</v>
      </c>
      <c r="AE307" s="91" t="n">
        <f aca="false">(N307-T307)/N307</f>
        <v>1</v>
      </c>
      <c r="AF307" s="97" t="n">
        <f aca="false">BR307</f>
        <v>0.166666666666667</v>
      </c>
      <c r="AG307" s="98" t="n">
        <f aca="false">K307-AF307</f>
        <v>3.83333333333333</v>
      </c>
      <c r="AH307" s="99" t="n">
        <f aca="false">IFERROR(AG307/K307," ")</f>
        <v>0.958333333333333</v>
      </c>
      <c r="AI307" s="100" t="n">
        <f aca="false">IFERROR(O307/K307,0)</f>
        <v>1917</v>
      </c>
      <c r="AJ307" s="101" t="n">
        <f aca="false">VLOOKUP(D307,'Standard Cycle time'!C:D,2,0)</f>
        <v>2.5</v>
      </c>
      <c r="AK307" s="101" t="n">
        <f aca="false">AG307*V307*3600/O307</f>
        <v>3.59937402190923</v>
      </c>
      <c r="AL307" s="102" t="n">
        <f aca="false">AJ307/AK307</f>
        <v>0.694565217391304</v>
      </c>
      <c r="AM307" s="99" t="n">
        <f aca="false">AE307*AL307*AH307</f>
        <v>0.665625</v>
      </c>
      <c r="AN307" s="103" t="s">
        <v>725</v>
      </c>
      <c r="AO307" s="104"/>
      <c r="AP307" s="105" t="n">
        <v>10</v>
      </c>
      <c r="AQ307" s="105" t="n">
        <v>0</v>
      </c>
      <c r="AR307" s="105" t="n">
        <v>0</v>
      </c>
      <c r="AS307" s="105" t="n">
        <v>0</v>
      </c>
      <c r="AT307" s="105" t="n">
        <v>0</v>
      </c>
      <c r="AU307" s="105" t="n">
        <v>0</v>
      </c>
      <c r="AV307" s="105" t="n">
        <v>0</v>
      </c>
      <c r="AW307" s="105" t="n">
        <v>0</v>
      </c>
      <c r="AX307" s="105" t="n">
        <v>0</v>
      </c>
      <c r="AY307" s="105" t="n">
        <v>0</v>
      </c>
      <c r="AZ307" s="105" t="n">
        <v>0</v>
      </c>
      <c r="BA307" s="105" t="n">
        <v>0</v>
      </c>
      <c r="BB307" s="105" t="n">
        <v>0</v>
      </c>
      <c r="BC307" s="105" t="n">
        <v>0</v>
      </c>
      <c r="BD307" s="105" t="n">
        <v>0</v>
      </c>
      <c r="BE307" s="105" t="n">
        <v>0</v>
      </c>
      <c r="BF307" s="105" t="n">
        <v>0</v>
      </c>
      <c r="BG307" s="105" t="n">
        <v>0</v>
      </c>
      <c r="BH307" s="105" t="n">
        <v>0</v>
      </c>
      <c r="BI307" s="105" t="n">
        <v>0</v>
      </c>
      <c r="BJ307" s="105" t="n">
        <v>0</v>
      </c>
      <c r="BK307" s="105" t="n">
        <v>0</v>
      </c>
      <c r="BL307" s="105" t="n">
        <v>0</v>
      </c>
      <c r="BM307" s="105" t="n">
        <v>0</v>
      </c>
      <c r="BN307" s="105" t="n">
        <v>0</v>
      </c>
      <c r="BO307" s="105" t="n">
        <v>0</v>
      </c>
      <c r="BP307" s="105" t="n">
        <v>0</v>
      </c>
      <c r="BQ307" s="105" t="n">
        <v>0</v>
      </c>
      <c r="BR307" s="106" t="n">
        <f aca="false">SUM(AP307:BQ307)/60</f>
        <v>0.166666666666667</v>
      </c>
      <c r="BS307" s="106" t="n">
        <f aca="false">SUM(AP307:BR307)/60</f>
        <v>0.169444444444444</v>
      </c>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row>
    <row r="308" customFormat="false" ht="14.9" hidden="true" customHeight="false" outlineLevel="0" collapsed="false">
      <c r="A308" s="74" t="n">
        <f aca="false">MONTH(B308)</f>
        <v>8</v>
      </c>
      <c r="B308" s="135" t="n">
        <v>44435</v>
      </c>
      <c r="C308" s="128" t="s">
        <v>70</v>
      </c>
      <c r="D308" s="77" t="str">
        <f aca="false">IFERROR(VLOOKUP(E:E,'Item Data Support Sheet'!A:O,7,0),"")</f>
        <v>NIPPLE LASER MARKING</v>
      </c>
      <c r="E308" s="80" t="s">
        <v>681</v>
      </c>
      <c r="F308" s="122"/>
      <c r="G308" s="77" t="s">
        <v>517</v>
      </c>
      <c r="H308" s="79" t="str">
        <f aca="false">IFERROR(VLOOKUP(E:E,'Item Data Support Sheet'!A:O,2,0),"")</f>
        <v>NIPPLE S TYPE L SIZE PUNCHED LASER MARKED</v>
      </c>
      <c r="I308" s="80" t="s">
        <v>726</v>
      </c>
      <c r="J308" s="80" t="s">
        <v>143</v>
      </c>
      <c r="K308" s="81" t="n">
        <v>8</v>
      </c>
      <c r="L308" s="124" t="n">
        <v>7036</v>
      </c>
      <c r="M308" s="83" t="n">
        <f aca="false">IFERROR(L308/K308,0)</f>
        <v>879.5</v>
      </c>
      <c r="N308" s="84" t="n">
        <f aca="false">+O308+Q308+T308+U308</f>
        <v>7000</v>
      </c>
      <c r="O308" s="85" t="n">
        <v>7000</v>
      </c>
      <c r="P308" s="86" t="n">
        <v>0</v>
      </c>
      <c r="Q308" s="86" t="n">
        <v>0</v>
      </c>
      <c r="R308" s="132" t="n">
        <v>0</v>
      </c>
      <c r="S308" s="128" t="n">
        <v>0</v>
      </c>
      <c r="T308" s="132" t="n">
        <v>0</v>
      </c>
      <c r="U308" s="128" t="n">
        <v>0</v>
      </c>
      <c r="V308" s="128" t="n">
        <v>1</v>
      </c>
      <c r="W308" s="90" t="n">
        <f aca="false">IFERROR(O308/V308,0)</f>
        <v>7000</v>
      </c>
      <c r="X308" s="91" t="n">
        <f aca="false">O308/L308</f>
        <v>0.99488345650938</v>
      </c>
      <c r="Y308" s="92" t="str">
        <f aca="false">IFERROR(VLOOKUP(E:E,'Item Data Support Sheet'!A:J,6,0),0)</f>
        <v>FO021</v>
      </c>
      <c r="Z308" s="93" t="n">
        <f aca="false">IFERROR(VLOOKUP(E:E,'Item Data Support Sheet'!A:O,4,0),0)</f>
        <v>0</v>
      </c>
      <c r="AA308" s="93" t="n">
        <f aca="false">IFERROR(((N308)*(Z308/1000))+P308,0)</f>
        <v>0</v>
      </c>
      <c r="AB308" s="94" t="str">
        <f aca="false">IFERROR((O308*(Z308/1000)/(AA308))," ")</f>
        <v> </v>
      </c>
      <c r="AC308" s="95" t="n">
        <f aca="false">IFERROR((T308)/((T308)+O308),0)</f>
        <v>0</v>
      </c>
      <c r="AD308" s="96" t="n">
        <f aca="false">IFERROR(Q308/(Q308+N308),0)</f>
        <v>0</v>
      </c>
      <c r="AE308" s="91" t="n">
        <f aca="false">(N308-T308)/N308</f>
        <v>1</v>
      </c>
      <c r="AF308" s="97" t="n">
        <f aca="false">BR308</f>
        <v>0.666666666666667</v>
      </c>
      <c r="AG308" s="98" t="n">
        <f aca="false">K308-AF308</f>
        <v>7.33333333333333</v>
      </c>
      <c r="AH308" s="99" t="n">
        <f aca="false">IFERROR(AG308/K308," ")</f>
        <v>0.916666666666667</v>
      </c>
      <c r="AI308" s="100" t="n">
        <f aca="false">IFERROR(O308/K308,0)</f>
        <v>875</v>
      </c>
      <c r="AJ308" s="101" t="n">
        <f aca="false">VLOOKUP(D308,'Standard Cycle time'!C:D,2,0)</f>
        <v>3.5</v>
      </c>
      <c r="AK308" s="101" t="n">
        <f aca="false">AG308*V308*3600/O308</f>
        <v>3.77142857142857</v>
      </c>
      <c r="AL308" s="102" t="n">
        <f aca="false">AJ308/AK308</f>
        <v>0.928030303030303</v>
      </c>
      <c r="AM308" s="99" t="n">
        <f aca="false">AE308*AL308*AH308</f>
        <v>0.850694444444444</v>
      </c>
      <c r="AN308" s="103" t="s">
        <v>727</v>
      </c>
      <c r="AO308" s="109"/>
      <c r="AP308" s="105" t="n">
        <v>40</v>
      </c>
      <c r="AQ308" s="105" t="n">
        <v>0</v>
      </c>
      <c r="AR308" s="105" t="n">
        <v>0</v>
      </c>
      <c r="AS308" s="105" t="n">
        <v>0</v>
      </c>
      <c r="AT308" s="105" t="n">
        <v>0</v>
      </c>
      <c r="AU308" s="105" t="n">
        <v>0</v>
      </c>
      <c r="AV308" s="105" t="n">
        <v>0</v>
      </c>
      <c r="AW308" s="105" t="n">
        <v>0</v>
      </c>
      <c r="AX308" s="105" t="n">
        <v>0</v>
      </c>
      <c r="AY308" s="105" t="n">
        <v>0</v>
      </c>
      <c r="AZ308" s="105" t="n">
        <v>0</v>
      </c>
      <c r="BA308" s="105" t="n">
        <v>0</v>
      </c>
      <c r="BB308" s="105" t="n">
        <v>0</v>
      </c>
      <c r="BC308" s="105" t="n">
        <v>0</v>
      </c>
      <c r="BD308" s="105" t="n">
        <v>0</v>
      </c>
      <c r="BE308" s="105" t="n">
        <v>0</v>
      </c>
      <c r="BF308" s="105" t="n">
        <v>0</v>
      </c>
      <c r="BG308" s="105" t="n">
        <v>0</v>
      </c>
      <c r="BH308" s="105" t="n">
        <v>0</v>
      </c>
      <c r="BI308" s="105" t="n">
        <v>0</v>
      </c>
      <c r="BJ308" s="105" t="n">
        <v>0</v>
      </c>
      <c r="BK308" s="105" t="n">
        <v>0</v>
      </c>
      <c r="BL308" s="105" t="n">
        <v>0</v>
      </c>
      <c r="BM308" s="105" t="n">
        <v>0</v>
      </c>
      <c r="BN308" s="105" t="n">
        <v>0</v>
      </c>
      <c r="BO308" s="105" t="n">
        <v>0</v>
      </c>
      <c r="BP308" s="105" t="n">
        <v>0</v>
      </c>
      <c r="BQ308" s="105" t="n">
        <v>0</v>
      </c>
      <c r="BR308" s="106" t="n">
        <f aca="false">SUM(AP308:BQ308)/60</f>
        <v>0.666666666666667</v>
      </c>
      <c r="BS308" s="106" t="n">
        <f aca="false">SUM(AP308:BR308)/60</f>
        <v>0.677777777777778</v>
      </c>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row>
    <row r="309" customFormat="false" ht="14.9" hidden="true" customHeight="false" outlineLevel="0" collapsed="false">
      <c r="A309" s="74" t="n">
        <f aca="false">MONTH(B309)</f>
        <v>8</v>
      </c>
      <c r="B309" s="135" t="n">
        <v>44435</v>
      </c>
      <c r="C309" s="128" t="s">
        <v>70</v>
      </c>
      <c r="D309" s="77" t="str">
        <f aca="false">IFERROR(VLOOKUP(E:E,'Item Data Support Sheet'!A:O,7,0),"")</f>
        <v>NIPPLE PUNCH</v>
      </c>
      <c r="E309" s="80" t="s">
        <v>666</v>
      </c>
      <c r="F309" s="122"/>
      <c r="G309" s="77" t="s">
        <v>54</v>
      </c>
      <c r="H309" s="79" t="str">
        <f aca="false">IFERROR(VLOOKUP(E:E,'Item Data Support Sheet'!A:O,2,0),"")</f>
        <v>NIPPLE S TYPE L SIZE PUNCHED</v>
      </c>
      <c r="I309" s="80" t="s">
        <v>728</v>
      </c>
      <c r="J309" s="80" t="s">
        <v>143</v>
      </c>
      <c r="K309" s="81" t="n">
        <v>8</v>
      </c>
      <c r="L309" s="124" t="n">
        <v>7036</v>
      </c>
      <c r="M309" s="83" t="n">
        <f aca="false">IFERROR(L309/K309,0)</f>
        <v>879.5</v>
      </c>
      <c r="N309" s="84" t="n">
        <f aca="false">+O309+Q309+T309+U309</f>
        <v>7300</v>
      </c>
      <c r="O309" s="85" t="n">
        <v>7300</v>
      </c>
      <c r="P309" s="86" t="n">
        <v>0</v>
      </c>
      <c r="Q309" s="86" t="n">
        <v>0</v>
      </c>
      <c r="R309" s="132" t="n">
        <v>0</v>
      </c>
      <c r="S309" s="128" t="n">
        <v>0</v>
      </c>
      <c r="T309" s="132" t="n">
        <v>0</v>
      </c>
      <c r="U309" s="128" t="n">
        <v>0</v>
      </c>
      <c r="V309" s="128" t="n">
        <v>1</v>
      </c>
      <c r="W309" s="90" t="n">
        <f aca="false">IFERROR(O309/V309,0)</f>
        <v>7300</v>
      </c>
      <c r="X309" s="91" t="n">
        <f aca="false">O309/L309</f>
        <v>1.03752131893121</v>
      </c>
      <c r="Y309" s="92" t="str">
        <f aca="false">IFERROR(VLOOKUP(E:E,'Item Data Support Sheet'!A:J,6,0),0)</f>
        <v>FO017</v>
      </c>
      <c r="Z309" s="93" t="n">
        <f aca="false">IFERROR(VLOOKUP(E:E,'Item Data Support Sheet'!A:O,4,0),0)</f>
        <v>0</v>
      </c>
      <c r="AA309" s="93" t="n">
        <f aca="false">IFERROR(((N309)*(Z309/1000))+P309,0)</f>
        <v>0</v>
      </c>
      <c r="AB309" s="94" t="str">
        <f aca="false">IFERROR((O309*(Z309/1000)/(AA309))," ")</f>
        <v> </v>
      </c>
      <c r="AC309" s="95" t="n">
        <f aca="false">IFERROR((T309)/((T309)+O309),0)</f>
        <v>0</v>
      </c>
      <c r="AD309" s="96" t="n">
        <f aca="false">IFERROR(Q309/(Q309+N309),0)</f>
        <v>0</v>
      </c>
      <c r="AE309" s="91" t="n">
        <f aca="false">(N309-T309)/N309</f>
        <v>1</v>
      </c>
      <c r="AF309" s="97" t="n">
        <f aca="false">BR309</f>
        <v>0.666666666666667</v>
      </c>
      <c r="AG309" s="98" t="n">
        <f aca="false">K309-AF309</f>
        <v>7.33333333333333</v>
      </c>
      <c r="AH309" s="99" t="n">
        <f aca="false">IFERROR(AG309/K309," ")</f>
        <v>0.916666666666667</v>
      </c>
      <c r="AI309" s="100" t="n">
        <f aca="false">IFERROR(O309/K309,0)</f>
        <v>912.5</v>
      </c>
      <c r="AJ309" s="101" t="n">
        <f aca="false">VLOOKUP(D309,'Standard Cycle time'!C:D,2,0)</f>
        <v>3.5</v>
      </c>
      <c r="AK309" s="101" t="n">
        <f aca="false">AG309*V309*3600/O309</f>
        <v>3.61643835616438</v>
      </c>
      <c r="AL309" s="102" t="n">
        <f aca="false">AJ309/AK309</f>
        <v>0.96780303030303</v>
      </c>
      <c r="AM309" s="99" t="n">
        <f aca="false">AE309*AL309*AH309</f>
        <v>0.887152777777778</v>
      </c>
      <c r="AN309" s="103" t="n">
        <v>2814</v>
      </c>
      <c r="AO309" s="109"/>
      <c r="AP309" s="105" t="n">
        <v>40</v>
      </c>
      <c r="AQ309" s="105" t="n">
        <v>0</v>
      </c>
      <c r="AR309" s="105" t="n">
        <v>0</v>
      </c>
      <c r="AS309" s="105" t="n">
        <v>0</v>
      </c>
      <c r="AT309" s="105" t="n">
        <v>0</v>
      </c>
      <c r="AU309" s="105" t="n">
        <v>0</v>
      </c>
      <c r="AV309" s="105" t="n">
        <v>0</v>
      </c>
      <c r="AW309" s="105" t="n">
        <v>0</v>
      </c>
      <c r="AX309" s="105" t="n">
        <v>0</v>
      </c>
      <c r="AY309" s="105" t="n">
        <v>0</v>
      </c>
      <c r="AZ309" s="105" t="n">
        <v>0</v>
      </c>
      <c r="BA309" s="105" t="n">
        <v>0</v>
      </c>
      <c r="BB309" s="105" t="n">
        <v>0</v>
      </c>
      <c r="BC309" s="105" t="n">
        <v>0</v>
      </c>
      <c r="BD309" s="105" t="n">
        <v>0</v>
      </c>
      <c r="BE309" s="105" t="n">
        <v>0</v>
      </c>
      <c r="BF309" s="105" t="n">
        <v>0</v>
      </c>
      <c r="BG309" s="105" t="n">
        <v>0</v>
      </c>
      <c r="BH309" s="105" t="n">
        <v>0</v>
      </c>
      <c r="BI309" s="105" t="n">
        <v>0</v>
      </c>
      <c r="BJ309" s="105" t="n">
        <v>0</v>
      </c>
      <c r="BK309" s="105" t="n">
        <v>0</v>
      </c>
      <c r="BL309" s="105" t="n">
        <v>0</v>
      </c>
      <c r="BM309" s="105" t="n">
        <v>0</v>
      </c>
      <c r="BN309" s="105" t="n">
        <v>0</v>
      </c>
      <c r="BO309" s="105" t="n">
        <v>0</v>
      </c>
      <c r="BP309" s="105" t="n">
        <v>0</v>
      </c>
      <c r="BQ309" s="105" t="n">
        <v>0</v>
      </c>
      <c r="BR309" s="106" t="n">
        <f aca="false">SUM(AP309:BQ309)/60</f>
        <v>0.666666666666667</v>
      </c>
      <c r="BS309" s="106" t="n">
        <f aca="false">SUM(AP309:BR309)/60</f>
        <v>0.677777777777778</v>
      </c>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row>
    <row r="310" customFormat="false" ht="14.9" hidden="true" customHeight="false" outlineLevel="0" collapsed="false">
      <c r="A310" s="74" t="n">
        <f aca="false">MONTH(B310)</f>
        <v>8</v>
      </c>
      <c r="B310" s="135" t="n">
        <v>44435</v>
      </c>
      <c r="C310" s="128" t="s">
        <v>70</v>
      </c>
      <c r="D310" s="77" t="str">
        <f aca="false">IFERROR(VLOOKUP(E:E,'Item Data Support Sheet'!A:O,7,0),"")</f>
        <v>NIPPLE MOLDED</v>
      </c>
      <c r="E310" s="80" t="s">
        <v>661</v>
      </c>
      <c r="F310" s="122"/>
      <c r="G310" s="77"/>
      <c r="H310" s="79" t="str">
        <f aca="false">IFERROR(VLOOKUP(E:E,'Item Data Support Sheet'!A:O,2,0),"")</f>
        <v>NIPPLE S TYPE L SIZE INJECTION</v>
      </c>
      <c r="I310" s="80" t="s">
        <v>729</v>
      </c>
      <c r="J310" s="80" t="s">
        <v>143</v>
      </c>
      <c r="K310" s="81" t="n">
        <v>8</v>
      </c>
      <c r="L310" s="124" t="n">
        <v>4815</v>
      </c>
      <c r="M310" s="83" t="n">
        <f aca="false">IFERROR(L310/K310,0)</f>
        <v>601.875</v>
      </c>
      <c r="N310" s="84" t="n">
        <f aca="false">+O310+Q310+T310+U310</f>
        <v>5470</v>
      </c>
      <c r="O310" s="85" t="n">
        <v>5300</v>
      </c>
      <c r="P310" s="86" t="n">
        <v>0</v>
      </c>
      <c r="Q310" s="86" t="n">
        <v>90</v>
      </c>
      <c r="R310" s="132" t="n">
        <v>0</v>
      </c>
      <c r="S310" s="128" t="n">
        <v>0</v>
      </c>
      <c r="T310" s="132" t="n">
        <v>80</v>
      </c>
      <c r="U310" s="128" t="n">
        <v>0</v>
      </c>
      <c r="V310" s="128" t="n">
        <v>1</v>
      </c>
      <c r="W310" s="90" t="n">
        <f aca="false">IFERROR(O310/V310,0)</f>
        <v>5300</v>
      </c>
      <c r="X310" s="91" t="n">
        <f aca="false">O310/L310</f>
        <v>1.10072689511942</v>
      </c>
      <c r="Y310" s="92" t="str">
        <f aca="false">IFERROR(VLOOKUP(E:E,'Item Data Support Sheet'!A:J,6,0),0)</f>
        <v>Silicon</v>
      </c>
      <c r="Z310" s="93" t="n">
        <f aca="false">IFERROR(VLOOKUP(E:E,'Item Data Support Sheet'!A:O,4,0),0)</f>
        <v>6.8</v>
      </c>
      <c r="AA310" s="93" t="n">
        <f aca="false">IFERROR(((N310)*(Z310/1000))+P310,0)</f>
        <v>37.196</v>
      </c>
      <c r="AB310" s="94" t="n">
        <f aca="false">IFERROR((O310*(Z310/1000)/(AA310))," ")</f>
        <v>0.968921389396709</v>
      </c>
      <c r="AC310" s="95" t="n">
        <f aca="false">IFERROR((T310)/((T310)+O310),0)</f>
        <v>0.0148698884758364</v>
      </c>
      <c r="AD310" s="96" t="n">
        <f aca="false">IFERROR(Q310/(Q310+N310),0)</f>
        <v>0.0161870503597122</v>
      </c>
      <c r="AE310" s="91" t="n">
        <f aca="false">(N310-T310)/N310</f>
        <v>0.985374771480804</v>
      </c>
      <c r="AF310" s="97" t="n">
        <f aca="false">BR310</f>
        <v>0</v>
      </c>
      <c r="AG310" s="98" t="n">
        <f aca="false">K310-AF310</f>
        <v>8</v>
      </c>
      <c r="AH310" s="99" t="n">
        <f aca="false">IFERROR(AG310/K310," ")</f>
        <v>1</v>
      </c>
      <c r="AI310" s="100" t="n">
        <f aca="false">IFERROR(O310/K310,0)</f>
        <v>662.5</v>
      </c>
      <c r="AJ310" s="101" t="n">
        <f aca="false">VLOOKUP(D310,'Standard Cycle time'!C:D,2,0)</f>
        <v>5.25</v>
      </c>
      <c r="AK310" s="101" t="n">
        <f aca="false">AG310*V310*3600/O310</f>
        <v>5.43396226415094</v>
      </c>
      <c r="AL310" s="102" t="n">
        <f aca="false">AJ310/AK310</f>
        <v>0.966145833333333</v>
      </c>
      <c r="AM310" s="99" t="n">
        <f aca="false">AE310*AL310*AH310</f>
        <v>0.952015729737965</v>
      </c>
      <c r="AN310" s="103" t="n">
        <v>2817</v>
      </c>
      <c r="AO310" s="109"/>
      <c r="AP310" s="105" t="n">
        <v>0</v>
      </c>
      <c r="AQ310" s="105" t="n">
        <v>0</v>
      </c>
      <c r="AR310" s="105" t="n">
        <v>0</v>
      </c>
      <c r="AS310" s="105" t="n">
        <v>0</v>
      </c>
      <c r="AT310" s="105" t="n">
        <v>0</v>
      </c>
      <c r="AU310" s="105" t="n">
        <v>0</v>
      </c>
      <c r="AV310" s="105" t="n">
        <v>0</v>
      </c>
      <c r="AW310" s="105" t="n">
        <v>0</v>
      </c>
      <c r="AX310" s="105" t="n">
        <v>0</v>
      </c>
      <c r="AY310" s="105" t="n">
        <v>0</v>
      </c>
      <c r="AZ310" s="105" t="n">
        <v>0</v>
      </c>
      <c r="BA310" s="105" t="n">
        <v>0</v>
      </c>
      <c r="BB310" s="105" t="n">
        <v>0</v>
      </c>
      <c r="BC310" s="105" t="n">
        <v>0</v>
      </c>
      <c r="BD310" s="105" t="n">
        <v>0</v>
      </c>
      <c r="BE310" s="105" t="n">
        <v>0</v>
      </c>
      <c r="BF310" s="105" t="n">
        <v>0</v>
      </c>
      <c r="BG310" s="105" t="n">
        <v>0</v>
      </c>
      <c r="BH310" s="105" t="n">
        <v>0</v>
      </c>
      <c r="BI310" s="105" t="n">
        <v>0</v>
      </c>
      <c r="BJ310" s="105" t="n">
        <v>0</v>
      </c>
      <c r="BK310" s="105" t="n">
        <v>0</v>
      </c>
      <c r="BL310" s="105" t="n">
        <v>0</v>
      </c>
      <c r="BM310" s="105" t="n">
        <v>0</v>
      </c>
      <c r="BN310" s="105" t="n">
        <v>0</v>
      </c>
      <c r="BO310" s="105" t="n">
        <v>0</v>
      </c>
      <c r="BP310" s="105" t="n">
        <v>0</v>
      </c>
      <c r="BQ310" s="105" t="n">
        <v>0</v>
      </c>
      <c r="BR310" s="106" t="n">
        <f aca="false">SUM(AP310:BQ310)/60</f>
        <v>0</v>
      </c>
      <c r="BS310" s="106" t="n">
        <f aca="false">SUM(AP310:BR310)/60</f>
        <v>0</v>
      </c>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row>
    <row r="311" customFormat="false" ht="14.9" hidden="true" customHeight="false" outlineLevel="0" collapsed="false">
      <c r="A311" s="74" t="n">
        <f aca="false">MONTH(B311)</f>
        <v>8</v>
      </c>
      <c r="B311" s="135" t="n">
        <v>44435</v>
      </c>
      <c r="C311" s="128" t="s">
        <v>70</v>
      </c>
      <c r="D311" s="77" t="str">
        <f aca="false">IFERROR(VLOOKUP(E:E,'Item Data Support Sheet'!A:O,7,0),"")</f>
        <v>NIPPLE POSTCURE</v>
      </c>
      <c r="E311" s="80" t="s">
        <v>664</v>
      </c>
      <c r="F311" s="122"/>
      <c r="G311" s="77"/>
      <c r="H311" s="79" t="str">
        <f aca="false">IFERROR(VLOOKUP(E:E,'Item Data Support Sheet'!A:O,2,0),"")</f>
        <v>NIPPLE S TYPE L SIZE POSTCURED</v>
      </c>
      <c r="I311" s="80" t="s">
        <v>730</v>
      </c>
      <c r="J311" s="80" t="s">
        <v>143</v>
      </c>
      <c r="K311" s="81" t="n">
        <v>5</v>
      </c>
      <c r="L311" s="124" t="n">
        <v>7036</v>
      </c>
      <c r="M311" s="83" t="n">
        <f aca="false">IFERROR(L311/K311,0)</f>
        <v>1407.2</v>
      </c>
      <c r="N311" s="84" t="n">
        <f aca="false">+O311+Q311+T311+U311</f>
        <v>4170</v>
      </c>
      <c r="O311" s="85" t="n">
        <v>4170</v>
      </c>
      <c r="P311" s="86" t="n">
        <v>0</v>
      </c>
      <c r="Q311" s="86" t="n">
        <v>0</v>
      </c>
      <c r="R311" s="132" t="n">
        <v>0</v>
      </c>
      <c r="S311" s="128" t="n">
        <v>0</v>
      </c>
      <c r="T311" s="132" t="n">
        <v>0</v>
      </c>
      <c r="U311" s="128" t="n">
        <v>0</v>
      </c>
      <c r="V311" s="128" t="n">
        <v>1</v>
      </c>
      <c r="W311" s="90" t="n">
        <f aca="false">IFERROR(O311/V311,0)</f>
        <v>4170</v>
      </c>
      <c r="X311" s="91" t="n">
        <f aca="false">O311/L311</f>
        <v>0.592666287663445</v>
      </c>
      <c r="Y311" s="92" t="str">
        <f aca="false">IFERROR(VLOOKUP(E:E,'Item Data Support Sheet'!A:J,6,0),0)</f>
        <v>FO013</v>
      </c>
      <c r="Z311" s="93" t="n">
        <f aca="false">IFERROR(VLOOKUP(E:E,'Item Data Support Sheet'!A:O,4,0),0)</f>
        <v>0</v>
      </c>
      <c r="AA311" s="93" t="n">
        <f aca="false">IFERROR(((N311)*(Z311/1000))+P311,0)</f>
        <v>0</v>
      </c>
      <c r="AB311" s="94" t="str">
        <f aca="false">IFERROR((O311*(Z311/1000)/(AA311))," ")</f>
        <v> </v>
      </c>
      <c r="AC311" s="95" t="n">
        <f aca="false">IFERROR((T311)/((T311)+O311),0)</f>
        <v>0</v>
      </c>
      <c r="AD311" s="96" t="n">
        <f aca="false">IFERROR(Q311/(Q311+N311),0)</f>
        <v>0</v>
      </c>
      <c r="AE311" s="91" t="n">
        <f aca="false">(N311-T311)/N311</f>
        <v>1</v>
      </c>
      <c r="AF311" s="97" t="n">
        <f aca="false">BR311</f>
        <v>0.666666666666667</v>
      </c>
      <c r="AG311" s="98" t="n">
        <f aca="false">K311-AF311</f>
        <v>4.33333333333333</v>
      </c>
      <c r="AH311" s="99" t="n">
        <f aca="false">IFERROR(AG311/K311," ")</f>
        <v>0.866666666666667</v>
      </c>
      <c r="AI311" s="100" t="n">
        <f aca="false">IFERROR(O311/K311,0)</f>
        <v>834</v>
      </c>
      <c r="AJ311" s="101" t="n">
        <f aca="false">VLOOKUP(D311,'Standard Cycle time'!C:D,2,0)</f>
        <v>2.3</v>
      </c>
      <c r="AK311" s="101" t="n">
        <f aca="false">AG311*V311*3600/O311</f>
        <v>3.7410071942446</v>
      </c>
      <c r="AL311" s="102" t="n">
        <f aca="false">AJ311/AK311</f>
        <v>0.614807692307692</v>
      </c>
      <c r="AM311" s="99" t="n">
        <f aca="false">AE311*AL311*AH311</f>
        <v>0.532833333333333</v>
      </c>
      <c r="AN311" s="103" t="n">
        <v>2819</v>
      </c>
      <c r="AO311" s="104"/>
      <c r="AP311" s="105" t="n">
        <v>40</v>
      </c>
      <c r="AQ311" s="105" t="n">
        <v>0</v>
      </c>
      <c r="AR311" s="105" t="n">
        <v>0</v>
      </c>
      <c r="AS311" s="105" t="n">
        <v>0</v>
      </c>
      <c r="AT311" s="105" t="n">
        <v>0</v>
      </c>
      <c r="AU311" s="105" t="n">
        <v>0</v>
      </c>
      <c r="AV311" s="105" t="n">
        <v>0</v>
      </c>
      <c r="AW311" s="105" t="n">
        <v>0</v>
      </c>
      <c r="AX311" s="105" t="n">
        <v>0</v>
      </c>
      <c r="AY311" s="105" t="n">
        <v>0</v>
      </c>
      <c r="AZ311" s="105" t="n">
        <v>0</v>
      </c>
      <c r="BA311" s="105" t="n">
        <v>0</v>
      </c>
      <c r="BB311" s="105" t="n">
        <v>0</v>
      </c>
      <c r="BC311" s="105" t="n">
        <v>0</v>
      </c>
      <c r="BD311" s="105" t="n">
        <v>0</v>
      </c>
      <c r="BE311" s="105" t="n">
        <v>0</v>
      </c>
      <c r="BF311" s="105" t="n">
        <v>0</v>
      </c>
      <c r="BG311" s="105" t="n">
        <v>0</v>
      </c>
      <c r="BH311" s="105" t="n">
        <v>0</v>
      </c>
      <c r="BI311" s="105" t="n">
        <v>0</v>
      </c>
      <c r="BJ311" s="105" t="n">
        <v>0</v>
      </c>
      <c r="BK311" s="105" t="n">
        <v>0</v>
      </c>
      <c r="BL311" s="105" t="n">
        <v>0</v>
      </c>
      <c r="BM311" s="105" t="n">
        <v>0</v>
      </c>
      <c r="BN311" s="105" t="n">
        <v>0</v>
      </c>
      <c r="BO311" s="105" t="n">
        <v>0</v>
      </c>
      <c r="BP311" s="105" t="n">
        <v>0</v>
      </c>
      <c r="BQ311" s="105" t="n">
        <v>0</v>
      </c>
      <c r="BR311" s="106" t="n">
        <f aca="false">SUM(AP311:BQ311)/60</f>
        <v>0.666666666666667</v>
      </c>
      <c r="BS311" s="106" t="n">
        <f aca="false">SUM(AP311:BR311)/60</f>
        <v>0.677777777777778</v>
      </c>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row>
    <row r="312" customFormat="false" ht="28.35" hidden="true" customHeight="false" outlineLevel="0" collapsed="false">
      <c r="A312" s="74" t="n">
        <f aca="false">MONTH(B312)</f>
        <v>8</v>
      </c>
      <c r="B312" s="135" t="n">
        <v>44435</v>
      </c>
      <c r="C312" s="128" t="s">
        <v>70</v>
      </c>
      <c r="D312" s="77" t="str">
        <f aca="false">IFERROR(VLOOKUP(E:E,'Item Data Support Sheet'!A:O,7,0),"")</f>
        <v>BOTTLE MOLDED</v>
      </c>
      <c r="E312" s="80" t="s">
        <v>731</v>
      </c>
      <c r="F312" s="122" t="s">
        <v>589</v>
      </c>
      <c r="G312" s="77" t="s">
        <v>80</v>
      </c>
      <c r="H312" s="79" t="str">
        <f aca="false">IFERROR(VLOOKUP(E:E,'Item Data Support Sheet'!A:O,2,0),"")</f>
        <v>RPP 120ML PINK BOTTLE MOLDED (WM3GB)</v>
      </c>
      <c r="I312" s="80" t="s">
        <v>732</v>
      </c>
      <c r="J312" s="80" t="s">
        <v>143</v>
      </c>
      <c r="K312" s="81" t="n">
        <v>4</v>
      </c>
      <c r="L312" s="124" t="n">
        <f aca="false">2503/2</f>
        <v>1251.5</v>
      </c>
      <c r="M312" s="83" t="n">
        <f aca="false">IFERROR(L312/K312,0)</f>
        <v>312.875</v>
      </c>
      <c r="N312" s="84" t="n">
        <f aca="false">+O312+Q312+T312+U312</f>
        <v>1180</v>
      </c>
      <c r="O312" s="85" t="n">
        <f aca="false">180*6</f>
        <v>1080</v>
      </c>
      <c r="P312" s="86" t="n">
        <v>2.1</v>
      </c>
      <c r="Q312" s="86" t="n">
        <v>47</v>
      </c>
      <c r="R312" s="132" t="n">
        <v>0</v>
      </c>
      <c r="S312" s="128" t="n">
        <v>0</v>
      </c>
      <c r="T312" s="132" t="n">
        <v>45</v>
      </c>
      <c r="U312" s="128" t="n">
        <v>8</v>
      </c>
      <c r="V312" s="128" t="n">
        <v>1</v>
      </c>
      <c r="W312" s="90" t="n">
        <f aca="false">IFERROR(O312/V312,0)</f>
        <v>1080</v>
      </c>
      <c r="X312" s="91" t="n">
        <f aca="false">O312/L312</f>
        <v>0.862964442668797</v>
      </c>
      <c r="Y312" s="92" t="str">
        <f aca="false">IFERROR(VLOOKUP(E:E,'Item Data Support Sheet'!A:J,6,0),0)</f>
        <v>WMG3B</v>
      </c>
      <c r="Z312" s="93" t="n">
        <f aca="false">IFERROR(VLOOKUP(E:E,'Item Data Support Sheet'!A:O,4,0),0)</f>
        <v>22.7</v>
      </c>
      <c r="AA312" s="93" t="n">
        <f aca="false">IFERROR(((N312)*(Z312/1000))+P312,0)</f>
        <v>28.886</v>
      </c>
      <c r="AB312" s="94" t="n">
        <f aca="false">IFERROR((O312*(Z312/1000)/(AA312))," ")</f>
        <v>0.848715640794849</v>
      </c>
      <c r="AC312" s="95" t="n">
        <f aca="false">IFERROR((T312)/((T312)+O312),0)</f>
        <v>0.04</v>
      </c>
      <c r="AD312" s="96" t="n">
        <f aca="false">IFERROR(Q312/(Q312+N312),0)</f>
        <v>0.0383048084759576</v>
      </c>
      <c r="AE312" s="91" t="n">
        <f aca="false">(N312-T312)/N312</f>
        <v>0.961864406779661</v>
      </c>
      <c r="AF312" s="97" t="n">
        <f aca="false">BR312</f>
        <v>0.75</v>
      </c>
      <c r="AG312" s="98" t="n">
        <f aca="false">K312-AF312</f>
        <v>3.25</v>
      </c>
      <c r="AH312" s="99" t="n">
        <f aca="false">IFERROR(AG312/K312," ")</f>
        <v>0.8125</v>
      </c>
      <c r="AI312" s="100" t="n">
        <f aca="false">IFERROR(O312/K312,0)</f>
        <v>270</v>
      </c>
      <c r="AJ312" s="101" t="n">
        <f aca="false">VLOOKUP(D312,'Standard Cycle time'!C:D,2,0)</f>
        <v>9</v>
      </c>
      <c r="AK312" s="101" t="n">
        <f aca="false">AG312*V312*3600/O312</f>
        <v>10.8333333333333</v>
      </c>
      <c r="AL312" s="102" t="n">
        <f aca="false">AJ312/AK312</f>
        <v>0.830769230769231</v>
      </c>
      <c r="AM312" s="99" t="n">
        <f aca="false">AE312*AL312*AH312</f>
        <v>0.649258474576271</v>
      </c>
      <c r="AN312" s="103" t="n">
        <v>2820</v>
      </c>
      <c r="AO312" s="110" t="s">
        <v>733</v>
      </c>
      <c r="AP312" s="105" t="n">
        <v>0</v>
      </c>
      <c r="AQ312" s="105" t="n">
        <v>0</v>
      </c>
      <c r="AR312" s="105" t="n">
        <v>0</v>
      </c>
      <c r="AS312" s="105" t="n">
        <v>0</v>
      </c>
      <c r="AT312" s="105" t="n">
        <v>0</v>
      </c>
      <c r="AU312" s="105" t="n">
        <v>0</v>
      </c>
      <c r="AV312" s="105" t="n">
        <v>0</v>
      </c>
      <c r="AW312" s="105" t="n">
        <v>45</v>
      </c>
      <c r="AX312" s="105" t="n">
        <v>0</v>
      </c>
      <c r="AY312" s="105" t="n">
        <v>0</v>
      </c>
      <c r="AZ312" s="105" t="n">
        <v>0</v>
      </c>
      <c r="BA312" s="105" t="n">
        <v>0</v>
      </c>
      <c r="BB312" s="105" t="n">
        <v>0</v>
      </c>
      <c r="BC312" s="105" t="n">
        <v>0</v>
      </c>
      <c r="BD312" s="105" t="n">
        <v>0</v>
      </c>
      <c r="BE312" s="105" t="n">
        <v>0</v>
      </c>
      <c r="BF312" s="105" t="n">
        <v>0</v>
      </c>
      <c r="BG312" s="105" t="n">
        <v>0</v>
      </c>
      <c r="BH312" s="105" t="n">
        <v>0</v>
      </c>
      <c r="BI312" s="105" t="n">
        <v>0</v>
      </c>
      <c r="BJ312" s="105" t="n">
        <v>0</v>
      </c>
      <c r="BK312" s="105" t="n">
        <v>0</v>
      </c>
      <c r="BL312" s="105" t="n">
        <v>0</v>
      </c>
      <c r="BM312" s="105" t="n">
        <v>0</v>
      </c>
      <c r="BN312" s="105" t="n">
        <v>0</v>
      </c>
      <c r="BO312" s="105" t="n">
        <v>0</v>
      </c>
      <c r="BP312" s="105" t="n">
        <v>0</v>
      </c>
      <c r="BQ312" s="105" t="n">
        <v>0</v>
      </c>
      <c r="BR312" s="106" t="n">
        <f aca="false">SUM(AP312:BQ312)/60</f>
        <v>0.75</v>
      </c>
      <c r="BS312" s="106" t="n">
        <f aca="false">SUM(AP312:BR312)/60</f>
        <v>0.7625</v>
      </c>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row>
    <row r="313" customFormat="false" ht="14.9" hidden="true" customHeight="false" outlineLevel="0" collapsed="false">
      <c r="A313" s="74" t="n">
        <f aca="false">MONTH(B313)</f>
        <v>8</v>
      </c>
      <c r="B313" s="135" t="n">
        <v>44435</v>
      </c>
      <c r="C313" s="128" t="s">
        <v>70</v>
      </c>
      <c r="D313" s="77" t="str">
        <f aca="false">IFERROR(VLOOKUP(E:E,'Item Data Support Sheet'!A:O,7,0),"")</f>
        <v>HOOD MOLDED</v>
      </c>
      <c r="E313" s="80" t="s">
        <v>529</v>
      </c>
      <c r="F313" s="122"/>
      <c r="G313" s="77" t="s">
        <v>734</v>
      </c>
      <c r="H313" s="79" t="str">
        <f aca="false">IFERROR(VLOOKUP(E:E,'Item Data Support Sheet'!A:O,2,0),"")</f>
        <v>HOOD S TYPE MOLDED</v>
      </c>
      <c r="I313" s="80" t="s">
        <v>735</v>
      </c>
      <c r="J313" s="80" t="s">
        <v>143</v>
      </c>
      <c r="K313" s="81" t="n">
        <v>8</v>
      </c>
      <c r="L313" s="124" t="n">
        <v>4137</v>
      </c>
      <c r="M313" s="83" t="n">
        <f aca="false">IFERROR(L313/K313,0)</f>
        <v>517.125</v>
      </c>
      <c r="N313" s="84" t="n">
        <f aca="false">+O313+Q313+T313+U313</f>
        <v>4573</v>
      </c>
      <c r="O313" s="85" t="n">
        <v>4500</v>
      </c>
      <c r="P313" s="86" t="n">
        <v>0</v>
      </c>
      <c r="Q313" s="86" t="n">
        <v>45</v>
      </c>
      <c r="R313" s="132" t="n">
        <v>0</v>
      </c>
      <c r="S313" s="128" t="n">
        <v>0</v>
      </c>
      <c r="T313" s="132" t="n">
        <v>28</v>
      </c>
      <c r="U313" s="128" t="n">
        <v>0</v>
      </c>
      <c r="V313" s="128" t="n">
        <v>1</v>
      </c>
      <c r="W313" s="90" t="n">
        <f aca="false">IFERROR(O313/V313,0)</f>
        <v>4500</v>
      </c>
      <c r="X313" s="91" t="n">
        <f aca="false">O313/L313</f>
        <v>1.08774474256708</v>
      </c>
      <c r="Y313" s="92" t="str">
        <f aca="false">IFERROR(VLOOKUP(E:E,'Item Data Support Sheet'!A:J,6,0),0)</f>
        <v>HMC</v>
      </c>
      <c r="Z313" s="93" t="n">
        <f aca="false">IFERROR(VLOOKUP(E:E,'Item Data Support Sheet'!A:O,4,0),0)</f>
        <v>8.6</v>
      </c>
      <c r="AA313" s="93" t="n">
        <f aca="false">IFERROR(((N313)*(Z313/1000))+P313,0)</f>
        <v>39.3278</v>
      </c>
      <c r="AB313" s="94" t="n">
        <f aca="false">IFERROR((O313*(Z313/1000)/(AA313))," ")</f>
        <v>0.984036737371529</v>
      </c>
      <c r="AC313" s="95" t="n">
        <f aca="false">IFERROR((T313)/((T313)+O313),0)</f>
        <v>0.00618374558303887</v>
      </c>
      <c r="AD313" s="96" t="n">
        <f aca="false">IFERROR(Q313/(Q313+N313),0)</f>
        <v>0.0097444781290602</v>
      </c>
      <c r="AE313" s="91" t="n">
        <f aca="false">(N313-T313)/N313</f>
        <v>0.993877104745244</v>
      </c>
      <c r="AF313" s="97" t="n">
        <f aca="false">BR313</f>
        <v>0</v>
      </c>
      <c r="AG313" s="98" t="n">
        <f aca="false">K313-AF313</f>
        <v>8</v>
      </c>
      <c r="AH313" s="99" t="n">
        <f aca="false">IFERROR(AG313/K313," ")</f>
        <v>1</v>
      </c>
      <c r="AI313" s="100" t="n">
        <f aca="false">IFERROR(O313/K313,0)</f>
        <v>562.5</v>
      </c>
      <c r="AJ313" s="101" t="n">
        <f aca="false">VLOOKUP(D313,'Standard Cycle time'!C:D,2,0)</f>
        <v>6</v>
      </c>
      <c r="AK313" s="101" t="n">
        <f aca="false">AG313*V313*3600/O313</f>
        <v>6.4</v>
      </c>
      <c r="AL313" s="102" t="n">
        <f aca="false">AJ313/AK313</f>
        <v>0.9375</v>
      </c>
      <c r="AM313" s="99" t="n">
        <f aca="false">AE313*AL313*AH313</f>
        <v>0.931759785698666</v>
      </c>
      <c r="AN313" s="103" t="n">
        <v>2818</v>
      </c>
      <c r="AO313" s="104"/>
      <c r="AP313" s="105" t="n">
        <v>0</v>
      </c>
      <c r="AQ313" s="105" t="n">
        <v>0</v>
      </c>
      <c r="AR313" s="105" t="n">
        <v>0</v>
      </c>
      <c r="AS313" s="105" t="n">
        <v>0</v>
      </c>
      <c r="AT313" s="105" t="n">
        <v>0</v>
      </c>
      <c r="AU313" s="105" t="n">
        <v>0</v>
      </c>
      <c r="AV313" s="105" t="n">
        <v>0</v>
      </c>
      <c r="AW313" s="105" t="n">
        <v>0</v>
      </c>
      <c r="AX313" s="105" t="n">
        <v>0</v>
      </c>
      <c r="AY313" s="105" t="n">
        <v>0</v>
      </c>
      <c r="AZ313" s="105" t="n">
        <v>0</v>
      </c>
      <c r="BA313" s="105" t="n">
        <v>0</v>
      </c>
      <c r="BB313" s="105" t="n">
        <v>0</v>
      </c>
      <c r="BC313" s="105" t="n">
        <v>0</v>
      </c>
      <c r="BD313" s="105" t="n">
        <v>0</v>
      </c>
      <c r="BE313" s="105" t="n">
        <v>0</v>
      </c>
      <c r="BF313" s="105" t="n">
        <v>0</v>
      </c>
      <c r="BG313" s="105" t="n">
        <v>0</v>
      </c>
      <c r="BH313" s="105" t="n">
        <v>0</v>
      </c>
      <c r="BI313" s="105" t="n">
        <v>0</v>
      </c>
      <c r="BJ313" s="105" t="n">
        <v>0</v>
      </c>
      <c r="BK313" s="105" t="n">
        <v>0</v>
      </c>
      <c r="BL313" s="105" t="n">
        <v>0</v>
      </c>
      <c r="BM313" s="105" t="n">
        <v>0</v>
      </c>
      <c r="BN313" s="105" t="n">
        <v>0</v>
      </c>
      <c r="BO313" s="105" t="n">
        <v>0</v>
      </c>
      <c r="BP313" s="105" t="n">
        <v>0</v>
      </c>
      <c r="BQ313" s="105" t="n">
        <v>0</v>
      </c>
      <c r="BR313" s="106" t="n">
        <f aca="false">SUM(AP313:BQ313)/60</f>
        <v>0</v>
      </c>
      <c r="BS313" s="106" t="n">
        <f aca="false">SUM(AP313:BR313)/60</f>
        <v>0</v>
      </c>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row>
    <row r="314" customFormat="false" ht="14.9" hidden="true" customHeight="false" outlineLevel="0" collapsed="false">
      <c r="A314" s="74" t="n">
        <f aca="false">MONTH(B314)</f>
        <v>8</v>
      </c>
      <c r="B314" s="135" t="n">
        <v>44435</v>
      </c>
      <c r="C314" s="128" t="s">
        <v>152</v>
      </c>
      <c r="D314" s="77" t="str">
        <f aca="false">IFERROR(VLOOKUP(E:E,'Item Data Support Sheet'!A:O,7,0),"")</f>
        <v>NIPPLE MOLDED</v>
      </c>
      <c r="E314" s="80" t="s">
        <v>661</v>
      </c>
      <c r="F314" s="122" t="s">
        <v>137</v>
      </c>
      <c r="G314" s="77" t="s">
        <v>138</v>
      </c>
      <c r="H314" s="79" t="str">
        <f aca="false">IFERROR(VLOOKUP(E:E,'Item Data Support Sheet'!A:O,2,0),"")</f>
        <v>NIPPLE S TYPE L SIZE INJECTION</v>
      </c>
      <c r="I314" s="80" t="s">
        <v>736</v>
      </c>
      <c r="J314" s="80" t="s">
        <v>148</v>
      </c>
      <c r="K314" s="81" t="n">
        <v>8</v>
      </c>
      <c r="L314" s="124" t="n">
        <v>4815</v>
      </c>
      <c r="M314" s="83" t="n">
        <f aca="false">IFERROR(L314/K314,0)</f>
        <v>601.875</v>
      </c>
      <c r="N314" s="84" t="n">
        <f aca="false">+O314+Q314+T314+U314</f>
        <v>5331</v>
      </c>
      <c r="O314" s="85" t="n">
        <v>5200</v>
      </c>
      <c r="P314" s="86" t="n">
        <v>0</v>
      </c>
      <c r="Q314" s="86" t="n">
        <v>75</v>
      </c>
      <c r="R314" s="132" t="n">
        <v>0</v>
      </c>
      <c r="S314" s="128" t="n">
        <v>0</v>
      </c>
      <c r="T314" s="132" t="n">
        <v>48</v>
      </c>
      <c r="U314" s="128" t="n">
        <v>8</v>
      </c>
      <c r="V314" s="128" t="n">
        <v>1</v>
      </c>
      <c r="W314" s="90" t="n">
        <f aca="false">IFERROR(O314/V314,0)</f>
        <v>5200</v>
      </c>
      <c r="X314" s="91" t="n">
        <f aca="false">O314/L314</f>
        <v>1.07995846313603</v>
      </c>
      <c r="Y314" s="92" t="str">
        <f aca="false">IFERROR(VLOOKUP(E:E,'Item Data Support Sheet'!A:J,6,0),0)</f>
        <v>Silicon</v>
      </c>
      <c r="Z314" s="93" t="n">
        <f aca="false">IFERROR(VLOOKUP(E:E,'Item Data Support Sheet'!A:O,4,0),0)</f>
        <v>6.8</v>
      </c>
      <c r="AA314" s="93" t="n">
        <f aca="false">IFERROR(((N314)*(Z314/1000))+P314,0)</f>
        <v>36.2508</v>
      </c>
      <c r="AB314" s="94" t="n">
        <f aca="false">IFERROR((O314*(Z314/1000)/(AA314))," ")</f>
        <v>0.975426749202776</v>
      </c>
      <c r="AC314" s="95" t="n">
        <f aca="false">IFERROR((T314)/((T314)+O314),0)</f>
        <v>0.00914634146341463</v>
      </c>
      <c r="AD314" s="96" t="n">
        <f aca="false">IFERROR(Q314/(Q314+N314),0)</f>
        <v>0.013873473917869</v>
      </c>
      <c r="AE314" s="91" t="n">
        <f aca="false">(N314-T314)/N314</f>
        <v>0.99099606077659</v>
      </c>
      <c r="AF314" s="97" t="n">
        <f aca="false">BR314</f>
        <v>0</v>
      </c>
      <c r="AG314" s="98" t="n">
        <f aca="false">K314-AF314</f>
        <v>8</v>
      </c>
      <c r="AH314" s="99" t="n">
        <f aca="false">IFERROR(AG314/K314," ")</f>
        <v>1</v>
      </c>
      <c r="AI314" s="100" t="n">
        <f aca="false">IFERROR(O314/K314,0)</f>
        <v>650</v>
      </c>
      <c r="AJ314" s="101" t="n">
        <f aca="false">VLOOKUP(D314,'Standard Cycle time'!C:D,2,0)</f>
        <v>5.25</v>
      </c>
      <c r="AK314" s="101" t="n">
        <f aca="false">AG314*V314*3600/O314</f>
        <v>5.53846153846154</v>
      </c>
      <c r="AL314" s="102" t="n">
        <f aca="false">AJ314/AK314</f>
        <v>0.947916666666667</v>
      </c>
      <c r="AM314" s="99" t="n">
        <f aca="false">AE314*AL314*AH314</f>
        <v>0.939381682611142</v>
      </c>
      <c r="AN314" s="103" t="s">
        <v>737</v>
      </c>
      <c r="AO314" s="109"/>
      <c r="AP314" s="105" t="n">
        <v>0</v>
      </c>
      <c r="AQ314" s="105" t="n">
        <v>0</v>
      </c>
      <c r="AR314" s="105" t="n">
        <v>0</v>
      </c>
      <c r="AS314" s="105" t="n">
        <v>0</v>
      </c>
      <c r="AT314" s="105" t="n">
        <v>0</v>
      </c>
      <c r="AU314" s="105" t="n">
        <v>0</v>
      </c>
      <c r="AV314" s="105" t="n">
        <v>0</v>
      </c>
      <c r="AW314" s="105" t="n">
        <v>0</v>
      </c>
      <c r="AX314" s="105" t="n">
        <v>0</v>
      </c>
      <c r="AY314" s="105" t="n">
        <v>0</v>
      </c>
      <c r="AZ314" s="105" t="n">
        <v>0</v>
      </c>
      <c r="BA314" s="105" t="n">
        <v>0</v>
      </c>
      <c r="BB314" s="105" t="n">
        <v>0</v>
      </c>
      <c r="BC314" s="105" t="n">
        <v>0</v>
      </c>
      <c r="BD314" s="105" t="n">
        <v>0</v>
      </c>
      <c r="BE314" s="105" t="n">
        <v>0</v>
      </c>
      <c r="BF314" s="105" t="n">
        <v>0</v>
      </c>
      <c r="BG314" s="105" t="n">
        <v>0</v>
      </c>
      <c r="BH314" s="105" t="n">
        <v>0</v>
      </c>
      <c r="BI314" s="105" t="n">
        <v>0</v>
      </c>
      <c r="BJ314" s="105" t="n">
        <v>0</v>
      </c>
      <c r="BK314" s="105" t="n">
        <v>0</v>
      </c>
      <c r="BL314" s="105" t="n">
        <v>0</v>
      </c>
      <c r="BM314" s="105" t="n">
        <v>0</v>
      </c>
      <c r="BN314" s="105" t="n">
        <v>0</v>
      </c>
      <c r="BO314" s="105" t="n">
        <v>0</v>
      </c>
      <c r="BP314" s="105" t="n">
        <v>0</v>
      </c>
      <c r="BQ314" s="105" t="n">
        <v>0</v>
      </c>
      <c r="BR314" s="106" t="n">
        <f aca="false">SUM(AP314:BQ314)/60</f>
        <v>0</v>
      </c>
      <c r="BS314" s="106" t="n">
        <f aca="false">SUM(AP314:BR314)/60</f>
        <v>0</v>
      </c>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row>
    <row r="315" customFormat="false" ht="14.9" hidden="true" customHeight="false" outlineLevel="0" collapsed="false">
      <c r="A315" s="74" t="n">
        <f aca="false">MONTH(B315)</f>
        <v>8</v>
      </c>
      <c r="B315" s="135" t="n">
        <v>44435</v>
      </c>
      <c r="C315" s="128" t="s">
        <v>152</v>
      </c>
      <c r="D315" s="77" t="str">
        <f aca="false">IFERROR(VLOOKUP(E:E,'Item Data Support Sheet'!A:O,7,0),"")</f>
        <v>BOTTLE MOLDED</v>
      </c>
      <c r="E315" s="80" t="s">
        <v>731</v>
      </c>
      <c r="F315" s="122" t="s">
        <v>589</v>
      </c>
      <c r="G315" s="77" t="s">
        <v>80</v>
      </c>
      <c r="H315" s="79" t="str">
        <f aca="false">IFERROR(VLOOKUP(E:E,'Item Data Support Sheet'!A:O,2,0),"")</f>
        <v>RPP 120ML PINK BOTTLE MOLDED (WM3GB)</v>
      </c>
      <c r="I315" s="80" t="s">
        <v>738</v>
      </c>
      <c r="J315" s="80" t="s">
        <v>148</v>
      </c>
      <c r="K315" s="81" t="n">
        <v>8</v>
      </c>
      <c r="L315" s="124" t="n">
        <v>2574</v>
      </c>
      <c r="M315" s="83" t="n">
        <f aca="false">IFERROR(L315/K315,0)</f>
        <v>321.75</v>
      </c>
      <c r="N315" s="84" t="n">
        <f aca="false">+O315+Q315+T315+U315</f>
        <v>3102</v>
      </c>
      <c r="O315" s="85" t="n">
        <f aca="false">180*16</f>
        <v>2880</v>
      </c>
      <c r="P315" s="86" t="n">
        <v>0.12</v>
      </c>
      <c r="Q315" s="86" t="n">
        <v>127</v>
      </c>
      <c r="R315" s="132" t="n">
        <v>0</v>
      </c>
      <c r="S315" s="128" t="n">
        <v>0</v>
      </c>
      <c r="T315" s="132" t="n">
        <v>87</v>
      </c>
      <c r="U315" s="128" t="n">
        <v>8</v>
      </c>
      <c r="V315" s="128" t="n">
        <v>1</v>
      </c>
      <c r="W315" s="90" t="n">
        <f aca="false">IFERROR(O315/V315,0)</f>
        <v>2880</v>
      </c>
      <c r="X315" s="91" t="n">
        <f aca="false">O315/L315</f>
        <v>1.11888111888112</v>
      </c>
      <c r="Y315" s="92" t="str">
        <f aca="false">IFERROR(VLOOKUP(E:E,'Item Data Support Sheet'!A:J,6,0),0)</f>
        <v>WMG3B</v>
      </c>
      <c r="Z315" s="93" t="n">
        <f aca="false">IFERROR(VLOOKUP(E:E,'Item Data Support Sheet'!A:O,4,0),0)</f>
        <v>22.7</v>
      </c>
      <c r="AA315" s="93" t="n">
        <f aca="false">IFERROR(((N315)*(Z315/1000))+P315,0)</f>
        <v>70.5354</v>
      </c>
      <c r="AB315" s="94" t="n">
        <f aca="false">IFERROR((O315*(Z315/1000)/(AA315))," ")</f>
        <v>0.926853750031899</v>
      </c>
      <c r="AC315" s="95" t="n">
        <f aca="false">IFERROR((T315)/((T315)+O315),0)</f>
        <v>0.0293225480283114</v>
      </c>
      <c r="AD315" s="96" t="n">
        <f aca="false">IFERROR(Q315/(Q315+N315),0)</f>
        <v>0.0393310622483741</v>
      </c>
      <c r="AE315" s="91" t="n">
        <f aca="false">(N315-T315)/N315</f>
        <v>0.971953578336557</v>
      </c>
      <c r="AF315" s="97" t="n">
        <f aca="false">BR315</f>
        <v>0.75</v>
      </c>
      <c r="AG315" s="98" t="n">
        <f aca="false">K315-AF315</f>
        <v>7.25</v>
      </c>
      <c r="AH315" s="99" t="n">
        <f aca="false">IFERROR(AG315/K315," ")</f>
        <v>0.90625</v>
      </c>
      <c r="AI315" s="100" t="n">
        <f aca="false">IFERROR(O315/K315,0)</f>
        <v>360</v>
      </c>
      <c r="AJ315" s="101" t="n">
        <f aca="false">VLOOKUP(D315,'Standard Cycle time'!C:D,2,0)</f>
        <v>9</v>
      </c>
      <c r="AK315" s="101" t="n">
        <f aca="false">AG315*V315*3600/O315</f>
        <v>9.0625</v>
      </c>
      <c r="AL315" s="102" t="n">
        <f aca="false">AJ315/AK315</f>
        <v>0.993103448275862</v>
      </c>
      <c r="AM315" s="99" t="n">
        <f aca="false">AE315*AL315*AH315</f>
        <v>0.874758220502901</v>
      </c>
      <c r="AN315" s="103" t="s">
        <v>739</v>
      </c>
      <c r="AO315" s="104"/>
      <c r="AP315" s="105" t="n">
        <v>0</v>
      </c>
      <c r="AQ315" s="105" t="n">
        <v>0</v>
      </c>
      <c r="AR315" s="105" t="n">
        <v>0</v>
      </c>
      <c r="AS315" s="105" t="n">
        <v>0</v>
      </c>
      <c r="AT315" s="105" t="n">
        <v>0</v>
      </c>
      <c r="AU315" s="105" t="n">
        <v>0</v>
      </c>
      <c r="AV315" s="105" t="n">
        <v>0</v>
      </c>
      <c r="AW315" s="105" t="n">
        <v>45</v>
      </c>
      <c r="AX315" s="105" t="n">
        <v>0</v>
      </c>
      <c r="AY315" s="105" t="n">
        <v>0</v>
      </c>
      <c r="AZ315" s="105" t="n">
        <v>0</v>
      </c>
      <c r="BA315" s="105" t="n">
        <v>0</v>
      </c>
      <c r="BB315" s="105" t="n">
        <v>0</v>
      </c>
      <c r="BC315" s="105" t="n">
        <v>0</v>
      </c>
      <c r="BD315" s="105" t="n">
        <v>0</v>
      </c>
      <c r="BE315" s="105" t="n">
        <v>0</v>
      </c>
      <c r="BF315" s="105" t="n">
        <v>0</v>
      </c>
      <c r="BG315" s="105" t="n">
        <v>0</v>
      </c>
      <c r="BH315" s="105" t="n">
        <v>0</v>
      </c>
      <c r="BI315" s="105" t="n">
        <v>0</v>
      </c>
      <c r="BJ315" s="105" t="n">
        <v>0</v>
      </c>
      <c r="BK315" s="105" t="n">
        <v>0</v>
      </c>
      <c r="BL315" s="105" t="n">
        <v>0</v>
      </c>
      <c r="BM315" s="105" t="n">
        <v>0</v>
      </c>
      <c r="BN315" s="105" t="n">
        <v>0</v>
      </c>
      <c r="BO315" s="105" t="n">
        <v>0</v>
      </c>
      <c r="BP315" s="105" t="n">
        <v>0</v>
      </c>
      <c r="BQ315" s="105" t="n">
        <v>0</v>
      </c>
      <c r="BR315" s="106" t="n">
        <f aca="false">SUM(AP315:BQ315)/60</f>
        <v>0.75</v>
      </c>
      <c r="BS315" s="106" t="n">
        <f aca="false">SUM(AP315:BR315)/60</f>
        <v>0.7625</v>
      </c>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row>
    <row r="316" customFormat="false" ht="14.9" hidden="true" customHeight="false" outlineLevel="0" collapsed="false">
      <c r="A316" s="74" t="n">
        <f aca="false">MONTH(B316)</f>
        <v>8</v>
      </c>
      <c r="B316" s="135" t="n">
        <v>44435</v>
      </c>
      <c r="C316" s="128" t="s">
        <v>152</v>
      </c>
      <c r="D316" s="77" t="str">
        <f aca="false">IFERROR(VLOOKUP(E:E,'Item Data Support Sheet'!A:O,7,0),"")</f>
        <v>HOOD MOLDED</v>
      </c>
      <c r="E316" s="80" t="s">
        <v>529</v>
      </c>
      <c r="F316" s="122"/>
      <c r="G316" s="77" t="s">
        <v>740</v>
      </c>
      <c r="H316" s="79" t="str">
        <f aca="false">IFERROR(VLOOKUP(E:E,'Item Data Support Sheet'!A:O,2,0),"")</f>
        <v>HOOD S TYPE MOLDED</v>
      </c>
      <c r="I316" s="80" t="s">
        <v>741</v>
      </c>
      <c r="J316" s="80" t="s">
        <v>148</v>
      </c>
      <c r="K316" s="81" t="n">
        <v>8</v>
      </c>
      <c r="L316" s="124" t="n">
        <v>4137</v>
      </c>
      <c r="M316" s="83" t="n">
        <f aca="false">IFERROR(L316/K316,0)</f>
        <v>517.125</v>
      </c>
      <c r="N316" s="84" t="n">
        <f aca="false">+O316+Q316+T316+U316</f>
        <v>5520</v>
      </c>
      <c r="O316" s="85" t="n">
        <v>5500</v>
      </c>
      <c r="P316" s="86" t="n">
        <v>0</v>
      </c>
      <c r="Q316" s="86" t="n">
        <v>0</v>
      </c>
      <c r="R316" s="132" t="n">
        <v>0</v>
      </c>
      <c r="S316" s="128" t="n">
        <v>0</v>
      </c>
      <c r="T316" s="132" t="n">
        <v>12</v>
      </c>
      <c r="U316" s="128" t="n">
        <v>8</v>
      </c>
      <c r="V316" s="128" t="n">
        <v>1</v>
      </c>
      <c r="W316" s="90" t="n">
        <f aca="false">IFERROR(O316/V316,0)</f>
        <v>5500</v>
      </c>
      <c r="X316" s="91" t="n">
        <f aca="false">O316/L316</f>
        <v>1.32946579647087</v>
      </c>
      <c r="Y316" s="92" t="str">
        <f aca="false">IFERROR(VLOOKUP(E:E,'Item Data Support Sheet'!A:J,6,0),0)</f>
        <v>HMC</v>
      </c>
      <c r="Z316" s="93" t="n">
        <f aca="false">IFERROR(VLOOKUP(E:E,'Item Data Support Sheet'!A:O,4,0),0)</f>
        <v>8.6</v>
      </c>
      <c r="AA316" s="93" t="n">
        <f aca="false">IFERROR(((N316)*(Z316/1000))+P316,0)</f>
        <v>47.472</v>
      </c>
      <c r="AB316" s="94" t="n">
        <f aca="false">IFERROR((O316*(Z316/1000)/(AA316))," ")</f>
        <v>0.996376811594203</v>
      </c>
      <c r="AC316" s="95" t="n">
        <f aca="false">IFERROR((T316)/((T316)+O316),0)</f>
        <v>0.00217706821480406</v>
      </c>
      <c r="AD316" s="96" t="n">
        <f aca="false">IFERROR(Q316/(Q316+N316),0)</f>
        <v>0</v>
      </c>
      <c r="AE316" s="91" t="n">
        <f aca="false">(N316-T316)/N316</f>
        <v>0.997826086956522</v>
      </c>
      <c r="AF316" s="97" t="n">
        <f aca="false">BR316</f>
        <v>0</v>
      </c>
      <c r="AG316" s="98" t="n">
        <f aca="false">K316-AF316</f>
        <v>8</v>
      </c>
      <c r="AH316" s="99" t="n">
        <f aca="false">IFERROR(AG316/K316," ")</f>
        <v>1</v>
      </c>
      <c r="AI316" s="100" t="n">
        <f aca="false">IFERROR(O316/K316,0)</f>
        <v>687.5</v>
      </c>
      <c r="AJ316" s="101" t="n">
        <f aca="false">VLOOKUP(D316,'Standard Cycle time'!C:D,2,0)</f>
        <v>6</v>
      </c>
      <c r="AK316" s="101" t="n">
        <f aca="false">AG316*V316*3600/O316</f>
        <v>5.23636363636364</v>
      </c>
      <c r="AL316" s="102" t="n">
        <f aca="false">AJ316/AK316</f>
        <v>1.14583333333333</v>
      </c>
      <c r="AM316" s="99" t="n">
        <f aca="false">AE316*AL316*AH316</f>
        <v>1.14334239130435</v>
      </c>
      <c r="AN316" s="103" t="s">
        <v>742</v>
      </c>
      <c r="AO316" s="104"/>
      <c r="AP316" s="105" t="n">
        <v>0</v>
      </c>
      <c r="AQ316" s="105" t="n">
        <v>0</v>
      </c>
      <c r="AR316" s="105" t="n">
        <v>0</v>
      </c>
      <c r="AS316" s="105" t="n">
        <v>0</v>
      </c>
      <c r="AT316" s="105" t="n">
        <v>0</v>
      </c>
      <c r="AU316" s="105" t="n">
        <v>0</v>
      </c>
      <c r="AV316" s="105" t="n">
        <v>0</v>
      </c>
      <c r="AW316" s="105" t="n">
        <v>0</v>
      </c>
      <c r="AX316" s="105" t="n">
        <v>0</v>
      </c>
      <c r="AY316" s="105" t="n">
        <v>0</v>
      </c>
      <c r="AZ316" s="105" t="n">
        <v>0</v>
      </c>
      <c r="BA316" s="105" t="n">
        <v>0</v>
      </c>
      <c r="BB316" s="105" t="n">
        <v>0</v>
      </c>
      <c r="BC316" s="105" t="n">
        <v>0</v>
      </c>
      <c r="BD316" s="105" t="n">
        <v>0</v>
      </c>
      <c r="BE316" s="105" t="n">
        <v>0</v>
      </c>
      <c r="BF316" s="105" t="n">
        <v>0</v>
      </c>
      <c r="BG316" s="105" t="n">
        <v>0</v>
      </c>
      <c r="BH316" s="105" t="n">
        <v>0</v>
      </c>
      <c r="BI316" s="105" t="n">
        <v>0</v>
      </c>
      <c r="BJ316" s="105" t="n">
        <v>0</v>
      </c>
      <c r="BK316" s="105" t="n">
        <v>0</v>
      </c>
      <c r="BL316" s="105" t="n">
        <v>0</v>
      </c>
      <c r="BM316" s="105" t="n">
        <v>0</v>
      </c>
      <c r="BN316" s="105" t="n">
        <v>0</v>
      </c>
      <c r="BO316" s="105" t="n">
        <v>0</v>
      </c>
      <c r="BP316" s="105" t="n">
        <v>0</v>
      </c>
      <c r="BQ316" s="105" t="n">
        <v>0</v>
      </c>
      <c r="BR316" s="106" t="n">
        <f aca="false">SUM(AP316:BQ316)/60</f>
        <v>0</v>
      </c>
      <c r="BS316" s="106" t="n">
        <f aca="false">SUM(AP316:BR316)/60</f>
        <v>0</v>
      </c>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row>
    <row r="317" customFormat="false" ht="14.9" hidden="true" customHeight="false" outlineLevel="0" collapsed="false">
      <c r="A317" s="74" t="n">
        <f aca="false">MONTH(B317)</f>
        <v>8</v>
      </c>
      <c r="B317" s="135" t="n">
        <v>44436</v>
      </c>
      <c r="C317" s="128" t="s">
        <v>51</v>
      </c>
      <c r="D317" s="77" t="str">
        <f aca="false">IFERROR(VLOOKUP(E:E,'Item Data Support Sheet'!A:O,7,0),"")</f>
        <v>BOTTLE MOLDED</v>
      </c>
      <c r="E317" s="80" t="s">
        <v>731</v>
      </c>
      <c r="F317" s="122" t="s">
        <v>79</v>
      </c>
      <c r="G317" s="77" t="s">
        <v>80</v>
      </c>
      <c r="H317" s="79" t="str">
        <f aca="false">IFERROR(VLOOKUP(E:E,'Item Data Support Sheet'!A:O,2,0),"")</f>
        <v>RPP 120ML PINK BOTTLE MOLDED (WM3GB)</v>
      </c>
      <c r="I317" s="80" t="s">
        <v>743</v>
      </c>
      <c r="J317" s="80" t="s">
        <v>140</v>
      </c>
      <c r="K317" s="81" t="n">
        <v>3</v>
      </c>
      <c r="L317" s="124" t="n">
        <v>1200</v>
      </c>
      <c r="M317" s="83" t="n">
        <f aca="false">IFERROR(L317/K317,0)</f>
        <v>400</v>
      </c>
      <c r="N317" s="84" t="n">
        <f aca="false">+O317+Q317+T317+U317</f>
        <v>1132</v>
      </c>
      <c r="O317" s="85" t="n">
        <f aca="false">6*180</f>
        <v>1080</v>
      </c>
      <c r="P317" s="86" t="n">
        <v>0.9</v>
      </c>
      <c r="Q317" s="86" t="n">
        <v>27</v>
      </c>
      <c r="R317" s="132" t="n">
        <v>0</v>
      </c>
      <c r="S317" s="128" t="n">
        <v>0</v>
      </c>
      <c r="T317" s="132" t="n">
        <v>17</v>
      </c>
      <c r="U317" s="128" t="n">
        <v>8</v>
      </c>
      <c r="V317" s="128" t="n">
        <v>1</v>
      </c>
      <c r="W317" s="90" t="n">
        <f aca="false">IFERROR(O317/V317,0)</f>
        <v>1080</v>
      </c>
      <c r="X317" s="91" t="n">
        <f aca="false">O317/L317</f>
        <v>0.9</v>
      </c>
      <c r="Y317" s="92" t="str">
        <f aca="false">IFERROR(VLOOKUP(E:E,'Item Data Support Sheet'!A:J,6,0),0)</f>
        <v>WMG3B</v>
      </c>
      <c r="Z317" s="93" t="n">
        <f aca="false">IFERROR(VLOOKUP(E:E,'Item Data Support Sheet'!A:O,4,0),0)</f>
        <v>22.7</v>
      </c>
      <c r="AA317" s="93" t="n">
        <f aca="false">IFERROR(((N317)*(Z317/1000))+P317,0)</f>
        <v>26.5964</v>
      </c>
      <c r="AB317" s="94" t="n">
        <f aca="false">IFERROR((O317*(Z317/1000)/(AA317))," ")</f>
        <v>0.921778887368215</v>
      </c>
      <c r="AC317" s="95" t="n">
        <f aca="false">IFERROR((T317)/((T317)+O317),0)</f>
        <v>0.0154968094804011</v>
      </c>
      <c r="AD317" s="96" t="n">
        <f aca="false">IFERROR(Q317/(Q317+N317),0)</f>
        <v>0.0232959447799827</v>
      </c>
      <c r="AE317" s="91" t="n">
        <f aca="false">(N317-T317)/N317</f>
        <v>0.984982332155477</v>
      </c>
      <c r="AF317" s="97" t="n">
        <f aca="false">BR317</f>
        <v>0</v>
      </c>
      <c r="AG317" s="98" t="n">
        <f aca="false">K317-AF317</f>
        <v>3</v>
      </c>
      <c r="AH317" s="99" t="n">
        <f aca="false">IFERROR(AG317/K317," ")</f>
        <v>1</v>
      </c>
      <c r="AI317" s="100" t="n">
        <f aca="false">IFERROR(O317/K317,0)</f>
        <v>360</v>
      </c>
      <c r="AJ317" s="101" t="n">
        <f aca="false">VLOOKUP(D317,'Standard Cycle time'!C:D,2,0)</f>
        <v>9</v>
      </c>
      <c r="AK317" s="101" t="n">
        <f aca="false">AG317*V317*3600/O317</f>
        <v>10</v>
      </c>
      <c r="AL317" s="102" t="n">
        <f aca="false">AJ317/AK317</f>
        <v>0.9</v>
      </c>
      <c r="AM317" s="99" t="n">
        <f aca="false">AE317*AL317*AH317</f>
        <v>0.886484098939929</v>
      </c>
      <c r="AN317" s="103" t="n">
        <v>2826</v>
      </c>
      <c r="AO317" s="109" t="s">
        <v>744</v>
      </c>
      <c r="AP317" s="105" t="n">
        <v>0</v>
      </c>
      <c r="AQ317" s="105" t="n">
        <v>0</v>
      </c>
      <c r="AR317" s="105" t="n">
        <v>0</v>
      </c>
      <c r="AS317" s="105" t="n">
        <v>0</v>
      </c>
      <c r="AT317" s="105" t="n">
        <v>0</v>
      </c>
      <c r="AU317" s="105" t="n">
        <v>0</v>
      </c>
      <c r="AV317" s="105" t="n">
        <v>0</v>
      </c>
      <c r="AW317" s="105" t="n">
        <v>0</v>
      </c>
      <c r="AX317" s="105" t="n">
        <v>0</v>
      </c>
      <c r="AY317" s="105" t="n">
        <v>0</v>
      </c>
      <c r="AZ317" s="105" t="n">
        <v>0</v>
      </c>
      <c r="BA317" s="105" t="n">
        <v>0</v>
      </c>
      <c r="BB317" s="105" t="n">
        <v>0</v>
      </c>
      <c r="BC317" s="105" t="n">
        <v>0</v>
      </c>
      <c r="BD317" s="105" t="n">
        <v>0</v>
      </c>
      <c r="BE317" s="105" t="n">
        <v>0</v>
      </c>
      <c r="BF317" s="105" t="n">
        <v>0</v>
      </c>
      <c r="BG317" s="105" t="n">
        <v>0</v>
      </c>
      <c r="BH317" s="105" t="n">
        <v>0</v>
      </c>
      <c r="BI317" s="105" t="n">
        <v>0</v>
      </c>
      <c r="BJ317" s="105" t="n">
        <v>0</v>
      </c>
      <c r="BK317" s="105" t="n">
        <v>0</v>
      </c>
      <c r="BL317" s="105" t="n">
        <v>0</v>
      </c>
      <c r="BM317" s="105" t="n">
        <v>0</v>
      </c>
      <c r="BN317" s="105" t="n">
        <v>0</v>
      </c>
      <c r="BO317" s="105" t="n">
        <v>0</v>
      </c>
      <c r="BP317" s="105" t="n">
        <v>0</v>
      </c>
      <c r="BQ317" s="105" t="n">
        <v>0</v>
      </c>
      <c r="BR317" s="106" t="n">
        <f aca="false">SUM(AP317:BQ317)/60</f>
        <v>0</v>
      </c>
      <c r="BS317" s="106" t="n">
        <f aca="false">SUM(AP317:BR317)/60</f>
        <v>0</v>
      </c>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row>
    <row r="318" customFormat="false" ht="14.9" hidden="true" customHeight="false" outlineLevel="0" collapsed="false">
      <c r="A318" s="74" t="n">
        <f aca="false">MONTH(B318)</f>
        <v>8</v>
      </c>
      <c r="B318" s="135" t="n">
        <v>44436</v>
      </c>
      <c r="C318" s="128" t="s">
        <v>51</v>
      </c>
      <c r="D318" s="77" t="str">
        <f aca="false">IFERROR(VLOOKUP(E:E,'Item Data Support Sheet'!A:O,7,0),"")</f>
        <v>NIPPLE POSTCURE</v>
      </c>
      <c r="E318" s="80" t="s">
        <v>664</v>
      </c>
      <c r="F318" s="122"/>
      <c r="G318" s="77" t="s">
        <v>149</v>
      </c>
      <c r="H318" s="79" t="str">
        <f aca="false">IFERROR(VLOOKUP(E:E,'Item Data Support Sheet'!A:O,2,0),"")</f>
        <v>NIPPLE S TYPE L SIZE POSTCURED</v>
      </c>
      <c r="I318" s="80" t="s">
        <v>745</v>
      </c>
      <c r="J318" s="80" t="s">
        <v>140</v>
      </c>
      <c r="K318" s="81" t="n">
        <v>8</v>
      </c>
      <c r="L318" s="124" t="n">
        <v>7036</v>
      </c>
      <c r="M318" s="83" t="n">
        <f aca="false">IFERROR(L318/K318,0)</f>
        <v>879.5</v>
      </c>
      <c r="N318" s="84" t="n">
        <f aca="false">+O318+Q318+T318+U318</f>
        <v>9500</v>
      </c>
      <c r="O318" s="85" t="n">
        <f aca="false">1300+5200+3000</f>
        <v>9500</v>
      </c>
      <c r="P318" s="86" t="n">
        <v>0</v>
      </c>
      <c r="Q318" s="86" t="n">
        <v>0</v>
      </c>
      <c r="R318" s="132" t="n">
        <v>0</v>
      </c>
      <c r="S318" s="128" t="n">
        <v>0</v>
      </c>
      <c r="T318" s="132" t="n">
        <v>0</v>
      </c>
      <c r="U318" s="128" t="n">
        <v>0</v>
      </c>
      <c r="V318" s="128" t="n">
        <v>1</v>
      </c>
      <c r="W318" s="90" t="n">
        <f aca="false">IFERROR(O318/V318,0)</f>
        <v>9500</v>
      </c>
      <c r="X318" s="91" t="n">
        <f aca="false">O318/L318</f>
        <v>1.3501989766913</v>
      </c>
      <c r="Y318" s="92" t="str">
        <f aca="false">IFERROR(VLOOKUP(E:E,'Item Data Support Sheet'!A:J,6,0),0)</f>
        <v>FO013</v>
      </c>
      <c r="Z318" s="93" t="n">
        <f aca="false">IFERROR(VLOOKUP(E:E,'Item Data Support Sheet'!A:O,4,0),0)</f>
        <v>0</v>
      </c>
      <c r="AA318" s="93" t="n">
        <f aca="false">IFERROR(((N318)*(Z318/1000))+P318,0)</f>
        <v>0</v>
      </c>
      <c r="AB318" s="94" t="str">
        <f aca="false">IFERROR((O318*(Z318/1000)/(AA318))," ")</f>
        <v> </v>
      </c>
      <c r="AC318" s="95" t="n">
        <f aca="false">IFERROR((T318)/((T318)+O318),0)</f>
        <v>0</v>
      </c>
      <c r="AD318" s="96" t="n">
        <f aca="false">IFERROR(Q318/(Q318+N318),0)</f>
        <v>0</v>
      </c>
      <c r="AE318" s="91" t="n">
        <f aca="false">(N318-T318)/N318</f>
        <v>1</v>
      </c>
      <c r="AF318" s="97" t="n">
        <f aca="false">BR318</f>
        <v>0.666666666666667</v>
      </c>
      <c r="AG318" s="98" t="n">
        <f aca="false">K318-AF318</f>
        <v>7.33333333333333</v>
      </c>
      <c r="AH318" s="99" t="n">
        <f aca="false">IFERROR(AG318/K318," ")</f>
        <v>0.916666666666667</v>
      </c>
      <c r="AI318" s="100" t="n">
        <f aca="false">IFERROR(O318/K318,0)</f>
        <v>1187.5</v>
      </c>
      <c r="AJ318" s="101" t="n">
        <f aca="false">VLOOKUP(D318,'Standard Cycle time'!C:D,2,0)</f>
        <v>2.3</v>
      </c>
      <c r="AK318" s="101" t="n">
        <f aca="false">AG318*V318*3600/O318</f>
        <v>2.77894736842105</v>
      </c>
      <c r="AL318" s="102" t="n">
        <f aca="false">AJ318/AK318</f>
        <v>0.827651515151515</v>
      </c>
      <c r="AM318" s="99" t="n">
        <f aca="false">AE318*AL318*AH318</f>
        <v>0.758680555555555</v>
      </c>
      <c r="AN318" s="103" t="s">
        <v>746</v>
      </c>
      <c r="AO318" s="104"/>
      <c r="AP318" s="105" t="n">
        <v>40</v>
      </c>
      <c r="AQ318" s="105" t="n">
        <v>0</v>
      </c>
      <c r="AR318" s="105" t="n">
        <v>0</v>
      </c>
      <c r="AS318" s="105" t="n">
        <v>0</v>
      </c>
      <c r="AT318" s="105" t="n">
        <v>0</v>
      </c>
      <c r="AU318" s="105" t="n">
        <v>0</v>
      </c>
      <c r="AV318" s="105" t="n">
        <v>0</v>
      </c>
      <c r="AW318" s="105" t="n">
        <v>0</v>
      </c>
      <c r="AX318" s="105" t="n">
        <v>0</v>
      </c>
      <c r="AY318" s="105" t="n">
        <v>0</v>
      </c>
      <c r="AZ318" s="105" t="n">
        <v>0</v>
      </c>
      <c r="BA318" s="105" t="n">
        <v>0</v>
      </c>
      <c r="BB318" s="105" t="n">
        <v>0</v>
      </c>
      <c r="BC318" s="105" t="n">
        <v>0</v>
      </c>
      <c r="BD318" s="105" t="n">
        <v>0</v>
      </c>
      <c r="BE318" s="105" t="n">
        <v>0</v>
      </c>
      <c r="BF318" s="105" t="n">
        <v>0</v>
      </c>
      <c r="BG318" s="105" t="n">
        <v>0</v>
      </c>
      <c r="BH318" s="105" t="n">
        <v>0</v>
      </c>
      <c r="BI318" s="105" t="n">
        <v>0</v>
      </c>
      <c r="BJ318" s="105" t="n">
        <v>0</v>
      </c>
      <c r="BK318" s="105" t="n">
        <v>0</v>
      </c>
      <c r="BL318" s="105" t="n">
        <v>0</v>
      </c>
      <c r="BM318" s="105" t="n">
        <v>0</v>
      </c>
      <c r="BN318" s="105" t="n">
        <v>0</v>
      </c>
      <c r="BO318" s="105" t="n">
        <v>0</v>
      </c>
      <c r="BP318" s="105" t="n">
        <v>0</v>
      </c>
      <c r="BQ318" s="105" t="n">
        <v>0</v>
      </c>
      <c r="BR318" s="106" t="n">
        <f aca="false">SUM(AP318:BQ318)/60</f>
        <v>0.666666666666667</v>
      </c>
      <c r="BS318" s="106" t="n">
        <f aca="false">SUM(AP318:BR318)/60</f>
        <v>0.677777777777778</v>
      </c>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row>
    <row r="319" customFormat="false" ht="17.25" hidden="true" customHeight="true" outlineLevel="0" collapsed="false">
      <c r="A319" s="74" t="n">
        <f aca="false">MONTH(B319)</f>
        <v>8</v>
      </c>
      <c r="B319" s="135" t="n">
        <v>44436</v>
      </c>
      <c r="C319" s="128" t="s">
        <v>51</v>
      </c>
      <c r="D319" s="77" t="str">
        <f aca="false">IFERROR(VLOOKUP(E:E,'Item Data Support Sheet'!A:O,7,0),"")</f>
        <v>BOTTLE MOLDED</v>
      </c>
      <c r="E319" s="80" t="s">
        <v>747</v>
      </c>
      <c r="F319" s="122" t="s">
        <v>79</v>
      </c>
      <c r="G319" s="77" t="s">
        <v>80</v>
      </c>
      <c r="H319" s="79" t="str">
        <f aca="false">IFERROR(VLOOKUP(E:E,'Item Data Support Sheet'!A:O,2,0),"")</f>
        <v>RPP 120ML BLUE BOTTLE MOLDED (WM3GB)</v>
      </c>
      <c r="I319" s="80" t="s">
        <v>743</v>
      </c>
      <c r="J319" s="80" t="s">
        <v>140</v>
      </c>
      <c r="K319" s="81" t="n">
        <f aca="false">8-3.7</f>
        <v>4.3</v>
      </c>
      <c r="L319" s="124" t="n">
        <f aca="false">2574-1200</f>
        <v>1374</v>
      </c>
      <c r="M319" s="83" t="n">
        <f aca="false">IFERROR(L319/K319,0)</f>
        <v>319.53488372093</v>
      </c>
      <c r="N319" s="84" t="n">
        <f aca="false">+O319+Q319+T319+U319</f>
        <v>1173</v>
      </c>
      <c r="O319" s="85" t="n">
        <f aca="false">6*180</f>
        <v>1080</v>
      </c>
      <c r="P319" s="86" t="n">
        <v>1.1</v>
      </c>
      <c r="Q319" s="86" t="n">
        <v>57</v>
      </c>
      <c r="R319" s="132" t="n">
        <v>0</v>
      </c>
      <c r="S319" s="128" t="n">
        <v>0</v>
      </c>
      <c r="T319" s="132" t="n">
        <v>20</v>
      </c>
      <c r="U319" s="128" t="n">
        <v>16</v>
      </c>
      <c r="V319" s="128" t="n">
        <v>1</v>
      </c>
      <c r="W319" s="90" t="n">
        <f aca="false">IFERROR(O319/V319,0)</f>
        <v>1080</v>
      </c>
      <c r="X319" s="91" t="n">
        <f aca="false">O319/L319</f>
        <v>0.786026200873362</v>
      </c>
      <c r="Y319" s="92" t="str">
        <f aca="false">IFERROR(VLOOKUP(E:E,'Item Data Support Sheet'!A:J,6,0),0)</f>
        <v>WMG3B</v>
      </c>
      <c r="Z319" s="93" t="n">
        <f aca="false">IFERROR(VLOOKUP(E:E,'Item Data Support Sheet'!A:O,4,0),0)</f>
        <v>22.7</v>
      </c>
      <c r="AA319" s="93" t="n">
        <f aca="false">IFERROR(((N319)*(Z319/1000))+P319,0)</f>
        <v>27.7271</v>
      </c>
      <c r="AB319" s="94" t="n">
        <f aca="false">IFERROR((O319*(Z319/1000)/(AA319))," ")</f>
        <v>0.884189114620714</v>
      </c>
      <c r="AC319" s="95" t="n">
        <f aca="false">IFERROR((T319)/((T319)+O319),0)</f>
        <v>0.0181818181818182</v>
      </c>
      <c r="AD319" s="96" t="n">
        <f aca="false">IFERROR(Q319/(Q319+N319),0)</f>
        <v>0.0463414634146341</v>
      </c>
      <c r="AE319" s="91" t="n">
        <f aca="false">(N319-T319)/N319</f>
        <v>0.982949701619778</v>
      </c>
      <c r="AF319" s="97" t="n">
        <f aca="false">BR319</f>
        <v>1.33333333333333</v>
      </c>
      <c r="AG319" s="98" t="n">
        <f aca="false">K319-AF319</f>
        <v>2.96666666666667</v>
      </c>
      <c r="AH319" s="99" t="n">
        <f aca="false">IFERROR(AG319/K319," ")</f>
        <v>0.689922480620155</v>
      </c>
      <c r="AI319" s="100" t="n">
        <f aca="false">IFERROR(O319/K319,0)</f>
        <v>251.162790697674</v>
      </c>
      <c r="AJ319" s="101" t="n">
        <f aca="false">VLOOKUP(D319,'Standard Cycle time'!C:D,2,0)</f>
        <v>9</v>
      </c>
      <c r="AK319" s="101" t="n">
        <f aca="false">AG319*V319*3600/O319</f>
        <v>9.88888888888889</v>
      </c>
      <c r="AL319" s="102" t="n">
        <f aca="false">AJ319/AK319</f>
        <v>0.910112359550562</v>
      </c>
      <c r="AM319" s="99" t="n">
        <f aca="false">AE319*AL319*AH319</f>
        <v>0.617200975435675</v>
      </c>
      <c r="AN319" s="103" t="n">
        <v>2845</v>
      </c>
      <c r="AO319" s="136" t="s">
        <v>748</v>
      </c>
      <c r="AP319" s="105" t="n">
        <v>0</v>
      </c>
      <c r="AQ319" s="105" t="n">
        <v>20</v>
      </c>
      <c r="AR319" s="105" t="n">
        <v>60</v>
      </c>
      <c r="AS319" s="105" t="n">
        <v>0</v>
      </c>
      <c r="AT319" s="105" t="n">
        <v>0</v>
      </c>
      <c r="AU319" s="105" t="n">
        <v>0</v>
      </c>
      <c r="AV319" s="105" t="n">
        <v>0</v>
      </c>
      <c r="AW319" s="105" t="n">
        <v>0</v>
      </c>
      <c r="AX319" s="105" t="n">
        <v>0</v>
      </c>
      <c r="AY319" s="105" t="n">
        <v>0</v>
      </c>
      <c r="AZ319" s="105" t="n">
        <v>0</v>
      </c>
      <c r="BA319" s="105" t="n">
        <v>0</v>
      </c>
      <c r="BB319" s="105" t="n">
        <v>0</v>
      </c>
      <c r="BC319" s="105" t="n">
        <v>0</v>
      </c>
      <c r="BD319" s="105" t="n">
        <v>0</v>
      </c>
      <c r="BE319" s="105" t="n">
        <v>0</v>
      </c>
      <c r="BF319" s="105" t="n">
        <v>0</v>
      </c>
      <c r="BG319" s="105" t="n">
        <v>0</v>
      </c>
      <c r="BH319" s="105" t="n">
        <v>0</v>
      </c>
      <c r="BI319" s="105" t="n">
        <v>0</v>
      </c>
      <c r="BJ319" s="105" t="n">
        <v>0</v>
      </c>
      <c r="BK319" s="105" t="n">
        <v>0</v>
      </c>
      <c r="BL319" s="105" t="n">
        <v>0</v>
      </c>
      <c r="BM319" s="105" t="n">
        <v>0</v>
      </c>
      <c r="BN319" s="105" t="n">
        <v>0</v>
      </c>
      <c r="BO319" s="105" t="n">
        <v>0</v>
      </c>
      <c r="BP319" s="105" t="n">
        <v>0</v>
      </c>
      <c r="BQ319" s="105" t="n">
        <v>0</v>
      </c>
      <c r="BR319" s="106" t="n">
        <f aca="false">SUM(AP319:BQ319)/60</f>
        <v>1.33333333333333</v>
      </c>
      <c r="BS319" s="106" t="n">
        <f aca="false">SUM(AP319:BR319)/60</f>
        <v>1.35555555555556</v>
      </c>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row>
    <row r="320" customFormat="false" ht="14.9" hidden="true" customHeight="false" outlineLevel="0" collapsed="false">
      <c r="A320" s="74" t="n">
        <f aca="false">MONTH(B320)</f>
        <v>8</v>
      </c>
      <c r="B320" s="135" t="n">
        <v>44436</v>
      </c>
      <c r="C320" s="128" t="s">
        <v>51</v>
      </c>
      <c r="D320" s="77" t="str">
        <f aca="false">IFERROR(VLOOKUP(E:E,'Item Data Support Sheet'!A:O,7,0),"")</f>
        <v>NIPPLE MOLDED</v>
      </c>
      <c r="E320" s="80" t="s">
        <v>661</v>
      </c>
      <c r="F320" s="122" t="s">
        <v>137</v>
      </c>
      <c r="G320" s="77" t="s">
        <v>138</v>
      </c>
      <c r="H320" s="79" t="str">
        <f aca="false">IFERROR(VLOOKUP(E:E,'Item Data Support Sheet'!A:O,2,0),"")</f>
        <v>NIPPLE S TYPE L SIZE INJECTION</v>
      </c>
      <c r="I320" s="80" t="s">
        <v>749</v>
      </c>
      <c r="J320" s="80" t="s">
        <v>140</v>
      </c>
      <c r="K320" s="81" t="n">
        <v>8</v>
      </c>
      <c r="L320" s="124" t="n">
        <v>4815</v>
      </c>
      <c r="M320" s="83" t="n">
        <f aca="false">IFERROR(L320/K320,0)</f>
        <v>601.875</v>
      </c>
      <c r="N320" s="84" t="n">
        <f aca="false">+O320+Q320+T320+U320</f>
        <v>5337</v>
      </c>
      <c r="O320" s="85" t="n">
        <v>5200</v>
      </c>
      <c r="P320" s="86" t="n">
        <v>0</v>
      </c>
      <c r="Q320" s="86" t="n">
        <v>54</v>
      </c>
      <c r="R320" s="132" t="n">
        <v>0</v>
      </c>
      <c r="S320" s="128" t="n">
        <v>0</v>
      </c>
      <c r="T320" s="132" t="n">
        <v>75</v>
      </c>
      <c r="U320" s="128" t="n">
        <v>8</v>
      </c>
      <c r="V320" s="128" t="n">
        <v>1</v>
      </c>
      <c r="W320" s="90" t="n">
        <f aca="false">IFERROR(O320/V320,0)</f>
        <v>5200</v>
      </c>
      <c r="X320" s="91" t="n">
        <f aca="false">O320/L320</f>
        <v>1.07995846313603</v>
      </c>
      <c r="Y320" s="92" t="str">
        <f aca="false">IFERROR(VLOOKUP(E:E,'Item Data Support Sheet'!A:J,6,0),0)</f>
        <v>Silicon</v>
      </c>
      <c r="Z320" s="93" t="n">
        <f aca="false">IFERROR(VLOOKUP(E:E,'Item Data Support Sheet'!A:O,4,0),0)</f>
        <v>6.8</v>
      </c>
      <c r="AA320" s="93" t="n">
        <f aca="false">IFERROR(((N320)*(Z320/1000))+P320,0)</f>
        <v>36.2916</v>
      </c>
      <c r="AB320" s="94" t="n">
        <f aca="false">IFERROR((O320*(Z320/1000)/(AA320))," ")</f>
        <v>0.974330148023234</v>
      </c>
      <c r="AC320" s="95" t="n">
        <f aca="false">IFERROR((T320)/((T320)+O320),0)</f>
        <v>0.014218009478673</v>
      </c>
      <c r="AD320" s="96" t="n">
        <f aca="false">IFERROR(Q320/(Q320+N320),0)</f>
        <v>0.010016694490818</v>
      </c>
      <c r="AE320" s="91" t="n">
        <f aca="false">(N320-T320)/N320</f>
        <v>0.985947161326588</v>
      </c>
      <c r="AF320" s="97" t="n">
        <f aca="false">BR320</f>
        <v>0</v>
      </c>
      <c r="AG320" s="98" t="n">
        <f aca="false">K320-AF320</f>
        <v>8</v>
      </c>
      <c r="AH320" s="99" t="n">
        <f aca="false">IFERROR(AG320/K320," ")</f>
        <v>1</v>
      </c>
      <c r="AI320" s="100" t="n">
        <f aca="false">IFERROR(O320/K320,0)</f>
        <v>650</v>
      </c>
      <c r="AJ320" s="101" t="n">
        <f aca="false">VLOOKUP(D320,'Standard Cycle time'!C:D,2,0)</f>
        <v>5.25</v>
      </c>
      <c r="AK320" s="101" t="n">
        <f aca="false">AG320*V320*3600/O320</f>
        <v>5.53846153846154</v>
      </c>
      <c r="AL320" s="102" t="n">
        <f aca="false">AJ320/AK320</f>
        <v>0.947916666666667</v>
      </c>
      <c r="AM320" s="99" t="n">
        <f aca="false">AE320*AL320*AH320</f>
        <v>0.934595746674161</v>
      </c>
      <c r="AN320" s="103" t="s">
        <v>750</v>
      </c>
      <c r="AO320" s="109"/>
      <c r="AP320" s="105" t="n">
        <v>0</v>
      </c>
      <c r="AQ320" s="105" t="n">
        <v>0</v>
      </c>
      <c r="AR320" s="105" t="n">
        <v>0</v>
      </c>
      <c r="AS320" s="105" t="n">
        <v>0</v>
      </c>
      <c r="AT320" s="105" t="n">
        <v>0</v>
      </c>
      <c r="AU320" s="105" t="n">
        <v>0</v>
      </c>
      <c r="AV320" s="105" t="n">
        <v>0</v>
      </c>
      <c r="AW320" s="105" t="n">
        <v>0</v>
      </c>
      <c r="AX320" s="105" t="n">
        <v>0</v>
      </c>
      <c r="AY320" s="105" t="n">
        <v>0</v>
      </c>
      <c r="AZ320" s="105" t="n">
        <v>0</v>
      </c>
      <c r="BA320" s="105" t="n">
        <v>0</v>
      </c>
      <c r="BB320" s="105" t="n">
        <v>0</v>
      </c>
      <c r="BC320" s="105" t="n">
        <v>0</v>
      </c>
      <c r="BD320" s="105" t="n">
        <v>0</v>
      </c>
      <c r="BE320" s="105" t="n">
        <v>0</v>
      </c>
      <c r="BF320" s="105" t="n">
        <v>0</v>
      </c>
      <c r="BG320" s="105" t="n">
        <v>0</v>
      </c>
      <c r="BH320" s="105" t="n">
        <v>0</v>
      </c>
      <c r="BI320" s="105" t="n">
        <v>0</v>
      </c>
      <c r="BJ320" s="105" t="n">
        <v>0</v>
      </c>
      <c r="BK320" s="105" t="n">
        <v>0</v>
      </c>
      <c r="BL320" s="105" t="n">
        <v>0</v>
      </c>
      <c r="BM320" s="105" t="n">
        <v>0</v>
      </c>
      <c r="BN320" s="105" t="n">
        <v>0</v>
      </c>
      <c r="BO320" s="105" t="n">
        <v>0</v>
      </c>
      <c r="BP320" s="105" t="n">
        <v>0</v>
      </c>
      <c r="BQ320" s="105" t="n">
        <v>0</v>
      </c>
      <c r="BR320" s="106" t="n">
        <f aca="false">SUM(AP320:BQ320)/60</f>
        <v>0</v>
      </c>
      <c r="BS320" s="106" t="n">
        <f aca="false">SUM(AP320:BR320)/60</f>
        <v>0</v>
      </c>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row>
    <row r="321" customFormat="false" ht="14.9" hidden="true" customHeight="false" outlineLevel="0" collapsed="false">
      <c r="A321" s="74" t="n">
        <f aca="false">MONTH(B321)</f>
        <v>8</v>
      </c>
      <c r="B321" s="135" t="n">
        <v>44436</v>
      </c>
      <c r="C321" s="128" t="s">
        <v>51</v>
      </c>
      <c r="D321" s="77" t="str">
        <f aca="false">IFERROR(VLOOKUP(E:E,'Item Data Support Sheet'!A:O,7,0),"")</f>
        <v>NIPPLE PUNCH</v>
      </c>
      <c r="E321" s="80" t="s">
        <v>666</v>
      </c>
      <c r="F321" s="122"/>
      <c r="G321" s="77" t="s">
        <v>54</v>
      </c>
      <c r="H321" s="79" t="str">
        <f aca="false">IFERROR(VLOOKUP(E:E,'Item Data Support Sheet'!A:O,2,0),"")</f>
        <v>NIPPLE S TYPE L SIZE PUNCHED</v>
      </c>
      <c r="I321" s="80" t="s">
        <v>708</v>
      </c>
      <c r="J321" s="80" t="s">
        <v>140</v>
      </c>
      <c r="K321" s="81" t="n">
        <v>8</v>
      </c>
      <c r="L321" s="124" t="n">
        <v>7000</v>
      </c>
      <c r="M321" s="83" t="n">
        <f aca="false">IFERROR(L321/K321,0)</f>
        <v>875</v>
      </c>
      <c r="N321" s="84" t="n">
        <f aca="false">+O321+Q321+T321+U321</f>
        <v>7170</v>
      </c>
      <c r="O321" s="85" t="n">
        <v>7170</v>
      </c>
      <c r="P321" s="86" t="n">
        <v>0</v>
      </c>
      <c r="Q321" s="86" t="n">
        <v>0</v>
      </c>
      <c r="R321" s="132" t="n">
        <v>0</v>
      </c>
      <c r="S321" s="128" t="n">
        <v>0</v>
      </c>
      <c r="T321" s="132" t="n">
        <v>0</v>
      </c>
      <c r="U321" s="128" t="n">
        <v>0</v>
      </c>
      <c r="V321" s="128" t="n">
        <v>1</v>
      </c>
      <c r="W321" s="90" t="n">
        <f aca="false">IFERROR(O321/V321,0)</f>
        <v>7170</v>
      </c>
      <c r="X321" s="91" t="n">
        <f aca="false">O321/L321</f>
        <v>1.02428571428571</v>
      </c>
      <c r="Y321" s="92" t="str">
        <f aca="false">IFERROR(VLOOKUP(E:E,'Item Data Support Sheet'!A:J,6,0),0)</f>
        <v>FO017</v>
      </c>
      <c r="Z321" s="93" t="n">
        <f aca="false">IFERROR(VLOOKUP(E:E,'Item Data Support Sheet'!A:O,4,0),0)</f>
        <v>0</v>
      </c>
      <c r="AA321" s="93" t="n">
        <f aca="false">IFERROR(((N321)*(Z321/1000))+P321,0)</f>
        <v>0</v>
      </c>
      <c r="AB321" s="94" t="str">
        <f aca="false">IFERROR((O321*(Z321/1000)/(AA321))," ")</f>
        <v> </v>
      </c>
      <c r="AC321" s="95" t="n">
        <f aca="false">IFERROR((T321)/((T321)+O321),0)</f>
        <v>0</v>
      </c>
      <c r="AD321" s="96" t="n">
        <f aca="false">IFERROR(Q321/(Q321+N321),0)</f>
        <v>0</v>
      </c>
      <c r="AE321" s="91" t="n">
        <f aca="false">(N321-T321)/N321</f>
        <v>1</v>
      </c>
      <c r="AF321" s="97" t="n">
        <f aca="false">BR321</f>
        <v>0.666666666666667</v>
      </c>
      <c r="AG321" s="98" t="n">
        <f aca="false">K321-AF321</f>
        <v>7.33333333333333</v>
      </c>
      <c r="AH321" s="99" t="n">
        <f aca="false">IFERROR(AG321/K321," ")</f>
        <v>0.916666666666667</v>
      </c>
      <c r="AI321" s="100" t="n">
        <f aca="false">IFERROR(O321/K321,0)</f>
        <v>896.25</v>
      </c>
      <c r="AJ321" s="101" t="n">
        <f aca="false">VLOOKUP(D321,'Standard Cycle time'!C:D,2,0)</f>
        <v>3.5</v>
      </c>
      <c r="AK321" s="101" t="n">
        <f aca="false">AG321*V321*3600/O321</f>
        <v>3.68200836820084</v>
      </c>
      <c r="AL321" s="102" t="n">
        <f aca="false">AJ321/AK321</f>
        <v>0.950568181818182</v>
      </c>
      <c r="AM321" s="99" t="n">
        <f aca="false">AE321*AL321*AH321</f>
        <v>0.871354166666667</v>
      </c>
      <c r="AN321" s="103" t="s">
        <v>751</v>
      </c>
      <c r="AO321" s="109"/>
      <c r="AP321" s="105" t="n">
        <v>40</v>
      </c>
      <c r="AQ321" s="105" t="n">
        <v>0</v>
      </c>
      <c r="AR321" s="105" t="n">
        <v>0</v>
      </c>
      <c r="AS321" s="105" t="n">
        <v>0</v>
      </c>
      <c r="AT321" s="105" t="n">
        <v>0</v>
      </c>
      <c r="AU321" s="105" t="n">
        <v>0</v>
      </c>
      <c r="AV321" s="105" t="n">
        <v>0</v>
      </c>
      <c r="AW321" s="105" t="n">
        <v>0</v>
      </c>
      <c r="AX321" s="105" t="n">
        <v>0</v>
      </c>
      <c r="AY321" s="105" t="n">
        <v>0</v>
      </c>
      <c r="AZ321" s="105" t="n">
        <v>0</v>
      </c>
      <c r="BA321" s="105" t="n">
        <v>0</v>
      </c>
      <c r="BB321" s="105" t="n">
        <v>0</v>
      </c>
      <c r="BC321" s="105" t="n">
        <v>0</v>
      </c>
      <c r="BD321" s="105" t="n">
        <v>0</v>
      </c>
      <c r="BE321" s="105" t="n">
        <v>0</v>
      </c>
      <c r="BF321" s="105" t="n">
        <v>0</v>
      </c>
      <c r="BG321" s="105" t="n">
        <v>0</v>
      </c>
      <c r="BH321" s="105" t="n">
        <v>0</v>
      </c>
      <c r="BI321" s="105" t="n">
        <v>0</v>
      </c>
      <c r="BJ321" s="105" t="n">
        <v>0</v>
      </c>
      <c r="BK321" s="105" t="n">
        <v>0</v>
      </c>
      <c r="BL321" s="105" t="n">
        <v>0</v>
      </c>
      <c r="BM321" s="105" t="n">
        <v>0</v>
      </c>
      <c r="BN321" s="105" t="n">
        <v>0</v>
      </c>
      <c r="BO321" s="105" t="n">
        <v>0</v>
      </c>
      <c r="BP321" s="105" t="n">
        <v>0</v>
      </c>
      <c r="BQ321" s="105" t="n">
        <v>0</v>
      </c>
      <c r="BR321" s="106" t="n">
        <f aca="false">SUM(AP321:BQ321)/60</f>
        <v>0.666666666666667</v>
      </c>
      <c r="BS321" s="106" t="n">
        <f aca="false">SUM(AP321:BR321)/60</f>
        <v>0.677777777777778</v>
      </c>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row>
    <row r="322" customFormat="false" ht="14.9" hidden="true" customHeight="false" outlineLevel="0" collapsed="false">
      <c r="A322" s="74" t="n">
        <f aca="false">MONTH(B322)</f>
        <v>8</v>
      </c>
      <c r="B322" s="135" t="n">
        <v>44436</v>
      </c>
      <c r="C322" s="128" t="s">
        <v>51</v>
      </c>
      <c r="D322" s="77" t="str">
        <f aca="false">IFERROR(VLOOKUP(E:E,'Item Data Support Sheet'!A:O,7,0),"")</f>
        <v>HOOD MOLDED</v>
      </c>
      <c r="E322" s="80" t="s">
        <v>529</v>
      </c>
      <c r="F322" s="122"/>
      <c r="G322" s="77" t="s">
        <v>200</v>
      </c>
      <c r="H322" s="79" t="str">
        <f aca="false">IFERROR(VLOOKUP(E:E,'Item Data Support Sheet'!A:O,2,0),"")</f>
        <v>HOOD S TYPE MOLDED</v>
      </c>
      <c r="I322" s="80" t="s">
        <v>752</v>
      </c>
      <c r="J322" s="80" t="s">
        <v>140</v>
      </c>
      <c r="K322" s="81" t="n">
        <v>8</v>
      </c>
      <c r="L322" s="124" t="n">
        <v>4137</v>
      </c>
      <c r="M322" s="83" t="n">
        <f aca="false">IFERROR(L322/K322,0)</f>
        <v>517.125</v>
      </c>
      <c r="N322" s="84" t="n">
        <f aca="false">+O322+Q322+T322+U322</f>
        <v>5320</v>
      </c>
      <c r="O322" s="85" t="n">
        <v>5300</v>
      </c>
      <c r="P322" s="86" t="n">
        <v>0</v>
      </c>
      <c r="Q322" s="86" t="n">
        <v>0</v>
      </c>
      <c r="R322" s="132" t="n">
        <v>0</v>
      </c>
      <c r="S322" s="128" t="n">
        <v>0</v>
      </c>
      <c r="T322" s="132" t="n">
        <v>12</v>
      </c>
      <c r="U322" s="128" t="n">
        <v>8</v>
      </c>
      <c r="V322" s="128" t="n">
        <v>1</v>
      </c>
      <c r="W322" s="90" t="n">
        <f aca="false">IFERROR(O322/V322,0)</f>
        <v>5300</v>
      </c>
      <c r="X322" s="91" t="n">
        <f aca="false">O322/L322</f>
        <v>1.28112158569011</v>
      </c>
      <c r="Y322" s="92" t="str">
        <f aca="false">IFERROR(VLOOKUP(E:E,'Item Data Support Sheet'!A:J,6,0),0)</f>
        <v>HMC</v>
      </c>
      <c r="Z322" s="93" t="n">
        <f aca="false">IFERROR(VLOOKUP(E:E,'Item Data Support Sheet'!A:O,4,0),0)</f>
        <v>8.6</v>
      </c>
      <c r="AA322" s="93" t="n">
        <f aca="false">IFERROR(((N322)*(Z322/1000))+P322,0)</f>
        <v>45.752</v>
      </c>
      <c r="AB322" s="94" t="n">
        <f aca="false">IFERROR((O322*(Z322/1000)/(AA322))," ")</f>
        <v>0.996240601503759</v>
      </c>
      <c r="AC322" s="95" t="n">
        <f aca="false">IFERROR((T322)/((T322)+O322),0)</f>
        <v>0.00225903614457831</v>
      </c>
      <c r="AD322" s="96" t="n">
        <f aca="false">IFERROR(Q322/(Q322+N322),0)</f>
        <v>0</v>
      </c>
      <c r="AE322" s="91" t="n">
        <f aca="false">(N322-T322)/N322</f>
        <v>0.997744360902256</v>
      </c>
      <c r="AF322" s="97" t="n">
        <f aca="false">BR322</f>
        <v>0</v>
      </c>
      <c r="AG322" s="98" t="n">
        <f aca="false">K322-AF322</f>
        <v>8</v>
      </c>
      <c r="AH322" s="99" t="n">
        <f aca="false">IFERROR(AG322/K322," ")</f>
        <v>1</v>
      </c>
      <c r="AI322" s="100" t="n">
        <f aca="false">IFERROR(O322/K322,0)</f>
        <v>662.5</v>
      </c>
      <c r="AJ322" s="101" t="n">
        <f aca="false">VLOOKUP(D322,'Standard Cycle time'!C:D,2,0)</f>
        <v>6</v>
      </c>
      <c r="AK322" s="101" t="n">
        <f aca="false">AG322*V322*3600/O322</f>
        <v>5.43396226415094</v>
      </c>
      <c r="AL322" s="102" t="n">
        <f aca="false">AJ322/AK322</f>
        <v>1.10416666666667</v>
      </c>
      <c r="AM322" s="99" t="n">
        <f aca="false">AE322*AL322*AH322</f>
        <v>1.10167606516291</v>
      </c>
      <c r="AN322" s="103" t="n">
        <v>2835</v>
      </c>
      <c r="AO322" s="104"/>
      <c r="AP322" s="105" t="n">
        <v>0</v>
      </c>
      <c r="AQ322" s="105" t="n">
        <v>0</v>
      </c>
      <c r="AR322" s="105" t="n">
        <v>0</v>
      </c>
      <c r="AS322" s="105" t="n">
        <v>0</v>
      </c>
      <c r="AT322" s="105" t="n">
        <v>0</v>
      </c>
      <c r="AU322" s="105" t="n">
        <v>0</v>
      </c>
      <c r="AV322" s="105" t="n">
        <v>0</v>
      </c>
      <c r="AW322" s="105" t="n">
        <v>0</v>
      </c>
      <c r="AX322" s="105" t="n">
        <v>0</v>
      </c>
      <c r="AY322" s="105" t="n">
        <v>0</v>
      </c>
      <c r="AZ322" s="105" t="n">
        <v>0</v>
      </c>
      <c r="BA322" s="105" t="n">
        <v>0</v>
      </c>
      <c r="BB322" s="105" t="n">
        <v>0</v>
      </c>
      <c r="BC322" s="105" t="n">
        <v>0</v>
      </c>
      <c r="BD322" s="105" t="n">
        <v>0</v>
      </c>
      <c r="BE322" s="105" t="n">
        <v>0</v>
      </c>
      <c r="BF322" s="105" t="n">
        <v>0</v>
      </c>
      <c r="BG322" s="105" t="n">
        <v>0</v>
      </c>
      <c r="BH322" s="105" t="n">
        <v>0</v>
      </c>
      <c r="BI322" s="105" t="n">
        <v>0</v>
      </c>
      <c r="BJ322" s="105" t="n">
        <v>0</v>
      </c>
      <c r="BK322" s="105" t="n">
        <v>0</v>
      </c>
      <c r="BL322" s="105" t="n">
        <v>0</v>
      </c>
      <c r="BM322" s="105" t="n">
        <v>0</v>
      </c>
      <c r="BN322" s="105" t="n">
        <v>0</v>
      </c>
      <c r="BO322" s="105" t="n">
        <v>0</v>
      </c>
      <c r="BP322" s="105" t="n">
        <v>0</v>
      </c>
      <c r="BQ322" s="105" t="n">
        <v>0</v>
      </c>
      <c r="BR322" s="106" t="n">
        <f aca="false">SUM(AP322:BQ322)/60</f>
        <v>0</v>
      </c>
      <c r="BS322" s="106" t="n">
        <f aca="false">SUM(AP322:BR322)/60</f>
        <v>0</v>
      </c>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row>
    <row r="323" customFormat="false" ht="14.9" hidden="true" customHeight="false" outlineLevel="0" collapsed="false">
      <c r="A323" s="74" t="n">
        <f aca="false">MONTH(B323)</f>
        <v>8</v>
      </c>
      <c r="B323" s="135" t="n">
        <v>44436</v>
      </c>
      <c r="C323" s="128" t="s">
        <v>51</v>
      </c>
      <c r="D323" s="77" t="str">
        <f aca="false">IFERROR(VLOOKUP(E:E,'Item Data Support Sheet'!A:O,7,0),"")</f>
        <v>NIPPLE LASER MARKING</v>
      </c>
      <c r="E323" s="80" t="s">
        <v>681</v>
      </c>
      <c r="F323" s="122"/>
      <c r="G323" s="77" t="s">
        <v>517</v>
      </c>
      <c r="H323" s="79" t="str">
        <f aca="false">IFERROR(VLOOKUP(E:E,'Item Data Support Sheet'!A:O,2,0),"")</f>
        <v>NIPPLE S TYPE L SIZE PUNCHED LASER MARKED</v>
      </c>
      <c r="I323" s="80" t="s">
        <v>753</v>
      </c>
      <c r="J323" s="80" t="s">
        <v>140</v>
      </c>
      <c r="K323" s="81" t="n">
        <v>8</v>
      </c>
      <c r="L323" s="124" t="n">
        <v>7000</v>
      </c>
      <c r="M323" s="83" t="n">
        <f aca="false">IFERROR(L323/K323,0)</f>
        <v>875</v>
      </c>
      <c r="N323" s="84" t="n">
        <f aca="false">+O323+Q323+T323+U323</f>
        <v>6470</v>
      </c>
      <c r="O323" s="85" t="n">
        <v>6470</v>
      </c>
      <c r="P323" s="86" t="n">
        <v>0</v>
      </c>
      <c r="Q323" s="86" t="n">
        <v>0</v>
      </c>
      <c r="R323" s="132" t="n">
        <v>0</v>
      </c>
      <c r="S323" s="128" t="n">
        <v>0</v>
      </c>
      <c r="T323" s="132" t="n">
        <v>0</v>
      </c>
      <c r="U323" s="128" t="n">
        <v>0</v>
      </c>
      <c r="V323" s="128" t="n">
        <v>1</v>
      </c>
      <c r="W323" s="90" t="n">
        <f aca="false">IFERROR(O323/V323,0)</f>
        <v>6470</v>
      </c>
      <c r="X323" s="91" t="n">
        <f aca="false">O323/L323</f>
        <v>0.924285714285714</v>
      </c>
      <c r="Y323" s="92" t="str">
        <f aca="false">IFERROR(VLOOKUP(E:E,'Item Data Support Sheet'!A:J,6,0),0)</f>
        <v>FO021</v>
      </c>
      <c r="Z323" s="93" t="n">
        <f aca="false">IFERROR(VLOOKUP(E:E,'Item Data Support Sheet'!A:O,4,0),0)</f>
        <v>0</v>
      </c>
      <c r="AA323" s="93" t="n">
        <f aca="false">IFERROR(((N323)*(Z323/1000))+P323,0)</f>
        <v>0</v>
      </c>
      <c r="AB323" s="94" t="str">
        <f aca="false">IFERROR((O323*(Z323/1000)/(AA323))," ")</f>
        <v> </v>
      </c>
      <c r="AC323" s="95" t="n">
        <f aca="false">IFERROR((T323)/((T323)+O323),0)</f>
        <v>0</v>
      </c>
      <c r="AD323" s="96" t="n">
        <f aca="false">IFERROR(Q323/(Q323+N323),0)</f>
        <v>0</v>
      </c>
      <c r="AE323" s="91" t="n">
        <f aca="false">(N323-T323)/N323</f>
        <v>1</v>
      </c>
      <c r="AF323" s="97" t="n">
        <f aca="false">BR323</f>
        <v>0.666666666666667</v>
      </c>
      <c r="AG323" s="98" t="n">
        <f aca="false">K323-AF323</f>
        <v>7.33333333333333</v>
      </c>
      <c r="AH323" s="99" t="n">
        <f aca="false">IFERROR(AG323/K323," ")</f>
        <v>0.916666666666667</v>
      </c>
      <c r="AI323" s="100" t="n">
        <f aca="false">IFERROR(O323/K323,0)</f>
        <v>808.75</v>
      </c>
      <c r="AJ323" s="101" t="n">
        <f aca="false">VLOOKUP(D323,'Standard Cycle time'!C:D,2,0)</f>
        <v>3.5</v>
      </c>
      <c r="AK323" s="101" t="n">
        <f aca="false">AG323*V323*3600/O323</f>
        <v>4.08037094281298</v>
      </c>
      <c r="AL323" s="102" t="n">
        <f aca="false">AJ323/AK323</f>
        <v>0.857765151515152</v>
      </c>
      <c r="AM323" s="99" t="n">
        <f aca="false">AE323*AL323*AH323</f>
        <v>0.786284722222222</v>
      </c>
      <c r="AN323" s="103" t="s">
        <v>754</v>
      </c>
      <c r="AO323" s="109"/>
      <c r="AP323" s="105" t="n">
        <v>40</v>
      </c>
      <c r="AQ323" s="105" t="n">
        <v>0</v>
      </c>
      <c r="AR323" s="105" t="n">
        <v>0</v>
      </c>
      <c r="AS323" s="105" t="n">
        <v>0</v>
      </c>
      <c r="AT323" s="105" t="n">
        <v>0</v>
      </c>
      <c r="AU323" s="105" t="n">
        <v>0</v>
      </c>
      <c r="AV323" s="105" t="n">
        <v>0</v>
      </c>
      <c r="AW323" s="105" t="n">
        <v>0</v>
      </c>
      <c r="AX323" s="105" t="n">
        <v>0</v>
      </c>
      <c r="AY323" s="105" t="n">
        <v>0</v>
      </c>
      <c r="AZ323" s="105" t="n">
        <v>0</v>
      </c>
      <c r="BA323" s="105" t="n">
        <v>0</v>
      </c>
      <c r="BB323" s="105" t="n">
        <v>0</v>
      </c>
      <c r="BC323" s="105" t="n">
        <v>0</v>
      </c>
      <c r="BD323" s="105" t="n">
        <v>0</v>
      </c>
      <c r="BE323" s="105" t="n">
        <v>0</v>
      </c>
      <c r="BF323" s="105" t="n">
        <v>0</v>
      </c>
      <c r="BG323" s="105" t="n">
        <v>0</v>
      </c>
      <c r="BH323" s="105" t="n">
        <v>0</v>
      </c>
      <c r="BI323" s="105" t="n">
        <v>0</v>
      </c>
      <c r="BJ323" s="105" t="n">
        <v>0</v>
      </c>
      <c r="BK323" s="105" t="n">
        <v>0</v>
      </c>
      <c r="BL323" s="105" t="n">
        <v>0</v>
      </c>
      <c r="BM323" s="105" t="n">
        <v>0</v>
      </c>
      <c r="BN323" s="105" t="n">
        <v>0</v>
      </c>
      <c r="BO323" s="105" t="n">
        <v>0</v>
      </c>
      <c r="BP323" s="105" t="n">
        <v>0</v>
      </c>
      <c r="BQ323" s="105" t="n">
        <v>0</v>
      </c>
      <c r="BR323" s="106" t="n">
        <f aca="false">SUM(AP323:BQ323)/60</f>
        <v>0.666666666666667</v>
      </c>
      <c r="BS323" s="106" t="n">
        <f aca="false">SUM(AP323:BR323)/60</f>
        <v>0.677777777777778</v>
      </c>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row>
    <row r="324" customFormat="false" ht="14.9" hidden="true" customHeight="false" outlineLevel="0" collapsed="false">
      <c r="A324" s="74" t="n">
        <f aca="false">MONTH(B324)</f>
        <v>8</v>
      </c>
      <c r="B324" s="135" t="n">
        <v>44436</v>
      </c>
      <c r="C324" s="128" t="s">
        <v>63</v>
      </c>
      <c r="D324" s="77" t="str">
        <f aca="false">IFERROR(VLOOKUP(E:E,'Item Data Support Sheet'!A:O,7,0),"")</f>
        <v>NIPPLE PUNCH INSPECTED</v>
      </c>
      <c r="E324" s="80" t="s">
        <v>688</v>
      </c>
      <c r="F324" s="122"/>
      <c r="G324" s="77"/>
      <c r="H324" s="79" t="str">
        <f aca="false">IFERROR(VLOOKUP(E:E,'Item Data Support Sheet'!A:O,2,0),"")</f>
        <v>NIPPLE S TYPE L SIZE PUNCHED INSPECTED</v>
      </c>
      <c r="I324" s="80" t="s">
        <v>726</v>
      </c>
      <c r="J324" s="80" t="s">
        <v>158</v>
      </c>
      <c r="K324" s="81" t="n">
        <v>8.5</v>
      </c>
      <c r="L324" s="124" t="n">
        <v>14072</v>
      </c>
      <c r="M324" s="83" t="n">
        <f aca="false">IFERROR(L324/K324,0)</f>
        <v>1655.52941176471</v>
      </c>
      <c r="N324" s="84" t="n">
        <f aca="false">+O324+Q324+T324+U324</f>
        <v>12470</v>
      </c>
      <c r="O324" s="85" t="n">
        <v>12444</v>
      </c>
      <c r="P324" s="86" t="n">
        <v>0</v>
      </c>
      <c r="Q324" s="86" t="n">
        <v>0</v>
      </c>
      <c r="R324" s="132" t="n">
        <v>0</v>
      </c>
      <c r="S324" s="128" t="n">
        <v>0</v>
      </c>
      <c r="T324" s="132" t="n">
        <v>26</v>
      </c>
      <c r="U324" s="128" t="n">
        <v>0</v>
      </c>
      <c r="V324" s="128" t="n">
        <v>2</v>
      </c>
      <c r="W324" s="90" t="n">
        <f aca="false">IFERROR(O324/V324,0)</f>
        <v>6222</v>
      </c>
      <c r="X324" s="91" t="n">
        <f aca="false">O324/L324</f>
        <v>0.884309266628766</v>
      </c>
      <c r="Y324" s="92" t="str">
        <f aca="false">IFERROR(VLOOKUP(E:E,'Item Data Support Sheet'!A:J,6,0),0)</f>
        <v>FO106</v>
      </c>
      <c r="Z324" s="93" t="n">
        <f aca="false">IFERROR(VLOOKUP(E:E,'Item Data Support Sheet'!A:O,4,0),0)</f>
        <v>0</v>
      </c>
      <c r="AA324" s="93" t="n">
        <f aca="false">IFERROR(((N324)*(Z324/1000))+P324,0)</f>
        <v>0</v>
      </c>
      <c r="AB324" s="94" t="str">
        <f aca="false">IFERROR((O324*(Z324/1000)/(AA324))," ")</f>
        <v> </v>
      </c>
      <c r="AC324" s="95" t="n">
        <f aca="false">IFERROR((T324)/((T324)+O324),0)</f>
        <v>0.0020850040096231</v>
      </c>
      <c r="AD324" s="96" t="n">
        <f aca="false">IFERROR(Q324/(Q324+N324),0)</f>
        <v>0</v>
      </c>
      <c r="AE324" s="91" t="n">
        <f aca="false">(N324-T324)/N324</f>
        <v>0.997914995990377</v>
      </c>
      <c r="AF324" s="97" t="n">
        <f aca="false">BR324</f>
        <v>0.833333333333333</v>
      </c>
      <c r="AG324" s="98" t="n">
        <f aca="false">K324-AF324</f>
        <v>7.66666666666667</v>
      </c>
      <c r="AH324" s="99" t="n">
        <f aca="false">IFERROR(AG324/K324," ")</f>
        <v>0.901960784313726</v>
      </c>
      <c r="AI324" s="100" t="n">
        <f aca="false">IFERROR(O324/K324,0)</f>
        <v>1464</v>
      </c>
      <c r="AJ324" s="101" t="n">
        <f aca="false">VLOOKUP(D324,'Standard Cycle time'!C:D,2,0)</f>
        <v>4</v>
      </c>
      <c r="AK324" s="101" t="n">
        <f aca="false">AG324*V324*3600/O324</f>
        <v>4.43587270973963</v>
      </c>
      <c r="AL324" s="102" t="n">
        <f aca="false">AJ324/AK324</f>
        <v>0.901739130434783</v>
      </c>
      <c r="AM324" s="99" t="n">
        <f aca="false">AE324*AL324*AH324</f>
        <v>0.811637530072173</v>
      </c>
      <c r="AN324" s="103" t="n">
        <v>2860</v>
      </c>
      <c r="AO324" s="109" t="s">
        <v>755</v>
      </c>
      <c r="AP324" s="105" t="n">
        <v>50</v>
      </c>
      <c r="AQ324" s="105" t="n">
        <v>0</v>
      </c>
      <c r="AR324" s="105" t="n">
        <v>0</v>
      </c>
      <c r="AS324" s="105" t="n">
        <v>0</v>
      </c>
      <c r="AT324" s="105" t="n">
        <v>0</v>
      </c>
      <c r="AU324" s="105" t="n">
        <v>0</v>
      </c>
      <c r="AV324" s="105" t="n">
        <v>0</v>
      </c>
      <c r="AW324" s="105" t="n">
        <v>0</v>
      </c>
      <c r="AX324" s="105" t="n">
        <v>0</v>
      </c>
      <c r="AY324" s="105" t="n">
        <v>0</v>
      </c>
      <c r="AZ324" s="105" t="n">
        <v>0</v>
      </c>
      <c r="BA324" s="105" t="n">
        <v>0</v>
      </c>
      <c r="BB324" s="105" t="n">
        <v>0</v>
      </c>
      <c r="BC324" s="105" t="n">
        <v>0</v>
      </c>
      <c r="BD324" s="105" t="n">
        <v>0</v>
      </c>
      <c r="BE324" s="105" t="n">
        <v>0</v>
      </c>
      <c r="BF324" s="105" t="n">
        <v>0</v>
      </c>
      <c r="BG324" s="105" t="n">
        <v>0</v>
      </c>
      <c r="BH324" s="105" t="n">
        <v>0</v>
      </c>
      <c r="BI324" s="105" t="n">
        <v>0</v>
      </c>
      <c r="BJ324" s="105" t="n">
        <v>0</v>
      </c>
      <c r="BK324" s="105" t="n">
        <v>0</v>
      </c>
      <c r="BL324" s="105" t="n">
        <v>0</v>
      </c>
      <c r="BM324" s="105" t="n">
        <v>0</v>
      </c>
      <c r="BN324" s="105" t="n">
        <v>0</v>
      </c>
      <c r="BO324" s="105" t="n">
        <v>0</v>
      </c>
      <c r="BP324" s="105" t="n">
        <v>0</v>
      </c>
      <c r="BQ324" s="105" t="n">
        <v>0</v>
      </c>
      <c r="BR324" s="106" t="n">
        <f aca="false">SUM(AP324:BQ324)/60</f>
        <v>0.833333333333333</v>
      </c>
      <c r="BS324" s="106" t="n">
        <f aca="false">SUM(AP324:BR324)/60</f>
        <v>0.847222222222222</v>
      </c>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row>
    <row r="325" customFormat="false" ht="14.9" hidden="true" customHeight="false" outlineLevel="0" collapsed="false">
      <c r="A325" s="74" t="n">
        <f aca="false">MONTH(B325)</f>
        <v>8</v>
      </c>
      <c r="B325" s="135" t="n">
        <v>44436</v>
      </c>
      <c r="C325" s="128" t="s">
        <v>63</v>
      </c>
      <c r="D325" s="77" t="str">
        <f aca="false">IFERROR(VLOOKUP(E:E,'Item Data Support Sheet'!A:O,7,0),"")</f>
        <v>NIPPLE WRAP PRINTED</v>
      </c>
      <c r="E325" s="80" t="s">
        <v>474</v>
      </c>
      <c r="F325" s="122"/>
      <c r="G325" s="77" t="s">
        <v>432</v>
      </c>
      <c r="H325" s="79" t="str">
        <f aca="false">IFERROR(VLOOKUP(E:E,'Item Data Support Sheet'!A:O,2,0),"")</f>
        <v>NIPPLE S TYPE L SIZE WITH PRINTED WRAP</v>
      </c>
      <c r="I325" s="80" t="s">
        <v>726</v>
      </c>
      <c r="J325" s="80" t="s">
        <v>158</v>
      </c>
      <c r="K325" s="81" t="n">
        <v>8.5</v>
      </c>
      <c r="L325" s="124" t="n">
        <v>16032</v>
      </c>
      <c r="M325" s="83" t="n">
        <f aca="false">IFERROR(L325/K325,0)</f>
        <v>1886.11764705882</v>
      </c>
      <c r="N325" s="84" t="n">
        <f aca="false">+O325+Q325+T325+U325</f>
        <v>11426</v>
      </c>
      <c r="O325" s="85" t="n">
        <v>11423</v>
      </c>
      <c r="P325" s="86" t="n">
        <v>0</v>
      </c>
      <c r="Q325" s="86" t="n">
        <v>0</v>
      </c>
      <c r="R325" s="132" t="n">
        <v>0</v>
      </c>
      <c r="S325" s="128" t="n">
        <v>0</v>
      </c>
      <c r="T325" s="132" t="n">
        <v>3</v>
      </c>
      <c r="U325" s="128" t="n">
        <v>0</v>
      </c>
      <c r="V325" s="128" t="n">
        <v>2</v>
      </c>
      <c r="W325" s="90" t="n">
        <f aca="false">IFERROR(O325/V325,0)</f>
        <v>5711.5</v>
      </c>
      <c r="X325" s="91" t="n">
        <f aca="false">O325/L325</f>
        <v>0.7125124750499</v>
      </c>
      <c r="Y325" s="92" t="str">
        <f aca="false">IFERROR(VLOOKUP(E:E,'Item Data Support Sheet'!A:J,6,0),0)</f>
        <v>FO021</v>
      </c>
      <c r="Z325" s="93" t="n">
        <f aca="false">IFERROR(VLOOKUP(E:E,'Item Data Support Sheet'!A:O,4,0),0)</f>
        <v>0</v>
      </c>
      <c r="AA325" s="93" t="n">
        <f aca="false">IFERROR(((N325)*(Z325/1000))+P325,0)</f>
        <v>0</v>
      </c>
      <c r="AB325" s="94" t="str">
        <f aca="false">IFERROR((O325*(Z325/1000)/(AA325))," ")</f>
        <v> </v>
      </c>
      <c r="AC325" s="95" t="n">
        <f aca="false">IFERROR((T325)/((T325)+O325),0)</f>
        <v>0.000262559075792053</v>
      </c>
      <c r="AD325" s="96" t="n">
        <f aca="false">IFERROR(Q325/(Q325+N325),0)</f>
        <v>0</v>
      </c>
      <c r="AE325" s="91" t="n">
        <f aca="false">(N325-T325)/N325</f>
        <v>0.999737440924208</v>
      </c>
      <c r="AF325" s="97" t="n">
        <f aca="false">BR325</f>
        <v>0.833333333333333</v>
      </c>
      <c r="AG325" s="98" t="n">
        <f aca="false">K325-AF325</f>
        <v>7.66666666666667</v>
      </c>
      <c r="AH325" s="99" t="n">
        <f aca="false">IFERROR(AG325/K325," ")</f>
        <v>0.901960784313726</v>
      </c>
      <c r="AI325" s="100" t="n">
        <f aca="false">IFERROR(O325/K325,0)</f>
        <v>1343.88235294118</v>
      </c>
      <c r="AJ325" s="101" t="n">
        <f aca="false">VLOOKUP(D325,'Standard Cycle time'!C:D,2,0)</f>
        <v>2.5</v>
      </c>
      <c r="AK325" s="101" t="n">
        <f aca="false">AG325*V325*3600/O325</f>
        <v>4.83235577343955</v>
      </c>
      <c r="AL325" s="102" t="n">
        <f aca="false">AJ325/AK325</f>
        <v>0.517346014492754</v>
      </c>
      <c r="AM325" s="99" t="n">
        <f aca="false">AE325*AL325*AH325</f>
        <v>0.466503300150214</v>
      </c>
      <c r="AN325" s="103" t="n">
        <v>2861</v>
      </c>
      <c r="AO325" s="104"/>
      <c r="AP325" s="105" t="n">
        <v>50</v>
      </c>
      <c r="AQ325" s="105" t="n">
        <v>0</v>
      </c>
      <c r="AR325" s="105" t="n">
        <v>0</v>
      </c>
      <c r="AS325" s="105" t="n">
        <v>0</v>
      </c>
      <c r="AT325" s="105" t="n">
        <v>0</v>
      </c>
      <c r="AU325" s="105" t="n">
        <v>0</v>
      </c>
      <c r="AV325" s="105" t="n">
        <v>0</v>
      </c>
      <c r="AW325" s="105" t="n">
        <v>0</v>
      </c>
      <c r="AX325" s="105" t="n">
        <v>0</v>
      </c>
      <c r="AY325" s="105" t="n">
        <v>0</v>
      </c>
      <c r="AZ325" s="105" t="n">
        <v>0</v>
      </c>
      <c r="BA325" s="105" t="n">
        <v>0</v>
      </c>
      <c r="BB325" s="105" t="n">
        <v>0</v>
      </c>
      <c r="BC325" s="105" t="n">
        <v>0</v>
      </c>
      <c r="BD325" s="105" t="n">
        <v>0</v>
      </c>
      <c r="BE325" s="105" t="n">
        <v>0</v>
      </c>
      <c r="BF325" s="105" t="n">
        <v>0</v>
      </c>
      <c r="BG325" s="105" t="n">
        <v>0</v>
      </c>
      <c r="BH325" s="105" t="n">
        <v>0</v>
      </c>
      <c r="BI325" s="105" t="n">
        <v>0</v>
      </c>
      <c r="BJ325" s="105" t="n">
        <v>0</v>
      </c>
      <c r="BK325" s="105" t="n">
        <v>0</v>
      </c>
      <c r="BL325" s="105" t="n">
        <v>0</v>
      </c>
      <c r="BM325" s="105" t="n">
        <v>0</v>
      </c>
      <c r="BN325" s="105" t="n">
        <v>0</v>
      </c>
      <c r="BO325" s="105" t="n">
        <v>0</v>
      </c>
      <c r="BP325" s="105" t="n">
        <v>0</v>
      </c>
      <c r="BQ325" s="105" t="n">
        <v>0</v>
      </c>
      <c r="BR325" s="106" t="n">
        <f aca="false">SUM(AP325:BQ325)/60</f>
        <v>0.833333333333333</v>
      </c>
      <c r="BS325" s="106" t="n">
        <f aca="false">SUM(AP325:BR325)/60</f>
        <v>0.847222222222222</v>
      </c>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row>
    <row r="326" customFormat="false" ht="14.9" hidden="true" customHeight="false" outlineLevel="0" collapsed="false">
      <c r="A326" s="74" t="n">
        <f aca="false">MONTH(B326)</f>
        <v>8</v>
      </c>
      <c r="B326" s="135" t="n">
        <v>44436</v>
      </c>
      <c r="C326" s="128" t="s">
        <v>63</v>
      </c>
      <c r="D326" s="77" t="str">
        <f aca="false">IFERROR(VLOOKUP(E:E,'Item Data Support Sheet'!A:O,7,0),"")</f>
        <v>BOTTLE PRINTED</v>
      </c>
      <c r="E326" s="80" t="s">
        <v>691</v>
      </c>
      <c r="F326" s="122"/>
      <c r="G326" s="77" t="s">
        <v>66</v>
      </c>
      <c r="H326" s="79" t="str">
        <f aca="false">IFERROR(VLOOKUP(E:E,'Item Data Support Sheet'!A:O,2,0),"")</f>
        <v>KPP 120 ML BOTTLE PRINTED</v>
      </c>
      <c r="I326" s="80" t="s">
        <v>756</v>
      </c>
      <c r="J326" s="80" t="s">
        <v>161</v>
      </c>
      <c r="K326" s="81" t="n">
        <v>4.5</v>
      </c>
      <c r="L326" s="124" t="n">
        <v>2000</v>
      </c>
      <c r="M326" s="83" t="n">
        <f aca="false">IFERROR(L326/K326,0)</f>
        <v>444.444444444444</v>
      </c>
      <c r="N326" s="84" t="n">
        <f aca="false">+O326+Q326+T326+U326</f>
        <v>1997</v>
      </c>
      <c r="O326" s="85" t="n">
        <v>1986</v>
      </c>
      <c r="P326" s="86" t="n">
        <v>0</v>
      </c>
      <c r="Q326" s="86" t="n">
        <v>0</v>
      </c>
      <c r="R326" s="132" t="n">
        <v>26</v>
      </c>
      <c r="S326" s="128" t="n">
        <v>0</v>
      </c>
      <c r="T326" s="132" t="n">
        <v>11</v>
      </c>
      <c r="U326" s="128" t="n">
        <v>0</v>
      </c>
      <c r="V326" s="128" t="n">
        <v>6</v>
      </c>
      <c r="W326" s="90" t="n">
        <f aca="false">IFERROR(O326/V326,0)</f>
        <v>331</v>
      </c>
      <c r="X326" s="91" t="n">
        <f aca="false">O326/L326</f>
        <v>0.993</v>
      </c>
      <c r="Y326" s="92" t="str">
        <f aca="false">IFERROR(VLOOKUP(E:E,'Item Data Support Sheet'!A:J,6,0),0)</f>
        <v>FO001</v>
      </c>
      <c r="Z326" s="93" t="n">
        <f aca="false">IFERROR(VLOOKUP(E:E,'Item Data Support Sheet'!A:O,4,0),0)</f>
        <v>0</v>
      </c>
      <c r="AA326" s="93" t="n">
        <f aca="false">IFERROR(((N326)*(Z326/1000))+P326,0)</f>
        <v>0</v>
      </c>
      <c r="AB326" s="94" t="str">
        <f aca="false">IFERROR((O326*(Z326/1000)/(AA326))," ")</f>
        <v> </v>
      </c>
      <c r="AC326" s="95" t="n">
        <f aca="false">IFERROR((T326)/((T326)+O326),0)</f>
        <v>0.00550826239359039</v>
      </c>
      <c r="AD326" s="96" t="n">
        <f aca="false">IFERROR(Q326/(Q326+N326),0)</f>
        <v>0</v>
      </c>
      <c r="AE326" s="91" t="n">
        <f aca="false">(N326-T326)/N326</f>
        <v>0.99449173760641</v>
      </c>
      <c r="AF326" s="97" t="n">
        <f aca="false">BR326</f>
        <v>0.833333333333333</v>
      </c>
      <c r="AG326" s="98" t="n">
        <f aca="false">K326-AF326</f>
        <v>3.66666666666667</v>
      </c>
      <c r="AH326" s="99" t="n">
        <f aca="false">IFERROR(AG326/K326," ")</f>
        <v>0.814814814814815</v>
      </c>
      <c r="AI326" s="100" t="n">
        <f aca="false">IFERROR(O326/K326,0)</f>
        <v>441.333333333333</v>
      </c>
      <c r="AJ326" s="101" t="n">
        <f aca="false">VLOOKUP(D326,'Standard Cycle time'!C:D,2,0)</f>
        <v>32.4</v>
      </c>
      <c r="AK326" s="101" t="n">
        <f aca="false">AG326*V326*3600/O326</f>
        <v>39.8791540785498</v>
      </c>
      <c r="AL326" s="102" t="n">
        <f aca="false">AJ326/AK326</f>
        <v>0.812454545454546</v>
      </c>
      <c r="AM326" s="99" t="n">
        <f aca="false">AE326*AL326*AH326</f>
        <v>0.658353530295443</v>
      </c>
      <c r="AN326" s="103" t="n">
        <v>2841</v>
      </c>
      <c r="AO326" s="109" t="s">
        <v>757</v>
      </c>
      <c r="AP326" s="105" t="n">
        <v>30</v>
      </c>
      <c r="AQ326" s="105" t="n">
        <v>20</v>
      </c>
      <c r="AR326" s="105" t="n">
        <v>0</v>
      </c>
      <c r="AS326" s="105" t="n">
        <v>0</v>
      </c>
      <c r="AT326" s="105" t="n">
        <v>0</v>
      </c>
      <c r="AU326" s="105" t="n">
        <v>0</v>
      </c>
      <c r="AV326" s="105" t="n">
        <v>0</v>
      </c>
      <c r="AW326" s="105" t="n">
        <v>0</v>
      </c>
      <c r="AX326" s="105" t="n">
        <v>0</v>
      </c>
      <c r="AY326" s="105" t="n">
        <v>0</v>
      </c>
      <c r="AZ326" s="105" t="n">
        <v>0</v>
      </c>
      <c r="BA326" s="105" t="n">
        <v>0</v>
      </c>
      <c r="BB326" s="105" t="n">
        <v>0</v>
      </c>
      <c r="BC326" s="105" t="n">
        <v>0</v>
      </c>
      <c r="BD326" s="105" t="n">
        <v>0</v>
      </c>
      <c r="BE326" s="105" t="n">
        <v>0</v>
      </c>
      <c r="BF326" s="105" t="n">
        <v>0</v>
      </c>
      <c r="BG326" s="105" t="n">
        <v>0</v>
      </c>
      <c r="BH326" s="105" t="n">
        <v>0</v>
      </c>
      <c r="BI326" s="105" t="n">
        <v>0</v>
      </c>
      <c r="BJ326" s="105" t="n">
        <v>0</v>
      </c>
      <c r="BK326" s="105" t="n">
        <v>0</v>
      </c>
      <c r="BL326" s="105" t="n">
        <v>0</v>
      </c>
      <c r="BM326" s="105" t="n">
        <v>0</v>
      </c>
      <c r="BN326" s="105" t="n">
        <v>0</v>
      </c>
      <c r="BO326" s="105" t="n">
        <v>0</v>
      </c>
      <c r="BP326" s="105" t="n">
        <v>0</v>
      </c>
      <c r="BQ326" s="105" t="n">
        <v>0</v>
      </c>
      <c r="BR326" s="106" t="n">
        <f aca="false">SUM(AP326:BQ326)/60</f>
        <v>0.833333333333333</v>
      </c>
      <c r="BS326" s="106" t="n">
        <f aca="false">SUM(AP326:BR326)/60</f>
        <v>0.847222222222222</v>
      </c>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row>
    <row r="327" customFormat="false" ht="14.9" hidden="true" customHeight="false" outlineLevel="0" collapsed="false">
      <c r="A327" s="74" t="n">
        <f aca="false">MONTH(B327)</f>
        <v>8</v>
      </c>
      <c r="B327" s="135" t="n">
        <v>44436</v>
      </c>
      <c r="C327" s="128" t="s">
        <v>63</v>
      </c>
      <c r="D327" s="77" t="str">
        <f aca="false">IFERROR(VLOOKUP(E:E,'Item Data Support Sheet'!A:O,7,0),"")</f>
        <v>BOTTLE PRINTED</v>
      </c>
      <c r="E327" s="80" t="s">
        <v>758</v>
      </c>
      <c r="F327" s="122"/>
      <c r="G327" s="77" t="s">
        <v>66</v>
      </c>
      <c r="H327" s="79" t="str">
        <f aca="false">IFERROR(VLOOKUP(E:E,'Item Data Support Sheet'!A:O,2,0),"")</f>
        <v>KPP 120 BOTTLE PRINTED (WMG3B) W/O OZ &amp; W/BIS LOGO</v>
      </c>
      <c r="I327" s="80" t="s">
        <v>759</v>
      </c>
      <c r="J327" s="80" t="s">
        <v>161</v>
      </c>
      <c r="K327" s="81" t="n">
        <v>2</v>
      </c>
      <c r="L327" s="124" t="n">
        <v>1000</v>
      </c>
      <c r="M327" s="83" t="n">
        <f aca="false">IFERROR(L327/K327,0)</f>
        <v>500</v>
      </c>
      <c r="N327" s="84" t="n">
        <f aca="false">+O327+Q327+T327+U327</f>
        <v>1077</v>
      </c>
      <c r="O327" s="85" t="n">
        <v>1063</v>
      </c>
      <c r="P327" s="86" t="n">
        <v>0</v>
      </c>
      <c r="Q327" s="86" t="n">
        <v>0</v>
      </c>
      <c r="R327" s="132" t="n">
        <v>7</v>
      </c>
      <c r="S327" s="128" t="n">
        <v>0</v>
      </c>
      <c r="T327" s="132" t="n">
        <v>14</v>
      </c>
      <c r="U327" s="128" t="n">
        <v>0</v>
      </c>
      <c r="V327" s="128" t="n">
        <v>6</v>
      </c>
      <c r="W327" s="90" t="n">
        <f aca="false">IFERROR(O327/V327,0)</f>
        <v>177.166666666667</v>
      </c>
      <c r="X327" s="91" t="n">
        <f aca="false">O327/L327</f>
        <v>1.063</v>
      </c>
      <c r="Y327" s="92" t="str">
        <f aca="false">IFERROR(VLOOKUP(E:E,'Item Data Support Sheet'!A:J,6,0),0)</f>
        <v>FO042</v>
      </c>
      <c r="Z327" s="93" t="n">
        <f aca="false">IFERROR(VLOOKUP(E:E,'Item Data Support Sheet'!A:O,4,0),0)</f>
        <v>0</v>
      </c>
      <c r="AA327" s="93" t="n">
        <f aca="false">IFERROR(((N327)*(Z327/1000))+P327,0)</f>
        <v>0</v>
      </c>
      <c r="AB327" s="94" t="str">
        <f aca="false">IFERROR((O327*(Z327/1000)/(AA327))," ")</f>
        <v> </v>
      </c>
      <c r="AC327" s="95" t="n">
        <f aca="false">IFERROR((T327)/((T327)+O327),0)</f>
        <v>0.0129990714948932</v>
      </c>
      <c r="AD327" s="96" t="n">
        <f aca="false">IFERROR(Q327/(Q327+N327),0)</f>
        <v>0</v>
      </c>
      <c r="AE327" s="91" t="n">
        <f aca="false">(N327-T327)/N327</f>
        <v>0.987000928505107</v>
      </c>
      <c r="AF327" s="97" t="n">
        <f aca="false">BR327</f>
        <v>0.5</v>
      </c>
      <c r="AG327" s="98" t="n">
        <f aca="false">K327-AF327</f>
        <v>1.5</v>
      </c>
      <c r="AH327" s="99" t="n">
        <f aca="false">IFERROR(AG327/K327," ")</f>
        <v>0.75</v>
      </c>
      <c r="AI327" s="100" t="n">
        <f aca="false">IFERROR(O327/K327,0)</f>
        <v>531.5</v>
      </c>
      <c r="AJ327" s="101" t="n">
        <f aca="false">VLOOKUP(D327,'Standard Cycle time'!C:D,2,0)</f>
        <v>32.4</v>
      </c>
      <c r="AK327" s="101" t="n">
        <f aca="false">AG327*V327*3600/O327</f>
        <v>30.4797742238946</v>
      </c>
      <c r="AL327" s="102" t="n">
        <f aca="false">AJ327/AK327</f>
        <v>1.063</v>
      </c>
      <c r="AM327" s="99" t="n">
        <f aca="false">AE327*AL327*AH327</f>
        <v>0.786886490250696</v>
      </c>
      <c r="AN327" s="103" t="s">
        <v>760</v>
      </c>
      <c r="AO327" s="109"/>
      <c r="AP327" s="105" t="n">
        <v>0</v>
      </c>
      <c r="AQ327" s="105" t="n">
        <v>30</v>
      </c>
      <c r="AR327" s="105" t="n">
        <v>0</v>
      </c>
      <c r="AS327" s="105" t="n">
        <v>0</v>
      </c>
      <c r="AT327" s="105" t="n">
        <v>0</v>
      </c>
      <c r="AU327" s="105" t="n">
        <v>0</v>
      </c>
      <c r="AV327" s="105" t="n">
        <v>0</v>
      </c>
      <c r="AW327" s="105" t="n">
        <v>0</v>
      </c>
      <c r="AX327" s="105" t="n">
        <v>0</v>
      </c>
      <c r="AY327" s="105" t="n">
        <v>0</v>
      </c>
      <c r="AZ327" s="105" t="n">
        <v>0</v>
      </c>
      <c r="BA327" s="105" t="n">
        <v>0</v>
      </c>
      <c r="BB327" s="105" t="n">
        <v>0</v>
      </c>
      <c r="BC327" s="105" t="n">
        <v>0</v>
      </c>
      <c r="BD327" s="105" t="n">
        <v>0</v>
      </c>
      <c r="BE327" s="105" t="n">
        <v>0</v>
      </c>
      <c r="BF327" s="105" t="n">
        <v>0</v>
      </c>
      <c r="BG327" s="105" t="n">
        <v>0</v>
      </c>
      <c r="BH327" s="105" t="n">
        <v>0</v>
      </c>
      <c r="BI327" s="105" t="n">
        <v>0</v>
      </c>
      <c r="BJ327" s="105" t="n">
        <v>0</v>
      </c>
      <c r="BK327" s="105" t="n">
        <v>0</v>
      </c>
      <c r="BL327" s="105" t="n">
        <v>0</v>
      </c>
      <c r="BM327" s="105" t="n">
        <v>0</v>
      </c>
      <c r="BN327" s="105" t="n">
        <v>0</v>
      </c>
      <c r="BO327" s="105" t="n">
        <v>0</v>
      </c>
      <c r="BP327" s="105" t="n">
        <v>0</v>
      </c>
      <c r="BQ327" s="105" t="n">
        <v>0</v>
      </c>
      <c r="BR327" s="106" t="n">
        <f aca="false">SUM(AP327:BQ327)/60</f>
        <v>0.5</v>
      </c>
      <c r="BS327" s="106" t="n">
        <f aca="false">SUM(AP327:BR327)/60</f>
        <v>0.508333333333333</v>
      </c>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row>
    <row r="328" customFormat="false" ht="14.9" hidden="true" customHeight="false" outlineLevel="0" collapsed="false">
      <c r="A328" s="74" t="n">
        <f aca="false">MONTH(B328)</f>
        <v>8</v>
      </c>
      <c r="B328" s="135" t="n">
        <v>44436</v>
      </c>
      <c r="C328" s="128" t="s">
        <v>63</v>
      </c>
      <c r="D328" s="77" t="str">
        <f aca="false">IFERROR(VLOOKUP(E:E,'Item Data Support Sheet'!A:O,7,0),"")</f>
        <v>BOTTLE PRINTED</v>
      </c>
      <c r="E328" s="80" t="s">
        <v>761</v>
      </c>
      <c r="F328" s="122"/>
      <c r="G328" s="77" t="s">
        <v>66</v>
      </c>
      <c r="H328" s="79" t="str">
        <f aca="false">IFERROR(VLOOKUP(E:E,'Item Data Support Sheet'!A:O,2,0),"")</f>
        <v>RPP 120ML FLORAL BLUE BOTLE PNTD WM3GB W/BIS LOGO</v>
      </c>
      <c r="I328" s="80" t="s">
        <v>762</v>
      </c>
      <c r="J328" s="80" t="s">
        <v>161</v>
      </c>
      <c r="K328" s="81" t="n">
        <v>2</v>
      </c>
      <c r="L328" s="124" t="n">
        <v>1000</v>
      </c>
      <c r="M328" s="83" t="n">
        <f aca="false">IFERROR(L328/K328,0)</f>
        <v>500</v>
      </c>
      <c r="N328" s="84" t="n">
        <f aca="false">+O328+Q328+T328+U328</f>
        <v>1011</v>
      </c>
      <c r="O328" s="85" t="n">
        <v>1000</v>
      </c>
      <c r="P328" s="86" t="n">
        <v>0</v>
      </c>
      <c r="Q328" s="86" t="n">
        <v>0</v>
      </c>
      <c r="R328" s="132" t="n">
        <v>16</v>
      </c>
      <c r="S328" s="128" t="n">
        <v>0</v>
      </c>
      <c r="T328" s="132" t="n">
        <v>11</v>
      </c>
      <c r="U328" s="128" t="n">
        <v>0</v>
      </c>
      <c r="V328" s="128" t="n">
        <v>6</v>
      </c>
      <c r="W328" s="90" t="n">
        <f aca="false">IFERROR(O328/V328,0)</f>
        <v>166.666666666667</v>
      </c>
      <c r="X328" s="91" t="n">
        <f aca="false">O328/L328</f>
        <v>1</v>
      </c>
      <c r="Y328" s="92" t="str">
        <f aca="false">IFERROR(VLOOKUP(E:E,'Item Data Support Sheet'!A:J,6,0),0)</f>
        <v>FO054</v>
      </c>
      <c r="Z328" s="93" t="n">
        <f aca="false">IFERROR(VLOOKUP(E:E,'Item Data Support Sheet'!A:O,4,0),0)</f>
        <v>0</v>
      </c>
      <c r="AA328" s="93" t="n">
        <f aca="false">IFERROR(((N328)*(Z328/1000))+P328,0)</f>
        <v>0</v>
      </c>
      <c r="AB328" s="94" t="str">
        <f aca="false">IFERROR((O328*(Z328/1000)/(AA328))," ")</f>
        <v> </v>
      </c>
      <c r="AC328" s="95" t="n">
        <f aca="false">IFERROR((T328)/((T328)+O328),0)</f>
        <v>0.0108803165182987</v>
      </c>
      <c r="AD328" s="96" t="n">
        <f aca="false">IFERROR(Q328/(Q328+N328),0)</f>
        <v>0</v>
      </c>
      <c r="AE328" s="91" t="n">
        <f aca="false">(N328-T328)/N328</f>
        <v>0.989119683481701</v>
      </c>
      <c r="AF328" s="97" t="n">
        <f aca="false">BR328</f>
        <v>0</v>
      </c>
      <c r="AG328" s="98" t="n">
        <f aca="false">K328-AF328</f>
        <v>2</v>
      </c>
      <c r="AH328" s="99" t="n">
        <f aca="false">IFERROR(AG328/K328," ")</f>
        <v>1</v>
      </c>
      <c r="AI328" s="100" t="n">
        <f aca="false">IFERROR(O328/K328,0)</f>
        <v>500</v>
      </c>
      <c r="AJ328" s="101" t="n">
        <f aca="false">VLOOKUP(D328,'Standard Cycle time'!C:D,2,0)</f>
        <v>32.4</v>
      </c>
      <c r="AK328" s="101" t="n">
        <f aca="false">AG328*V328*3600/O328</f>
        <v>43.2</v>
      </c>
      <c r="AL328" s="102" t="n">
        <f aca="false">AJ328/AK328</f>
        <v>0.75</v>
      </c>
      <c r="AM328" s="99" t="n">
        <f aca="false">AE328*AL328*AH328</f>
        <v>0.741839762611276</v>
      </c>
      <c r="AN328" s="103" t="s">
        <v>763</v>
      </c>
      <c r="AO328" s="109" t="s">
        <v>764</v>
      </c>
      <c r="AP328" s="105" t="n">
        <v>0</v>
      </c>
      <c r="AQ328" s="105" t="n">
        <v>0</v>
      </c>
      <c r="AR328" s="105" t="n">
        <v>0</v>
      </c>
      <c r="AS328" s="105" t="n">
        <v>0</v>
      </c>
      <c r="AT328" s="105" t="n">
        <v>0</v>
      </c>
      <c r="AU328" s="105" t="n">
        <v>0</v>
      </c>
      <c r="AV328" s="105" t="n">
        <v>0</v>
      </c>
      <c r="AW328" s="105" t="n">
        <v>0</v>
      </c>
      <c r="AX328" s="105" t="n">
        <v>0</v>
      </c>
      <c r="AY328" s="105" t="n">
        <v>0</v>
      </c>
      <c r="AZ328" s="105" t="n">
        <v>0</v>
      </c>
      <c r="BA328" s="105" t="n">
        <v>0</v>
      </c>
      <c r="BB328" s="105" t="n">
        <v>0</v>
      </c>
      <c r="BC328" s="105" t="n">
        <v>0</v>
      </c>
      <c r="BD328" s="105" t="n">
        <v>0</v>
      </c>
      <c r="BE328" s="105" t="n">
        <v>0</v>
      </c>
      <c r="BF328" s="105" t="n">
        <v>0</v>
      </c>
      <c r="BG328" s="105" t="n">
        <v>0</v>
      </c>
      <c r="BH328" s="105" t="n">
        <v>0</v>
      </c>
      <c r="BI328" s="105" t="n">
        <v>0</v>
      </c>
      <c r="BJ328" s="105" t="n">
        <v>0</v>
      </c>
      <c r="BK328" s="105" t="n">
        <v>0</v>
      </c>
      <c r="BL328" s="105" t="n">
        <v>0</v>
      </c>
      <c r="BM328" s="105" t="n">
        <v>0</v>
      </c>
      <c r="BN328" s="105" t="n">
        <v>0</v>
      </c>
      <c r="BO328" s="105" t="n">
        <v>0</v>
      </c>
      <c r="BP328" s="105" t="n">
        <v>0</v>
      </c>
      <c r="BQ328" s="105" t="n">
        <v>0</v>
      </c>
      <c r="BR328" s="106" t="n">
        <f aca="false">SUM(AP328:BQ328)/60</f>
        <v>0</v>
      </c>
      <c r="BS328" s="106" t="n">
        <f aca="false">SUM(AP328:BR328)/60</f>
        <v>0</v>
      </c>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row>
    <row r="329" customFormat="false" ht="14.9" hidden="true" customHeight="false" outlineLevel="0" collapsed="false">
      <c r="A329" s="74" t="n">
        <f aca="false">MONTH(B329)</f>
        <v>8</v>
      </c>
      <c r="B329" s="135" t="n">
        <v>44436</v>
      </c>
      <c r="C329" s="128" t="s">
        <v>70</v>
      </c>
      <c r="D329" s="77" t="str">
        <f aca="false">IFERROR(VLOOKUP(E:E,'Item Data Support Sheet'!A:O,7,0),"")</f>
        <v>NIPPLE LASER MARKING</v>
      </c>
      <c r="E329" s="80" t="s">
        <v>681</v>
      </c>
      <c r="F329" s="122"/>
      <c r="G329" s="137" t="s">
        <v>517</v>
      </c>
      <c r="H329" s="79" t="str">
        <f aca="false">IFERROR(VLOOKUP(E:E,'Item Data Support Sheet'!A:O,2,0),"")</f>
        <v>NIPPLE S TYPE L SIZE PUNCHED LASER MARKED</v>
      </c>
      <c r="I329" s="80" t="s">
        <v>765</v>
      </c>
      <c r="J329" s="80" t="s">
        <v>143</v>
      </c>
      <c r="K329" s="81" t="n">
        <v>8</v>
      </c>
      <c r="L329" s="124" t="n">
        <v>7036</v>
      </c>
      <c r="M329" s="83" t="n">
        <f aca="false">IFERROR(L329/K329,0)</f>
        <v>879.5</v>
      </c>
      <c r="N329" s="84" t="n">
        <f aca="false">+O329+Q329+T329+U329</f>
        <v>6300</v>
      </c>
      <c r="O329" s="85" t="n">
        <v>6300</v>
      </c>
      <c r="P329" s="86" t="n">
        <v>0</v>
      </c>
      <c r="Q329" s="86" t="n">
        <v>0</v>
      </c>
      <c r="R329" s="132" t="n">
        <v>0</v>
      </c>
      <c r="S329" s="128" t="n">
        <v>0</v>
      </c>
      <c r="T329" s="132" t="n">
        <v>0</v>
      </c>
      <c r="U329" s="128" t="n">
        <v>0</v>
      </c>
      <c r="V329" s="128" t="n">
        <v>1</v>
      </c>
      <c r="W329" s="90" t="n">
        <f aca="false">IFERROR(O329/V329,0)</f>
        <v>6300</v>
      </c>
      <c r="X329" s="91" t="n">
        <f aca="false">O329/L329</f>
        <v>0.895395110858442</v>
      </c>
      <c r="Y329" s="92" t="str">
        <f aca="false">IFERROR(VLOOKUP(E:E,'Item Data Support Sheet'!A:J,6,0),0)</f>
        <v>FO021</v>
      </c>
      <c r="Z329" s="93" t="n">
        <f aca="false">IFERROR(VLOOKUP(E:E,'Item Data Support Sheet'!A:O,4,0),0)</f>
        <v>0</v>
      </c>
      <c r="AA329" s="93" t="n">
        <f aca="false">IFERROR(((N329)*(Z329/1000))+P329,0)</f>
        <v>0</v>
      </c>
      <c r="AB329" s="94" t="str">
        <f aca="false">IFERROR((O329*(Z329/1000)/(AA329))," ")</f>
        <v> </v>
      </c>
      <c r="AC329" s="95" t="n">
        <f aca="false">IFERROR((T329)/((T329)+O329),0)</f>
        <v>0</v>
      </c>
      <c r="AD329" s="96" t="n">
        <f aca="false">IFERROR(Q329/(Q329+N329),0)</f>
        <v>0</v>
      </c>
      <c r="AE329" s="91" t="n">
        <f aca="false">(N329-T329)/N329</f>
        <v>1</v>
      </c>
      <c r="AF329" s="97" t="n">
        <f aca="false">BR329</f>
        <v>0.666666666666667</v>
      </c>
      <c r="AG329" s="98" t="n">
        <f aca="false">K329-AF329</f>
        <v>7.33333333333333</v>
      </c>
      <c r="AH329" s="99" t="n">
        <f aca="false">IFERROR(AG329/K329," ")</f>
        <v>0.916666666666667</v>
      </c>
      <c r="AI329" s="100" t="n">
        <f aca="false">IFERROR(O329/K329,0)</f>
        <v>787.5</v>
      </c>
      <c r="AJ329" s="101" t="n">
        <f aca="false">VLOOKUP(D329,'Standard Cycle time'!C:D,2,0)</f>
        <v>3.5</v>
      </c>
      <c r="AK329" s="101" t="n">
        <f aca="false">AG329*V329*3600/O329</f>
        <v>4.19047619047619</v>
      </c>
      <c r="AL329" s="102" t="n">
        <f aca="false">AJ329/AK329</f>
        <v>0.835227272727273</v>
      </c>
      <c r="AM329" s="99" t="n">
        <f aca="false">AE329*AL329*AH329</f>
        <v>0.765625</v>
      </c>
      <c r="AN329" s="103" t="s">
        <v>766</v>
      </c>
      <c r="AO329" s="109"/>
      <c r="AP329" s="105" t="n">
        <v>40</v>
      </c>
      <c r="AQ329" s="105" t="n">
        <v>0</v>
      </c>
      <c r="AR329" s="105" t="n">
        <v>0</v>
      </c>
      <c r="AS329" s="105" t="n">
        <v>0</v>
      </c>
      <c r="AT329" s="105" t="n">
        <v>0</v>
      </c>
      <c r="AU329" s="105" t="n">
        <v>0</v>
      </c>
      <c r="AV329" s="105" t="n">
        <v>0</v>
      </c>
      <c r="AW329" s="105" t="n">
        <v>0</v>
      </c>
      <c r="AX329" s="105" t="n">
        <v>0</v>
      </c>
      <c r="AY329" s="105" t="n">
        <v>0</v>
      </c>
      <c r="AZ329" s="105" t="n">
        <v>0</v>
      </c>
      <c r="BA329" s="105" t="n">
        <v>0</v>
      </c>
      <c r="BB329" s="105" t="n">
        <v>0</v>
      </c>
      <c r="BC329" s="105" t="n">
        <v>0</v>
      </c>
      <c r="BD329" s="105" t="n">
        <v>0</v>
      </c>
      <c r="BE329" s="105" t="n">
        <v>0</v>
      </c>
      <c r="BF329" s="105" t="n">
        <v>0</v>
      </c>
      <c r="BG329" s="105" t="n">
        <v>0</v>
      </c>
      <c r="BH329" s="105" t="n">
        <v>0</v>
      </c>
      <c r="BI329" s="105" t="n">
        <v>0</v>
      </c>
      <c r="BJ329" s="105" t="n">
        <v>0</v>
      </c>
      <c r="BK329" s="105" t="n">
        <v>0</v>
      </c>
      <c r="BL329" s="105" t="n">
        <v>0</v>
      </c>
      <c r="BM329" s="105" t="n">
        <v>0</v>
      </c>
      <c r="BN329" s="105" t="n">
        <v>0</v>
      </c>
      <c r="BO329" s="105" t="n">
        <v>0</v>
      </c>
      <c r="BP329" s="105" t="n">
        <v>0</v>
      </c>
      <c r="BQ329" s="105" t="n">
        <v>0</v>
      </c>
      <c r="BR329" s="106" t="n">
        <f aca="false">SUM(AP329:BQ329)/60</f>
        <v>0.666666666666667</v>
      </c>
      <c r="BS329" s="106" t="n">
        <f aca="false">SUM(AP329:BR329)/60</f>
        <v>0.677777777777778</v>
      </c>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row>
    <row r="330" customFormat="false" ht="14.9" hidden="true" customHeight="false" outlineLevel="0" collapsed="false">
      <c r="A330" s="74" t="n">
        <f aca="false">MONTH(B330)</f>
        <v>8</v>
      </c>
      <c r="B330" s="135" t="n">
        <v>44436</v>
      </c>
      <c r="C330" s="128" t="s">
        <v>70</v>
      </c>
      <c r="D330" s="77" t="str">
        <f aca="false">IFERROR(VLOOKUP(E:E,'Item Data Support Sheet'!A:O,7,0),"")</f>
        <v>NIPPLE PUNCH</v>
      </c>
      <c r="E330" s="80" t="s">
        <v>666</v>
      </c>
      <c r="F330" s="122"/>
      <c r="G330" s="137" t="s">
        <v>54</v>
      </c>
      <c r="H330" s="79" t="str">
        <f aca="false">IFERROR(VLOOKUP(E:E,'Item Data Support Sheet'!A:O,2,0),"")</f>
        <v>NIPPLE S TYPE L SIZE PUNCHED</v>
      </c>
      <c r="I330" s="80" t="s">
        <v>767</v>
      </c>
      <c r="J330" s="80" t="s">
        <v>143</v>
      </c>
      <c r="K330" s="81" t="n">
        <v>8</v>
      </c>
      <c r="L330" s="124" t="n">
        <v>7036</v>
      </c>
      <c r="M330" s="83" t="n">
        <f aca="false">IFERROR(L330/K330,0)</f>
        <v>879.5</v>
      </c>
      <c r="N330" s="84" t="n">
        <f aca="false">+O330+Q330+T330+U330</f>
        <v>7300</v>
      </c>
      <c r="O330" s="85" t="n">
        <v>7300</v>
      </c>
      <c r="P330" s="86" t="n">
        <v>0</v>
      </c>
      <c r="Q330" s="86" t="n">
        <v>0</v>
      </c>
      <c r="R330" s="132" t="n">
        <v>0</v>
      </c>
      <c r="S330" s="128" t="n">
        <v>0</v>
      </c>
      <c r="T330" s="132" t="n">
        <v>0</v>
      </c>
      <c r="U330" s="128" t="n">
        <v>0</v>
      </c>
      <c r="V330" s="128" t="n">
        <v>1</v>
      </c>
      <c r="W330" s="90" t="n">
        <f aca="false">IFERROR(O330/V330,0)</f>
        <v>7300</v>
      </c>
      <c r="X330" s="91" t="n">
        <f aca="false">O330/L330</f>
        <v>1.03752131893121</v>
      </c>
      <c r="Y330" s="92" t="str">
        <f aca="false">IFERROR(VLOOKUP(E:E,'Item Data Support Sheet'!A:J,6,0),0)</f>
        <v>FO017</v>
      </c>
      <c r="Z330" s="93" t="n">
        <f aca="false">IFERROR(VLOOKUP(E:E,'Item Data Support Sheet'!A:O,4,0),0)</f>
        <v>0</v>
      </c>
      <c r="AA330" s="93" t="n">
        <f aca="false">IFERROR(((N330)*(Z330/1000))+P330,0)</f>
        <v>0</v>
      </c>
      <c r="AB330" s="94" t="str">
        <f aca="false">IFERROR((O330*(Z330/1000)/(AA330))," ")</f>
        <v> </v>
      </c>
      <c r="AC330" s="95" t="n">
        <f aca="false">IFERROR((T330)/((T330)+O330),0)</f>
        <v>0</v>
      </c>
      <c r="AD330" s="96" t="n">
        <f aca="false">IFERROR(Q330/(Q330+N330),0)</f>
        <v>0</v>
      </c>
      <c r="AE330" s="91" t="n">
        <f aca="false">(N330-T330)/N330</f>
        <v>1</v>
      </c>
      <c r="AF330" s="97" t="n">
        <f aca="false">BR330</f>
        <v>0.666666666666667</v>
      </c>
      <c r="AG330" s="98" t="n">
        <f aca="false">K330-AF330</f>
        <v>7.33333333333333</v>
      </c>
      <c r="AH330" s="99" t="n">
        <f aca="false">IFERROR(AG330/K330," ")</f>
        <v>0.916666666666667</v>
      </c>
      <c r="AI330" s="100" t="n">
        <f aca="false">IFERROR(O330/K330,0)</f>
        <v>912.5</v>
      </c>
      <c r="AJ330" s="101" t="n">
        <f aca="false">VLOOKUP(D330,'Standard Cycle time'!C:D,2,0)</f>
        <v>3.5</v>
      </c>
      <c r="AK330" s="101" t="n">
        <f aca="false">AG330*V330*3600/O330</f>
        <v>3.61643835616438</v>
      </c>
      <c r="AL330" s="102" t="n">
        <f aca="false">AJ330/AK330</f>
        <v>0.96780303030303</v>
      </c>
      <c r="AM330" s="99" t="n">
        <f aca="false">AE330*AL330*AH330</f>
        <v>0.887152777777778</v>
      </c>
      <c r="AN330" s="103" t="n">
        <v>2864</v>
      </c>
      <c r="AO330" s="109"/>
      <c r="AP330" s="105" t="n">
        <v>40</v>
      </c>
      <c r="AQ330" s="105" t="n">
        <v>0</v>
      </c>
      <c r="AR330" s="105" t="n">
        <v>0</v>
      </c>
      <c r="AS330" s="105" t="n">
        <v>0</v>
      </c>
      <c r="AT330" s="105" t="n">
        <v>0</v>
      </c>
      <c r="AU330" s="105" t="n">
        <v>0</v>
      </c>
      <c r="AV330" s="105" t="n">
        <v>0</v>
      </c>
      <c r="AW330" s="105" t="n">
        <v>0</v>
      </c>
      <c r="AX330" s="105" t="n">
        <v>0</v>
      </c>
      <c r="AY330" s="105" t="n">
        <v>0</v>
      </c>
      <c r="AZ330" s="105" t="n">
        <v>0</v>
      </c>
      <c r="BA330" s="105" t="n">
        <v>0</v>
      </c>
      <c r="BB330" s="105" t="n">
        <v>0</v>
      </c>
      <c r="BC330" s="105" t="n">
        <v>0</v>
      </c>
      <c r="BD330" s="105" t="n">
        <v>0</v>
      </c>
      <c r="BE330" s="105" t="n">
        <v>0</v>
      </c>
      <c r="BF330" s="105" t="n">
        <v>0</v>
      </c>
      <c r="BG330" s="105" t="n">
        <v>0</v>
      </c>
      <c r="BH330" s="105" t="n">
        <v>0</v>
      </c>
      <c r="BI330" s="105" t="n">
        <v>0</v>
      </c>
      <c r="BJ330" s="105" t="n">
        <v>0</v>
      </c>
      <c r="BK330" s="105" t="n">
        <v>0</v>
      </c>
      <c r="BL330" s="105" t="n">
        <v>0</v>
      </c>
      <c r="BM330" s="105" t="n">
        <v>0</v>
      </c>
      <c r="BN330" s="105" t="n">
        <v>0</v>
      </c>
      <c r="BO330" s="105" t="n">
        <v>0</v>
      </c>
      <c r="BP330" s="105" t="n">
        <v>0</v>
      </c>
      <c r="BQ330" s="105" t="n">
        <v>0</v>
      </c>
      <c r="BR330" s="106" t="n">
        <f aca="false">SUM(AP330:BQ330)/60</f>
        <v>0.666666666666667</v>
      </c>
      <c r="BS330" s="106" t="n">
        <f aca="false">SUM(AP330:BR330)/60</f>
        <v>0.677777777777778</v>
      </c>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row>
    <row r="331" customFormat="false" ht="14.9" hidden="true" customHeight="false" outlineLevel="0" collapsed="false">
      <c r="A331" s="74" t="n">
        <f aca="false">MONTH(B331)</f>
        <v>8</v>
      </c>
      <c r="B331" s="135" t="n">
        <v>44436</v>
      </c>
      <c r="C331" s="128" t="s">
        <v>70</v>
      </c>
      <c r="D331" s="77" t="str">
        <f aca="false">IFERROR(VLOOKUP(E:E,'Item Data Support Sheet'!A:O,7,0),"")</f>
        <v>NIPPLE POSTCURE</v>
      </c>
      <c r="E331" s="80" t="s">
        <v>664</v>
      </c>
      <c r="F331" s="122"/>
      <c r="G331" s="137" t="s">
        <v>54</v>
      </c>
      <c r="H331" s="79" t="str">
        <f aca="false">IFERROR(VLOOKUP(E:E,'Item Data Support Sheet'!A:O,2,0),"")</f>
        <v>NIPPLE S TYPE L SIZE POSTCURED</v>
      </c>
      <c r="I331" s="80" t="s">
        <v>768</v>
      </c>
      <c r="J331" s="80" t="s">
        <v>143</v>
      </c>
      <c r="K331" s="81" t="n">
        <v>5</v>
      </c>
      <c r="L331" s="124" t="n">
        <v>7036</v>
      </c>
      <c r="M331" s="83" t="n">
        <f aca="false">IFERROR(L331/K331,0)</f>
        <v>1407.2</v>
      </c>
      <c r="N331" s="84" t="n">
        <f aca="false">+O331+Q331+T331+U331</f>
        <v>5200</v>
      </c>
      <c r="O331" s="85" t="n">
        <v>5200</v>
      </c>
      <c r="P331" s="86" t="n">
        <v>0</v>
      </c>
      <c r="Q331" s="86" t="n">
        <v>0</v>
      </c>
      <c r="R331" s="132" t="n">
        <v>0</v>
      </c>
      <c r="S331" s="128" t="n">
        <v>0</v>
      </c>
      <c r="T331" s="132" t="n">
        <v>0</v>
      </c>
      <c r="U331" s="128" t="n">
        <v>0</v>
      </c>
      <c r="V331" s="128" t="n">
        <v>1</v>
      </c>
      <c r="W331" s="90" t="n">
        <f aca="false">IFERROR(O331/V331,0)</f>
        <v>5200</v>
      </c>
      <c r="X331" s="91" t="n">
        <f aca="false">O331/L331</f>
        <v>0.739056281978397</v>
      </c>
      <c r="Y331" s="92" t="str">
        <f aca="false">IFERROR(VLOOKUP(E:E,'Item Data Support Sheet'!A:J,6,0),0)</f>
        <v>FO013</v>
      </c>
      <c r="Z331" s="93" t="n">
        <f aca="false">IFERROR(VLOOKUP(E:E,'Item Data Support Sheet'!A:O,4,0),0)</f>
        <v>0</v>
      </c>
      <c r="AA331" s="93" t="n">
        <f aca="false">IFERROR(((N331)*(Z331/1000))+P331,0)</f>
        <v>0</v>
      </c>
      <c r="AB331" s="94" t="str">
        <f aca="false">IFERROR((O331*(Z331/1000)/(AA331))," ")</f>
        <v> </v>
      </c>
      <c r="AC331" s="95" t="n">
        <f aca="false">IFERROR((T331)/((T331)+O331),0)</f>
        <v>0</v>
      </c>
      <c r="AD331" s="96" t="n">
        <f aca="false">IFERROR(Q331/(Q331+N331),0)</f>
        <v>0</v>
      </c>
      <c r="AE331" s="91" t="n">
        <f aca="false">(N331-T331)/N331</f>
        <v>1</v>
      </c>
      <c r="AF331" s="97" t="n">
        <f aca="false">BR331</f>
        <v>2</v>
      </c>
      <c r="AG331" s="98" t="n">
        <f aca="false">K331-AF331</f>
        <v>3</v>
      </c>
      <c r="AH331" s="99" t="n">
        <f aca="false">IFERROR(AG331/K331," ")</f>
        <v>0.6</v>
      </c>
      <c r="AI331" s="100" t="n">
        <f aca="false">IFERROR(O331/K331,0)</f>
        <v>1040</v>
      </c>
      <c r="AJ331" s="101" t="n">
        <f aca="false">VLOOKUP(D331,'Standard Cycle time'!C:D,2,0)</f>
        <v>2.3</v>
      </c>
      <c r="AK331" s="101" t="n">
        <f aca="false">AG331*V331*3600/O331</f>
        <v>2.07692307692308</v>
      </c>
      <c r="AL331" s="102" t="n">
        <f aca="false">AJ331/AK331</f>
        <v>1.10740740740741</v>
      </c>
      <c r="AM331" s="99" t="n">
        <f aca="false">AE331*AL331*AH331</f>
        <v>0.664444444444444</v>
      </c>
      <c r="AN331" s="103" t="s">
        <v>769</v>
      </c>
      <c r="AO331" s="109" t="s">
        <v>770</v>
      </c>
      <c r="AP331" s="105"/>
      <c r="AQ331" s="105" t="n">
        <v>0</v>
      </c>
      <c r="AR331" s="105" t="n">
        <v>0</v>
      </c>
      <c r="AS331" s="105" t="n">
        <v>0</v>
      </c>
      <c r="AT331" s="105" t="n">
        <v>120</v>
      </c>
      <c r="AU331" s="105" t="n">
        <v>0</v>
      </c>
      <c r="AV331" s="105" t="n">
        <v>0</v>
      </c>
      <c r="AW331" s="105" t="n">
        <v>0</v>
      </c>
      <c r="AX331" s="105" t="n">
        <v>0</v>
      </c>
      <c r="AY331" s="105" t="n">
        <v>0</v>
      </c>
      <c r="AZ331" s="105" t="n">
        <v>0</v>
      </c>
      <c r="BA331" s="105" t="n">
        <v>0</v>
      </c>
      <c r="BB331" s="105" t="n">
        <v>0</v>
      </c>
      <c r="BC331" s="105" t="n">
        <v>0</v>
      </c>
      <c r="BD331" s="105" t="n">
        <v>0</v>
      </c>
      <c r="BE331" s="105" t="n">
        <v>0</v>
      </c>
      <c r="BF331" s="105" t="n">
        <v>0</v>
      </c>
      <c r="BG331" s="105" t="n">
        <v>0</v>
      </c>
      <c r="BH331" s="105" t="n">
        <v>0</v>
      </c>
      <c r="BI331" s="105" t="n">
        <v>0</v>
      </c>
      <c r="BJ331" s="105" t="n">
        <v>0</v>
      </c>
      <c r="BK331" s="105" t="n">
        <v>0</v>
      </c>
      <c r="BL331" s="105" t="n">
        <v>0</v>
      </c>
      <c r="BM331" s="105" t="n">
        <v>0</v>
      </c>
      <c r="BN331" s="105" t="n">
        <v>0</v>
      </c>
      <c r="BO331" s="105" t="n">
        <v>0</v>
      </c>
      <c r="BP331" s="105" t="n">
        <v>0</v>
      </c>
      <c r="BQ331" s="105" t="n">
        <v>0</v>
      </c>
      <c r="BR331" s="106" t="n">
        <f aca="false">SUM(AP331:BQ331)/60</f>
        <v>2</v>
      </c>
      <c r="BS331" s="106" t="n">
        <f aca="false">SUM(AP331:BR331)/60</f>
        <v>2.03333333333333</v>
      </c>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row>
    <row r="332" customFormat="false" ht="14.9" hidden="true" customHeight="false" outlineLevel="0" collapsed="false">
      <c r="A332" s="74" t="n">
        <f aca="false">MONTH(B332)</f>
        <v>8</v>
      </c>
      <c r="B332" s="135" t="n">
        <v>44436</v>
      </c>
      <c r="C332" s="128" t="s">
        <v>70</v>
      </c>
      <c r="D332" s="77" t="str">
        <f aca="false">IFERROR(VLOOKUP(E:E,'Item Data Support Sheet'!A:O,7,0),"")</f>
        <v>NIPPLE MOLDED</v>
      </c>
      <c r="E332" s="80" t="s">
        <v>661</v>
      </c>
      <c r="F332" s="122" t="s">
        <v>137</v>
      </c>
      <c r="G332" s="137" t="s">
        <v>138</v>
      </c>
      <c r="H332" s="79" t="str">
        <f aca="false">IFERROR(VLOOKUP(E:E,'Item Data Support Sheet'!A:O,2,0),"")</f>
        <v>NIPPLE S TYPE L SIZE INJECTION</v>
      </c>
      <c r="I332" s="80" t="s">
        <v>771</v>
      </c>
      <c r="J332" s="80" t="s">
        <v>143</v>
      </c>
      <c r="K332" s="81" t="n">
        <v>8</v>
      </c>
      <c r="L332" s="124" t="n">
        <v>4815</v>
      </c>
      <c r="M332" s="83" t="n">
        <f aca="false">IFERROR(L332/K332,0)</f>
        <v>601.875</v>
      </c>
      <c r="N332" s="84" t="n">
        <f aca="false">+O332+Q332+T332+U332</f>
        <v>5557</v>
      </c>
      <c r="O332" s="85" t="n">
        <v>5500</v>
      </c>
      <c r="P332" s="86" t="n">
        <v>0</v>
      </c>
      <c r="Q332" s="86" t="n">
        <v>0</v>
      </c>
      <c r="R332" s="132" t="n">
        <v>0</v>
      </c>
      <c r="S332" s="128" t="n">
        <v>0</v>
      </c>
      <c r="T332" s="132" t="n">
        <v>57</v>
      </c>
      <c r="U332" s="128" t="n">
        <v>0</v>
      </c>
      <c r="V332" s="128" t="n">
        <v>1</v>
      </c>
      <c r="W332" s="90" t="n">
        <f aca="false">IFERROR(O332/V332,0)</f>
        <v>5500</v>
      </c>
      <c r="X332" s="91" t="n">
        <f aca="false">O332/L332</f>
        <v>1.14226375908619</v>
      </c>
      <c r="Y332" s="92" t="str">
        <f aca="false">IFERROR(VLOOKUP(E:E,'Item Data Support Sheet'!A:J,6,0),0)</f>
        <v>Silicon</v>
      </c>
      <c r="Z332" s="93" t="n">
        <f aca="false">IFERROR(VLOOKUP(E:E,'Item Data Support Sheet'!A:O,4,0),0)</f>
        <v>6.8</v>
      </c>
      <c r="AA332" s="93" t="n">
        <f aca="false">IFERROR(((N332)*(Z332/1000))+P332,0)</f>
        <v>37.7876</v>
      </c>
      <c r="AB332" s="94" t="n">
        <f aca="false">IFERROR((O332*(Z332/1000)/(AA332))," ")</f>
        <v>0.989742666906604</v>
      </c>
      <c r="AC332" s="95" t="n">
        <f aca="false">IFERROR((T332)/((T332)+O332),0)</f>
        <v>0.0102573330933957</v>
      </c>
      <c r="AD332" s="96" t="n">
        <f aca="false">IFERROR(Q332/(Q332+N332),0)</f>
        <v>0</v>
      </c>
      <c r="AE332" s="91" t="n">
        <f aca="false">(N332-T332)/N332</f>
        <v>0.989742666906604</v>
      </c>
      <c r="AF332" s="97" t="n">
        <f aca="false">BR332</f>
        <v>0</v>
      </c>
      <c r="AG332" s="98" t="n">
        <f aca="false">K332-AF332</f>
        <v>8</v>
      </c>
      <c r="AH332" s="99" t="n">
        <f aca="false">IFERROR(AG332/K332," ")</f>
        <v>1</v>
      </c>
      <c r="AI332" s="100" t="n">
        <f aca="false">IFERROR(O332/K332,0)</f>
        <v>687.5</v>
      </c>
      <c r="AJ332" s="101" t="n">
        <f aca="false">VLOOKUP(D332,'Standard Cycle time'!C:D,2,0)</f>
        <v>5.25</v>
      </c>
      <c r="AK332" s="101" t="n">
        <f aca="false">AG332*V332*3600/O332</f>
        <v>5.23636363636364</v>
      </c>
      <c r="AL332" s="102" t="n">
        <f aca="false">AJ332/AK332</f>
        <v>1.00260416666667</v>
      </c>
      <c r="AM332" s="99" t="n">
        <f aca="false">AE332*AL332*AH332</f>
        <v>0.99232012176834</v>
      </c>
      <c r="AN332" s="103" t="n">
        <v>2867</v>
      </c>
      <c r="AO332" s="104"/>
      <c r="AP332" s="105" t="n">
        <v>0</v>
      </c>
      <c r="AQ332" s="105" t="n">
        <v>0</v>
      </c>
      <c r="AR332" s="105" t="n">
        <v>0</v>
      </c>
      <c r="AS332" s="105" t="n">
        <v>0</v>
      </c>
      <c r="AT332" s="105" t="n">
        <v>0</v>
      </c>
      <c r="AU332" s="105" t="n">
        <v>0</v>
      </c>
      <c r="AV332" s="105" t="n">
        <v>0</v>
      </c>
      <c r="AW332" s="105" t="n">
        <v>0</v>
      </c>
      <c r="AX332" s="105" t="n">
        <v>0</v>
      </c>
      <c r="AY332" s="105" t="n">
        <v>0</v>
      </c>
      <c r="AZ332" s="105" t="n">
        <v>0</v>
      </c>
      <c r="BA332" s="105" t="n">
        <v>0</v>
      </c>
      <c r="BB332" s="105" t="n">
        <v>0</v>
      </c>
      <c r="BC332" s="105" t="n">
        <v>0</v>
      </c>
      <c r="BD332" s="105" t="n">
        <v>0</v>
      </c>
      <c r="BE332" s="105" t="n">
        <v>0</v>
      </c>
      <c r="BF332" s="105" t="n">
        <v>0</v>
      </c>
      <c r="BG332" s="105" t="n">
        <v>0</v>
      </c>
      <c r="BH332" s="105" t="n">
        <v>0</v>
      </c>
      <c r="BI332" s="105" t="n">
        <v>0</v>
      </c>
      <c r="BJ332" s="105" t="n">
        <v>0</v>
      </c>
      <c r="BK332" s="105" t="n">
        <v>0</v>
      </c>
      <c r="BL332" s="105" t="n">
        <v>0</v>
      </c>
      <c r="BM332" s="105" t="n">
        <v>0</v>
      </c>
      <c r="BN332" s="105" t="n">
        <v>0</v>
      </c>
      <c r="BO332" s="105" t="n">
        <v>0</v>
      </c>
      <c r="BP332" s="105" t="n">
        <v>0</v>
      </c>
      <c r="BQ332" s="105" t="n">
        <v>0</v>
      </c>
      <c r="BR332" s="106" t="n">
        <f aca="false">SUM(AP332:BQ332)/60</f>
        <v>0</v>
      </c>
      <c r="BS332" s="106" t="n">
        <f aca="false">SUM(AP332:BR332)/60</f>
        <v>0</v>
      </c>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row>
    <row r="333" customFormat="false" ht="28.35" hidden="true" customHeight="false" outlineLevel="0" collapsed="false">
      <c r="A333" s="74" t="n">
        <f aca="false">MONTH(B333)</f>
        <v>8</v>
      </c>
      <c r="B333" s="135" t="n">
        <v>44436</v>
      </c>
      <c r="C333" s="128" t="s">
        <v>70</v>
      </c>
      <c r="D333" s="77" t="str">
        <f aca="false">IFERROR(VLOOKUP(E:E,'Item Data Support Sheet'!A:O,7,0),"")</f>
        <v>BOTTLE MOLDED</v>
      </c>
      <c r="E333" s="80" t="s">
        <v>747</v>
      </c>
      <c r="F333" s="122" t="s">
        <v>79</v>
      </c>
      <c r="G333" s="77" t="s">
        <v>80</v>
      </c>
      <c r="H333" s="79" t="str">
        <f aca="false">IFERROR(VLOOKUP(E:E,'Item Data Support Sheet'!A:O,2,0),"")</f>
        <v>RPP 120ML BLUE BOTTLE MOLDED (WM3GB)</v>
      </c>
      <c r="I333" s="80" t="s">
        <v>772</v>
      </c>
      <c r="J333" s="80" t="s">
        <v>143</v>
      </c>
      <c r="K333" s="81" t="n">
        <v>8</v>
      </c>
      <c r="L333" s="124" t="n">
        <v>2503</v>
      </c>
      <c r="M333" s="83" t="n">
        <f aca="false">IFERROR(L333/K333,0)</f>
        <v>312.875</v>
      </c>
      <c r="N333" s="84" t="n">
        <f aca="false">+O333+Q333+T333+U333</f>
        <v>2831</v>
      </c>
      <c r="O333" s="85" t="n">
        <f aca="false">15*180</f>
        <v>2700</v>
      </c>
      <c r="P333" s="86" t="n">
        <v>0.3</v>
      </c>
      <c r="Q333" s="86" t="n">
        <v>57</v>
      </c>
      <c r="R333" s="132" t="n">
        <v>0</v>
      </c>
      <c r="S333" s="128" t="n">
        <v>0</v>
      </c>
      <c r="T333" s="132" t="n">
        <v>74</v>
      </c>
      <c r="U333" s="128" t="n">
        <v>0</v>
      </c>
      <c r="V333" s="128" t="n">
        <v>1</v>
      </c>
      <c r="W333" s="90" t="n">
        <f aca="false">IFERROR(O333/V333,0)</f>
        <v>2700</v>
      </c>
      <c r="X333" s="91" t="n">
        <f aca="false">O333/L333</f>
        <v>1.078705553336</v>
      </c>
      <c r="Y333" s="92" t="str">
        <f aca="false">IFERROR(VLOOKUP(E:E,'Item Data Support Sheet'!A:J,6,0),0)</f>
        <v>WMG3B</v>
      </c>
      <c r="Z333" s="93" t="n">
        <f aca="false">IFERROR(VLOOKUP(E:E,'Item Data Support Sheet'!A:O,4,0),0)</f>
        <v>22.7</v>
      </c>
      <c r="AA333" s="93" t="n">
        <f aca="false">IFERROR(((N333)*(Z333/1000))+P333,0)</f>
        <v>64.5637</v>
      </c>
      <c r="AB333" s="94" t="n">
        <f aca="false">IFERROR((O333*(Z333/1000)/(AA333))," ")</f>
        <v>0.949295037304244</v>
      </c>
      <c r="AC333" s="95" t="n">
        <f aca="false">IFERROR((T333)/((T333)+O333),0)</f>
        <v>0.026676279740447</v>
      </c>
      <c r="AD333" s="96" t="n">
        <f aca="false">IFERROR(Q333/(Q333+N333),0)</f>
        <v>0.0197368421052632</v>
      </c>
      <c r="AE333" s="91" t="n">
        <f aca="false">(N333-T333)/N333</f>
        <v>0.973860826563052</v>
      </c>
      <c r="AF333" s="97" t="n">
        <f aca="false">BR333</f>
        <v>0</v>
      </c>
      <c r="AG333" s="98" t="n">
        <f aca="false">K333-AF333</f>
        <v>8</v>
      </c>
      <c r="AH333" s="99" t="n">
        <f aca="false">IFERROR(AG333/K333," ")</f>
        <v>1</v>
      </c>
      <c r="AI333" s="100" t="n">
        <f aca="false">IFERROR(O333/K333,0)</f>
        <v>337.5</v>
      </c>
      <c r="AJ333" s="101" t="n">
        <f aca="false">VLOOKUP(D333,'Standard Cycle time'!C:D,2,0)</f>
        <v>9</v>
      </c>
      <c r="AK333" s="101" t="n">
        <f aca="false">AG333*V333*3600/O333</f>
        <v>10.6666666666667</v>
      </c>
      <c r="AL333" s="102" t="n">
        <f aca="false">AJ333/AK333</f>
        <v>0.84375</v>
      </c>
      <c r="AM333" s="99" t="n">
        <f aca="false">AE333*AL333*AH333</f>
        <v>0.821695072412575</v>
      </c>
      <c r="AN333" s="103" t="n">
        <v>2868</v>
      </c>
      <c r="AO333" s="104" t="s">
        <v>773</v>
      </c>
      <c r="AP333" s="105" t="n">
        <v>0</v>
      </c>
      <c r="AQ333" s="105" t="n">
        <v>0</v>
      </c>
      <c r="AR333" s="105" t="n">
        <v>0</v>
      </c>
      <c r="AS333" s="105" t="n">
        <v>0</v>
      </c>
      <c r="AT333" s="105" t="n">
        <v>0</v>
      </c>
      <c r="AU333" s="105" t="n">
        <v>0</v>
      </c>
      <c r="AV333" s="105" t="n">
        <v>0</v>
      </c>
      <c r="AW333" s="105" t="n">
        <v>0</v>
      </c>
      <c r="AX333" s="105" t="n">
        <v>0</v>
      </c>
      <c r="AY333" s="105" t="n">
        <v>0</v>
      </c>
      <c r="AZ333" s="105" t="n">
        <v>0</v>
      </c>
      <c r="BA333" s="105" t="n">
        <v>0</v>
      </c>
      <c r="BB333" s="105" t="n">
        <v>0</v>
      </c>
      <c r="BC333" s="105" t="n">
        <v>0</v>
      </c>
      <c r="BD333" s="105" t="n">
        <v>0</v>
      </c>
      <c r="BE333" s="105" t="n">
        <v>0</v>
      </c>
      <c r="BF333" s="105" t="n">
        <v>0</v>
      </c>
      <c r="BG333" s="105" t="n">
        <v>0</v>
      </c>
      <c r="BH333" s="105" t="n">
        <v>0</v>
      </c>
      <c r="BI333" s="105" t="n">
        <v>0</v>
      </c>
      <c r="BJ333" s="105" t="n">
        <v>0</v>
      </c>
      <c r="BK333" s="105" t="n">
        <v>0</v>
      </c>
      <c r="BL333" s="105" t="n">
        <v>0</v>
      </c>
      <c r="BM333" s="105" t="n">
        <v>0</v>
      </c>
      <c r="BN333" s="105" t="n">
        <v>0</v>
      </c>
      <c r="BO333" s="105" t="n">
        <v>0</v>
      </c>
      <c r="BP333" s="105" t="n">
        <v>0</v>
      </c>
      <c r="BQ333" s="105" t="n">
        <v>0</v>
      </c>
      <c r="BR333" s="106" t="n">
        <f aca="false">SUM(AP333:BQ333)/60</f>
        <v>0</v>
      </c>
      <c r="BS333" s="106" t="n">
        <f aca="false">SUM(AP333:BR333)/60</f>
        <v>0</v>
      </c>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row>
    <row r="334" customFormat="false" ht="14.9" hidden="true" customHeight="false" outlineLevel="0" collapsed="false">
      <c r="A334" s="74" t="n">
        <f aca="false">MONTH(B334)</f>
        <v>8</v>
      </c>
      <c r="B334" s="135" t="n">
        <v>44436</v>
      </c>
      <c r="C334" s="128" t="s">
        <v>70</v>
      </c>
      <c r="D334" s="77" t="str">
        <f aca="false">IFERROR(VLOOKUP(E:E,'Item Data Support Sheet'!A:O,7,0),"")</f>
        <v>HOOD MOLDED</v>
      </c>
      <c r="E334" s="80" t="s">
        <v>529</v>
      </c>
      <c r="F334" s="122"/>
      <c r="G334" s="137" t="s">
        <v>740</v>
      </c>
      <c r="H334" s="79" t="str">
        <f aca="false">IFERROR(VLOOKUP(E:E,'Item Data Support Sheet'!A:O,2,0),"")</f>
        <v>HOOD S TYPE MOLDED</v>
      </c>
      <c r="I334" s="80" t="s">
        <v>774</v>
      </c>
      <c r="J334" s="80" t="s">
        <v>143</v>
      </c>
      <c r="K334" s="81" t="n">
        <v>8</v>
      </c>
      <c r="L334" s="124" t="n">
        <v>4137</v>
      </c>
      <c r="M334" s="83" t="n">
        <f aca="false">IFERROR(L334/K334,0)</f>
        <v>517.125</v>
      </c>
      <c r="N334" s="84" t="n">
        <f aca="false">+O334+Q334+T334+U334</f>
        <v>5020</v>
      </c>
      <c r="O334" s="85" t="n">
        <v>5000</v>
      </c>
      <c r="P334" s="86" t="n">
        <v>0</v>
      </c>
      <c r="Q334" s="86" t="n">
        <v>0</v>
      </c>
      <c r="R334" s="132" t="n">
        <v>0</v>
      </c>
      <c r="S334" s="128" t="n">
        <v>0</v>
      </c>
      <c r="T334" s="132" t="n">
        <v>20</v>
      </c>
      <c r="U334" s="128" t="n">
        <v>0</v>
      </c>
      <c r="V334" s="128" t="n">
        <v>1</v>
      </c>
      <c r="W334" s="90" t="n">
        <f aca="false">IFERROR(O334/V334,0)</f>
        <v>5000</v>
      </c>
      <c r="X334" s="91" t="n">
        <f aca="false">O334/L334</f>
        <v>1.20860526951898</v>
      </c>
      <c r="Y334" s="92" t="str">
        <f aca="false">IFERROR(VLOOKUP(E:E,'Item Data Support Sheet'!A:J,6,0),0)</f>
        <v>HMC</v>
      </c>
      <c r="Z334" s="93" t="n">
        <f aca="false">IFERROR(VLOOKUP(E:E,'Item Data Support Sheet'!A:O,4,0),0)</f>
        <v>8.6</v>
      </c>
      <c r="AA334" s="93" t="n">
        <f aca="false">IFERROR(((N334)*(Z334/1000))+P334,0)</f>
        <v>43.172</v>
      </c>
      <c r="AB334" s="94" t="n">
        <f aca="false">IFERROR((O334*(Z334/1000)/(AA334))," ")</f>
        <v>0.99601593625498</v>
      </c>
      <c r="AC334" s="95" t="n">
        <f aca="false">IFERROR((T334)/((T334)+O334),0)</f>
        <v>0.00398406374501992</v>
      </c>
      <c r="AD334" s="96" t="n">
        <f aca="false">IFERROR(Q334/(Q334+N334),0)</f>
        <v>0</v>
      </c>
      <c r="AE334" s="91" t="n">
        <f aca="false">(N334-T334)/N334</f>
        <v>0.99601593625498</v>
      </c>
      <c r="AF334" s="97" t="n">
        <f aca="false">BR334</f>
        <v>0</v>
      </c>
      <c r="AG334" s="98" t="n">
        <f aca="false">K334-AF334</f>
        <v>8</v>
      </c>
      <c r="AH334" s="99" t="n">
        <f aca="false">IFERROR(AG334/K334," ")</f>
        <v>1</v>
      </c>
      <c r="AI334" s="100" t="n">
        <f aca="false">IFERROR(O334/K334,0)</f>
        <v>625</v>
      </c>
      <c r="AJ334" s="101" t="n">
        <f aca="false">VLOOKUP(D334,'Standard Cycle time'!C:D,2,0)</f>
        <v>6</v>
      </c>
      <c r="AK334" s="101" t="n">
        <f aca="false">AG334*V334*3600/O334</f>
        <v>5.76</v>
      </c>
      <c r="AL334" s="102" t="n">
        <f aca="false">AJ334/AK334</f>
        <v>1.04166666666667</v>
      </c>
      <c r="AM334" s="99" t="n">
        <f aca="false">AE334*AL334*AH334</f>
        <v>1.0375166002656</v>
      </c>
      <c r="AN334" s="103" t="n">
        <v>2866</v>
      </c>
      <c r="AO334" s="104"/>
      <c r="AP334" s="105" t="n">
        <v>0</v>
      </c>
      <c r="AQ334" s="105" t="n">
        <v>0</v>
      </c>
      <c r="AR334" s="105" t="n">
        <v>0</v>
      </c>
      <c r="AS334" s="105" t="n">
        <v>0</v>
      </c>
      <c r="AT334" s="105" t="n">
        <v>0</v>
      </c>
      <c r="AU334" s="105" t="n">
        <v>0</v>
      </c>
      <c r="AV334" s="105" t="n">
        <v>0</v>
      </c>
      <c r="AW334" s="105" t="n">
        <v>0</v>
      </c>
      <c r="AX334" s="105" t="n">
        <v>0</v>
      </c>
      <c r="AY334" s="105" t="n">
        <v>0</v>
      </c>
      <c r="AZ334" s="105" t="n">
        <v>0</v>
      </c>
      <c r="BA334" s="105" t="n">
        <v>0</v>
      </c>
      <c r="BB334" s="105" t="n">
        <v>0</v>
      </c>
      <c r="BC334" s="105" t="n">
        <v>0</v>
      </c>
      <c r="BD334" s="105" t="n">
        <v>0</v>
      </c>
      <c r="BE334" s="105" t="n">
        <v>0</v>
      </c>
      <c r="BF334" s="105" t="n">
        <v>0</v>
      </c>
      <c r="BG334" s="105" t="n">
        <v>0</v>
      </c>
      <c r="BH334" s="105" t="n">
        <v>0</v>
      </c>
      <c r="BI334" s="105" t="n">
        <v>0</v>
      </c>
      <c r="BJ334" s="105" t="n">
        <v>0</v>
      </c>
      <c r="BK334" s="105" t="n">
        <v>0</v>
      </c>
      <c r="BL334" s="105" t="n">
        <v>0</v>
      </c>
      <c r="BM334" s="105" t="n">
        <v>0</v>
      </c>
      <c r="BN334" s="105" t="n">
        <v>0</v>
      </c>
      <c r="BO334" s="105" t="n">
        <v>0</v>
      </c>
      <c r="BP334" s="105" t="n">
        <v>0</v>
      </c>
      <c r="BQ334" s="105" t="n">
        <v>0</v>
      </c>
      <c r="BR334" s="106" t="n">
        <f aca="false">SUM(AP334:BQ334)/60</f>
        <v>0</v>
      </c>
      <c r="BS334" s="106" t="n">
        <f aca="false">SUM(AP334:BR334)/60</f>
        <v>0</v>
      </c>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row>
    <row r="335" customFormat="false" ht="14.9" hidden="true" customHeight="false" outlineLevel="0" collapsed="false">
      <c r="A335" s="74" t="n">
        <f aca="false">MONTH(B335)</f>
        <v>8</v>
      </c>
      <c r="B335" s="135" t="n">
        <v>44436</v>
      </c>
      <c r="C335" s="128" t="s">
        <v>152</v>
      </c>
      <c r="D335" s="77" t="str">
        <f aca="false">IFERROR(VLOOKUP(E:E,'Item Data Support Sheet'!A:O,7,0),"")</f>
        <v>BOTTLE MOLDED</v>
      </c>
      <c r="E335" s="80" t="s">
        <v>747</v>
      </c>
      <c r="F335" s="122" t="s">
        <v>79</v>
      </c>
      <c r="G335" s="137" t="s">
        <v>80</v>
      </c>
      <c r="H335" s="79" t="str">
        <f aca="false">IFERROR(VLOOKUP(E:E,'Item Data Support Sheet'!A:O,2,0),"")</f>
        <v>RPP 120ML BLUE BOTTLE MOLDED (WM3GB)</v>
      </c>
      <c r="I335" s="80" t="s">
        <v>775</v>
      </c>
      <c r="J335" s="80" t="s">
        <v>148</v>
      </c>
      <c r="K335" s="81" t="n">
        <v>3.3</v>
      </c>
      <c r="L335" s="124" t="n">
        <v>1200</v>
      </c>
      <c r="M335" s="83" t="n">
        <f aca="false">IFERROR(L335/K335,0)</f>
        <v>363.636363636364</v>
      </c>
      <c r="N335" s="84" t="n">
        <f aca="false">+O335+Q335+T335+U335</f>
        <v>1316</v>
      </c>
      <c r="O335" s="85" t="n">
        <f aca="false">180*7</f>
        <v>1260</v>
      </c>
      <c r="P335" s="86" t="n">
        <v>0.28</v>
      </c>
      <c r="Q335" s="86" t="n">
        <v>28</v>
      </c>
      <c r="R335" s="132" t="n">
        <v>0</v>
      </c>
      <c r="S335" s="128" t="n">
        <v>0</v>
      </c>
      <c r="T335" s="132" t="n">
        <v>20</v>
      </c>
      <c r="U335" s="128" t="n">
        <v>8</v>
      </c>
      <c r="V335" s="128" t="n">
        <v>1</v>
      </c>
      <c r="W335" s="90" t="n">
        <f aca="false">IFERROR(O335/V335,0)</f>
        <v>1260</v>
      </c>
      <c r="X335" s="91" t="n">
        <f aca="false">O335/L335</f>
        <v>1.05</v>
      </c>
      <c r="Y335" s="92" t="str">
        <f aca="false">IFERROR(VLOOKUP(E:E,'Item Data Support Sheet'!A:J,6,0),0)</f>
        <v>WMG3B</v>
      </c>
      <c r="Z335" s="93" t="n">
        <f aca="false">IFERROR(VLOOKUP(E:E,'Item Data Support Sheet'!A:O,4,0),0)</f>
        <v>22.7</v>
      </c>
      <c r="AA335" s="93" t="n">
        <f aca="false">IFERROR(((N335)*(Z335/1000))+P335,0)</f>
        <v>30.1532</v>
      </c>
      <c r="AB335" s="94" t="n">
        <f aca="false">IFERROR((O335*(Z335/1000)/(AA335))," ")</f>
        <v>0.948556040486582</v>
      </c>
      <c r="AC335" s="95" t="n">
        <f aca="false">IFERROR((T335)/((T335)+O335),0)</f>
        <v>0.015625</v>
      </c>
      <c r="AD335" s="96" t="n">
        <f aca="false">IFERROR(Q335/(Q335+N335),0)</f>
        <v>0.0208333333333333</v>
      </c>
      <c r="AE335" s="91" t="n">
        <f aca="false">(N335-T335)/N335</f>
        <v>0.984802431610942</v>
      </c>
      <c r="AF335" s="97" t="n">
        <f aca="false">BR335</f>
        <v>0.15</v>
      </c>
      <c r="AG335" s="98" t="n">
        <f aca="false">K335-AF335</f>
        <v>3.15</v>
      </c>
      <c r="AH335" s="99" t="n">
        <f aca="false">IFERROR(AG335/K335," ")</f>
        <v>0.954545454545455</v>
      </c>
      <c r="AI335" s="100" t="n">
        <f aca="false">IFERROR(O335/K335,0)</f>
        <v>381.818181818182</v>
      </c>
      <c r="AJ335" s="101" t="n">
        <f aca="false">VLOOKUP(D335,'Standard Cycle time'!C:D,2,0)</f>
        <v>9</v>
      </c>
      <c r="AK335" s="101" t="n">
        <f aca="false">AG335*V335*3600/O335</f>
        <v>9</v>
      </c>
      <c r="AL335" s="102" t="n">
        <f aca="false">AJ335/AK335</f>
        <v>1</v>
      </c>
      <c r="AM335" s="99" t="n">
        <f aca="false">AE335*AL335*AH335</f>
        <v>0.940038684719536</v>
      </c>
      <c r="AN335" s="103" t="s">
        <v>776</v>
      </c>
      <c r="AO335" s="104"/>
      <c r="AP335" s="105" t="n">
        <v>0</v>
      </c>
      <c r="AQ335" s="105" t="n">
        <v>0</v>
      </c>
      <c r="AR335" s="105" t="n">
        <v>0</v>
      </c>
      <c r="AS335" s="105" t="n">
        <v>0</v>
      </c>
      <c r="AT335" s="105" t="n">
        <v>0</v>
      </c>
      <c r="AU335" s="105" t="n">
        <v>0</v>
      </c>
      <c r="AV335" s="105" t="n">
        <v>0</v>
      </c>
      <c r="AW335" s="105" t="n">
        <v>9</v>
      </c>
      <c r="AX335" s="105" t="n">
        <v>0</v>
      </c>
      <c r="AY335" s="105" t="n">
        <v>0</v>
      </c>
      <c r="AZ335" s="105" t="n">
        <v>0</v>
      </c>
      <c r="BA335" s="105" t="n">
        <v>0</v>
      </c>
      <c r="BB335" s="105" t="n">
        <v>0</v>
      </c>
      <c r="BC335" s="105" t="n">
        <v>0</v>
      </c>
      <c r="BD335" s="105" t="n">
        <v>0</v>
      </c>
      <c r="BE335" s="105" t="n">
        <v>0</v>
      </c>
      <c r="BF335" s="105" t="n">
        <v>0</v>
      </c>
      <c r="BG335" s="105" t="n">
        <v>0</v>
      </c>
      <c r="BH335" s="105" t="n">
        <v>0</v>
      </c>
      <c r="BI335" s="105" t="n">
        <v>0</v>
      </c>
      <c r="BJ335" s="105" t="n">
        <v>0</v>
      </c>
      <c r="BK335" s="105" t="n">
        <v>0</v>
      </c>
      <c r="BL335" s="105" t="n">
        <v>0</v>
      </c>
      <c r="BM335" s="105" t="n">
        <v>0</v>
      </c>
      <c r="BN335" s="105" t="n">
        <v>0</v>
      </c>
      <c r="BO335" s="105" t="n">
        <v>0</v>
      </c>
      <c r="BP335" s="105" t="n">
        <v>0</v>
      </c>
      <c r="BQ335" s="105" t="n">
        <v>0</v>
      </c>
      <c r="BR335" s="106" t="n">
        <f aca="false">SUM(AP335:BQ335)/60</f>
        <v>0.15</v>
      </c>
      <c r="BS335" s="106" t="n">
        <f aca="false">SUM(AP335:BR335)/60</f>
        <v>0.1525</v>
      </c>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row>
    <row r="336" customFormat="false" ht="14.9" hidden="true" customHeight="false" outlineLevel="0" collapsed="false">
      <c r="A336" s="74" t="n">
        <f aca="false">MONTH(B336)</f>
        <v>8</v>
      </c>
      <c r="B336" s="135" t="n">
        <v>44436</v>
      </c>
      <c r="C336" s="128" t="s">
        <v>152</v>
      </c>
      <c r="D336" s="77" t="str">
        <f aca="false">IFERROR(VLOOKUP(E:E,'Item Data Support Sheet'!A:O,7,0),"")</f>
        <v>NIPPLE MOLDED</v>
      </c>
      <c r="E336" s="80" t="s">
        <v>661</v>
      </c>
      <c r="F336" s="122" t="s">
        <v>137</v>
      </c>
      <c r="G336" s="137" t="s">
        <v>138</v>
      </c>
      <c r="H336" s="79" t="str">
        <f aca="false">IFERROR(VLOOKUP(E:E,'Item Data Support Sheet'!A:O,2,0),"")</f>
        <v>NIPPLE S TYPE L SIZE INJECTION</v>
      </c>
      <c r="I336" s="80" t="s">
        <v>777</v>
      </c>
      <c r="J336" s="80" t="s">
        <v>148</v>
      </c>
      <c r="K336" s="81" t="n">
        <v>8</v>
      </c>
      <c r="L336" s="124" t="n">
        <v>4815</v>
      </c>
      <c r="M336" s="83" t="n">
        <f aca="false">IFERROR(L336/K336,0)</f>
        <v>601.875</v>
      </c>
      <c r="N336" s="84" t="n">
        <f aca="false">+O336+Q336+T336+U336</f>
        <v>4313</v>
      </c>
      <c r="O336" s="85" t="n">
        <v>4210</v>
      </c>
      <c r="P336" s="86" t="n">
        <v>0.448</v>
      </c>
      <c r="Q336" s="86" t="n">
        <v>41</v>
      </c>
      <c r="R336" s="132" t="n">
        <v>0</v>
      </c>
      <c r="S336" s="128" t="n">
        <v>0</v>
      </c>
      <c r="T336" s="132" t="n">
        <v>54</v>
      </c>
      <c r="U336" s="128" t="n">
        <v>8</v>
      </c>
      <c r="V336" s="128" t="n">
        <v>1</v>
      </c>
      <c r="W336" s="90" t="n">
        <f aca="false">IFERROR(O336/V336,0)</f>
        <v>4210</v>
      </c>
      <c r="X336" s="91" t="n">
        <f aca="false">O336/L336</f>
        <v>0.874350986500519</v>
      </c>
      <c r="Y336" s="92" t="str">
        <f aca="false">IFERROR(VLOOKUP(E:E,'Item Data Support Sheet'!A:J,6,0),0)</f>
        <v>Silicon</v>
      </c>
      <c r="Z336" s="93" t="n">
        <f aca="false">IFERROR(VLOOKUP(E:E,'Item Data Support Sheet'!A:O,4,0),0)</f>
        <v>6.8</v>
      </c>
      <c r="AA336" s="93" t="n">
        <f aca="false">IFERROR(((N336)*(Z336/1000))+P336,0)</f>
        <v>29.7764</v>
      </c>
      <c r="AB336" s="94" t="n">
        <f aca="false">IFERROR((O336*(Z336/1000)/(AA336))," ")</f>
        <v>0.961432543893822</v>
      </c>
      <c r="AC336" s="95" t="n">
        <f aca="false">IFERROR((T336)/((T336)+O336),0)</f>
        <v>0.0126641651031895</v>
      </c>
      <c r="AD336" s="96" t="n">
        <f aca="false">IFERROR(Q336/(Q336+N336),0)</f>
        <v>0.00941662838768948</v>
      </c>
      <c r="AE336" s="91" t="n">
        <f aca="false">(N336-T336)/N336</f>
        <v>0.987479712497102</v>
      </c>
      <c r="AF336" s="97" t="n">
        <f aca="false">BR336</f>
        <v>1.75</v>
      </c>
      <c r="AG336" s="98" t="n">
        <f aca="false">K336-AF336</f>
        <v>6.25</v>
      </c>
      <c r="AH336" s="99" t="n">
        <f aca="false">IFERROR(AG336/K336," ")</f>
        <v>0.78125</v>
      </c>
      <c r="AI336" s="100" t="n">
        <f aca="false">IFERROR(O336/K336,0)</f>
        <v>526.25</v>
      </c>
      <c r="AJ336" s="101" t="n">
        <f aca="false">VLOOKUP(D336,'Standard Cycle time'!C:D,2,0)</f>
        <v>5.25</v>
      </c>
      <c r="AK336" s="101" t="n">
        <f aca="false">AG336*V336*3600/O336</f>
        <v>5.34441805225653</v>
      </c>
      <c r="AL336" s="102" t="n">
        <f aca="false">AJ336/AK336</f>
        <v>0.982333333333333</v>
      </c>
      <c r="AM336" s="99" t="n">
        <f aca="false">AE336*AL336*AH336</f>
        <v>0.7578392481065</v>
      </c>
      <c r="AN336" s="103" t="s">
        <v>778</v>
      </c>
      <c r="AO336" s="104"/>
      <c r="AP336" s="105" t="n">
        <v>0</v>
      </c>
      <c r="AQ336" s="105" t="n">
        <v>0</v>
      </c>
      <c r="AR336" s="105" t="n">
        <v>0</v>
      </c>
      <c r="AS336" s="105" t="n">
        <v>0</v>
      </c>
      <c r="AT336" s="105" t="n">
        <v>0</v>
      </c>
      <c r="AU336" s="105" t="n">
        <v>0</v>
      </c>
      <c r="AV336" s="105" t="n">
        <v>0</v>
      </c>
      <c r="AW336" s="105" t="n">
        <v>15</v>
      </c>
      <c r="AX336" s="105" t="n">
        <v>0</v>
      </c>
      <c r="AY336" s="105" t="n">
        <v>0</v>
      </c>
      <c r="AZ336" s="105" t="n">
        <v>0</v>
      </c>
      <c r="BA336" s="105" t="n">
        <v>0</v>
      </c>
      <c r="BB336" s="105" t="n">
        <v>90</v>
      </c>
      <c r="BC336" s="105" t="n">
        <v>0</v>
      </c>
      <c r="BD336" s="105" t="n">
        <v>0</v>
      </c>
      <c r="BE336" s="105" t="n">
        <v>0</v>
      </c>
      <c r="BF336" s="105" t="n">
        <v>0</v>
      </c>
      <c r="BG336" s="105" t="n">
        <v>0</v>
      </c>
      <c r="BH336" s="105" t="n">
        <v>0</v>
      </c>
      <c r="BI336" s="105" t="n">
        <v>0</v>
      </c>
      <c r="BJ336" s="105" t="n">
        <v>0</v>
      </c>
      <c r="BK336" s="105" t="n">
        <v>0</v>
      </c>
      <c r="BL336" s="105" t="n">
        <v>0</v>
      </c>
      <c r="BM336" s="105" t="n">
        <v>0</v>
      </c>
      <c r="BN336" s="105" t="n">
        <v>0</v>
      </c>
      <c r="BO336" s="105" t="n">
        <v>0</v>
      </c>
      <c r="BP336" s="105" t="n">
        <v>0</v>
      </c>
      <c r="BQ336" s="105" t="n">
        <v>0</v>
      </c>
      <c r="BR336" s="106" t="n">
        <f aca="false">SUM(AP336:BQ336)/60</f>
        <v>1.75</v>
      </c>
      <c r="BS336" s="106" t="n">
        <f aca="false">SUM(AP336:BR336)/60</f>
        <v>1.77916666666667</v>
      </c>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row>
    <row r="337" customFormat="false" ht="14.9" hidden="true" customHeight="false" outlineLevel="0" collapsed="false">
      <c r="A337" s="74" t="n">
        <f aca="false">MONTH(B337)</f>
        <v>8</v>
      </c>
      <c r="B337" s="135" t="n">
        <v>44436</v>
      </c>
      <c r="C337" s="128" t="s">
        <v>152</v>
      </c>
      <c r="D337" s="77" t="str">
        <f aca="false">IFERROR(VLOOKUP(E:E,'Item Data Support Sheet'!A:O,7,0),"")</f>
        <v>HOOD MOLDED</v>
      </c>
      <c r="E337" s="80" t="s">
        <v>529</v>
      </c>
      <c r="F337" s="122"/>
      <c r="G337" s="137" t="s">
        <v>740</v>
      </c>
      <c r="H337" s="79" t="str">
        <f aca="false">IFERROR(VLOOKUP(E:E,'Item Data Support Sheet'!A:O,2,0),"")</f>
        <v>HOOD S TYPE MOLDED</v>
      </c>
      <c r="I337" s="80" t="s">
        <v>779</v>
      </c>
      <c r="J337" s="80" t="s">
        <v>148</v>
      </c>
      <c r="K337" s="81" t="n">
        <v>8</v>
      </c>
      <c r="L337" s="124" t="n">
        <v>4137</v>
      </c>
      <c r="M337" s="83" t="n">
        <f aca="false">IFERROR(L337/K337,0)</f>
        <v>517.125</v>
      </c>
      <c r="N337" s="84" t="n">
        <f aca="false">+O337+Q337+T337+U337</f>
        <v>5512</v>
      </c>
      <c r="O337" s="85" t="n">
        <v>5500</v>
      </c>
      <c r="P337" s="86" t="n">
        <v>0</v>
      </c>
      <c r="Q337" s="86" t="n">
        <v>0</v>
      </c>
      <c r="R337" s="132" t="n">
        <v>0</v>
      </c>
      <c r="S337" s="128" t="n">
        <v>0</v>
      </c>
      <c r="T337" s="132" t="n">
        <v>4</v>
      </c>
      <c r="U337" s="128" t="n">
        <v>8</v>
      </c>
      <c r="V337" s="128" t="n">
        <v>1</v>
      </c>
      <c r="W337" s="90" t="n">
        <f aca="false">IFERROR(O337/V337,0)</f>
        <v>5500</v>
      </c>
      <c r="X337" s="91" t="n">
        <f aca="false">O337/L337</f>
        <v>1.32946579647087</v>
      </c>
      <c r="Y337" s="92" t="str">
        <f aca="false">IFERROR(VLOOKUP(E:E,'Item Data Support Sheet'!A:J,6,0),0)</f>
        <v>HMC</v>
      </c>
      <c r="Z337" s="93" t="n">
        <f aca="false">IFERROR(VLOOKUP(E:E,'Item Data Support Sheet'!A:O,4,0),0)</f>
        <v>8.6</v>
      </c>
      <c r="AA337" s="93" t="n">
        <f aca="false">IFERROR(((N337)*(Z337/1000))+P337,0)</f>
        <v>47.4032</v>
      </c>
      <c r="AB337" s="94" t="n">
        <f aca="false">IFERROR((O337*(Z337/1000)/(AA337))," ")</f>
        <v>0.997822931785196</v>
      </c>
      <c r="AC337" s="95" t="n">
        <f aca="false">IFERROR((T337)/((T337)+O337),0)</f>
        <v>0.000726744186046512</v>
      </c>
      <c r="AD337" s="96" t="n">
        <f aca="false">IFERROR(Q337/(Q337+N337),0)</f>
        <v>0</v>
      </c>
      <c r="AE337" s="91" t="n">
        <f aca="false">(N337-T337)/N337</f>
        <v>0.999274310595065</v>
      </c>
      <c r="AF337" s="97" t="n">
        <f aca="false">BR337</f>
        <v>0</v>
      </c>
      <c r="AG337" s="98" t="n">
        <f aca="false">K337-AF337</f>
        <v>8</v>
      </c>
      <c r="AH337" s="99" t="n">
        <f aca="false">IFERROR(AG337/K337," ")</f>
        <v>1</v>
      </c>
      <c r="AI337" s="100" t="n">
        <f aca="false">IFERROR(O337/K337,0)</f>
        <v>687.5</v>
      </c>
      <c r="AJ337" s="101" t="n">
        <f aca="false">VLOOKUP(D337,'Standard Cycle time'!C:D,2,0)</f>
        <v>6</v>
      </c>
      <c r="AK337" s="101" t="n">
        <f aca="false">AG337*V337*3600/O337</f>
        <v>5.23636363636364</v>
      </c>
      <c r="AL337" s="102" t="n">
        <f aca="false">AJ337/AK337</f>
        <v>1.14583333333333</v>
      </c>
      <c r="AM337" s="99" t="n">
        <f aca="false">AE337*AL337*AH337</f>
        <v>1.14500181422351</v>
      </c>
      <c r="AN337" s="103" t="n">
        <v>2875</v>
      </c>
      <c r="AO337" s="103"/>
      <c r="AP337" s="105" t="n">
        <v>0</v>
      </c>
      <c r="AQ337" s="105" t="n">
        <v>0</v>
      </c>
      <c r="AR337" s="105" t="n">
        <v>0</v>
      </c>
      <c r="AS337" s="105" t="n">
        <v>0</v>
      </c>
      <c r="AT337" s="105" t="n">
        <v>0</v>
      </c>
      <c r="AU337" s="105" t="n">
        <v>0</v>
      </c>
      <c r="AV337" s="105" t="n">
        <v>0</v>
      </c>
      <c r="AW337" s="105" t="n">
        <v>0</v>
      </c>
      <c r="AX337" s="105" t="n">
        <v>0</v>
      </c>
      <c r="AY337" s="105" t="n">
        <v>0</v>
      </c>
      <c r="AZ337" s="105" t="n">
        <v>0</v>
      </c>
      <c r="BA337" s="105" t="n">
        <v>0</v>
      </c>
      <c r="BB337" s="105" t="n">
        <v>0</v>
      </c>
      <c r="BC337" s="105" t="n">
        <v>0</v>
      </c>
      <c r="BD337" s="105" t="n">
        <v>0</v>
      </c>
      <c r="BE337" s="105" t="n">
        <v>0</v>
      </c>
      <c r="BF337" s="105" t="n">
        <v>0</v>
      </c>
      <c r="BG337" s="105" t="n">
        <v>0</v>
      </c>
      <c r="BH337" s="105" t="n">
        <v>0</v>
      </c>
      <c r="BI337" s="105" t="n">
        <v>0</v>
      </c>
      <c r="BJ337" s="105" t="n">
        <v>0</v>
      </c>
      <c r="BK337" s="105" t="n">
        <v>0</v>
      </c>
      <c r="BL337" s="105" t="n">
        <v>0</v>
      </c>
      <c r="BM337" s="105" t="n">
        <v>0</v>
      </c>
      <c r="BN337" s="105" t="n">
        <v>0</v>
      </c>
      <c r="BO337" s="105" t="n">
        <v>0</v>
      </c>
      <c r="BP337" s="105" t="n">
        <v>0</v>
      </c>
      <c r="BQ337" s="105" t="n">
        <v>0</v>
      </c>
      <c r="BR337" s="106" t="n">
        <f aca="false">SUM(AP337:BQ337)/60</f>
        <v>0</v>
      </c>
      <c r="BS337" s="106" t="n">
        <f aca="false">SUM(AP337:BR337)/60</f>
        <v>0</v>
      </c>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row>
    <row r="338" customFormat="false" ht="14.9" hidden="true" customHeight="false" outlineLevel="0" collapsed="false">
      <c r="A338" s="74" t="n">
        <f aca="false">MONTH(B338)</f>
        <v>8</v>
      </c>
      <c r="B338" s="135" t="n">
        <v>44439</v>
      </c>
      <c r="C338" s="128" t="s">
        <v>51</v>
      </c>
      <c r="D338" s="77" t="str">
        <f aca="false">IFERROR(VLOOKUP(E:E,'Item Data Support Sheet'!A:O,7,0),"")</f>
        <v>NIPPLE POSTCURE</v>
      </c>
      <c r="E338" s="80" t="s">
        <v>664</v>
      </c>
      <c r="F338" s="122"/>
      <c r="G338" s="137"/>
      <c r="H338" s="79" t="str">
        <f aca="false">IFERROR(VLOOKUP(E:E,'Item Data Support Sheet'!A:O,2,0),"")</f>
        <v>NIPPLE S TYPE L SIZE POSTCURED</v>
      </c>
      <c r="I338" s="80" t="s">
        <v>780</v>
      </c>
      <c r="J338" s="80" t="s">
        <v>143</v>
      </c>
      <c r="K338" s="81" t="n">
        <v>8</v>
      </c>
      <c r="L338" s="124" t="n">
        <v>7036</v>
      </c>
      <c r="M338" s="83" t="n">
        <f aca="false">IFERROR(L338/K338,0)</f>
        <v>879.5</v>
      </c>
      <c r="N338" s="84" t="n">
        <f aca="false">+O338+Q338+T338+U338</f>
        <v>6710</v>
      </c>
      <c r="O338" s="85" t="n">
        <f aca="false">2500+4210</f>
        <v>6710</v>
      </c>
      <c r="P338" s="86" t="n">
        <v>0</v>
      </c>
      <c r="Q338" s="86" t="n">
        <v>0</v>
      </c>
      <c r="R338" s="132" t="n">
        <v>0</v>
      </c>
      <c r="S338" s="128" t="n">
        <v>0</v>
      </c>
      <c r="T338" s="132" t="n">
        <v>0</v>
      </c>
      <c r="U338" s="128" t="n">
        <v>0</v>
      </c>
      <c r="V338" s="128" t="n">
        <v>1</v>
      </c>
      <c r="W338" s="90" t="n">
        <f aca="false">IFERROR(O338/V338,0)</f>
        <v>6710</v>
      </c>
      <c r="X338" s="91" t="n">
        <f aca="false">O338/L338</f>
        <v>0.953666856168277</v>
      </c>
      <c r="Y338" s="92" t="str">
        <f aca="false">IFERROR(VLOOKUP(E:E,'Item Data Support Sheet'!A:J,6,0),0)</f>
        <v>FO013</v>
      </c>
      <c r="Z338" s="93" t="n">
        <f aca="false">IFERROR(VLOOKUP(E:E,'Item Data Support Sheet'!A:O,4,0),0)</f>
        <v>0</v>
      </c>
      <c r="AA338" s="93" t="n">
        <f aca="false">IFERROR(((N338)*(Z338/1000))+P338,0)</f>
        <v>0</v>
      </c>
      <c r="AB338" s="94" t="str">
        <f aca="false">IFERROR((O338*(Z338/1000)/(AA338))," ")</f>
        <v> </v>
      </c>
      <c r="AC338" s="95" t="n">
        <f aca="false">IFERROR((T338)/((T338)+O338),0)</f>
        <v>0</v>
      </c>
      <c r="AD338" s="96" t="n">
        <f aca="false">IFERROR(Q338/(Q338+N338),0)</f>
        <v>0</v>
      </c>
      <c r="AE338" s="91" t="n">
        <f aca="false">(N338-T338)/N338</f>
        <v>1</v>
      </c>
      <c r="AF338" s="97" t="n">
        <f aca="false">BR338</f>
        <v>0.666666666666667</v>
      </c>
      <c r="AG338" s="98" t="n">
        <f aca="false">K338-AF338</f>
        <v>7.33333333333333</v>
      </c>
      <c r="AH338" s="99" t="n">
        <f aca="false">IFERROR(AG338/K338," ")</f>
        <v>0.916666666666667</v>
      </c>
      <c r="AI338" s="100" t="n">
        <f aca="false">IFERROR(O338/K338,0)</f>
        <v>838.75</v>
      </c>
      <c r="AJ338" s="101" t="n">
        <f aca="false">VLOOKUP(D338,'Standard Cycle time'!C:D,2,0)</f>
        <v>2.3</v>
      </c>
      <c r="AK338" s="101" t="n">
        <f aca="false">AG338*V338*3600/O338</f>
        <v>3.9344262295082</v>
      </c>
      <c r="AL338" s="102" t="n">
        <f aca="false">AJ338/AK338</f>
        <v>0.584583333333333</v>
      </c>
      <c r="AM338" s="99" t="n">
        <f aca="false">AE338*AL338*AH338</f>
        <v>0.535868055555556</v>
      </c>
      <c r="AN338" s="103" t="s">
        <v>781</v>
      </c>
      <c r="AO338" s="109"/>
      <c r="AP338" s="105" t="n">
        <v>40</v>
      </c>
      <c r="AQ338" s="105" t="n">
        <v>0</v>
      </c>
      <c r="AR338" s="105" t="n">
        <v>0</v>
      </c>
      <c r="AS338" s="105" t="n">
        <v>0</v>
      </c>
      <c r="AT338" s="105" t="n">
        <v>0</v>
      </c>
      <c r="AU338" s="105" t="n">
        <v>0</v>
      </c>
      <c r="AV338" s="105" t="n">
        <v>0</v>
      </c>
      <c r="AW338" s="105" t="n">
        <v>0</v>
      </c>
      <c r="AX338" s="105" t="n">
        <v>0</v>
      </c>
      <c r="AY338" s="105" t="n">
        <v>0</v>
      </c>
      <c r="AZ338" s="105" t="n">
        <v>0</v>
      </c>
      <c r="BA338" s="105" t="n">
        <v>0</v>
      </c>
      <c r="BB338" s="105" t="n">
        <v>0</v>
      </c>
      <c r="BC338" s="105" t="n">
        <v>0</v>
      </c>
      <c r="BD338" s="105" t="n">
        <v>0</v>
      </c>
      <c r="BE338" s="105" t="n">
        <v>0</v>
      </c>
      <c r="BF338" s="105" t="n">
        <v>0</v>
      </c>
      <c r="BG338" s="105" t="n">
        <v>0</v>
      </c>
      <c r="BH338" s="105" t="n">
        <v>0</v>
      </c>
      <c r="BI338" s="105" t="n">
        <v>0</v>
      </c>
      <c r="BJ338" s="105" t="n">
        <v>0</v>
      </c>
      <c r="BK338" s="105" t="n">
        <v>0</v>
      </c>
      <c r="BL338" s="105" t="n">
        <v>0</v>
      </c>
      <c r="BM338" s="105" t="n">
        <v>0</v>
      </c>
      <c r="BN338" s="105" t="n">
        <v>0</v>
      </c>
      <c r="BO338" s="105" t="n">
        <v>0</v>
      </c>
      <c r="BP338" s="105" t="n">
        <v>0</v>
      </c>
      <c r="BQ338" s="105" t="n">
        <v>0</v>
      </c>
      <c r="BR338" s="106" t="n">
        <f aca="false">SUM(AP338:BQ338)/60</f>
        <v>0.666666666666667</v>
      </c>
      <c r="BS338" s="106" t="n">
        <f aca="false">SUM(AP338:BR338)/60</f>
        <v>0.677777777777778</v>
      </c>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row>
    <row r="339" customFormat="false" ht="14.9" hidden="true" customHeight="false" outlineLevel="0" collapsed="false">
      <c r="A339" s="74" t="n">
        <f aca="false">MONTH(B339)</f>
        <v>8</v>
      </c>
      <c r="B339" s="135" t="n">
        <v>44439</v>
      </c>
      <c r="C339" s="128" t="s">
        <v>51</v>
      </c>
      <c r="D339" s="77" t="str">
        <f aca="false">IFERROR(VLOOKUP(E:E,'Item Data Support Sheet'!A:O,7,0),"")</f>
        <v>NIPPLE MOLDED</v>
      </c>
      <c r="E339" s="80" t="s">
        <v>661</v>
      </c>
      <c r="F339" s="122" t="s">
        <v>137</v>
      </c>
      <c r="G339" s="137" t="s">
        <v>138</v>
      </c>
      <c r="H339" s="79" t="str">
        <f aca="false">IFERROR(VLOOKUP(E:E,'Item Data Support Sheet'!A:O,2,0),"")</f>
        <v>NIPPLE S TYPE L SIZE INJECTION</v>
      </c>
      <c r="I339" s="80" t="s">
        <v>782</v>
      </c>
      <c r="J339" s="80" t="s">
        <v>143</v>
      </c>
      <c r="K339" s="81" t="n">
        <v>8</v>
      </c>
      <c r="L339" s="124" t="n">
        <v>4815</v>
      </c>
      <c r="M339" s="83" t="n">
        <f aca="false">IFERROR(L339/K339,0)</f>
        <v>601.875</v>
      </c>
      <c r="N339" s="84" t="n">
        <f aca="false">+O339+Q339+T339+U339</f>
        <v>4160</v>
      </c>
      <c r="O339" s="85" t="n">
        <v>4000</v>
      </c>
      <c r="P339" s="86" t="n">
        <v>1.2</v>
      </c>
      <c r="Q339" s="86" t="n">
        <v>102</v>
      </c>
      <c r="R339" s="132" t="n">
        <v>0</v>
      </c>
      <c r="S339" s="128" t="n">
        <v>0</v>
      </c>
      <c r="T339" s="132" t="n">
        <v>50</v>
      </c>
      <c r="U339" s="128" t="n">
        <v>8</v>
      </c>
      <c r="V339" s="128" t="n">
        <v>1</v>
      </c>
      <c r="W339" s="90" t="n">
        <f aca="false">IFERROR(O339/V339,0)</f>
        <v>4000</v>
      </c>
      <c r="X339" s="91" t="n">
        <f aca="false">O339/L339</f>
        <v>0.83073727933541</v>
      </c>
      <c r="Y339" s="92" t="str">
        <f aca="false">IFERROR(VLOOKUP(E:E,'Item Data Support Sheet'!A:J,6,0),0)</f>
        <v>Silicon</v>
      </c>
      <c r="Z339" s="93" t="n">
        <f aca="false">IFERROR(VLOOKUP(E:E,'Item Data Support Sheet'!A:O,4,0),0)</f>
        <v>6.8</v>
      </c>
      <c r="AA339" s="93" t="n">
        <f aca="false">IFERROR(((N339)*(Z339/1000))+P339,0)</f>
        <v>29.488</v>
      </c>
      <c r="AB339" s="94" t="n">
        <f aca="false">IFERROR((O339*(Z339/1000)/(AA339))," ")</f>
        <v>0.922409115572436</v>
      </c>
      <c r="AC339" s="95" t="n">
        <f aca="false">IFERROR((T339)/((T339)+O339),0)</f>
        <v>0.0123456790123457</v>
      </c>
      <c r="AD339" s="96" t="n">
        <f aca="false">IFERROR(Q339/(Q339+N339),0)</f>
        <v>0.0239324260910371</v>
      </c>
      <c r="AE339" s="91" t="n">
        <f aca="false">(N339-T339)/N339</f>
        <v>0.987980769230769</v>
      </c>
      <c r="AF339" s="97" t="n">
        <f aca="false">BR339</f>
        <v>2</v>
      </c>
      <c r="AG339" s="98" t="n">
        <f aca="false">K339-AF339</f>
        <v>6</v>
      </c>
      <c r="AH339" s="99" t="n">
        <f aca="false">IFERROR(AG339/K339," ")</f>
        <v>0.75</v>
      </c>
      <c r="AI339" s="100" t="n">
        <f aca="false">IFERROR(O339/K339,0)</f>
        <v>500</v>
      </c>
      <c r="AJ339" s="101" t="n">
        <f aca="false">VLOOKUP(D339,'Standard Cycle time'!C:D,2,0)</f>
        <v>5.25</v>
      </c>
      <c r="AK339" s="101" t="n">
        <f aca="false">AG339*V339*3600/O339</f>
        <v>5.4</v>
      </c>
      <c r="AL339" s="102" t="n">
        <f aca="false">AJ339/AK339</f>
        <v>0.972222222222222</v>
      </c>
      <c r="AM339" s="99" t="n">
        <f aca="false">AE339*AL339*AH339</f>
        <v>0.720402644230769</v>
      </c>
      <c r="AN339" s="103" t="n">
        <v>2887</v>
      </c>
      <c r="AO339" s="109" t="s">
        <v>783</v>
      </c>
      <c r="AP339" s="105" t="n">
        <v>0</v>
      </c>
      <c r="AQ339" s="105" t="n">
        <v>0</v>
      </c>
      <c r="AR339" s="105" t="n">
        <v>0</v>
      </c>
      <c r="AS339" s="105" t="n">
        <v>0</v>
      </c>
      <c r="AT339" s="105" t="n">
        <v>0</v>
      </c>
      <c r="AU339" s="105" t="n">
        <v>0</v>
      </c>
      <c r="AV339" s="105" t="n">
        <v>0</v>
      </c>
      <c r="AW339" s="105" t="n">
        <v>30</v>
      </c>
      <c r="AX339" s="105" t="n">
        <v>0</v>
      </c>
      <c r="AY339" s="105" t="n">
        <v>0</v>
      </c>
      <c r="AZ339" s="105" t="n">
        <v>0</v>
      </c>
      <c r="BA339" s="105" t="n">
        <v>0</v>
      </c>
      <c r="BB339" s="105" t="n">
        <v>90</v>
      </c>
      <c r="BC339" s="105" t="n">
        <v>0</v>
      </c>
      <c r="BD339" s="105" t="n">
        <v>0</v>
      </c>
      <c r="BE339" s="105" t="n">
        <v>0</v>
      </c>
      <c r="BF339" s="105" t="n">
        <v>0</v>
      </c>
      <c r="BG339" s="105" t="n">
        <v>0</v>
      </c>
      <c r="BH339" s="105" t="n">
        <v>0</v>
      </c>
      <c r="BI339" s="105" t="n">
        <v>0</v>
      </c>
      <c r="BJ339" s="105" t="n">
        <v>0</v>
      </c>
      <c r="BK339" s="105" t="n">
        <v>0</v>
      </c>
      <c r="BL339" s="105" t="n">
        <v>0</v>
      </c>
      <c r="BM339" s="105" t="n">
        <v>0</v>
      </c>
      <c r="BN339" s="105" t="n">
        <v>0</v>
      </c>
      <c r="BO339" s="105" t="n">
        <v>0</v>
      </c>
      <c r="BP339" s="105" t="n">
        <v>0</v>
      </c>
      <c r="BQ339" s="105" t="n">
        <v>0</v>
      </c>
      <c r="BR339" s="106" t="n">
        <f aca="false">SUM(AP339:BQ339)/60</f>
        <v>2</v>
      </c>
      <c r="BS339" s="106" t="n">
        <f aca="false">SUM(AP339:BR339)/60</f>
        <v>2.03333333333333</v>
      </c>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row>
    <row r="340" customFormat="false" ht="14.9" hidden="true" customHeight="false" outlineLevel="0" collapsed="false">
      <c r="A340" s="74" t="n">
        <f aca="false">MONTH(B340)</f>
        <v>8</v>
      </c>
      <c r="B340" s="135" t="n">
        <v>44439</v>
      </c>
      <c r="C340" s="128" t="s">
        <v>51</v>
      </c>
      <c r="D340" s="77" t="str">
        <f aca="false">IFERROR(VLOOKUP(E:E,'Item Data Support Sheet'!A:O,7,0),"")</f>
        <v>NIPPLE PUNCH</v>
      </c>
      <c r="E340" s="80" t="s">
        <v>666</v>
      </c>
      <c r="F340" s="122"/>
      <c r="G340" s="137" t="s">
        <v>54</v>
      </c>
      <c r="H340" s="79" t="str">
        <f aca="false">IFERROR(VLOOKUP(E:E,'Item Data Support Sheet'!A:O,2,0),"")</f>
        <v>NIPPLE S TYPE L SIZE PUNCHED</v>
      </c>
      <c r="I340" s="80"/>
      <c r="J340" s="80" t="s">
        <v>143</v>
      </c>
      <c r="K340" s="81" t="n">
        <v>8</v>
      </c>
      <c r="L340" s="124" t="n">
        <v>7036</v>
      </c>
      <c r="M340" s="83" t="n">
        <f aca="false">IFERROR(L340/K340,0)</f>
        <v>879.5</v>
      </c>
      <c r="N340" s="84" t="n">
        <f aca="false">+O340+Q340+T340+U340</f>
        <v>6400</v>
      </c>
      <c r="O340" s="85" t="n">
        <f aca="false">1200+5200</f>
        <v>6400</v>
      </c>
      <c r="P340" s="86" t="n">
        <v>0</v>
      </c>
      <c r="Q340" s="86" t="n">
        <v>0</v>
      </c>
      <c r="R340" s="132" t="n">
        <v>0</v>
      </c>
      <c r="S340" s="128" t="n">
        <v>0</v>
      </c>
      <c r="T340" s="132" t="n">
        <v>0</v>
      </c>
      <c r="U340" s="128" t="n">
        <v>0</v>
      </c>
      <c r="V340" s="128" t="n">
        <v>1</v>
      </c>
      <c r="W340" s="90" t="n">
        <f aca="false">IFERROR(O340/V340,0)</f>
        <v>6400</v>
      </c>
      <c r="X340" s="91" t="n">
        <f aca="false">O340/L340</f>
        <v>0.909607731665719</v>
      </c>
      <c r="Y340" s="92" t="str">
        <f aca="false">IFERROR(VLOOKUP(E:E,'Item Data Support Sheet'!A:J,6,0),0)</f>
        <v>FO017</v>
      </c>
      <c r="Z340" s="93" t="n">
        <f aca="false">IFERROR(VLOOKUP(E:E,'Item Data Support Sheet'!A:O,4,0),0)</f>
        <v>0</v>
      </c>
      <c r="AA340" s="93" t="n">
        <f aca="false">IFERROR(((N340)*(Z340/1000))+P340,0)</f>
        <v>0</v>
      </c>
      <c r="AB340" s="94" t="str">
        <f aca="false">IFERROR((O340*(Z340/1000)/(AA340))," ")</f>
        <v> </v>
      </c>
      <c r="AC340" s="95" t="n">
        <f aca="false">IFERROR((T340)/((T340)+O340),0)</f>
        <v>0</v>
      </c>
      <c r="AD340" s="96" t="n">
        <f aca="false">IFERROR(Q340/(Q340+N340),0)</f>
        <v>0</v>
      </c>
      <c r="AE340" s="91" t="n">
        <f aca="false">(N340-T340)/N340</f>
        <v>1</v>
      </c>
      <c r="AF340" s="97" t="n">
        <f aca="false">BR340</f>
        <v>0.666666666666667</v>
      </c>
      <c r="AG340" s="98" t="n">
        <f aca="false">K340-AF340</f>
        <v>7.33333333333333</v>
      </c>
      <c r="AH340" s="99" t="n">
        <f aca="false">IFERROR(AG340/K340," ")</f>
        <v>0.916666666666667</v>
      </c>
      <c r="AI340" s="100" t="n">
        <f aca="false">IFERROR(O340/K340,0)</f>
        <v>800</v>
      </c>
      <c r="AJ340" s="101" t="n">
        <f aca="false">VLOOKUP(D340,'Standard Cycle time'!C:D,2,0)</f>
        <v>3.5</v>
      </c>
      <c r="AK340" s="101" t="n">
        <f aca="false">AG340*V340*3600/O340</f>
        <v>4.125</v>
      </c>
      <c r="AL340" s="102" t="n">
        <f aca="false">AJ340/AK340</f>
        <v>0.848484848484848</v>
      </c>
      <c r="AM340" s="99" t="n">
        <f aca="false">AE340*AL340*AH340</f>
        <v>0.777777777777778</v>
      </c>
      <c r="AN340" s="103" t="s">
        <v>784</v>
      </c>
      <c r="AO340" s="109"/>
      <c r="AP340" s="105" t="n">
        <v>40</v>
      </c>
      <c r="AQ340" s="105" t="n">
        <v>0</v>
      </c>
      <c r="AR340" s="105" t="n">
        <v>0</v>
      </c>
      <c r="AS340" s="105" t="n">
        <v>0</v>
      </c>
      <c r="AT340" s="105" t="n">
        <v>0</v>
      </c>
      <c r="AU340" s="105" t="n">
        <v>0</v>
      </c>
      <c r="AV340" s="105" t="n">
        <v>0</v>
      </c>
      <c r="AW340" s="105" t="n">
        <v>0</v>
      </c>
      <c r="AX340" s="105" t="n">
        <v>0</v>
      </c>
      <c r="AY340" s="105" t="n">
        <v>0</v>
      </c>
      <c r="AZ340" s="105" t="n">
        <v>0</v>
      </c>
      <c r="BA340" s="105" t="n">
        <v>0</v>
      </c>
      <c r="BB340" s="105" t="n">
        <v>0</v>
      </c>
      <c r="BC340" s="105" t="n">
        <v>0</v>
      </c>
      <c r="BD340" s="105" t="n">
        <v>0</v>
      </c>
      <c r="BE340" s="105" t="n">
        <v>0</v>
      </c>
      <c r="BF340" s="105" t="n">
        <v>0</v>
      </c>
      <c r="BG340" s="105" t="n">
        <v>0</v>
      </c>
      <c r="BH340" s="105" t="n">
        <v>0</v>
      </c>
      <c r="BI340" s="105" t="n">
        <v>0</v>
      </c>
      <c r="BJ340" s="105" t="n">
        <v>0</v>
      </c>
      <c r="BK340" s="105" t="n">
        <v>0</v>
      </c>
      <c r="BL340" s="105" t="n">
        <v>0</v>
      </c>
      <c r="BM340" s="105" t="n">
        <v>0</v>
      </c>
      <c r="BN340" s="105" t="n">
        <v>0</v>
      </c>
      <c r="BO340" s="105" t="n">
        <v>0</v>
      </c>
      <c r="BP340" s="105" t="n">
        <v>0</v>
      </c>
      <c r="BQ340" s="105" t="n">
        <v>0</v>
      </c>
      <c r="BR340" s="106" t="n">
        <f aca="false">SUM(AP340:BQ340)/60</f>
        <v>0.666666666666667</v>
      </c>
      <c r="BS340" s="106" t="n">
        <f aca="false">SUM(AP340:BR340)/60</f>
        <v>0.677777777777778</v>
      </c>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row>
    <row r="341" customFormat="false" ht="14.9" hidden="true" customHeight="false" outlineLevel="0" collapsed="false">
      <c r="A341" s="74" t="n">
        <f aca="false">MONTH(B341)</f>
        <v>8</v>
      </c>
      <c r="B341" s="135" t="n">
        <v>44439</v>
      </c>
      <c r="C341" s="128" t="s">
        <v>51</v>
      </c>
      <c r="D341" s="77" t="str">
        <f aca="false">IFERROR(VLOOKUP(E:E,'Item Data Support Sheet'!A:O,7,0),"")</f>
        <v>NIPPLE LASER MARKING</v>
      </c>
      <c r="E341" s="80" t="s">
        <v>681</v>
      </c>
      <c r="F341" s="122"/>
      <c r="G341" s="137" t="s">
        <v>517</v>
      </c>
      <c r="H341" s="79" t="str">
        <f aca="false">IFERROR(VLOOKUP(E:E,'Item Data Support Sheet'!A:O,2,0),"")</f>
        <v>NIPPLE S TYPE L SIZE PUNCHED LASER MARKED</v>
      </c>
      <c r="I341" s="80" t="s">
        <v>785</v>
      </c>
      <c r="J341" s="80" t="s">
        <v>143</v>
      </c>
      <c r="K341" s="81" t="n">
        <v>8</v>
      </c>
      <c r="L341" s="124" t="n">
        <v>7036</v>
      </c>
      <c r="M341" s="83" t="n">
        <f aca="false">IFERROR(L341/K341,0)</f>
        <v>879.5</v>
      </c>
      <c r="N341" s="84" t="n">
        <f aca="false">+O341+Q341+T341+U341</f>
        <v>3000</v>
      </c>
      <c r="O341" s="85" t="n">
        <v>3000</v>
      </c>
      <c r="P341" s="86" t="n">
        <v>0</v>
      </c>
      <c r="Q341" s="86" t="n">
        <v>0</v>
      </c>
      <c r="R341" s="132" t="n">
        <v>0</v>
      </c>
      <c r="S341" s="128" t="n">
        <v>0</v>
      </c>
      <c r="T341" s="132" t="n">
        <v>0</v>
      </c>
      <c r="U341" s="128" t="n">
        <v>0</v>
      </c>
      <c r="V341" s="128" t="n">
        <v>1</v>
      </c>
      <c r="W341" s="90" t="n">
        <f aca="false">IFERROR(O341/V341,0)</f>
        <v>3000</v>
      </c>
      <c r="X341" s="91" t="n">
        <f aca="false">O341/L341</f>
        <v>0.426378624218306</v>
      </c>
      <c r="Y341" s="92" t="str">
        <f aca="false">IFERROR(VLOOKUP(E:E,'Item Data Support Sheet'!A:J,6,0),0)</f>
        <v>FO021</v>
      </c>
      <c r="Z341" s="93" t="n">
        <f aca="false">IFERROR(VLOOKUP(E:E,'Item Data Support Sheet'!A:O,4,0),0)</f>
        <v>0</v>
      </c>
      <c r="AA341" s="93" t="n">
        <f aca="false">IFERROR(((N341)*(Z341/1000))+P341,0)</f>
        <v>0</v>
      </c>
      <c r="AB341" s="94" t="str">
        <f aca="false">IFERROR((O341*(Z341/1000)/(AA341))," ")</f>
        <v> </v>
      </c>
      <c r="AC341" s="95" t="n">
        <f aca="false">IFERROR((T341)/((T341)+O341),0)</f>
        <v>0</v>
      </c>
      <c r="AD341" s="96" t="n">
        <f aca="false">IFERROR(Q341/(Q341+N341),0)</f>
        <v>0</v>
      </c>
      <c r="AE341" s="91" t="n">
        <f aca="false">(N341-T341)/N341</f>
        <v>1</v>
      </c>
      <c r="AF341" s="97" t="n">
        <f aca="false">BR341</f>
        <v>4.66666666666667</v>
      </c>
      <c r="AG341" s="98" t="n">
        <f aca="false">K341-AF341</f>
        <v>3.33333333333333</v>
      </c>
      <c r="AH341" s="99" t="n">
        <f aca="false">IFERROR(AG341/K341," ")</f>
        <v>0.416666666666667</v>
      </c>
      <c r="AI341" s="100" t="n">
        <f aca="false">IFERROR(O341/K341,0)</f>
        <v>375</v>
      </c>
      <c r="AJ341" s="101" t="n">
        <f aca="false">VLOOKUP(D341,'Standard Cycle time'!C:D,2,0)</f>
        <v>3.5</v>
      </c>
      <c r="AK341" s="101" t="n">
        <f aca="false">AG341*V341*3600/O341</f>
        <v>4</v>
      </c>
      <c r="AL341" s="102" t="n">
        <f aca="false">AJ341/AK341</f>
        <v>0.875</v>
      </c>
      <c r="AM341" s="99" t="n">
        <f aca="false">AE341*AL341*AH341</f>
        <v>0.364583333333333</v>
      </c>
      <c r="AN341" s="103" t="n">
        <v>2878</v>
      </c>
      <c r="AO341" s="109" t="s">
        <v>786</v>
      </c>
      <c r="AP341" s="105" t="n">
        <v>40</v>
      </c>
      <c r="AQ341" s="105" t="n">
        <v>0</v>
      </c>
      <c r="AR341" s="105" t="n">
        <v>0</v>
      </c>
      <c r="AS341" s="105" t="n">
        <v>0</v>
      </c>
      <c r="AT341" s="105" t="n">
        <v>0</v>
      </c>
      <c r="AU341" s="105" t="n">
        <v>0</v>
      </c>
      <c r="AV341" s="105" t="n">
        <v>0</v>
      </c>
      <c r="AW341" s="105" t="n">
        <v>0</v>
      </c>
      <c r="AX341" s="105" t="n">
        <v>0</v>
      </c>
      <c r="AY341" s="105" t="n">
        <v>0</v>
      </c>
      <c r="AZ341" s="105" t="n">
        <v>0</v>
      </c>
      <c r="BA341" s="105" t="n">
        <v>0</v>
      </c>
      <c r="BB341" s="105" t="n">
        <v>0</v>
      </c>
      <c r="BC341" s="105" t="n">
        <v>0</v>
      </c>
      <c r="BD341" s="105" t="n">
        <v>0</v>
      </c>
      <c r="BE341" s="105" t="n">
        <v>0</v>
      </c>
      <c r="BF341" s="105" t="n">
        <v>0</v>
      </c>
      <c r="BG341" s="105" t="n">
        <v>0</v>
      </c>
      <c r="BH341" s="105" t="n">
        <v>0</v>
      </c>
      <c r="BI341" s="105" t="n">
        <v>0</v>
      </c>
      <c r="BJ341" s="105" t="n">
        <v>0</v>
      </c>
      <c r="BK341" s="105" t="n">
        <v>240</v>
      </c>
      <c r="BL341" s="105" t="n">
        <v>0</v>
      </c>
      <c r="BM341" s="105" t="n">
        <v>0</v>
      </c>
      <c r="BN341" s="105" t="n">
        <v>0</v>
      </c>
      <c r="BO341" s="105" t="n">
        <v>0</v>
      </c>
      <c r="BP341" s="105" t="n">
        <v>0</v>
      </c>
      <c r="BQ341" s="105" t="n">
        <v>0</v>
      </c>
      <c r="BR341" s="106" t="n">
        <f aca="false">SUM(AP341:BQ341)/60</f>
        <v>4.66666666666667</v>
      </c>
      <c r="BS341" s="106" t="n">
        <f aca="false">SUM(AP341:BR341)/60</f>
        <v>4.74444444444444</v>
      </c>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row>
    <row r="342" customFormat="false" ht="14.9" hidden="true" customHeight="false" outlineLevel="0" collapsed="false">
      <c r="A342" s="74" t="n">
        <f aca="false">MONTH(B342)</f>
        <v>8</v>
      </c>
      <c r="B342" s="135" t="n">
        <v>44439</v>
      </c>
      <c r="C342" s="128" t="s">
        <v>51</v>
      </c>
      <c r="D342" s="77" t="str">
        <f aca="false">IFERROR(VLOOKUP(E:E,'Item Data Support Sheet'!A:O,7,0),"")</f>
        <v>HOOD MOLDED</v>
      </c>
      <c r="E342" s="80" t="s">
        <v>529</v>
      </c>
      <c r="F342" s="122"/>
      <c r="G342" s="137" t="s">
        <v>740</v>
      </c>
      <c r="H342" s="79" t="str">
        <f aca="false">IFERROR(VLOOKUP(E:E,'Item Data Support Sheet'!A:O,2,0),"")</f>
        <v>HOOD S TYPE MOLDED</v>
      </c>
      <c r="I342" s="80" t="s">
        <v>787</v>
      </c>
      <c r="J342" s="80" t="s">
        <v>143</v>
      </c>
      <c r="K342" s="81" t="n">
        <v>8</v>
      </c>
      <c r="L342" s="124" t="n">
        <v>4137</v>
      </c>
      <c r="M342" s="83" t="n">
        <f aca="false">IFERROR(L342/K342,0)</f>
        <v>517.125</v>
      </c>
      <c r="N342" s="84" t="n">
        <f aca="false">+O342+Q342+T342+U342</f>
        <v>4545</v>
      </c>
      <c r="O342" s="85" t="n">
        <v>4500</v>
      </c>
      <c r="P342" s="86" t="n">
        <v>0.35</v>
      </c>
      <c r="Q342" s="86" t="n">
        <v>25</v>
      </c>
      <c r="R342" s="132" t="n">
        <v>0</v>
      </c>
      <c r="S342" s="128" t="n">
        <v>0</v>
      </c>
      <c r="T342" s="132" t="n">
        <v>12</v>
      </c>
      <c r="U342" s="128" t="n">
        <v>8</v>
      </c>
      <c r="V342" s="128" t="n">
        <v>1</v>
      </c>
      <c r="W342" s="90" t="n">
        <f aca="false">IFERROR(O342/V342,0)</f>
        <v>4500</v>
      </c>
      <c r="X342" s="91" t="n">
        <f aca="false">O342/L342</f>
        <v>1.08774474256708</v>
      </c>
      <c r="Y342" s="92" t="str">
        <f aca="false">IFERROR(VLOOKUP(E:E,'Item Data Support Sheet'!A:J,6,0),0)</f>
        <v>HMC</v>
      </c>
      <c r="Z342" s="93" t="n">
        <f aca="false">IFERROR(VLOOKUP(E:E,'Item Data Support Sheet'!A:O,4,0),0)</f>
        <v>8.6</v>
      </c>
      <c r="AA342" s="93" t="n">
        <f aca="false">IFERROR(((N342)*(Z342/1000))+P342,0)</f>
        <v>39.437</v>
      </c>
      <c r="AB342" s="94" t="n">
        <f aca="false">IFERROR((O342*(Z342/1000)/(AA342))," ")</f>
        <v>0.981311965920328</v>
      </c>
      <c r="AC342" s="95" t="n">
        <f aca="false">IFERROR((T342)/((T342)+O342),0)</f>
        <v>0.00265957446808511</v>
      </c>
      <c r="AD342" s="96" t="n">
        <f aca="false">IFERROR(Q342/(Q342+N342),0)</f>
        <v>0.00547045951859956</v>
      </c>
      <c r="AE342" s="91" t="n">
        <f aca="false">(N342-T342)/N342</f>
        <v>0.997359735973597</v>
      </c>
      <c r="AF342" s="97" t="n">
        <f aca="false">BR342</f>
        <v>0</v>
      </c>
      <c r="AG342" s="98" t="n">
        <f aca="false">K342-AF342</f>
        <v>8</v>
      </c>
      <c r="AH342" s="99" t="n">
        <f aca="false">IFERROR(AG342/K342," ")</f>
        <v>1</v>
      </c>
      <c r="AI342" s="100" t="n">
        <f aca="false">IFERROR(O342/K342,0)</f>
        <v>562.5</v>
      </c>
      <c r="AJ342" s="101" t="n">
        <f aca="false">VLOOKUP(D342,'Standard Cycle time'!C:D,2,0)</f>
        <v>6</v>
      </c>
      <c r="AK342" s="101" t="n">
        <f aca="false">AG342*V342*3600/O342</f>
        <v>6.4</v>
      </c>
      <c r="AL342" s="102" t="n">
        <f aca="false">AJ342/AK342</f>
        <v>0.9375</v>
      </c>
      <c r="AM342" s="99" t="n">
        <f aca="false">AE342*AL342*AH342</f>
        <v>0.935024752475247</v>
      </c>
      <c r="AN342" s="103" t="n">
        <v>2885</v>
      </c>
      <c r="AO342" s="104"/>
      <c r="AP342" s="105" t="n">
        <v>0</v>
      </c>
      <c r="AQ342" s="105" t="n">
        <v>0</v>
      </c>
      <c r="AR342" s="105" t="n">
        <v>0</v>
      </c>
      <c r="AS342" s="105" t="n">
        <v>0</v>
      </c>
      <c r="AT342" s="105" t="n">
        <v>0</v>
      </c>
      <c r="AU342" s="105" t="n">
        <v>0</v>
      </c>
      <c r="AV342" s="105" t="n">
        <v>0</v>
      </c>
      <c r="AW342" s="105" t="n">
        <v>0</v>
      </c>
      <c r="AX342" s="105" t="n">
        <v>0</v>
      </c>
      <c r="AY342" s="105" t="n">
        <v>0</v>
      </c>
      <c r="AZ342" s="105" t="n">
        <v>0</v>
      </c>
      <c r="BA342" s="105" t="n">
        <v>0</v>
      </c>
      <c r="BB342" s="105" t="n">
        <v>0</v>
      </c>
      <c r="BC342" s="105" t="n">
        <v>0</v>
      </c>
      <c r="BD342" s="105" t="n">
        <v>0</v>
      </c>
      <c r="BE342" s="105" t="n">
        <v>0</v>
      </c>
      <c r="BF342" s="105" t="n">
        <v>0</v>
      </c>
      <c r="BG342" s="105" t="n">
        <v>0</v>
      </c>
      <c r="BH342" s="105" t="n">
        <v>0</v>
      </c>
      <c r="BI342" s="105" t="n">
        <v>0</v>
      </c>
      <c r="BJ342" s="105" t="n">
        <v>0</v>
      </c>
      <c r="BK342" s="105" t="n">
        <v>0</v>
      </c>
      <c r="BL342" s="105" t="n">
        <v>0</v>
      </c>
      <c r="BM342" s="105" t="n">
        <v>0</v>
      </c>
      <c r="BN342" s="105" t="n">
        <v>0</v>
      </c>
      <c r="BO342" s="105" t="n">
        <v>0</v>
      </c>
      <c r="BP342" s="105" t="n">
        <v>0</v>
      </c>
      <c r="BQ342" s="105" t="n">
        <v>0</v>
      </c>
      <c r="BR342" s="106" t="n">
        <f aca="false">SUM(AP342:BQ342)/60</f>
        <v>0</v>
      </c>
      <c r="BS342" s="106" t="n">
        <f aca="false">SUM(AP342:BR342)/60</f>
        <v>0</v>
      </c>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row>
    <row r="343" customFormat="false" ht="14.9" hidden="true" customHeight="false" outlineLevel="0" collapsed="false">
      <c r="A343" s="74" t="n">
        <f aca="false">MONTH(B343)</f>
        <v>8</v>
      </c>
      <c r="B343" s="135" t="n">
        <v>44439</v>
      </c>
      <c r="C343" s="128" t="s">
        <v>63</v>
      </c>
      <c r="D343" s="77" t="str">
        <f aca="false">IFERROR(VLOOKUP(E:E,'Item Data Support Sheet'!A:O,7,0),"")</f>
        <v>NIPPLE WRAP PRINTED</v>
      </c>
      <c r="E343" s="80" t="s">
        <v>551</v>
      </c>
      <c r="F343" s="122"/>
      <c r="G343" s="137" t="s">
        <v>432</v>
      </c>
      <c r="H343" s="79" t="str">
        <f aca="false">IFERROR(VLOOKUP(E:E,'Item Data Support Sheet'!A:O,2,0),"")</f>
        <v>NIPPLE S TYPE S SIZE WITH PRINTED WRAP</v>
      </c>
      <c r="I343" s="80" t="s">
        <v>788</v>
      </c>
      <c r="J343" s="80" t="s">
        <v>158</v>
      </c>
      <c r="K343" s="81" t="n">
        <v>8.5</v>
      </c>
      <c r="L343" s="124" t="n">
        <v>16132</v>
      </c>
      <c r="M343" s="83" t="n">
        <f aca="false">IFERROR(L343/K343,0)</f>
        <v>1897.88235294118</v>
      </c>
      <c r="N343" s="84" t="n">
        <f aca="false">+O343+Q343+T343+U343</f>
        <v>18229</v>
      </c>
      <c r="O343" s="85" t="n">
        <v>18229</v>
      </c>
      <c r="P343" s="86" t="n">
        <v>0</v>
      </c>
      <c r="Q343" s="86" t="n">
        <v>0</v>
      </c>
      <c r="R343" s="132" t="n">
        <v>0</v>
      </c>
      <c r="S343" s="128" t="n">
        <v>0</v>
      </c>
      <c r="T343" s="132" t="n">
        <v>0</v>
      </c>
      <c r="U343" s="128" t="n">
        <v>0</v>
      </c>
      <c r="V343" s="128" t="n">
        <v>1</v>
      </c>
      <c r="W343" s="90" t="n">
        <f aca="false">IFERROR(O343/V343,0)</f>
        <v>18229</v>
      </c>
      <c r="X343" s="91" t="n">
        <f aca="false">O343/L343</f>
        <v>1.12999008182494</v>
      </c>
      <c r="Y343" s="92" t="str">
        <f aca="false">IFERROR(VLOOKUP(E:E,'Item Data Support Sheet'!A:J,6,0),0)</f>
        <v>FO108</v>
      </c>
      <c r="Z343" s="93" t="n">
        <f aca="false">IFERROR(VLOOKUP(E:E,'Item Data Support Sheet'!A:O,4,0),0)</f>
        <v>0</v>
      </c>
      <c r="AA343" s="93" t="n">
        <f aca="false">IFERROR(((N343)*(Z343/1000))+P343,0)</f>
        <v>0</v>
      </c>
      <c r="AB343" s="94" t="str">
        <f aca="false">IFERROR((O343*(Z343/1000)/(AA343))," ")</f>
        <v> </v>
      </c>
      <c r="AC343" s="95" t="n">
        <f aca="false">IFERROR((T343)/((T343)+O343),0)</f>
        <v>0</v>
      </c>
      <c r="AD343" s="96" t="n">
        <f aca="false">IFERROR(Q343/(Q343+N343),0)</f>
        <v>0</v>
      </c>
      <c r="AE343" s="91" t="n">
        <f aca="false">(N343-T343)/N343</f>
        <v>1</v>
      </c>
      <c r="AF343" s="97" t="n">
        <f aca="false">BR343</f>
        <v>0</v>
      </c>
      <c r="AG343" s="98" t="n">
        <f aca="false">K343-AF343</f>
        <v>8.5</v>
      </c>
      <c r="AH343" s="99" t="n">
        <f aca="false">IFERROR(AG343/K343," ")</f>
        <v>1</v>
      </c>
      <c r="AI343" s="100" t="n">
        <f aca="false">IFERROR(O343/K343,0)</f>
        <v>2144.58823529412</v>
      </c>
      <c r="AJ343" s="101" t="n">
        <f aca="false">VLOOKUP(D343,'Standard Cycle time'!C:D,2,0)</f>
        <v>2.5</v>
      </c>
      <c r="AK343" s="101" t="n">
        <f aca="false">AG343*V343*3600/O343</f>
        <v>1.67864391903012</v>
      </c>
      <c r="AL343" s="102" t="n">
        <f aca="false">AJ343/AK343</f>
        <v>1.48929738562092</v>
      </c>
      <c r="AM343" s="99" t="n">
        <f aca="false">AE343*AL343*AH343</f>
        <v>1.48929738562092</v>
      </c>
      <c r="AN343" s="103" t="s">
        <v>789</v>
      </c>
      <c r="AO343" s="104"/>
      <c r="AP343" s="105"/>
      <c r="AQ343" s="105" t="n">
        <v>0</v>
      </c>
      <c r="AR343" s="105" t="n">
        <v>0</v>
      </c>
      <c r="AS343" s="105" t="n">
        <v>0</v>
      </c>
      <c r="AT343" s="105" t="n">
        <v>0</v>
      </c>
      <c r="AU343" s="105" t="n">
        <v>0</v>
      </c>
      <c r="AV343" s="105" t="n">
        <v>0</v>
      </c>
      <c r="AW343" s="105" t="n">
        <v>0</v>
      </c>
      <c r="AX343" s="105" t="n">
        <v>0</v>
      </c>
      <c r="AY343" s="105" t="n">
        <v>0</v>
      </c>
      <c r="AZ343" s="105" t="n">
        <v>0</v>
      </c>
      <c r="BA343" s="105" t="n">
        <v>0</v>
      </c>
      <c r="BB343" s="105" t="n">
        <v>0</v>
      </c>
      <c r="BC343" s="105" t="n">
        <v>0</v>
      </c>
      <c r="BD343" s="105" t="n">
        <v>0</v>
      </c>
      <c r="BE343" s="105" t="n">
        <v>0</v>
      </c>
      <c r="BF343" s="105" t="n">
        <v>0</v>
      </c>
      <c r="BG343" s="105" t="n">
        <v>0</v>
      </c>
      <c r="BH343" s="105" t="n">
        <v>0</v>
      </c>
      <c r="BI343" s="105" t="n">
        <v>0</v>
      </c>
      <c r="BJ343" s="105" t="n">
        <v>0</v>
      </c>
      <c r="BK343" s="105" t="n">
        <v>0</v>
      </c>
      <c r="BL343" s="105" t="n">
        <v>0</v>
      </c>
      <c r="BM343" s="105" t="n">
        <v>0</v>
      </c>
      <c r="BN343" s="105" t="n">
        <v>0</v>
      </c>
      <c r="BO343" s="105" t="n">
        <v>0</v>
      </c>
      <c r="BP343" s="105" t="n">
        <v>0</v>
      </c>
      <c r="BQ343" s="105" t="n">
        <v>0</v>
      </c>
      <c r="BR343" s="106" t="n">
        <f aca="false">SUM(AP343:BQ343)/60</f>
        <v>0</v>
      </c>
      <c r="BS343" s="106" t="n">
        <f aca="false">SUM(AP343:BR343)/60</f>
        <v>0</v>
      </c>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row>
    <row r="344" customFormat="false" ht="14.9" hidden="true" customHeight="false" outlineLevel="0" collapsed="false">
      <c r="A344" s="74" t="n">
        <f aca="false">MONTH(B344)</f>
        <v>8</v>
      </c>
      <c r="B344" s="135" t="n">
        <v>44439</v>
      </c>
      <c r="C344" s="128" t="s">
        <v>63</v>
      </c>
      <c r="D344" s="77" t="str">
        <f aca="false">IFERROR(VLOOKUP(E:E,'Item Data Support Sheet'!A:O,7,0),"")</f>
        <v>NIPPLE PUNCH INSPECTED</v>
      </c>
      <c r="E344" s="80" t="s">
        <v>688</v>
      </c>
      <c r="F344" s="122"/>
      <c r="G344" s="137"/>
      <c r="H344" s="79" t="str">
        <f aca="false">IFERROR(VLOOKUP(E:E,'Item Data Support Sheet'!A:O,2,0),"")</f>
        <v>NIPPLE S TYPE L SIZE PUNCHED INSPECTED</v>
      </c>
      <c r="I344" s="80" t="s">
        <v>790</v>
      </c>
      <c r="J344" s="80" t="s">
        <v>158</v>
      </c>
      <c r="K344" s="81" t="n">
        <v>8.5</v>
      </c>
      <c r="L344" s="124" t="n">
        <v>7036</v>
      </c>
      <c r="M344" s="83" t="n">
        <f aca="false">IFERROR(L344/K344,0)</f>
        <v>827.764705882353</v>
      </c>
      <c r="N344" s="84" t="n">
        <f aca="false">+O344+Q344+T344+U344</f>
        <v>7300</v>
      </c>
      <c r="O344" s="85" t="n">
        <v>7222</v>
      </c>
      <c r="P344" s="86" t="n">
        <v>0</v>
      </c>
      <c r="Q344" s="86" t="n">
        <v>0</v>
      </c>
      <c r="R344" s="132" t="n">
        <v>0</v>
      </c>
      <c r="S344" s="128" t="n">
        <v>0</v>
      </c>
      <c r="T344" s="132" t="n">
        <v>78</v>
      </c>
      <c r="U344" s="128" t="n">
        <v>0</v>
      </c>
      <c r="V344" s="128" t="n">
        <v>1</v>
      </c>
      <c r="W344" s="90" t="n">
        <f aca="false">IFERROR(O344/V344,0)</f>
        <v>7222</v>
      </c>
      <c r="X344" s="91" t="n">
        <f aca="false">O344/L344</f>
        <v>1.02643547470154</v>
      </c>
      <c r="Y344" s="92" t="str">
        <f aca="false">IFERROR(VLOOKUP(E:E,'Item Data Support Sheet'!A:J,6,0),0)</f>
        <v>FO106</v>
      </c>
      <c r="Z344" s="93" t="n">
        <f aca="false">IFERROR(VLOOKUP(E:E,'Item Data Support Sheet'!A:O,4,0),0)</f>
        <v>0</v>
      </c>
      <c r="AA344" s="93" t="n">
        <f aca="false">IFERROR(((N344)*(Z344/1000))+P344,0)</f>
        <v>0</v>
      </c>
      <c r="AB344" s="94" t="str">
        <f aca="false">IFERROR((O344*(Z344/1000)/(AA344))," ")</f>
        <v> </v>
      </c>
      <c r="AC344" s="95" t="n">
        <f aca="false">IFERROR((T344)/((T344)+O344),0)</f>
        <v>0.0106849315068493</v>
      </c>
      <c r="AD344" s="96" t="n">
        <f aca="false">IFERROR(Q344/(Q344+N344),0)</f>
        <v>0</v>
      </c>
      <c r="AE344" s="91" t="n">
        <f aca="false">(N344-T344)/N344</f>
        <v>0.989315068493151</v>
      </c>
      <c r="AF344" s="97" t="n">
        <f aca="false">BR344</f>
        <v>0.833333333333333</v>
      </c>
      <c r="AG344" s="98" t="n">
        <f aca="false">K344-AF344</f>
        <v>7.66666666666667</v>
      </c>
      <c r="AH344" s="99" t="n">
        <f aca="false">IFERROR(AG344/K344," ")</f>
        <v>0.901960784313726</v>
      </c>
      <c r="AI344" s="100" t="n">
        <f aca="false">IFERROR(O344/K344,0)</f>
        <v>849.647058823529</v>
      </c>
      <c r="AJ344" s="101" t="n">
        <f aca="false">VLOOKUP(D344,'Standard Cycle time'!C:D,2,0)</f>
        <v>4</v>
      </c>
      <c r="AK344" s="101" t="n">
        <f aca="false">AG344*V344*3600/O344</f>
        <v>3.82165605095541</v>
      </c>
      <c r="AL344" s="102" t="n">
        <f aca="false">AJ344/AK344</f>
        <v>1.04666666666667</v>
      </c>
      <c r="AM344" s="99" t="n">
        <f aca="false">AE344*AL344*AH344</f>
        <v>0.933965153550004</v>
      </c>
      <c r="AN344" s="103" t="s">
        <v>791</v>
      </c>
      <c r="AO344" s="109"/>
      <c r="AP344" s="105" t="n">
        <v>50</v>
      </c>
      <c r="AQ344" s="105" t="n">
        <v>0</v>
      </c>
      <c r="AR344" s="105" t="n">
        <v>0</v>
      </c>
      <c r="AS344" s="105" t="n">
        <v>0</v>
      </c>
      <c r="AT344" s="105" t="n">
        <v>0</v>
      </c>
      <c r="AU344" s="105" t="n">
        <v>0</v>
      </c>
      <c r="AV344" s="105" t="n">
        <v>0</v>
      </c>
      <c r="AW344" s="105" t="n">
        <v>0</v>
      </c>
      <c r="AX344" s="105" t="n">
        <v>0</v>
      </c>
      <c r="AY344" s="105" t="n">
        <v>0</v>
      </c>
      <c r="AZ344" s="105" t="n">
        <v>0</v>
      </c>
      <c r="BA344" s="105" t="n">
        <v>0</v>
      </c>
      <c r="BB344" s="105" t="n">
        <v>0</v>
      </c>
      <c r="BC344" s="105" t="n">
        <v>0</v>
      </c>
      <c r="BD344" s="105" t="n">
        <v>0</v>
      </c>
      <c r="BE344" s="105" t="n">
        <v>0</v>
      </c>
      <c r="BF344" s="105" t="n">
        <v>0</v>
      </c>
      <c r="BG344" s="105" t="n">
        <v>0</v>
      </c>
      <c r="BH344" s="105" t="n">
        <v>0</v>
      </c>
      <c r="BI344" s="105" t="n">
        <v>0</v>
      </c>
      <c r="BJ344" s="105" t="n">
        <v>0</v>
      </c>
      <c r="BK344" s="105" t="n">
        <v>0</v>
      </c>
      <c r="BL344" s="105" t="n">
        <v>0</v>
      </c>
      <c r="BM344" s="105" t="n">
        <v>0</v>
      </c>
      <c r="BN344" s="105" t="n">
        <v>0</v>
      </c>
      <c r="BO344" s="105" t="n">
        <v>0</v>
      </c>
      <c r="BP344" s="105" t="n">
        <v>0</v>
      </c>
      <c r="BQ344" s="105" t="n">
        <v>0</v>
      </c>
      <c r="BR344" s="106" t="n">
        <f aca="false">SUM(AP344:BQ344)/60</f>
        <v>0.833333333333333</v>
      </c>
      <c r="BS344" s="106" t="n">
        <f aca="false">SUM(AP344:BR344)/60</f>
        <v>0.847222222222222</v>
      </c>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row>
    <row r="345" customFormat="false" ht="14.9" hidden="true" customHeight="false" outlineLevel="0" collapsed="false">
      <c r="A345" s="74" t="n">
        <f aca="false">MONTH(B345)</f>
        <v>8</v>
      </c>
      <c r="B345" s="135" t="n">
        <v>44439</v>
      </c>
      <c r="C345" s="128" t="s">
        <v>70</v>
      </c>
      <c r="D345" s="77" t="str">
        <f aca="false">IFERROR(VLOOKUP(E:E,'Item Data Support Sheet'!A:O,7,0),"")</f>
        <v>NIPPLE MOLDED</v>
      </c>
      <c r="E345" s="80" t="s">
        <v>661</v>
      </c>
      <c r="F345" s="122" t="s">
        <v>137</v>
      </c>
      <c r="G345" s="137" t="s">
        <v>138</v>
      </c>
      <c r="H345" s="79" t="str">
        <f aca="false">IFERROR(VLOOKUP(E:E,'Item Data Support Sheet'!A:O,2,0),"")</f>
        <v>NIPPLE S TYPE L SIZE INJECTION</v>
      </c>
      <c r="I345" s="80" t="s">
        <v>792</v>
      </c>
      <c r="J345" s="80" t="s">
        <v>140</v>
      </c>
      <c r="K345" s="81" t="n">
        <v>8</v>
      </c>
      <c r="L345" s="124" t="n">
        <v>4815</v>
      </c>
      <c r="M345" s="83" t="n">
        <f aca="false">IFERROR(L345/K345,0)</f>
        <v>601.875</v>
      </c>
      <c r="N345" s="84" t="n">
        <f aca="false">+O345+Q345+T345+U345</f>
        <v>4385</v>
      </c>
      <c r="O345" s="85" t="n">
        <v>4300</v>
      </c>
      <c r="P345" s="86" t="n">
        <v>0.4</v>
      </c>
      <c r="Q345" s="86" t="n">
        <v>30</v>
      </c>
      <c r="R345" s="132" t="n">
        <v>0</v>
      </c>
      <c r="S345" s="128" t="n">
        <v>0</v>
      </c>
      <c r="T345" s="132" t="n">
        <v>55</v>
      </c>
      <c r="U345" s="128" t="n">
        <v>0</v>
      </c>
      <c r="V345" s="128" t="n">
        <v>1</v>
      </c>
      <c r="W345" s="90" t="n">
        <f aca="false">IFERROR(O345/V345,0)</f>
        <v>4300</v>
      </c>
      <c r="X345" s="91" t="n">
        <f aca="false">O345/L345</f>
        <v>0.893042575285566</v>
      </c>
      <c r="Y345" s="92" t="str">
        <f aca="false">IFERROR(VLOOKUP(E:E,'Item Data Support Sheet'!A:J,6,0),0)</f>
        <v>Silicon</v>
      </c>
      <c r="Z345" s="93" t="n">
        <f aca="false">IFERROR(VLOOKUP(E:E,'Item Data Support Sheet'!A:O,4,0),0)</f>
        <v>6.8</v>
      </c>
      <c r="AA345" s="93" t="n">
        <f aca="false">IFERROR(((N345)*(Z345/1000))+P345,0)</f>
        <v>30.218</v>
      </c>
      <c r="AB345" s="94" t="n">
        <f aca="false">IFERROR((O345*(Z345/1000)/(AA345))," ")</f>
        <v>0.967635184327222</v>
      </c>
      <c r="AC345" s="95" t="n">
        <f aca="false">IFERROR((T345)/((T345)+O345),0)</f>
        <v>0.0126291618828932</v>
      </c>
      <c r="AD345" s="96" t="n">
        <f aca="false">IFERROR(Q345/(Q345+N345),0)</f>
        <v>0.00679501698754247</v>
      </c>
      <c r="AE345" s="91" t="n">
        <f aca="false">(N345-T345)/N345</f>
        <v>0.987457240592931</v>
      </c>
      <c r="AF345" s="97" t="n">
        <f aca="false">BR345</f>
        <v>0</v>
      </c>
      <c r="AG345" s="98" t="n">
        <f aca="false">K345-AF345</f>
        <v>8</v>
      </c>
      <c r="AH345" s="99" t="n">
        <f aca="false">IFERROR(AG345/K345," ")</f>
        <v>1</v>
      </c>
      <c r="AI345" s="100" t="n">
        <f aca="false">IFERROR(O345/K345,0)</f>
        <v>537.5</v>
      </c>
      <c r="AJ345" s="101" t="n">
        <f aca="false">VLOOKUP(D345,'Standard Cycle time'!C:D,2,0)</f>
        <v>5.25</v>
      </c>
      <c r="AK345" s="101" t="n">
        <f aca="false">AG345*V345*3600/O345</f>
        <v>6.69767441860465</v>
      </c>
      <c r="AL345" s="102" t="n">
        <f aca="false">AJ345/AK345</f>
        <v>0.783854166666667</v>
      </c>
      <c r="AM345" s="99" t="n">
        <f aca="false">AE345*AL345*AH345</f>
        <v>0.774022472443938</v>
      </c>
      <c r="AN345" s="103" t="n">
        <v>2904</v>
      </c>
      <c r="AO345" s="104"/>
      <c r="AP345" s="105" t="n">
        <v>0</v>
      </c>
      <c r="AQ345" s="105" t="n">
        <v>0</v>
      </c>
      <c r="AR345" s="105" t="n">
        <v>0</v>
      </c>
      <c r="AS345" s="105" t="n">
        <v>0</v>
      </c>
      <c r="AT345" s="105" t="n">
        <v>0</v>
      </c>
      <c r="AU345" s="105" t="n">
        <v>0</v>
      </c>
      <c r="AV345" s="105" t="n">
        <v>0</v>
      </c>
      <c r="AW345" s="105" t="n">
        <v>0</v>
      </c>
      <c r="AX345" s="105" t="n">
        <v>0</v>
      </c>
      <c r="AY345" s="105" t="n">
        <v>0</v>
      </c>
      <c r="AZ345" s="105" t="n">
        <v>0</v>
      </c>
      <c r="BA345" s="105" t="n">
        <v>0</v>
      </c>
      <c r="BB345" s="105" t="n">
        <v>0</v>
      </c>
      <c r="BC345" s="105" t="n">
        <v>0</v>
      </c>
      <c r="BD345" s="105" t="n">
        <v>0</v>
      </c>
      <c r="BE345" s="105" t="n">
        <v>0</v>
      </c>
      <c r="BF345" s="105" t="n">
        <v>0</v>
      </c>
      <c r="BG345" s="105" t="n">
        <v>0</v>
      </c>
      <c r="BH345" s="105" t="n">
        <v>0</v>
      </c>
      <c r="BI345" s="105" t="n">
        <v>0</v>
      </c>
      <c r="BJ345" s="105" t="n">
        <v>0</v>
      </c>
      <c r="BK345" s="105" t="n">
        <v>0</v>
      </c>
      <c r="BL345" s="105" t="n">
        <v>0</v>
      </c>
      <c r="BM345" s="105" t="n">
        <v>0</v>
      </c>
      <c r="BN345" s="105" t="n">
        <v>0</v>
      </c>
      <c r="BO345" s="105" t="n">
        <v>0</v>
      </c>
      <c r="BP345" s="105" t="n">
        <v>0</v>
      </c>
      <c r="BQ345" s="105" t="n">
        <v>0</v>
      </c>
      <c r="BR345" s="106" t="n">
        <f aca="false">SUM(AP345:BQ345)/60</f>
        <v>0</v>
      </c>
      <c r="BS345" s="106" t="n">
        <f aca="false">SUM(AP345:BR345)/60</f>
        <v>0</v>
      </c>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row>
    <row r="346" customFormat="false" ht="14.9" hidden="true" customHeight="false" outlineLevel="0" collapsed="false">
      <c r="A346" s="74" t="n">
        <f aca="false">MONTH(B346)</f>
        <v>8</v>
      </c>
      <c r="B346" s="135" t="n">
        <v>44439</v>
      </c>
      <c r="C346" s="128" t="s">
        <v>70</v>
      </c>
      <c r="D346" s="77" t="str">
        <f aca="false">IFERROR(VLOOKUP(E:E,'Item Data Support Sheet'!A:O,7,0),"")</f>
        <v>NIPPLE PUNCH</v>
      </c>
      <c r="E346" s="80" t="s">
        <v>666</v>
      </c>
      <c r="F346" s="122"/>
      <c r="G346" s="137" t="s">
        <v>54</v>
      </c>
      <c r="H346" s="79" t="str">
        <f aca="false">IFERROR(VLOOKUP(E:E,'Item Data Support Sheet'!A:O,2,0),"")</f>
        <v>NIPPLE S TYPE L SIZE PUNCHED</v>
      </c>
      <c r="I346" s="80" t="s">
        <v>793</v>
      </c>
      <c r="J346" s="80" t="s">
        <v>140</v>
      </c>
      <c r="K346" s="81" t="n">
        <v>8</v>
      </c>
      <c r="L346" s="124" t="n">
        <v>7000</v>
      </c>
      <c r="M346" s="83" t="n">
        <f aca="false">IFERROR(L346/K346,0)</f>
        <v>875</v>
      </c>
      <c r="N346" s="84" t="n">
        <f aca="false">+O346+Q346+T346+U346</f>
        <v>7500</v>
      </c>
      <c r="O346" s="85" t="n">
        <v>7500</v>
      </c>
      <c r="P346" s="86" t="n">
        <v>0</v>
      </c>
      <c r="Q346" s="86" t="n">
        <v>0</v>
      </c>
      <c r="R346" s="132" t="n">
        <v>0</v>
      </c>
      <c r="S346" s="128" t="n">
        <v>0</v>
      </c>
      <c r="T346" s="132" t="n">
        <v>0</v>
      </c>
      <c r="U346" s="128" t="n">
        <v>0</v>
      </c>
      <c r="V346" s="128" t="n">
        <v>1</v>
      </c>
      <c r="W346" s="90" t="n">
        <f aca="false">IFERROR(O346/V346,0)</f>
        <v>7500</v>
      </c>
      <c r="X346" s="91" t="n">
        <f aca="false">O346/L346</f>
        <v>1.07142857142857</v>
      </c>
      <c r="Y346" s="92" t="str">
        <f aca="false">IFERROR(VLOOKUP(E:E,'Item Data Support Sheet'!A:J,6,0),0)</f>
        <v>FO017</v>
      </c>
      <c r="Z346" s="93" t="n">
        <f aca="false">IFERROR(VLOOKUP(E:E,'Item Data Support Sheet'!A:O,4,0),0)</f>
        <v>0</v>
      </c>
      <c r="AA346" s="93" t="n">
        <f aca="false">IFERROR(((N346)*(Z346/1000))+P346,0)</f>
        <v>0</v>
      </c>
      <c r="AB346" s="94" t="str">
        <f aca="false">IFERROR((O346*(Z346/1000)/(AA346))," ")</f>
        <v> </v>
      </c>
      <c r="AC346" s="95" t="n">
        <f aca="false">IFERROR((T346)/((T346)+O346),0)</f>
        <v>0</v>
      </c>
      <c r="AD346" s="96" t="n">
        <f aca="false">IFERROR(Q346/(Q346+N346),0)</f>
        <v>0</v>
      </c>
      <c r="AE346" s="91" t="n">
        <f aca="false">(N346-T346)/N346</f>
        <v>1</v>
      </c>
      <c r="AF346" s="97" t="n">
        <f aca="false">BR346</f>
        <v>0.666666666666667</v>
      </c>
      <c r="AG346" s="98" t="n">
        <f aca="false">K346-AF346</f>
        <v>7.33333333333333</v>
      </c>
      <c r="AH346" s="99" t="n">
        <f aca="false">IFERROR(AG346/K346," ")</f>
        <v>0.916666666666667</v>
      </c>
      <c r="AI346" s="100" t="n">
        <f aca="false">IFERROR(O346/K346,0)</f>
        <v>937.5</v>
      </c>
      <c r="AJ346" s="101" t="n">
        <f aca="false">VLOOKUP(D346,'Standard Cycle time'!C:D,2,0)</f>
        <v>3.5</v>
      </c>
      <c r="AK346" s="101" t="n">
        <f aca="false">AG346*V346*3600/O346</f>
        <v>3.52</v>
      </c>
      <c r="AL346" s="102" t="n">
        <f aca="false">AJ346/AK346</f>
        <v>0.994318181818182</v>
      </c>
      <c r="AM346" s="99" t="n">
        <f aca="false">AE346*AL346*AH346</f>
        <v>0.911458333333333</v>
      </c>
      <c r="AN346" s="103" t="s">
        <v>794</v>
      </c>
      <c r="AO346" s="109"/>
      <c r="AP346" s="105" t="n">
        <v>40</v>
      </c>
      <c r="AQ346" s="105" t="n">
        <v>0</v>
      </c>
      <c r="AR346" s="105" t="n">
        <v>0</v>
      </c>
      <c r="AS346" s="105" t="n">
        <v>0</v>
      </c>
      <c r="AT346" s="105" t="n">
        <v>0</v>
      </c>
      <c r="AU346" s="105" t="n">
        <v>0</v>
      </c>
      <c r="AV346" s="105" t="n">
        <v>0</v>
      </c>
      <c r="AW346" s="105" t="n">
        <v>0</v>
      </c>
      <c r="AX346" s="105" t="n">
        <v>0</v>
      </c>
      <c r="AY346" s="105" t="n">
        <v>0</v>
      </c>
      <c r="AZ346" s="105" t="n">
        <v>0</v>
      </c>
      <c r="BA346" s="105" t="n">
        <v>0</v>
      </c>
      <c r="BB346" s="105" t="n">
        <v>0</v>
      </c>
      <c r="BC346" s="105" t="n">
        <v>0</v>
      </c>
      <c r="BD346" s="105" t="n">
        <v>0</v>
      </c>
      <c r="BE346" s="105" t="n">
        <v>0</v>
      </c>
      <c r="BF346" s="105" t="n">
        <v>0</v>
      </c>
      <c r="BG346" s="105" t="n">
        <v>0</v>
      </c>
      <c r="BH346" s="105" t="n">
        <v>0</v>
      </c>
      <c r="BI346" s="105" t="n">
        <v>0</v>
      </c>
      <c r="BJ346" s="105" t="n">
        <v>0</v>
      </c>
      <c r="BK346" s="105" t="n">
        <v>0</v>
      </c>
      <c r="BL346" s="105" t="n">
        <v>0</v>
      </c>
      <c r="BM346" s="105" t="n">
        <v>0</v>
      </c>
      <c r="BN346" s="105" t="n">
        <v>0</v>
      </c>
      <c r="BO346" s="105" t="n">
        <v>0</v>
      </c>
      <c r="BP346" s="105" t="n">
        <v>0</v>
      </c>
      <c r="BQ346" s="105" t="n">
        <v>0</v>
      </c>
      <c r="BR346" s="106" t="n">
        <f aca="false">SUM(AP346:BQ346)/60</f>
        <v>0.666666666666667</v>
      </c>
      <c r="BS346" s="106" t="n">
        <f aca="false">SUM(AP346:BR346)/60</f>
        <v>0.677777777777778</v>
      </c>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row>
    <row r="347" customFormat="false" ht="14.9" hidden="true" customHeight="false" outlineLevel="0" collapsed="false">
      <c r="A347" s="74" t="n">
        <f aca="false">MONTH(B347)</f>
        <v>8</v>
      </c>
      <c r="B347" s="135" t="n">
        <v>44439</v>
      </c>
      <c r="C347" s="128" t="s">
        <v>70</v>
      </c>
      <c r="D347" s="77" t="str">
        <f aca="false">IFERROR(VLOOKUP(E:E,'Item Data Support Sheet'!A:O,7,0),"")</f>
        <v>HOOD MOLDED</v>
      </c>
      <c r="E347" s="80" t="s">
        <v>529</v>
      </c>
      <c r="F347" s="122"/>
      <c r="G347" s="137" t="s">
        <v>200</v>
      </c>
      <c r="H347" s="79" t="str">
        <f aca="false">IFERROR(VLOOKUP(E:E,'Item Data Support Sheet'!A:O,2,0),"")</f>
        <v>HOOD S TYPE MOLDED</v>
      </c>
      <c r="I347" s="80" t="s">
        <v>795</v>
      </c>
      <c r="J347" s="80" t="s">
        <v>140</v>
      </c>
      <c r="K347" s="81" t="n">
        <v>8</v>
      </c>
      <c r="L347" s="124" t="n">
        <v>4137</v>
      </c>
      <c r="M347" s="83" t="n">
        <f aca="false">IFERROR(L347/K347,0)</f>
        <v>517.125</v>
      </c>
      <c r="N347" s="84" t="n">
        <f aca="false">+O347+Q347+T347+U347</f>
        <v>4506</v>
      </c>
      <c r="O347" s="85" t="n">
        <v>4500</v>
      </c>
      <c r="P347" s="86" t="n">
        <v>0</v>
      </c>
      <c r="Q347" s="86" t="n">
        <v>0</v>
      </c>
      <c r="R347" s="132" t="n">
        <v>0</v>
      </c>
      <c r="S347" s="128" t="n">
        <v>0</v>
      </c>
      <c r="T347" s="132" t="n">
        <v>6</v>
      </c>
      <c r="U347" s="128" t="n">
        <v>0</v>
      </c>
      <c r="V347" s="128" t="n">
        <v>1</v>
      </c>
      <c r="W347" s="90" t="n">
        <f aca="false">IFERROR(O347/V347,0)</f>
        <v>4500</v>
      </c>
      <c r="X347" s="91" t="n">
        <f aca="false">O347/L347</f>
        <v>1.08774474256708</v>
      </c>
      <c r="Y347" s="92" t="str">
        <f aca="false">IFERROR(VLOOKUP(E:E,'Item Data Support Sheet'!A:J,6,0),0)</f>
        <v>HMC</v>
      </c>
      <c r="Z347" s="93" t="n">
        <f aca="false">IFERROR(VLOOKUP(E:E,'Item Data Support Sheet'!A:O,4,0),0)</f>
        <v>8.6</v>
      </c>
      <c r="AA347" s="93" t="n">
        <f aca="false">IFERROR(((N347)*(Z347/1000))+P347,0)</f>
        <v>38.7516</v>
      </c>
      <c r="AB347" s="94" t="n">
        <f aca="false">IFERROR((O347*(Z347/1000)/(AA347))," ")</f>
        <v>0.99866844207723</v>
      </c>
      <c r="AC347" s="95" t="n">
        <f aca="false">IFERROR((T347)/((T347)+O347),0)</f>
        <v>0.00133155792276964</v>
      </c>
      <c r="AD347" s="96" t="n">
        <f aca="false">IFERROR(Q347/(Q347+N347),0)</f>
        <v>0</v>
      </c>
      <c r="AE347" s="91" t="n">
        <f aca="false">(N347-T347)/N347</f>
        <v>0.99866844207723</v>
      </c>
      <c r="AF347" s="97" t="n">
        <f aca="false">BR347</f>
        <v>0</v>
      </c>
      <c r="AG347" s="98" t="n">
        <f aca="false">K347-AF347</f>
        <v>8</v>
      </c>
      <c r="AH347" s="99" t="n">
        <f aca="false">IFERROR(AG347/K347," ")</f>
        <v>1</v>
      </c>
      <c r="AI347" s="100" t="n">
        <f aca="false">IFERROR(O347/K347,0)</f>
        <v>562.5</v>
      </c>
      <c r="AJ347" s="101" t="n">
        <f aca="false">VLOOKUP(D347,'Standard Cycle time'!C:D,2,0)</f>
        <v>6</v>
      </c>
      <c r="AK347" s="101" t="n">
        <f aca="false">AG347*V347*3600/O347</f>
        <v>6.4</v>
      </c>
      <c r="AL347" s="102" t="n">
        <f aca="false">AJ347/AK347</f>
        <v>0.9375</v>
      </c>
      <c r="AM347" s="99" t="n">
        <f aca="false">AE347*AL347*AH347</f>
        <v>0.936251664447403</v>
      </c>
      <c r="AN347" s="103" t="n">
        <v>2907</v>
      </c>
      <c r="AO347" s="104"/>
      <c r="AP347" s="105" t="n">
        <v>0</v>
      </c>
      <c r="AQ347" s="105" t="n">
        <v>0</v>
      </c>
      <c r="AR347" s="105" t="n">
        <v>0</v>
      </c>
      <c r="AS347" s="105" t="n">
        <v>0</v>
      </c>
      <c r="AT347" s="105" t="n">
        <v>0</v>
      </c>
      <c r="AU347" s="105" t="n">
        <v>0</v>
      </c>
      <c r="AV347" s="105" t="n">
        <v>0</v>
      </c>
      <c r="AW347" s="105" t="n">
        <v>0</v>
      </c>
      <c r="AX347" s="105" t="n">
        <v>0</v>
      </c>
      <c r="AY347" s="105" t="n">
        <v>0</v>
      </c>
      <c r="AZ347" s="105" t="n">
        <v>0</v>
      </c>
      <c r="BA347" s="105" t="n">
        <v>0</v>
      </c>
      <c r="BB347" s="105" t="n">
        <v>0</v>
      </c>
      <c r="BC347" s="105" t="n">
        <v>0</v>
      </c>
      <c r="BD347" s="105" t="n">
        <v>0</v>
      </c>
      <c r="BE347" s="105" t="n">
        <v>0</v>
      </c>
      <c r="BF347" s="105" t="n">
        <v>0</v>
      </c>
      <c r="BG347" s="105" t="n">
        <v>0</v>
      </c>
      <c r="BH347" s="105" t="n">
        <v>0</v>
      </c>
      <c r="BI347" s="105" t="n">
        <v>0</v>
      </c>
      <c r="BJ347" s="105" t="n">
        <v>0</v>
      </c>
      <c r="BK347" s="105" t="n">
        <v>0</v>
      </c>
      <c r="BL347" s="105" t="n">
        <v>0</v>
      </c>
      <c r="BM347" s="105" t="n">
        <v>0</v>
      </c>
      <c r="BN347" s="105" t="n">
        <v>0</v>
      </c>
      <c r="BO347" s="105" t="n">
        <v>0</v>
      </c>
      <c r="BP347" s="105" t="n">
        <v>0</v>
      </c>
      <c r="BQ347" s="105" t="n">
        <v>0</v>
      </c>
      <c r="BR347" s="106" t="n">
        <f aca="false">SUM(AP347:BQ347)/60</f>
        <v>0</v>
      </c>
      <c r="BS347" s="106" t="n">
        <f aca="false">SUM(AP347:BR347)/60</f>
        <v>0</v>
      </c>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row>
    <row r="348" customFormat="false" ht="14.9" hidden="true" customHeight="false" outlineLevel="0" collapsed="false">
      <c r="A348" s="74" t="n">
        <f aca="false">MONTH(B348)</f>
        <v>8</v>
      </c>
      <c r="B348" s="135" t="n">
        <v>44439</v>
      </c>
      <c r="C348" s="128" t="s">
        <v>70</v>
      </c>
      <c r="D348" s="77" t="str">
        <f aca="false">IFERROR(VLOOKUP(E:E,'Item Data Support Sheet'!A:O,7,0),"")</f>
        <v>NIPPLE POSTCURE</v>
      </c>
      <c r="E348" s="80" t="s">
        <v>664</v>
      </c>
      <c r="F348" s="122"/>
      <c r="G348" s="137" t="s">
        <v>149</v>
      </c>
      <c r="H348" s="79" t="str">
        <f aca="false">IFERROR(VLOOKUP(E:E,'Item Data Support Sheet'!A:O,2,0),"")</f>
        <v>NIPPLE S TYPE L SIZE POSTCURED</v>
      </c>
      <c r="I348" s="81" t="s">
        <v>796</v>
      </c>
      <c r="J348" s="80" t="s">
        <v>140</v>
      </c>
      <c r="K348" s="81" t="n">
        <v>2.5</v>
      </c>
      <c r="L348" s="124" t="n">
        <v>4000</v>
      </c>
      <c r="M348" s="83" t="n">
        <f aca="false">IFERROR(L348/K348,0)</f>
        <v>1600</v>
      </c>
      <c r="N348" s="84" t="n">
        <f aca="false">+O348+Q348+T348+U348</f>
        <v>4000</v>
      </c>
      <c r="O348" s="85" t="n">
        <v>4000</v>
      </c>
      <c r="P348" s="86" t="n">
        <v>0</v>
      </c>
      <c r="Q348" s="86" t="n">
        <v>0</v>
      </c>
      <c r="R348" s="132" t="n">
        <v>0</v>
      </c>
      <c r="S348" s="128" t="n">
        <v>0</v>
      </c>
      <c r="T348" s="132" t="n">
        <v>0</v>
      </c>
      <c r="U348" s="128" t="n">
        <v>0</v>
      </c>
      <c r="V348" s="128" t="n">
        <v>1</v>
      </c>
      <c r="W348" s="90" t="n">
        <f aca="false">IFERROR(O348/V348,0)</f>
        <v>4000</v>
      </c>
      <c r="X348" s="91" t="n">
        <f aca="false">O348/L348</f>
        <v>1</v>
      </c>
      <c r="Y348" s="92" t="str">
        <f aca="false">IFERROR(VLOOKUP(E:E,'Item Data Support Sheet'!A:J,6,0),0)</f>
        <v>FO013</v>
      </c>
      <c r="Z348" s="93" t="n">
        <f aca="false">IFERROR(VLOOKUP(E:E,'Item Data Support Sheet'!A:O,4,0),0)</f>
        <v>0</v>
      </c>
      <c r="AA348" s="93" t="n">
        <f aca="false">IFERROR(((N348)*(Z348/1000))+P348,0)</f>
        <v>0</v>
      </c>
      <c r="AB348" s="94" t="str">
        <f aca="false">IFERROR((O348*(Z348/1000)/(AA348))," ")</f>
        <v> </v>
      </c>
      <c r="AC348" s="95" t="n">
        <f aca="false">IFERROR((T348)/((T348)+O348),0)</f>
        <v>0</v>
      </c>
      <c r="AD348" s="96" t="n">
        <f aca="false">IFERROR(Q348/(Q348+N348),0)</f>
        <v>0</v>
      </c>
      <c r="AE348" s="91" t="n">
        <f aca="false">(N348-T348)/N348</f>
        <v>1</v>
      </c>
      <c r="AF348" s="97" t="n">
        <f aca="false">BR348</f>
        <v>0</v>
      </c>
      <c r="AG348" s="98" t="n">
        <f aca="false">K348-AF348</f>
        <v>2.5</v>
      </c>
      <c r="AH348" s="99" t="n">
        <f aca="false">IFERROR(AG348/K348," ")</f>
        <v>1</v>
      </c>
      <c r="AI348" s="100" t="n">
        <f aca="false">IFERROR(O348/K348,0)</f>
        <v>1600</v>
      </c>
      <c r="AJ348" s="101" t="n">
        <f aca="false">VLOOKUP(D348,'Standard Cycle time'!C:D,2,0)</f>
        <v>2.3</v>
      </c>
      <c r="AK348" s="101" t="n">
        <f aca="false">AG348*V348*3600/O348</f>
        <v>2.25</v>
      </c>
      <c r="AL348" s="102" t="n">
        <f aca="false">AJ348/AK348</f>
        <v>1.02222222222222</v>
      </c>
      <c r="AM348" s="99" t="n">
        <f aca="false">AE348*AL348*AH348</f>
        <v>1.02222222222222</v>
      </c>
      <c r="AN348" s="103" t="n">
        <v>2908</v>
      </c>
      <c r="AO348" s="104"/>
      <c r="AP348" s="105" t="n">
        <v>0</v>
      </c>
      <c r="AQ348" s="105" t="n">
        <v>0</v>
      </c>
      <c r="AR348" s="105" t="n">
        <v>0</v>
      </c>
      <c r="AS348" s="105" t="n">
        <v>0</v>
      </c>
      <c r="AT348" s="105" t="n">
        <v>0</v>
      </c>
      <c r="AU348" s="105" t="n">
        <v>0</v>
      </c>
      <c r="AV348" s="105" t="n">
        <v>0</v>
      </c>
      <c r="AW348" s="105" t="n">
        <v>0</v>
      </c>
      <c r="AX348" s="105" t="n">
        <v>0</v>
      </c>
      <c r="AY348" s="105" t="n">
        <v>0</v>
      </c>
      <c r="AZ348" s="105" t="n">
        <v>0</v>
      </c>
      <c r="BA348" s="105" t="n">
        <v>0</v>
      </c>
      <c r="BB348" s="105" t="n">
        <v>0</v>
      </c>
      <c r="BC348" s="105" t="n">
        <v>0</v>
      </c>
      <c r="BD348" s="105" t="n">
        <v>0</v>
      </c>
      <c r="BE348" s="105" t="n">
        <v>0</v>
      </c>
      <c r="BF348" s="105" t="n">
        <v>0</v>
      </c>
      <c r="BG348" s="105" t="n">
        <v>0</v>
      </c>
      <c r="BH348" s="105" t="n">
        <v>0</v>
      </c>
      <c r="BI348" s="105" t="n">
        <v>0</v>
      </c>
      <c r="BJ348" s="105" t="n">
        <v>0</v>
      </c>
      <c r="BK348" s="105" t="n">
        <v>0</v>
      </c>
      <c r="BL348" s="105" t="n">
        <v>0</v>
      </c>
      <c r="BM348" s="105" t="n">
        <v>0</v>
      </c>
      <c r="BN348" s="105" t="n">
        <v>0</v>
      </c>
      <c r="BO348" s="105" t="n">
        <v>0</v>
      </c>
      <c r="BP348" s="105" t="n">
        <v>0</v>
      </c>
      <c r="BQ348" s="105" t="n">
        <v>0</v>
      </c>
      <c r="BR348" s="106" t="n">
        <f aca="false">SUM(AP348:BQ348)/60</f>
        <v>0</v>
      </c>
      <c r="BS348" s="106" t="n">
        <f aca="false">SUM(AP348:BR348)/60</f>
        <v>0</v>
      </c>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row>
    <row r="349" customFormat="false" ht="14.9" hidden="true" customHeight="false" outlineLevel="0" collapsed="false">
      <c r="A349" s="74" t="n">
        <f aca="false">MONTH(B349)</f>
        <v>8</v>
      </c>
      <c r="B349" s="135" t="n">
        <v>44439</v>
      </c>
      <c r="C349" s="128" t="s">
        <v>63</v>
      </c>
      <c r="D349" s="77" t="str">
        <f aca="false">IFERROR(VLOOKUP(E:E,'Item Data Support Sheet'!A:O,7,0),"")</f>
        <v>BOTTLE PRINTED</v>
      </c>
      <c r="E349" s="80" t="s">
        <v>797</v>
      </c>
      <c r="F349" s="122"/>
      <c r="G349" s="137"/>
      <c r="H349" s="79" t="str">
        <f aca="false">IFERROR(VLOOKUP(E:E,'Item Data Support Sheet'!A:O,2,0),"")</f>
        <v>RPP 120ML BOY BLUE BOTTLE PRINTED (WM3GB)</v>
      </c>
      <c r="I349" s="80" t="s">
        <v>798</v>
      </c>
      <c r="J349" s="80" t="s">
        <v>161</v>
      </c>
      <c r="K349" s="81" t="n">
        <v>3</v>
      </c>
      <c r="L349" s="124" t="n">
        <v>650</v>
      </c>
      <c r="M349" s="83" t="n">
        <f aca="false">IFERROR(L349/K349,0)</f>
        <v>216.666666666667</v>
      </c>
      <c r="N349" s="84" t="n">
        <f aca="false">+O349+Q349+T349+U349</f>
        <v>682</v>
      </c>
      <c r="O349" s="85" t="n">
        <v>670</v>
      </c>
      <c r="P349" s="86" t="n">
        <v>0</v>
      </c>
      <c r="Q349" s="86" t="n">
        <v>0</v>
      </c>
      <c r="R349" s="132" t="n">
        <v>7</v>
      </c>
      <c r="S349" s="128" t="n">
        <v>0</v>
      </c>
      <c r="T349" s="132" t="n">
        <v>12</v>
      </c>
      <c r="U349" s="128" t="n">
        <v>0</v>
      </c>
      <c r="V349" s="128" t="n">
        <v>6</v>
      </c>
      <c r="W349" s="90" t="n">
        <f aca="false">IFERROR(O349/V349,0)</f>
        <v>111.666666666667</v>
      </c>
      <c r="X349" s="91" t="n">
        <f aca="false">O349/L349</f>
        <v>1.03076923076923</v>
      </c>
      <c r="Y349" s="92" t="str">
        <f aca="false">IFERROR(VLOOKUP(E:E,'Item Data Support Sheet'!A:J,6,0),0)</f>
        <v>FO054</v>
      </c>
      <c r="Z349" s="93" t="n">
        <f aca="false">IFERROR(VLOOKUP(E:E,'Item Data Support Sheet'!A:O,4,0),0)</f>
        <v>0</v>
      </c>
      <c r="AA349" s="93" t="n">
        <f aca="false">IFERROR(((N349)*(Z349/1000))+P349,0)</f>
        <v>0</v>
      </c>
      <c r="AB349" s="94" t="str">
        <f aca="false">IFERROR((O349*(Z349/1000)/(AA349))," ")</f>
        <v> </v>
      </c>
      <c r="AC349" s="95" t="n">
        <f aca="false">IFERROR((T349)/((T349)+O349),0)</f>
        <v>0.0175953079178886</v>
      </c>
      <c r="AD349" s="96" t="n">
        <f aca="false">IFERROR(Q349/(Q349+N349),0)</f>
        <v>0</v>
      </c>
      <c r="AE349" s="91" t="n">
        <f aca="false">(N349-T349)/N349</f>
        <v>0.982404692082111</v>
      </c>
      <c r="AF349" s="97" t="n">
        <f aca="false">BR349</f>
        <v>1.83333333333333</v>
      </c>
      <c r="AG349" s="98" t="n">
        <f aca="false">K349-AF349</f>
        <v>1.16666666666667</v>
      </c>
      <c r="AH349" s="99" t="n">
        <f aca="false">IFERROR(AG349/K349," ")</f>
        <v>0.388888888888889</v>
      </c>
      <c r="AI349" s="100" t="n">
        <f aca="false">IFERROR(O349/K349,0)</f>
        <v>223.333333333333</v>
      </c>
      <c r="AJ349" s="101" t="n">
        <f aca="false">VLOOKUP(D349,'Standard Cycle time'!C:D,2,0)</f>
        <v>32.4</v>
      </c>
      <c r="AK349" s="101" t="n">
        <f aca="false">AG349*V349*3600/O349</f>
        <v>37.6119402985075</v>
      </c>
      <c r="AL349" s="102" t="n">
        <f aca="false">AJ349/AK349</f>
        <v>0.861428571428571</v>
      </c>
      <c r="AM349" s="99" t="n">
        <f aca="false">AE349*AL349*AH349</f>
        <v>0.329105571847507</v>
      </c>
      <c r="AN349" s="103" t="s">
        <v>799</v>
      </c>
      <c r="AO349" s="109" t="s">
        <v>800</v>
      </c>
      <c r="AP349" s="105" t="n">
        <v>30</v>
      </c>
      <c r="AQ349" s="105" t="n">
        <v>60</v>
      </c>
      <c r="AR349" s="105" t="n">
        <v>0</v>
      </c>
      <c r="AS349" s="105" t="n">
        <v>0</v>
      </c>
      <c r="AT349" s="105" t="n">
        <v>0</v>
      </c>
      <c r="AU349" s="105" t="n">
        <v>0</v>
      </c>
      <c r="AV349" s="105" t="n">
        <v>20</v>
      </c>
      <c r="AW349" s="105" t="n">
        <v>0</v>
      </c>
      <c r="AX349" s="105" t="n">
        <v>0</v>
      </c>
      <c r="AY349" s="105" t="n">
        <v>0</v>
      </c>
      <c r="AZ349" s="105" t="n">
        <v>0</v>
      </c>
      <c r="BA349" s="105" t="n">
        <v>0</v>
      </c>
      <c r="BB349" s="105" t="n">
        <v>0</v>
      </c>
      <c r="BC349" s="105" t="n">
        <v>0</v>
      </c>
      <c r="BD349" s="105" t="n">
        <v>0</v>
      </c>
      <c r="BE349" s="105" t="n">
        <v>0</v>
      </c>
      <c r="BF349" s="105" t="n">
        <v>0</v>
      </c>
      <c r="BG349" s="105" t="n">
        <v>0</v>
      </c>
      <c r="BH349" s="105" t="n">
        <v>0</v>
      </c>
      <c r="BI349" s="105" t="n">
        <v>0</v>
      </c>
      <c r="BJ349" s="105" t="n">
        <v>0</v>
      </c>
      <c r="BK349" s="105" t="n">
        <v>0</v>
      </c>
      <c r="BL349" s="105" t="n">
        <v>0</v>
      </c>
      <c r="BM349" s="105" t="n">
        <v>0</v>
      </c>
      <c r="BN349" s="105" t="n">
        <v>0</v>
      </c>
      <c r="BO349" s="105" t="n">
        <v>0</v>
      </c>
      <c r="BP349" s="105" t="n">
        <v>0</v>
      </c>
      <c r="BQ349" s="105" t="n">
        <v>0</v>
      </c>
      <c r="BR349" s="106" t="n">
        <f aca="false">SUM(AP349:BQ349)/60</f>
        <v>1.83333333333333</v>
      </c>
      <c r="BS349" s="106" t="n">
        <f aca="false">SUM(AP349:BR349)/60</f>
        <v>1.86388888888889</v>
      </c>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row>
    <row r="350" customFormat="false" ht="14.9" hidden="true" customHeight="false" outlineLevel="0" collapsed="false">
      <c r="A350" s="74" t="n">
        <f aca="false">MONTH(B350)</f>
        <v>8</v>
      </c>
      <c r="B350" s="135" t="n">
        <v>44439</v>
      </c>
      <c r="C350" s="128" t="s">
        <v>63</v>
      </c>
      <c r="D350" s="77" t="str">
        <f aca="false">IFERROR(VLOOKUP(E:E,'Item Data Support Sheet'!A:O,7,0),"")</f>
        <v>BOTTLE PRINTED</v>
      </c>
      <c r="E350" s="80" t="s">
        <v>801</v>
      </c>
      <c r="F350" s="122"/>
      <c r="G350" s="137"/>
      <c r="H350" s="79" t="str">
        <f aca="false">IFERROR(VLOOKUP(E:E,'Item Data Support Sheet'!A:O,2,0),"")</f>
        <v>RPP 120ML GIRL PINK BOTTLE PRINTED (WM3GB)</v>
      </c>
      <c r="I350" s="80" t="s">
        <v>802</v>
      </c>
      <c r="J350" s="80" t="s">
        <v>161</v>
      </c>
      <c r="K350" s="81" t="n">
        <v>4</v>
      </c>
      <c r="L350" s="124" t="n">
        <v>1100</v>
      </c>
      <c r="M350" s="83" t="n">
        <f aca="false">IFERROR(L350/K350,0)</f>
        <v>275</v>
      </c>
      <c r="N350" s="84" t="n">
        <f aca="false">+O350+Q350+T350+U350</f>
        <v>1193</v>
      </c>
      <c r="O350" s="85" t="n">
        <v>1171</v>
      </c>
      <c r="P350" s="86" t="n">
        <v>0</v>
      </c>
      <c r="Q350" s="86" t="n">
        <v>0</v>
      </c>
      <c r="R350" s="132" t="n">
        <v>18</v>
      </c>
      <c r="S350" s="128" t="n">
        <v>0</v>
      </c>
      <c r="T350" s="132" t="n">
        <v>22</v>
      </c>
      <c r="U350" s="128" t="n">
        <v>0</v>
      </c>
      <c r="V350" s="128" t="n">
        <v>6</v>
      </c>
      <c r="W350" s="90" t="n">
        <f aca="false">IFERROR(O350/V350,0)</f>
        <v>195.166666666667</v>
      </c>
      <c r="X350" s="91" t="n">
        <f aca="false">O350/L350</f>
        <v>1.06454545454545</v>
      </c>
      <c r="Y350" s="92" t="str">
        <f aca="false">IFERROR(VLOOKUP(E:E,'Item Data Support Sheet'!A:J,6,0),0)</f>
        <v>FO052</v>
      </c>
      <c r="Z350" s="93" t="n">
        <f aca="false">IFERROR(VLOOKUP(E:E,'Item Data Support Sheet'!A:O,4,0),0)</f>
        <v>0</v>
      </c>
      <c r="AA350" s="93" t="n">
        <f aca="false">IFERROR(((N350)*(Z350/1000))+P350,0)</f>
        <v>0</v>
      </c>
      <c r="AB350" s="94" t="str">
        <f aca="false">IFERROR((O350*(Z350/1000)/(AA350))," ")</f>
        <v> </v>
      </c>
      <c r="AC350" s="95" t="n">
        <f aca="false">IFERROR((T350)/((T350)+O350),0)</f>
        <v>0.0184409052808047</v>
      </c>
      <c r="AD350" s="96" t="n">
        <f aca="false">IFERROR(Q350/(Q350+N350),0)</f>
        <v>0</v>
      </c>
      <c r="AE350" s="91" t="n">
        <f aca="false">(N350-T350)/N350</f>
        <v>0.981559094719195</v>
      </c>
      <c r="AF350" s="97" t="n">
        <f aca="false">BR350</f>
        <v>1.83333333333333</v>
      </c>
      <c r="AG350" s="98" t="n">
        <f aca="false">K350-AF350</f>
        <v>2.16666666666667</v>
      </c>
      <c r="AH350" s="99" t="n">
        <f aca="false">IFERROR(AG350/K350," ")</f>
        <v>0.541666666666667</v>
      </c>
      <c r="AI350" s="100" t="n">
        <f aca="false">IFERROR(O350/K350,0)</f>
        <v>292.75</v>
      </c>
      <c r="AJ350" s="101" t="n">
        <f aca="false">VLOOKUP(D350,'Standard Cycle time'!C:D,2,0)</f>
        <v>32.4</v>
      </c>
      <c r="AK350" s="101" t="n">
        <f aca="false">AG350*V350*3600/O350</f>
        <v>39.9658411614005</v>
      </c>
      <c r="AL350" s="102" t="n">
        <f aca="false">AJ350/AK350</f>
        <v>0.810692307692307</v>
      </c>
      <c r="AM350" s="99" t="n">
        <f aca="false">AE350*AL350*AH350</f>
        <v>0.431027137468567</v>
      </c>
      <c r="AN350" s="103" t="n">
        <v>2892</v>
      </c>
      <c r="AO350" s="109"/>
      <c r="AP350" s="105" t="n">
        <v>30</v>
      </c>
      <c r="AQ350" s="105" t="n">
        <v>60</v>
      </c>
      <c r="AR350" s="105" t="n">
        <v>0</v>
      </c>
      <c r="AS350" s="105" t="n">
        <v>0</v>
      </c>
      <c r="AT350" s="105" t="n">
        <v>0</v>
      </c>
      <c r="AU350" s="105" t="n">
        <v>0</v>
      </c>
      <c r="AV350" s="105" t="n">
        <v>20</v>
      </c>
      <c r="AW350" s="105" t="n">
        <v>0</v>
      </c>
      <c r="AX350" s="105" t="n">
        <v>0</v>
      </c>
      <c r="AY350" s="105" t="n">
        <v>0</v>
      </c>
      <c r="AZ350" s="105" t="n">
        <v>0</v>
      </c>
      <c r="BA350" s="105" t="n">
        <v>0</v>
      </c>
      <c r="BB350" s="105" t="n">
        <v>0</v>
      </c>
      <c r="BC350" s="105" t="n">
        <v>0</v>
      </c>
      <c r="BD350" s="105" t="n">
        <v>0</v>
      </c>
      <c r="BE350" s="105" t="n">
        <v>0</v>
      </c>
      <c r="BF350" s="105" t="n">
        <v>0</v>
      </c>
      <c r="BG350" s="105" t="n">
        <v>0</v>
      </c>
      <c r="BH350" s="105" t="n">
        <v>0</v>
      </c>
      <c r="BI350" s="105" t="n">
        <v>0</v>
      </c>
      <c r="BJ350" s="105" t="n">
        <v>0</v>
      </c>
      <c r="BK350" s="105" t="n">
        <v>0</v>
      </c>
      <c r="BL350" s="105" t="n">
        <v>0</v>
      </c>
      <c r="BM350" s="105" t="n">
        <v>0</v>
      </c>
      <c r="BN350" s="105" t="n">
        <v>0</v>
      </c>
      <c r="BO350" s="105" t="n">
        <v>0</v>
      </c>
      <c r="BP350" s="105" t="n">
        <v>0</v>
      </c>
      <c r="BQ350" s="105" t="n">
        <v>0</v>
      </c>
      <c r="BR350" s="106" t="n">
        <f aca="false">SUM(AP350:BQ350)/60</f>
        <v>1.83333333333333</v>
      </c>
      <c r="BS350" s="106" t="n">
        <f aca="false">SUM(AP350:BR350)/60</f>
        <v>1.86388888888889</v>
      </c>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row>
    <row r="351" customFormat="false" ht="14.9" hidden="true" customHeight="false" outlineLevel="0" collapsed="false">
      <c r="A351" s="74" t="n">
        <f aca="false">MONTH(B351)</f>
        <v>8</v>
      </c>
      <c r="B351" s="135" t="n">
        <v>44439</v>
      </c>
      <c r="C351" s="128" t="s">
        <v>63</v>
      </c>
      <c r="D351" s="77" t="str">
        <f aca="false">IFERROR(VLOOKUP(E:E,'Item Data Support Sheet'!A:O,7,0),"")</f>
        <v>BOTTLE PRINTED</v>
      </c>
      <c r="E351" s="80" t="s">
        <v>803</v>
      </c>
      <c r="F351" s="122"/>
      <c r="G351" s="137"/>
      <c r="H351" s="79" t="str">
        <f aca="false">IFERROR(VLOOKUP(E:E,'Item Data Support Sheet'!A:O,2,0),"")</f>
        <v>RPP 120ML GRL PNK BOTLE PNTD WM3GB W/BIS LOGO</v>
      </c>
      <c r="I351" s="80" t="s">
        <v>802</v>
      </c>
      <c r="J351" s="80" t="s">
        <v>161</v>
      </c>
      <c r="K351" s="81" t="n">
        <v>0.5</v>
      </c>
      <c r="L351" s="124" t="n">
        <v>210</v>
      </c>
      <c r="M351" s="83" t="n">
        <f aca="false">IFERROR(L351/K351,0)</f>
        <v>420</v>
      </c>
      <c r="N351" s="84" t="n">
        <f aca="false">+O351+Q351+T351+U351</f>
        <v>7</v>
      </c>
      <c r="O351" s="85" t="n">
        <v>7</v>
      </c>
      <c r="P351" s="86" t="n">
        <v>0</v>
      </c>
      <c r="Q351" s="86" t="n">
        <v>0</v>
      </c>
      <c r="R351" s="132" t="n">
        <v>0</v>
      </c>
      <c r="S351" s="128" t="n">
        <v>0</v>
      </c>
      <c r="T351" s="132" t="n">
        <v>0</v>
      </c>
      <c r="U351" s="128" t="n">
        <v>0</v>
      </c>
      <c r="V351" s="128" t="n">
        <v>1</v>
      </c>
      <c r="W351" s="90" t="n">
        <f aca="false">IFERROR(O351/V351,0)</f>
        <v>7</v>
      </c>
      <c r="X351" s="91" t="n">
        <f aca="false">O351/L351</f>
        <v>0.0333333333333333</v>
      </c>
      <c r="Y351" s="92" t="str">
        <f aca="false">IFERROR(VLOOKUP(E:E,'Item Data Support Sheet'!A:J,6,0),0)</f>
        <v>FO052</v>
      </c>
      <c r="Z351" s="93" t="n">
        <f aca="false">IFERROR(VLOOKUP(E:E,'Item Data Support Sheet'!A:O,4,0),0)</f>
        <v>0</v>
      </c>
      <c r="AA351" s="93" t="n">
        <f aca="false">IFERROR(((N351)*(Z351/1000))+P351,0)</f>
        <v>0</v>
      </c>
      <c r="AB351" s="94" t="str">
        <f aca="false">IFERROR((O351*(Z351/1000)/(AA351))," ")</f>
        <v> </v>
      </c>
      <c r="AC351" s="95" t="n">
        <f aca="false">IFERROR((T351)/((T351)+O351),0)</f>
        <v>0</v>
      </c>
      <c r="AD351" s="96" t="n">
        <f aca="false">IFERROR(Q351/(Q351+N351),0)</f>
        <v>0</v>
      </c>
      <c r="AE351" s="91" t="n">
        <f aca="false">(N351-T351)/N351</f>
        <v>1</v>
      </c>
      <c r="AF351" s="97" t="n">
        <f aca="false">BR351</f>
        <v>0.416666666666667</v>
      </c>
      <c r="AG351" s="98" t="n">
        <f aca="false">K351-AF351</f>
        <v>0.0833333333333333</v>
      </c>
      <c r="AH351" s="99" t="n">
        <f aca="false">IFERROR(AG351/K351," ")</f>
        <v>0.166666666666667</v>
      </c>
      <c r="AI351" s="100" t="n">
        <f aca="false">IFERROR(O351/K351,0)</f>
        <v>14</v>
      </c>
      <c r="AJ351" s="101" t="n">
        <f aca="false">VLOOKUP(D351,'Standard Cycle time'!C:D,2,0)</f>
        <v>32.4</v>
      </c>
      <c r="AK351" s="101" t="n">
        <f aca="false">AG351*V351*3600/O351</f>
        <v>42.8571428571429</v>
      </c>
      <c r="AL351" s="102" t="n">
        <f aca="false">AJ351/AK351</f>
        <v>0.756</v>
      </c>
      <c r="AM351" s="99" t="n">
        <f aca="false">AE351*AL351*AH351</f>
        <v>0.126</v>
      </c>
      <c r="AN351" s="103" t="n">
        <v>2893</v>
      </c>
      <c r="AO351" s="112"/>
      <c r="AP351" s="105" t="n">
        <v>0</v>
      </c>
      <c r="AQ351" s="105" t="n">
        <v>25</v>
      </c>
      <c r="AR351" s="105" t="n">
        <v>0</v>
      </c>
      <c r="AS351" s="105" t="n">
        <v>0</v>
      </c>
      <c r="AT351" s="105" t="n">
        <v>0</v>
      </c>
      <c r="AU351" s="105" t="n">
        <v>0</v>
      </c>
      <c r="AV351" s="105" t="n">
        <v>0</v>
      </c>
      <c r="AW351" s="105" t="n">
        <v>0</v>
      </c>
      <c r="AX351" s="105" t="n">
        <v>0</v>
      </c>
      <c r="AY351" s="105" t="n">
        <v>0</v>
      </c>
      <c r="AZ351" s="105" t="n">
        <v>0</v>
      </c>
      <c r="BA351" s="105" t="n">
        <v>0</v>
      </c>
      <c r="BB351" s="105" t="n">
        <v>0</v>
      </c>
      <c r="BC351" s="105" t="n">
        <v>0</v>
      </c>
      <c r="BD351" s="105" t="n">
        <v>0</v>
      </c>
      <c r="BE351" s="105" t="n">
        <v>0</v>
      </c>
      <c r="BF351" s="105" t="n">
        <v>0</v>
      </c>
      <c r="BG351" s="105" t="n">
        <v>0</v>
      </c>
      <c r="BH351" s="105" t="n">
        <v>0</v>
      </c>
      <c r="BI351" s="105" t="n">
        <v>0</v>
      </c>
      <c r="BJ351" s="105" t="n">
        <v>0</v>
      </c>
      <c r="BK351" s="105" t="n">
        <v>0</v>
      </c>
      <c r="BL351" s="105" t="n">
        <v>0</v>
      </c>
      <c r="BM351" s="105" t="n">
        <v>0</v>
      </c>
      <c r="BN351" s="105" t="n">
        <v>0</v>
      </c>
      <c r="BO351" s="105" t="n">
        <v>0</v>
      </c>
      <c r="BP351" s="105" t="n">
        <v>0</v>
      </c>
      <c r="BQ351" s="105" t="n">
        <v>0</v>
      </c>
      <c r="BR351" s="106" t="n">
        <f aca="false">SUM(AP351:BQ351)/60</f>
        <v>0.416666666666667</v>
      </c>
      <c r="BS351" s="106" t="n">
        <f aca="false">SUM(AP351:BR351)/60</f>
        <v>0.423611111111111</v>
      </c>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row>
    <row r="352" customFormat="false" ht="14.9" hidden="true" customHeight="false" outlineLevel="0" collapsed="false">
      <c r="A352" s="74" t="n">
        <f aca="false">MONTH(B352)</f>
        <v>8</v>
      </c>
      <c r="B352" s="135" t="n">
        <v>44439</v>
      </c>
      <c r="C352" s="128" t="s">
        <v>63</v>
      </c>
      <c r="D352" s="77" t="str">
        <f aca="false">IFERROR(VLOOKUP(E:E,'Item Data Support Sheet'!A:O,7,0),"")</f>
        <v>BOTTLE PRINTED</v>
      </c>
      <c r="E352" s="80" t="s">
        <v>608</v>
      </c>
      <c r="F352" s="122"/>
      <c r="G352" s="137"/>
      <c r="H352" s="79" t="str">
        <f aca="false">IFERROR(VLOOKUP(E:E,'Item Data Support Sheet'!A:O,2,0),"")</f>
        <v>RPP 120ML BOY BLUE BOTLE PNTD WM3GB W/BIS LOGO</v>
      </c>
      <c r="I352" s="80" t="s">
        <v>804</v>
      </c>
      <c r="J352" s="80" t="s">
        <v>161</v>
      </c>
      <c r="K352" s="81" t="n">
        <v>1</v>
      </c>
      <c r="L352" s="124" t="n">
        <v>215</v>
      </c>
      <c r="M352" s="83" t="n">
        <f aca="false">IFERROR(L352/K352,0)</f>
        <v>215</v>
      </c>
      <c r="N352" s="84" t="n">
        <f aca="false">+O352+Q352+T352+U352</f>
        <v>51</v>
      </c>
      <c r="O352" s="85" t="n">
        <v>51</v>
      </c>
      <c r="P352" s="86" t="n">
        <v>0</v>
      </c>
      <c r="Q352" s="86" t="n">
        <v>0</v>
      </c>
      <c r="R352" s="132" t="n">
        <v>0</v>
      </c>
      <c r="S352" s="128" t="n">
        <v>0</v>
      </c>
      <c r="T352" s="132" t="n">
        <v>0</v>
      </c>
      <c r="U352" s="128" t="n">
        <v>0</v>
      </c>
      <c r="V352" s="128" t="n">
        <v>1</v>
      </c>
      <c r="W352" s="90" t="n">
        <f aca="false">IFERROR(O352/V352,0)</f>
        <v>51</v>
      </c>
      <c r="X352" s="91" t="n">
        <f aca="false">O352/L352</f>
        <v>0.237209302325581</v>
      </c>
      <c r="Y352" s="92" t="str">
        <f aca="false">IFERROR(VLOOKUP(E:E,'Item Data Support Sheet'!A:J,6,0),0)</f>
        <v>FO054</v>
      </c>
      <c r="Z352" s="93" t="n">
        <f aca="false">IFERROR(VLOOKUP(E:E,'Item Data Support Sheet'!A:O,4,0),0)</f>
        <v>0</v>
      </c>
      <c r="AA352" s="93" t="n">
        <f aca="false">IFERROR(((N352)*(Z352/1000))+P352,0)</f>
        <v>0</v>
      </c>
      <c r="AB352" s="94" t="str">
        <f aca="false">IFERROR((O352*(Z352/1000)/(AA352))," ")</f>
        <v> </v>
      </c>
      <c r="AC352" s="95" t="n">
        <f aca="false">IFERROR((T352)/((T352)+O352),0)</f>
        <v>0</v>
      </c>
      <c r="AD352" s="96" t="n">
        <f aca="false">IFERROR(Q352/(Q352+N352),0)</f>
        <v>0</v>
      </c>
      <c r="AE352" s="91" t="n">
        <f aca="false">(N352-T352)/N352</f>
        <v>1</v>
      </c>
      <c r="AF352" s="97" t="n">
        <f aca="false">BR352</f>
        <v>0.5</v>
      </c>
      <c r="AG352" s="98" t="n">
        <f aca="false">K352-AF352</f>
        <v>0.5</v>
      </c>
      <c r="AH352" s="99" t="n">
        <f aca="false">IFERROR(AG352/K352," ")</f>
        <v>0.5</v>
      </c>
      <c r="AI352" s="100" t="n">
        <f aca="false">IFERROR(O352/K352,0)</f>
        <v>51</v>
      </c>
      <c r="AJ352" s="101" t="n">
        <f aca="false">VLOOKUP(D352,'Standard Cycle time'!C:D,2,0)</f>
        <v>32.4</v>
      </c>
      <c r="AK352" s="101" t="n">
        <f aca="false">AG352*V352*3600/O352</f>
        <v>35.2941176470588</v>
      </c>
      <c r="AL352" s="102" t="n">
        <f aca="false">AJ352/AK352</f>
        <v>0.918</v>
      </c>
      <c r="AM352" s="99" t="n">
        <f aca="false">AE352*AL352*AH352</f>
        <v>0.459</v>
      </c>
      <c r="AN352" s="103" t="n">
        <v>2894</v>
      </c>
      <c r="AO352" s="112"/>
      <c r="AP352" s="105" t="n">
        <v>0</v>
      </c>
      <c r="AQ352" s="105" t="n">
        <v>30</v>
      </c>
      <c r="AR352" s="105" t="n">
        <v>0</v>
      </c>
      <c r="AS352" s="105" t="n">
        <v>0</v>
      </c>
      <c r="AT352" s="105" t="n">
        <v>0</v>
      </c>
      <c r="AU352" s="105" t="n">
        <v>0</v>
      </c>
      <c r="AV352" s="105" t="n">
        <v>0</v>
      </c>
      <c r="AW352" s="105" t="n">
        <v>0</v>
      </c>
      <c r="AX352" s="105" t="n">
        <v>0</v>
      </c>
      <c r="AY352" s="105" t="n">
        <v>0</v>
      </c>
      <c r="AZ352" s="105" t="n">
        <v>0</v>
      </c>
      <c r="BA352" s="105" t="n">
        <v>0</v>
      </c>
      <c r="BB352" s="105" t="n">
        <v>0</v>
      </c>
      <c r="BC352" s="105" t="n">
        <v>0</v>
      </c>
      <c r="BD352" s="105" t="n">
        <v>0</v>
      </c>
      <c r="BE352" s="105" t="n">
        <v>0</v>
      </c>
      <c r="BF352" s="105" t="n">
        <v>0</v>
      </c>
      <c r="BG352" s="105" t="n">
        <v>0</v>
      </c>
      <c r="BH352" s="105" t="n">
        <v>0</v>
      </c>
      <c r="BI352" s="105" t="n">
        <v>0</v>
      </c>
      <c r="BJ352" s="105" t="n">
        <v>0</v>
      </c>
      <c r="BK352" s="105" t="n">
        <v>0</v>
      </c>
      <c r="BL352" s="105" t="n">
        <v>0</v>
      </c>
      <c r="BM352" s="105" t="n">
        <v>0</v>
      </c>
      <c r="BN352" s="105" t="n">
        <v>0</v>
      </c>
      <c r="BO352" s="105" t="n">
        <v>0</v>
      </c>
      <c r="BP352" s="105" t="n">
        <v>0</v>
      </c>
      <c r="BQ352" s="105" t="n">
        <v>0</v>
      </c>
      <c r="BR352" s="106" t="n">
        <f aca="false">SUM(AP352:BQ352)/60</f>
        <v>0.5</v>
      </c>
      <c r="BS352" s="106" t="n">
        <f aca="false">SUM(AP352:BR352)/60</f>
        <v>0.508333333333333</v>
      </c>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row>
    <row r="353" customFormat="false" ht="14.9" hidden="true" customHeight="false" outlineLevel="0" collapsed="false">
      <c r="A353" s="74" t="n">
        <f aca="false">MONTH(B353)</f>
        <v>8</v>
      </c>
      <c r="B353" s="135" t="n">
        <v>44439</v>
      </c>
      <c r="C353" s="128" t="s">
        <v>63</v>
      </c>
      <c r="D353" s="77" t="str">
        <f aca="false">IFERROR(VLOOKUP(E:E,'Item Data Support Sheet'!A:O,7,0),"")</f>
        <v>BOTTLE PRINTED</v>
      </c>
      <c r="E353" s="80" t="s">
        <v>65</v>
      </c>
      <c r="F353" s="122"/>
      <c r="G353" s="137"/>
      <c r="H353" s="79" t="str">
        <f aca="false">IFERROR(VLOOKUP(E:E,'Item Data Support Sheet'!A:O,2,0),"")</f>
        <v>KPP 240 ML BOTTLE PRINTED</v>
      </c>
      <c r="I353" s="80" t="s">
        <v>805</v>
      </c>
      <c r="J353" s="80" t="s">
        <v>161</v>
      </c>
      <c r="K353" s="81" t="n">
        <f aca="false">8.5-7.2</f>
        <v>1.3</v>
      </c>
      <c r="L353" s="124" t="n">
        <v>630</v>
      </c>
      <c r="M353" s="83" t="n">
        <f aca="false">IFERROR(L353/K353,0)</f>
        <v>484.615384615385</v>
      </c>
      <c r="N353" s="84" t="n">
        <f aca="false">+O353+Q353+T353+U353</f>
        <v>630</v>
      </c>
      <c r="O353" s="85" t="n">
        <v>595</v>
      </c>
      <c r="P353" s="86" t="n">
        <v>0</v>
      </c>
      <c r="Q353" s="86" t="n">
        <v>0</v>
      </c>
      <c r="R353" s="132" t="n">
        <v>0</v>
      </c>
      <c r="S353" s="128" t="n">
        <v>0</v>
      </c>
      <c r="T353" s="132" t="n">
        <f aca="false">5+30</f>
        <v>35</v>
      </c>
      <c r="U353" s="128" t="n">
        <v>0</v>
      </c>
      <c r="V353" s="128" t="n">
        <v>6</v>
      </c>
      <c r="W353" s="90" t="n">
        <f aca="false">IFERROR(O353/V353,0)</f>
        <v>99.1666666666667</v>
      </c>
      <c r="X353" s="91" t="n">
        <f aca="false">O353/L353</f>
        <v>0.944444444444444</v>
      </c>
      <c r="Y353" s="92" t="str">
        <f aca="false">IFERROR(VLOOKUP(E:E,'Item Data Support Sheet'!A:J,6,0),0)</f>
        <v>FO003</v>
      </c>
      <c r="Z353" s="93" t="n">
        <f aca="false">IFERROR(VLOOKUP(E:E,'Item Data Support Sheet'!A:O,4,0),0)</f>
        <v>0</v>
      </c>
      <c r="AA353" s="93" t="n">
        <f aca="false">IFERROR(((N353)*(Z353/1000))+P353,0)</f>
        <v>0</v>
      </c>
      <c r="AB353" s="94" t="str">
        <f aca="false">IFERROR((O353*(Z353/1000)/(AA353))," ")</f>
        <v> </v>
      </c>
      <c r="AC353" s="95" t="n">
        <f aca="false">IFERROR((T353)/((T353)+O353),0)</f>
        <v>0.0555555555555556</v>
      </c>
      <c r="AD353" s="96" t="n">
        <f aca="false">IFERROR(Q353/(Q353+N353),0)</f>
        <v>0</v>
      </c>
      <c r="AE353" s="91" t="n">
        <f aca="false">(N353-T353)/N353</f>
        <v>0.944444444444444</v>
      </c>
      <c r="AF353" s="97" t="n">
        <f aca="false">BR353</f>
        <v>0.5</v>
      </c>
      <c r="AG353" s="98" t="n">
        <f aca="false">K353-AF353</f>
        <v>0.8</v>
      </c>
      <c r="AH353" s="99" t="n">
        <f aca="false">IFERROR(AG353/K353," ")</f>
        <v>0.615384615384615</v>
      </c>
      <c r="AI353" s="100" t="n">
        <f aca="false">IFERROR(O353/K353,0)</f>
        <v>457.692307692308</v>
      </c>
      <c r="AJ353" s="101" t="n">
        <f aca="false">VLOOKUP(D353,'Standard Cycle time'!C:D,2,0)</f>
        <v>32.4</v>
      </c>
      <c r="AK353" s="101" t="n">
        <f aca="false">AG353*V353*3600/O353</f>
        <v>29.0420168067227</v>
      </c>
      <c r="AL353" s="102" t="n">
        <f aca="false">AJ353/AK353</f>
        <v>1.115625</v>
      </c>
      <c r="AM353" s="99" t="n">
        <f aca="false">AE353*AL353*AH353</f>
        <v>0.648397435897436</v>
      </c>
      <c r="AN353" s="103" t="n">
        <v>2895</v>
      </c>
      <c r="AO353" s="112"/>
      <c r="AP353" s="105" t="n">
        <v>0</v>
      </c>
      <c r="AQ353" s="105" t="n">
        <v>30</v>
      </c>
      <c r="AR353" s="105" t="n">
        <v>0</v>
      </c>
      <c r="AS353" s="105" t="n">
        <v>0</v>
      </c>
      <c r="AT353" s="105" t="n">
        <v>0</v>
      </c>
      <c r="AU353" s="105" t="n">
        <v>0</v>
      </c>
      <c r="AV353" s="105" t="n">
        <v>0</v>
      </c>
      <c r="AW353" s="105" t="n">
        <v>0</v>
      </c>
      <c r="AX353" s="105" t="n">
        <v>0</v>
      </c>
      <c r="AY353" s="105" t="n">
        <v>0</v>
      </c>
      <c r="AZ353" s="105" t="n">
        <v>0</v>
      </c>
      <c r="BA353" s="105" t="n">
        <v>0</v>
      </c>
      <c r="BB353" s="105" t="n">
        <v>0</v>
      </c>
      <c r="BC353" s="105" t="n">
        <v>0</v>
      </c>
      <c r="BD353" s="105" t="n">
        <v>0</v>
      </c>
      <c r="BE353" s="105" t="n">
        <v>0</v>
      </c>
      <c r="BF353" s="105" t="n">
        <v>0</v>
      </c>
      <c r="BG353" s="105" t="n">
        <v>0</v>
      </c>
      <c r="BH353" s="105" t="n">
        <v>0</v>
      </c>
      <c r="BI353" s="105" t="n">
        <v>0</v>
      </c>
      <c r="BJ353" s="105" t="n">
        <v>0</v>
      </c>
      <c r="BK353" s="105" t="n">
        <v>0</v>
      </c>
      <c r="BL353" s="105" t="n">
        <v>0</v>
      </c>
      <c r="BM353" s="105" t="n">
        <v>0</v>
      </c>
      <c r="BN353" s="105" t="n">
        <v>0</v>
      </c>
      <c r="BO353" s="105" t="n">
        <v>0</v>
      </c>
      <c r="BP353" s="105" t="n">
        <v>0</v>
      </c>
      <c r="BQ353" s="105" t="n">
        <v>0</v>
      </c>
      <c r="BR353" s="106" t="n">
        <f aca="false">SUM(AP353:BQ353)/60</f>
        <v>0.5</v>
      </c>
      <c r="BS353" s="106" t="n">
        <f aca="false">SUM(AP353:BR353)/60</f>
        <v>0.508333333333333</v>
      </c>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row>
    <row r="354" customFormat="false" ht="14.9" hidden="false" customHeight="false" outlineLevel="0" collapsed="false">
      <c r="A354" s="74" t="n">
        <f aca="false">MONTH(B354)</f>
        <v>9</v>
      </c>
      <c r="B354" s="135" t="n">
        <v>44441</v>
      </c>
      <c r="C354" s="128" t="s">
        <v>51</v>
      </c>
      <c r="D354" s="77" t="str">
        <f aca="false">IFERROR(VLOOKUP(E:E,'Item Data Support Sheet'!A:O,7,0),"")</f>
        <v>NIPPLE LASER MARKING</v>
      </c>
      <c r="E354" s="80" t="s">
        <v>681</v>
      </c>
      <c r="F354" s="122"/>
      <c r="G354" s="137" t="s">
        <v>517</v>
      </c>
      <c r="H354" s="79" t="str">
        <f aca="false">IFERROR(VLOOKUP(E:E,'Item Data Support Sheet'!A:O,2,0),"")</f>
        <v>NIPPLE S TYPE L SIZE PUNCHED LASER MARKED</v>
      </c>
      <c r="I354" s="80" t="s">
        <v>806</v>
      </c>
      <c r="J354" s="80" t="s">
        <v>148</v>
      </c>
      <c r="K354" s="81" t="n">
        <v>8</v>
      </c>
      <c r="L354" s="124" t="n">
        <v>7036</v>
      </c>
      <c r="M354" s="83" t="n">
        <f aca="false">IFERROR(L354/K354,0)</f>
        <v>879.5</v>
      </c>
      <c r="N354" s="84" t="n">
        <f aca="false">+O354+Q354+T354+U354</f>
        <v>6200</v>
      </c>
      <c r="O354" s="85" t="n">
        <v>6200</v>
      </c>
      <c r="P354" s="86" t="n">
        <v>0</v>
      </c>
      <c r="Q354" s="86" t="n">
        <v>0</v>
      </c>
      <c r="R354" s="132" t="n">
        <v>0</v>
      </c>
      <c r="S354" s="128" t="n">
        <v>0</v>
      </c>
      <c r="T354" s="132" t="n">
        <v>0</v>
      </c>
      <c r="U354" s="128" t="n">
        <v>0</v>
      </c>
      <c r="V354" s="128" t="n">
        <v>1</v>
      </c>
      <c r="W354" s="90" t="n">
        <f aca="false">IFERROR(O354/V354,0)</f>
        <v>6200</v>
      </c>
      <c r="X354" s="91" t="n">
        <f aca="false">O354/L354</f>
        <v>0.881182490051165</v>
      </c>
      <c r="Y354" s="92" t="str">
        <f aca="false">IFERROR(VLOOKUP(E:E,'Item Data Support Sheet'!A:J,6,0),0)</f>
        <v>FO021</v>
      </c>
      <c r="Z354" s="93" t="n">
        <f aca="false">IFERROR(VLOOKUP(E:E,'Item Data Support Sheet'!A:O,4,0),0)</f>
        <v>0</v>
      </c>
      <c r="AA354" s="93" t="n">
        <f aca="false">IFERROR(((N354)*(Z354/1000))+P354,0)</f>
        <v>0</v>
      </c>
      <c r="AB354" s="94" t="str">
        <f aca="false">IFERROR((O354*(Z354/1000)/(AA354))," ")</f>
        <v> </v>
      </c>
      <c r="AC354" s="95" t="n">
        <f aca="false">IFERROR((T354)/((T354)+O354),0)</f>
        <v>0</v>
      </c>
      <c r="AD354" s="96" t="n">
        <f aca="false">IFERROR(Q354/(Q354+N354),0)</f>
        <v>0</v>
      </c>
      <c r="AE354" s="91" t="n">
        <f aca="false">(N354-T354)/N354</f>
        <v>1</v>
      </c>
      <c r="AF354" s="97" t="n">
        <f aca="false">BR354</f>
        <v>1.66666666666667</v>
      </c>
      <c r="AG354" s="98" t="n">
        <f aca="false">K354-AF354</f>
        <v>6.33333333333333</v>
      </c>
      <c r="AH354" s="99" t="n">
        <f aca="false">IFERROR(AG354/K354," ")</f>
        <v>0.791666666666666</v>
      </c>
      <c r="AI354" s="100" t="n">
        <f aca="false">IFERROR(O354/K354,0)</f>
        <v>775</v>
      </c>
      <c r="AJ354" s="101" t="n">
        <f aca="false">VLOOKUP(D354,'Standard Cycle time'!C:D,2,0)</f>
        <v>3.5</v>
      </c>
      <c r="AK354" s="101" t="n">
        <f aca="false">AG354*V354*3600/O354</f>
        <v>3.67741935483871</v>
      </c>
      <c r="AL354" s="102" t="n">
        <f aca="false">AJ354/AK354</f>
        <v>0.951754385964913</v>
      </c>
      <c r="AM354" s="99" t="n">
        <f aca="false">AE354*AL354*AH354</f>
        <v>0.753472222222222</v>
      </c>
      <c r="AN354" s="103" t="s">
        <v>807</v>
      </c>
      <c r="AO354" s="112" t="s">
        <v>808</v>
      </c>
      <c r="AP354" s="105" t="n">
        <v>40</v>
      </c>
      <c r="AQ354" s="105" t="n">
        <v>0</v>
      </c>
      <c r="AR354" s="105" t="n">
        <v>0</v>
      </c>
      <c r="AS354" s="105" t="n">
        <v>0</v>
      </c>
      <c r="AT354" s="105" t="n">
        <v>0</v>
      </c>
      <c r="AU354" s="105" t="n">
        <v>0</v>
      </c>
      <c r="AV354" s="105" t="n">
        <v>60</v>
      </c>
      <c r="AW354" s="105" t="n">
        <v>0</v>
      </c>
      <c r="AX354" s="105" t="n">
        <v>0</v>
      </c>
      <c r="AY354" s="105" t="n">
        <v>0</v>
      </c>
      <c r="AZ354" s="105" t="n">
        <v>0</v>
      </c>
      <c r="BA354" s="105" t="n">
        <v>0</v>
      </c>
      <c r="BB354" s="105" t="n">
        <v>0</v>
      </c>
      <c r="BC354" s="105" t="n">
        <v>0</v>
      </c>
      <c r="BD354" s="105" t="n">
        <v>0</v>
      </c>
      <c r="BE354" s="105" t="n">
        <v>0</v>
      </c>
      <c r="BF354" s="105" t="n">
        <v>0</v>
      </c>
      <c r="BG354" s="105" t="n">
        <v>0</v>
      </c>
      <c r="BH354" s="105" t="n">
        <v>0</v>
      </c>
      <c r="BI354" s="105" t="n">
        <v>0</v>
      </c>
      <c r="BJ354" s="105" t="n">
        <v>0</v>
      </c>
      <c r="BK354" s="105" t="n">
        <v>0</v>
      </c>
      <c r="BL354" s="105" t="n">
        <v>0</v>
      </c>
      <c r="BM354" s="105" t="n">
        <v>0</v>
      </c>
      <c r="BN354" s="105" t="n">
        <v>0</v>
      </c>
      <c r="BO354" s="105" t="n">
        <v>0</v>
      </c>
      <c r="BP354" s="105" t="n">
        <v>0</v>
      </c>
      <c r="BQ354" s="105" t="n">
        <v>0</v>
      </c>
      <c r="BR354" s="106" t="n">
        <v>1.66666666666667</v>
      </c>
      <c r="BS354" s="106" t="n">
        <v>1.69444444444444</v>
      </c>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X354" s="0" t="s">
        <v>143</v>
      </c>
    </row>
    <row r="355" customFormat="false" ht="14.9" hidden="false" customHeight="false" outlineLevel="0" collapsed="false">
      <c r="A355" s="74" t="n">
        <f aca="false">MONTH(B355)</f>
        <v>9</v>
      </c>
      <c r="B355" s="135" t="n">
        <v>44441</v>
      </c>
      <c r="C355" s="128" t="s">
        <v>51</v>
      </c>
      <c r="D355" s="77" t="str">
        <f aca="false">IFERROR(VLOOKUP(E:E,'Item Data Support Sheet'!A:O,7,0),"")</f>
        <v>NIPPLE MOLDED</v>
      </c>
      <c r="E355" s="80" t="s">
        <v>809</v>
      </c>
      <c r="F355" s="122" t="s">
        <v>137</v>
      </c>
      <c r="G355" s="137" t="s">
        <v>138</v>
      </c>
      <c r="H355" s="79" t="str">
        <f aca="false">IFERROR(VLOOKUP(E:E,'Item Data Support Sheet'!A:O,2,0),"")</f>
        <v>NIPPLE S TYPE Y SIZE INJECTION</v>
      </c>
      <c r="I355" s="80" t="s">
        <v>810</v>
      </c>
      <c r="J355" s="80" t="s">
        <v>148</v>
      </c>
      <c r="K355" s="81" t="n">
        <v>8</v>
      </c>
      <c r="L355" s="124" t="n">
        <v>4815</v>
      </c>
      <c r="M355" s="83" t="n">
        <f aca="false">IFERROR(L355/K355,0)</f>
        <v>601.875</v>
      </c>
      <c r="N355" s="84" t="n">
        <f aca="false">+O355+Q355+T355+U355</f>
        <v>4136</v>
      </c>
      <c r="O355" s="85" t="n">
        <v>4000</v>
      </c>
      <c r="P355" s="86" t="n">
        <v>0.3</v>
      </c>
      <c r="Q355" s="86" t="n">
        <v>79</v>
      </c>
      <c r="R355" s="132" t="n">
        <v>0</v>
      </c>
      <c r="S355" s="128" t="n">
        <v>0</v>
      </c>
      <c r="T355" s="132" t="n">
        <v>49</v>
      </c>
      <c r="U355" s="128" t="n">
        <v>8</v>
      </c>
      <c r="V355" s="128" t="n">
        <v>1</v>
      </c>
      <c r="W355" s="90" t="n">
        <f aca="false">IFERROR(O355/V355,0)</f>
        <v>4000</v>
      </c>
      <c r="X355" s="91" t="n">
        <f aca="false">O355/L355</f>
        <v>0.83073727933541</v>
      </c>
      <c r="Y355" s="92" t="str">
        <f aca="false">IFERROR(VLOOKUP(E:E,'Item Data Support Sheet'!A:J,6,0),0)</f>
        <v>Silicon</v>
      </c>
      <c r="Z355" s="93" t="n">
        <f aca="false">IFERROR(VLOOKUP(E:E,'Item Data Support Sheet'!A:O,4,0),0)</f>
        <v>6.8</v>
      </c>
      <c r="AA355" s="93" t="n">
        <f aca="false">IFERROR(((N355)*(Z355/1000))+P355,0)</f>
        <v>28.4248</v>
      </c>
      <c r="AB355" s="94" t="n">
        <f aca="false">IFERROR((O355*(Z355/1000)/(AA355))," ")</f>
        <v>0.956910866567223</v>
      </c>
      <c r="AC355" s="95" t="n">
        <f aca="false">IFERROR((T355)/((T355)+O355),0)</f>
        <v>0.0121017535193875</v>
      </c>
      <c r="AD355" s="96" t="n">
        <f aca="false">IFERROR(Q355/(Q355+N355),0)</f>
        <v>0.0187425860023725</v>
      </c>
      <c r="AE355" s="91" t="n">
        <f aca="false">(N355-T355)/N355</f>
        <v>0.988152804642166</v>
      </c>
      <c r="AF355" s="97" t="n">
        <f aca="false">BR355</f>
        <v>2</v>
      </c>
      <c r="AG355" s="98" t="n">
        <f aca="false">K355-AF355</f>
        <v>6</v>
      </c>
      <c r="AH355" s="99" t="n">
        <f aca="false">IFERROR(AG355/K355," ")</f>
        <v>0.75</v>
      </c>
      <c r="AI355" s="100" t="n">
        <f aca="false">IFERROR(O355/K355,0)</f>
        <v>500</v>
      </c>
      <c r="AJ355" s="101" t="n">
        <f aca="false">VLOOKUP(D355,'Standard Cycle time'!C:D,2,0)</f>
        <v>5.25</v>
      </c>
      <c r="AK355" s="101" t="n">
        <f aca="false">AG355*V355*3600/O355</f>
        <v>5.4</v>
      </c>
      <c r="AL355" s="102" t="n">
        <f aca="false">AJ355/AK355</f>
        <v>0.972222222222222</v>
      </c>
      <c r="AM355" s="99" t="n">
        <f aca="false">AE355*AL355*AH355</f>
        <v>0.720528086718246</v>
      </c>
      <c r="AN355" s="103" t="n">
        <v>2911</v>
      </c>
      <c r="AO355" s="112" t="s">
        <v>811</v>
      </c>
      <c r="AP355" s="105" t="n">
        <v>0</v>
      </c>
      <c r="AQ355" s="105" t="n">
        <v>0</v>
      </c>
      <c r="AR355" s="105" t="n">
        <v>0</v>
      </c>
      <c r="AS355" s="105" t="n">
        <v>0</v>
      </c>
      <c r="AT355" s="105" t="n">
        <v>0</v>
      </c>
      <c r="AU355" s="105" t="n">
        <v>30</v>
      </c>
      <c r="AV355" s="105" t="n">
        <v>0</v>
      </c>
      <c r="AW355" s="105" t="n">
        <v>0</v>
      </c>
      <c r="AX355" s="105" t="n">
        <v>0</v>
      </c>
      <c r="AY355" s="105" t="n">
        <v>0</v>
      </c>
      <c r="AZ355" s="105" t="n">
        <v>0</v>
      </c>
      <c r="BA355" s="105" t="n">
        <v>0</v>
      </c>
      <c r="BB355" s="105" t="n">
        <v>90</v>
      </c>
      <c r="BC355" s="105" t="n">
        <v>0</v>
      </c>
      <c r="BD355" s="105" t="n">
        <v>0</v>
      </c>
      <c r="BE355" s="105" t="n">
        <v>0</v>
      </c>
      <c r="BF355" s="105" t="n">
        <v>0</v>
      </c>
      <c r="BG355" s="105" t="n">
        <v>0</v>
      </c>
      <c r="BH355" s="105" t="n">
        <v>0</v>
      </c>
      <c r="BI355" s="105" t="n">
        <v>0</v>
      </c>
      <c r="BJ355" s="105" t="n">
        <v>0</v>
      </c>
      <c r="BK355" s="105" t="n">
        <v>0</v>
      </c>
      <c r="BL355" s="105" t="n">
        <v>0</v>
      </c>
      <c r="BM355" s="105" t="n">
        <v>0</v>
      </c>
      <c r="BN355" s="105" t="n">
        <v>0</v>
      </c>
      <c r="BO355" s="105" t="n">
        <v>0</v>
      </c>
      <c r="BP355" s="105" t="n">
        <v>0</v>
      </c>
      <c r="BQ355" s="105" t="n">
        <v>0</v>
      </c>
      <c r="BR355" s="106" t="n">
        <v>2</v>
      </c>
      <c r="BS355" s="106" t="n">
        <v>2.03333333333333</v>
      </c>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X355" s="0" t="s">
        <v>148</v>
      </c>
    </row>
    <row r="356" customFormat="false" ht="14.9" hidden="false" customHeight="false" outlineLevel="0" collapsed="false">
      <c r="A356" s="74" t="n">
        <f aca="false">MONTH(B356)</f>
        <v>9</v>
      </c>
      <c r="B356" s="135" t="n">
        <v>44441</v>
      </c>
      <c r="C356" s="128" t="s">
        <v>51</v>
      </c>
      <c r="D356" s="77" t="str">
        <f aca="false">IFERROR(VLOOKUP(E:E,'Item Data Support Sheet'!A:O,7,0),"")</f>
        <v>NIPPLE PUNCH</v>
      </c>
      <c r="E356" s="80" t="s">
        <v>666</v>
      </c>
      <c r="F356" s="122"/>
      <c r="G356" s="137" t="s">
        <v>54</v>
      </c>
      <c r="H356" s="79" t="str">
        <f aca="false">IFERROR(VLOOKUP(E:E,'Item Data Support Sheet'!A:O,2,0),"")</f>
        <v>NIPPLE S TYPE L SIZE PUNCHED</v>
      </c>
      <c r="I356" s="80" t="s">
        <v>812</v>
      </c>
      <c r="J356" s="80" t="s">
        <v>148</v>
      </c>
      <c r="K356" s="81" t="n">
        <v>8</v>
      </c>
      <c r="L356" s="124" t="n">
        <v>7036</v>
      </c>
      <c r="M356" s="83" t="n">
        <f aca="false">IFERROR(L356/K356,0)</f>
        <v>879.5</v>
      </c>
      <c r="N356" s="84" t="n">
        <f aca="false">+O356+Q356+T356+U356</f>
        <v>6210</v>
      </c>
      <c r="O356" s="85" t="n">
        <v>6185</v>
      </c>
      <c r="P356" s="86" t="n">
        <v>0</v>
      </c>
      <c r="Q356" s="86" t="n">
        <v>0</v>
      </c>
      <c r="R356" s="132" t="n">
        <v>0</v>
      </c>
      <c r="S356" s="128" t="n">
        <v>0</v>
      </c>
      <c r="T356" s="132" t="n">
        <v>25</v>
      </c>
      <c r="U356" s="128" t="n">
        <v>0</v>
      </c>
      <c r="V356" s="128" t="n">
        <v>1</v>
      </c>
      <c r="W356" s="90" t="n">
        <f aca="false">IFERROR(O356/V356,0)</f>
        <v>6185</v>
      </c>
      <c r="X356" s="91" t="n">
        <f aca="false">O356/L356</f>
        <v>0.879050596930074</v>
      </c>
      <c r="Y356" s="92" t="str">
        <f aca="false">IFERROR(VLOOKUP(E:E,'Item Data Support Sheet'!A:J,6,0),0)</f>
        <v>FO017</v>
      </c>
      <c r="Z356" s="93" t="n">
        <f aca="false">IFERROR(VLOOKUP(E:E,'Item Data Support Sheet'!A:O,4,0),0)</f>
        <v>0</v>
      </c>
      <c r="AA356" s="93" t="n">
        <f aca="false">IFERROR(((N356)*(Z356/1000))+P356,0)</f>
        <v>0</v>
      </c>
      <c r="AB356" s="94" t="str">
        <f aca="false">IFERROR((O356*(Z356/1000)/(AA356))," ")</f>
        <v> </v>
      </c>
      <c r="AC356" s="95" t="n">
        <f aca="false">IFERROR((T356)/((T356)+O356),0)</f>
        <v>0.00402576489533011</v>
      </c>
      <c r="AD356" s="96" t="n">
        <f aca="false">IFERROR(Q356/(Q356+N356),0)</f>
        <v>0</v>
      </c>
      <c r="AE356" s="91" t="n">
        <f aca="false">(N356-T356)/N356</f>
        <v>0.99597423510467</v>
      </c>
      <c r="AF356" s="97" t="n">
        <f aca="false">BR356</f>
        <v>0.666666666666667</v>
      </c>
      <c r="AG356" s="98" t="n">
        <f aca="false">K356-AF356</f>
        <v>7.33333333333333</v>
      </c>
      <c r="AH356" s="99" t="n">
        <f aca="false">IFERROR(AG356/K356," ")</f>
        <v>0.916666666666667</v>
      </c>
      <c r="AI356" s="100" t="n">
        <f aca="false">IFERROR(O356/K356,0)</f>
        <v>773.125</v>
      </c>
      <c r="AJ356" s="101" t="n">
        <f aca="false">VLOOKUP(D356,'Standard Cycle time'!C:D,2,0)</f>
        <v>3.5</v>
      </c>
      <c r="AK356" s="101" t="n">
        <f aca="false">AG356*V356*3600/O356</f>
        <v>4.26839126919968</v>
      </c>
      <c r="AL356" s="102" t="n">
        <f aca="false">AJ356/AK356</f>
        <v>0.819981060606061</v>
      </c>
      <c r="AM356" s="99" t="n">
        <f aca="false">AE356*AL356*AH356</f>
        <v>0.748623342167651</v>
      </c>
      <c r="AN356" s="103" t="s">
        <v>813</v>
      </c>
      <c r="AO356" s="112" t="s">
        <v>814</v>
      </c>
      <c r="AP356" s="105" t="n">
        <v>40</v>
      </c>
      <c r="AQ356" s="105" t="n">
        <v>0</v>
      </c>
      <c r="AR356" s="105" t="n">
        <v>0</v>
      </c>
      <c r="AS356" s="105" t="n">
        <v>0</v>
      </c>
      <c r="AT356" s="105" t="n">
        <v>0</v>
      </c>
      <c r="AU356" s="105" t="n">
        <v>0</v>
      </c>
      <c r="AV356" s="105" t="n">
        <v>0</v>
      </c>
      <c r="AW356" s="105" t="n">
        <v>0</v>
      </c>
      <c r="AX356" s="105" t="n">
        <v>0</v>
      </c>
      <c r="AY356" s="105" t="n">
        <v>0</v>
      </c>
      <c r="AZ356" s="105" t="n">
        <v>0</v>
      </c>
      <c r="BA356" s="105" t="n">
        <v>0</v>
      </c>
      <c r="BB356" s="105" t="n">
        <v>0</v>
      </c>
      <c r="BC356" s="105" t="n">
        <v>0</v>
      </c>
      <c r="BD356" s="105" t="n">
        <v>0</v>
      </c>
      <c r="BE356" s="105" t="n">
        <v>0</v>
      </c>
      <c r="BF356" s="105" t="n">
        <v>0</v>
      </c>
      <c r="BG356" s="105" t="n">
        <v>0</v>
      </c>
      <c r="BH356" s="105" t="n">
        <v>0</v>
      </c>
      <c r="BI356" s="105" t="n">
        <v>0</v>
      </c>
      <c r="BJ356" s="105" t="n">
        <v>0</v>
      </c>
      <c r="BK356" s="105" t="n">
        <v>0</v>
      </c>
      <c r="BL356" s="105" t="n">
        <v>0</v>
      </c>
      <c r="BM356" s="105" t="n">
        <v>0</v>
      </c>
      <c r="BN356" s="105" t="n">
        <v>0</v>
      </c>
      <c r="BO356" s="105" t="n">
        <v>0</v>
      </c>
      <c r="BP356" s="105" t="n">
        <v>0</v>
      </c>
      <c r="BQ356" s="105" t="n">
        <v>0</v>
      </c>
      <c r="BR356" s="106" t="n">
        <v>0.666666666666667</v>
      </c>
      <c r="BS356" s="106" t="n">
        <v>0.677777777777778</v>
      </c>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X356" s="0" t="s">
        <v>815</v>
      </c>
    </row>
    <row r="357" customFormat="false" ht="14.9" hidden="false" customHeight="false" outlineLevel="0" collapsed="false">
      <c r="A357" s="74" t="n">
        <f aca="false">MONTH(B357)</f>
        <v>9</v>
      </c>
      <c r="B357" s="135" t="n">
        <v>44441</v>
      </c>
      <c r="C357" s="128" t="s">
        <v>51</v>
      </c>
      <c r="D357" s="77" t="str">
        <f aca="false">IFERROR(VLOOKUP(E:E,'Item Data Support Sheet'!A:O,7,0),"")</f>
        <v>BOTTLE MOLDED</v>
      </c>
      <c r="E357" s="80" t="s">
        <v>626</v>
      </c>
      <c r="F357" s="122" t="s">
        <v>589</v>
      </c>
      <c r="G357" s="137" t="s">
        <v>74</v>
      </c>
      <c r="H357" s="79" t="str">
        <f aca="false">IFERROR(VLOOKUP(E:E,'Item Data Support Sheet'!A:O,2,0),"")</f>
        <v>RPP 240ML PINK BOTTLE MOLDED (WM3GB)</v>
      </c>
      <c r="I357" s="80" t="s">
        <v>816</v>
      </c>
      <c r="J357" s="80" t="s">
        <v>148</v>
      </c>
      <c r="K357" s="81" t="n">
        <v>8</v>
      </c>
      <c r="L357" s="124" t="n">
        <v>2574</v>
      </c>
      <c r="M357" s="83" t="n">
        <f aca="false">IFERROR(L357/K357,0)</f>
        <v>321.75</v>
      </c>
      <c r="N357" s="84" t="n">
        <f aca="false">+O357+Q357+T357+U357</f>
        <v>1092</v>
      </c>
      <c r="O357" s="85" t="n">
        <v>960</v>
      </c>
      <c r="P357" s="86" t="n">
        <v>0.37</v>
      </c>
      <c r="Q357" s="86" t="n">
        <v>70</v>
      </c>
      <c r="R357" s="132" t="n">
        <v>0</v>
      </c>
      <c r="S357" s="128" t="n">
        <v>0</v>
      </c>
      <c r="T357" s="132" t="n">
        <v>54</v>
      </c>
      <c r="U357" s="128" t="n">
        <v>8</v>
      </c>
      <c r="V357" s="128" t="n">
        <v>1</v>
      </c>
      <c r="W357" s="90" t="n">
        <f aca="false">IFERROR(O357/V357,0)</f>
        <v>960</v>
      </c>
      <c r="X357" s="91" t="n">
        <f aca="false">O357/L357</f>
        <v>0.372960372960373</v>
      </c>
      <c r="Y357" s="92" t="str">
        <f aca="false">IFERROR(VLOOKUP(E:E,'Item Data Support Sheet'!A:J,6,0),0)</f>
        <v>WMG3B</v>
      </c>
      <c r="Z357" s="93" t="n">
        <f aca="false">IFERROR(VLOOKUP(E:E,'Item Data Support Sheet'!A:O,4,0),0)</f>
        <v>33.13</v>
      </c>
      <c r="AA357" s="93" t="n">
        <f aca="false">IFERROR(((N357)*(Z357/1000))+P357,0)</f>
        <v>36.54796</v>
      </c>
      <c r="AB357" s="94" t="n">
        <f aca="false">IFERROR((O357*(Z357/1000)/(AA357))," ")</f>
        <v>0.870220937091974</v>
      </c>
      <c r="AC357" s="95" t="n">
        <f aca="false">IFERROR((T357)/((T357)+O357),0)</f>
        <v>0.0532544378698225</v>
      </c>
      <c r="AD357" s="96" t="n">
        <f aca="false">IFERROR(Q357/(Q357+N357),0)</f>
        <v>0.0602409638554217</v>
      </c>
      <c r="AE357" s="91" t="n">
        <f aca="false">(N357-T357)/N357</f>
        <v>0.95054945054945</v>
      </c>
      <c r="AF357" s="97" t="n">
        <f aca="false">BR357</f>
        <v>5.5</v>
      </c>
      <c r="AG357" s="98" t="n">
        <f aca="false">K357-AF357</f>
        <v>2.5</v>
      </c>
      <c r="AH357" s="99" t="n">
        <f aca="false">IFERROR(AG357/K357," ")</f>
        <v>0.3125</v>
      </c>
      <c r="AI357" s="100" t="n">
        <f aca="false">IFERROR(O357/K357,0)</f>
        <v>120</v>
      </c>
      <c r="AJ357" s="101" t="n">
        <f aca="false">VLOOKUP(D357,'Standard Cycle time'!C:D,2,0)</f>
        <v>9</v>
      </c>
      <c r="AK357" s="101" t="n">
        <f aca="false">AG357*V357*3600/O357</f>
        <v>9.375</v>
      </c>
      <c r="AL357" s="102" t="n">
        <f aca="false">AJ357/AK357</f>
        <v>0.96</v>
      </c>
      <c r="AM357" s="99" t="n">
        <f aca="false">AE357*AL357*AH357</f>
        <v>0.285164835164835</v>
      </c>
      <c r="AN357" s="103" t="n">
        <v>2913</v>
      </c>
      <c r="AO357" s="112" t="s">
        <v>817</v>
      </c>
      <c r="AP357" s="105" t="n">
        <v>0</v>
      </c>
      <c r="AQ357" s="105" t="n">
        <v>0</v>
      </c>
      <c r="AR357" s="105" t="n">
        <v>150</v>
      </c>
      <c r="AS357" s="105" t="n">
        <v>0</v>
      </c>
      <c r="AT357" s="105" t="n">
        <v>0</v>
      </c>
      <c r="AU357" s="105" t="n">
        <v>0</v>
      </c>
      <c r="AV357" s="105" t="n">
        <v>60</v>
      </c>
      <c r="AW357" s="105" t="n">
        <v>120</v>
      </c>
      <c r="AX357" s="105" t="n">
        <v>0</v>
      </c>
      <c r="AY357" s="105" t="n">
        <v>0</v>
      </c>
      <c r="AZ357" s="105" t="n">
        <v>0</v>
      </c>
      <c r="BA357" s="105" t="n">
        <v>0</v>
      </c>
      <c r="BB357" s="105" t="n">
        <v>0</v>
      </c>
      <c r="BC357" s="105" t="n">
        <v>0</v>
      </c>
      <c r="BD357" s="105" t="n">
        <v>0</v>
      </c>
      <c r="BE357" s="105" t="n">
        <v>0</v>
      </c>
      <c r="BF357" s="105" t="n">
        <v>0</v>
      </c>
      <c r="BG357" s="105" t="n">
        <v>0</v>
      </c>
      <c r="BH357" s="105" t="n">
        <v>0</v>
      </c>
      <c r="BI357" s="105" t="n">
        <v>0</v>
      </c>
      <c r="BJ357" s="105" t="n">
        <v>0</v>
      </c>
      <c r="BK357" s="105" t="n">
        <v>0</v>
      </c>
      <c r="BL357" s="105" t="n">
        <v>0</v>
      </c>
      <c r="BM357" s="105" t="n">
        <v>0</v>
      </c>
      <c r="BN357" s="105" t="n">
        <v>0</v>
      </c>
      <c r="BO357" s="105" t="n">
        <v>0</v>
      </c>
      <c r="BP357" s="105" t="n">
        <v>0</v>
      </c>
      <c r="BQ357" s="105" t="n">
        <v>0</v>
      </c>
      <c r="BR357" s="106" t="n">
        <v>5.5</v>
      </c>
      <c r="BS357" s="106" t="n">
        <v>5.59166666666667</v>
      </c>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X357" s="0" t="s">
        <v>155</v>
      </c>
    </row>
    <row r="358" customFormat="false" ht="14.9" hidden="false" customHeight="false" outlineLevel="0" collapsed="false">
      <c r="A358" s="74" t="n">
        <f aca="false">MONTH(B358)</f>
        <v>9</v>
      </c>
      <c r="B358" s="135" t="n">
        <v>44441</v>
      </c>
      <c r="C358" s="128" t="s">
        <v>51</v>
      </c>
      <c r="D358" s="77" t="str">
        <f aca="false">IFERROR(VLOOKUP(E:E,'Item Data Support Sheet'!A:O,7,0),"")</f>
        <v>HOOD MOLDED</v>
      </c>
      <c r="E358" s="80" t="s">
        <v>529</v>
      </c>
      <c r="F358" s="122"/>
      <c r="G358" s="137" t="s">
        <v>740</v>
      </c>
      <c r="H358" s="79" t="str">
        <f aca="false">IFERROR(VLOOKUP(E:E,'Item Data Support Sheet'!A:O,2,0),"")</f>
        <v>HOOD S TYPE MOLDED</v>
      </c>
      <c r="I358" s="80" t="s">
        <v>818</v>
      </c>
      <c r="J358" s="80" t="s">
        <v>148</v>
      </c>
      <c r="K358" s="81" t="n">
        <v>8</v>
      </c>
      <c r="L358" s="124" t="n">
        <v>4137</v>
      </c>
      <c r="M358" s="83" t="n">
        <f aca="false">IFERROR(L358/K358,0)</f>
        <v>517.125</v>
      </c>
      <c r="N358" s="84" t="n">
        <f aca="false">+O358+Q358+T358+U358</f>
        <v>5005</v>
      </c>
      <c r="O358" s="85" t="n">
        <v>5000</v>
      </c>
      <c r="P358" s="86" t="n">
        <v>0.1</v>
      </c>
      <c r="Q358" s="86" t="n">
        <v>5</v>
      </c>
      <c r="R358" s="132" t="n">
        <v>0</v>
      </c>
      <c r="S358" s="128" t="n">
        <v>0</v>
      </c>
      <c r="T358" s="132" t="n">
        <v>0</v>
      </c>
      <c r="U358" s="128" t="n">
        <v>0</v>
      </c>
      <c r="V358" s="128" t="n">
        <v>1</v>
      </c>
      <c r="W358" s="90" t="n">
        <f aca="false">IFERROR(O358/V358,0)</f>
        <v>5000</v>
      </c>
      <c r="X358" s="91" t="n">
        <f aca="false">O358/L358</f>
        <v>1.20860526951898</v>
      </c>
      <c r="Y358" s="92" t="str">
        <f aca="false">IFERROR(VLOOKUP(E:E,'Item Data Support Sheet'!A:J,6,0),0)</f>
        <v>HMC</v>
      </c>
      <c r="Z358" s="93" t="n">
        <f aca="false">IFERROR(VLOOKUP(E:E,'Item Data Support Sheet'!A:O,4,0),0)</f>
        <v>8.6</v>
      </c>
      <c r="AA358" s="93" t="n">
        <f aca="false">IFERROR(((N358)*(Z358/1000))+P358,0)</f>
        <v>43.143</v>
      </c>
      <c r="AB358" s="94" t="n">
        <f aca="false">IFERROR((O358*(Z358/1000)/(AA358))," ")</f>
        <v>0.996685441438936</v>
      </c>
      <c r="AC358" s="95" t="n">
        <f aca="false">IFERROR((T358)/((T358)+O358),0)</f>
        <v>0</v>
      </c>
      <c r="AD358" s="96" t="n">
        <f aca="false">IFERROR(Q358/(Q358+N358),0)</f>
        <v>0.000998003992015968</v>
      </c>
      <c r="AE358" s="91" t="n">
        <f aca="false">(N358-T358)/N358</f>
        <v>1</v>
      </c>
      <c r="AF358" s="97" t="n">
        <f aca="false">BR358</f>
        <v>0</v>
      </c>
      <c r="AG358" s="98" t="n">
        <f aca="false">K358-AF358</f>
        <v>8</v>
      </c>
      <c r="AH358" s="99" t="n">
        <f aca="false">IFERROR(AG358/K358," ")</f>
        <v>1</v>
      </c>
      <c r="AI358" s="100" t="n">
        <f aca="false">IFERROR(O358/K358,0)</f>
        <v>625</v>
      </c>
      <c r="AJ358" s="101" t="n">
        <f aca="false">VLOOKUP(D358,'Standard Cycle time'!C:D,2,0)</f>
        <v>6</v>
      </c>
      <c r="AK358" s="101" t="n">
        <f aca="false">AG358*V358*3600/O358</f>
        <v>5.76</v>
      </c>
      <c r="AL358" s="102" t="n">
        <f aca="false">AJ358/AK358</f>
        <v>1.04166666666667</v>
      </c>
      <c r="AM358" s="99" t="n">
        <f aca="false">AE358*AL358*AH358</f>
        <v>1.04166666666667</v>
      </c>
      <c r="AN358" s="103" t="n">
        <v>2912</v>
      </c>
      <c r="AO358" s="112" t="s">
        <v>461</v>
      </c>
      <c r="AP358" s="105" t="n">
        <v>0</v>
      </c>
      <c r="AQ358" s="105" t="n">
        <v>0</v>
      </c>
      <c r="AR358" s="105" t="n">
        <v>0</v>
      </c>
      <c r="AS358" s="105" t="n">
        <v>0</v>
      </c>
      <c r="AT358" s="105" t="n">
        <v>0</v>
      </c>
      <c r="AU358" s="105" t="n">
        <v>0</v>
      </c>
      <c r="AV358" s="105" t="n">
        <v>0</v>
      </c>
      <c r="AW358" s="105" t="n">
        <v>0</v>
      </c>
      <c r="AX358" s="105" t="n">
        <v>0</v>
      </c>
      <c r="AY358" s="105" t="n">
        <v>0</v>
      </c>
      <c r="AZ358" s="105" t="n">
        <v>0</v>
      </c>
      <c r="BA358" s="105" t="n">
        <v>0</v>
      </c>
      <c r="BB358" s="105" t="n">
        <v>0</v>
      </c>
      <c r="BC358" s="105" t="n">
        <v>0</v>
      </c>
      <c r="BD358" s="105" t="n">
        <v>0</v>
      </c>
      <c r="BE358" s="105" t="n">
        <v>0</v>
      </c>
      <c r="BF358" s="105" t="n">
        <v>0</v>
      </c>
      <c r="BG358" s="105" t="n">
        <v>0</v>
      </c>
      <c r="BH358" s="105" t="n">
        <v>0</v>
      </c>
      <c r="BI358" s="105" t="n">
        <v>0</v>
      </c>
      <c r="BJ358" s="105" t="n">
        <v>0</v>
      </c>
      <c r="BK358" s="105" t="n">
        <v>0</v>
      </c>
      <c r="BL358" s="105" t="n">
        <v>0</v>
      </c>
      <c r="BM358" s="105" t="n">
        <v>0</v>
      </c>
      <c r="BN358" s="105" t="n">
        <v>0</v>
      </c>
      <c r="BO358" s="105" t="n">
        <v>0</v>
      </c>
      <c r="BP358" s="105" t="n">
        <v>0</v>
      </c>
      <c r="BQ358" s="105" t="n">
        <v>0</v>
      </c>
      <c r="BR358" s="106" t="n">
        <v>0</v>
      </c>
      <c r="BS358" s="106" t="n">
        <v>0</v>
      </c>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X358" s="0" t="s">
        <v>158</v>
      </c>
    </row>
    <row r="359" customFormat="false" ht="14.9" hidden="false" customHeight="false" outlineLevel="0" collapsed="false">
      <c r="A359" s="74" t="n">
        <f aca="false">MONTH(B359)</f>
        <v>9</v>
      </c>
      <c r="B359" s="135" t="n">
        <v>44441</v>
      </c>
      <c r="C359" s="128" t="s">
        <v>51</v>
      </c>
      <c r="D359" s="77" t="str">
        <f aca="false">IFERROR(VLOOKUP(E:E,'Item Data Support Sheet'!A:O,7,0),"")</f>
        <v>NIPPLE POSTCURE</v>
      </c>
      <c r="E359" s="80" t="s">
        <v>664</v>
      </c>
      <c r="F359" s="122"/>
      <c r="G359" s="137" t="s">
        <v>149</v>
      </c>
      <c r="H359" s="79" t="str">
        <f aca="false">IFERROR(VLOOKUP(E:E,'Item Data Support Sheet'!A:O,2,0),"")</f>
        <v>NIPPLE S TYPE L SIZE POSTCURED</v>
      </c>
      <c r="I359" s="80" t="s">
        <v>819</v>
      </c>
      <c r="J359" s="80" t="s">
        <v>148</v>
      </c>
      <c r="K359" s="81" t="n">
        <v>8</v>
      </c>
      <c r="L359" s="124" t="n">
        <v>7000</v>
      </c>
      <c r="M359" s="83" t="n">
        <f aca="false">IFERROR(L359/K359,0)</f>
        <v>875</v>
      </c>
      <c r="N359" s="84" t="n">
        <f aca="false">+O359+Q359+T359+U359</f>
        <v>4300</v>
      </c>
      <c r="O359" s="85" t="n">
        <v>4300</v>
      </c>
      <c r="P359" s="86" t="n">
        <v>0</v>
      </c>
      <c r="Q359" s="86" t="n">
        <v>0</v>
      </c>
      <c r="R359" s="132" t="n">
        <v>0</v>
      </c>
      <c r="S359" s="128" t="n">
        <v>0</v>
      </c>
      <c r="T359" s="132" t="n">
        <v>0</v>
      </c>
      <c r="U359" s="128" t="n">
        <v>0</v>
      </c>
      <c r="V359" s="128" t="n">
        <v>1</v>
      </c>
      <c r="W359" s="90" t="n">
        <f aca="false">IFERROR(O359/V359,0)</f>
        <v>4300</v>
      </c>
      <c r="X359" s="91" t="n">
        <f aca="false">O359/L359</f>
        <v>0.614285714285714</v>
      </c>
      <c r="Y359" s="92" t="str">
        <f aca="false">IFERROR(VLOOKUP(E:E,'Item Data Support Sheet'!A:J,6,0),0)</f>
        <v>FO013</v>
      </c>
      <c r="Z359" s="93" t="n">
        <f aca="false">IFERROR(VLOOKUP(E:E,'Item Data Support Sheet'!A:O,4,0),0)</f>
        <v>0</v>
      </c>
      <c r="AA359" s="93" t="n">
        <f aca="false">IFERROR(((N359)*(Z359/1000))+P359,0)</f>
        <v>0</v>
      </c>
      <c r="AB359" s="94" t="str">
        <f aca="false">IFERROR((O359*(Z359/1000)/(AA359))," ")</f>
        <v> </v>
      </c>
      <c r="AC359" s="95" t="n">
        <f aca="false">IFERROR((T359)/((T359)+O359),0)</f>
        <v>0</v>
      </c>
      <c r="AD359" s="96" t="n">
        <f aca="false">IFERROR(Q359/(Q359+N359),0)</f>
        <v>0</v>
      </c>
      <c r="AE359" s="91" t="n">
        <f aca="false">(N359-T359)/N359</f>
        <v>1</v>
      </c>
      <c r="AF359" s="97" t="n">
        <f aca="false">BR359</f>
        <v>4.66666666666667</v>
      </c>
      <c r="AG359" s="98" t="n">
        <f aca="false">K359-AF359</f>
        <v>3.33333333333333</v>
      </c>
      <c r="AH359" s="99" t="n">
        <f aca="false">IFERROR(AG359/K359," ")</f>
        <v>0.416666666666666</v>
      </c>
      <c r="AI359" s="100" t="n">
        <f aca="false">IFERROR(O359/K359,0)</f>
        <v>537.5</v>
      </c>
      <c r="AJ359" s="101" t="n">
        <f aca="false">VLOOKUP(D359,'Standard Cycle time'!C:D,2,0)</f>
        <v>2.3</v>
      </c>
      <c r="AK359" s="101" t="n">
        <f aca="false">AG359*V359*3600/O359</f>
        <v>2.7906976744186</v>
      </c>
      <c r="AL359" s="102" t="n">
        <f aca="false">AJ359/AK359</f>
        <v>0.824166666666667</v>
      </c>
      <c r="AM359" s="99" t="n">
        <f aca="false">AE359*AL359*AH359</f>
        <v>0.343402777777778</v>
      </c>
      <c r="AN359" s="103" t="s">
        <v>820</v>
      </c>
      <c r="AO359" s="112" t="s">
        <v>821</v>
      </c>
      <c r="AP359" s="105" t="n">
        <v>40</v>
      </c>
      <c r="AQ359" s="105" t="n">
        <v>0</v>
      </c>
      <c r="AR359" s="105" t="n">
        <v>0</v>
      </c>
      <c r="AS359" s="105" t="n">
        <v>240</v>
      </c>
      <c r="AT359" s="105" t="n">
        <v>0</v>
      </c>
      <c r="AU359" s="105" t="n">
        <v>0</v>
      </c>
      <c r="AV359" s="105" t="n">
        <v>0</v>
      </c>
      <c r="AW359" s="105" t="n">
        <v>0</v>
      </c>
      <c r="AX359" s="105" t="n">
        <v>0</v>
      </c>
      <c r="AY359" s="105" t="n">
        <v>0</v>
      </c>
      <c r="AZ359" s="105" t="n">
        <v>0</v>
      </c>
      <c r="BA359" s="105" t="n">
        <v>0</v>
      </c>
      <c r="BB359" s="105" t="n">
        <v>0</v>
      </c>
      <c r="BC359" s="105" t="n">
        <v>0</v>
      </c>
      <c r="BD359" s="105" t="n">
        <v>0</v>
      </c>
      <c r="BE359" s="105" t="n">
        <v>0</v>
      </c>
      <c r="BF359" s="105" t="n">
        <v>0</v>
      </c>
      <c r="BG359" s="105" t="n">
        <v>0</v>
      </c>
      <c r="BH359" s="105" t="n">
        <v>0</v>
      </c>
      <c r="BI359" s="105" t="n">
        <v>0</v>
      </c>
      <c r="BJ359" s="105" t="n">
        <v>0</v>
      </c>
      <c r="BK359" s="105" t="n">
        <v>0</v>
      </c>
      <c r="BL359" s="105" t="n">
        <v>0</v>
      </c>
      <c r="BM359" s="105" t="n">
        <v>0</v>
      </c>
      <c r="BN359" s="105" t="n">
        <v>0</v>
      </c>
      <c r="BO359" s="105" t="n">
        <v>0</v>
      </c>
      <c r="BP359" s="105" t="n">
        <v>0</v>
      </c>
      <c r="BQ359" s="105" t="n">
        <v>0</v>
      </c>
      <c r="BR359" s="106" t="n">
        <v>4.66666666666667</v>
      </c>
      <c r="BS359" s="106" t="n">
        <v>4.74444444444444</v>
      </c>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X359" s="0" t="s">
        <v>161</v>
      </c>
    </row>
    <row r="360" customFormat="false" ht="14.9" hidden="false" customHeight="false" outlineLevel="0" collapsed="false">
      <c r="A360" s="74" t="n">
        <f aca="false">MONTH(B360)</f>
        <v>9</v>
      </c>
      <c r="B360" s="135" t="n">
        <v>44441</v>
      </c>
      <c r="C360" s="128" t="s">
        <v>63</v>
      </c>
      <c r="D360" s="77" t="str">
        <f aca="false">IFERROR(VLOOKUP(E:E,'Item Data Support Sheet'!A:O,7,0),"")</f>
        <v>NIPPLE PUNCH INSPECTED</v>
      </c>
      <c r="E360" s="80" t="s">
        <v>688</v>
      </c>
      <c r="F360" s="122"/>
      <c r="G360" s="137"/>
      <c r="H360" s="79" t="str">
        <f aca="false">IFERROR(VLOOKUP(E:E,'Item Data Support Sheet'!A:O,2,0),"")</f>
        <v>NIPPLE S TYPE L SIZE PUNCHED INSPECTED</v>
      </c>
      <c r="I360" s="80" t="s">
        <v>822</v>
      </c>
      <c r="J360" s="80" t="s">
        <v>143</v>
      </c>
      <c r="K360" s="81" t="n">
        <v>8</v>
      </c>
      <c r="L360" s="124" t="n">
        <v>14000</v>
      </c>
      <c r="M360" s="83" t="n">
        <f aca="false">IFERROR(L360/K360,0)</f>
        <v>1750</v>
      </c>
      <c r="N360" s="84" t="n">
        <f aca="false">+O360+Q360+T360+U360</f>
        <v>8400</v>
      </c>
      <c r="O360" s="85" t="n">
        <v>8309</v>
      </c>
      <c r="P360" s="86" t="n">
        <v>0</v>
      </c>
      <c r="Q360" s="86" t="n">
        <v>0</v>
      </c>
      <c r="R360" s="132" t="n">
        <v>0</v>
      </c>
      <c r="S360" s="128" t="n">
        <v>0</v>
      </c>
      <c r="T360" s="132" t="n">
        <v>91</v>
      </c>
      <c r="U360" s="128" t="n">
        <v>0</v>
      </c>
      <c r="V360" s="128" t="n">
        <v>2</v>
      </c>
      <c r="W360" s="90" t="n">
        <f aca="false">IFERROR(O360/V360,0)</f>
        <v>4154.5</v>
      </c>
      <c r="X360" s="91" t="n">
        <f aca="false">O360/L360</f>
        <v>0.5935</v>
      </c>
      <c r="Y360" s="92" t="str">
        <f aca="false">IFERROR(VLOOKUP(E:E,'Item Data Support Sheet'!A:J,6,0),0)</f>
        <v>FO106</v>
      </c>
      <c r="Z360" s="93" t="n">
        <f aca="false">IFERROR(VLOOKUP(E:E,'Item Data Support Sheet'!A:O,4,0),0)</f>
        <v>0</v>
      </c>
      <c r="AA360" s="93" t="n">
        <f aca="false">IFERROR(((N360)*(Z360/1000))+P360,0)</f>
        <v>0</v>
      </c>
      <c r="AB360" s="94" t="str">
        <f aca="false">IFERROR((O360*(Z360/1000)/(AA360))," ")</f>
        <v> </v>
      </c>
      <c r="AC360" s="95" t="n">
        <f aca="false">IFERROR((T360)/((T360)+O360),0)</f>
        <v>0.0108333333333333</v>
      </c>
      <c r="AD360" s="96" t="n">
        <f aca="false">IFERROR(Q360/(Q360+N360),0)</f>
        <v>0</v>
      </c>
      <c r="AE360" s="91" t="n">
        <f aca="false">(N360-T360)/N360</f>
        <v>0.989166666666667</v>
      </c>
      <c r="AF360" s="97" t="n">
        <f aca="false">BR360</f>
        <v>2.5</v>
      </c>
      <c r="AG360" s="98" t="n">
        <f aca="false">K360-AF360</f>
        <v>5.5</v>
      </c>
      <c r="AH360" s="99" t="n">
        <f aca="false">IFERROR(AG360/K360," ")</f>
        <v>0.6875</v>
      </c>
      <c r="AI360" s="100" t="n">
        <f aca="false">IFERROR(O360/K360,0)</f>
        <v>1038.625</v>
      </c>
      <c r="AJ360" s="101" t="n">
        <f aca="false">VLOOKUP(D360,'Standard Cycle time'!C:D,2,0)</f>
        <v>4</v>
      </c>
      <c r="AK360" s="101" t="n">
        <f aca="false">AG360*V360*3600/O360</f>
        <v>4.76591647611024</v>
      </c>
      <c r="AL360" s="102" t="n">
        <f aca="false">AJ360/AK360</f>
        <v>0.839292929292929</v>
      </c>
      <c r="AM360" s="99" t="n">
        <f aca="false">AE360*AL360*AH360</f>
        <v>0.570762905092593</v>
      </c>
      <c r="AN360" s="103" t="s">
        <v>823</v>
      </c>
      <c r="AO360" s="112" t="s">
        <v>824</v>
      </c>
      <c r="AP360" s="105" t="n">
        <v>50</v>
      </c>
      <c r="AQ360" s="105" t="n">
        <v>0</v>
      </c>
      <c r="AR360" s="105" t="n">
        <v>0</v>
      </c>
      <c r="AS360" s="105" t="n">
        <v>0</v>
      </c>
      <c r="AT360" s="105" t="n">
        <v>100</v>
      </c>
      <c r="AU360" s="105" t="n">
        <v>0</v>
      </c>
      <c r="AV360" s="105" t="n">
        <v>0</v>
      </c>
      <c r="AW360" s="105" t="n">
        <v>0</v>
      </c>
      <c r="AX360" s="105" t="n">
        <v>0</v>
      </c>
      <c r="AY360" s="105" t="n">
        <v>0</v>
      </c>
      <c r="AZ360" s="105" t="n">
        <v>0</v>
      </c>
      <c r="BA360" s="105" t="n">
        <v>0</v>
      </c>
      <c r="BB360" s="105" t="n">
        <v>0</v>
      </c>
      <c r="BC360" s="105" t="n">
        <v>0</v>
      </c>
      <c r="BD360" s="105" t="n">
        <v>0</v>
      </c>
      <c r="BE360" s="105" t="n">
        <v>0</v>
      </c>
      <c r="BF360" s="105" t="n">
        <v>0</v>
      </c>
      <c r="BG360" s="105" t="n">
        <v>0</v>
      </c>
      <c r="BH360" s="105" t="n">
        <v>0</v>
      </c>
      <c r="BI360" s="105" t="n">
        <v>0</v>
      </c>
      <c r="BJ360" s="105" t="n">
        <v>0</v>
      </c>
      <c r="BK360" s="105" t="n">
        <v>0</v>
      </c>
      <c r="BL360" s="105" t="n">
        <v>0</v>
      </c>
      <c r="BM360" s="105" t="n">
        <v>0</v>
      </c>
      <c r="BN360" s="105" t="n">
        <v>0</v>
      </c>
      <c r="BO360" s="105" t="n">
        <v>0</v>
      </c>
      <c r="BP360" s="105" t="n">
        <v>0</v>
      </c>
      <c r="BQ360" s="105" t="n">
        <v>0</v>
      </c>
      <c r="BR360" s="106" t="n">
        <v>2.5</v>
      </c>
      <c r="BS360" s="106" t="n">
        <v>2.54166666666667</v>
      </c>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row>
    <row r="361" customFormat="false" ht="14.9" hidden="false" customHeight="false" outlineLevel="0" collapsed="false">
      <c r="A361" s="74" t="n">
        <f aca="false">MONTH(B361)</f>
        <v>9</v>
      </c>
      <c r="B361" s="135" t="n">
        <v>44441</v>
      </c>
      <c r="C361" s="128" t="s">
        <v>63</v>
      </c>
      <c r="D361" s="77" t="str">
        <f aca="false">IFERROR(VLOOKUP(E:E,'Item Data Support Sheet'!A:O,7,0),"")</f>
        <v>BOTTLE PRINTED</v>
      </c>
      <c r="E361" s="80" t="s">
        <v>825</v>
      </c>
      <c r="F361" s="122"/>
      <c r="G361" s="137" t="s">
        <v>66</v>
      </c>
      <c r="H361" s="79" t="str">
        <f aca="false">IFERROR(VLOOKUP(E:E,'Item Data Support Sheet'!A:O,2,0),"")</f>
        <v>KPP 240 BOTTLE PRINTED-WMG3B (OZ SCALE)</v>
      </c>
      <c r="I361" s="80" t="s">
        <v>826</v>
      </c>
      <c r="J361" s="80" t="s">
        <v>143</v>
      </c>
      <c r="K361" s="81" t="n">
        <v>6.5</v>
      </c>
      <c r="L361" s="124" t="n">
        <v>4400</v>
      </c>
      <c r="M361" s="83" t="n">
        <f aca="false">IFERROR(L361/K361,0)</f>
        <v>676.923076923077</v>
      </c>
      <c r="N361" s="84" t="n">
        <f aca="false">+O361+Q361+T361+U361</f>
        <v>4199</v>
      </c>
      <c r="O361" s="85" t="n">
        <v>4144</v>
      </c>
      <c r="P361" s="86" t="n">
        <v>0</v>
      </c>
      <c r="Q361" s="86" t="n">
        <v>0</v>
      </c>
      <c r="R361" s="132" t="n">
        <v>24</v>
      </c>
      <c r="S361" s="128" t="n">
        <v>0</v>
      </c>
      <c r="T361" s="132" t="n">
        <v>55</v>
      </c>
      <c r="U361" s="128" t="n">
        <v>0</v>
      </c>
      <c r="V361" s="128" t="n">
        <v>6</v>
      </c>
      <c r="W361" s="90" t="n">
        <f aca="false">IFERROR(O361/V361,0)</f>
        <v>690.666666666667</v>
      </c>
      <c r="X361" s="91" t="n">
        <f aca="false">O361/L361</f>
        <v>0.941818181818182</v>
      </c>
      <c r="Y361" s="92" t="str">
        <f aca="false">IFERROR(VLOOKUP(E:E,'Item Data Support Sheet'!A:J,6,0),0)</f>
        <v>FO044</v>
      </c>
      <c r="Z361" s="93" t="n">
        <f aca="false">IFERROR(VLOOKUP(E:E,'Item Data Support Sheet'!A:O,4,0),0)</f>
        <v>0</v>
      </c>
      <c r="AA361" s="93" t="n">
        <f aca="false">IFERROR(((N361)*(Z361/1000))+P361,0)</f>
        <v>0</v>
      </c>
      <c r="AB361" s="94" t="str">
        <f aca="false">IFERROR((O361*(Z361/1000)/(AA361))," ")</f>
        <v> </v>
      </c>
      <c r="AC361" s="95" t="n">
        <f aca="false">IFERROR((T361)/((T361)+O361),0)</f>
        <v>0.0130983567516075</v>
      </c>
      <c r="AD361" s="96" t="n">
        <f aca="false">IFERROR(Q361/(Q361+N361),0)</f>
        <v>0</v>
      </c>
      <c r="AE361" s="91" t="n">
        <f aca="false">(N361-T361)/N361</f>
        <v>0.986901643248392</v>
      </c>
      <c r="AF361" s="97" t="n">
        <f aca="false">BR361</f>
        <v>0.833333333333333</v>
      </c>
      <c r="AG361" s="98" t="n">
        <f aca="false">K361-AF361</f>
        <v>5.66666666666667</v>
      </c>
      <c r="AH361" s="99" t="n">
        <f aca="false">IFERROR(AG361/K361," ")</f>
        <v>0.871794871794872</v>
      </c>
      <c r="AI361" s="100" t="n">
        <f aca="false">IFERROR(O361/K361,0)</f>
        <v>637.538461538462</v>
      </c>
      <c r="AJ361" s="101" t="n">
        <f aca="false">VLOOKUP(D361,'Standard Cycle time'!C:D,2,0)</f>
        <v>32.4</v>
      </c>
      <c r="AK361" s="101" t="n">
        <f aca="false">AG361*V361*3600/O361</f>
        <v>29.5366795366795</v>
      </c>
      <c r="AL361" s="102" t="n">
        <f aca="false">AJ361/AK361</f>
        <v>1.09694117647059</v>
      </c>
      <c r="AM361" s="99" t="n">
        <f aca="false">AE361*AL361*AH361</f>
        <v>0.94378163298954</v>
      </c>
      <c r="AN361" s="103" t="s">
        <v>827</v>
      </c>
      <c r="AO361" s="112" t="s">
        <v>828</v>
      </c>
      <c r="AP361" s="105" t="n">
        <v>50</v>
      </c>
      <c r="AQ361" s="105" t="n">
        <v>0</v>
      </c>
      <c r="AR361" s="105" t="n">
        <v>0</v>
      </c>
      <c r="AS361" s="105" t="n">
        <v>0</v>
      </c>
      <c r="AT361" s="105" t="n">
        <v>0</v>
      </c>
      <c r="AU361" s="105" t="n">
        <v>0</v>
      </c>
      <c r="AV361" s="105" t="n">
        <v>0</v>
      </c>
      <c r="AW361" s="105" t="n">
        <v>0</v>
      </c>
      <c r="AX361" s="105" t="n">
        <v>0</v>
      </c>
      <c r="AY361" s="105" t="n">
        <v>0</v>
      </c>
      <c r="AZ361" s="105" t="n">
        <v>0</v>
      </c>
      <c r="BA361" s="105" t="n">
        <v>0</v>
      </c>
      <c r="BB361" s="105" t="n">
        <v>0</v>
      </c>
      <c r="BC361" s="105" t="n">
        <v>0</v>
      </c>
      <c r="BD361" s="105" t="n">
        <v>0</v>
      </c>
      <c r="BE361" s="105" t="n">
        <v>0</v>
      </c>
      <c r="BF361" s="105" t="n">
        <v>0</v>
      </c>
      <c r="BG361" s="105" t="n">
        <v>0</v>
      </c>
      <c r="BH361" s="105" t="n">
        <v>0</v>
      </c>
      <c r="BI361" s="105" t="n">
        <v>0</v>
      </c>
      <c r="BJ361" s="105" t="n">
        <v>0</v>
      </c>
      <c r="BK361" s="105" t="n">
        <v>0</v>
      </c>
      <c r="BL361" s="105" t="n">
        <v>0</v>
      </c>
      <c r="BM361" s="105" t="n">
        <v>0</v>
      </c>
      <c r="BN361" s="105" t="n">
        <v>0</v>
      </c>
      <c r="BO361" s="105" t="n">
        <v>0</v>
      </c>
      <c r="BP361" s="105" t="n">
        <v>0</v>
      </c>
      <c r="BQ361" s="105" t="n">
        <v>0</v>
      </c>
      <c r="BR361" s="106" t="n">
        <v>0.833333333333333</v>
      </c>
      <c r="BS361" s="106" t="n">
        <v>0.847222222222222</v>
      </c>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row>
    <row r="362" customFormat="false" ht="14.9" hidden="false" customHeight="false" outlineLevel="0" collapsed="false">
      <c r="A362" s="74" t="n">
        <f aca="false">MONTH(B362)</f>
        <v>9</v>
      </c>
      <c r="B362" s="135" t="n">
        <v>44441</v>
      </c>
      <c r="C362" s="128" t="s">
        <v>63</v>
      </c>
      <c r="D362" s="77" t="str">
        <f aca="false">IFERROR(VLOOKUP(E:E,'Item Data Support Sheet'!A:O,7,0),"")</f>
        <v>BOTTLE PRINTED</v>
      </c>
      <c r="E362" s="80" t="s">
        <v>829</v>
      </c>
      <c r="F362" s="122"/>
      <c r="G362" s="137" t="s">
        <v>66</v>
      </c>
      <c r="H362" s="79" t="str">
        <f aca="false">IFERROR(VLOOKUP(E:E,'Item Data Support Sheet'!A:O,2,0),"")</f>
        <v>KPP 120 BOTTLE PRINTED-WMG3B (OZ SCALE)</v>
      </c>
      <c r="I362" s="80" t="s">
        <v>830</v>
      </c>
      <c r="J362" s="80" t="s">
        <v>143</v>
      </c>
      <c r="K362" s="81" t="n">
        <v>2</v>
      </c>
      <c r="L362" s="124" t="n">
        <v>500</v>
      </c>
      <c r="M362" s="83" t="n">
        <f aca="false">IFERROR(L362/K362,0)</f>
        <v>250</v>
      </c>
      <c r="N362" s="84" t="n">
        <f aca="false">+O362+Q362+T362+U362</f>
        <v>545</v>
      </c>
      <c r="O362" s="85" t="n">
        <v>540</v>
      </c>
      <c r="P362" s="86" t="n">
        <v>0</v>
      </c>
      <c r="Q362" s="86" t="n">
        <v>0</v>
      </c>
      <c r="R362" s="132" t="n">
        <v>4</v>
      </c>
      <c r="S362" s="128" t="n">
        <v>0</v>
      </c>
      <c r="T362" s="132" t="n">
        <v>5</v>
      </c>
      <c r="U362" s="128" t="n">
        <v>0</v>
      </c>
      <c r="V362" s="128" t="n">
        <v>6</v>
      </c>
      <c r="W362" s="90" t="n">
        <f aca="false">IFERROR(O362/V362,0)</f>
        <v>90</v>
      </c>
      <c r="X362" s="91" t="n">
        <f aca="false">O362/L362</f>
        <v>1.08</v>
      </c>
      <c r="Y362" s="92" t="str">
        <f aca="false">IFERROR(VLOOKUP(E:E,'Item Data Support Sheet'!A:J,6,0),0)</f>
        <v>FO042</v>
      </c>
      <c r="Z362" s="93" t="n">
        <f aca="false">IFERROR(VLOOKUP(E:E,'Item Data Support Sheet'!A:O,4,0),0)</f>
        <v>0</v>
      </c>
      <c r="AA362" s="93" t="n">
        <f aca="false">IFERROR(((N362)*(Z362/1000))+P362,0)</f>
        <v>0</v>
      </c>
      <c r="AB362" s="94" t="str">
        <f aca="false">IFERROR((O362*(Z362/1000)/(AA362))," ")</f>
        <v> </v>
      </c>
      <c r="AC362" s="95" t="n">
        <f aca="false">IFERROR((T362)/((T362)+O362),0)</f>
        <v>0.0091743119266055</v>
      </c>
      <c r="AD362" s="96" t="n">
        <f aca="false">IFERROR(Q362/(Q362+N362),0)</f>
        <v>0</v>
      </c>
      <c r="AE362" s="91" t="n">
        <f aca="false">(N362-T362)/N362</f>
        <v>0.990825688073394</v>
      </c>
      <c r="AF362" s="97" t="n">
        <f aca="false">BR362</f>
        <v>1.16666666666667</v>
      </c>
      <c r="AG362" s="98" t="n">
        <f aca="false">K362-AF362</f>
        <v>0.83333333333333</v>
      </c>
      <c r="AH362" s="99" t="n">
        <f aca="false">IFERROR(AG362/K362," ")</f>
        <v>0.416666666666665</v>
      </c>
      <c r="AI362" s="100" t="n">
        <f aca="false">IFERROR(O362/K362,0)</f>
        <v>270</v>
      </c>
      <c r="AJ362" s="101" t="n">
        <f aca="false">VLOOKUP(D362,'Standard Cycle time'!C:D,2,0)</f>
        <v>32.4</v>
      </c>
      <c r="AK362" s="101" t="n">
        <f aca="false">AG362*V362*3600/O362</f>
        <v>33.3333333333332</v>
      </c>
      <c r="AL362" s="102" t="n">
        <f aca="false">AJ362/AK362</f>
        <v>0.972000000000004</v>
      </c>
      <c r="AM362" s="99" t="n">
        <f aca="false">AE362*AL362*AH362</f>
        <v>0.401284403669725</v>
      </c>
      <c r="AN362" s="103" t="n">
        <v>2933</v>
      </c>
      <c r="AO362" s="112" t="s">
        <v>831</v>
      </c>
      <c r="AP362" s="105" t="n">
        <v>0</v>
      </c>
      <c r="AQ362" s="105" t="n">
        <v>70</v>
      </c>
      <c r="AR362" s="105" t="n">
        <v>0</v>
      </c>
      <c r="AS362" s="105" t="n">
        <v>0</v>
      </c>
      <c r="AT362" s="105" t="n">
        <v>0</v>
      </c>
      <c r="AU362" s="105" t="n">
        <v>0</v>
      </c>
      <c r="AV362" s="105" t="n">
        <v>0</v>
      </c>
      <c r="AW362" s="105" t="n">
        <v>0</v>
      </c>
      <c r="AX362" s="105" t="n">
        <v>0</v>
      </c>
      <c r="AY362" s="105" t="n">
        <v>0</v>
      </c>
      <c r="AZ362" s="105" t="n">
        <v>0</v>
      </c>
      <c r="BA362" s="105" t="n">
        <v>0</v>
      </c>
      <c r="BB362" s="105" t="n">
        <v>0</v>
      </c>
      <c r="BC362" s="105" t="n">
        <v>0</v>
      </c>
      <c r="BD362" s="105" t="n">
        <v>0</v>
      </c>
      <c r="BE362" s="105" t="n">
        <v>0</v>
      </c>
      <c r="BF362" s="105" t="n">
        <v>0</v>
      </c>
      <c r="BG362" s="105" t="n">
        <v>0</v>
      </c>
      <c r="BH362" s="105" t="n">
        <v>0</v>
      </c>
      <c r="BI362" s="105" t="n">
        <v>0</v>
      </c>
      <c r="BJ362" s="105" t="n">
        <v>0</v>
      </c>
      <c r="BK362" s="105" t="n">
        <v>0</v>
      </c>
      <c r="BL362" s="105" t="n">
        <v>0</v>
      </c>
      <c r="BM362" s="105" t="n">
        <v>0</v>
      </c>
      <c r="BN362" s="105" t="n">
        <v>0</v>
      </c>
      <c r="BO362" s="105" t="n">
        <v>0</v>
      </c>
      <c r="BP362" s="105" t="n">
        <v>0</v>
      </c>
      <c r="BQ362" s="105" t="n">
        <v>0</v>
      </c>
      <c r="BR362" s="106" t="n">
        <v>1.16666666666667</v>
      </c>
      <c r="BS362" s="106" t="n">
        <v>1.18611111111111</v>
      </c>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row>
    <row r="363" customFormat="false" ht="14.9" hidden="false" customHeight="false" outlineLevel="0" collapsed="false">
      <c r="A363" s="74" t="n">
        <f aca="false">MONTH(B363)</f>
        <v>9</v>
      </c>
      <c r="B363" s="135" t="n">
        <v>44441</v>
      </c>
      <c r="C363" s="128" t="s">
        <v>70</v>
      </c>
      <c r="D363" s="77" t="str">
        <f aca="false">IFERROR(VLOOKUP(E:E,'Item Data Support Sheet'!A:O,7,0),"")</f>
        <v>NIPPLE LASER MARKING</v>
      </c>
      <c r="E363" s="80" t="s">
        <v>681</v>
      </c>
      <c r="F363" s="122"/>
      <c r="G363" s="137" t="s">
        <v>517</v>
      </c>
      <c r="H363" s="79" t="str">
        <f aca="false">IFERROR(VLOOKUP(E:E,'Item Data Support Sheet'!A:O,2,0),"")</f>
        <v>NIPPLE S TYPE L SIZE PUNCHED LASER MARKED</v>
      </c>
      <c r="I363" s="80" t="s">
        <v>806</v>
      </c>
      <c r="J363" s="80" t="s">
        <v>143</v>
      </c>
      <c r="K363" s="81" t="n">
        <v>8</v>
      </c>
      <c r="L363" s="124" t="n">
        <v>7036</v>
      </c>
      <c r="M363" s="83" t="n">
        <f aca="false">IFERROR(L363/K363,0)</f>
        <v>879.5</v>
      </c>
      <c r="N363" s="84" t="n">
        <f aca="false">+O363+Q363+T363+U363</f>
        <v>7200</v>
      </c>
      <c r="O363" s="85" t="n">
        <v>7200</v>
      </c>
      <c r="P363" s="86" t="n">
        <v>0</v>
      </c>
      <c r="Q363" s="86" t="n">
        <v>0</v>
      </c>
      <c r="R363" s="132" t="n">
        <v>0</v>
      </c>
      <c r="S363" s="128" t="n">
        <v>0</v>
      </c>
      <c r="T363" s="132" t="n">
        <v>0</v>
      </c>
      <c r="U363" s="128" t="n">
        <v>0</v>
      </c>
      <c r="V363" s="128" t="n">
        <v>1</v>
      </c>
      <c r="W363" s="90" t="n">
        <f aca="false">IFERROR(O363/V363,0)</f>
        <v>7200</v>
      </c>
      <c r="X363" s="91" t="n">
        <f aca="false">O363/L363</f>
        <v>1.02330869812393</v>
      </c>
      <c r="Y363" s="92" t="str">
        <f aca="false">IFERROR(VLOOKUP(E:E,'Item Data Support Sheet'!A:J,6,0),0)</f>
        <v>FO021</v>
      </c>
      <c r="Z363" s="93" t="n">
        <f aca="false">IFERROR(VLOOKUP(E:E,'Item Data Support Sheet'!A:O,4,0),0)</f>
        <v>0</v>
      </c>
      <c r="AA363" s="93" t="n">
        <f aca="false">IFERROR(((N363)*(Z363/1000))+P363,0)</f>
        <v>0</v>
      </c>
      <c r="AB363" s="94" t="str">
        <f aca="false">IFERROR((O363*(Z363/1000)/(AA363))," ")</f>
        <v> </v>
      </c>
      <c r="AC363" s="95" t="n">
        <f aca="false">IFERROR((T363)/((T363)+O363),0)</f>
        <v>0</v>
      </c>
      <c r="AD363" s="96" t="n">
        <f aca="false">IFERROR(Q363/(Q363+N363),0)</f>
        <v>0</v>
      </c>
      <c r="AE363" s="91" t="n">
        <f aca="false">(N363-T363)/N363</f>
        <v>1</v>
      </c>
      <c r="AF363" s="97" t="n">
        <f aca="false">BR363</f>
        <v>0.666666666666667</v>
      </c>
      <c r="AG363" s="98" t="n">
        <f aca="false">K363-AF363</f>
        <v>7.33333333333333</v>
      </c>
      <c r="AH363" s="99" t="n">
        <f aca="false">IFERROR(AG363/K363," ")</f>
        <v>0.916666666666667</v>
      </c>
      <c r="AI363" s="100" t="n">
        <f aca="false">IFERROR(O363/K363,0)</f>
        <v>900</v>
      </c>
      <c r="AJ363" s="101" t="n">
        <f aca="false">VLOOKUP(D363,'Standard Cycle time'!C:D,2,0)</f>
        <v>3.5</v>
      </c>
      <c r="AK363" s="101" t="n">
        <f aca="false">AG363*V363*3600/O363</f>
        <v>3.66666666666667</v>
      </c>
      <c r="AL363" s="102" t="n">
        <f aca="false">AJ363/AK363</f>
        <v>0.954545454545455</v>
      </c>
      <c r="AM363" s="99" t="n">
        <f aca="false">AE363*AL363*AH363</f>
        <v>0.875</v>
      </c>
      <c r="AN363" s="103" t="s">
        <v>832</v>
      </c>
      <c r="AO363" s="112" t="s">
        <v>461</v>
      </c>
      <c r="AP363" s="105" t="n">
        <v>40</v>
      </c>
      <c r="AQ363" s="105" t="n">
        <v>0</v>
      </c>
      <c r="AR363" s="105" t="n">
        <v>0</v>
      </c>
      <c r="AS363" s="105" t="n">
        <v>0</v>
      </c>
      <c r="AT363" s="105" t="n">
        <v>0</v>
      </c>
      <c r="AU363" s="105" t="n">
        <v>0</v>
      </c>
      <c r="AV363" s="105" t="n">
        <v>0</v>
      </c>
      <c r="AW363" s="105" t="n">
        <v>0</v>
      </c>
      <c r="AX363" s="105" t="n">
        <v>0</v>
      </c>
      <c r="AY363" s="105" t="n">
        <v>0</v>
      </c>
      <c r="AZ363" s="105" t="n">
        <v>0</v>
      </c>
      <c r="BA363" s="105" t="n">
        <v>0</v>
      </c>
      <c r="BB363" s="105" t="n">
        <v>0</v>
      </c>
      <c r="BC363" s="105" t="n">
        <v>0</v>
      </c>
      <c r="BD363" s="105" t="n">
        <v>0</v>
      </c>
      <c r="BE363" s="105" t="n">
        <v>0</v>
      </c>
      <c r="BF363" s="105" t="n">
        <v>0</v>
      </c>
      <c r="BG363" s="105" t="n">
        <v>0</v>
      </c>
      <c r="BH363" s="105" t="n">
        <v>0</v>
      </c>
      <c r="BI363" s="105" t="n">
        <v>0</v>
      </c>
      <c r="BJ363" s="105" t="n">
        <v>0</v>
      </c>
      <c r="BK363" s="105" t="n">
        <v>0</v>
      </c>
      <c r="BL363" s="105" t="n">
        <v>0</v>
      </c>
      <c r="BM363" s="105" t="n">
        <v>0</v>
      </c>
      <c r="BN363" s="105" t="n">
        <v>0</v>
      </c>
      <c r="BO363" s="105" t="n">
        <v>0</v>
      </c>
      <c r="BP363" s="105" t="n">
        <v>0</v>
      </c>
      <c r="BQ363" s="105" t="n">
        <v>0</v>
      </c>
      <c r="BR363" s="106" t="n">
        <v>0.666666666666667</v>
      </c>
      <c r="BS363" s="106" t="n">
        <v>0.677777777777778</v>
      </c>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row>
    <row r="364" customFormat="false" ht="14.9" hidden="false" customHeight="false" outlineLevel="0" collapsed="false">
      <c r="A364" s="74" t="n">
        <f aca="false">MONTH(B364)</f>
        <v>9</v>
      </c>
      <c r="B364" s="135" t="n">
        <v>44441</v>
      </c>
      <c r="C364" s="128" t="s">
        <v>70</v>
      </c>
      <c r="D364" s="77" t="str">
        <f aca="false">IFERROR(VLOOKUP(E:E,'Item Data Support Sheet'!A:O,7,0),"")</f>
        <v>NIPPLE PUNCH</v>
      </c>
      <c r="E364" s="80" t="s">
        <v>666</v>
      </c>
      <c r="F364" s="122"/>
      <c r="G364" s="137" t="s">
        <v>54</v>
      </c>
      <c r="H364" s="79" t="str">
        <f aca="false">IFERROR(VLOOKUP(E:E,'Item Data Support Sheet'!A:O,2,0),"")</f>
        <v>NIPPLE S TYPE L SIZE PUNCHED</v>
      </c>
      <c r="I364" s="80" t="s">
        <v>833</v>
      </c>
      <c r="J364" s="80" t="s">
        <v>143</v>
      </c>
      <c r="K364" s="81" t="n">
        <v>4.5</v>
      </c>
      <c r="L364" s="124" t="n">
        <v>4036</v>
      </c>
      <c r="M364" s="83" t="n">
        <f aca="false">IFERROR(L364/K364,0)</f>
        <v>896.888888888889</v>
      </c>
      <c r="N364" s="84" t="n">
        <f aca="false">+O364+Q364+T364+U364</f>
        <v>4300</v>
      </c>
      <c r="O364" s="85" t="n">
        <v>4300</v>
      </c>
      <c r="P364" s="86" t="n">
        <v>0</v>
      </c>
      <c r="Q364" s="86" t="n">
        <v>0</v>
      </c>
      <c r="R364" s="132" t="n">
        <v>0</v>
      </c>
      <c r="S364" s="128" t="n">
        <v>0</v>
      </c>
      <c r="T364" s="132" t="n">
        <v>0</v>
      </c>
      <c r="U364" s="128" t="n">
        <v>0</v>
      </c>
      <c r="V364" s="128" t="n">
        <v>1</v>
      </c>
      <c r="W364" s="90" t="n">
        <f aca="false">IFERROR(O364/V364,0)</f>
        <v>4300</v>
      </c>
      <c r="X364" s="91" t="n">
        <f aca="false">O364/L364</f>
        <v>1.06541129831516</v>
      </c>
      <c r="Y364" s="92" t="str">
        <f aca="false">IFERROR(VLOOKUP(E:E,'Item Data Support Sheet'!A:J,6,0),0)</f>
        <v>FO017</v>
      </c>
      <c r="Z364" s="93" t="n">
        <f aca="false">IFERROR(VLOOKUP(E:E,'Item Data Support Sheet'!A:O,4,0),0)</f>
        <v>0</v>
      </c>
      <c r="AA364" s="93" t="n">
        <f aca="false">IFERROR(((N364)*(Z364/1000))+P364,0)</f>
        <v>0</v>
      </c>
      <c r="AB364" s="94" t="str">
        <f aca="false">IFERROR((O364*(Z364/1000)/(AA364))," ")</f>
        <v> </v>
      </c>
      <c r="AC364" s="95" t="n">
        <f aca="false">IFERROR((T364)/((T364)+O364),0)</f>
        <v>0</v>
      </c>
      <c r="AD364" s="96" t="n">
        <f aca="false">IFERROR(Q364/(Q364+N364),0)</f>
        <v>0</v>
      </c>
      <c r="AE364" s="91" t="n">
        <f aca="false">(N364-T364)/N364</f>
        <v>1</v>
      </c>
      <c r="AF364" s="97" t="n">
        <f aca="false">BR364</f>
        <v>0.666666666666667</v>
      </c>
      <c r="AG364" s="98" t="n">
        <f aca="false">K364-AF364</f>
        <v>3.83333333333333</v>
      </c>
      <c r="AH364" s="99" t="n">
        <f aca="false">IFERROR(AG364/K364," ")</f>
        <v>0.851851851851852</v>
      </c>
      <c r="AI364" s="100" t="n">
        <f aca="false">IFERROR(O364/K364,0)</f>
        <v>955.555555555556</v>
      </c>
      <c r="AJ364" s="101" t="n">
        <f aca="false">VLOOKUP(D364,'Standard Cycle time'!C:D,2,0)</f>
        <v>3.5</v>
      </c>
      <c r="AK364" s="101" t="n">
        <f aca="false">AG364*V364*3600/O364</f>
        <v>3.20930232558139</v>
      </c>
      <c r="AL364" s="102" t="n">
        <f aca="false">AJ364/AK364</f>
        <v>1.09057971014493</v>
      </c>
      <c r="AM364" s="99" t="n">
        <f aca="false">AE364*AL364*AH364</f>
        <v>0.929012345679012</v>
      </c>
      <c r="AN364" s="103" t="n">
        <v>2924</v>
      </c>
      <c r="AO364" s="112"/>
      <c r="AP364" s="105" t="n">
        <v>40</v>
      </c>
      <c r="AQ364" s="105" t="n">
        <v>0</v>
      </c>
      <c r="AR364" s="105" t="n">
        <v>0</v>
      </c>
      <c r="AS364" s="105" t="n">
        <v>0</v>
      </c>
      <c r="AT364" s="105" t="n">
        <v>0</v>
      </c>
      <c r="AU364" s="105" t="n">
        <v>0</v>
      </c>
      <c r="AV364" s="105" t="n">
        <v>0</v>
      </c>
      <c r="AW364" s="105" t="n">
        <v>0</v>
      </c>
      <c r="AX364" s="105" t="n">
        <v>0</v>
      </c>
      <c r="AY364" s="105" t="n">
        <v>0</v>
      </c>
      <c r="AZ364" s="105" t="n">
        <v>0</v>
      </c>
      <c r="BA364" s="105" t="n">
        <v>0</v>
      </c>
      <c r="BB364" s="105" t="n">
        <v>0</v>
      </c>
      <c r="BC364" s="105" t="n">
        <v>0</v>
      </c>
      <c r="BD364" s="105" t="n">
        <v>0</v>
      </c>
      <c r="BE364" s="105" t="n">
        <v>0</v>
      </c>
      <c r="BF364" s="105" t="n">
        <v>0</v>
      </c>
      <c r="BG364" s="105" t="n">
        <v>0</v>
      </c>
      <c r="BH364" s="105" t="n">
        <v>0</v>
      </c>
      <c r="BI364" s="105" t="n">
        <v>0</v>
      </c>
      <c r="BJ364" s="105" t="n">
        <v>0</v>
      </c>
      <c r="BK364" s="105" t="n">
        <v>0</v>
      </c>
      <c r="BL364" s="105" t="n">
        <v>0</v>
      </c>
      <c r="BM364" s="105" t="n">
        <v>0</v>
      </c>
      <c r="BN364" s="105" t="n">
        <v>0</v>
      </c>
      <c r="BO364" s="105" t="n">
        <v>0</v>
      </c>
      <c r="BP364" s="105" t="n">
        <v>0</v>
      </c>
      <c r="BQ364" s="105" t="n">
        <v>0</v>
      </c>
      <c r="BR364" s="106" t="n">
        <v>0.666666666666667</v>
      </c>
      <c r="BS364" s="106" t="n">
        <v>0.677777777777778</v>
      </c>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row>
    <row r="365" customFormat="false" ht="14.9" hidden="false" customHeight="false" outlineLevel="0" collapsed="false">
      <c r="A365" s="74" t="n">
        <f aca="false">MONTH(B365)</f>
        <v>9</v>
      </c>
      <c r="B365" s="135" t="n">
        <v>44441</v>
      </c>
      <c r="C365" s="128" t="s">
        <v>70</v>
      </c>
      <c r="D365" s="77" t="str">
        <f aca="false">IFERROR(VLOOKUP(E:E,'Item Data Support Sheet'!A:O,7,0),"")</f>
        <v>NIPPLE PUNCH</v>
      </c>
      <c r="E365" s="80" t="s">
        <v>834</v>
      </c>
      <c r="F365" s="122"/>
      <c r="G365" s="137" t="s">
        <v>54</v>
      </c>
      <c r="H365" s="79" t="str">
        <f aca="false">IFERROR(VLOOKUP(E:E,'Item Data Support Sheet'!A:O,2,0),"")</f>
        <v>NIPPLE S TYPE Y SIZE PUNCHED</v>
      </c>
      <c r="I365" s="80" t="s">
        <v>835</v>
      </c>
      <c r="J365" s="80" t="s">
        <v>143</v>
      </c>
      <c r="K365" s="81" t="n">
        <v>3.5</v>
      </c>
      <c r="L365" s="124" t="n">
        <v>3000</v>
      </c>
      <c r="M365" s="83" t="n">
        <f aca="false">IFERROR(L365/K365,0)</f>
        <v>857.142857142857</v>
      </c>
      <c r="N365" s="84" t="n">
        <f aca="false">+O365+Q365+T365+U365</f>
        <v>2000</v>
      </c>
      <c r="O365" s="85" t="n">
        <v>2000</v>
      </c>
      <c r="P365" s="86" t="n">
        <v>0</v>
      </c>
      <c r="Q365" s="86" t="n">
        <v>0</v>
      </c>
      <c r="R365" s="132" t="n">
        <v>0</v>
      </c>
      <c r="S365" s="128" t="n">
        <v>0</v>
      </c>
      <c r="T365" s="132" t="n">
        <v>0</v>
      </c>
      <c r="U365" s="128" t="n">
        <v>0</v>
      </c>
      <c r="V365" s="128" t="n">
        <v>1</v>
      </c>
      <c r="W365" s="90" t="n">
        <f aca="false">IFERROR(O365/V365,0)</f>
        <v>2000</v>
      </c>
      <c r="X365" s="91" t="n">
        <f aca="false">O365/L365</f>
        <v>0.666666666666667</v>
      </c>
      <c r="Y365" s="92" t="str">
        <f aca="false">IFERROR(VLOOKUP(E:E,'Item Data Support Sheet'!A:J,6,0),0)</f>
        <v>FO018</v>
      </c>
      <c r="Z365" s="93" t="n">
        <f aca="false">IFERROR(VLOOKUP(E:E,'Item Data Support Sheet'!A:O,4,0),0)</f>
        <v>0</v>
      </c>
      <c r="AA365" s="93" t="n">
        <f aca="false">IFERROR(((N365)*(Z365/1000))+P365,0)</f>
        <v>0</v>
      </c>
      <c r="AB365" s="94" t="str">
        <f aca="false">IFERROR((O365*(Z365/1000)/(AA365))," ")</f>
        <v> </v>
      </c>
      <c r="AC365" s="95" t="n">
        <f aca="false">IFERROR((T365)/((T365)+O365),0)</f>
        <v>0</v>
      </c>
      <c r="AD365" s="96" t="n">
        <f aca="false">IFERROR(Q365/(Q365+N365),0)</f>
        <v>0</v>
      </c>
      <c r="AE365" s="91" t="n">
        <f aca="false">(N365-T365)/N365</f>
        <v>1</v>
      </c>
      <c r="AF365" s="97" t="n">
        <f aca="false">BR365</f>
        <v>1.16666666666667</v>
      </c>
      <c r="AG365" s="98" t="n">
        <f aca="false">K365-AF365</f>
        <v>2.33333333333333</v>
      </c>
      <c r="AH365" s="99" t="n">
        <f aca="false">IFERROR(AG365/K365," ")</f>
        <v>0.666666666666666</v>
      </c>
      <c r="AI365" s="100" t="n">
        <f aca="false">IFERROR(O365/K365,0)</f>
        <v>571.428571428571</v>
      </c>
      <c r="AJ365" s="101" t="n">
        <f aca="false">VLOOKUP(D365,'Standard Cycle time'!C:D,2,0)</f>
        <v>3.5</v>
      </c>
      <c r="AK365" s="101" t="n">
        <f aca="false">AG365*V365*3600/O365</f>
        <v>4.19999999999999</v>
      </c>
      <c r="AL365" s="102" t="n">
        <f aca="false">AJ365/AK365</f>
        <v>0.833333333333334</v>
      </c>
      <c r="AM365" s="99" t="n">
        <f aca="false">AE365*AL365*AH365</f>
        <v>0.555555555555556</v>
      </c>
      <c r="AN365" s="103" t="n">
        <v>2926</v>
      </c>
      <c r="AO365" s="112" t="s">
        <v>836</v>
      </c>
      <c r="AP365" s="105" t="n">
        <v>0</v>
      </c>
      <c r="AQ365" s="105" t="n">
        <v>20</v>
      </c>
      <c r="AR365" s="105" t="n">
        <v>0</v>
      </c>
      <c r="AS365" s="105" t="n">
        <v>0</v>
      </c>
      <c r="AT365" s="105" t="n">
        <v>0</v>
      </c>
      <c r="AU365" s="105" t="n">
        <v>0</v>
      </c>
      <c r="AV365" s="105" t="n">
        <v>0</v>
      </c>
      <c r="AW365" s="105" t="n">
        <v>0</v>
      </c>
      <c r="AX365" s="105" t="n">
        <v>0</v>
      </c>
      <c r="AY365" s="105" t="n">
        <v>0</v>
      </c>
      <c r="AZ365" s="105" t="n">
        <v>0</v>
      </c>
      <c r="BA365" s="105" t="n">
        <v>0</v>
      </c>
      <c r="BB365" s="105" t="n">
        <v>0</v>
      </c>
      <c r="BC365" s="105" t="n">
        <v>0</v>
      </c>
      <c r="BD365" s="105" t="n">
        <v>0</v>
      </c>
      <c r="BE365" s="105" t="n">
        <v>0</v>
      </c>
      <c r="BF365" s="105" t="n">
        <v>0</v>
      </c>
      <c r="BG365" s="105" t="n">
        <v>0</v>
      </c>
      <c r="BH365" s="105" t="n">
        <v>0</v>
      </c>
      <c r="BI365" s="105" t="n">
        <v>0</v>
      </c>
      <c r="BJ365" s="105" t="n">
        <v>0</v>
      </c>
      <c r="BK365" s="105" t="n">
        <v>0</v>
      </c>
      <c r="BL365" s="105" t="n">
        <v>0</v>
      </c>
      <c r="BM365" s="105" t="n">
        <v>0</v>
      </c>
      <c r="BN365" s="105" t="n">
        <v>0</v>
      </c>
      <c r="BO365" s="105" t="n">
        <v>0</v>
      </c>
      <c r="BP365" s="105" t="n">
        <v>0</v>
      </c>
      <c r="BQ365" s="105" t="n">
        <v>50</v>
      </c>
      <c r="BR365" s="106" t="n">
        <v>1.16666666666667</v>
      </c>
      <c r="BS365" s="106" t="n">
        <v>1.18611111111111</v>
      </c>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row>
    <row r="366" customFormat="false" ht="14.9" hidden="false" customHeight="false" outlineLevel="0" collapsed="false">
      <c r="A366" s="74" t="n">
        <f aca="false">MONTH(B366)</f>
        <v>9</v>
      </c>
      <c r="B366" s="135" t="n">
        <v>44441</v>
      </c>
      <c r="C366" s="128" t="s">
        <v>70</v>
      </c>
      <c r="D366" s="77" t="str">
        <f aca="false">IFERROR(VLOOKUP(E:E,'Item Data Support Sheet'!A:O,7,0),"")</f>
        <v>NIPPLE MOLDED</v>
      </c>
      <c r="E366" s="80" t="s">
        <v>809</v>
      </c>
      <c r="F366" s="122" t="s">
        <v>137</v>
      </c>
      <c r="G366" s="137" t="s">
        <v>138</v>
      </c>
      <c r="H366" s="79" t="str">
        <f aca="false">IFERROR(VLOOKUP(E:E,'Item Data Support Sheet'!A:O,2,0),"")</f>
        <v>NIPPLE S TYPE Y SIZE INJECTION</v>
      </c>
      <c r="I366" s="80" t="s">
        <v>837</v>
      </c>
      <c r="J366" s="80" t="s">
        <v>143</v>
      </c>
      <c r="K366" s="81" t="n">
        <v>8</v>
      </c>
      <c r="L366" s="124" t="n">
        <v>4815</v>
      </c>
      <c r="M366" s="83" t="n">
        <f aca="false">IFERROR(L366/K366,0)</f>
        <v>601.875</v>
      </c>
      <c r="N366" s="84" t="n">
        <f aca="false">+O366+Q366+T366+U366</f>
        <v>2300</v>
      </c>
      <c r="O366" s="85" t="n">
        <v>2220</v>
      </c>
      <c r="P366" s="86" t="n">
        <v>0.62</v>
      </c>
      <c r="Q366" s="86" t="n">
        <v>42</v>
      </c>
      <c r="R366" s="132" t="n">
        <v>0</v>
      </c>
      <c r="S366" s="128" t="n">
        <v>0</v>
      </c>
      <c r="T366" s="132" t="n">
        <v>30</v>
      </c>
      <c r="U366" s="128" t="n">
        <v>8</v>
      </c>
      <c r="V366" s="128" t="n">
        <v>1</v>
      </c>
      <c r="W366" s="90" t="n">
        <f aca="false">IFERROR(O366/V366,0)</f>
        <v>2220</v>
      </c>
      <c r="X366" s="91" t="n">
        <f aca="false">O366/L366</f>
        <v>0.461059190031153</v>
      </c>
      <c r="Y366" s="92" t="str">
        <f aca="false">IFERROR(VLOOKUP(E:E,'Item Data Support Sheet'!A:J,6,0),0)</f>
        <v>Silicon</v>
      </c>
      <c r="Z366" s="93" t="n">
        <f aca="false">IFERROR(VLOOKUP(E:E,'Item Data Support Sheet'!A:O,4,0),0)</f>
        <v>6.8</v>
      </c>
      <c r="AA366" s="93" t="n">
        <f aca="false">IFERROR(((N366)*(Z366/1000))+P366,0)</f>
        <v>16.26</v>
      </c>
      <c r="AB366" s="94" t="n">
        <f aca="false">IFERROR((O366*(Z366/1000)/(AA366))," ")</f>
        <v>0.928413284132841</v>
      </c>
      <c r="AC366" s="95" t="n">
        <f aca="false">IFERROR((T366)/((T366)+O366),0)</f>
        <v>0.0133333333333333</v>
      </c>
      <c r="AD366" s="96" t="n">
        <f aca="false">IFERROR(Q366/(Q366+N366),0)</f>
        <v>0.017933390264731</v>
      </c>
      <c r="AE366" s="91" t="n">
        <f aca="false">(N366-T366)/N366</f>
        <v>0.98695652173913</v>
      </c>
      <c r="AF366" s="97" t="n">
        <f aca="false">BR366</f>
        <v>4</v>
      </c>
      <c r="AG366" s="98" t="n">
        <f aca="false">K366-AF366</f>
        <v>4</v>
      </c>
      <c r="AH366" s="99" t="n">
        <f aca="false">IFERROR(AG366/K366," ")</f>
        <v>0.5</v>
      </c>
      <c r="AI366" s="100" t="n">
        <f aca="false">IFERROR(O366/K366,0)</f>
        <v>277.5</v>
      </c>
      <c r="AJ366" s="101" t="n">
        <f aca="false">VLOOKUP(D366,'Standard Cycle time'!C:D,2,0)</f>
        <v>5.25</v>
      </c>
      <c r="AK366" s="101" t="n">
        <f aca="false">AG366*V366*3600/O366</f>
        <v>6.48648648648649</v>
      </c>
      <c r="AL366" s="102" t="n">
        <f aca="false">AJ366/AK366</f>
        <v>0.809375</v>
      </c>
      <c r="AM366" s="99" t="n">
        <f aca="false">AE366*AL366*AH366</f>
        <v>0.399408967391304</v>
      </c>
      <c r="AN366" s="103" t="n">
        <v>2921</v>
      </c>
      <c r="AO366" s="112" t="s">
        <v>811</v>
      </c>
      <c r="AP366" s="105" t="n">
        <v>0</v>
      </c>
      <c r="AQ366" s="105" t="n">
        <v>120</v>
      </c>
      <c r="AR366" s="105" t="n">
        <v>0</v>
      </c>
      <c r="AS366" s="105" t="n">
        <v>0</v>
      </c>
      <c r="AT366" s="105" t="n">
        <v>0</v>
      </c>
      <c r="AU366" s="105" t="n">
        <v>0</v>
      </c>
      <c r="AV366" s="105" t="n">
        <v>0</v>
      </c>
      <c r="AW366" s="105" t="n">
        <v>0</v>
      </c>
      <c r="AX366" s="105" t="n">
        <v>0</v>
      </c>
      <c r="AY366" s="105" t="n">
        <v>0</v>
      </c>
      <c r="AZ366" s="105" t="n">
        <v>0</v>
      </c>
      <c r="BA366" s="105" t="n">
        <v>0</v>
      </c>
      <c r="BB366" s="105" t="n">
        <v>120</v>
      </c>
      <c r="BC366" s="105" t="n">
        <v>0</v>
      </c>
      <c r="BD366" s="105" t="n">
        <v>0</v>
      </c>
      <c r="BE366" s="105" t="n">
        <v>0</v>
      </c>
      <c r="BF366" s="105" t="n">
        <v>0</v>
      </c>
      <c r="BG366" s="105" t="n">
        <v>0</v>
      </c>
      <c r="BH366" s="105" t="n">
        <v>0</v>
      </c>
      <c r="BI366" s="105" t="n">
        <v>0</v>
      </c>
      <c r="BJ366" s="105" t="n">
        <v>0</v>
      </c>
      <c r="BK366" s="105" t="n">
        <v>0</v>
      </c>
      <c r="BL366" s="105" t="n">
        <v>0</v>
      </c>
      <c r="BM366" s="105" t="n">
        <v>0</v>
      </c>
      <c r="BN366" s="105" t="n">
        <v>0</v>
      </c>
      <c r="BO366" s="105" t="n">
        <v>0</v>
      </c>
      <c r="BP366" s="105" t="n">
        <v>0</v>
      </c>
      <c r="BQ366" s="105" t="n">
        <v>0</v>
      </c>
      <c r="BR366" s="106" t="n">
        <v>4</v>
      </c>
      <c r="BS366" s="106" t="n">
        <v>4.06666666666667</v>
      </c>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row>
    <row r="367" customFormat="false" ht="14.9" hidden="false" customHeight="false" outlineLevel="0" collapsed="false">
      <c r="A367" s="74" t="n">
        <f aca="false">MONTH(B367)</f>
        <v>9</v>
      </c>
      <c r="B367" s="135" t="n">
        <v>44441</v>
      </c>
      <c r="C367" s="128" t="s">
        <v>70</v>
      </c>
      <c r="D367" s="77" t="str">
        <f aca="false">IFERROR(VLOOKUP(E:E,'Item Data Support Sheet'!A:O,7,0),"")</f>
        <v>BOTTLE MOLDED</v>
      </c>
      <c r="E367" s="80" t="s">
        <v>626</v>
      </c>
      <c r="F367" s="122" t="s">
        <v>589</v>
      </c>
      <c r="G367" s="137" t="s">
        <v>74</v>
      </c>
      <c r="H367" s="79" t="str">
        <f aca="false">IFERROR(VLOOKUP(E:E,'Item Data Support Sheet'!A:O,2,0),"")</f>
        <v>RPP 240ML PINK BOTTLE MOLDED (WM3GB)</v>
      </c>
      <c r="I367" s="80" t="s">
        <v>838</v>
      </c>
      <c r="J367" s="80" t="s">
        <v>143</v>
      </c>
      <c r="K367" s="81" t="n">
        <v>8</v>
      </c>
      <c r="L367" s="124" t="n">
        <v>2503</v>
      </c>
      <c r="M367" s="83" t="n">
        <f aca="false">IFERROR(L367/K367,0)</f>
        <v>312.875</v>
      </c>
      <c r="N367" s="84" t="n">
        <f aca="false">+O367+Q367+T367+U367</f>
        <v>2673</v>
      </c>
      <c r="O367" s="85" t="n">
        <v>2520</v>
      </c>
      <c r="P367" s="86" t="n">
        <v>1.4</v>
      </c>
      <c r="Q367" s="86" t="n">
        <v>70</v>
      </c>
      <c r="R367" s="132" t="n">
        <v>0</v>
      </c>
      <c r="S367" s="128" t="n">
        <v>0</v>
      </c>
      <c r="T367" s="132" t="n">
        <v>83</v>
      </c>
      <c r="U367" s="128" t="n">
        <v>0</v>
      </c>
      <c r="V367" s="128" t="n">
        <v>1</v>
      </c>
      <c r="W367" s="90" t="n">
        <f aca="false">IFERROR(O367/V367,0)</f>
        <v>2520</v>
      </c>
      <c r="X367" s="91" t="n">
        <f aca="false">O367/L367</f>
        <v>1.00679184978026</v>
      </c>
      <c r="Y367" s="92" t="str">
        <f aca="false">IFERROR(VLOOKUP(E:E,'Item Data Support Sheet'!A:J,6,0),0)</f>
        <v>WMG3B</v>
      </c>
      <c r="Z367" s="93" t="n">
        <f aca="false">IFERROR(VLOOKUP(E:E,'Item Data Support Sheet'!A:O,4,0),0)</f>
        <v>33.13</v>
      </c>
      <c r="AA367" s="93" t="n">
        <f aca="false">IFERROR(((N367)*(Z367/1000))+P367,0)</f>
        <v>89.95649</v>
      </c>
      <c r="AB367" s="94" t="n">
        <f aca="false">IFERROR((O367*(Z367/1000)/(AA367))," ")</f>
        <v>0.928088679315967</v>
      </c>
      <c r="AC367" s="95" t="n">
        <f aca="false">IFERROR((T367)/((T367)+O367),0)</f>
        <v>0.031886285055705</v>
      </c>
      <c r="AD367" s="96" t="n">
        <f aca="false">IFERROR(Q367/(Q367+N367),0)</f>
        <v>0.02551950419249</v>
      </c>
      <c r="AE367" s="91" t="n">
        <f aca="false">(N367-T367)/N367</f>
        <v>0.968948746726525</v>
      </c>
      <c r="AF367" s="97" t="n">
        <f aca="false">BR367</f>
        <v>0.5</v>
      </c>
      <c r="AG367" s="98" t="n">
        <f aca="false">K367-AF367</f>
        <v>7.5</v>
      </c>
      <c r="AH367" s="99" t="n">
        <f aca="false">IFERROR(AG367/K367," ")</f>
        <v>0.9375</v>
      </c>
      <c r="AI367" s="100" t="n">
        <f aca="false">IFERROR(O367/K367,0)</f>
        <v>315</v>
      </c>
      <c r="AJ367" s="101" t="n">
        <f aca="false">VLOOKUP(D367,'Standard Cycle time'!C:D,2,0)</f>
        <v>9</v>
      </c>
      <c r="AK367" s="101" t="n">
        <f aca="false">AG367*V367*3600/O367</f>
        <v>10.7142857142857</v>
      </c>
      <c r="AL367" s="102" t="n">
        <f aca="false">AJ367/AK367</f>
        <v>0.84</v>
      </c>
      <c r="AM367" s="99" t="n">
        <f aca="false">AE367*AL367*AH367</f>
        <v>0.763047138047138</v>
      </c>
      <c r="AN367" s="103" t="n">
        <v>2928</v>
      </c>
      <c r="AO367" s="112" t="s">
        <v>461</v>
      </c>
      <c r="AP367" s="105" t="n">
        <v>0</v>
      </c>
      <c r="AQ367" s="105" t="n">
        <v>0</v>
      </c>
      <c r="AR367" s="105" t="n">
        <v>0</v>
      </c>
      <c r="AS367" s="105" t="n">
        <v>0</v>
      </c>
      <c r="AT367" s="105" t="n">
        <v>0</v>
      </c>
      <c r="AU367" s="105" t="n">
        <v>0</v>
      </c>
      <c r="AV367" s="105" t="n">
        <v>0</v>
      </c>
      <c r="AW367" s="105" t="n">
        <v>30</v>
      </c>
      <c r="AX367" s="105" t="n">
        <v>0</v>
      </c>
      <c r="AY367" s="105" t="n">
        <v>0</v>
      </c>
      <c r="AZ367" s="105" t="n">
        <v>0</v>
      </c>
      <c r="BA367" s="105" t="n">
        <v>0</v>
      </c>
      <c r="BB367" s="105" t="n">
        <v>0</v>
      </c>
      <c r="BC367" s="105" t="n">
        <v>0</v>
      </c>
      <c r="BD367" s="105" t="n">
        <v>0</v>
      </c>
      <c r="BE367" s="105" t="n">
        <v>0</v>
      </c>
      <c r="BF367" s="105" t="n">
        <v>0</v>
      </c>
      <c r="BG367" s="105" t="n">
        <v>0</v>
      </c>
      <c r="BH367" s="105" t="n">
        <v>0</v>
      </c>
      <c r="BI367" s="105" t="n">
        <v>0</v>
      </c>
      <c r="BJ367" s="105" t="n">
        <v>0</v>
      </c>
      <c r="BK367" s="105" t="n">
        <v>0</v>
      </c>
      <c r="BL367" s="105" t="n">
        <v>0</v>
      </c>
      <c r="BM367" s="105" t="n">
        <v>0</v>
      </c>
      <c r="BN367" s="105" t="n">
        <v>0</v>
      </c>
      <c r="BO367" s="105" t="n">
        <v>0</v>
      </c>
      <c r="BP367" s="105" t="n">
        <v>0</v>
      </c>
      <c r="BQ367" s="105" t="n">
        <v>0</v>
      </c>
      <c r="BR367" s="106" t="n">
        <v>0.5</v>
      </c>
      <c r="BS367" s="106" t="n">
        <v>0.508333333333333</v>
      </c>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row>
    <row r="368" customFormat="false" ht="14.9" hidden="false" customHeight="false" outlineLevel="0" collapsed="false">
      <c r="A368" s="74" t="n">
        <f aca="false">MONTH(B368)</f>
        <v>9</v>
      </c>
      <c r="B368" s="135" t="n">
        <v>44441</v>
      </c>
      <c r="C368" s="128" t="s">
        <v>70</v>
      </c>
      <c r="D368" s="77" t="str">
        <f aca="false">IFERROR(VLOOKUP(E:E,'Item Data Support Sheet'!A:O,7,0),"")</f>
        <v>NIPPLE POSTCURE</v>
      </c>
      <c r="E368" s="80" t="s">
        <v>839</v>
      </c>
      <c r="F368" s="122"/>
      <c r="G368" s="137" t="s">
        <v>149</v>
      </c>
      <c r="H368" s="79" t="str">
        <f aca="false">IFERROR(VLOOKUP(E:E,'Item Data Support Sheet'!A:O,2,0),"")</f>
        <v>NIPPLE S TYPE Y SIZE POSTCURED</v>
      </c>
      <c r="I368" s="80" t="s">
        <v>840</v>
      </c>
      <c r="J368" s="80" t="s">
        <v>143</v>
      </c>
      <c r="K368" s="81" t="n">
        <v>8</v>
      </c>
      <c r="L368" s="124" t="n">
        <v>7000</v>
      </c>
      <c r="M368" s="83" t="n">
        <f aca="false">IFERROR(L368/K368,0)</f>
        <v>875</v>
      </c>
      <c r="N368" s="84" t="n">
        <f aca="false">+O368+Q368+T368+U368</f>
        <v>6220</v>
      </c>
      <c r="O368" s="85" t="n">
        <v>6220</v>
      </c>
      <c r="P368" s="86" t="n">
        <v>0</v>
      </c>
      <c r="Q368" s="86" t="n">
        <v>0</v>
      </c>
      <c r="R368" s="132" t="n">
        <v>0</v>
      </c>
      <c r="S368" s="128" t="n">
        <v>0</v>
      </c>
      <c r="T368" s="132" t="n">
        <v>0</v>
      </c>
      <c r="U368" s="128" t="n">
        <v>0</v>
      </c>
      <c r="V368" s="128" t="n">
        <v>1</v>
      </c>
      <c r="W368" s="90" t="n">
        <f aca="false">IFERROR(O368/V368,0)</f>
        <v>6220</v>
      </c>
      <c r="X368" s="91" t="n">
        <f aca="false">O368/L368</f>
        <v>0.888571428571428</v>
      </c>
      <c r="Y368" s="92" t="str">
        <f aca="false">IFERROR(VLOOKUP(E:E,'Item Data Support Sheet'!A:J,6,0),0)</f>
        <v>FO014</v>
      </c>
      <c r="Z368" s="93" t="n">
        <f aca="false">IFERROR(VLOOKUP(E:E,'Item Data Support Sheet'!A:O,4,0),0)</f>
        <v>0</v>
      </c>
      <c r="AA368" s="93" t="n">
        <f aca="false">IFERROR(((N368)*(Z368/1000))+P368,0)</f>
        <v>0</v>
      </c>
      <c r="AB368" s="94" t="str">
        <f aca="false">IFERROR((O368*(Z368/1000)/(AA368))," ")</f>
        <v> </v>
      </c>
      <c r="AC368" s="95" t="n">
        <f aca="false">IFERROR((T368)/((T368)+O368),0)</f>
        <v>0</v>
      </c>
      <c r="AD368" s="96" t="n">
        <f aca="false">IFERROR(Q368/(Q368+N368),0)</f>
        <v>0</v>
      </c>
      <c r="AE368" s="91" t="n">
        <f aca="false">(N368-T368)/N368</f>
        <v>1</v>
      </c>
      <c r="AF368" s="97" t="n">
        <f aca="false">BR368</f>
        <v>3.16666666666667</v>
      </c>
      <c r="AG368" s="98" t="n">
        <f aca="false">K368-AF368</f>
        <v>4.83333333333333</v>
      </c>
      <c r="AH368" s="99" t="n">
        <f aca="false">IFERROR(AG368/K368," ")</f>
        <v>0.604166666666666</v>
      </c>
      <c r="AI368" s="100" t="n">
        <f aca="false">IFERROR(O368/K368,0)</f>
        <v>777.5</v>
      </c>
      <c r="AJ368" s="101" t="n">
        <f aca="false">VLOOKUP(D368,'Standard Cycle time'!C:D,2,0)</f>
        <v>2.3</v>
      </c>
      <c r="AK368" s="101" t="n">
        <f aca="false">AG368*V368*3600/O368</f>
        <v>2.79742765273312</v>
      </c>
      <c r="AL368" s="102" t="n">
        <f aca="false">AJ368/AK368</f>
        <v>0.822183908045977</v>
      </c>
      <c r="AM368" s="99" t="n">
        <f aca="false">AE368*AL368*AH368</f>
        <v>0.496736111111111</v>
      </c>
      <c r="AN368" s="103" t="s">
        <v>841</v>
      </c>
      <c r="AO368" s="112" t="s">
        <v>821</v>
      </c>
      <c r="AP368" s="105" t="n">
        <v>40</v>
      </c>
      <c r="AQ368" s="105" t="n">
        <v>0</v>
      </c>
      <c r="AR368" s="105" t="n">
        <v>0</v>
      </c>
      <c r="AS368" s="105" t="n">
        <v>150</v>
      </c>
      <c r="AT368" s="105" t="n">
        <v>0</v>
      </c>
      <c r="AU368" s="105" t="n">
        <v>0</v>
      </c>
      <c r="AV368" s="105" t="n">
        <v>0</v>
      </c>
      <c r="AW368" s="105" t="n">
        <v>0</v>
      </c>
      <c r="AX368" s="105" t="n">
        <v>0</v>
      </c>
      <c r="AY368" s="105" t="n">
        <v>0</v>
      </c>
      <c r="AZ368" s="105" t="n">
        <v>0</v>
      </c>
      <c r="BA368" s="105" t="n">
        <v>0</v>
      </c>
      <c r="BB368" s="105" t="n">
        <v>0</v>
      </c>
      <c r="BC368" s="105" t="n">
        <v>0</v>
      </c>
      <c r="BD368" s="105" t="n">
        <v>0</v>
      </c>
      <c r="BE368" s="105" t="n">
        <v>0</v>
      </c>
      <c r="BF368" s="105" t="n">
        <v>0</v>
      </c>
      <c r="BG368" s="105" t="n">
        <v>0</v>
      </c>
      <c r="BH368" s="105" t="n">
        <v>0</v>
      </c>
      <c r="BI368" s="105" t="n">
        <v>0</v>
      </c>
      <c r="BJ368" s="105" t="n">
        <v>0</v>
      </c>
      <c r="BK368" s="105" t="n">
        <v>0</v>
      </c>
      <c r="BL368" s="105" t="n">
        <v>0</v>
      </c>
      <c r="BM368" s="105" t="n">
        <v>0</v>
      </c>
      <c r="BN368" s="105" t="n">
        <v>0</v>
      </c>
      <c r="BO368" s="105" t="n">
        <v>0</v>
      </c>
      <c r="BP368" s="105" t="n">
        <v>0</v>
      </c>
      <c r="BQ368" s="105" t="n">
        <v>0</v>
      </c>
      <c r="BR368" s="106" t="n">
        <v>3.16666666666667</v>
      </c>
      <c r="BS368" s="106" t="n">
        <v>3.21944444444444</v>
      </c>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row>
    <row r="369" customFormat="false" ht="14.9" hidden="false" customHeight="false" outlineLevel="0" collapsed="false">
      <c r="A369" s="74" t="n">
        <f aca="false">MONTH(B369)</f>
        <v>9</v>
      </c>
      <c r="B369" s="135" t="n">
        <v>44441</v>
      </c>
      <c r="C369" s="128" t="s">
        <v>70</v>
      </c>
      <c r="D369" s="77" t="str">
        <f aca="false">IFERROR(VLOOKUP(E:E,'Item Data Support Sheet'!A:O,7,0),"")</f>
        <v>HOOD MOLDED</v>
      </c>
      <c r="E369" s="80" t="s">
        <v>529</v>
      </c>
      <c r="F369" s="122"/>
      <c r="G369" s="137" t="s">
        <v>740</v>
      </c>
      <c r="H369" s="79" t="str">
        <f aca="false">IFERROR(VLOOKUP(E:E,'Item Data Support Sheet'!A:O,2,0),"")</f>
        <v>HOOD S TYPE MOLDED</v>
      </c>
      <c r="I369" s="80" t="s">
        <v>842</v>
      </c>
      <c r="J369" s="80" t="s">
        <v>143</v>
      </c>
      <c r="K369" s="81" t="n">
        <v>8</v>
      </c>
      <c r="L369" s="124" t="n">
        <v>4137</v>
      </c>
      <c r="M369" s="83" t="n">
        <f aca="false">IFERROR(L369/K369,0)</f>
        <v>517.125</v>
      </c>
      <c r="N369" s="84" t="n">
        <f aca="false">+O369+Q369+T369+U369</f>
        <v>5012</v>
      </c>
      <c r="O369" s="85" t="n">
        <v>5000</v>
      </c>
      <c r="P369" s="86" t="n">
        <v>0</v>
      </c>
      <c r="Q369" s="86" t="n">
        <v>0</v>
      </c>
      <c r="R369" s="132" t="n">
        <v>0</v>
      </c>
      <c r="S369" s="128" t="n">
        <v>0</v>
      </c>
      <c r="T369" s="132" t="n">
        <v>12</v>
      </c>
      <c r="U369" s="128" t="n">
        <v>0</v>
      </c>
      <c r="V369" s="128" t="n">
        <v>1</v>
      </c>
      <c r="W369" s="90" t="n">
        <f aca="false">IFERROR(O369/V369,0)</f>
        <v>5000</v>
      </c>
      <c r="X369" s="91" t="n">
        <f aca="false">O369/L369</f>
        <v>1.20860526951898</v>
      </c>
      <c r="Y369" s="92" t="str">
        <f aca="false">IFERROR(VLOOKUP(E:E,'Item Data Support Sheet'!A:J,6,0),0)</f>
        <v>HMC</v>
      </c>
      <c r="Z369" s="93" t="n">
        <f aca="false">IFERROR(VLOOKUP(E:E,'Item Data Support Sheet'!A:O,4,0),0)</f>
        <v>8.6</v>
      </c>
      <c r="AA369" s="93" t="n">
        <f aca="false">IFERROR(((N369)*(Z369/1000))+P369,0)</f>
        <v>43.1032</v>
      </c>
      <c r="AB369" s="94" t="n">
        <f aca="false">IFERROR((O369*(Z369/1000)/(AA369))," ")</f>
        <v>0.997605746209098</v>
      </c>
      <c r="AC369" s="95" t="n">
        <f aca="false">IFERROR((T369)/((T369)+O369),0)</f>
        <v>0.00239425379090184</v>
      </c>
      <c r="AD369" s="96" t="n">
        <f aca="false">IFERROR(Q369/(Q369+N369),0)</f>
        <v>0</v>
      </c>
      <c r="AE369" s="91" t="n">
        <f aca="false">(N369-T369)/N369</f>
        <v>0.997605746209098</v>
      </c>
      <c r="AF369" s="97" t="n">
        <f aca="false">BR369</f>
        <v>0</v>
      </c>
      <c r="AG369" s="98" t="n">
        <f aca="false">K369-AF369</f>
        <v>8</v>
      </c>
      <c r="AH369" s="99" t="n">
        <f aca="false">IFERROR(AG369/K369," ")</f>
        <v>1</v>
      </c>
      <c r="AI369" s="100" t="n">
        <f aca="false">IFERROR(O369/K369,0)</f>
        <v>625</v>
      </c>
      <c r="AJ369" s="101" t="n">
        <f aca="false">VLOOKUP(D369,'Standard Cycle time'!C:D,2,0)</f>
        <v>6</v>
      </c>
      <c r="AK369" s="101" t="n">
        <f aca="false">AG369*V369*3600/O369</f>
        <v>5.76</v>
      </c>
      <c r="AL369" s="102" t="n">
        <f aca="false">AJ369/AK369</f>
        <v>1.04166666666667</v>
      </c>
      <c r="AM369" s="99" t="n">
        <f aca="false">AE369*AL369*AH369</f>
        <v>1.03917265230114</v>
      </c>
      <c r="AN369" s="103" t="n">
        <v>2927</v>
      </c>
      <c r="AO369" s="112" t="s">
        <v>461</v>
      </c>
      <c r="AP369" s="105" t="n">
        <v>0</v>
      </c>
      <c r="AQ369" s="105" t="n">
        <v>0</v>
      </c>
      <c r="AR369" s="105" t="n">
        <v>0</v>
      </c>
      <c r="AS369" s="105" t="n">
        <v>0</v>
      </c>
      <c r="AT369" s="105" t="n">
        <v>0</v>
      </c>
      <c r="AU369" s="105" t="n">
        <v>0</v>
      </c>
      <c r="AV369" s="105" t="n">
        <v>0</v>
      </c>
      <c r="AW369" s="105" t="n">
        <v>0</v>
      </c>
      <c r="AX369" s="105" t="n">
        <v>0</v>
      </c>
      <c r="AY369" s="105" t="n">
        <v>0</v>
      </c>
      <c r="AZ369" s="105" t="n">
        <v>0</v>
      </c>
      <c r="BA369" s="105" t="n">
        <v>0</v>
      </c>
      <c r="BB369" s="105" t="n">
        <v>0</v>
      </c>
      <c r="BC369" s="105" t="n">
        <v>0</v>
      </c>
      <c r="BD369" s="105" t="n">
        <v>0</v>
      </c>
      <c r="BE369" s="105" t="n">
        <v>0</v>
      </c>
      <c r="BF369" s="105" t="n">
        <v>0</v>
      </c>
      <c r="BG369" s="105" t="n">
        <v>0</v>
      </c>
      <c r="BH369" s="105" t="n">
        <v>0</v>
      </c>
      <c r="BI369" s="105" t="n">
        <v>0</v>
      </c>
      <c r="BJ369" s="105" t="n">
        <v>0</v>
      </c>
      <c r="BK369" s="105" t="n">
        <v>0</v>
      </c>
      <c r="BL369" s="105" t="n">
        <v>0</v>
      </c>
      <c r="BM369" s="105" t="n">
        <v>0</v>
      </c>
      <c r="BN369" s="105" t="n">
        <v>0</v>
      </c>
      <c r="BO369" s="105" t="n">
        <v>0</v>
      </c>
      <c r="BP369" s="105" t="n">
        <v>0</v>
      </c>
      <c r="BQ369" s="105" t="n">
        <v>0</v>
      </c>
      <c r="BR369" s="106" t="n">
        <v>0</v>
      </c>
      <c r="BS369" s="106" t="n">
        <v>0</v>
      </c>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row>
    <row r="370" customFormat="false" ht="14.9" hidden="false" customHeight="false" outlineLevel="0" collapsed="false">
      <c r="A370" s="74" t="n">
        <f aca="false">MONTH(B370)</f>
        <v>9</v>
      </c>
      <c r="B370" s="135" t="n">
        <v>44441</v>
      </c>
      <c r="C370" s="128" t="s">
        <v>152</v>
      </c>
      <c r="D370" s="77" t="str">
        <f aca="false">IFERROR(VLOOKUP(E:E,'Item Data Support Sheet'!A:O,7,0),"")</f>
        <v>BOTTLE MOLDED</v>
      </c>
      <c r="E370" s="80" t="s">
        <v>626</v>
      </c>
      <c r="F370" s="122" t="s">
        <v>589</v>
      </c>
      <c r="G370" s="137" t="s">
        <v>74</v>
      </c>
      <c r="H370" s="79" t="str">
        <f aca="false">IFERROR(VLOOKUP(E:E,'Item Data Support Sheet'!A:O,2,0),"")</f>
        <v>RPP 240ML PINK BOTTLE MOLDED (WM3GB)</v>
      </c>
      <c r="I370" s="80" t="s">
        <v>843</v>
      </c>
      <c r="J370" s="80" t="s">
        <v>815</v>
      </c>
      <c r="K370" s="81" t="n">
        <v>8</v>
      </c>
      <c r="L370" s="124" t="n">
        <v>2503</v>
      </c>
      <c r="M370" s="83" t="n">
        <f aca="false">IFERROR(L370/K370,0)</f>
        <v>312.875</v>
      </c>
      <c r="N370" s="84" t="n">
        <f aca="false">+O370+Q370+T370+U370</f>
        <v>1795</v>
      </c>
      <c r="O370" s="85" t="n">
        <v>1680</v>
      </c>
      <c r="P370" s="86" t="n">
        <v>1.6</v>
      </c>
      <c r="Q370" s="86" t="n">
        <v>66</v>
      </c>
      <c r="R370" s="132" t="n">
        <v>0</v>
      </c>
      <c r="S370" s="128" t="n">
        <v>0</v>
      </c>
      <c r="T370" s="132" t="n">
        <v>41</v>
      </c>
      <c r="U370" s="128" t="n">
        <v>8</v>
      </c>
      <c r="V370" s="128" t="n">
        <v>1</v>
      </c>
      <c r="W370" s="90" t="n">
        <f aca="false">IFERROR(O370/V370,0)</f>
        <v>1680</v>
      </c>
      <c r="X370" s="91" t="n">
        <f aca="false">O370/L370</f>
        <v>0.671194566520176</v>
      </c>
      <c r="Y370" s="92" t="str">
        <f aca="false">IFERROR(VLOOKUP(E:E,'Item Data Support Sheet'!A:J,6,0),0)</f>
        <v>WMG3B</v>
      </c>
      <c r="Z370" s="93" t="n">
        <f aca="false">IFERROR(VLOOKUP(E:E,'Item Data Support Sheet'!A:O,4,0),0)</f>
        <v>33.13</v>
      </c>
      <c r="AA370" s="93" t="n">
        <f aca="false">IFERROR(((N370)*(Z370/1000))+P370,0)</f>
        <v>61.06835</v>
      </c>
      <c r="AB370" s="94" t="n">
        <f aca="false">IFERROR((O370*(Z370/1000)/(AA370))," ")</f>
        <v>0.911411557705423</v>
      </c>
      <c r="AC370" s="95" t="n">
        <f aca="false">IFERROR((T370)/((T370)+O370),0)</f>
        <v>0.0238233585124927</v>
      </c>
      <c r="AD370" s="96" t="n">
        <f aca="false">IFERROR(Q370/(Q370+N370),0)</f>
        <v>0.0354648038688877</v>
      </c>
      <c r="AE370" s="91" t="n">
        <f aca="false">(N370-T370)/N370</f>
        <v>0.977158774373259</v>
      </c>
      <c r="AF370" s="97" t="n">
        <f aca="false">BR370</f>
        <v>3.83333333333333</v>
      </c>
      <c r="AG370" s="98" t="n">
        <f aca="false">K370-AF370</f>
        <v>4.16666666666667</v>
      </c>
      <c r="AH370" s="99" t="n">
        <f aca="false">IFERROR(AG370/K370," ")</f>
        <v>0.520833333333334</v>
      </c>
      <c r="AI370" s="100" t="n">
        <f aca="false">IFERROR(O370/K370,0)</f>
        <v>210</v>
      </c>
      <c r="AJ370" s="101" t="n">
        <f aca="false">VLOOKUP(D370,'Standard Cycle time'!C:D,2,0)</f>
        <v>9</v>
      </c>
      <c r="AK370" s="101" t="n">
        <f aca="false">AG370*V370*3600/O370</f>
        <v>8.92857142857144</v>
      </c>
      <c r="AL370" s="102" t="n">
        <f aca="false">AJ370/AK370</f>
        <v>1.008</v>
      </c>
      <c r="AM370" s="99" t="n">
        <f aca="false">AE370*AL370*AH370</f>
        <v>0.513008356545961</v>
      </c>
      <c r="AN370" s="103" t="n">
        <v>2929</v>
      </c>
      <c r="AO370" s="112" t="s">
        <v>844</v>
      </c>
      <c r="AP370" s="105" t="n">
        <v>0</v>
      </c>
      <c r="AQ370" s="105" t="n">
        <v>0</v>
      </c>
      <c r="AR370" s="105" t="n">
        <v>110</v>
      </c>
      <c r="AS370" s="105" t="n">
        <v>0</v>
      </c>
      <c r="AT370" s="105" t="n">
        <v>0</v>
      </c>
      <c r="AU370" s="105" t="n">
        <v>0</v>
      </c>
      <c r="AV370" s="105" t="n">
        <v>60</v>
      </c>
      <c r="AW370" s="105" t="n">
        <v>0</v>
      </c>
      <c r="AX370" s="105" t="n">
        <v>0</v>
      </c>
      <c r="AY370" s="105" t="n">
        <v>0</v>
      </c>
      <c r="AZ370" s="105" t="n">
        <v>60</v>
      </c>
      <c r="BA370" s="105" t="n">
        <v>0</v>
      </c>
      <c r="BB370" s="105" t="n">
        <v>0</v>
      </c>
      <c r="BC370" s="105" t="n">
        <v>0</v>
      </c>
      <c r="BD370" s="105" t="n">
        <v>0</v>
      </c>
      <c r="BE370" s="105" t="n">
        <v>0</v>
      </c>
      <c r="BF370" s="105" t="n">
        <v>0</v>
      </c>
      <c r="BG370" s="105" t="n">
        <v>0</v>
      </c>
      <c r="BH370" s="105" t="n">
        <v>0</v>
      </c>
      <c r="BI370" s="105" t="n">
        <v>0</v>
      </c>
      <c r="BJ370" s="105" t="n">
        <v>0</v>
      </c>
      <c r="BK370" s="105" t="n">
        <v>0</v>
      </c>
      <c r="BL370" s="105" t="n">
        <v>0</v>
      </c>
      <c r="BM370" s="105" t="n">
        <v>0</v>
      </c>
      <c r="BN370" s="105" t="n">
        <v>0</v>
      </c>
      <c r="BO370" s="105" t="n">
        <v>0</v>
      </c>
      <c r="BP370" s="105" t="n">
        <v>0</v>
      </c>
      <c r="BQ370" s="105" t="n">
        <v>0</v>
      </c>
      <c r="BR370" s="106" t="n">
        <v>3.83333333333333</v>
      </c>
      <c r="BS370" s="106" t="n">
        <v>3.89722222222222</v>
      </c>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row>
    <row r="371" customFormat="false" ht="14.9" hidden="false" customHeight="false" outlineLevel="0" collapsed="false">
      <c r="A371" s="74" t="n">
        <f aca="false">MONTH(B371)</f>
        <v>9</v>
      </c>
      <c r="B371" s="135" t="n">
        <v>44441</v>
      </c>
      <c r="C371" s="128" t="s">
        <v>152</v>
      </c>
      <c r="D371" s="77" t="str">
        <f aca="false">IFERROR(VLOOKUP(E:E,'Item Data Support Sheet'!A:O,7,0),"")</f>
        <v>HOOD MOLDED</v>
      </c>
      <c r="E371" s="80" t="s">
        <v>529</v>
      </c>
      <c r="F371" s="122"/>
      <c r="G371" s="137" t="s">
        <v>740</v>
      </c>
      <c r="H371" s="79" t="str">
        <f aca="false">IFERROR(VLOOKUP(E:E,'Item Data Support Sheet'!A:O,2,0),"")</f>
        <v>HOOD S TYPE MOLDED</v>
      </c>
      <c r="I371" s="80" t="s">
        <v>845</v>
      </c>
      <c r="J371" s="80" t="s">
        <v>815</v>
      </c>
      <c r="K371" s="81" t="n">
        <v>8</v>
      </c>
      <c r="L371" s="124" t="n">
        <v>4137</v>
      </c>
      <c r="M371" s="83" t="n">
        <f aca="false">IFERROR(L371/K371,0)</f>
        <v>517.125</v>
      </c>
      <c r="N371" s="84" t="n">
        <f aca="false">+O371+Q371+T371+U371</f>
        <v>5619</v>
      </c>
      <c r="O371" s="85" t="n">
        <v>5600</v>
      </c>
      <c r="P371" s="86" t="n">
        <v>0</v>
      </c>
      <c r="Q371" s="86" t="n">
        <v>0</v>
      </c>
      <c r="R371" s="132" t="n">
        <v>0</v>
      </c>
      <c r="S371" s="128" t="n">
        <v>0</v>
      </c>
      <c r="T371" s="132" t="n">
        <v>11</v>
      </c>
      <c r="U371" s="128" t="n">
        <v>8</v>
      </c>
      <c r="V371" s="128" t="n">
        <v>1</v>
      </c>
      <c r="W371" s="90" t="n">
        <f aca="false">IFERROR(O371/V371,0)</f>
        <v>5600</v>
      </c>
      <c r="X371" s="91" t="n">
        <f aca="false">O371/L371</f>
        <v>1.35363790186125</v>
      </c>
      <c r="Y371" s="92" t="str">
        <f aca="false">IFERROR(VLOOKUP(E:E,'Item Data Support Sheet'!A:J,6,0),0)</f>
        <v>HMC</v>
      </c>
      <c r="Z371" s="93" t="n">
        <f aca="false">IFERROR(VLOOKUP(E:E,'Item Data Support Sheet'!A:O,4,0),0)</f>
        <v>8.6</v>
      </c>
      <c r="AA371" s="93" t="n">
        <f aca="false">IFERROR(((N371)*(Z371/1000))+P371,0)</f>
        <v>48.3234</v>
      </c>
      <c r="AB371" s="94" t="n">
        <f aca="false">IFERROR((O371*(Z371/1000)/(AA371))," ")</f>
        <v>0.996618615411995</v>
      </c>
      <c r="AC371" s="95" t="n">
        <f aca="false">IFERROR((T371)/((T371)+O371),0)</f>
        <v>0.00196043486009624</v>
      </c>
      <c r="AD371" s="96" t="n">
        <f aca="false">IFERROR(Q371/(Q371+N371),0)</f>
        <v>0</v>
      </c>
      <c r="AE371" s="91" t="n">
        <f aca="false">(N371-T371)/N371</f>
        <v>0.998042356291155</v>
      </c>
      <c r="AF371" s="97" t="n">
        <f aca="false">BR371</f>
        <v>0</v>
      </c>
      <c r="AG371" s="98" t="n">
        <f aca="false">K371-AF371</f>
        <v>8</v>
      </c>
      <c r="AH371" s="99" t="n">
        <f aca="false">IFERROR(AG371/K371," ")</f>
        <v>1</v>
      </c>
      <c r="AI371" s="100" t="n">
        <f aca="false">IFERROR(O371/K371,0)</f>
        <v>700</v>
      </c>
      <c r="AJ371" s="101" t="n">
        <f aca="false">VLOOKUP(D371,'Standard Cycle time'!C:D,2,0)</f>
        <v>6</v>
      </c>
      <c r="AK371" s="101" t="n">
        <f aca="false">AG371*V371*3600/O371</f>
        <v>5.14285714285714</v>
      </c>
      <c r="AL371" s="102" t="n">
        <f aca="false">AJ371/AK371</f>
        <v>1.16666666666667</v>
      </c>
      <c r="AM371" s="99" t="n">
        <f aca="false">AE371*AL371*AH371</f>
        <v>1.16438274900635</v>
      </c>
      <c r="AN371" s="103" t="n">
        <v>2930</v>
      </c>
      <c r="AO371" s="112"/>
      <c r="AP371" s="105" t="n">
        <v>0</v>
      </c>
      <c r="AQ371" s="105" t="n">
        <v>0</v>
      </c>
      <c r="AR371" s="105" t="n">
        <v>0</v>
      </c>
      <c r="AS371" s="105" t="n">
        <v>0</v>
      </c>
      <c r="AT371" s="105" t="n">
        <v>0</v>
      </c>
      <c r="AU371" s="105" t="n">
        <v>0</v>
      </c>
      <c r="AV371" s="105" t="n">
        <v>0</v>
      </c>
      <c r="AW371" s="105" t="n">
        <v>0</v>
      </c>
      <c r="AX371" s="105" t="n">
        <v>0</v>
      </c>
      <c r="AY371" s="105" t="n">
        <v>0</v>
      </c>
      <c r="AZ371" s="105" t="n">
        <v>0</v>
      </c>
      <c r="BA371" s="105" t="n">
        <v>0</v>
      </c>
      <c r="BB371" s="105" t="n">
        <v>0</v>
      </c>
      <c r="BC371" s="105" t="n">
        <v>0</v>
      </c>
      <c r="BD371" s="105" t="n">
        <v>0</v>
      </c>
      <c r="BE371" s="105" t="n">
        <v>0</v>
      </c>
      <c r="BF371" s="105" t="n">
        <v>0</v>
      </c>
      <c r="BG371" s="105" t="n">
        <v>0</v>
      </c>
      <c r="BH371" s="105" t="n">
        <v>0</v>
      </c>
      <c r="BI371" s="105" t="n">
        <v>0</v>
      </c>
      <c r="BJ371" s="105" t="n">
        <v>0</v>
      </c>
      <c r="BK371" s="105" t="n">
        <v>0</v>
      </c>
      <c r="BL371" s="105" t="n">
        <v>0</v>
      </c>
      <c r="BM371" s="105" t="n">
        <v>0</v>
      </c>
      <c r="BN371" s="105" t="n">
        <v>0</v>
      </c>
      <c r="BO371" s="105" t="n">
        <v>0</v>
      </c>
      <c r="BP371" s="105" t="n">
        <v>0</v>
      </c>
      <c r="BQ371" s="105" t="n">
        <v>0</v>
      </c>
      <c r="BR371" s="106" t="n">
        <v>0</v>
      </c>
      <c r="BS371" s="106" t="n">
        <v>0</v>
      </c>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row>
    <row r="372" customFormat="false" ht="14.9" hidden="false" customHeight="false" outlineLevel="0" collapsed="false">
      <c r="A372" s="74" t="n">
        <f aca="false">MONTH(B372)</f>
        <v>9</v>
      </c>
      <c r="B372" s="135" t="n">
        <v>44442</v>
      </c>
      <c r="C372" s="128" t="s">
        <v>51</v>
      </c>
      <c r="D372" s="77" t="str">
        <f aca="false">IFERROR(VLOOKUP(E:E,'Item Data Support Sheet'!A:O,7,0),"")</f>
        <v>BOTTLE MOLDED</v>
      </c>
      <c r="E372" s="80" t="s">
        <v>626</v>
      </c>
      <c r="F372" s="122" t="s">
        <v>589</v>
      </c>
      <c r="G372" s="137" t="s">
        <v>74</v>
      </c>
      <c r="H372" s="79" t="str">
        <f aca="false">IFERROR(VLOOKUP(E:E,'Item Data Support Sheet'!A:O,2,0),"")</f>
        <v>RPP 240ML PINK BOTTLE MOLDED (WM3GB)</v>
      </c>
      <c r="I372" s="80" t="s">
        <v>846</v>
      </c>
      <c r="J372" s="80" t="s">
        <v>148</v>
      </c>
      <c r="K372" s="81" t="n">
        <v>8</v>
      </c>
      <c r="L372" s="124" t="n">
        <v>2574</v>
      </c>
      <c r="M372" s="83" t="n">
        <f aca="false">IFERROR(L372/K372,0)</f>
        <v>321.75</v>
      </c>
      <c r="N372" s="84" t="n">
        <f aca="false">+O372+Q372+T372+U372</f>
        <v>2190</v>
      </c>
      <c r="O372" s="85" t="n">
        <v>2040</v>
      </c>
      <c r="P372" s="86" t="n">
        <v>1.2</v>
      </c>
      <c r="Q372" s="86" t="n">
        <v>76</v>
      </c>
      <c r="R372" s="132" t="n">
        <v>0</v>
      </c>
      <c r="S372" s="128" t="n">
        <v>0</v>
      </c>
      <c r="T372" s="132" t="n">
        <v>66</v>
      </c>
      <c r="U372" s="128" t="n">
        <v>8</v>
      </c>
      <c r="V372" s="128" t="n">
        <v>1</v>
      </c>
      <c r="W372" s="90" t="n">
        <f aca="false">IFERROR(O372/V372,0)</f>
        <v>2040</v>
      </c>
      <c r="X372" s="91" t="n">
        <f aca="false">O372/L372</f>
        <v>0.792540792540793</v>
      </c>
      <c r="Y372" s="92" t="str">
        <f aca="false">IFERROR(VLOOKUP(E:E,'Item Data Support Sheet'!A:J,6,0),0)</f>
        <v>WMG3B</v>
      </c>
      <c r="Z372" s="93" t="n">
        <f aca="false">IFERROR(VLOOKUP(E:E,'Item Data Support Sheet'!A:O,4,0),0)</f>
        <v>33.13</v>
      </c>
      <c r="AA372" s="93" t="n">
        <f aca="false">IFERROR(((N372)*(Z372/1000))+P372,0)</f>
        <v>73.7547</v>
      </c>
      <c r="AB372" s="94" t="n">
        <f aca="false">IFERROR((O372*(Z372/1000)/(AA372))," ")</f>
        <v>0.916351093557427</v>
      </c>
      <c r="AC372" s="95" t="n">
        <f aca="false">IFERROR((T372)/((T372)+O372),0)</f>
        <v>0.0313390313390313</v>
      </c>
      <c r="AD372" s="96" t="n">
        <f aca="false">IFERROR(Q372/(Q372+N372),0)</f>
        <v>0.0335392762577229</v>
      </c>
      <c r="AE372" s="91" t="n">
        <f aca="false">(N372-T372)/N372</f>
        <v>0.96986301369863</v>
      </c>
      <c r="AF372" s="97" t="n">
        <f aca="false">BR372</f>
        <v>2</v>
      </c>
      <c r="AG372" s="98" t="n">
        <f aca="false">K372-AF372</f>
        <v>6</v>
      </c>
      <c r="AH372" s="99" t="n">
        <f aca="false">IFERROR(AG372/K372," ")</f>
        <v>0.75</v>
      </c>
      <c r="AI372" s="100" t="n">
        <f aca="false">IFERROR(O372/K372,0)</f>
        <v>255</v>
      </c>
      <c r="AJ372" s="101" t="n">
        <f aca="false">VLOOKUP(D372,'Standard Cycle time'!C:D,2,0)</f>
        <v>9</v>
      </c>
      <c r="AK372" s="101" t="n">
        <f aca="false">AG372*V372*3600/O372</f>
        <v>10.5882352941176</v>
      </c>
      <c r="AL372" s="102" t="n">
        <f aca="false">AJ372/AK372</f>
        <v>0.85</v>
      </c>
      <c r="AM372" s="99" t="n">
        <f aca="false">AE372*AL372*AH372</f>
        <v>0.618287671232877</v>
      </c>
      <c r="AN372" s="103" t="n">
        <v>3069</v>
      </c>
      <c r="AO372" s="112" t="s">
        <v>847</v>
      </c>
      <c r="AP372" s="105" t="n">
        <v>0</v>
      </c>
      <c r="AQ372" s="105" t="n">
        <v>0</v>
      </c>
      <c r="AR372" s="105" t="n">
        <v>120</v>
      </c>
      <c r="AS372" s="105" t="n">
        <v>0</v>
      </c>
      <c r="AT372" s="105" t="n">
        <v>0</v>
      </c>
      <c r="AU372" s="105" t="n">
        <v>0</v>
      </c>
      <c r="AV372" s="105" t="n">
        <v>0</v>
      </c>
      <c r="AW372" s="105" t="n">
        <v>0</v>
      </c>
      <c r="AX372" s="105" t="n">
        <v>0</v>
      </c>
      <c r="AY372" s="105" t="n">
        <v>0</v>
      </c>
      <c r="AZ372" s="105" t="n">
        <v>0</v>
      </c>
      <c r="BA372" s="105" t="n">
        <v>0</v>
      </c>
      <c r="BB372" s="105" t="n">
        <v>0</v>
      </c>
      <c r="BC372" s="105" t="n">
        <v>0</v>
      </c>
      <c r="BD372" s="105" t="n">
        <v>0</v>
      </c>
      <c r="BE372" s="105" t="n">
        <v>0</v>
      </c>
      <c r="BF372" s="105" t="n">
        <v>0</v>
      </c>
      <c r="BG372" s="105" t="n">
        <v>0</v>
      </c>
      <c r="BH372" s="105" t="n">
        <v>0</v>
      </c>
      <c r="BI372" s="105" t="n">
        <v>0</v>
      </c>
      <c r="BJ372" s="105" t="n">
        <v>0</v>
      </c>
      <c r="BK372" s="105" t="n">
        <v>0</v>
      </c>
      <c r="BL372" s="105" t="n">
        <v>0</v>
      </c>
      <c r="BM372" s="105" t="n">
        <v>0</v>
      </c>
      <c r="BN372" s="105" t="n">
        <v>0</v>
      </c>
      <c r="BO372" s="105" t="n">
        <v>0</v>
      </c>
      <c r="BP372" s="105" t="n">
        <v>0</v>
      </c>
      <c r="BQ372" s="105" t="n">
        <v>0</v>
      </c>
      <c r="BR372" s="106" t="n">
        <v>2</v>
      </c>
      <c r="BS372" s="106" t="n">
        <v>2.03333333333333</v>
      </c>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row>
    <row r="373" customFormat="false" ht="14.9" hidden="false" customHeight="false" outlineLevel="0" collapsed="false">
      <c r="A373" s="74" t="n">
        <f aca="false">MONTH(B373)</f>
        <v>9</v>
      </c>
      <c r="B373" s="135" t="n">
        <v>44442</v>
      </c>
      <c r="C373" s="128" t="s">
        <v>51</v>
      </c>
      <c r="D373" s="77" t="str">
        <f aca="false">IFERROR(VLOOKUP(E:E,'Item Data Support Sheet'!A:O,7,0),"")</f>
        <v>NIPPLE MOLDED</v>
      </c>
      <c r="E373" s="80" t="s">
        <v>136</v>
      </c>
      <c r="F373" s="122" t="s">
        <v>137</v>
      </c>
      <c r="G373" s="137" t="s">
        <v>848</v>
      </c>
      <c r="H373" s="79" t="str">
        <f aca="false">IFERROR(VLOOKUP(E:E,'Item Data Support Sheet'!A:O,2,0),"")</f>
        <v>NIPPLE S TYPE M SIZE INJECTION</v>
      </c>
      <c r="I373" s="80" t="s">
        <v>849</v>
      </c>
      <c r="J373" s="80" t="s">
        <v>148</v>
      </c>
      <c r="K373" s="81" t="n">
        <v>8</v>
      </c>
      <c r="L373" s="124" t="n">
        <v>4815</v>
      </c>
      <c r="M373" s="83" t="n">
        <f aca="false">IFERROR(L373/K373,0)</f>
        <v>601.875</v>
      </c>
      <c r="N373" s="84" t="n">
        <f aca="false">+O373+Q373+T373+U373</f>
        <v>3358</v>
      </c>
      <c r="O373" s="85" t="n">
        <v>3200</v>
      </c>
      <c r="P373" s="86" t="n">
        <v>1</v>
      </c>
      <c r="Q373" s="86" t="n">
        <v>90</v>
      </c>
      <c r="R373" s="132" t="n">
        <v>0</v>
      </c>
      <c r="S373" s="128" t="n">
        <v>0</v>
      </c>
      <c r="T373" s="132" t="n">
        <v>60</v>
      </c>
      <c r="U373" s="128" t="n">
        <v>8</v>
      </c>
      <c r="V373" s="128" t="n">
        <v>1</v>
      </c>
      <c r="W373" s="90" t="n">
        <f aca="false">IFERROR(O373/V373,0)</f>
        <v>3200</v>
      </c>
      <c r="X373" s="91" t="n">
        <f aca="false">O373/L373</f>
        <v>0.664589823468328</v>
      </c>
      <c r="Y373" s="92" t="str">
        <f aca="false">IFERROR(VLOOKUP(E:E,'Item Data Support Sheet'!A:J,6,0),0)</f>
        <v>Silicon</v>
      </c>
      <c r="Z373" s="93" t="n">
        <f aca="false">IFERROR(VLOOKUP(E:E,'Item Data Support Sheet'!A:O,4,0),0)</f>
        <v>6.8</v>
      </c>
      <c r="AA373" s="93" t="n">
        <f aca="false">IFERROR(((N373)*(Z373/1000))+P373,0)</f>
        <v>23.8344</v>
      </c>
      <c r="AB373" s="94" t="n">
        <f aca="false">IFERROR((O373*(Z373/1000)/(AA373))," ")</f>
        <v>0.912966132984258</v>
      </c>
      <c r="AC373" s="95" t="n">
        <f aca="false">IFERROR((T373)/((T373)+O373),0)</f>
        <v>0.0184049079754601</v>
      </c>
      <c r="AD373" s="96" t="n">
        <f aca="false">IFERROR(Q373/(Q373+N373),0)</f>
        <v>0.0261020881670534</v>
      </c>
      <c r="AE373" s="91" t="n">
        <f aca="false">(N373-T373)/N373</f>
        <v>0.982132221560453</v>
      </c>
      <c r="AF373" s="97" t="n">
        <f aca="false">BR373</f>
        <v>2.5</v>
      </c>
      <c r="AG373" s="98" t="n">
        <f aca="false">K373-AF373</f>
        <v>5.5</v>
      </c>
      <c r="AH373" s="99" t="n">
        <f aca="false">IFERROR(AG373/K373," ")</f>
        <v>0.6875</v>
      </c>
      <c r="AI373" s="100" t="n">
        <f aca="false">IFERROR(O373/K373,0)</f>
        <v>400</v>
      </c>
      <c r="AJ373" s="101" t="n">
        <f aca="false">VLOOKUP(D373,'Standard Cycle time'!C:D,2,0)</f>
        <v>5.25</v>
      </c>
      <c r="AK373" s="101" t="n">
        <f aca="false">AG373*V373*3600/O373</f>
        <v>6.1875</v>
      </c>
      <c r="AL373" s="102" t="n">
        <f aca="false">AJ373/AK373</f>
        <v>0.848484848484848</v>
      </c>
      <c r="AM373" s="99" t="n">
        <f aca="false">AE373*AL373*AH373</f>
        <v>0.572910462576931</v>
      </c>
      <c r="AN373" s="103" t="s">
        <v>850</v>
      </c>
      <c r="AO373" s="112" t="s">
        <v>811</v>
      </c>
      <c r="AP373" s="105" t="n">
        <v>0</v>
      </c>
      <c r="AQ373" s="105" t="n">
        <v>0</v>
      </c>
      <c r="AR373" s="105" t="n">
        <v>0</v>
      </c>
      <c r="AS373" s="105" t="n">
        <v>0</v>
      </c>
      <c r="AT373" s="105" t="n">
        <v>0</v>
      </c>
      <c r="AU373" s="105" t="n">
        <v>30</v>
      </c>
      <c r="AV373" s="105" t="n">
        <v>30</v>
      </c>
      <c r="AW373" s="105" t="n">
        <v>90</v>
      </c>
      <c r="AX373" s="105" t="n">
        <v>0</v>
      </c>
      <c r="AY373" s="105" t="n">
        <v>0</v>
      </c>
      <c r="AZ373" s="105" t="n">
        <v>0</v>
      </c>
      <c r="BA373" s="105" t="n">
        <v>0</v>
      </c>
      <c r="BB373" s="105" t="n">
        <v>0</v>
      </c>
      <c r="BC373" s="105" t="n">
        <v>0</v>
      </c>
      <c r="BD373" s="105" t="n">
        <v>0</v>
      </c>
      <c r="BE373" s="105" t="n">
        <v>0</v>
      </c>
      <c r="BF373" s="105" t="n">
        <v>0</v>
      </c>
      <c r="BG373" s="105" t="n">
        <v>0</v>
      </c>
      <c r="BH373" s="105" t="n">
        <v>0</v>
      </c>
      <c r="BI373" s="105" t="n">
        <v>0</v>
      </c>
      <c r="BJ373" s="105" t="n">
        <v>0</v>
      </c>
      <c r="BK373" s="105" t="n">
        <v>0</v>
      </c>
      <c r="BL373" s="105" t="n">
        <v>0</v>
      </c>
      <c r="BM373" s="105" t="n">
        <v>0</v>
      </c>
      <c r="BN373" s="105" t="n">
        <v>0</v>
      </c>
      <c r="BO373" s="105" t="n">
        <v>0</v>
      </c>
      <c r="BP373" s="105" t="n">
        <v>0</v>
      </c>
      <c r="BQ373" s="105" t="n">
        <v>0</v>
      </c>
      <c r="BR373" s="106" t="n">
        <v>2.5</v>
      </c>
      <c r="BS373" s="106" t="n">
        <v>2.54166666666667</v>
      </c>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row>
    <row r="374" customFormat="false" ht="14.9" hidden="false" customHeight="false" outlineLevel="0" collapsed="false">
      <c r="A374" s="74" t="n">
        <f aca="false">MONTH(B374)</f>
        <v>9</v>
      </c>
      <c r="B374" s="135" t="n">
        <v>44442</v>
      </c>
      <c r="C374" s="128" t="s">
        <v>51</v>
      </c>
      <c r="D374" s="77" t="str">
        <f aca="false">IFERROR(VLOOKUP(E:E,'Item Data Support Sheet'!A:O,7,0),"")</f>
        <v>HOOD MOLDED</v>
      </c>
      <c r="E374" s="80" t="s">
        <v>529</v>
      </c>
      <c r="F374" s="122"/>
      <c r="G374" s="137" t="s">
        <v>740</v>
      </c>
      <c r="H374" s="79" t="str">
        <f aca="false">IFERROR(VLOOKUP(E:E,'Item Data Support Sheet'!A:O,2,0),"")</f>
        <v>HOOD S TYPE MOLDED</v>
      </c>
      <c r="I374" s="80" t="s">
        <v>851</v>
      </c>
      <c r="J374" s="80" t="s">
        <v>148</v>
      </c>
      <c r="K374" s="81" t="n">
        <v>8</v>
      </c>
      <c r="L374" s="124" t="n">
        <v>4137</v>
      </c>
      <c r="M374" s="83" t="n">
        <f aca="false">IFERROR(L374/K374,0)</f>
        <v>517.125</v>
      </c>
      <c r="N374" s="84" t="n">
        <f aca="false">+O374+Q374+T374+U374</f>
        <v>5512</v>
      </c>
      <c r="O374" s="85" t="n">
        <v>5500</v>
      </c>
      <c r="P374" s="86" t="n">
        <v>0</v>
      </c>
      <c r="Q374" s="86" t="n">
        <v>0</v>
      </c>
      <c r="R374" s="132" t="n">
        <v>0</v>
      </c>
      <c r="S374" s="128" t="n">
        <v>0</v>
      </c>
      <c r="T374" s="132" t="n">
        <v>4</v>
      </c>
      <c r="U374" s="128" t="n">
        <v>8</v>
      </c>
      <c r="V374" s="128" t="n">
        <v>1</v>
      </c>
      <c r="W374" s="90" t="n">
        <f aca="false">IFERROR(O374/V374,0)</f>
        <v>5500</v>
      </c>
      <c r="X374" s="91" t="n">
        <f aca="false">O374/L374</f>
        <v>1.32946579647087</v>
      </c>
      <c r="Y374" s="92" t="str">
        <f aca="false">IFERROR(VLOOKUP(E:E,'Item Data Support Sheet'!A:J,6,0),0)</f>
        <v>HMC</v>
      </c>
      <c r="Z374" s="93" t="n">
        <f aca="false">IFERROR(VLOOKUP(E:E,'Item Data Support Sheet'!A:O,4,0),0)</f>
        <v>8.6</v>
      </c>
      <c r="AA374" s="93" t="n">
        <f aca="false">IFERROR(((N374)*(Z374/1000))+P374,0)</f>
        <v>47.4032</v>
      </c>
      <c r="AB374" s="94" t="n">
        <f aca="false">IFERROR((O374*(Z374/1000)/(AA374))," ")</f>
        <v>0.997822931785196</v>
      </c>
      <c r="AC374" s="95" t="n">
        <f aca="false">IFERROR((T374)/((T374)+O374),0)</f>
        <v>0.000726744186046512</v>
      </c>
      <c r="AD374" s="96" t="n">
        <f aca="false">IFERROR(Q374/(Q374+N374),0)</f>
        <v>0</v>
      </c>
      <c r="AE374" s="91" t="n">
        <f aca="false">(N374-T374)/N374</f>
        <v>0.999274310595065</v>
      </c>
      <c r="AF374" s="97" t="n">
        <f aca="false">BR374</f>
        <v>0</v>
      </c>
      <c r="AG374" s="98" t="n">
        <f aca="false">K374-AF374</f>
        <v>8</v>
      </c>
      <c r="AH374" s="99" t="n">
        <f aca="false">IFERROR(AG374/K374," ")</f>
        <v>1</v>
      </c>
      <c r="AI374" s="100" t="n">
        <f aca="false">IFERROR(O374/K374,0)</f>
        <v>687.5</v>
      </c>
      <c r="AJ374" s="101" t="n">
        <f aca="false">VLOOKUP(D374,'Standard Cycle time'!C:D,2,0)</f>
        <v>6</v>
      </c>
      <c r="AK374" s="101" t="n">
        <f aca="false">AG374*V374*3600/O374</f>
        <v>5.23636363636364</v>
      </c>
      <c r="AL374" s="102" t="n">
        <f aca="false">AJ374/AK374</f>
        <v>1.14583333333333</v>
      </c>
      <c r="AM374" s="99" t="n">
        <f aca="false">AE374*AL374*AH374</f>
        <v>1.14500181422351</v>
      </c>
      <c r="AN374" s="103" t="s">
        <v>852</v>
      </c>
      <c r="AO374" s="112"/>
      <c r="AP374" s="105" t="n">
        <v>0</v>
      </c>
      <c r="AQ374" s="105" t="n">
        <v>0</v>
      </c>
      <c r="AR374" s="105" t="n">
        <v>0</v>
      </c>
      <c r="AS374" s="105" t="n">
        <v>0</v>
      </c>
      <c r="AT374" s="105" t="n">
        <v>0</v>
      </c>
      <c r="AU374" s="105" t="n">
        <v>0</v>
      </c>
      <c r="AV374" s="105" t="n">
        <v>0</v>
      </c>
      <c r="AW374" s="105" t="n">
        <v>0</v>
      </c>
      <c r="AX374" s="105" t="n">
        <v>0</v>
      </c>
      <c r="AY374" s="105" t="n">
        <v>0</v>
      </c>
      <c r="AZ374" s="105" t="n">
        <v>0</v>
      </c>
      <c r="BA374" s="105" t="n">
        <v>0</v>
      </c>
      <c r="BB374" s="105" t="n">
        <v>0</v>
      </c>
      <c r="BC374" s="105" t="n">
        <v>0</v>
      </c>
      <c r="BD374" s="105" t="n">
        <v>0</v>
      </c>
      <c r="BE374" s="105" t="n">
        <v>0</v>
      </c>
      <c r="BF374" s="105" t="n">
        <v>0</v>
      </c>
      <c r="BG374" s="105" t="n">
        <v>0</v>
      </c>
      <c r="BH374" s="105" t="n">
        <v>0</v>
      </c>
      <c r="BI374" s="105" t="n">
        <v>0</v>
      </c>
      <c r="BJ374" s="105" t="n">
        <v>0</v>
      </c>
      <c r="BK374" s="105" t="n">
        <v>0</v>
      </c>
      <c r="BL374" s="105" t="n">
        <v>0</v>
      </c>
      <c r="BM374" s="105" t="n">
        <v>0</v>
      </c>
      <c r="BN374" s="105" t="n">
        <v>0</v>
      </c>
      <c r="BO374" s="105" t="n">
        <v>0</v>
      </c>
      <c r="BP374" s="105" t="n">
        <v>0</v>
      </c>
      <c r="BQ374" s="105" t="n">
        <v>0</v>
      </c>
      <c r="BR374" s="106" t="n">
        <v>0</v>
      </c>
      <c r="BS374" s="106" t="n">
        <v>0</v>
      </c>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row>
    <row r="375" customFormat="false" ht="14.9" hidden="false" customHeight="false" outlineLevel="0" collapsed="false">
      <c r="A375" s="74" t="n">
        <f aca="false">MONTH(B375)</f>
        <v>9</v>
      </c>
      <c r="B375" s="135" t="n">
        <v>44442</v>
      </c>
      <c r="C375" s="128" t="s">
        <v>51</v>
      </c>
      <c r="D375" s="77" t="str">
        <f aca="false">IFERROR(VLOOKUP(E:E,'Item Data Support Sheet'!A:O,7,0),"")</f>
        <v>NIPPLE LASER MARKING</v>
      </c>
      <c r="E375" s="80" t="s">
        <v>681</v>
      </c>
      <c r="F375" s="122"/>
      <c r="G375" s="137" t="s">
        <v>517</v>
      </c>
      <c r="H375" s="79" t="str">
        <f aca="false">IFERROR(VLOOKUP(E:E,'Item Data Support Sheet'!A:O,2,0),"")</f>
        <v>NIPPLE S TYPE L SIZE PUNCHED LASER MARKED</v>
      </c>
      <c r="I375" s="80" t="s">
        <v>853</v>
      </c>
      <c r="J375" s="80" t="s">
        <v>148</v>
      </c>
      <c r="K375" s="81" t="n">
        <v>8</v>
      </c>
      <c r="L375" s="124" t="n">
        <v>7000</v>
      </c>
      <c r="M375" s="83" t="n">
        <f aca="false">IFERROR(L375/K375,0)</f>
        <v>875</v>
      </c>
      <c r="N375" s="84" t="n">
        <f aca="false">+O375+Q375+T375+U375</f>
        <v>6710</v>
      </c>
      <c r="O375" s="85" t="n">
        <v>6710</v>
      </c>
      <c r="P375" s="86" t="n">
        <v>0</v>
      </c>
      <c r="Q375" s="86" t="n">
        <v>0</v>
      </c>
      <c r="R375" s="132" t="n">
        <v>0</v>
      </c>
      <c r="S375" s="128" t="n">
        <v>0</v>
      </c>
      <c r="T375" s="132" t="n">
        <v>0</v>
      </c>
      <c r="U375" s="128" t="n">
        <v>0</v>
      </c>
      <c r="V375" s="128" t="n">
        <v>1</v>
      </c>
      <c r="W375" s="90" t="n">
        <f aca="false">IFERROR(O375/V375,0)</f>
        <v>6710</v>
      </c>
      <c r="X375" s="91" t="n">
        <f aca="false">O375/L375</f>
        <v>0.958571428571429</v>
      </c>
      <c r="Y375" s="92" t="str">
        <f aca="false">IFERROR(VLOOKUP(E:E,'Item Data Support Sheet'!A:J,6,0),0)</f>
        <v>FO021</v>
      </c>
      <c r="Z375" s="93" t="n">
        <f aca="false">IFERROR(VLOOKUP(E:E,'Item Data Support Sheet'!A:O,4,0),0)</f>
        <v>0</v>
      </c>
      <c r="AA375" s="93" t="n">
        <f aca="false">IFERROR(((N375)*(Z375/1000))+P375,0)</f>
        <v>0</v>
      </c>
      <c r="AB375" s="94" t="str">
        <f aca="false">IFERROR((O375*(Z375/1000)/(AA375))," ")</f>
        <v> </v>
      </c>
      <c r="AC375" s="95" t="n">
        <f aca="false">IFERROR((T375)/((T375)+O375),0)</f>
        <v>0</v>
      </c>
      <c r="AD375" s="96" t="n">
        <f aca="false">IFERROR(Q375/(Q375+N375),0)</f>
        <v>0</v>
      </c>
      <c r="AE375" s="91" t="n">
        <f aca="false">(N375-T375)/N375</f>
        <v>1</v>
      </c>
      <c r="AF375" s="97" t="n">
        <f aca="false">BR375</f>
        <v>1.66666666666667</v>
      </c>
      <c r="AG375" s="98" t="n">
        <f aca="false">K375-AF375</f>
        <v>6.33333333333333</v>
      </c>
      <c r="AH375" s="99" t="n">
        <f aca="false">IFERROR(AG375/K375," ")</f>
        <v>0.791666666666666</v>
      </c>
      <c r="AI375" s="100" t="n">
        <f aca="false">IFERROR(O375/K375,0)</f>
        <v>838.75</v>
      </c>
      <c r="AJ375" s="101" t="n">
        <f aca="false">VLOOKUP(D375,'Standard Cycle time'!C:D,2,0)</f>
        <v>3.5</v>
      </c>
      <c r="AK375" s="101" t="n">
        <f aca="false">AG375*V375*3600/O375</f>
        <v>3.39791356184799</v>
      </c>
      <c r="AL375" s="102" t="n">
        <f aca="false">AJ375/AK375</f>
        <v>1.03004385964912</v>
      </c>
      <c r="AM375" s="99" t="n">
        <f aca="false">AE375*AL375*AH375</f>
        <v>0.815451388888889</v>
      </c>
      <c r="AN375" s="103" t="s">
        <v>854</v>
      </c>
      <c r="AO375" s="112"/>
      <c r="AP375" s="105" t="n">
        <v>40</v>
      </c>
      <c r="AQ375" s="105" t="n">
        <v>0</v>
      </c>
      <c r="AR375" s="105" t="n">
        <v>0</v>
      </c>
      <c r="AS375" s="105" t="n">
        <v>0</v>
      </c>
      <c r="AT375" s="105" t="n">
        <v>0</v>
      </c>
      <c r="AU375" s="105" t="n">
        <v>0</v>
      </c>
      <c r="AV375" s="105" t="n">
        <v>60</v>
      </c>
      <c r="AW375" s="105" t="n">
        <v>0</v>
      </c>
      <c r="AX375" s="105" t="n">
        <v>0</v>
      </c>
      <c r="AY375" s="105" t="n">
        <v>0</v>
      </c>
      <c r="AZ375" s="105" t="n">
        <v>0</v>
      </c>
      <c r="BA375" s="105" t="n">
        <v>0</v>
      </c>
      <c r="BB375" s="105" t="n">
        <v>0</v>
      </c>
      <c r="BC375" s="105" t="n">
        <v>0</v>
      </c>
      <c r="BD375" s="105" t="n">
        <v>0</v>
      </c>
      <c r="BE375" s="105" t="n">
        <v>0</v>
      </c>
      <c r="BF375" s="105" t="n">
        <v>0</v>
      </c>
      <c r="BG375" s="105" t="n">
        <v>0</v>
      </c>
      <c r="BH375" s="105" t="n">
        <v>0</v>
      </c>
      <c r="BI375" s="105" t="n">
        <v>0</v>
      </c>
      <c r="BJ375" s="105" t="n">
        <v>0</v>
      </c>
      <c r="BK375" s="105" t="n">
        <v>0</v>
      </c>
      <c r="BL375" s="105" t="n">
        <v>0</v>
      </c>
      <c r="BM375" s="105" t="n">
        <v>0</v>
      </c>
      <c r="BN375" s="105" t="n">
        <v>0</v>
      </c>
      <c r="BO375" s="105" t="n">
        <v>0</v>
      </c>
      <c r="BP375" s="105" t="n">
        <v>0</v>
      </c>
      <c r="BQ375" s="105" t="n">
        <v>0</v>
      </c>
      <c r="BR375" s="106" t="n">
        <v>1.66666666666667</v>
      </c>
      <c r="BS375" s="106" t="n">
        <v>1.69444444444444</v>
      </c>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row>
    <row r="376" customFormat="false" ht="14.9" hidden="false" customHeight="false" outlineLevel="0" collapsed="false">
      <c r="A376" s="74" t="n">
        <f aca="false">MONTH(B376)</f>
        <v>9</v>
      </c>
      <c r="B376" s="135" t="n">
        <v>44442</v>
      </c>
      <c r="C376" s="128" t="s">
        <v>51</v>
      </c>
      <c r="D376" s="77" t="str">
        <f aca="false">IFERROR(VLOOKUP(E:E,'Item Data Support Sheet'!A:O,7,0),"")</f>
        <v>NIPPLE PUNCH</v>
      </c>
      <c r="E376" s="80" t="s">
        <v>834</v>
      </c>
      <c r="F376" s="122"/>
      <c r="G376" s="137" t="s">
        <v>54</v>
      </c>
      <c r="H376" s="79" t="str">
        <f aca="false">IFERROR(VLOOKUP(E:E,'Item Data Support Sheet'!A:O,2,0),"")</f>
        <v>NIPPLE S TYPE Y SIZE PUNCHED</v>
      </c>
      <c r="I376" s="80" t="s">
        <v>855</v>
      </c>
      <c r="J376" s="80" t="s">
        <v>148</v>
      </c>
      <c r="K376" s="81" t="n">
        <v>8</v>
      </c>
      <c r="L376" s="124" t="n">
        <v>7000</v>
      </c>
      <c r="M376" s="83" t="n">
        <f aca="false">IFERROR(L376/K376,0)</f>
        <v>875</v>
      </c>
      <c r="N376" s="84" t="n">
        <f aca="false">+O376+Q376+T376+U376</f>
        <v>4210</v>
      </c>
      <c r="O376" s="85" t="n">
        <v>4210</v>
      </c>
      <c r="P376" s="86" t="n">
        <v>0</v>
      </c>
      <c r="Q376" s="86" t="n">
        <v>0</v>
      </c>
      <c r="R376" s="132" t="n">
        <v>0</v>
      </c>
      <c r="S376" s="128" t="n">
        <v>0</v>
      </c>
      <c r="T376" s="132" t="n">
        <v>0</v>
      </c>
      <c r="U376" s="128" t="n">
        <v>0</v>
      </c>
      <c r="V376" s="128" t="n">
        <v>1</v>
      </c>
      <c r="W376" s="90" t="n">
        <f aca="false">IFERROR(O376/V376,0)</f>
        <v>4210</v>
      </c>
      <c r="X376" s="91" t="n">
        <f aca="false">O376/L376</f>
        <v>0.601428571428571</v>
      </c>
      <c r="Y376" s="92" t="str">
        <f aca="false">IFERROR(VLOOKUP(E:E,'Item Data Support Sheet'!A:J,6,0),0)</f>
        <v>FO018</v>
      </c>
      <c r="Z376" s="93" t="n">
        <f aca="false">IFERROR(VLOOKUP(E:E,'Item Data Support Sheet'!A:O,4,0),0)</f>
        <v>0</v>
      </c>
      <c r="AA376" s="93" t="n">
        <f aca="false">IFERROR(((N376)*(Z376/1000))+P376,0)</f>
        <v>0</v>
      </c>
      <c r="AB376" s="94" t="str">
        <f aca="false">IFERROR((O376*(Z376/1000)/(AA376))," ")</f>
        <v> </v>
      </c>
      <c r="AC376" s="95" t="n">
        <f aca="false">IFERROR((T376)/((T376)+O376),0)</f>
        <v>0</v>
      </c>
      <c r="AD376" s="96" t="n">
        <f aca="false">IFERROR(Q376/(Q376+N376),0)</f>
        <v>0</v>
      </c>
      <c r="AE376" s="91" t="n">
        <f aca="false">(N376-T376)/N376</f>
        <v>1</v>
      </c>
      <c r="AF376" s="97" t="n">
        <f aca="false">BR376</f>
        <v>3.66666666666667</v>
      </c>
      <c r="AG376" s="98" t="n">
        <f aca="false">K376-AF376</f>
        <v>4.33333333333333</v>
      </c>
      <c r="AH376" s="99" t="n">
        <f aca="false">IFERROR(AG376/K376," ")</f>
        <v>0.541666666666666</v>
      </c>
      <c r="AI376" s="100" t="n">
        <f aca="false">IFERROR(O376/K376,0)</f>
        <v>526.25</v>
      </c>
      <c r="AJ376" s="101" t="n">
        <f aca="false">VLOOKUP(D376,'Standard Cycle time'!C:D,2,0)</f>
        <v>3.5</v>
      </c>
      <c r="AK376" s="101" t="n">
        <f aca="false">AG376*V376*3600/O376</f>
        <v>3.70546318289786</v>
      </c>
      <c r="AL376" s="102" t="n">
        <f aca="false">AJ376/AK376</f>
        <v>0.944551282051283</v>
      </c>
      <c r="AM376" s="99" t="n">
        <f aca="false">AE376*AL376*AH376</f>
        <v>0.511631944444444</v>
      </c>
      <c r="AN376" s="103" t="s">
        <v>856</v>
      </c>
      <c r="AO376" s="112"/>
      <c r="AP376" s="105" t="n">
        <v>40</v>
      </c>
      <c r="AQ376" s="105" t="n">
        <v>0</v>
      </c>
      <c r="AR376" s="105" t="n">
        <v>0</v>
      </c>
      <c r="AS376" s="105" t="n">
        <v>60</v>
      </c>
      <c r="AT376" s="105" t="n">
        <v>0</v>
      </c>
      <c r="AU376" s="105" t="n">
        <v>0</v>
      </c>
      <c r="AV376" s="105" t="n">
        <v>120</v>
      </c>
      <c r="AW376" s="105" t="n">
        <v>0</v>
      </c>
      <c r="AX376" s="105" t="n">
        <v>0</v>
      </c>
      <c r="AY376" s="105" t="n">
        <v>0</v>
      </c>
      <c r="AZ376" s="105" t="n">
        <v>0</v>
      </c>
      <c r="BA376" s="105" t="n">
        <v>0</v>
      </c>
      <c r="BB376" s="105" t="n">
        <v>0</v>
      </c>
      <c r="BC376" s="105" t="n">
        <v>0</v>
      </c>
      <c r="BD376" s="105" t="n">
        <v>0</v>
      </c>
      <c r="BE376" s="105" t="n">
        <v>0</v>
      </c>
      <c r="BF376" s="105" t="n">
        <v>0</v>
      </c>
      <c r="BG376" s="105" t="n">
        <v>0</v>
      </c>
      <c r="BH376" s="105" t="n">
        <v>0</v>
      </c>
      <c r="BI376" s="105" t="n">
        <v>0</v>
      </c>
      <c r="BJ376" s="105" t="n">
        <v>0</v>
      </c>
      <c r="BK376" s="105" t="n">
        <v>0</v>
      </c>
      <c r="BL376" s="105" t="n">
        <v>0</v>
      </c>
      <c r="BM376" s="105" t="n">
        <v>0</v>
      </c>
      <c r="BN376" s="105" t="n">
        <v>0</v>
      </c>
      <c r="BO376" s="105" t="n">
        <v>0</v>
      </c>
      <c r="BP376" s="105" t="n">
        <v>0</v>
      </c>
      <c r="BQ376" s="105" t="n">
        <v>0</v>
      </c>
      <c r="BR376" s="106" t="n">
        <v>3.66666666666667</v>
      </c>
      <c r="BS376" s="106" t="n">
        <v>3.72777777777778</v>
      </c>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row>
    <row r="377" customFormat="false" ht="14.9" hidden="false" customHeight="false" outlineLevel="0" collapsed="false">
      <c r="A377" s="74" t="n">
        <f aca="false">MONTH(B377)</f>
        <v>9</v>
      </c>
      <c r="B377" s="135" t="n">
        <v>44442</v>
      </c>
      <c r="C377" s="128" t="s">
        <v>63</v>
      </c>
      <c r="D377" s="77" t="str">
        <f aca="false">IFERROR(VLOOKUP(E:E,'Item Data Support Sheet'!A:O,7,0),"")</f>
        <v>NIPPLE PUNCH INSPECTED</v>
      </c>
      <c r="E377" s="80" t="s">
        <v>688</v>
      </c>
      <c r="F377" s="122"/>
      <c r="G377" s="137"/>
      <c r="H377" s="79" t="str">
        <f aca="false">IFERROR(VLOOKUP(E:E,'Item Data Support Sheet'!A:O,2,0),"")</f>
        <v>NIPPLE S TYPE L SIZE PUNCHED INSPECTED</v>
      </c>
      <c r="I377" s="80" t="s">
        <v>857</v>
      </c>
      <c r="J377" s="80" t="s">
        <v>143</v>
      </c>
      <c r="K377" s="81" t="n">
        <v>8.5</v>
      </c>
      <c r="L377" s="124" t="n">
        <v>14000</v>
      </c>
      <c r="M377" s="83" t="n">
        <f aca="false">IFERROR(L377/K377,0)</f>
        <v>1647.05882352941</v>
      </c>
      <c r="N377" s="84" t="n">
        <f aca="false">+O377+Q377+T377+U377</f>
        <v>11710</v>
      </c>
      <c r="O377" s="85" t="n">
        <v>11650</v>
      </c>
      <c r="P377" s="86" t="n">
        <v>0</v>
      </c>
      <c r="Q377" s="86" t="n">
        <v>0</v>
      </c>
      <c r="R377" s="132" t="n">
        <v>0</v>
      </c>
      <c r="S377" s="128" t="n">
        <v>0</v>
      </c>
      <c r="T377" s="132" t="n">
        <v>60</v>
      </c>
      <c r="U377" s="128" t="n">
        <v>0</v>
      </c>
      <c r="V377" s="128" t="n">
        <v>1</v>
      </c>
      <c r="W377" s="90" t="n">
        <f aca="false">IFERROR(O377/V377,0)</f>
        <v>11650</v>
      </c>
      <c r="X377" s="91" t="n">
        <f aca="false">O377/L377</f>
        <v>0.832142857142857</v>
      </c>
      <c r="Y377" s="92" t="str">
        <f aca="false">IFERROR(VLOOKUP(E:E,'Item Data Support Sheet'!A:J,6,0),0)</f>
        <v>FO106</v>
      </c>
      <c r="Z377" s="93" t="n">
        <f aca="false">IFERROR(VLOOKUP(E:E,'Item Data Support Sheet'!A:O,4,0),0)</f>
        <v>0</v>
      </c>
      <c r="AA377" s="93" t="n">
        <f aca="false">IFERROR(((N377)*(Z377/1000))+P377,0)</f>
        <v>0</v>
      </c>
      <c r="AB377" s="94" t="str">
        <f aca="false">IFERROR((O377*(Z377/1000)/(AA377))," ")</f>
        <v> </v>
      </c>
      <c r="AC377" s="95" t="n">
        <f aca="false">IFERROR((T377)/((T377)+O377),0)</f>
        <v>0.00512382578992314</v>
      </c>
      <c r="AD377" s="96" t="n">
        <f aca="false">IFERROR(Q377/(Q377+N377),0)</f>
        <v>0</v>
      </c>
      <c r="AE377" s="91" t="n">
        <f aca="false">(N377-T377)/N377</f>
        <v>0.994876174210077</v>
      </c>
      <c r="AF377" s="97" t="n">
        <f aca="false">BR377</f>
        <v>0.833333333333333</v>
      </c>
      <c r="AG377" s="98" t="n">
        <f aca="false">K377-AF377</f>
        <v>7.66666666666667</v>
      </c>
      <c r="AH377" s="99" t="n">
        <f aca="false">IFERROR(AG377/K377," ")</f>
        <v>0.901960784313726</v>
      </c>
      <c r="AI377" s="100" t="n">
        <f aca="false">IFERROR(O377/K377,0)</f>
        <v>1370.58823529412</v>
      </c>
      <c r="AJ377" s="101" t="n">
        <f aca="false">VLOOKUP(D377,'Standard Cycle time'!C:D,2,0)</f>
        <v>4</v>
      </c>
      <c r="AK377" s="101" t="n">
        <f aca="false">AG377*V377*3600/O377</f>
        <v>2.36909871244635</v>
      </c>
      <c r="AL377" s="102" t="n">
        <f aca="false">AJ377/AK377</f>
        <v>1.68840579710145</v>
      </c>
      <c r="AM377" s="99" t="n">
        <f aca="false">AE377*AL377*AH377</f>
        <v>1.5150728666075</v>
      </c>
      <c r="AN377" s="103" t="s">
        <v>858</v>
      </c>
      <c r="AO377" s="112"/>
      <c r="AP377" s="105" t="n">
        <v>50</v>
      </c>
      <c r="AQ377" s="105" t="n">
        <v>0</v>
      </c>
      <c r="AR377" s="105" t="n">
        <v>0</v>
      </c>
      <c r="AS377" s="105" t="n">
        <v>0</v>
      </c>
      <c r="AT377" s="105" t="n">
        <v>0</v>
      </c>
      <c r="AU377" s="105" t="n">
        <v>0</v>
      </c>
      <c r="AV377" s="105" t="n">
        <v>0</v>
      </c>
      <c r="AW377" s="105" t="n">
        <v>0</v>
      </c>
      <c r="AX377" s="105" t="n">
        <v>0</v>
      </c>
      <c r="AY377" s="105" t="n">
        <v>0</v>
      </c>
      <c r="AZ377" s="105" t="n">
        <v>0</v>
      </c>
      <c r="BA377" s="105" t="n">
        <v>0</v>
      </c>
      <c r="BB377" s="105" t="n">
        <v>0</v>
      </c>
      <c r="BC377" s="105" t="n">
        <v>0</v>
      </c>
      <c r="BD377" s="105" t="n">
        <v>0</v>
      </c>
      <c r="BE377" s="105" t="n">
        <v>0</v>
      </c>
      <c r="BF377" s="105" t="n">
        <v>0</v>
      </c>
      <c r="BG377" s="105" t="n">
        <v>0</v>
      </c>
      <c r="BH377" s="105" t="n">
        <v>0</v>
      </c>
      <c r="BI377" s="105" t="n">
        <v>0</v>
      </c>
      <c r="BJ377" s="105" t="n">
        <v>0</v>
      </c>
      <c r="BK377" s="105" t="n">
        <v>0</v>
      </c>
      <c r="BL377" s="105" t="n">
        <v>0</v>
      </c>
      <c r="BM377" s="105" t="n">
        <v>0</v>
      </c>
      <c r="BN377" s="105" t="n">
        <v>0</v>
      </c>
      <c r="BO377" s="105" t="n">
        <v>0</v>
      </c>
      <c r="BP377" s="105" t="n">
        <v>0</v>
      </c>
      <c r="BQ377" s="105" t="n">
        <v>0</v>
      </c>
      <c r="BR377" s="106" t="n">
        <v>0.833333333333333</v>
      </c>
      <c r="BS377" s="106" t="n">
        <v>0.847222222222222</v>
      </c>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row>
    <row r="378" customFormat="false" ht="14.9" hidden="false" customHeight="false" outlineLevel="0" collapsed="false">
      <c r="A378" s="74" t="n">
        <f aca="false">MONTH(B378)</f>
        <v>9</v>
      </c>
      <c r="B378" s="135" t="n">
        <v>44442</v>
      </c>
      <c r="C378" s="128" t="s">
        <v>63</v>
      </c>
      <c r="D378" s="77" t="str">
        <f aca="false">IFERROR(VLOOKUP(E:E,'Item Data Support Sheet'!A:O,7,0),"")</f>
        <v>NIPPLE WRAP PRINTED</v>
      </c>
      <c r="E378" s="80" t="s">
        <v>551</v>
      </c>
      <c r="F378" s="122"/>
      <c r="G378" s="137" t="s">
        <v>432</v>
      </c>
      <c r="H378" s="79" t="str">
        <f aca="false">IFERROR(VLOOKUP(E:E,'Item Data Support Sheet'!A:O,2,0),"")</f>
        <v>NIPPLE S TYPE S SIZE WITH PRINTED WRAP</v>
      </c>
      <c r="I378" s="80" t="s">
        <v>859</v>
      </c>
      <c r="J378" s="80" t="s">
        <v>143</v>
      </c>
      <c r="K378" s="81" t="n">
        <v>8.5</v>
      </c>
      <c r="L378" s="124" t="n">
        <v>16132</v>
      </c>
      <c r="M378" s="83" t="n">
        <f aca="false">IFERROR(L378/K378,0)</f>
        <v>1897.88235294118</v>
      </c>
      <c r="N378" s="84" t="n">
        <f aca="false">+O378+Q378+T378+U378</f>
        <v>16171</v>
      </c>
      <c r="O378" s="85" t="n">
        <v>16171</v>
      </c>
      <c r="P378" s="86" t="n">
        <v>0</v>
      </c>
      <c r="Q378" s="86" t="n">
        <v>0</v>
      </c>
      <c r="R378" s="132" t="n">
        <v>0</v>
      </c>
      <c r="S378" s="128" t="n">
        <v>0</v>
      </c>
      <c r="T378" s="132" t="n">
        <v>0</v>
      </c>
      <c r="U378" s="128" t="n">
        <v>0</v>
      </c>
      <c r="V378" s="128" t="n">
        <v>2</v>
      </c>
      <c r="W378" s="90" t="n">
        <f aca="false">IFERROR(O378/V378,0)</f>
        <v>8085.5</v>
      </c>
      <c r="X378" s="91" t="n">
        <f aca="false">O378/L378</f>
        <v>1.00241755516985</v>
      </c>
      <c r="Y378" s="92" t="str">
        <f aca="false">IFERROR(VLOOKUP(E:E,'Item Data Support Sheet'!A:J,6,0),0)</f>
        <v>FO108</v>
      </c>
      <c r="Z378" s="93" t="n">
        <f aca="false">IFERROR(VLOOKUP(E:E,'Item Data Support Sheet'!A:O,4,0),0)</f>
        <v>0</v>
      </c>
      <c r="AA378" s="93" t="n">
        <f aca="false">IFERROR(((N378)*(Z378/1000))+P378,0)</f>
        <v>0</v>
      </c>
      <c r="AB378" s="94" t="str">
        <f aca="false">IFERROR((O378*(Z378/1000)/(AA378))," ")</f>
        <v> </v>
      </c>
      <c r="AC378" s="95" t="n">
        <f aca="false">IFERROR((T378)/((T378)+O378),0)</f>
        <v>0</v>
      </c>
      <c r="AD378" s="96" t="n">
        <f aca="false">IFERROR(Q378/(Q378+N378),0)</f>
        <v>0</v>
      </c>
      <c r="AE378" s="91" t="n">
        <f aca="false">(N378-T378)/N378</f>
        <v>1</v>
      </c>
      <c r="AF378" s="97" t="n">
        <f aca="false">BR378</f>
        <v>0.833333333333333</v>
      </c>
      <c r="AG378" s="98" t="n">
        <f aca="false">K378-AF378</f>
        <v>7.66666666666667</v>
      </c>
      <c r="AH378" s="99" t="n">
        <f aca="false">IFERROR(AG378/K378," ")</f>
        <v>0.901960784313726</v>
      </c>
      <c r="AI378" s="100" t="n">
        <f aca="false">IFERROR(O378/K378,0)</f>
        <v>1902.47058823529</v>
      </c>
      <c r="AJ378" s="101" t="n">
        <f aca="false">VLOOKUP(D378,'Standard Cycle time'!C:D,2,0)</f>
        <v>2.5</v>
      </c>
      <c r="AK378" s="101" t="n">
        <f aca="false">AG378*V378*3600/O378</f>
        <v>3.4135180260961</v>
      </c>
      <c r="AL378" s="102" t="n">
        <f aca="false">AJ378/AK378</f>
        <v>0.732382246376812</v>
      </c>
      <c r="AM378" s="99" t="n">
        <f aca="false">AE378*AL378*AH378</f>
        <v>0.660580065359477</v>
      </c>
      <c r="AN378" s="103" t="s">
        <v>860</v>
      </c>
      <c r="AO378" s="112"/>
      <c r="AP378" s="105" t="n">
        <v>50</v>
      </c>
      <c r="AQ378" s="105" t="n">
        <v>0</v>
      </c>
      <c r="AR378" s="105" t="n">
        <v>0</v>
      </c>
      <c r="AS378" s="105" t="n">
        <v>0</v>
      </c>
      <c r="AT378" s="105" t="n">
        <v>0</v>
      </c>
      <c r="AU378" s="105" t="n">
        <v>0</v>
      </c>
      <c r="AV378" s="105" t="n">
        <v>0</v>
      </c>
      <c r="AW378" s="105" t="n">
        <v>0</v>
      </c>
      <c r="AX378" s="105" t="n">
        <v>0</v>
      </c>
      <c r="AY378" s="105" t="n">
        <v>0</v>
      </c>
      <c r="AZ378" s="105" t="n">
        <v>0</v>
      </c>
      <c r="BA378" s="105" t="n">
        <v>0</v>
      </c>
      <c r="BB378" s="105" t="n">
        <v>0</v>
      </c>
      <c r="BC378" s="105" t="n">
        <v>0</v>
      </c>
      <c r="BD378" s="105" t="n">
        <v>0</v>
      </c>
      <c r="BE378" s="105" t="n">
        <v>0</v>
      </c>
      <c r="BF378" s="105" t="n">
        <v>0</v>
      </c>
      <c r="BG378" s="105" t="n">
        <v>0</v>
      </c>
      <c r="BH378" s="105" t="n">
        <v>0</v>
      </c>
      <c r="BI378" s="105" t="n">
        <v>0</v>
      </c>
      <c r="BJ378" s="105" t="n">
        <v>0</v>
      </c>
      <c r="BK378" s="105" t="n">
        <v>0</v>
      </c>
      <c r="BL378" s="105" t="n">
        <v>0</v>
      </c>
      <c r="BM378" s="105" t="n">
        <v>0</v>
      </c>
      <c r="BN378" s="105" t="n">
        <v>0</v>
      </c>
      <c r="BO378" s="105" t="n">
        <v>0</v>
      </c>
      <c r="BP378" s="105" t="n">
        <v>0</v>
      </c>
      <c r="BQ378" s="105" t="n">
        <v>0</v>
      </c>
      <c r="BR378" s="106" t="n">
        <v>0.833333333333333</v>
      </c>
      <c r="BS378" s="106" t="n">
        <v>0.847222222222222</v>
      </c>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row>
    <row r="379" customFormat="false" ht="14.9" hidden="false" customHeight="false" outlineLevel="0" collapsed="false">
      <c r="A379" s="74" t="n">
        <f aca="false">MONTH(B379)</f>
        <v>9</v>
      </c>
      <c r="B379" s="135" t="n">
        <v>44442</v>
      </c>
      <c r="C379" s="128" t="s">
        <v>63</v>
      </c>
      <c r="D379" s="77" t="str">
        <f aca="false">IFERROR(VLOOKUP(E:E,'Item Data Support Sheet'!A:O,7,0),"")</f>
        <v>BOTTLE PRINTED</v>
      </c>
      <c r="E379" s="80" t="s">
        <v>829</v>
      </c>
      <c r="F379" s="122"/>
      <c r="G379" s="137" t="s">
        <v>66</v>
      </c>
      <c r="H379" s="79" t="str">
        <f aca="false">IFERROR(VLOOKUP(E:E,'Item Data Support Sheet'!A:O,2,0),"")</f>
        <v>KPP 120 BOTTLE PRINTED-WMG3B (OZ SCALE)</v>
      </c>
      <c r="I379" s="80" t="s">
        <v>861</v>
      </c>
      <c r="J379" s="80" t="s">
        <v>143</v>
      </c>
      <c r="K379" s="81" t="n">
        <v>3</v>
      </c>
      <c r="L379" s="124" t="n">
        <v>1800</v>
      </c>
      <c r="M379" s="83" t="n">
        <f aca="false">IFERROR(L379/K379,0)</f>
        <v>600</v>
      </c>
      <c r="N379" s="84" t="n">
        <f aca="false">+O379+Q379+T379+U379</f>
        <v>1779</v>
      </c>
      <c r="O379" s="85" t="n">
        <v>1755</v>
      </c>
      <c r="P379" s="86" t="n">
        <v>0</v>
      </c>
      <c r="Q379" s="86" t="n">
        <v>0</v>
      </c>
      <c r="R379" s="132" t="n">
        <v>12</v>
      </c>
      <c r="S379" s="128" t="n">
        <v>0</v>
      </c>
      <c r="T379" s="132" t="n">
        <v>24</v>
      </c>
      <c r="U379" s="128" t="n">
        <v>0</v>
      </c>
      <c r="V379" s="128" t="n">
        <v>6</v>
      </c>
      <c r="W379" s="90" t="n">
        <f aca="false">IFERROR(O379/V379,0)</f>
        <v>292.5</v>
      </c>
      <c r="X379" s="91" t="n">
        <f aca="false">O379/L379</f>
        <v>0.975</v>
      </c>
      <c r="Y379" s="92" t="str">
        <f aca="false">IFERROR(VLOOKUP(E:E,'Item Data Support Sheet'!A:J,6,0),0)</f>
        <v>FO042</v>
      </c>
      <c r="Z379" s="93" t="n">
        <f aca="false">IFERROR(VLOOKUP(E:E,'Item Data Support Sheet'!A:O,4,0),0)</f>
        <v>0</v>
      </c>
      <c r="AA379" s="93" t="n">
        <f aca="false">IFERROR(((N379)*(Z379/1000))+P379,0)</f>
        <v>0</v>
      </c>
      <c r="AB379" s="94" t="str">
        <f aca="false">IFERROR((O379*(Z379/1000)/(AA379))," ")</f>
        <v> </v>
      </c>
      <c r="AC379" s="95" t="n">
        <f aca="false">IFERROR((T379)/((T379)+O379),0)</f>
        <v>0.0134907251264755</v>
      </c>
      <c r="AD379" s="96" t="n">
        <f aca="false">IFERROR(Q379/(Q379+N379),0)</f>
        <v>0</v>
      </c>
      <c r="AE379" s="91" t="n">
        <f aca="false">(N379-T379)/N379</f>
        <v>0.986509274873524</v>
      </c>
      <c r="AF379" s="97" t="n">
        <f aca="false">BR379</f>
        <v>0</v>
      </c>
      <c r="AG379" s="98" t="n">
        <f aca="false">K379-AF379</f>
        <v>3</v>
      </c>
      <c r="AH379" s="99" t="n">
        <f aca="false">IFERROR(AG379/K379," ")</f>
        <v>1</v>
      </c>
      <c r="AI379" s="100" t="n">
        <f aca="false">IFERROR(O379/K379,0)</f>
        <v>585</v>
      </c>
      <c r="AJ379" s="101" t="n">
        <f aca="false">VLOOKUP(D379,'Standard Cycle time'!C:D,2,0)</f>
        <v>32.4</v>
      </c>
      <c r="AK379" s="101" t="n">
        <f aca="false">AG379*V379*3600/O379</f>
        <v>36.9230769230769</v>
      </c>
      <c r="AL379" s="102" t="n">
        <f aca="false">AJ379/AK379</f>
        <v>0.8775</v>
      </c>
      <c r="AM379" s="99" t="n">
        <f aca="false">AE379*AL379*AH379</f>
        <v>0.865661888701518</v>
      </c>
      <c r="AN379" s="103" t="n">
        <v>2936</v>
      </c>
      <c r="AO379" s="112"/>
      <c r="AP379" s="105" t="n">
        <v>0</v>
      </c>
      <c r="AQ379" s="105" t="n">
        <v>0</v>
      </c>
      <c r="AR379" s="105" t="n">
        <v>0</v>
      </c>
      <c r="AS379" s="105" t="n">
        <v>0</v>
      </c>
      <c r="AT379" s="105" t="n">
        <v>0</v>
      </c>
      <c r="AU379" s="105" t="n">
        <v>0</v>
      </c>
      <c r="AV379" s="105" t="n">
        <v>0</v>
      </c>
      <c r="AW379" s="105" t="n">
        <v>0</v>
      </c>
      <c r="AX379" s="105" t="n">
        <v>0</v>
      </c>
      <c r="AY379" s="105" t="n">
        <v>0</v>
      </c>
      <c r="AZ379" s="105" t="n">
        <v>0</v>
      </c>
      <c r="BA379" s="105" t="n">
        <v>0</v>
      </c>
      <c r="BB379" s="105" t="n">
        <v>0</v>
      </c>
      <c r="BC379" s="105" t="n">
        <v>0</v>
      </c>
      <c r="BD379" s="105" t="n">
        <v>0</v>
      </c>
      <c r="BE379" s="105" t="n">
        <v>0</v>
      </c>
      <c r="BF379" s="105" t="n">
        <v>0</v>
      </c>
      <c r="BG379" s="105" t="n">
        <v>0</v>
      </c>
      <c r="BH379" s="105" t="n">
        <v>0</v>
      </c>
      <c r="BI379" s="105" t="n">
        <v>0</v>
      </c>
      <c r="BJ379" s="105" t="n">
        <v>0</v>
      </c>
      <c r="BK379" s="105" t="n">
        <v>0</v>
      </c>
      <c r="BL379" s="105" t="n">
        <v>0</v>
      </c>
      <c r="BM379" s="105" t="n">
        <v>0</v>
      </c>
      <c r="BN379" s="105" t="n">
        <v>0</v>
      </c>
      <c r="BO379" s="105" t="n">
        <v>0</v>
      </c>
      <c r="BP379" s="105" t="n">
        <v>0</v>
      </c>
      <c r="BQ379" s="105" t="n">
        <v>0</v>
      </c>
      <c r="BR379" s="106" t="n">
        <v>0</v>
      </c>
      <c r="BS379" s="106" t="n">
        <v>0</v>
      </c>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row>
    <row r="380" customFormat="false" ht="14.9" hidden="false" customHeight="false" outlineLevel="0" collapsed="false">
      <c r="A380" s="74" t="n">
        <f aca="false">MONTH(B380)</f>
        <v>9</v>
      </c>
      <c r="B380" s="135" t="n">
        <v>44442</v>
      </c>
      <c r="C380" s="128" t="s">
        <v>63</v>
      </c>
      <c r="D380" s="77" t="str">
        <f aca="false">IFERROR(VLOOKUP(E:E,'Item Data Support Sheet'!A:O,7,0),"")</f>
        <v>BOTTLE PRINTED</v>
      </c>
      <c r="E380" s="80" t="s">
        <v>758</v>
      </c>
      <c r="F380" s="122"/>
      <c r="G380" s="137" t="s">
        <v>66</v>
      </c>
      <c r="H380" s="79" t="str">
        <f aca="false">IFERROR(VLOOKUP(E:E,'Item Data Support Sheet'!A:O,2,0),"")</f>
        <v>KPP 120 BOTTLE PRINTED (WMG3B) W/O OZ &amp; W/BIS LOGO</v>
      </c>
      <c r="I380" s="80" t="s">
        <v>861</v>
      </c>
      <c r="J380" s="80" t="s">
        <v>143</v>
      </c>
      <c r="K380" s="81" t="n">
        <v>0.7</v>
      </c>
      <c r="L380" s="124" t="n">
        <v>200</v>
      </c>
      <c r="M380" s="83" t="n">
        <f aca="false">IFERROR(L380/K380,0)</f>
        <v>285.714285714286</v>
      </c>
      <c r="N380" s="84" t="n">
        <f aca="false">+O380+Q380+T380+U380</f>
        <v>196</v>
      </c>
      <c r="O380" s="85" t="n">
        <v>196</v>
      </c>
      <c r="P380" s="86" t="n">
        <v>0</v>
      </c>
      <c r="Q380" s="86" t="n">
        <v>0</v>
      </c>
      <c r="R380" s="132" t="n">
        <v>0</v>
      </c>
      <c r="S380" s="128" t="n">
        <v>0</v>
      </c>
      <c r="T380" s="132" t="n">
        <v>0</v>
      </c>
      <c r="U380" s="128" t="n">
        <v>0</v>
      </c>
      <c r="V380" s="128" t="n">
        <v>6</v>
      </c>
      <c r="W380" s="90" t="n">
        <f aca="false">IFERROR(O380/V380,0)</f>
        <v>32.6666666666667</v>
      </c>
      <c r="X380" s="91" t="n">
        <f aca="false">O380/L380</f>
        <v>0.98</v>
      </c>
      <c r="Y380" s="92" t="str">
        <f aca="false">IFERROR(VLOOKUP(E:E,'Item Data Support Sheet'!A:J,6,0),0)</f>
        <v>FO042</v>
      </c>
      <c r="Z380" s="93" t="n">
        <f aca="false">IFERROR(VLOOKUP(E:E,'Item Data Support Sheet'!A:O,4,0),0)</f>
        <v>0</v>
      </c>
      <c r="AA380" s="93" t="n">
        <f aca="false">IFERROR(((N380)*(Z380/1000))+P380,0)</f>
        <v>0</v>
      </c>
      <c r="AB380" s="94" t="str">
        <f aca="false">IFERROR((O380*(Z380/1000)/(AA380))," ")</f>
        <v> </v>
      </c>
      <c r="AC380" s="95" t="n">
        <f aca="false">IFERROR((T380)/((T380)+O380),0)</f>
        <v>0</v>
      </c>
      <c r="AD380" s="96" t="n">
        <f aca="false">IFERROR(Q380/(Q380+N380),0)</f>
        <v>0</v>
      </c>
      <c r="AE380" s="91" t="n">
        <f aca="false">(N380-T380)/N380</f>
        <v>1</v>
      </c>
      <c r="AF380" s="97" t="n">
        <f aca="false">BR380</f>
        <v>0.416666666666667</v>
      </c>
      <c r="AG380" s="98" t="n">
        <f aca="false">K380-AF380</f>
        <v>0.283333333333333</v>
      </c>
      <c r="AH380" s="99" t="n">
        <f aca="false">IFERROR(AG380/K380," ")</f>
        <v>0.404761904761904</v>
      </c>
      <c r="AI380" s="100" t="n">
        <f aca="false">IFERROR(O380/K380,0)</f>
        <v>280</v>
      </c>
      <c r="AJ380" s="101" t="n">
        <f aca="false">VLOOKUP(D380,'Standard Cycle time'!C:D,2,0)</f>
        <v>32.4</v>
      </c>
      <c r="AK380" s="101" t="n">
        <f aca="false">AG380*V380*3600/O380</f>
        <v>31.2244897959183</v>
      </c>
      <c r="AL380" s="102" t="n">
        <f aca="false">AJ380/AK380</f>
        <v>1.03764705882353</v>
      </c>
      <c r="AM380" s="99" t="n">
        <f aca="false">AE380*AL380*AH380</f>
        <v>0.42</v>
      </c>
      <c r="AN380" s="103" t="n">
        <v>2937</v>
      </c>
      <c r="AO380" s="112" t="s">
        <v>862</v>
      </c>
      <c r="AP380" s="105" t="n">
        <v>0</v>
      </c>
      <c r="AQ380" s="105" t="n">
        <v>25</v>
      </c>
      <c r="AR380" s="105" t="n">
        <v>0</v>
      </c>
      <c r="AS380" s="105" t="n">
        <v>0</v>
      </c>
      <c r="AT380" s="105" t="n">
        <v>0</v>
      </c>
      <c r="AU380" s="105" t="n">
        <v>0</v>
      </c>
      <c r="AV380" s="105" t="n">
        <v>0</v>
      </c>
      <c r="AW380" s="105" t="n">
        <v>0</v>
      </c>
      <c r="AX380" s="105" t="n">
        <v>0</v>
      </c>
      <c r="AY380" s="105" t="n">
        <v>0</v>
      </c>
      <c r="AZ380" s="105" t="n">
        <v>0</v>
      </c>
      <c r="BA380" s="105" t="n">
        <v>0</v>
      </c>
      <c r="BB380" s="105" t="n">
        <v>0</v>
      </c>
      <c r="BC380" s="105" t="n">
        <v>0</v>
      </c>
      <c r="BD380" s="105" t="n">
        <v>0</v>
      </c>
      <c r="BE380" s="105" t="n">
        <v>0</v>
      </c>
      <c r="BF380" s="105" t="n">
        <v>0</v>
      </c>
      <c r="BG380" s="105" t="n">
        <v>0</v>
      </c>
      <c r="BH380" s="105" t="n">
        <v>0</v>
      </c>
      <c r="BI380" s="105" t="n">
        <v>0</v>
      </c>
      <c r="BJ380" s="105" t="n">
        <v>0</v>
      </c>
      <c r="BK380" s="105" t="n">
        <v>0</v>
      </c>
      <c r="BL380" s="105" t="n">
        <v>0</v>
      </c>
      <c r="BM380" s="105" t="n">
        <v>0</v>
      </c>
      <c r="BN380" s="105" t="n">
        <v>0</v>
      </c>
      <c r="BO380" s="105" t="n">
        <v>0</v>
      </c>
      <c r="BP380" s="105" t="n">
        <v>0</v>
      </c>
      <c r="BQ380" s="105" t="n">
        <v>0</v>
      </c>
      <c r="BR380" s="106" t="n">
        <v>0.416666666666667</v>
      </c>
      <c r="BS380" s="106" t="n">
        <v>0.423611111111111</v>
      </c>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row>
    <row r="381" customFormat="false" ht="14.9" hidden="false" customHeight="false" outlineLevel="0" collapsed="false">
      <c r="A381" s="74" t="n">
        <f aca="false">MONTH(B381)</f>
        <v>9</v>
      </c>
      <c r="B381" s="135" t="n">
        <v>44442</v>
      </c>
      <c r="C381" s="128" t="s">
        <v>63</v>
      </c>
      <c r="D381" s="77" t="str">
        <f aca="false">IFERROR(VLOOKUP(E:E,'Item Data Support Sheet'!A:O,7,0),"")</f>
        <v>BOTTLE PRINTED</v>
      </c>
      <c r="E381" s="80" t="s">
        <v>387</v>
      </c>
      <c r="F381" s="122"/>
      <c r="G381" s="137" t="s">
        <v>66</v>
      </c>
      <c r="H381" s="79" t="str">
        <f aca="false">IFERROR(VLOOKUP(E:E,'Item Data Support Sheet'!A:O,2,0),"")</f>
        <v>KPP 240 BOTTLE PRINTED (WMG3B) W/O OZ &amp; W/BIS LOGO</v>
      </c>
      <c r="I381" s="80" t="s">
        <v>863</v>
      </c>
      <c r="J381" s="80" t="s">
        <v>143</v>
      </c>
      <c r="K381" s="81" t="n">
        <v>0.3</v>
      </c>
      <c r="L381" s="124" t="n">
        <v>5</v>
      </c>
      <c r="M381" s="83" t="n">
        <f aca="false">IFERROR(L381/K381,0)</f>
        <v>16.6666666666667</v>
      </c>
      <c r="N381" s="84" t="n">
        <f aca="false">+O381+Q381+T381+U381</f>
        <v>5</v>
      </c>
      <c r="O381" s="85" t="n">
        <v>5</v>
      </c>
      <c r="P381" s="86" t="n">
        <v>0</v>
      </c>
      <c r="Q381" s="86" t="n">
        <v>0</v>
      </c>
      <c r="R381" s="132" t="n">
        <v>0</v>
      </c>
      <c r="S381" s="128" t="n">
        <v>0</v>
      </c>
      <c r="T381" s="132" t="n">
        <v>0</v>
      </c>
      <c r="U381" s="128" t="n">
        <v>0</v>
      </c>
      <c r="V381" s="128" t="n">
        <v>6</v>
      </c>
      <c r="W381" s="90" t="n">
        <f aca="false">IFERROR(O381/V381,0)</f>
        <v>0.833333333333333</v>
      </c>
      <c r="X381" s="91" t="n">
        <f aca="false">O381/L381</f>
        <v>1</v>
      </c>
      <c r="Y381" s="92" t="str">
        <f aca="false">IFERROR(VLOOKUP(E:E,'Item Data Support Sheet'!A:J,6,0),0)</f>
        <v>FO044</v>
      </c>
      <c r="Z381" s="93" t="n">
        <f aca="false">IFERROR(VLOOKUP(E:E,'Item Data Support Sheet'!A:O,4,0),0)</f>
        <v>0</v>
      </c>
      <c r="AA381" s="93" t="n">
        <f aca="false">IFERROR(((N381)*(Z381/1000))+P381,0)</f>
        <v>0</v>
      </c>
      <c r="AB381" s="94" t="str">
        <f aca="false">IFERROR((O381*(Z381/1000)/(AA381))," ")</f>
        <v> </v>
      </c>
      <c r="AC381" s="95" t="n">
        <f aca="false">IFERROR((T381)/((T381)+O381),0)</f>
        <v>0</v>
      </c>
      <c r="AD381" s="96" t="n">
        <f aca="false">IFERROR(Q381/(Q381+N381),0)</f>
        <v>0</v>
      </c>
      <c r="AE381" s="91" t="n">
        <f aca="false">(N381-T381)/N381</f>
        <v>1</v>
      </c>
      <c r="AF381" s="97" t="n">
        <f aca="false">BR381</f>
        <v>0</v>
      </c>
      <c r="AG381" s="98" t="n">
        <f aca="false">K381-AF381</f>
        <v>0.3</v>
      </c>
      <c r="AH381" s="99" t="n">
        <f aca="false">IFERROR(AG381/K381," ")</f>
        <v>1</v>
      </c>
      <c r="AI381" s="100" t="n">
        <f aca="false">IFERROR(O381/K381,0)</f>
        <v>16.6666666666667</v>
      </c>
      <c r="AJ381" s="101" t="n">
        <f aca="false">VLOOKUP(D381,'Standard Cycle time'!C:D,2,0)</f>
        <v>32.4</v>
      </c>
      <c r="AK381" s="101" t="n">
        <f aca="false">AG381*V381*3600/O381</f>
        <v>1296</v>
      </c>
      <c r="AL381" s="102" t="n">
        <f aca="false">AJ381/AK381</f>
        <v>0.025</v>
      </c>
      <c r="AM381" s="99" t="n">
        <f aca="false">AE381*AL381*AH381</f>
        <v>0.025</v>
      </c>
      <c r="AN381" s="103" t="n">
        <v>2938</v>
      </c>
      <c r="AO381" s="112" t="s">
        <v>864</v>
      </c>
      <c r="AP381" s="105" t="n">
        <v>0</v>
      </c>
      <c r="AQ381" s="105" t="n">
        <v>0</v>
      </c>
      <c r="AR381" s="105" t="n">
        <v>0</v>
      </c>
      <c r="AS381" s="105" t="n">
        <v>0</v>
      </c>
      <c r="AT381" s="105" t="n">
        <v>0</v>
      </c>
      <c r="AU381" s="105" t="n">
        <v>0</v>
      </c>
      <c r="AV381" s="105" t="n">
        <v>0</v>
      </c>
      <c r="AW381" s="105" t="n">
        <v>0</v>
      </c>
      <c r="AX381" s="105" t="n">
        <v>0</v>
      </c>
      <c r="AY381" s="105" t="n">
        <v>0</v>
      </c>
      <c r="AZ381" s="105" t="n">
        <v>0</v>
      </c>
      <c r="BA381" s="105" t="n">
        <v>0</v>
      </c>
      <c r="BB381" s="105" t="n">
        <v>0</v>
      </c>
      <c r="BC381" s="105" t="n">
        <v>0</v>
      </c>
      <c r="BD381" s="105" t="n">
        <v>0</v>
      </c>
      <c r="BE381" s="105" t="n">
        <v>0</v>
      </c>
      <c r="BF381" s="105" t="n">
        <v>0</v>
      </c>
      <c r="BG381" s="105" t="n">
        <v>0</v>
      </c>
      <c r="BH381" s="105" t="n">
        <v>0</v>
      </c>
      <c r="BI381" s="105" t="n">
        <v>0</v>
      </c>
      <c r="BJ381" s="105" t="n">
        <v>0</v>
      </c>
      <c r="BK381" s="105" t="n">
        <v>0</v>
      </c>
      <c r="BL381" s="105" t="n">
        <v>0</v>
      </c>
      <c r="BM381" s="105" t="n">
        <v>0</v>
      </c>
      <c r="BN381" s="105" t="n">
        <v>0</v>
      </c>
      <c r="BO381" s="105" t="n">
        <v>0</v>
      </c>
      <c r="BP381" s="105" t="n">
        <v>0</v>
      </c>
      <c r="BQ381" s="105" t="n">
        <v>0</v>
      </c>
      <c r="BR381" s="106" t="n">
        <v>0</v>
      </c>
      <c r="BS381" s="106" t="n">
        <v>0</v>
      </c>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row>
    <row r="382" customFormat="false" ht="14.9" hidden="false" customHeight="false" outlineLevel="0" collapsed="false">
      <c r="A382" s="74" t="n">
        <f aca="false">MONTH(B382)</f>
        <v>9</v>
      </c>
      <c r="B382" s="135" t="n">
        <v>44442</v>
      </c>
      <c r="C382" s="128" t="s">
        <v>63</v>
      </c>
      <c r="D382" s="77" t="str">
        <f aca="false">IFERROR(VLOOKUP(E:E,'Item Data Support Sheet'!A:O,7,0),"")</f>
        <v>BOTTLE PRINTED</v>
      </c>
      <c r="E382" s="80" t="s">
        <v>865</v>
      </c>
      <c r="F382" s="122"/>
      <c r="G382" s="137" t="s">
        <v>66</v>
      </c>
      <c r="H382" s="79" t="str">
        <f aca="false">IFERROR(VLOOKUP(E:E,'Item Data Support Sheet'!A:O,2,0),"")</f>
        <v>RPP 240ML GIRL PINK BOTTLE PRINTED (WM3GB)</v>
      </c>
      <c r="I382" s="80" t="s">
        <v>866</v>
      </c>
      <c r="J382" s="80" t="s">
        <v>143</v>
      </c>
      <c r="K382" s="81" t="n">
        <v>2.5</v>
      </c>
      <c r="L382" s="124" t="n">
        <v>1200</v>
      </c>
      <c r="M382" s="83" t="n">
        <f aca="false">IFERROR(L382/K382,0)</f>
        <v>480</v>
      </c>
      <c r="N382" s="84" t="n">
        <f aca="false">+O382+Q382+T382+U382</f>
        <v>1133</v>
      </c>
      <c r="O382" s="85" t="n">
        <v>1116</v>
      </c>
      <c r="P382" s="86" t="n">
        <v>0</v>
      </c>
      <c r="Q382" s="86" t="n">
        <v>0</v>
      </c>
      <c r="R382" s="132" t="n">
        <v>0</v>
      </c>
      <c r="S382" s="128" t="n">
        <v>0</v>
      </c>
      <c r="T382" s="132" t="n">
        <v>17</v>
      </c>
      <c r="U382" s="128" t="n">
        <v>0</v>
      </c>
      <c r="V382" s="128" t="n">
        <v>6</v>
      </c>
      <c r="W382" s="90" t="n">
        <f aca="false">IFERROR(O382/V382,0)</f>
        <v>186</v>
      </c>
      <c r="X382" s="91" t="n">
        <f aca="false">O382/L382</f>
        <v>0.93</v>
      </c>
      <c r="Y382" s="92" t="str">
        <f aca="false">IFERROR(VLOOKUP(E:E,'Item Data Support Sheet'!A:J,6,0),0)</f>
        <v>FO053</v>
      </c>
      <c r="Z382" s="93" t="n">
        <f aca="false">IFERROR(VLOOKUP(E:E,'Item Data Support Sheet'!A:O,4,0),0)</f>
        <v>0</v>
      </c>
      <c r="AA382" s="93" t="n">
        <f aca="false">IFERROR(((N382)*(Z382/1000))+P382,0)</f>
        <v>0</v>
      </c>
      <c r="AB382" s="94" t="str">
        <f aca="false">IFERROR((O382*(Z382/1000)/(AA382))," ")</f>
        <v> </v>
      </c>
      <c r="AC382" s="95" t="n">
        <f aca="false">IFERROR((T382)/((T382)+O382),0)</f>
        <v>0.0150044130626655</v>
      </c>
      <c r="AD382" s="96" t="n">
        <f aca="false">IFERROR(Q382/(Q382+N382),0)</f>
        <v>0</v>
      </c>
      <c r="AE382" s="91" t="n">
        <f aca="false">(N382-T382)/N382</f>
        <v>0.984995586937334</v>
      </c>
      <c r="AF382" s="97" t="n">
        <f aca="false">BR382</f>
        <v>0.5</v>
      </c>
      <c r="AG382" s="98" t="n">
        <f aca="false">K382-AF382</f>
        <v>2</v>
      </c>
      <c r="AH382" s="99" t="n">
        <f aca="false">IFERROR(AG382/K382," ")</f>
        <v>0.8</v>
      </c>
      <c r="AI382" s="100" t="n">
        <f aca="false">IFERROR(O382/K382,0)</f>
        <v>446.4</v>
      </c>
      <c r="AJ382" s="101" t="n">
        <f aca="false">VLOOKUP(D382,'Standard Cycle time'!C:D,2,0)</f>
        <v>32.4</v>
      </c>
      <c r="AK382" s="101" t="n">
        <f aca="false">AG382*V382*3600/O382</f>
        <v>38.7096774193548</v>
      </c>
      <c r="AL382" s="102" t="n">
        <f aca="false">AJ382/AK382</f>
        <v>0.837</v>
      </c>
      <c r="AM382" s="99" t="n">
        <f aca="false">AE382*AL382*AH382</f>
        <v>0.659553045013239</v>
      </c>
      <c r="AN382" s="103" t="s">
        <v>867</v>
      </c>
      <c r="AO382" s="112" t="s">
        <v>868</v>
      </c>
      <c r="AP382" s="105" t="n">
        <v>0</v>
      </c>
      <c r="AQ382" s="105" t="n">
        <v>30</v>
      </c>
      <c r="AR382" s="105" t="n">
        <v>0</v>
      </c>
      <c r="AS382" s="105" t="n">
        <v>0</v>
      </c>
      <c r="AT382" s="105" t="n">
        <v>0</v>
      </c>
      <c r="AU382" s="105" t="n">
        <v>0</v>
      </c>
      <c r="AV382" s="105" t="n">
        <v>0</v>
      </c>
      <c r="AW382" s="105" t="n">
        <v>0</v>
      </c>
      <c r="AX382" s="105" t="n">
        <v>0</v>
      </c>
      <c r="AY382" s="105" t="n">
        <v>0</v>
      </c>
      <c r="AZ382" s="105" t="n">
        <v>0</v>
      </c>
      <c r="BA382" s="105" t="n">
        <v>0</v>
      </c>
      <c r="BB382" s="105" t="n">
        <v>0</v>
      </c>
      <c r="BC382" s="105" t="n">
        <v>0</v>
      </c>
      <c r="BD382" s="105" t="n">
        <v>0</v>
      </c>
      <c r="BE382" s="105" t="n">
        <v>0</v>
      </c>
      <c r="BF382" s="105" t="n">
        <v>0</v>
      </c>
      <c r="BG382" s="105" t="n">
        <v>0</v>
      </c>
      <c r="BH382" s="105" t="n">
        <v>0</v>
      </c>
      <c r="BI382" s="105" t="n">
        <v>0</v>
      </c>
      <c r="BJ382" s="105" t="n">
        <v>0</v>
      </c>
      <c r="BK382" s="105" t="n">
        <v>0</v>
      </c>
      <c r="BL382" s="105" t="n">
        <v>0</v>
      </c>
      <c r="BM382" s="105" t="n">
        <v>0</v>
      </c>
      <c r="BN382" s="105" t="n">
        <v>0</v>
      </c>
      <c r="BO382" s="105" t="n">
        <v>0</v>
      </c>
      <c r="BP382" s="105" t="n">
        <v>0</v>
      </c>
      <c r="BQ382" s="105" t="n">
        <v>0</v>
      </c>
      <c r="BR382" s="106" t="n">
        <v>0.5</v>
      </c>
      <c r="BS382" s="106" t="n">
        <v>0.508333333333333</v>
      </c>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row>
    <row r="383" customFormat="false" ht="14.9" hidden="false" customHeight="false" outlineLevel="0" collapsed="false">
      <c r="A383" s="74" t="n">
        <f aca="false">MONTH(B383)</f>
        <v>9</v>
      </c>
      <c r="B383" s="135" t="n">
        <v>44442</v>
      </c>
      <c r="C383" s="128" t="s">
        <v>63</v>
      </c>
      <c r="D383" s="77" t="str">
        <f aca="false">IFERROR(VLOOKUP(E:E,'Item Data Support Sheet'!A:O,7,0),"")</f>
        <v>BOTTLE PRINTED</v>
      </c>
      <c r="E383" s="80" t="s">
        <v>616</v>
      </c>
      <c r="F383" s="122"/>
      <c r="G383" s="137" t="s">
        <v>66</v>
      </c>
      <c r="H383" s="79" t="str">
        <f aca="false">IFERROR(VLOOKUP(E:E,'Item Data Support Sheet'!A:O,2,0),"")</f>
        <v>RPP 240ML GRL PNK BOTLE PNTD WM3GB W/BIS LOGO</v>
      </c>
      <c r="I383" s="80" t="s">
        <v>866</v>
      </c>
      <c r="J383" s="80" t="s">
        <v>143</v>
      </c>
      <c r="K383" s="81" t="n">
        <v>0.3</v>
      </c>
      <c r="L383" s="124" t="n">
        <v>57</v>
      </c>
      <c r="M383" s="83" t="n">
        <f aca="false">IFERROR(L383/K383,0)</f>
        <v>190</v>
      </c>
      <c r="N383" s="84" t="n">
        <f aca="false">+O383+Q383+T383+U383</f>
        <v>57</v>
      </c>
      <c r="O383" s="85" t="n">
        <v>57</v>
      </c>
      <c r="P383" s="86" t="n">
        <v>0</v>
      </c>
      <c r="Q383" s="86" t="n">
        <v>0</v>
      </c>
      <c r="R383" s="132" t="n">
        <v>0</v>
      </c>
      <c r="S383" s="128" t="n">
        <v>0</v>
      </c>
      <c r="T383" s="132" t="n">
        <v>0</v>
      </c>
      <c r="U383" s="128" t="n">
        <v>0</v>
      </c>
      <c r="V383" s="128" t="n">
        <v>6</v>
      </c>
      <c r="W383" s="90" t="n">
        <f aca="false">IFERROR(O383/V383,0)</f>
        <v>9.5</v>
      </c>
      <c r="X383" s="91" t="n">
        <f aca="false">O383/L383</f>
        <v>1</v>
      </c>
      <c r="Y383" s="92" t="str">
        <f aca="false">IFERROR(VLOOKUP(E:E,'Item Data Support Sheet'!A:J,6,0),0)</f>
        <v>FO057</v>
      </c>
      <c r="Z383" s="93" t="n">
        <f aca="false">IFERROR(VLOOKUP(E:E,'Item Data Support Sheet'!A:O,4,0),0)</f>
        <v>0</v>
      </c>
      <c r="AA383" s="93" t="n">
        <f aca="false">IFERROR(((N383)*(Z383/1000))+P383,0)</f>
        <v>0</v>
      </c>
      <c r="AB383" s="94" t="str">
        <f aca="false">IFERROR((O383*(Z383/1000)/(AA383))," ")</f>
        <v> </v>
      </c>
      <c r="AC383" s="95" t="n">
        <f aca="false">IFERROR((T383)/((T383)+O383),0)</f>
        <v>0</v>
      </c>
      <c r="AD383" s="96" t="n">
        <f aca="false">IFERROR(Q383/(Q383+N383),0)</f>
        <v>0</v>
      </c>
      <c r="AE383" s="91" t="n">
        <f aca="false">(N383-T383)/N383</f>
        <v>1</v>
      </c>
      <c r="AF383" s="97" t="n">
        <f aca="false">BR383</f>
        <v>0.216666666666667</v>
      </c>
      <c r="AG383" s="98" t="n">
        <f aca="false">K383-AF383</f>
        <v>0.083333333333333</v>
      </c>
      <c r="AH383" s="99" t="n">
        <f aca="false">IFERROR(AG383/K383," ")</f>
        <v>0.277777777777777</v>
      </c>
      <c r="AI383" s="100" t="n">
        <f aca="false">IFERROR(O383/K383,0)</f>
        <v>190</v>
      </c>
      <c r="AJ383" s="101" t="n">
        <f aca="false">VLOOKUP(D383,'Standard Cycle time'!C:D,2,0)</f>
        <v>32.4</v>
      </c>
      <c r="AK383" s="101" t="n">
        <f aca="false">AG383*V383*3600/O383</f>
        <v>31.5789473684209</v>
      </c>
      <c r="AL383" s="102" t="n">
        <f aca="false">AJ383/AK383</f>
        <v>1.026</v>
      </c>
      <c r="AM383" s="99" t="n">
        <f aca="false">AE383*AL383*AH383</f>
        <v>0.285</v>
      </c>
      <c r="AN383" s="103" t="s">
        <v>869</v>
      </c>
      <c r="AO383" s="112"/>
      <c r="AP383" s="105" t="n">
        <v>0</v>
      </c>
      <c r="AQ383" s="105" t="n">
        <v>13</v>
      </c>
      <c r="AR383" s="105" t="n">
        <v>0</v>
      </c>
      <c r="AS383" s="105" t="n">
        <v>0</v>
      </c>
      <c r="AT383" s="105" t="n">
        <v>0</v>
      </c>
      <c r="AU383" s="105" t="n">
        <v>0</v>
      </c>
      <c r="AV383" s="105" t="n">
        <v>0</v>
      </c>
      <c r="AW383" s="105" t="n">
        <v>0</v>
      </c>
      <c r="AX383" s="105" t="n">
        <v>0</v>
      </c>
      <c r="AY383" s="105" t="n">
        <v>0</v>
      </c>
      <c r="AZ383" s="105" t="n">
        <v>0</v>
      </c>
      <c r="BA383" s="105" t="n">
        <v>0</v>
      </c>
      <c r="BB383" s="105" t="n">
        <v>0</v>
      </c>
      <c r="BC383" s="105" t="n">
        <v>0</v>
      </c>
      <c r="BD383" s="105" t="n">
        <v>0</v>
      </c>
      <c r="BE383" s="105" t="n">
        <v>0</v>
      </c>
      <c r="BF383" s="105" t="n">
        <v>0</v>
      </c>
      <c r="BG383" s="105" t="n">
        <v>0</v>
      </c>
      <c r="BH383" s="105" t="n">
        <v>0</v>
      </c>
      <c r="BI383" s="105" t="n">
        <v>0</v>
      </c>
      <c r="BJ383" s="105" t="n">
        <v>0</v>
      </c>
      <c r="BK383" s="105" t="n">
        <v>0</v>
      </c>
      <c r="BL383" s="105" t="n">
        <v>0</v>
      </c>
      <c r="BM383" s="105" t="n">
        <v>0</v>
      </c>
      <c r="BN383" s="105" t="n">
        <v>0</v>
      </c>
      <c r="BO383" s="105" t="n">
        <v>0</v>
      </c>
      <c r="BP383" s="105" t="n">
        <v>0</v>
      </c>
      <c r="BQ383" s="105" t="n">
        <v>0</v>
      </c>
      <c r="BR383" s="106" t="n">
        <v>0.216666666666667</v>
      </c>
      <c r="BS383" s="106" t="n">
        <v>0.220277777777778</v>
      </c>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row>
    <row r="384" customFormat="false" ht="14.9" hidden="false" customHeight="false" outlineLevel="0" collapsed="false">
      <c r="A384" s="74" t="n">
        <f aca="false">MONTH(B384)</f>
        <v>9</v>
      </c>
      <c r="B384" s="135" t="n">
        <v>44442</v>
      </c>
      <c r="C384" s="128" t="s">
        <v>63</v>
      </c>
      <c r="D384" s="77" t="str">
        <f aca="false">IFERROR(VLOOKUP(E:E,'Item Data Support Sheet'!A:O,7,0),"")</f>
        <v>BOTTLE PRINTED</v>
      </c>
      <c r="E384" s="80" t="s">
        <v>870</v>
      </c>
      <c r="F384" s="122"/>
      <c r="G384" s="137" t="s">
        <v>66</v>
      </c>
      <c r="H384" s="79" t="str">
        <f aca="false">IFERROR(VLOOKUP(E:E,'Item Data Support Sheet'!A:O,2,0),"")</f>
        <v>RPP 240ML BOY BLUE BOTTLE PRINTED (WM3GB)</v>
      </c>
      <c r="I384" s="80" t="s">
        <v>871</v>
      </c>
      <c r="J384" s="80" t="s">
        <v>143</v>
      </c>
      <c r="K384" s="81" t="n">
        <v>1.7</v>
      </c>
      <c r="L384" s="124" t="n">
        <v>600</v>
      </c>
      <c r="M384" s="83" t="n">
        <f aca="false">IFERROR(L384/K384,0)</f>
        <v>352.941176470588</v>
      </c>
      <c r="N384" s="84" t="n">
        <f aca="false">+O384+Q384+T384+U384</f>
        <v>605</v>
      </c>
      <c r="O384" s="85" t="n">
        <v>600</v>
      </c>
      <c r="P384" s="86" t="n">
        <v>0</v>
      </c>
      <c r="Q384" s="86" t="n">
        <v>0</v>
      </c>
      <c r="R384" s="132" t="n">
        <v>9</v>
      </c>
      <c r="S384" s="128" t="n">
        <v>0</v>
      </c>
      <c r="T384" s="132" t="n">
        <v>5</v>
      </c>
      <c r="U384" s="128" t="n">
        <v>0</v>
      </c>
      <c r="V384" s="128" t="n">
        <v>6</v>
      </c>
      <c r="W384" s="90" t="n">
        <f aca="false">IFERROR(O384/V384,0)</f>
        <v>100</v>
      </c>
      <c r="X384" s="91" t="n">
        <f aca="false">O384/L384</f>
        <v>1</v>
      </c>
      <c r="Y384" s="92" t="str">
        <f aca="false">IFERROR(VLOOKUP(E:E,'Item Data Support Sheet'!A:J,6,0),0)</f>
        <v>FO055</v>
      </c>
      <c r="Z384" s="93" t="n">
        <f aca="false">IFERROR(VLOOKUP(E:E,'Item Data Support Sheet'!A:O,4,0),0)</f>
        <v>0</v>
      </c>
      <c r="AA384" s="93" t="n">
        <f aca="false">IFERROR(((N384)*(Z384/1000))+P384,0)</f>
        <v>0</v>
      </c>
      <c r="AB384" s="94" t="str">
        <f aca="false">IFERROR((O384*(Z384/1000)/(AA384))," ")</f>
        <v> </v>
      </c>
      <c r="AC384" s="95" t="n">
        <f aca="false">IFERROR((T384)/((T384)+O384),0)</f>
        <v>0.00826446280991736</v>
      </c>
      <c r="AD384" s="96" t="n">
        <f aca="false">IFERROR(Q384/(Q384+N384),0)</f>
        <v>0</v>
      </c>
      <c r="AE384" s="91" t="n">
        <f aca="false">(N384-T384)/N384</f>
        <v>0.991735537190083</v>
      </c>
      <c r="AF384" s="97" t="n">
        <f aca="false">BR384</f>
        <v>0.75</v>
      </c>
      <c r="AG384" s="98" t="n">
        <f aca="false">K384-AF384</f>
        <v>0.95</v>
      </c>
      <c r="AH384" s="99" t="n">
        <f aca="false">IFERROR(AG384/K384," ")</f>
        <v>0.558823529411765</v>
      </c>
      <c r="AI384" s="100" t="n">
        <f aca="false">IFERROR(O384/K384,0)</f>
        <v>352.941176470588</v>
      </c>
      <c r="AJ384" s="101" t="n">
        <f aca="false">VLOOKUP(D384,'Standard Cycle time'!C:D,2,0)</f>
        <v>32.4</v>
      </c>
      <c r="AK384" s="101" t="n">
        <f aca="false">AG384*V384*3600/O384</f>
        <v>34.2</v>
      </c>
      <c r="AL384" s="102" t="n">
        <f aca="false">AJ384/AK384</f>
        <v>0.947368421052631</v>
      </c>
      <c r="AM384" s="99" t="n">
        <f aca="false">AE384*AL384*AH384</f>
        <v>0.525036460865338</v>
      </c>
      <c r="AN384" s="103" t="s">
        <v>869</v>
      </c>
      <c r="AO384" s="112"/>
      <c r="AP384" s="105" t="n">
        <v>0</v>
      </c>
      <c r="AQ384" s="105" t="n">
        <v>45</v>
      </c>
      <c r="AR384" s="105" t="n">
        <v>0</v>
      </c>
      <c r="AS384" s="105" t="n">
        <v>0</v>
      </c>
      <c r="AT384" s="105" t="n">
        <v>0</v>
      </c>
      <c r="AU384" s="105" t="n">
        <v>0</v>
      </c>
      <c r="AV384" s="105" t="n">
        <v>0</v>
      </c>
      <c r="AW384" s="105" t="n">
        <v>0</v>
      </c>
      <c r="AX384" s="105" t="n">
        <v>0</v>
      </c>
      <c r="AY384" s="105" t="n">
        <v>0</v>
      </c>
      <c r="AZ384" s="105" t="n">
        <v>0</v>
      </c>
      <c r="BA384" s="105" t="n">
        <v>0</v>
      </c>
      <c r="BB384" s="105" t="n">
        <v>0</v>
      </c>
      <c r="BC384" s="105" t="n">
        <v>0</v>
      </c>
      <c r="BD384" s="105" t="n">
        <v>0</v>
      </c>
      <c r="BE384" s="105" t="n">
        <v>0</v>
      </c>
      <c r="BF384" s="105" t="n">
        <v>0</v>
      </c>
      <c r="BG384" s="105" t="n">
        <v>0</v>
      </c>
      <c r="BH384" s="105" t="n">
        <v>0</v>
      </c>
      <c r="BI384" s="105" t="n">
        <v>0</v>
      </c>
      <c r="BJ384" s="105" t="n">
        <v>0</v>
      </c>
      <c r="BK384" s="105" t="n">
        <v>0</v>
      </c>
      <c r="BL384" s="105" t="n">
        <v>0</v>
      </c>
      <c r="BM384" s="105" t="n">
        <v>0</v>
      </c>
      <c r="BN384" s="105" t="n">
        <v>0</v>
      </c>
      <c r="BO384" s="105" t="n">
        <v>0</v>
      </c>
      <c r="BP384" s="105" t="n">
        <v>0</v>
      </c>
      <c r="BQ384" s="105" t="n">
        <v>0</v>
      </c>
      <c r="BR384" s="106" t="n">
        <v>0.75</v>
      </c>
      <c r="BS384" s="106" t="n">
        <v>0.7625</v>
      </c>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row>
    <row r="385" customFormat="false" ht="14.9" hidden="false" customHeight="false" outlineLevel="0" collapsed="false">
      <c r="A385" s="74" t="n">
        <f aca="false">MONTH(B385)</f>
        <v>9</v>
      </c>
      <c r="B385" s="135" t="n">
        <v>44442</v>
      </c>
      <c r="C385" s="128" t="s">
        <v>70</v>
      </c>
      <c r="D385" s="77" t="str">
        <f aca="false">IFERROR(VLOOKUP(E:E,'Item Data Support Sheet'!A:O,7,0),"")</f>
        <v>NIPPLE POSTCURE</v>
      </c>
      <c r="E385" s="80" t="s">
        <v>62</v>
      </c>
      <c r="F385" s="122"/>
      <c r="G385" s="137" t="s">
        <v>149</v>
      </c>
      <c r="H385" s="79" t="str">
        <f aca="false">IFERROR(VLOOKUP(E:E,'Item Data Support Sheet'!A:O,2,0),"")</f>
        <v>NIPPLE S TYPE M SIZE POSTCURED</v>
      </c>
      <c r="I385" s="80" t="s">
        <v>872</v>
      </c>
      <c r="J385" s="80" t="s">
        <v>143</v>
      </c>
      <c r="K385" s="81" t="n">
        <v>8</v>
      </c>
      <c r="L385" s="124" t="n">
        <v>7036</v>
      </c>
      <c r="M385" s="83" t="n">
        <f aca="false">IFERROR(L385/K385,0)</f>
        <v>879.5</v>
      </c>
      <c r="N385" s="84" t="n">
        <f aca="false">+O385+Q385+T385+U385</f>
        <v>6200</v>
      </c>
      <c r="O385" s="85" t="n">
        <v>6200</v>
      </c>
      <c r="P385" s="86" t="n">
        <v>0</v>
      </c>
      <c r="Q385" s="86" t="n">
        <v>0</v>
      </c>
      <c r="R385" s="132" t="n">
        <v>0</v>
      </c>
      <c r="S385" s="128" t="n">
        <v>0</v>
      </c>
      <c r="T385" s="132" t="n">
        <v>0</v>
      </c>
      <c r="U385" s="128" t="n">
        <v>0</v>
      </c>
      <c r="V385" s="128" t="n">
        <v>1</v>
      </c>
      <c r="W385" s="90" t="n">
        <f aca="false">IFERROR(O385/V385,0)</f>
        <v>6200</v>
      </c>
      <c r="X385" s="91" t="n">
        <f aca="false">O385/L385</f>
        <v>0.881182490051165</v>
      </c>
      <c r="Y385" s="92" t="str">
        <f aca="false">IFERROR(VLOOKUP(E:E,'Item Data Support Sheet'!A:J,6,0),0)</f>
        <v>FO012</v>
      </c>
      <c r="Z385" s="93" t="n">
        <f aca="false">IFERROR(VLOOKUP(E:E,'Item Data Support Sheet'!A:O,4,0),0)</f>
        <v>0</v>
      </c>
      <c r="AA385" s="93" t="n">
        <f aca="false">IFERROR(((N385)*(Z385/1000))+P385,0)</f>
        <v>0</v>
      </c>
      <c r="AB385" s="94" t="str">
        <f aca="false">IFERROR((O385*(Z385/1000)/(AA385))," ")</f>
        <v> </v>
      </c>
      <c r="AC385" s="95" t="n">
        <f aca="false">IFERROR((T385)/((T385)+O385),0)</f>
        <v>0</v>
      </c>
      <c r="AD385" s="96" t="n">
        <f aca="false">IFERROR(Q385/(Q385+N385),0)</f>
        <v>0</v>
      </c>
      <c r="AE385" s="91" t="n">
        <f aca="false">(N385-T385)/N385</f>
        <v>1</v>
      </c>
      <c r="AF385" s="97" t="n">
        <f aca="false">BR385</f>
        <v>2.5</v>
      </c>
      <c r="AG385" s="98" t="n">
        <f aca="false">K385-AF385</f>
        <v>5.5</v>
      </c>
      <c r="AH385" s="99" t="n">
        <f aca="false">IFERROR(AG385/K385," ")</f>
        <v>0.6875</v>
      </c>
      <c r="AI385" s="100" t="n">
        <f aca="false">IFERROR(O385/K385,0)</f>
        <v>775</v>
      </c>
      <c r="AJ385" s="101" t="n">
        <f aca="false">VLOOKUP(D385,'Standard Cycle time'!C:D,2,0)</f>
        <v>2.3</v>
      </c>
      <c r="AK385" s="101" t="n">
        <f aca="false">AG385*V385*3600/O385</f>
        <v>3.19354838709677</v>
      </c>
      <c r="AL385" s="102" t="n">
        <f aca="false">AJ385/AK385</f>
        <v>0.72020202020202</v>
      </c>
      <c r="AM385" s="99" t="n">
        <f aca="false">AE385*AL385*AH385</f>
        <v>0.495138888888889</v>
      </c>
      <c r="AN385" s="103" t="s">
        <v>873</v>
      </c>
      <c r="AO385" s="112" t="s">
        <v>874</v>
      </c>
      <c r="AP385" s="105" t="n">
        <v>0</v>
      </c>
      <c r="AQ385" s="105" t="n">
        <v>0</v>
      </c>
      <c r="AR385" s="105" t="n">
        <v>0</v>
      </c>
      <c r="AS385" s="105" t="n">
        <v>150</v>
      </c>
      <c r="AT385" s="105" t="n">
        <v>0</v>
      </c>
      <c r="AU385" s="105" t="n">
        <v>0</v>
      </c>
      <c r="AV385" s="105" t="n">
        <v>0</v>
      </c>
      <c r="AW385" s="105" t="n">
        <v>0</v>
      </c>
      <c r="AX385" s="105" t="n">
        <v>0</v>
      </c>
      <c r="AY385" s="105" t="n">
        <v>0</v>
      </c>
      <c r="AZ385" s="105" t="n">
        <v>0</v>
      </c>
      <c r="BA385" s="105" t="n">
        <v>0</v>
      </c>
      <c r="BB385" s="105" t="n">
        <v>0</v>
      </c>
      <c r="BC385" s="105" t="n">
        <v>0</v>
      </c>
      <c r="BD385" s="105" t="n">
        <v>0</v>
      </c>
      <c r="BE385" s="105" t="n">
        <v>0</v>
      </c>
      <c r="BF385" s="105" t="n">
        <v>0</v>
      </c>
      <c r="BG385" s="105" t="n">
        <v>0</v>
      </c>
      <c r="BH385" s="105" t="n">
        <v>0</v>
      </c>
      <c r="BI385" s="105" t="n">
        <v>0</v>
      </c>
      <c r="BJ385" s="105" t="n">
        <v>0</v>
      </c>
      <c r="BK385" s="105" t="n">
        <v>0</v>
      </c>
      <c r="BL385" s="105" t="n">
        <v>0</v>
      </c>
      <c r="BM385" s="105" t="n">
        <v>0</v>
      </c>
      <c r="BN385" s="105" t="n">
        <v>0</v>
      </c>
      <c r="BO385" s="105" t="n">
        <v>0</v>
      </c>
      <c r="BP385" s="105" t="n">
        <v>0</v>
      </c>
      <c r="BQ385" s="105" t="n">
        <v>0</v>
      </c>
      <c r="BR385" s="106" t="n">
        <v>2.5</v>
      </c>
      <c r="BS385" s="106" t="n">
        <v>2.54166666666667</v>
      </c>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row>
    <row r="386" customFormat="false" ht="14.9" hidden="false" customHeight="false" outlineLevel="0" collapsed="false">
      <c r="A386" s="74" t="n">
        <f aca="false">MONTH(B386)</f>
        <v>9</v>
      </c>
      <c r="B386" s="135" t="n">
        <v>44442</v>
      </c>
      <c r="C386" s="128" t="s">
        <v>70</v>
      </c>
      <c r="D386" s="77" t="str">
        <f aca="false">IFERROR(VLOOKUP(E:E,'Item Data Support Sheet'!A:O,7,0),"")</f>
        <v>NIPPLE PUNCH</v>
      </c>
      <c r="E386" s="80" t="s">
        <v>60</v>
      </c>
      <c r="F386" s="122"/>
      <c r="G386" s="137" t="s">
        <v>54</v>
      </c>
      <c r="H386" s="79" t="str">
        <f aca="false">IFERROR(VLOOKUP(E:E,'Item Data Support Sheet'!A:O,2,0),"")</f>
        <v>NIPPLE S TYPE M SIZE PUNCHED</v>
      </c>
      <c r="I386" s="80" t="s">
        <v>875</v>
      </c>
      <c r="J386" s="80" t="s">
        <v>143</v>
      </c>
      <c r="K386" s="81" t="n">
        <v>8</v>
      </c>
      <c r="L386" s="124" t="n">
        <v>7036</v>
      </c>
      <c r="M386" s="83" t="n">
        <f aca="false">IFERROR(L386/K386,0)</f>
        <v>879.5</v>
      </c>
      <c r="N386" s="84" t="n">
        <f aca="false">+O386+Q386+T386+U386</f>
        <v>3200</v>
      </c>
      <c r="O386" s="85" t="n">
        <v>3200</v>
      </c>
      <c r="P386" s="86" t="n">
        <v>0</v>
      </c>
      <c r="Q386" s="86" t="n">
        <v>0</v>
      </c>
      <c r="R386" s="132" t="n">
        <v>0</v>
      </c>
      <c r="S386" s="128" t="n">
        <v>0</v>
      </c>
      <c r="T386" s="132" t="n">
        <v>0</v>
      </c>
      <c r="U386" s="128" t="n">
        <v>0</v>
      </c>
      <c r="V386" s="128" t="n">
        <v>1</v>
      </c>
      <c r="W386" s="90" t="n">
        <f aca="false">IFERROR(O386/V386,0)</f>
        <v>3200</v>
      </c>
      <c r="X386" s="91" t="n">
        <f aca="false">O386/L386</f>
        <v>0.45480386583286</v>
      </c>
      <c r="Y386" s="92" t="str">
        <f aca="false">IFERROR(VLOOKUP(E:E,'Item Data Support Sheet'!A:J,6,0),0)</f>
        <v>FO016</v>
      </c>
      <c r="Z386" s="93" t="n">
        <f aca="false">IFERROR(VLOOKUP(E:E,'Item Data Support Sheet'!A:O,4,0),0)</f>
        <v>0</v>
      </c>
      <c r="AA386" s="93" t="n">
        <f aca="false">IFERROR(((N386)*(Z386/1000))+P386,0)</f>
        <v>0</v>
      </c>
      <c r="AB386" s="94" t="str">
        <f aca="false">IFERROR((O386*(Z386/1000)/(AA386))," ")</f>
        <v> </v>
      </c>
      <c r="AC386" s="95" t="n">
        <f aca="false">IFERROR((T386)/((T386)+O386),0)</f>
        <v>0</v>
      </c>
      <c r="AD386" s="96" t="n">
        <f aca="false">IFERROR(Q386/(Q386+N386),0)</f>
        <v>0</v>
      </c>
      <c r="AE386" s="91" t="n">
        <f aca="false">(N386-T386)/N386</f>
        <v>1</v>
      </c>
      <c r="AF386" s="97" t="n">
        <f aca="false">BR386</f>
        <v>4.66666666666667</v>
      </c>
      <c r="AG386" s="98" t="n">
        <f aca="false">K386-AF386</f>
        <v>3.33333333333333</v>
      </c>
      <c r="AH386" s="99" t="n">
        <f aca="false">IFERROR(AG386/K386," ")</f>
        <v>0.416666666666666</v>
      </c>
      <c r="AI386" s="100" t="n">
        <f aca="false">IFERROR(O386/K386,0)</f>
        <v>400</v>
      </c>
      <c r="AJ386" s="101" t="n">
        <f aca="false">VLOOKUP(D386,'Standard Cycle time'!C:D,2,0)</f>
        <v>3.5</v>
      </c>
      <c r="AK386" s="101" t="n">
        <f aca="false">AG386*V386*3600/O386</f>
        <v>3.75</v>
      </c>
      <c r="AL386" s="102" t="n">
        <f aca="false">AJ386/AK386</f>
        <v>0.933333333333334</v>
      </c>
      <c r="AM386" s="99" t="n">
        <f aca="false">AE386*AL386*AH386</f>
        <v>0.388888888888889</v>
      </c>
      <c r="AN386" s="103" t="s">
        <v>876</v>
      </c>
      <c r="AO386" s="112" t="s">
        <v>874</v>
      </c>
      <c r="AP386" s="105" t="n">
        <v>0</v>
      </c>
      <c r="AQ386" s="105" t="n">
        <v>0</v>
      </c>
      <c r="AR386" s="105" t="n">
        <v>0</v>
      </c>
      <c r="AS386" s="105" t="n">
        <v>0</v>
      </c>
      <c r="AT386" s="105" t="n">
        <v>0</v>
      </c>
      <c r="AU386" s="105" t="n">
        <v>0</v>
      </c>
      <c r="AV386" s="105" t="n">
        <v>280</v>
      </c>
      <c r="AW386" s="105" t="n">
        <v>0</v>
      </c>
      <c r="AX386" s="105" t="n">
        <v>0</v>
      </c>
      <c r="AY386" s="105" t="n">
        <v>0</v>
      </c>
      <c r="AZ386" s="105" t="n">
        <v>0</v>
      </c>
      <c r="BA386" s="105" t="n">
        <v>0</v>
      </c>
      <c r="BB386" s="105" t="n">
        <v>0</v>
      </c>
      <c r="BC386" s="105" t="n">
        <v>0</v>
      </c>
      <c r="BD386" s="105" t="n">
        <v>0</v>
      </c>
      <c r="BE386" s="105" t="n">
        <v>0</v>
      </c>
      <c r="BF386" s="105" t="n">
        <v>0</v>
      </c>
      <c r="BG386" s="105" t="n">
        <v>0</v>
      </c>
      <c r="BH386" s="105" t="n">
        <v>0</v>
      </c>
      <c r="BI386" s="105" t="n">
        <v>0</v>
      </c>
      <c r="BJ386" s="105" t="n">
        <v>0</v>
      </c>
      <c r="BK386" s="105" t="n">
        <v>0</v>
      </c>
      <c r="BL386" s="105" t="n">
        <v>0</v>
      </c>
      <c r="BM386" s="105" t="n">
        <v>0</v>
      </c>
      <c r="BN386" s="105" t="n">
        <v>0</v>
      </c>
      <c r="BO386" s="105" t="n">
        <v>0</v>
      </c>
      <c r="BP386" s="105" t="n">
        <v>0</v>
      </c>
      <c r="BQ386" s="105" t="n">
        <v>0</v>
      </c>
      <c r="BR386" s="106" t="n">
        <v>4.66666666666667</v>
      </c>
      <c r="BS386" s="106" t="n">
        <v>4.74444444444444</v>
      </c>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row>
    <row r="387" customFormat="false" ht="14.9" hidden="false" customHeight="false" outlineLevel="0" collapsed="false">
      <c r="A387" s="74" t="n">
        <f aca="false">MONTH(B387)</f>
        <v>9</v>
      </c>
      <c r="B387" s="135" t="n">
        <v>44442</v>
      </c>
      <c r="C387" s="128" t="s">
        <v>70</v>
      </c>
      <c r="D387" s="77" t="str">
        <f aca="false">IFERROR(VLOOKUP(E:E,'Item Data Support Sheet'!A:O,7,0),"")</f>
        <v>NIPPLE MOLDED</v>
      </c>
      <c r="E387" s="80" t="s">
        <v>136</v>
      </c>
      <c r="F387" s="122" t="s">
        <v>137</v>
      </c>
      <c r="G387" s="137" t="s">
        <v>848</v>
      </c>
      <c r="H387" s="79" t="str">
        <f aca="false">IFERROR(VLOOKUP(E:E,'Item Data Support Sheet'!A:O,2,0),"")</f>
        <v>NIPPLE S TYPE M SIZE INJECTION</v>
      </c>
      <c r="I387" s="80" t="s">
        <v>877</v>
      </c>
      <c r="J387" s="80" t="s">
        <v>143</v>
      </c>
      <c r="K387" s="81" t="n">
        <v>8</v>
      </c>
      <c r="L387" s="124" t="n">
        <v>4815</v>
      </c>
      <c r="M387" s="83" t="n">
        <f aca="false">IFERROR(L387/K387,0)</f>
        <v>601.875</v>
      </c>
      <c r="N387" s="84" t="n">
        <f aca="false">+O387+Q387+T387+U387</f>
        <v>4520</v>
      </c>
      <c r="O387" s="85" t="n">
        <v>4400</v>
      </c>
      <c r="P387" s="86" t="n">
        <v>0</v>
      </c>
      <c r="Q387" s="86" t="n">
        <v>58</v>
      </c>
      <c r="R387" s="132" t="n">
        <v>0</v>
      </c>
      <c r="S387" s="128" t="n">
        <v>0</v>
      </c>
      <c r="T387" s="132" t="n">
        <v>62</v>
      </c>
      <c r="U387" s="128" t="n">
        <v>0</v>
      </c>
      <c r="V387" s="128" t="n">
        <v>1</v>
      </c>
      <c r="W387" s="90" t="n">
        <f aca="false">IFERROR(O387/V387,0)</f>
        <v>4400</v>
      </c>
      <c r="X387" s="91" t="n">
        <f aca="false">O387/L387</f>
        <v>0.913811007268951</v>
      </c>
      <c r="Y387" s="92" t="str">
        <f aca="false">IFERROR(VLOOKUP(E:E,'Item Data Support Sheet'!A:J,6,0),0)</f>
        <v>Silicon</v>
      </c>
      <c r="Z387" s="93" t="n">
        <f aca="false">IFERROR(VLOOKUP(E:E,'Item Data Support Sheet'!A:O,4,0),0)</f>
        <v>6.8</v>
      </c>
      <c r="AA387" s="93" t="n">
        <f aca="false">IFERROR(((N387)*(Z387/1000))+P387,0)</f>
        <v>30.736</v>
      </c>
      <c r="AB387" s="94" t="n">
        <f aca="false">IFERROR((O387*(Z387/1000)/(AA387))," ")</f>
        <v>0.973451327433628</v>
      </c>
      <c r="AC387" s="95" t="n">
        <f aca="false">IFERROR((T387)/((T387)+O387),0)</f>
        <v>0.0138951142985208</v>
      </c>
      <c r="AD387" s="96" t="n">
        <f aca="false">IFERROR(Q387/(Q387+N387),0)</f>
        <v>0.0126692878986457</v>
      </c>
      <c r="AE387" s="91" t="n">
        <f aca="false">(N387-T387)/N387</f>
        <v>0.986283185840708</v>
      </c>
      <c r="AF387" s="97" t="n">
        <f aca="false">BR387</f>
        <v>0</v>
      </c>
      <c r="AG387" s="98" t="n">
        <f aca="false">K387-AF387</f>
        <v>8</v>
      </c>
      <c r="AH387" s="99" t="n">
        <f aca="false">IFERROR(AG387/K387," ")</f>
        <v>1</v>
      </c>
      <c r="AI387" s="100" t="n">
        <f aca="false">IFERROR(O387/K387,0)</f>
        <v>550</v>
      </c>
      <c r="AJ387" s="101" t="n">
        <f aca="false">VLOOKUP(D387,'Standard Cycle time'!C:D,2,0)</f>
        <v>5.25</v>
      </c>
      <c r="AK387" s="101" t="n">
        <f aca="false">AG387*V387*3600/O387</f>
        <v>6.54545454545455</v>
      </c>
      <c r="AL387" s="102" t="n">
        <f aca="false">AJ387/AK387</f>
        <v>0.802083333333333</v>
      </c>
      <c r="AM387" s="99" t="n">
        <f aca="false">AE387*AL387*AH387</f>
        <v>0.791081305309734</v>
      </c>
      <c r="AN387" s="103" t="s">
        <v>878</v>
      </c>
      <c r="AO387" s="112" t="s">
        <v>811</v>
      </c>
      <c r="AP387" s="105" t="n">
        <v>0</v>
      </c>
      <c r="AQ387" s="105" t="n">
        <v>0</v>
      </c>
      <c r="AR387" s="105" t="n">
        <v>0</v>
      </c>
      <c r="AS387" s="105" t="n">
        <v>0</v>
      </c>
      <c r="AT387" s="105" t="n">
        <v>0</v>
      </c>
      <c r="AU387" s="105" t="n">
        <v>0</v>
      </c>
      <c r="AV387" s="105" t="n">
        <v>0</v>
      </c>
      <c r="AW387" s="105" t="n">
        <v>0</v>
      </c>
      <c r="AX387" s="105" t="n">
        <v>0</v>
      </c>
      <c r="AY387" s="105" t="n">
        <v>0</v>
      </c>
      <c r="AZ387" s="105" t="n">
        <v>0</v>
      </c>
      <c r="BA387" s="105" t="n">
        <v>0</v>
      </c>
      <c r="BB387" s="105" t="n">
        <v>0</v>
      </c>
      <c r="BC387" s="105" t="n">
        <v>0</v>
      </c>
      <c r="BD387" s="105" t="n">
        <v>0</v>
      </c>
      <c r="BE387" s="105" t="n">
        <v>0</v>
      </c>
      <c r="BF387" s="105" t="n">
        <v>0</v>
      </c>
      <c r="BG387" s="105" t="n">
        <v>0</v>
      </c>
      <c r="BH387" s="105" t="n">
        <v>0</v>
      </c>
      <c r="BI387" s="105" t="n">
        <v>0</v>
      </c>
      <c r="BJ387" s="105" t="n">
        <v>0</v>
      </c>
      <c r="BK387" s="105" t="n">
        <v>0</v>
      </c>
      <c r="BL387" s="105" t="n">
        <v>0</v>
      </c>
      <c r="BM387" s="105" t="n">
        <v>0</v>
      </c>
      <c r="BN387" s="105" t="n">
        <v>0</v>
      </c>
      <c r="BO387" s="105" t="n">
        <v>0</v>
      </c>
      <c r="BP387" s="105" t="n">
        <v>0</v>
      </c>
      <c r="BQ387" s="105" t="n">
        <v>0</v>
      </c>
      <c r="BR387" s="106" t="n">
        <v>0</v>
      </c>
      <c r="BS387" s="106" t="n">
        <v>0</v>
      </c>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row>
    <row r="388" customFormat="false" ht="14.9" hidden="false" customHeight="false" outlineLevel="0" collapsed="false">
      <c r="A388" s="74" t="n">
        <f aca="false">MONTH(B388)</f>
        <v>9</v>
      </c>
      <c r="B388" s="135" t="n">
        <v>44442</v>
      </c>
      <c r="C388" s="128" t="s">
        <v>70</v>
      </c>
      <c r="D388" s="77" t="str">
        <f aca="false">IFERROR(VLOOKUP(E:E,'Item Data Support Sheet'!A:O,7,0),"")</f>
        <v>BOTTLE MOLDED</v>
      </c>
      <c r="E388" s="80" t="s">
        <v>879</v>
      </c>
      <c r="F388" s="122" t="s">
        <v>589</v>
      </c>
      <c r="G388" s="137" t="s">
        <v>74</v>
      </c>
      <c r="H388" s="79" t="str">
        <f aca="false">IFERROR(VLOOKUP(E:E,'Item Data Support Sheet'!A:O,2,0),"")</f>
        <v>RPP 240ML BLUE BOTTLE MOLDED (WM3GB)</v>
      </c>
      <c r="I388" s="80" t="s">
        <v>880</v>
      </c>
      <c r="J388" s="80" t="s">
        <v>143</v>
      </c>
      <c r="K388" s="81" t="n">
        <v>8</v>
      </c>
      <c r="L388" s="124" t="n">
        <v>2503</v>
      </c>
      <c r="M388" s="83" t="n">
        <f aca="false">IFERROR(L388/K388,0)</f>
        <v>312.875</v>
      </c>
      <c r="N388" s="84" t="n">
        <f aca="false">+O388+Q388+T388+U388</f>
        <v>2650</v>
      </c>
      <c r="O388" s="85" t="n">
        <v>2520</v>
      </c>
      <c r="P388" s="86" t="n">
        <v>0.928</v>
      </c>
      <c r="Q388" s="86" t="n">
        <v>74</v>
      </c>
      <c r="R388" s="132" t="n">
        <v>0</v>
      </c>
      <c r="S388" s="128" t="n">
        <v>0</v>
      </c>
      <c r="T388" s="132" t="n">
        <v>56</v>
      </c>
      <c r="U388" s="128" t="n">
        <v>0</v>
      </c>
      <c r="V388" s="128" t="n">
        <v>1</v>
      </c>
      <c r="W388" s="90" t="n">
        <f aca="false">IFERROR(O388/V388,0)</f>
        <v>2520</v>
      </c>
      <c r="X388" s="91" t="n">
        <f aca="false">O388/L388</f>
        <v>1.00679184978026</v>
      </c>
      <c r="Y388" s="92" t="str">
        <f aca="false">IFERROR(VLOOKUP(E:E,'Item Data Support Sheet'!A:J,6,0),0)</f>
        <v>WMG3B</v>
      </c>
      <c r="Z388" s="93" t="n">
        <f aca="false">IFERROR(VLOOKUP(E:E,'Item Data Support Sheet'!A:O,4,0),0)</f>
        <v>33.13</v>
      </c>
      <c r="AA388" s="93" t="n">
        <f aca="false">IFERROR(((N388)*(Z388/1000))+P388,0)</f>
        <v>88.7225</v>
      </c>
      <c r="AB388" s="94" t="n">
        <f aca="false">IFERROR((O388*(Z388/1000)/(AA388))," ")</f>
        <v>0.940996928625772</v>
      </c>
      <c r="AC388" s="95" t="n">
        <f aca="false">IFERROR((T388)/((T388)+O388),0)</f>
        <v>0.0217391304347826</v>
      </c>
      <c r="AD388" s="96" t="n">
        <f aca="false">IFERROR(Q388/(Q388+N388),0)</f>
        <v>0.0271659324522761</v>
      </c>
      <c r="AE388" s="91" t="n">
        <f aca="false">(N388-T388)/N388</f>
        <v>0.978867924528302</v>
      </c>
      <c r="AF388" s="97" t="n">
        <f aca="false">BR388</f>
        <v>1.16666666666667</v>
      </c>
      <c r="AG388" s="98" t="n">
        <f aca="false">K388-AF388</f>
        <v>6.83333333333333</v>
      </c>
      <c r="AH388" s="99" t="n">
        <f aca="false">IFERROR(AG388/K388," ")</f>
        <v>0.854166666666666</v>
      </c>
      <c r="AI388" s="100" t="n">
        <f aca="false">IFERROR(O388/K388,0)</f>
        <v>315</v>
      </c>
      <c r="AJ388" s="101" t="n">
        <f aca="false">VLOOKUP(D388,'Standard Cycle time'!C:D,2,0)</f>
        <v>9</v>
      </c>
      <c r="AK388" s="101" t="n">
        <f aca="false">AG388*V388*3600/O388</f>
        <v>9.76190476190476</v>
      </c>
      <c r="AL388" s="102" t="n">
        <f aca="false">AJ388/AK388</f>
        <v>0.921951219512195</v>
      </c>
      <c r="AM388" s="99" t="n">
        <f aca="false">AE388*AL388*AH388</f>
        <v>0.770858490566038</v>
      </c>
      <c r="AN388" s="103" t="n">
        <v>2962</v>
      </c>
      <c r="AO388" s="112" t="s">
        <v>881</v>
      </c>
      <c r="AP388" s="105" t="n">
        <v>0</v>
      </c>
      <c r="AQ388" s="105" t="n">
        <v>0</v>
      </c>
      <c r="AR388" s="105" t="n">
        <v>0</v>
      </c>
      <c r="AS388" s="105" t="n">
        <v>0</v>
      </c>
      <c r="AT388" s="105" t="n">
        <v>0</v>
      </c>
      <c r="AU388" s="105" t="n">
        <v>0</v>
      </c>
      <c r="AV388" s="105" t="n">
        <v>30</v>
      </c>
      <c r="AW388" s="105" t="n">
        <v>40</v>
      </c>
      <c r="AX388" s="105" t="n">
        <v>0</v>
      </c>
      <c r="AY388" s="105" t="n">
        <v>0</v>
      </c>
      <c r="AZ388" s="105" t="n">
        <v>0</v>
      </c>
      <c r="BA388" s="105" t="n">
        <v>0</v>
      </c>
      <c r="BB388" s="105" t="n">
        <v>0</v>
      </c>
      <c r="BC388" s="105" t="n">
        <v>0</v>
      </c>
      <c r="BD388" s="105" t="n">
        <v>0</v>
      </c>
      <c r="BE388" s="105" t="n">
        <v>0</v>
      </c>
      <c r="BF388" s="105" t="n">
        <v>0</v>
      </c>
      <c r="BG388" s="105" t="n">
        <v>0</v>
      </c>
      <c r="BH388" s="105" t="n">
        <v>0</v>
      </c>
      <c r="BI388" s="105" t="n">
        <v>0</v>
      </c>
      <c r="BJ388" s="105" t="n">
        <v>0</v>
      </c>
      <c r="BK388" s="105" t="n">
        <v>0</v>
      </c>
      <c r="BL388" s="105" t="n">
        <v>0</v>
      </c>
      <c r="BM388" s="105" t="n">
        <v>0</v>
      </c>
      <c r="BN388" s="105" t="n">
        <v>0</v>
      </c>
      <c r="BO388" s="105" t="n">
        <v>0</v>
      </c>
      <c r="BP388" s="105" t="n">
        <v>0</v>
      </c>
      <c r="BQ388" s="105" t="n">
        <v>0</v>
      </c>
      <c r="BR388" s="106" t="n">
        <v>1.16666666666667</v>
      </c>
      <c r="BS388" s="106" t="n">
        <v>1.18611111111111</v>
      </c>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row>
    <row r="389" customFormat="false" ht="14.9" hidden="false" customHeight="false" outlineLevel="0" collapsed="false">
      <c r="A389" s="74" t="n">
        <f aca="false">MONTH(B389)</f>
        <v>9</v>
      </c>
      <c r="B389" s="135" t="n">
        <v>44442</v>
      </c>
      <c r="C389" s="128" t="s">
        <v>70</v>
      </c>
      <c r="D389" s="77" t="str">
        <f aca="false">IFERROR(VLOOKUP(E:E,'Item Data Support Sheet'!A:O,7,0),"")</f>
        <v>HOOD MOLDED</v>
      </c>
      <c r="E389" s="80" t="s">
        <v>529</v>
      </c>
      <c r="F389" s="122"/>
      <c r="G389" s="137" t="s">
        <v>740</v>
      </c>
      <c r="H389" s="79" t="str">
        <f aca="false">IFERROR(VLOOKUP(E:E,'Item Data Support Sheet'!A:O,2,0),"")</f>
        <v>HOOD S TYPE MOLDED</v>
      </c>
      <c r="I389" s="80" t="s">
        <v>882</v>
      </c>
      <c r="J389" s="80" t="s">
        <v>143</v>
      </c>
      <c r="K389" s="81" t="n">
        <v>8</v>
      </c>
      <c r="L389" s="124" t="n">
        <v>4137</v>
      </c>
      <c r="M389" s="83" t="n">
        <f aca="false">IFERROR(L389/K389,0)</f>
        <v>517.125</v>
      </c>
      <c r="N389" s="84" t="n">
        <f aca="false">+O389+Q389+T389+U389</f>
        <v>5322</v>
      </c>
      <c r="O389" s="85" t="n">
        <v>5300</v>
      </c>
      <c r="P389" s="86" t="n">
        <v>0</v>
      </c>
      <c r="Q389" s="86" t="n">
        <v>0</v>
      </c>
      <c r="R389" s="132" t="n">
        <v>0</v>
      </c>
      <c r="S389" s="128" t="n">
        <v>0</v>
      </c>
      <c r="T389" s="132" t="n">
        <v>22</v>
      </c>
      <c r="U389" s="128" t="n">
        <v>0</v>
      </c>
      <c r="V389" s="128" t="n">
        <v>1</v>
      </c>
      <c r="W389" s="90" t="n">
        <f aca="false">IFERROR(O389/V389,0)</f>
        <v>5300</v>
      </c>
      <c r="X389" s="91" t="n">
        <f aca="false">O389/L389</f>
        <v>1.28112158569011</v>
      </c>
      <c r="Y389" s="92" t="str">
        <f aca="false">IFERROR(VLOOKUP(E:E,'Item Data Support Sheet'!A:J,6,0),0)</f>
        <v>HMC</v>
      </c>
      <c r="Z389" s="93" t="n">
        <f aca="false">IFERROR(VLOOKUP(E:E,'Item Data Support Sheet'!A:O,4,0),0)</f>
        <v>8.6</v>
      </c>
      <c r="AA389" s="93" t="n">
        <f aca="false">IFERROR(((N389)*(Z389/1000))+P389,0)</f>
        <v>45.7692</v>
      </c>
      <c r="AB389" s="94" t="n">
        <f aca="false">IFERROR((O389*(Z389/1000)/(AA389))," ")</f>
        <v>0.99586621570838</v>
      </c>
      <c r="AC389" s="95" t="n">
        <f aca="false">IFERROR((T389)/((T389)+O389),0)</f>
        <v>0.00413378429161969</v>
      </c>
      <c r="AD389" s="96" t="n">
        <f aca="false">IFERROR(Q389/(Q389+N389),0)</f>
        <v>0</v>
      </c>
      <c r="AE389" s="91" t="n">
        <f aca="false">(N389-T389)/N389</f>
        <v>0.99586621570838</v>
      </c>
      <c r="AF389" s="97" t="n">
        <f aca="false">BR389</f>
        <v>0</v>
      </c>
      <c r="AG389" s="98" t="n">
        <f aca="false">K389-AF389</f>
        <v>8</v>
      </c>
      <c r="AH389" s="99" t="n">
        <f aca="false">IFERROR(AG389/K389," ")</f>
        <v>1</v>
      </c>
      <c r="AI389" s="100" t="n">
        <f aca="false">IFERROR(O389/K389,0)</f>
        <v>662.5</v>
      </c>
      <c r="AJ389" s="101" t="n">
        <f aca="false">VLOOKUP(D389,'Standard Cycle time'!C:D,2,0)</f>
        <v>6</v>
      </c>
      <c r="AK389" s="101" t="n">
        <f aca="false">AG389*V389*3600/O389</f>
        <v>5.43396226415094</v>
      </c>
      <c r="AL389" s="102" t="n">
        <f aca="false">AJ389/AK389</f>
        <v>1.10416666666667</v>
      </c>
      <c r="AM389" s="99" t="n">
        <f aca="false">AE389*AL389*AH389</f>
        <v>1.09960227984467</v>
      </c>
      <c r="AN389" s="103" t="n">
        <v>2959</v>
      </c>
      <c r="AO389" s="112"/>
      <c r="AP389" s="105" t="n">
        <v>0</v>
      </c>
      <c r="AQ389" s="105" t="n">
        <v>0</v>
      </c>
      <c r="AR389" s="105" t="n">
        <v>0</v>
      </c>
      <c r="AS389" s="105" t="n">
        <v>0</v>
      </c>
      <c r="AT389" s="105" t="n">
        <v>0</v>
      </c>
      <c r="AU389" s="105" t="n">
        <v>0</v>
      </c>
      <c r="AV389" s="105" t="n">
        <v>0</v>
      </c>
      <c r="AW389" s="105" t="n">
        <v>0</v>
      </c>
      <c r="AX389" s="105" t="n">
        <v>0</v>
      </c>
      <c r="AY389" s="105" t="n">
        <v>0</v>
      </c>
      <c r="AZ389" s="105" t="n">
        <v>0</v>
      </c>
      <c r="BA389" s="105" t="n">
        <v>0</v>
      </c>
      <c r="BB389" s="105" t="n">
        <v>0</v>
      </c>
      <c r="BC389" s="105" t="n">
        <v>0</v>
      </c>
      <c r="BD389" s="105" t="n">
        <v>0</v>
      </c>
      <c r="BE389" s="105" t="n">
        <v>0</v>
      </c>
      <c r="BF389" s="105" t="n">
        <v>0</v>
      </c>
      <c r="BG389" s="105" t="n">
        <v>0</v>
      </c>
      <c r="BH389" s="105" t="n">
        <v>0</v>
      </c>
      <c r="BI389" s="105" t="n">
        <v>0</v>
      </c>
      <c r="BJ389" s="105" t="n">
        <v>0</v>
      </c>
      <c r="BK389" s="105" t="n">
        <v>0</v>
      </c>
      <c r="BL389" s="105" t="n">
        <v>0</v>
      </c>
      <c r="BM389" s="105" t="n">
        <v>0</v>
      </c>
      <c r="BN389" s="105" t="n">
        <v>0</v>
      </c>
      <c r="BO389" s="105" t="n">
        <v>0</v>
      </c>
      <c r="BP389" s="105" t="n">
        <v>0</v>
      </c>
      <c r="BQ389" s="105" t="n">
        <v>0</v>
      </c>
      <c r="BR389" s="106" t="n">
        <v>0</v>
      </c>
      <c r="BS389" s="106" t="n">
        <v>0</v>
      </c>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row>
    <row r="390" customFormat="false" ht="14.9" hidden="false" customHeight="false" outlineLevel="0" collapsed="false">
      <c r="A390" s="74" t="n">
        <f aca="false">MONTH(B390)</f>
        <v>9</v>
      </c>
      <c r="B390" s="135" t="n">
        <v>44442</v>
      </c>
      <c r="C390" s="128" t="s">
        <v>70</v>
      </c>
      <c r="D390" s="77" t="str">
        <f aca="false">IFERROR(VLOOKUP(E:E,'Item Data Support Sheet'!A:O,7,0),"")</f>
        <v>NIPPLE LASER MARKING</v>
      </c>
      <c r="E390" s="80" t="s">
        <v>681</v>
      </c>
      <c r="F390" s="122"/>
      <c r="G390" s="137" t="s">
        <v>517</v>
      </c>
      <c r="H390" s="79" t="str">
        <f aca="false">IFERROR(VLOOKUP(E:E,'Item Data Support Sheet'!A:O,2,0),"")</f>
        <v>NIPPLE S TYPE L SIZE PUNCHED LASER MARKED</v>
      </c>
      <c r="I390" s="80" t="s">
        <v>883</v>
      </c>
      <c r="J390" s="80" t="s">
        <v>143</v>
      </c>
      <c r="K390" s="81" t="n">
        <v>7</v>
      </c>
      <c r="L390" s="124" t="n">
        <v>6036</v>
      </c>
      <c r="M390" s="83" t="n">
        <f aca="false">IFERROR(L390/K390,0)</f>
        <v>862.285714285714</v>
      </c>
      <c r="N390" s="84" t="n">
        <f aca="false">+O390+Q390+T390+U390</f>
        <v>6275</v>
      </c>
      <c r="O390" s="85" t="n">
        <v>6275</v>
      </c>
      <c r="P390" s="86" t="n">
        <v>0</v>
      </c>
      <c r="Q390" s="86" t="n">
        <v>0</v>
      </c>
      <c r="R390" s="132" t="n">
        <v>0</v>
      </c>
      <c r="S390" s="128" t="n">
        <v>0</v>
      </c>
      <c r="T390" s="132" t="n">
        <v>0</v>
      </c>
      <c r="U390" s="128" t="n">
        <v>0</v>
      </c>
      <c r="V390" s="128" t="n">
        <v>1</v>
      </c>
      <c r="W390" s="90" t="n">
        <f aca="false">IFERROR(O390/V390,0)</f>
        <v>6275</v>
      </c>
      <c r="X390" s="91" t="n">
        <f aca="false">O390/L390</f>
        <v>1.03959575878065</v>
      </c>
      <c r="Y390" s="92" t="str">
        <f aca="false">IFERROR(VLOOKUP(E:E,'Item Data Support Sheet'!A:J,6,0),0)</f>
        <v>FO021</v>
      </c>
      <c r="Z390" s="93" t="n">
        <f aca="false">IFERROR(VLOOKUP(E:E,'Item Data Support Sheet'!A:O,4,0),0)</f>
        <v>0</v>
      </c>
      <c r="AA390" s="93" t="n">
        <f aca="false">IFERROR(((N390)*(Z390/1000))+P390,0)</f>
        <v>0</v>
      </c>
      <c r="AB390" s="94" t="str">
        <f aca="false">IFERROR((O390*(Z390/1000)/(AA390))," ")</f>
        <v> </v>
      </c>
      <c r="AC390" s="95" t="n">
        <f aca="false">IFERROR((T390)/((T390)+O390),0)</f>
        <v>0</v>
      </c>
      <c r="AD390" s="96" t="n">
        <f aca="false">IFERROR(Q390/(Q390+N390),0)</f>
        <v>0</v>
      </c>
      <c r="AE390" s="91" t="n">
        <f aca="false">(N390-T390)/N390</f>
        <v>1</v>
      </c>
      <c r="AF390" s="97" t="n">
        <f aca="false">BR390</f>
        <v>0</v>
      </c>
      <c r="AG390" s="98" t="n">
        <f aca="false">K390-AF390</f>
        <v>7</v>
      </c>
      <c r="AH390" s="99" t="n">
        <f aca="false">IFERROR(AG390/K390," ")</f>
        <v>1</v>
      </c>
      <c r="AI390" s="100" t="n">
        <f aca="false">IFERROR(O390/K390,0)</f>
        <v>896.428571428572</v>
      </c>
      <c r="AJ390" s="101" t="n">
        <f aca="false">VLOOKUP(D390,'Standard Cycle time'!C:D,2,0)</f>
        <v>3.5</v>
      </c>
      <c r="AK390" s="101" t="n">
        <f aca="false">AG390*V390*3600/O390</f>
        <v>4.01593625498008</v>
      </c>
      <c r="AL390" s="102" t="n">
        <f aca="false">AJ390/AK390</f>
        <v>0.871527777777778</v>
      </c>
      <c r="AM390" s="99" t="n">
        <f aca="false">AE390*AL390*AH390</f>
        <v>0.871527777777778</v>
      </c>
      <c r="AN390" s="103" t="s">
        <v>884</v>
      </c>
      <c r="AO390" s="112"/>
      <c r="AP390" s="105" t="n">
        <v>0</v>
      </c>
      <c r="AQ390" s="105" t="n">
        <v>0</v>
      </c>
      <c r="AR390" s="105" t="n">
        <v>0</v>
      </c>
      <c r="AS390" s="105" t="n">
        <v>0</v>
      </c>
      <c r="AT390" s="105" t="n">
        <v>0</v>
      </c>
      <c r="AU390" s="105" t="n">
        <v>0</v>
      </c>
      <c r="AV390" s="105" t="n">
        <v>0</v>
      </c>
      <c r="AW390" s="105" t="n">
        <v>0</v>
      </c>
      <c r="AX390" s="105" t="n">
        <v>0</v>
      </c>
      <c r="AY390" s="105" t="n">
        <v>0</v>
      </c>
      <c r="AZ390" s="105" t="n">
        <v>0</v>
      </c>
      <c r="BA390" s="105" t="n">
        <v>0</v>
      </c>
      <c r="BB390" s="105" t="n">
        <v>0</v>
      </c>
      <c r="BC390" s="105" t="n">
        <v>0</v>
      </c>
      <c r="BD390" s="105" t="n">
        <v>0</v>
      </c>
      <c r="BE390" s="105" t="n">
        <v>0</v>
      </c>
      <c r="BF390" s="105" t="n">
        <v>0</v>
      </c>
      <c r="BG390" s="105" t="n">
        <v>0</v>
      </c>
      <c r="BH390" s="105" t="n">
        <v>0</v>
      </c>
      <c r="BI390" s="105" t="n">
        <v>0</v>
      </c>
      <c r="BJ390" s="105" t="n">
        <v>0</v>
      </c>
      <c r="BK390" s="105" t="n">
        <v>0</v>
      </c>
      <c r="BL390" s="105" t="n">
        <v>0</v>
      </c>
      <c r="BM390" s="105" t="n">
        <v>0</v>
      </c>
      <c r="BN390" s="105" t="n">
        <v>0</v>
      </c>
      <c r="BO390" s="105" t="n">
        <v>0</v>
      </c>
      <c r="BP390" s="105" t="n">
        <v>0</v>
      </c>
      <c r="BQ390" s="105" t="n">
        <v>0</v>
      </c>
      <c r="BR390" s="106" t="n">
        <v>0</v>
      </c>
      <c r="BS390" s="106" t="n">
        <v>0</v>
      </c>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row>
    <row r="391" customFormat="false" ht="14.9" hidden="false" customHeight="false" outlineLevel="0" collapsed="false">
      <c r="A391" s="74" t="n">
        <f aca="false">MONTH(B391)</f>
        <v>9</v>
      </c>
      <c r="B391" s="135" t="n">
        <v>44442</v>
      </c>
      <c r="C391" s="128" t="s">
        <v>70</v>
      </c>
      <c r="D391" s="77" t="str">
        <f aca="false">IFERROR(VLOOKUP(E:E,'Item Data Support Sheet'!A:O,7,0),"")</f>
        <v>NIPPLE LASER MARKING</v>
      </c>
      <c r="E391" s="80" t="s">
        <v>885</v>
      </c>
      <c r="F391" s="122"/>
      <c r="G391" s="137" t="s">
        <v>517</v>
      </c>
      <c r="H391" s="79" t="str">
        <f aca="false">IFERROR(VLOOKUP(E:E,'Item Data Support Sheet'!A:O,2,0),"")</f>
        <v>NIPPLE S TYPE Y SIZE PUNCHED LASER MARKED</v>
      </c>
      <c r="I391" s="80" t="s">
        <v>886</v>
      </c>
      <c r="J391" s="80" t="s">
        <v>143</v>
      </c>
      <c r="K391" s="81" t="n">
        <v>1</v>
      </c>
      <c r="L391" s="124" t="n">
        <v>1000</v>
      </c>
      <c r="M391" s="83" t="n">
        <f aca="false">IFERROR(L391/K391,0)</f>
        <v>1000</v>
      </c>
      <c r="N391" s="84" t="n">
        <f aca="false">+O391+Q391+T391+U391</f>
        <v>1000</v>
      </c>
      <c r="O391" s="85" t="n">
        <v>1000</v>
      </c>
      <c r="P391" s="86" t="n">
        <v>0</v>
      </c>
      <c r="Q391" s="86" t="n">
        <v>0</v>
      </c>
      <c r="R391" s="132" t="n">
        <v>0</v>
      </c>
      <c r="S391" s="128" t="n">
        <v>0</v>
      </c>
      <c r="T391" s="132" t="n">
        <v>0</v>
      </c>
      <c r="U391" s="128" t="n">
        <v>0</v>
      </c>
      <c r="V391" s="128" t="n">
        <v>1</v>
      </c>
      <c r="W391" s="90" t="n">
        <f aca="false">IFERROR(O391/V391,0)</f>
        <v>1000</v>
      </c>
      <c r="X391" s="91" t="n">
        <f aca="false">O391/L391</f>
        <v>1</v>
      </c>
      <c r="Y391" s="92" t="str">
        <f aca="false">IFERROR(VLOOKUP(E:E,'Item Data Support Sheet'!A:J,6,0),0)</f>
        <v>FO022</v>
      </c>
      <c r="Z391" s="93" t="n">
        <f aca="false">IFERROR(VLOOKUP(E:E,'Item Data Support Sheet'!A:O,4,0),0)</f>
        <v>0</v>
      </c>
      <c r="AA391" s="93" t="n">
        <f aca="false">IFERROR(((N391)*(Z391/1000))+P391,0)</f>
        <v>0</v>
      </c>
      <c r="AB391" s="94" t="str">
        <f aca="false">IFERROR((O391*(Z391/1000)/(AA391))," ")</f>
        <v> </v>
      </c>
      <c r="AC391" s="95" t="n">
        <f aca="false">IFERROR((T391)/((T391)+O391),0)</f>
        <v>0</v>
      </c>
      <c r="AD391" s="96" t="n">
        <f aca="false">IFERROR(Q391/(Q391+N391),0)</f>
        <v>0</v>
      </c>
      <c r="AE391" s="91" t="n">
        <f aca="false">(N391-T391)/N391</f>
        <v>1</v>
      </c>
      <c r="AF391" s="97" t="n">
        <f aca="false">BR391</f>
        <v>0</v>
      </c>
      <c r="AG391" s="98" t="n">
        <f aca="false">K391-AF391</f>
        <v>1</v>
      </c>
      <c r="AH391" s="99" t="n">
        <f aca="false">IFERROR(AG391/K391," ")</f>
        <v>1</v>
      </c>
      <c r="AI391" s="100" t="n">
        <f aca="false">IFERROR(O391/K391,0)</f>
        <v>1000</v>
      </c>
      <c r="AJ391" s="101" t="n">
        <f aca="false">VLOOKUP(D391,'Standard Cycle time'!C:D,2,0)</f>
        <v>3.5</v>
      </c>
      <c r="AK391" s="101" t="n">
        <f aca="false">AG391*V391*3600/O391</f>
        <v>3.6</v>
      </c>
      <c r="AL391" s="102" t="n">
        <f aca="false">AJ391/AK391</f>
        <v>0.972222222222222</v>
      </c>
      <c r="AM391" s="99" t="n">
        <f aca="false">AE391*AL391*AH391</f>
        <v>0.972222222222222</v>
      </c>
      <c r="AN391" s="103" t="n">
        <v>2958</v>
      </c>
      <c r="AO391" s="112"/>
      <c r="AP391" s="105" t="n">
        <v>0</v>
      </c>
      <c r="AQ391" s="105" t="n">
        <v>0</v>
      </c>
      <c r="AR391" s="105" t="n">
        <v>0</v>
      </c>
      <c r="AS391" s="105" t="n">
        <v>0</v>
      </c>
      <c r="AT391" s="105" t="n">
        <v>0</v>
      </c>
      <c r="AU391" s="105" t="n">
        <v>0</v>
      </c>
      <c r="AV391" s="105" t="n">
        <v>0</v>
      </c>
      <c r="AW391" s="105" t="n">
        <v>0</v>
      </c>
      <c r="AX391" s="105" t="n">
        <v>0</v>
      </c>
      <c r="AY391" s="105" t="n">
        <v>0</v>
      </c>
      <c r="AZ391" s="105" t="n">
        <v>0</v>
      </c>
      <c r="BA391" s="105" t="n">
        <v>0</v>
      </c>
      <c r="BB391" s="105" t="n">
        <v>0</v>
      </c>
      <c r="BC391" s="105" t="n">
        <v>0</v>
      </c>
      <c r="BD391" s="105" t="n">
        <v>0</v>
      </c>
      <c r="BE391" s="105" t="n">
        <v>0</v>
      </c>
      <c r="BF391" s="105" t="n">
        <v>0</v>
      </c>
      <c r="BG391" s="105" t="n">
        <v>0</v>
      </c>
      <c r="BH391" s="105" t="n">
        <v>0</v>
      </c>
      <c r="BI391" s="105" t="n">
        <v>0</v>
      </c>
      <c r="BJ391" s="105" t="n">
        <v>0</v>
      </c>
      <c r="BK391" s="105" t="n">
        <v>0</v>
      </c>
      <c r="BL391" s="105" t="n">
        <v>0</v>
      </c>
      <c r="BM391" s="105" t="n">
        <v>0</v>
      </c>
      <c r="BN391" s="105" t="n">
        <v>0</v>
      </c>
      <c r="BO391" s="105" t="n">
        <v>0</v>
      </c>
      <c r="BP391" s="105" t="n">
        <v>0</v>
      </c>
      <c r="BQ391" s="105" t="n">
        <v>0</v>
      </c>
      <c r="BR391" s="106" t="n">
        <v>0</v>
      </c>
      <c r="BS391" s="106" t="n">
        <v>0</v>
      </c>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row>
    <row r="392" customFormat="false" ht="14.9" hidden="false" customHeight="false" outlineLevel="0" collapsed="false">
      <c r="A392" s="74" t="n">
        <f aca="false">MONTH(B392)</f>
        <v>9</v>
      </c>
      <c r="B392" s="135" t="n">
        <v>44442</v>
      </c>
      <c r="C392" s="128" t="s">
        <v>152</v>
      </c>
      <c r="D392" s="77" t="str">
        <f aca="false">IFERROR(VLOOKUP(E:E,'Item Data Support Sheet'!A:O,7,0),"")</f>
        <v>BOTTLE MOLDED</v>
      </c>
      <c r="E392" s="80" t="s">
        <v>879</v>
      </c>
      <c r="F392" s="122" t="s">
        <v>589</v>
      </c>
      <c r="G392" s="137" t="s">
        <v>74</v>
      </c>
      <c r="H392" s="79" t="str">
        <f aca="false">IFERROR(VLOOKUP(E:E,'Item Data Support Sheet'!A:O,2,0),"")</f>
        <v>RPP 240ML BLUE BOTTLE MOLDED (WM3GB)</v>
      </c>
      <c r="I392" s="80" t="s">
        <v>887</v>
      </c>
      <c r="J392" s="80" t="s">
        <v>815</v>
      </c>
      <c r="K392" s="81" t="n">
        <v>8</v>
      </c>
      <c r="L392" s="124" t="n">
        <v>2503</v>
      </c>
      <c r="M392" s="83" t="n">
        <f aca="false">IFERROR(L392/K392,0)</f>
        <v>312.875</v>
      </c>
      <c r="N392" s="84" t="n">
        <f aca="false">+O392+Q392+T392+U392</f>
        <v>3143</v>
      </c>
      <c r="O392" s="85" t="n">
        <v>3000</v>
      </c>
      <c r="P392" s="86" t="n">
        <v>0.12</v>
      </c>
      <c r="Q392" s="86" t="n">
        <v>71</v>
      </c>
      <c r="R392" s="132" t="n">
        <v>0</v>
      </c>
      <c r="S392" s="128" t="n">
        <v>0</v>
      </c>
      <c r="T392" s="132" t="n">
        <v>64</v>
      </c>
      <c r="U392" s="128" t="n">
        <v>8</v>
      </c>
      <c r="V392" s="128" t="n">
        <v>1</v>
      </c>
      <c r="W392" s="90" t="n">
        <f aca="false">IFERROR(O392/V392,0)</f>
        <v>3000</v>
      </c>
      <c r="X392" s="91" t="n">
        <f aca="false">O392/L392</f>
        <v>1.19856172592889</v>
      </c>
      <c r="Y392" s="92" t="str">
        <f aca="false">IFERROR(VLOOKUP(E:E,'Item Data Support Sheet'!A:J,6,0),0)</f>
        <v>WMG3B</v>
      </c>
      <c r="Z392" s="93" t="n">
        <f aca="false">IFERROR(VLOOKUP(E:E,'Item Data Support Sheet'!A:O,4,0),0)</f>
        <v>33.13</v>
      </c>
      <c r="AA392" s="93" t="n">
        <f aca="false">IFERROR(((N392)*(Z392/1000))+P392,0)</f>
        <v>104.24759</v>
      </c>
      <c r="AB392" s="94" t="n">
        <f aca="false">IFERROR((O392*(Z392/1000)/(AA392))," ")</f>
        <v>0.953403335271348</v>
      </c>
      <c r="AC392" s="95" t="n">
        <f aca="false">IFERROR((T392)/((T392)+O392),0)</f>
        <v>0.02088772845953</v>
      </c>
      <c r="AD392" s="96" t="n">
        <f aca="false">IFERROR(Q392/(Q392+N392),0)</f>
        <v>0.022090852520224</v>
      </c>
      <c r="AE392" s="91" t="n">
        <f aca="false">(N392-T392)/N392</f>
        <v>0.979637289214127</v>
      </c>
      <c r="AF392" s="97" t="n">
        <f aca="false">BR392</f>
        <v>0</v>
      </c>
      <c r="AG392" s="98" t="n">
        <f aca="false">K392-AF392</f>
        <v>8</v>
      </c>
      <c r="AH392" s="99" t="n">
        <f aca="false">IFERROR(AG392/K392," ")</f>
        <v>1</v>
      </c>
      <c r="AI392" s="100" t="n">
        <f aca="false">IFERROR(O392/K392,0)</f>
        <v>375</v>
      </c>
      <c r="AJ392" s="101" t="n">
        <f aca="false">VLOOKUP(D392,'Standard Cycle time'!C:D,2,0)</f>
        <v>9</v>
      </c>
      <c r="AK392" s="101" t="n">
        <f aca="false">AG392*V392*3600/O392</f>
        <v>9.6</v>
      </c>
      <c r="AL392" s="102" t="n">
        <f aca="false">AJ392/AK392</f>
        <v>0.9375</v>
      </c>
      <c r="AM392" s="99" t="n">
        <f aca="false">AE392*AL392*AH392</f>
        <v>0.918409958638244</v>
      </c>
      <c r="AN392" s="103" t="s">
        <v>888</v>
      </c>
      <c r="AO392" s="112"/>
      <c r="AP392" s="105" t="n">
        <v>0</v>
      </c>
      <c r="AQ392" s="105" t="n">
        <v>0</v>
      </c>
      <c r="AR392" s="105" t="n">
        <v>0</v>
      </c>
      <c r="AS392" s="105" t="n">
        <v>0</v>
      </c>
      <c r="AT392" s="105" t="n">
        <v>0</v>
      </c>
      <c r="AU392" s="105" t="n">
        <v>0</v>
      </c>
      <c r="AV392" s="105" t="n">
        <v>0</v>
      </c>
      <c r="AW392" s="105" t="n">
        <v>0</v>
      </c>
      <c r="AX392" s="105" t="n">
        <v>0</v>
      </c>
      <c r="AY392" s="105" t="n">
        <v>0</v>
      </c>
      <c r="AZ392" s="105" t="n">
        <v>0</v>
      </c>
      <c r="BA392" s="105" t="n">
        <v>0</v>
      </c>
      <c r="BB392" s="105" t="n">
        <v>0</v>
      </c>
      <c r="BC392" s="105" t="n">
        <v>0</v>
      </c>
      <c r="BD392" s="105" t="n">
        <v>0</v>
      </c>
      <c r="BE392" s="105" t="n">
        <v>0</v>
      </c>
      <c r="BF392" s="105" t="n">
        <v>0</v>
      </c>
      <c r="BG392" s="105" t="n">
        <v>0</v>
      </c>
      <c r="BH392" s="105" t="n">
        <v>0</v>
      </c>
      <c r="BI392" s="105" t="n">
        <v>0</v>
      </c>
      <c r="BJ392" s="105" t="n">
        <v>0</v>
      </c>
      <c r="BK392" s="105" t="n">
        <v>0</v>
      </c>
      <c r="BL392" s="105" t="n">
        <v>0</v>
      </c>
      <c r="BM392" s="105" t="n">
        <v>0</v>
      </c>
      <c r="BN392" s="105" t="n">
        <v>0</v>
      </c>
      <c r="BO392" s="105" t="n">
        <v>0</v>
      </c>
      <c r="BP392" s="105" t="n">
        <v>0</v>
      </c>
      <c r="BQ392" s="105" t="n">
        <v>0</v>
      </c>
      <c r="BR392" s="106" t="n">
        <v>0</v>
      </c>
      <c r="BS392" s="106" t="n">
        <v>0</v>
      </c>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row>
    <row r="393" customFormat="false" ht="14.9" hidden="false" customHeight="false" outlineLevel="0" collapsed="false">
      <c r="A393" s="74" t="n">
        <f aca="false">MONTH(B393)</f>
        <v>9</v>
      </c>
      <c r="B393" s="135" t="n">
        <v>44442</v>
      </c>
      <c r="C393" s="128" t="s">
        <v>152</v>
      </c>
      <c r="D393" s="77" t="str">
        <f aca="false">IFERROR(VLOOKUP(E:E,'Item Data Support Sheet'!A:O,7,0),"")</f>
        <v>HOOD MOLDED</v>
      </c>
      <c r="E393" s="80" t="s">
        <v>529</v>
      </c>
      <c r="F393" s="122"/>
      <c r="G393" s="137" t="s">
        <v>740</v>
      </c>
      <c r="H393" s="79" t="str">
        <f aca="false">IFERROR(VLOOKUP(E:E,'Item Data Support Sheet'!A:O,2,0),"")</f>
        <v>HOOD S TYPE MOLDED</v>
      </c>
      <c r="I393" s="80" t="s">
        <v>889</v>
      </c>
      <c r="J393" s="80" t="s">
        <v>815</v>
      </c>
      <c r="K393" s="81" t="n">
        <v>8</v>
      </c>
      <c r="L393" s="124" t="n">
        <v>4137</v>
      </c>
      <c r="M393" s="83" t="n">
        <f aca="false">IFERROR(L393/K393,0)</f>
        <v>517.125</v>
      </c>
      <c r="N393" s="84" t="n">
        <f aca="false">+O393+Q393+T393+U393</f>
        <v>5512</v>
      </c>
      <c r="O393" s="85" t="n">
        <v>5500</v>
      </c>
      <c r="P393" s="86" t="n">
        <v>0</v>
      </c>
      <c r="Q393" s="86" t="n">
        <v>0</v>
      </c>
      <c r="R393" s="132" t="n">
        <v>0</v>
      </c>
      <c r="S393" s="128" t="n">
        <v>0</v>
      </c>
      <c r="T393" s="132" t="n">
        <v>4</v>
      </c>
      <c r="U393" s="128" t="n">
        <v>8</v>
      </c>
      <c r="V393" s="128" t="n">
        <v>1</v>
      </c>
      <c r="W393" s="90" t="n">
        <f aca="false">IFERROR(O393/V393,0)</f>
        <v>5500</v>
      </c>
      <c r="X393" s="91" t="n">
        <f aca="false">O393/L393</f>
        <v>1.32946579647087</v>
      </c>
      <c r="Y393" s="92" t="str">
        <f aca="false">IFERROR(VLOOKUP(E:E,'Item Data Support Sheet'!A:J,6,0),0)</f>
        <v>HMC</v>
      </c>
      <c r="Z393" s="93" t="n">
        <f aca="false">IFERROR(VLOOKUP(E:E,'Item Data Support Sheet'!A:O,4,0),0)</f>
        <v>8.6</v>
      </c>
      <c r="AA393" s="93" t="n">
        <f aca="false">IFERROR(((N393)*(Z393/1000))+P393,0)</f>
        <v>47.4032</v>
      </c>
      <c r="AB393" s="94" t="n">
        <f aca="false">IFERROR((O393*(Z393/1000)/(AA393))," ")</f>
        <v>0.997822931785196</v>
      </c>
      <c r="AC393" s="95" t="n">
        <f aca="false">IFERROR((T393)/((T393)+O393),0)</f>
        <v>0.000726744186046512</v>
      </c>
      <c r="AD393" s="96" t="n">
        <f aca="false">IFERROR(Q393/(Q393+N393),0)</f>
        <v>0</v>
      </c>
      <c r="AE393" s="91" t="n">
        <f aca="false">(N393-T393)/N393</f>
        <v>0.999274310595065</v>
      </c>
      <c r="AF393" s="97" t="n">
        <f aca="false">BR393</f>
        <v>0</v>
      </c>
      <c r="AG393" s="98" t="n">
        <f aca="false">K393-AF393</f>
        <v>8</v>
      </c>
      <c r="AH393" s="99" t="n">
        <f aca="false">IFERROR(AG393/K393," ")</f>
        <v>1</v>
      </c>
      <c r="AI393" s="100" t="n">
        <f aca="false">IFERROR(O393/K393,0)</f>
        <v>687.5</v>
      </c>
      <c r="AJ393" s="101" t="n">
        <f aca="false">VLOOKUP(D393,'Standard Cycle time'!C:D,2,0)</f>
        <v>6</v>
      </c>
      <c r="AK393" s="101" t="n">
        <f aca="false">AG393*V393*3600/O393</f>
        <v>5.23636363636364</v>
      </c>
      <c r="AL393" s="102" t="n">
        <f aca="false">AJ393/AK393</f>
        <v>1.14583333333333</v>
      </c>
      <c r="AM393" s="99" t="n">
        <f aca="false">AE393*AL393*AH393</f>
        <v>1.14500181422351</v>
      </c>
      <c r="AN393" s="103" t="n">
        <v>2964</v>
      </c>
      <c r="AO393" s="112"/>
      <c r="AP393" s="105" t="n">
        <v>0</v>
      </c>
      <c r="AQ393" s="105" t="n">
        <v>0</v>
      </c>
      <c r="AR393" s="105" t="n">
        <v>0</v>
      </c>
      <c r="AS393" s="105" t="n">
        <v>0</v>
      </c>
      <c r="AT393" s="105" t="n">
        <v>0</v>
      </c>
      <c r="AU393" s="105" t="n">
        <v>0</v>
      </c>
      <c r="AV393" s="105" t="n">
        <v>0</v>
      </c>
      <c r="AW393" s="105" t="n">
        <v>0</v>
      </c>
      <c r="AX393" s="105" t="n">
        <v>0</v>
      </c>
      <c r="AY393" s="105" t="n">
        <v>0</v>
      </c>
      <c r="AZ393" s="105" t="n">
        <v>0</v>
      </c>
      <c r="BA393" s="105" t="n">
        <v>0</v>
      </c>
      <c r="BB393" s="105" t="n">
        <v>0</v>
      </c>
      <c r="BC393" s="105" t="n">
        <v>0</v>
      </c>
      <c r="BD393" s="105" t="n">
        <v>0</v>
      </c>
      <c r="BE393" s="105" t="n">
        <v>0</v>
      </c>
      <c r="BF393" s="105" t="n">
        <v>0</v>
      </c>
      <c r="BG393" s="105" t="n">
        <v>0</v>
      </c>
      <c r="BH393" s="105" t="n">
        <v>0</v>
      </c>
      <c r="BI393" s="105" t="n">
        <v>0</v>
      </c>
      <c r="BJ393" s="105" t="n">
        <v>0</v>
      </c>
      <c r="BK393" s="105" t="n">
        <v>0</v>
      </c>
      <c r="BL393" s="105" t="n">
        <v>0</v>
      </c>
      <c r="BM393" s="105" t="n">
        <v>0</v>
      </c>
      <c r="BN393" s="105" t="n">
        <v>0</v>
      </c>
      <c r="BO393" s="105" t="n">
        <v>0</v>
      </c>
      <c r="BP393" s="105" t="n">
        <v>0</v>
      </c>
      <c r="BQ393" s="105" t="n">
        <v>0</v>
      </c>
      <c r="BR393" s="106" t="n">
        <v>0</v>
      </c>
      <c r="BS393" s="106" t="n">
        <v>0</v>
      </c>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row>
    <row r="394" customFormat="false" ht="14.9" hidden="false" customHeight="false" outlineLevel="0" collapsed="false">
      <c r="A394" s="74" t="n">
        <f aca="false">MONTH(B394)</f>
        <v>9</v>
      </c>
      <c r="B394" s="135" t="n">
        <v>44442</v>
      </c>
      <c r="C394" s="128" t="s">
        <v>152</v>
      </c>
      <c r="D394" s="77" t="str">
        <f aca="false">IFERROR(VLOOKUP(E:E,'Item Data Support Sheet'!A:O,7,0),"")</f>
        <v>NIPPLE MOLDED</v>
      </c>
      <c r="E394" s="80" t="s">
        <v>136</v>
      </c>
      <c r="F394" s="122" t="s">
        <v>137</v>
      </c>
      <c r="G394" s="137" t="s">
        <v>848</v>
      </c>
      <c r="H394" s="79" t="str">
        <f aca="false">IFERROR(VLOOKUP(E:E,'Item Data Support Sheet'!A:O,2,0),"")</f>
        <v>NIPPLE S TYPE M SIZE INJECTION</v>
      </c>
      <c r="I394" s="80" t="s">
        <v>890</v>
      </c>
      <c r="J394" s="80" t="s">
        <v>815</v>
      </c>
      <c r="K394" s="81" t="n">
        <v>8</v>
      </c>
      <c r="L394" s="124" t="n">
        <v>4815</v>
      </c>
      <c r="M394" s="83" t="n">
        <f aca="false">IFERROR(L394/K394,0)</f>
        <v>601.875</v>
      </c>
      <c r="N394" s="84" t="n">
        <f aca="false">+O394+Q394+T394+U394</f>
        <v>5122</v>
      </c>
      <c r="O394" s="85" t="n">
        <v>5000</v>
      </c>
      <c r="P394" s="86" t="n">
        <v>0</v>
      </c>
      <c r="Q394" s="86" t="n">
        <v>48</v>
      </c>
      <c r="R394" s="132" t="n">
        <v>0</v>
      </c>
      <c r="S394" s="128" t="n">
        <v>0</v>
      </c>
      <c r="T394" s="132" t="n">
        <v>66</v>
      </c>
      <c r="U394" s="128" t="n">
        <v>8</v>
      </c>
      <c r="V394" s="128" t="n">
        <v>1</v>
      </c>
      <c r="W394" s="90" t="n">
        <f aca="false">IFERROR(O394/V394,0)</f>
        <v>5000</v>
      </c>
      <c r="X394" s="91" t="n">
        <f aca="false">O394/L394</f>
        <v>1.03842159916926</v>
      </c>
      <c r="Y394" s="92" t="str">
        <f aca="false">IFERROR(VLOOKUP(E:E,'Item Data Support Sheet'!A:J,6,0),0)</f>
        <v>Silicon</v>
      </c>
      <c r="Z394" s="93" t="n">
        <f aca="false">IFERROR(VLOOKUP(E:E,'Item Data Support Sheet'!A:O,4,0),0)</f>
        <v>6.8</v>
      </c>
      <c r="AA394" s="93" t="n">
        <f aca="false">IFERROR(((N394)*(Z394/1000))+P394,0)</f>
        <v>34.8296</v>
      </c>
      <c r="AB394" s="94" t="n">
        <f aca="false">IFERROR((O394*(Z394/1000)/(AA394))," ")</f>
        <v>0.976181179226865</v>
      </c>
      <c r="AC394" s="95" t="n">
        <f aca="false">IFERROR((T394)/((T394)+O394),0)</f>
        <v>0.0130280300039479</v>
      </c>
      <c r="AD394" s="96" t="n">
        <f aca="false">IFERROR(Q394/(Q394+N394),0)</f>
        <v>0.00928433268858801</v>
      </c>
      <c r="AE394" s="91" t="n">
        <f aca="false">(N394-T394)/N394</f>
        <v>0.987114408434205</v>
      </c>
      <c r="AF394" s="97" t="n">
        <f aca="false">BR394</f>
        <v>0</v>
      </c>
      <c r="AG394" s="98" t="n">
        <f aca="false">K394-AF394</f>
        <v>8</v>
      </c>
      <c r="AH394" s="99" t="n">
        <f aca="false">IFERROR(AG394/K394," ")</f>
        <v>1</v>
      </c>
      <c r="AI394" s="100" t="n">
        <f aca="false">IFERROR(O394/K394,0)</f>
        <v>625</v>
      </c>
      <c r="AJ394" s="101" t="n">
        <f aca="false">VLOOKUP(D394,'Standard Cycle time'!C:D,2,0)</f>
        <v>5.25</v>
      </c>
      <c r="AK394" s="101" t="n">
        <f aca="false">AG394*V394*3600/O394</f>
        <v>5.76</v>
      </c>
      <c r="AL394" s="102" t="n">
        <f aca="false">AJ394/AK394</f>
        <v>0.911458333333333</v>
      </c>
      <c r="AM394" s="99" t="n">
        <f aca="false">AE394*AL394*AH394</f>
        <v>0.89971365352076</v>
      </c>
      <c r="AN394" s="103" t="n">
        <v>2965</v>
      </c>
      <c r="AO394" s="112" t="s">
        <v>811</v>
      </c>
      <c r="AP394" s="105" t="n">
        <v>0</v>
      </c>
      <c r="AQ394" s="105" t="n">
        <v>0</v>
      </c>
      <c r="AR394" s="105" t="n">
        <v>0</v>
      </c>
      <c r="AS394" s="105" t="n">
        <v>0</v>
      </c>
      <c r="AT394" s="105" t="n">
        <v>0</v>
      </c>
      <c r="AU394" s="105" t="n">
        <v>0</v>
      </c>
      <c r="AV394" s="105" t="n">
        <v>0</v>
      </c>
      <c r="AW394" s="105" t="n">
        <v>0</v>
      </c>
      <c r="AX394" s="105" t="n">
        <v>0</v>
      </c>
      <c r="AY394" s="105" t="n">
        <v>0</v>
      </c>
      <c r="AZ394" s="105" t="n">
        <v>0</v>
      </c>
      <c r="BA394" s="105" t="n">
        <v>0</v>
      </c>
      <c r="BB394" s="105" t="n">
        <v>0</v>
      </c>
      <c r="BC394" s="105" t="n">
        <v>0</v>
      </c>
      <c r="BD394" s="105" t="n">
        <v>0</v>
      </c>
      <c r="BE394" s="105" t="n">
        <v>0</v>
      </c>
      <c r="BF394" s="105" t="n">
        <v>0</v>
      </c>
      <c r="BG394" s="105" t="n">
        <v>0</v>
      </c>
      <c r="BH394" s="105" t="n">
        <v>0</v>
      </c>
      <c r="BI394" s="105" t="n">
        <v>0</v>
      </c>
      <c r="BJ394" s="105" t="n">
        <v>0</v>
      </c>
      <c r="BK394" s="105" t="n">
        <v>0</v>
      </c>
      <c r="BL394" s="105" t="n">
        <v>0</v>
      </c>
      <c r="BM394" s="105" t="n">
        <v>0</v>
      </c>
      <c r="BN394" s="105" t="n">
        <v>0</v>
      </c>
      <c r="BO394" s="105" t="n">
        <v>0</v>
      </c>
      <c r="BP394" s="105" t="n">
        <v>0</v>
      </c>
      <c r="BQ394" s="105" t="n">
        <v>0</v>
      </c>
      <c r="BR394" s="106" t="n">
        <v>0</v>
      </c>
      <c r="BS394" s="106" t="n">
        <v>0</v>
      </c>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row>
    <row r="395" customFormat="false" ht="14.9" hidden="false" customHeight="false" outlineLevel="0" collapsed="false">
      <c r="A395" s="74" t="n">
        <f aca="false">MONTH(B395)</f>
        <v>9</v>
      </c>
      <c r="B395" s="135" t="n">
        <v>44443</v>
      </c>
      <c r="C395" s="128" t="s">
        <v>51</v>
      </c>
      <c r="D395" s="77" t="str">
        <f aca="false">IFERROR(VLOOKUP(E:E,'Item Data Support Sheet'!A:O,7,0),"")</f>
        <v>BOTTLE MOLDED</v>
      </c>
      <c r="E395" s="80" t="s">
        <v>879</v>
      </c>
      <c r="F395" s="122" t="s">
        <v>589</v>
      </c>
      <c r="G395" s="137" t="s">
        <v>74</v>
      </c>
      <c r="H395" s="79" t="str">
        <f aca="false">IFERROR(VLOOKUP(E:E,'Item Data Support Sheet'!A:O,2,0),"")</f>
        <v>RPP 240ML BLUE BOTTLE MOLDED (WM3GB)</v>
      </c>
      <c r="I395" s="80" t="s">
        <v>891</v>
      </c>
      <c r="J395" s="80" t="s">
        <v>148</v>
      </c>
      <c r="K395" s="81" t="n">
        <v>2</v>
      </c>
      <c r="L395" s="124" t="n">
        <v>626</v>
      </c>
      <c r="M395" s="83" t="n">
        <f aca="false">IFERROR(L395/K395,0)</f>
        <v>313</v>
      </c>
      <c r="N395" s="84" t="n">
        <f aca="false">+O395+Q395+T395+U395</f>
        <v>628</v>
      </c>
      <c r="O395" s="85" t="n">
        <v>600</v>
      </c>
      <c r="P395" s="86" t="n">
        <v>0.1</v>
      </c>
      <c r="Q395" s="86" t="n">
        <v>14</v>
      </c>
      <c r="R395" s="132" t="n">
        <v>0</v>
      </c>
      <c r="S395" s="128" t="n">
        <v>0</v>
      </c>
      <c r="T395" s="132" t="n">
        <v>6</v>
      </c>
      <c r="U395" s="128" t="n">
        <v>8</v>
      </c>
      <c r="V395" s="128" t="n">
        <v>1</v>
      </c>
      <c r="W395" s="90" t="n">
        <f aca="false">IFERROR(O395/V395,0)</f>
        <v>600</v>
      </c>
      <c r="X395" s="91" t="n">
        <f aca="false">O395/L395</f>
        <v>0.958466453674121</v>
      </c>
      <c r="Y395" s="92" t="str">
        <f aca="false">IFERROR(VLOOKUP(E:E,'Item Data Support Sheet'!A:J,6,0),0)</f>
        <v>WMG3B</v>
      </c>
      <c r="Z395" s="93" t="n">
        <f aca="false">IFERROR(VLOOKUP(E:E,'Item Data Support Sheet'!A:O,4,0),0)</f>
        <v>33.13</v>
      </c>
      <c r="AA395" s="93" t="n">
        <f aca="false">IFERROR(((N395)*(Z395/1000))+P395,0)</f>
        <v>20.90564</v>
      </c>
      <c r="AB395" s="94" t="n">
        <f aca="false">IFERROR((O395*(Z395/1000)/(AA395))," ")</f>
        <v>0.95084388710415</v>
      </c>
      <c r="AC395" s="95" t="n">
        <f aca="false">IFERROR((T395)/((T395)+O395),0)</f>
        <v>0.0099009900990099</v>
      </c>
      <c r="AD395" s="96" t="n">
        <f aca="false">IFERROR(Q395/(Q395+N395),0)</f>
        <v>0.0218068535825545</v>
      </c>
      <c r="AE395" s="91" t="n">
        <f aca="false">(N395-T395)/N395</f>
        <v>0.990445859872611</v>
      </c>
      <c r="AF395" s="97" t="n">
        <f aca="false">BR395</f>
        <v>0.666666666666667</v>
      </c>
      <c r="AG395" s="98" t="n">
        <f aca="false">K395-AF395</f>
        <v>1.33333333333333</v>
      </c>
      <c r="AH395" s="99" t="n">
        <f aca="false">IFERROR(AG395/K395," ")</f>
        <v>0.666666666666667</v>
      </c>
      <c r="AI395" s="100" t="n">
        <f aca="false">IFERROR(O395/K395,0)</f>
        <v>300</v>
      </c>
      <c r="AJ395" s="101" t="n">
        <f aca="false">VLOOKUP(D395,'Standard Cycle time'!C:D,2,0)</f>
        <v>9</v>
      </c>
      <c r="AK395" s="101" t="n">
        <f aca="false">AG395*V395*3600/O395</f>
        <v>8</v>
      </c>
      <c r="AL395" s="102" t="n">
        <f aca="false">AJ395/AK395</f>
        <v>1.125</v>
      </c>
      <c r="AM395" s="99" t="n">
        <f aca="false">AE395*AL395*AH395</f>
        <v>0.742834394904459</v>
      </c>
      <c r="AN395" s="103" t="n">
        <v>2968</v>
      </c>
      <c r="AO395" s="112" t="s">
        <v>892</v>
      </c>
      <c r="AP395" s="105" t="n">
        <v>40</v>
      </c>
      <c r="AQ395" s="105" t="n">
        <v>0</v>
      </c>
      <c r="AR395" s="105" t="n">
        <v>0</v>
      </c>
      <c r="AS395" s="105" t="n">
        <v>0</v>
      </c>
      <c r="AT395" s="105" t="n">
        <v>0</v>
      </c>
      <c r="AU395" s="105" t="n">
        <v>0</v>
      </c>
      <c r="AV395" s="105" t="n">
        <v>0</v>
      </c>
      <c r="AW395" s="105" t="n">
        <v>0</v>
      </c>
      <c r="AX395" s="105" t="n">
        <v>0</v>
      </c>
      <c r="AY395" s="105" t="n">
        <v>0</v>
      </c>
      <c r="AZ395" s="105" t="n">
        <v>0</v>
      </c>
      <c r="BA395" s="105" t="n">
        <v>0</v>
      </c>
      <c r="BB395" s="105" t="n">
        <v>0</v>
      </c>
      <c r="BC395" s="105" t="n">
        <v>0</v>
      </c>
      <c r="BD395" s="105" t="n">
        <v>0</v>
      </c>
      <c r="BE395" s="105" t="n">
        <v>0</v>
      </c>
      <c r="BF395" s="105" t="n">
        <v>0</v>
      </c>
      <c r="BG395" s="105" t="n">
        <v>0</v>
      </c>
      <c r="BH395" s="105" t="n">
        <v>0</v>
      </c>
      <c r="BI395" s="105" t="n">
        <v>0</v>
      </c>
      <c r="BJ395" s="105" t="n">
        <v>0</v>
      </c>
      <c r="BK395" s="105" t="n">
        <v>0</v>
      </c>
      <c r="BL395" s="105" t="n">
        <v>0</v>
      </c>
      <c r="BM395" s="105" t="n">
        <v>0</v>
      </c>
      <c r="BN395" s="105" t="n">
        <v>0</v>
      </c>
      <c r="BO395" s="105" t="n">
        <v>0</v>
      </c>
      <c r="BP395" s="105" t="n">
        <v>0</v>
      </c>
      <c r="BQ395" s="105" t="n">
        <v>0</v>
      </c>
      <c r="BR395" s="106" t="n">
        <v>0.666666666666667</v>
      </c>
      <c r="BS395" s="106" t="n">
        <v>0.677777777777778</v>
      </c>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row>
    <row r="396" customFormat="false" ht="14.9" hidden="false" customHeight="false" outlineLevel="0" collapsed="false">
      <c r="A396" s="74" t="n">
        <f aca="false">MONTH(B396)</f>
        <v>9</v>
      </c>
      <c r="B396" s="135" t="n">
        <v>44443</v>
      </c>
      <c r="C396" s="128" t="s">
        <v>51</v>
      </c>
      <c r="D396" s="77" t="str">
        <f aca="false">IFERROR(VLOOKUP(E:E,'Item Data Support Sheet'!A:O,7,0),"")</f>
        <v>NIPPLE POSTCURE</v>
      </c>
      <c r="E396" s="80" t="s">
        <v>62</v>
      </c>
      <c r="F396" s="122"/>
      <c r="G396" s="137" t="s">
        <v>149</v>
      </c>
      <c r="H396" s="79" t="str">
        <f aca="false">IFERROR(VLOOKUP(E:E,'Item Data Support Sheet'!A:O,2,0),"")</f>
        <v>NIPPLE S TYPE M SIZE POSTCURED</v>
      </c>
      <c r="I396" s="80" t="s">
        <v>893</v>
      </c>
      <c r="J396" s="80" t="s">
        <v>148</v>
      </c>
      <c r="K396" s="81" t="n">
        <v>8</v>
      </c>
      <c r="L396" s="124" t="n">
        <v>7036</v>
      </c>
      <c r="M396" s="83" t="n">
        <f aca="false">IFERROR(L396/K396,0)</f>
        <v>879.5</v>
      </c>
      <c r="N396" s="84" t="n">
        <f aca="false">+O396+Q396+T396+U396</f>
        <v>6400</v>
      </c>
      <c r="O396" s="85" t="n">
        <v>6400</v>
      </c>
      <c r="P396" s="86" t="n">
        <v>0</v>
      </c>
      <c r="Q396" s="86" t="n">
        <v>0</v>
      </c>
      <c r="R396" s="132" t="n">
        <v>0</v>
      </c>
      <c r="S396" s="128" t="n">
        <v>0</v>
      </c>
      <c r="T396" s="132" t="n">
        <v>0</v>
      </c>
      <c r="U396" s="128" t="n">
        <v>0</v>
      </c>
      <c r="V396" s="128" t="n">
        <v>1</v>
      </c>
      <c r="W396" s="90" t="n">
        <f aca="false">IFERROR(O396/V396,0)</f>
        <v>6400</v>
      </c>
      <c r="X396" s="91" t="n">
        <f aca="false">O396/L396</f>
        <v>0.909607731665719</v>
      </c>
      <c r="Y396" s="92" t="str">
        <f aca="false">IFERROR(VLOOKUP(E:E,'Item Data Support Sheet'!A:J,6,0),0)</f>
        <v>FO012</v>
      </c>
      <c r="Z396" s="93" t="n">
        <f aca="false">IFERROR(VLOOKUP(E:E,'Item Data Support Sheet'!A:O,4,0),0)</f>
        <v>0</v>
      </c>
      <c r="AA396" s="93" t="n">
        <f aca="false">IFERROR(((N396)*(Z396/1000))+P396,0)</f>
        <v>0</v>
      </c>
      <c r="AB396" s="94" t="str">
        <f aca="false">IFERROR((O396*(Z396/1000)/(AA396))," ")</f>
        <v> </v>
      </c>
      <c r="AC396" s="95" t="n">
        <f aca="false">IFERROR((T396)/((T396)+O396),0)</f>
        <v>0</v>
      </c>
      <c r="AD396" s="96" t="n">
        <f aca="false">IFERROR(Q396/(Q396+N396),0)</f>
        <v>0</v>
      </c>
      <c r="AE396" s="91" t="n">
        <f aca="false">(N396-T396)/N396</f>
        <v>1</v>
      </c>
      <c r="AF396" s="97" t="n">
        <f aca="false">BR396</f>
        <v>4</v>
      </c>
      <c r="AG396" s="98" t="n">
        <f aca="false">K396-AF396</f>
        <v>4</v>
      </c>
      <c r="AH396" s="99" t="n">
        <f aca="false">IFERROR(AG396/K396," ")</f>
        <v>0.5</v>
      </c>
      <c r="AI396" s="100" t="n">
        <f aca="false">IFERROR(O396/K396,0)</f>
        <v>800</v>
      </c>
      <c r="AJ396" s="101" t="n">
        <f aca="false">VLOOKUP(D396,'Standard Cycle time'!C:D,2,0)</f>
        <v>2.3</v>
      </c>
      <c r="AK396" s="101" t="n">
        <f aca="false">AG396*V396*3600/O396</f>
        <v>2.25</v>
      </c>
      <c r="AL396" s="102" t="n">
        <f aca="false">AJ396/AK396</f>
        <v>1.02222222222222</v>
      </c>
      <c r="AM396" s="99" t="n">
        <f aca="false">AE396*AL396*AH396</f>
        <v>0.511111111111111</v>
      </c>
      <c r="AN396" s="103" t="s">
        <v>894</v>
      </c>
      <c r="AO396" s="112"/>
      <c r="AP396" s="105" t="n">
        <v>0</v>
      </c>
      <c r="AQ396" s="105" t="n">
        <v>0</v>
      </c>
      <c r="AR396" s="105" t="n">
        <v>0</v>
      </c>
      <c r="AS396" s="105" t="n">
        <v>240</v>
      </c>
      <c r="AT396" s="105" t="n">
        <v>0</v>
      </c>
      <c r="AU396" s="105" t="n">
        <v>0</v>
      </c>
      <c r="AV396" s="105" t="n">
        <v>0</v>
      </c>
      <c r="AW396" s="105" t="n">
        <v>0</v>
      </c>
      <c r="AX396" s="105" t="n">
        <v>0</v>
      </c>
      <c r="AY396" s="105" t="n">
        <v>0</v>
      </c>
      <c r="AZ396" s="105" t="n">
        <v>0</v>
      </c>
      <c r="BA396" s="105" t="n">
        <v>0</v>
      </c>
      <c r="BB396" s="105" t="n">
        <v>0</v>
      </c>
      <c r="BC396" s="105" t="n">
        <v>0</v>
      </c>
      <c r="BD396" s="105" t="n">
        <v>0</v>
      </c>
      <c r="BE396" s="105" t="n">
        <v>0</v>
      </c>
      <c r="BF396" s="105" t="n">
        <v>0</v>
      </c>
      <c r="BG396" s="105" t="n">
        <v>0</v>
      </c>
      <c r="BH396" s="105" t="n">
        <v>0</v>
      </c>
      <c r="BI396" s="105" t="n">
        <v>0</v>
      </c>
      <c r="BJ396" s="105" t="n">
        <v>0</v>
      </c>
      <c r="BK396" s="105" t="n">
        <v>0</v>
      </c>
      <c r="BL396" s="105" t="n">
        <v>0</v>
      </c>
      <c r="BM396" s="105" t="n">
        <v>0</v>
      </c>
      <c r="BN396" s="105" t="n">
        <v>0</v>
      </c>
      <c r="BO396" s="105" t="n">
        <v>0</v>
      </c>
      <c r="BP396" s="105" t="n">
        <v>0</v>
      </c>
      <c r="BQ396" s="105" t="n">
        <v>0</v>
      </c>
      <c r="BR396" s="106" t="n">
        <v>4</v>
      </c>
      <c r="BS396" s="106" t="n">
        <v>4.06666666666667</v>
      </c>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row>
    <row r="397" customFormat="false" ht="14.9" hidden="false" customHeight="false" outlineLevel="0" collapsed="false">
      <c r="A397" s="74" t="n">
        <f aca="false">MONTH(B397)</f>
        <v>9</v>
      </c>
      <c r="B397" s="135" t="n">
        <v>44443</v>
      </c>
      <c r="C397" s="128" t="s">
        <v>51</v>
      </c>
      <c r="D397" s="77" t="str">
        <f aca="false">IFERROR(VLOOKUP(E:E,'Item Data Support Sheet'!A:O,7,0),"")</f>
        <v>NIPPLE PUNCH</v>
      </c>
      <c r="E397" s="80" t="s">
        <v>60</v>
      </c>
      <c r="F397" s="122"/>
      <c r="G397" s="137"/>
      <c r="H397" s="79" t="str">
        <f aca="false">IFERROR(VLOOKUP(E:E,'Item Data Support Sheet'!A:O,2,0),"")</f>
        <v>NIPPLE S TYPE M SIZE PUNCHED</v>
      </c>
      <c r="I397" s="80" t="s">
        <v>895</v>
      </c>
      <c r="J397" s="80" t="s">
        <v>148</v>
      </c>
      <c r="K397" s="81" t="n">
        <v>8</v>
      </c>
      <c r="L397" s="124" t="n">
        <v>7036</v>
      </c>
      <c r="M397" s="83" t="n">
        <f aca="false">IFERROR(L397/K397,0)</f>
        <v>879.5</v>
      </c>
      <c r="N397" s="84" t="n">
        <f aca="false">+O397+Q397+T397+U397</f>
        <v>4000</v>
      </c>
      <c r="O397" s="85" t="n">
        <v>4000</v>
      </c>
      <c r="P397" s="86" t="n">
        <v>0</v>
      </c>
      <c r="Q397" s="86" t="n">
        <v>0</v>
      </c>
      <c r="R397" s="132" t="n">
        <v>0</v>
      </c>
      <c r="S397" s="128" t="n">
        <v>0</v>
      </c>
      <c r="T397" s="132" t="n">
        <v>0</v>
      </c>
      <c r="U397" s="128" t="n">
        <v>0</v>
      </c>
      <c r="V397" s="128" t="n">
        <v>1</v>
      </c>
      <c r="W397" s="90" t="n">
        <f aca="false">IFERROR(O397/V397,0)</f>
        <v>4000</v>
      </c>
      <c r="X397" s="91" t="n">
        <f aca="false">O397/L397</f>
        <v>0.568504832291074</v>
      </c>
      <c r="Y397" s="92" t="str">
        <f aca="false">IFERROR(VLOOKUP(E:E,'Item Data Support Sheet'!A:J,6,0),0)</f>
        <v>FO016</v>
      </c>
      <c r="Z397" s="93" t="n">
        <f aca="false">IFERROR(VLOOKUP(E:E,'Item Data Support Sheet'!A:O,4,0),0)</f>
        <v>0</v>
      </c>
      <c r="AA397" s="93" t="n">
        <f aca="false">IFERROR(((N397)*(Z397/1000))+P397,0)</f>
        <v>0</v>
      </c>
      <c r="AB397" s="94" t="str">
        <f aca="false">IFERROR((O397*(Z397/1000)/(AA397))," ")</f>
        <v> </v>
      </c>
      <c r="AC397" s="95" t="n">
        <f aca="false">IFERROR((T397)/((T397)+O397),0)</f>
        <v>0</v>
      </c>
      <c r="AD397" s="96" t="n">
        <f aca="false">IFERROR(Q397/(Q397+N397),0)</f>
        <v>0</v>
      </c>
      <c r="AE397" s="91" t="n">
        <f aca="false">(N397-T397)/N397</f>
        <v>1</v>
      </c>
      <c r="AF397" s="97" t="n">
        <f aca="false">BR397</f>
        <v>4</v>
      </c>
      <c r="AG397" s="98" t="n">
        <f aca="false">K397-AF397</f>
        <v>4</v>
      </c>
      <c r="AH397" s="99" t="n">
        <f aca="false">IFERROR(AG397/K397," ")</f>
        <v>0.5</v>
      </c>
      <c r="AI397" s="100" t="n">
        <f aca="false">IFERROR(O397/K397,0)</f>
        <v>500</v>
      </c>
      <c r="AJ397" s="101" t="n">
        <f aca="false">VLOOKUP(D397,'Standard Cycle time'!C:D,2,0)</f>
        <v>3.5</v>
      </c>
      <c r="AK397" s="101" t="n">
        <f aca="false">AG397*V397*3600/O397</f>
        <v>3.6</v>
      </c>
      <c r="AL397" s="102" t="n">
        <f aca="false">AJ397/AK397</f>
        <v>0.972222222222222</v>
      </c>
      <c r="AM397" s="99" t="n">
        <f aca="false">AE397*AL397*AH397</f>
        <v>0.486111111111111</v>
      </c>
      <c r="AN397" s="103" t="n">
        <v>2977</v>
      </c>
      <c r="AO397" s="112"/>
      <c r="AP397" s="105" t="n">
        <v>40</v>
      </c>
      <c r="AQ397" s="105" t="n">
        <v>0</v>
      </c>
      <c r="AR397" s="105" t="n">
        <v>0</v>
      </c>
      <c r="AS397" s="105" t="n">
        <v>0</v>
      </c>
      <c r="AT397" s="105" t="n">
        <v>0</v>
      </c>
      <c r="AU397" s="105" t="n">
        <v>0</v>
      </c>
      <c r="AV397" s="105" t="n">
        <v>200</v>
      </c>
      <c r="AW397" s="105" t="n">
        <v>0</v>
      </c>
      <c r="AX397" s="105" t="n">
        <v>0</v>
      </c>
      <c r="AY397" s="105" t="n">
        <v>0</v>
      </c>
      <c r="AZ397" s="105" t="n">
        <v>0</v>
      </c>
      <c r="BA397" s="105" t="n">
        <v>0</v>
      </c>
      <c r="BB397" s="105" t="n">
        <v>0</v>
      </c>
      <c r="BC397" s="105" t="n">
        <v>0</v>
      </c>
      <c r="BD397" s="105" t="n">
        <v>0</v>
      </c>
      <c r="BE397" s="105" t="n">
        <v>0</v>
      </c>
      <c r="BF397" s="105" t="n">
        <v>0</v>
      </c>
      <c r="BG397" s="105" t="n">
        <v>0</v>
      </c>
      <c r="BH397" s="105" t="n">
        <v>0</v>
      </c>
      <c r="BI397" s="105" t="n">
        <v>0</v>
      </c>
      <c r="BJ397" s="105" t="n">
        <v>0</v>
      </c>
      <c r="BK397" s="105" t="n">
        <v>0</v>
      </c>
      <c r="BL397" s="105" t="n">
        <v>0</v>
      </c>
      <c r="BM397" s="105" t="n">
        <v>0</v>
      </c>
      <c r="BN397" s="105" t="n">
        <v>0</v>
      </c>
      <c r="BO397" s="105" t="n">
        <v>0</v>
      </c>
      <c r="BP397" s="105" t="n">
        <v>0</v>
      </c>
      <c r="BQ397" s="105" t="n">
        <v>0</v>
      </c>
      <c r="BR397" s="106" t="n">
        <v>4</v>
      </c>
      <c r="BS397" s="106" t="n">
        <v>4.06666666666667</v>
      </c>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row>
    <row r="398" customFormat="false" ht="14.9" hidden="false" customHeight="false" outlineLevel="0" collapsed="false">
      <c r="A398" s="74" t="n">
        <f aca="false">MONTH(B398)</f>
        <v>9</v>
      </c>
      <c r="B398" s="135" t="n">
        <v>44443</v>
      </c>
      <c r="C398" s="128" t="s">
        <v>51</v>
      </c>
      <c r="D398" s="77" t="str">
        <f aca="false">IFERROR(VLOOKUP(E:E,'Item Data Support Sheet'!A:O,7,0),"")</f>
        <v>NIPPLE LASER MARKING</v>
      </c>
      <c r="E398" s="80" t="s">
        <v>885</v>
      </c>
      <c r="F398" s="122"/>
      <c r="G398" s="137"/>
      <c r="H398" s="79" t="str">
        <f aca="false">IFERROR(VLOOKUP(E:E,'Item Data Support Sheet'!A:O,2,0),"")</f>
        <v>NIPPLE S TYPE Y SIZE PUNCHED LASER MARKED</v>
      </c>
      <c r="I398" s="80" t="s">
        <v>886</v>
      </c>
      <c r="J398" s="80" t="s">
        <v>148</v>
      </c>
      <c r="K398" s="81" t="n">
        <v>8</v>
      </c>
      <c r="L398" s="124" t="n">
        <v>7036</v>
      </c>
      <c r="M398" s="83" t="n">
        <f aca="false">IFERROR(L398/K398,0)</f>
        <v>879.5</v>
      </c>
      <c r="N398" s="84" t="n">
        <f aca="false">+O398+Q398+T398+U398</f>
        <v>4202</v>
      </c>
      <c r="O398" s="85" t="n">
        <v>4202</v>
      </c>
      <c r="P398" s="86" t="n">
        <v>0</v>
      </c>
      <c r="Q398" s="86" t="n">
        <v>0</v>
      </c>
      <c r="R398" s="132" t="n">
        <v>0</v>
      </c>
      <c r="S398" s="128" t="n">
        <v>0</v>
      </c>
      <c r="T398" s="132" t="n">
        <v>0</v>
      </c>
      <c r="U398" s="128" t="n">
        <v>0</v>
      </c>
      <c r="V398" s="128" t="n">
        <v>1</v>
      </c>
      <c r="W398" s="90" t="n">
        <f aca="false">IFERROR(O398/V398,0)</f>
        <v>4202</v>
      </c>
      <c r="X398" s="91" t="n">
        <f aca="false">O398/L398</f>
        <v>0.597214326321774</v>
      </c>
      <c r="Y398" s="92" t="str">
        <f aca="false">IFERROR(VLOOKUP(E:E,'Item Data Support Sheet'!A:J,6,0),0)</f>
        <v>FO022</v>
      </c>
      <c r="Z398" s="93" t="n">
        <f aca="false">IFERROR(VLOOKUP(E:E,'Item Data Support Sheet'!A:O,4,0),0)</f>
        <v>0</v>
      </c>
      <c r="AA398" s="93" t="n">
        <f aca="false">IFERROR(((N398)*(Z398/1000))+P398,0)</f>
        <v>0</v>
      </c>
      <c r="AB398" s="94" t="str">
        <f aca="false">IFERROR((O398*(Z398/1000)/(AA398))," ")</f>
        <v> </v>
      </c>
      <c r="AC398" s="95" t="n">
        <f aca="false">IFERROR((T398)/((T398)+O398),0)</f>
        <v>0</v>
      </c>
      <c r="AD398" s="96" t="n">
        <f aca="false">IFERROR(Q398/(Q398+N398),0)</f>
        <v>0</v>
      </c>
      <c r="AE398" s="91" t="n">
        <f aca="false">(N398-T398)/N398</f>
        <v>1</v>
      </c>
      <c r="AF398" s="97" t="n">
        <f aca="false">BR398</f>
        <v>4</v>
      </c>
      <c r="AG398" s="98" t="n">
        <f aca="false">K398-AF398</f>
        <v>4</v>
      </c>
      <c r="AH398" s="99" t="n">
        <f aca="false">IFERROR(AG398/K398," ")</f>
        <v>0.5</v>
      </c>
      <c r="AI398" s="100" t="n">
        <f aca="false">IFERROR(O398/K398,0)</f>
        <v>525.25</v>
      </c>
      <c r="AJ398" s="101" t="n">
        <f aca="false">VLOOKUP(D398,'Standard Cycle time'!C:D,2,0)</f>
        <v>3.5</v>
      </c>
      <c r="AK398" s="101" t="n">
        <f aca="false">AG398*V398*3600/O398</f>
        <v>3.426939552594</v>
      </c>
      <c r="AL398" s="102" t="n">
        <f aca="false">AJ398/AK398</f>
        <v>1.02131944444444</v>
      </c>
      <c r="AM398" s="99" t="n">
        <f aca="false">AE398*AL398*AH398</f>
        <v>0.510659722222222</v>
      </c>
      <c r="AN398" s="103" t="s">
        <v>896</v>
      </c>
      <c r="AO398" s="112"/>
      <c r="AP398" s="105" t="n">
        <v>0</v>
      </c>
      <c r="AQ398" s="105" t="n">
        <v>0</v>
      </c>
      <c r="AR398" s="105" t="n">
        <v>0</v>
      </c>
      <c r="AS398" s="105" t="n">
        <v>0</v>
      </c>
      <c r="AT398" s="105" t="n">
        <v>0</v>
      </c>
      <c r="AU398" s="105" t="n">
        <v>0</v>
      </c>
      <c r="AV398" s="105" t="n">
        <v>240</v>
      </c>
      <c r="AW398" s="105" t="n">
        <v>0</v>
      </c>
      <c r="AX398" s="105" t="n">
        <v>0</v>
      </c>
      <c r="AY398" s="105" t="n">
        <v>0</v>
      </c>
      <c r="AZ398" s="105" t="n">
        <v>0</v>
      </c>
      <c r="BA398" s="105" t="n">
        <v>0</v>
      </c>
      <c r="BB398" s="105" t="n">
        <v>0</v>
      </c>
      <c r="BC398" s="105" t="n">
        <v>0</v>
      </c>
      <c r="BD398" s="105" t="n">
        <v>0</v>
      </c>
      <c r="BE398" s="105" t="n">
        <v>0</v>
      </c>
      <c r="BF398" s="105" t="n">
        <v>0</v>
      </c>
      <c r="BG398" s="105" t="n">
        <v>0</v>
      </c>
      <c r="BH398" s="105" t="n">
        <v>0</v>
      </c>
      <c r="BI398" s="105" t="n">
        <v>0</v>
      </c>
      <c r="BJ398" s="105" t="n">
        <v>0</v>
      </c>
      <c r="BK398" s="105" t="n">
        <v>0</v>
      </c>
      <c r="BL398" s="105" t="n">
        <v>0</v>
      </c>
      <c r="BM398" s="105" t="n">
        <v>0</v>
      </c>
      <c r="BN398" s="105" t="n">
        <v>0</v>
      </c>
      <c r="BO398" s="105" t="n">
        <v>0</v>
      </c>
      <c r="BP398" s="105" t="n">
        <v>0</v>
      </c>
      <c r="BQ398" s="105" t="n">
        <v>0</v>
      </c>
      <c r="BR398" s="106" t="n">
        <v>4</v>
      </c>
      <c r="BS398" s="106" t="n">
        <v>4.06666666666667</v>
      </c>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row>
    <row r="399" customFormat="false" ht="14.9" hidden="false" customHeight="false" outlineLevel="0" collapsed="false">
      <c r="A399" s="74" t="n">
        <f aca="false">MONTH(B399)</f>
        <v>9</v>
      </c>
      <c r="B399" s="135" t="n">
        <v>44443</v>
      </c>
      <c r="C399" s="128" t="s">
        <v>51</v>
      </c>
      <c r="D399" s="77" t="str">
        <f aca="false">IFERROR(VLOOKUP(E:E,'Item Data Support Sheet'!A:O,7,0),"")</f>
        <v>NIPPLE MOLDED</v>
      </c>
      <c r="E399" s="80" t="s">
        <v>136</v>
      </c>
      <c r="F399" s="122" t="s">
        <v>137</v>
      </c>
      <c r="G399" s="137" t="s">
        <v>848</v>
      </c>
      <c r="H399" s="79" t="str">
        <f aca="false">IFERROR(VLOOKUP(E:E,'Item Data Support Sheet'!A:O,2,0),"")</f>
        <v>NIPPLE S TYPE M SIZE INJECTION</v>
      </c>
      <c r="I399" s="80" t="s">
        <v>897</v>
      </c>
      <c r="J399" s="80" t="s">
        <v>148</v>
      </c>
      <c r="K399" s="81" t="n">
        <v>8</v>
      </c>
      <c r="L399" s="124" t="n">
        <v>4815</v>
      </c>
      <c r="M399" s="83" t="n">
        <f aca="false">IFERROR(L399/K399,0)</f>
        <v>601.875</v>
      </c>
      <c r="N399" s="84" t="n">
        <f aca="false">+O399+Q399+T399+U399</f>
        <v>5370</v>
      </c>
      <c r="O399" s="85" t="n">
        <v>5300</v>
      </c>
      <c r="P399" s="86" t="n">
        <v>0</v>
      </c>
      <c r="Q399" s="86" t="n">
        <v>20</v>
      </c>
      <c r="R399" s="132" t="n">
        <v>0</v>
      </c>
      <c r="S399" s="128" t="n">
        <v>0</v>
      </c>
      <c r="T399" s="132" t="n">
        <v>42</v>
      </c>
      <c r="U399" s="128" t="n">
        <v>8</v>
      </c>
      <c r="V399" s="128" t="n">
        <v>1</v>
      </c>
      <c r="W399" s="90" t="n">
        <f aca="false">IFERROR(O399/V399,0)</f>
        <v>5300</v>
      </c>
      <c r="X399" s="91" t="n">
        <f aca="false">O399/L399</f>
        <v>1.10072689511942</v>
      </c>
      <c r="Y399" s="92" t="str">
        <f aca="false">IFERROR(VLOOKUP(E:E,'Item Data Support Sheet'!A:J,6,0),0)</f>
        <v>Silicon</v>
      </c>
      <c r="Z399" s="93" t="n">
        <f aca="false">IFERROR(VLOOKUP(E:E,'Item Data Support Sheet'!A:O,4,0),0)</f>
        <v>6.8</v>
      </c>
      <c r="AA399" s="93" t="n">
        <f aca="false">IFERROR(((N399)*(Z399/1000))+P399,0)</f>
        <v>36.516</v>
      </c>
      <c r="AB399" s="94" t="n">
        <f aca="false">IFERROR((O399*(Z399/1000)/(AA399))," ")</f>
        <v>0.986964618249534</v>
      </c>
      <c r="AC399" s="95" t="n">
        <f aca="false">IFERROR((T399)/((T399)+O399),0)</f>
        <v>0.00786222388618495</v>
      </c>
      <c r="AD399" s="96" t="n">
        <f aca="false">IFERROR(Q399/(Q399+N399),0)</f>
        <v>0.00371057513914657</v>
      </c>
      <c r="AE399" s="91" t="n">
        <f aca="false">(N399-T399)/N399</f>
        <v>0.992178770949721</v>
      </c>
      <c r="AF399" s="97" t="n">
        <f aca="false">BR399</f>
        <v>0</v>
      </c>
      <c r="AG399" s="98" t="n">
        <f aca="false">K399-AF399</f>
        <v>8</v>
      </c>
      <c r="AH399" s="99" t="n">
        <f aca="false">IFERROR(AG399/K399," ")</f>
        <v>1</v>
      </c>
      <c r="AI399" s="100" t="n">
        <f aca="false">IFERROR(O399/K399,0)</f>
        <v>662.5</v>
      </c>
      <c r="AJ399" s="101" t="n">
        <f aca="false">VLOOKUP(D399,'Standard Cycle time'!C:D,2,0)</f>
        <v>5.25</v>
      </c>
      <c r="AK399" s="101" t="n">
        <f aca="false">AG399*V399*3600/O399</f>
        <v>5.43396226415094</v>
      </c>
      <c r="AL399" s="102" t="n">
        <f aca="false">AJ399/AK399</f>
        <v>0.966145833333333</v>
      </c>
      <c r="AM399" s="99" t="n">
        <f aca="false">AE399*AL399*AH399</f>
        <v>0.95858938547486</v>
      </c>
      <c r="AN399" s="103" t="n">
        <v>2978</v>
      </c>
      <c r="AO399" s="112" t="s">
        <v>811</v>
      </c>
      <c r="AP399" s="105" t="n">
        <v>0</v>
      </c>
      <c r="AQ399" s="105" t="n">
        <v>0</v>
      </c>
      <c r="AR399" s="105" t="n">
        <v>0</v>
      </c>
      <c r="AS399" s="105" t="n">
        <v>0</v>
      </c>
      <c r="AT399" s="105" t="n">
        <v>0</v>
      </c>
      <c r="AU399" s="105" t="n">
        <v>0</v>
      </c>
      <c r="AV399" s="105" t="n">
        <v>0</v>
      </c>
      <c r="AW399" s="105" t="n">
        <v>0</v>
      </c>
      <c r="AX399" s="105" t="n">
        <v>0</v>
      </c>
      <c r="AY399" s="105" t="n">
        <v>0</v>
      </c>
      <c r="AZ399" s="105" t="n">
        <v>0</v>
      </c>
      <c r="BA399" s="105" t="n">
        <v>0</v>
      </c>
      <c r="BB399" s="105" t="n">
        <v>0</v>
      </c>
      <c r="BC399" s="105" t="n">
        <v>0</v>
      </c>
      <c r="BD399" s="105" t="n">
        <v>0</v>
      </c>
      <c r="BE399" s="105" t="n">
        <v>0</v>
      </c>
      <c r="BF399" s="105" t="n">
        <v>0</v>
      </c>
      <c r="BG399" s="105" t="n">
        <v>0</v>
      </c>
      <c r="BH399" s="105" t="n">
        <v>0</v>
      </c>
      <c r="BI399" s="105" t="n">
        <v>0</v>
      </c>
      <c r="BJ399" s="105" t="n">
        <v>0</v>
      </c>
      <c r="BK399" s="105" t="n">
        <v>0</v>
      </c>
      <c r="BL399" s="105" t="n">
        <v>0</v>
      </c>
      <c r="BM399" s="105" t="n">
        <v>0</v>
      </c>
      <c r="BN399" s="105" t="n">
        <v>0</v>
      </c>
      <c r="BO399" s="105" t="n">
        <v>0</v>
      </c>
      <c r="BP399" s="105" t="n">
        <v>0</v>
      </c>
      <c r="BQ399" s="105" t="n">
        <v>0</v>
      </c>
      <c r="BR399" s="106" t="n">
        <v>0</v>
      </c>
      <c r="BS399" s="106" t="n">
        <v>0</v>
      </c>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row>
    <row r="400" customFormat="false" ht="14.9" hidden="false" customHeight="false" outlineLevel="0" collapsed="false">
      <c r="A400" s="74" t="n">
        <f aca="false">MONTH(B400)</f>
        <v>9</v>
      </c>
      <c r="B400" s="135" t="n">
        <v>44443</v>
      </c>
      <c r="C400" s="128" t="s">
        <v>51</v>
      </c>
      <c r="D400" s="77" t="str">
        <f aca="false">IFERROR(VLOOKUP(E:E,'Item Data Support Sheet'!A:O,7,0),"")</f>
        <v>HOOD MOLDED</v>
      </c>
      <c r="E400" s="80" t="s">
        <v>529</v>
      </c>
      <c r="F400" s="122"/>
      <c r="G400" s="137"/>
      <c r="H400" s="79" t="str">
        <f aca="false">IFERROR(VLOOKUP(E:E,'Item Data Support Sheet'!A:O,2,0),"")</f>
        <v>HOOD S TYPE MOLDED</v>
      </c>
      <c r="I400" s="80" t="s">
        <v>898</v>
      </c>
      <c r="J400" s="80" t="s">
        <v>148</v>
      </c>
      <c r="K400" s="81" t="n">
        <v>8</v>
      </c>
      <c r="L400" s="124" t="n">
        <v>4137</v>
      </c>
      <c r="M400" s="83" t="n">
        <f aca="false">IFERROR(L400/K400,0)</f>
        <v>517.125</v>
      </c>
      <c r="N400" s="84" t="n">
        <f aca="false">+O400+Q400+T400+U400</f>
        <v>5316</v>
      </c>
      <c r="O400" s="85" t="n">
        <v>5300</v>
      </c>
      <c r="P400" s="86" t="n">
        <v>0</v>
      </c>
      <c r="Q400" s="86" t="n">
        <v>8</v>
      </c>
      <c r="R400" s="132" t="n">
        <v>0</v>
      </c>
      <c r="S400" s="128" t="n">
        <v>0</v>
      </c>
      <c r="T400" s="132" t="n">
        <v>0</v>
      </c>
      <c r="U400" s="128" t="n">
        <v>8</v>
      </c>
      <c r="V400" s="128" t="n">
        <v>1</v>
      </c>
      <c r="W400" s="90" t="n">
        <f aca="false">IFERROR(O400/V400,0)</f>
        <v>5300</v>
      </c>
      <c r="X400" s="91" t="n">
        <f aca="false">O400/L400</f>
        <v>1.28112158569011</v>
      </c>
      <c r="Y400" s="92" t="str">
        <f aca="false">IFERROR(VLOOKUP(E:E,'Item Data Support Sheet'!A:J,6,0),0)</f>
        <v>HMC</v>
      </c>
      <c r="Z400" s="93" t="n">
        <f aca="false">IFERROR(VLOOKUP(E:E,'Item Data Support Sheet'!A:O,4,0),0)</f>
        <v>8.6</v>
      </c>
      <c r="AA400" s="93" t="n">
        <f aca="false">IFERROR(((N400)*(Z400/1000))+P400,0)</f>
        <v>45.7176</v>
      </c>
      <c r="AB400" s="94" t="n">
        <f aca="false">IFERROR((O400*(Z400/1000)/(AA400))," ")</f>
        <v>0.99699021820918</v>
      </c>
      <c r="AC400" s="95" t="n">
        <f aca="false">IFERROR((T400)/((T400)+O400),0)</f>
        <v>0</v>
      </c>
      <c r="AD400" s="96" t="n">
        <f aca="false">IFERROR(Q400/(Q400+N400),0)</f>
        <v>0.00150262960180316</v>
      </c>
      <c r="AE400" s="91" t="n">
        <f aca="false">(N400-T400)/N400</f>
        <v>1</v>
      </c>
      <c r="AF400" s="97" t="n">
        <f aca="false">BR400</f>
        <v>0</v>
      </c>
      <c r="AG400" s="98" t="n">
        <f aca="false">K400-AF400</f>
        <v>8</v>
      </c>
      <c r="AH400" s="99" t="n">
        <f aca="false">IFERROR(AG400/K400," ")</f>
        <v>1</v>
      </c>
      <c r="AI400" s="100" t="n">
        <f aca="false">IFERROR(O400/K400,0)</f>
        <v>662.5</v>
      </c>
      <c r="AJ400" s="101" t="n">
        <f aca="false">VLOOKUP(D400,'Standard Cycle time'!C:D,2,0)</f>
        <v>6</v>
      </c>
      <c r="AK400" s="101" t="n">
        <f aca="false">AG400*V400*3600/O400</f>
        <v>5.43396226415094</v>
      </c>
      <c r="AL400" s="102" t="n">
        <f aca="false">AJ400/AK400</f>
        <v>1.10416666666667</v>
      </c>
      <c r="AM400" s="99" t="n">
        <f aca="false">AE400*AL400*AH400</f>
        <v>1.10416666666667</v>
      </c>
      <c r="AN400" s="103" t="n">
        <v>2979</v>
      </c>
      <c r="AO400" s="112"/>
      <c r="AP400" s="105" t="n">
        <v>0</v>
      </c>
      <c r="AQ400" s="105" t="n">
        <v>0</v>
      </c>
      <c r="AR400" s="105" t="n">
        <v>0</v>
      </c>
      <c r="AS400" s="105" t="n">
        <v>0</v>
      </c>
      <c r="AT400" s="105" t="n">
        <v>0</v>
      </c>
      <c r="AU400" s="105" t="n">
        <v>0</v>
      </c>
      <c r="AV400" s="105" t="n">
        <v>0</v>
      </c>
      <c r="AW400" s="105" t="n">
        <v>0</v>
      </c>
      <c r="AX400" s="105" t="n">
        <v>0</v>
      </c>
      <c r="AY400" s="105" t="n">
        <v>0</v>
      </c>
      <c r="AZ400" s="105" t="n">
        <v>0</v>
      </c>
      <c r="BA400" s="105" t="n">
        <v>0</v>
      </c>
      <c r="BB400" s="105" t="n">
        <v>0</v>
      </c>
      <c r="BC400" s="105" t="n">
        <v>0</v>
      </c>
      <c r="BD400" s="105" t="n">
        <v>0</v>
      </c>
      <c r="BE400" s="105" t="n">
        <v>0</v>
      </c>
      <c r="BF400" s="105" t="n">
        <v>0</v>
      </c>
      <c r="BG400" s="105" t="n">
        <v>0</v>
      </c>
      <c r="BH400" s="105" t="n">
        <v>0</v>
      </c>
      <c r="BI400" s="105" t="n">
        <v>0</v>
      </c>
      <c r="BJ400" s="105" t="n">
        <v>0</v>
      </c>
      <c r="BK400" s="105" t="n">
        <v>0</v>
      </c>
      <c r="BL400" s="105" t="n">
        <v>0</v>
      </c>
      <c r="BM400" s="105" t="n">
        <v>0</v>
      </c>
      <c r="BN400" s="105" t="n">
        <v>0</v>
      </c>
      <c r="BO400" s="105" t="n">
        <v>0</v>
      </c>
      <c r="BP400" s="105" t="n">
        <v>0</v>
      </c>
      <c r="BQ400" s="105" t="n">
        <v>0</v>
      </c>
      <c r="BR400" s="106" t="n">
        <v>0</v>
      </c>
      <c r="BS400" s="106" t="n">
        <v>0</v>
      </c>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row>
    <row r="401" customFormat="false" ht="14.9" hidden="false" customHeight="false" outlineLevel="0" collapsed="false">
      <c r="A401" s="74" t="n">
        <f aca="false">MONTH(B401)</f>
        <v>9</v>
      </c>
      <c r="B401" s="135" t="n">
        <v>44443</v>
      </c>
      <c r="C401" s="128" t="s">
        <v>51</v>
      </c>
      <c r="D401" s="77" t="str">
        <f aca="false">IFERROR(VLOOKUP(E:E,'Item Data Support Sheet'!A:O,7,0),"")</f>
        <v>NIPPLE PUNCH INSPECTED</v>
      </c>
      <c r="E401" s="80" t="s">
        <v>688</v>
      </c>
      <c r="F401" s="122"/>
      <c r="G401" s="137"/>
      <c r="H401" s="79" t="str">
        <f aca="false">IFERROR(VLOOKUP(E:E,'Item Data Support Sheet'!A:O,2,0),"")</f>
        <v>NIPPLE S TYPE L SIZE PUNCHED INSPECTED</v>
      </c>
      <c r="I401" s="80" t="s">
        <v>853</v>
      </c>
      <c r="J401" s="80" t="s">
        <v>148</v>
      </c>
      <c r="K401" s="81" t="n">
        <v>7</v>
      </c>
      <c r="L401" s="124" t="n">
        <v>13000</v>
      </c>
      <c r="M401" s="83" t="n">
        <f aca="false">IFERROR(L401/K401,0)</f>
        <v>1857.14285714286</v>
      </c>
      <c r="N401" s="84" t="n">
        <f aca="false">+O401+Q401+T401+U401</f>
        <v>6275</v>
      </c>
      <c r="O401" s="85" t="n">
        <v>6225</v>
      </c>
      <c r="P401" s="86" t="n">
        <v>0</v>
      </c>
      <c r="Q401" s="86" t="n">
        <v>0</v>
      </c>
      <c r="R401" s="132" t="n">
        <v>0</v>
      </c>
      <c r="S401" s="128" t="n">
        <v>0</v>
      </c>
      <c r="T401" s="132" t="n">
        <v>50</v>
      </c>
      <c r="U401" s="128" t="n">
        <v>0</v>
      </c>
      <c r="V401" s="128" t="n">
        <v>1</v>
      </c>
      <c r="W401" s="90" t="n">
        <f aca="false">IFERROR(O401/V401,0)</f>
        <v>6225</v>
      </c>
      <c r="X401" s="91" t="n">
        <f aca="false">O401/L401</f>
        <v>0.478846153846154</v>
      </c>
      <c r="Y401" s="92" t="str">
        <f aca="false">IFERROR(VLOOKUP(E:E,'Item Data Support Sheet'!A:J,6,0),0)</f>
        <v>FO106</v>
      </c>
      <c r="Z401" s="93" t="n">
        <f aca="false">IFERROR(VLOOKUP(E:E,'Item Data Support Sheet'!A:O,4,0),0)</f>
        <v>0</v>
      </c>
      <c r="AA401" s="93" t="n">
        <f aca="false">IFERROR(((N401)*(Z401/1000))+P401,0)</f>
        <v>0</v>
      </c>
      <c r="AB401" s="94" t="str">
        <f aca="false">IFERROR((O401*(Z401/1000)/(AA401))," ")</f>
        <v> </v>
      </c>
      <c r="AC401" s="95" t="n">
        <f aca="false">IFERROR((T401)/((T401)+O401),0)</f>
        <v>0.00796812749003984</v>
      </c>
      <c r="AD401" s="96" t="n">
        <f aca="false">IFERROR(Q401/(Q401+N401),0)</f>
        <v>0</v>
      </c>
      <c r="AE401" s="91" t="n">
        <f aca="false">(N401-T401)/N401</f>
        <v>0.99203187250996</v>
      </c>
      <c r="AF401" s="97" t="n">
        <f aca="false">BR401</f>
        <v>0.833333333333333</v>
      </c>
      <c r="AG401" s="98" t="n">
        <f aca="false">K401-AF401</f>
        <v>6.16666666666667</v>
      </c>
      <c r="AH401" s="99" t="n">
        <f aca="false">IFERROR(AG401/K401," ")</f>
        <v>0.880952380952381</v>
      </c>
      <c r="AI401" s="100" t="n">
        <f aca="false">IFERROR(O401/K401,0)</f>
        <v>889.285714285714</v>
      </c>
      <c r="AJ401" s="101" t="n">
        <f aca="false">VLOOKUP(D401,'Standard Cycle time'!C:D,2,0)</f>
        <v>4</v>
      </c>
      <c r="AK401" s="101" t="n">
        <f aca="false">AG401*V401*3600/O401</f>
        <v>3.56626506024096</v>
      </c>
      <c r="AL401" s="102" t="n">
        <f aca="false">AJ401/AK401</f>
        <v>1.12162162162162</v>
      </c>
      <c r="AM401" s="99" t="n">
        <f aca="false">AE401*AL401*AH401</f>
        <v>0.980221969265794</v>
      </c>
      <c r="AN401" s="103" t="s">
        <v>899</v>
      </c>
      <c r="AO401" s="112" t="s">
        <v>900</v>
      </c>
      <c r="AP401" s="105" t="n">
        <v>50</v>
      </c>
      <c r="AQ401" s="105" t="n">
        <v>0</v>
      </c>
      <c r="AR401" s="105" t="n">
        <v>0</v>
      </c>
      <c r="AS401" s="105" t="n">
        <v>0</v>
      </c>
      <c r="AT401" s="105" t="n">
        <v>0</v>
      </c>
      <c r="AU401" s="105" t="n">
        <v>0</v>
      </c>
      <c r="AV401" s="105" t="n">
        <v>0</v>
      </c>
      <c r="AW401" s="105" t="n">
        <v>0</v>
      </c>
      <c r="AX401" s="105" t="n">
        <v>0</v>
      </c>
      <c r="AY401" s="105" t="n">
        <v>0</v>
      </c>
      <c r="AZ401" s="105" t="n">
        <v>0</v>
      </c>
      <c r="BA401" s="105" t="n">
        <v>0</v>
      </c>
      <c r="BB401" s="105" t="n">
        <v>0</v>
      </c>
      <c r="BC401" s="105" t="n">
        <v>0</v>
      </c>
      <c r="BD401" s="105" t="n">
        <v>0</v>
      </c>
      <c r="BE401" s="105" t="n">
        <v>0</v>
      </c>
      <c r="BF401" s="105" t="n">
        <v>0</v>
      </c>
      <c r="BG401" s="105" t="n">
        <v>0</v>
      </c>
      <c r="BH401" s="105" t="n">
        <v>0</v>
      </c>
      <c r="BI401" s="105" t="n">
        <v>0</v>
      </c>
      <c r="BJ401" s="105" t="n">
        <v>0</v>
      </c>
      <c r="BK401" s="105" t="n">
        <v>0</v>
      </c>
      <c r="BL401" s="105" t="n">
        <v>0</v>
      </c>
      <c r="BM401" s="105" t="n">
        <v>0</v>
      </c>
      <c r="BN401" s="105" t="n">
        <v>0</v>
      </c>
      <c r="BO401" s="105" t="n">
        <v>0</v>
      </c>
      <c r="BP401" s="105" t="n">
        <v>0</v>
      </c>
      <c r="BQ401" s="105" t="n">
        <v>0</v>
      </c>
      <c r="BR401" s="106" t="n">
        <v>0.833333333333333</v>
      </c>
      <c r="BS401" s="106" t="n">
        <v>0.847222222222222</v>
      </c>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row>
    <row r="402" customFormat="false" ht="14.9" hidden="false" customHeight="false" outlineLevel="0" collapsed="false">
      <c r="A402" s="74" t="n">
        <f aca="false">MONTH(B402)</f>
        <v>9</v>
      </c>
      <c r="B402" s="135" t="n">
        <v>44443</v>
      </c>
      <c r="C402" s="128" t="s">
        <v>63</v>
      </c>
      <c r="D402" s="77" t="str">
        <f aca="false">IFERROR(VLOOKUP(E:E,'Item Data Support Sheet'!A:O,7,0),"")</f>
        <v>NIPPLE PUNCH INSPECTED</v>
      </c>
      <c r="E402" s="80" t="s">
        <v>901</v>
      </c>
      <c r="F402" s="122"/>
      <c r="G402" s="137"/>
      <c r="H402" s="79" t="str">
        <f aca="false">IFERROR(VLOOKUP(E:E,'Item Data Support Sheet'!A:O,2,0),"")</f>
        <v>NIPPLE S TYPE Y SIZE PUNCHED INSPECTED</v>
      </c>
      <c r="I402" s="80" t="s">
        <v>886</v>
      </c>
      <c r="J402" s="80" t="s">
        <v>143</v>
      </c>
      <c r="K402" s="81" t="n">
        <v>1</v>
      </c>
      <c r="L402" s="124" t="n">
        <v>1000</v>
      </c>
      <c r="M402" s="83" t="n">
        <f aca="false">IFERROR(L402/K402,0)</f>
        <v>1000</v>
      </c>
      <c r="N402" s="84" t="n">
        <f aca="false">+O402+Q402+T402+U402</f>
        <v>1000</v>
      </c>
      <c r="O402" s="85" t="n">
        <v>997</v>
      </c>
      <c r="P402" s="86" t="n">
        <v>0</v>
      </c>
      <c r="Q402" s="86" t="n">
        <v>0</v>
      </c>
      <c r="R402" s="132" t="n">
        <v>0</v>
      </c>
      <c r="S402" s="128" t="n">
        <v>0</v>
      </c>
      <c r="T402" s="132" t="n">
        <v>3</v>
      </c>
      <c r="U402" s="128" t="n">
        <v>0</v>
      </c>
      <c r="V402" s="128" t="n">
        <v>1</v>
      </c>
      <c r="W402" s="90" t="n">
        <f aca="false">IFERROR(O402/V402,0)</f>
        <v>997</v>
      </c>
      <c r="X402" s="91" t="n">
        <f aca="false">O402/L402</f>
        <v>0.997</v>
      </c>
      <c r="Y402" s="92" t="str">
        <f aca="false">IFERROR(VLOOKUP(E:E,'Item Data Support Sheet'!A:J,6,0),0)</f>
        <v>FO107</v>
      </c>
      <c r="Z402" s="93" t="n">
        <f aca="false">IFERROR(VLOOKUP(E:E,'Item Data Support Sheet'!A:O,4,0),0)</f>
        <v>0</v>
      </c>
      <c r="AA402" s="93" t="n">
        <f aca="false">IFERROR(((N402)*(Z402/1000))+P402,0)</f>
        <v>0</v>
      </c>
      <c r="AB402" s="94" t="str">
        <f aca="false">IFERROR((O402*(Z402/1000)/(AA402))," ")</f>
        <v> </v>
      </c>
      <c r="AC402" s="95" t="n">
        <f aca="false">IFERROR((T402)/((T402)+O402),0)</f>
        <v>0.003</v>
      </c>
      <c r="AD402" s="96" t="n">
        <f aca="false">IFERROR(Q402/(Q402+N402),0)</f>
        <v>0</v>
      </c>
      <c r="AE402" s="91" t="n">
        <f aca="false">(N402-T402)/N402</f>
        <v>0.997</v>
      </c>
      <c r="AF402" s="97" t="n">
        <f aca="false">BR402</f>
        <v>0</v>
      </c>
      <c r="AG402" s="98" t="n">
        <f aca="false">K402-AF402</f>
        <v>1</v>
      </c>
      <c r="AH402" s="99" t="n">
        <f aca="false">IFERROR(AG402/K402," ")</f>
        <v>1</v>
      </c>
      <c r="AI402" s="100" t="n">
        <f aca="false">IFERROR(O402/K402,0)</f>
        <v>997</v>
      </c>
      <c r="AJ402" s="101" t="n">
        <f aca="false">VLOOKUP(D402,'Standard Cycle time'!C:D,2,0)</f>
        <v>4</v>
      </c>
      <c r="AK402" s="101" t="n">
        <f aca="false">AG402*V402*3600/O402</f>
        <v>3.61083249749248</v>
      </c>
      <c r="AL402" s="102" t="n">
        <f aca="false">AJ402/AK402</f>
        <v>1.10777777777778</v>
      </c>
      <c r="AM402" s="99" t="n">
        <f aca="false">AE402*AL402*AH402</f>
        <v>1.10445444444444</v>
      </c>
      <c r="AN402" s="103" t="n">
        <v>2984</v>
      </c>
      <c r="AO402" s="112"/>
      <c r="AP402" s="105" t="n">
        <v>0</v>
      </c>
      <c r="AQ402" s="105" t="n">
        <v>0</v>
      </c>
      <c r="AR402" s="105" t="n">
        <v>0</v>
      </c>
      <c r="AS402" s="105" t="n">
        <v>0</v>
      </c>
      <c r="AT402" s="105" t="n">
        <v>0</v>
      </c>
      <c r="AU402" s="105" t="n">
        <v>0</v>
      </c>
      <c r="AV402" s="105" t="n">
        <v>0</v>
      </c>
      <c r="AW402" s="105" t="n">
        <v>0</v>
      </c>
      <c r="AX402" s="105" t="n">
        <v>0</v>
      </c>
      <c r="AY402" s="105" t="n">
        <v>0</v>
      </c>
      <c r="AZ402" s="105" t="n">
        <v>0</v>
      </c>
      <c r="BA402" s="105" t="n">
        <v>0</v>
      </c>
      <c r="BB402" s="105" t="n">
        <v>0</v>
      </c>
      <c r="BC402" s="105" t="n">
        <v>0</v>
      </c>
      <c r="BD402" s="105" t="n">
        <v>0</v>
      </c>
      <c r="BE402" s="105" t="n">
        <v>0</v>
      </c>
      <c r="BF402" s="105" t="n">
        <v>0</v>
      </c>
      <c r="BG402" s="105" t="n">
        <v>0</v>
      </c>
      <c r="BH402" s="105" t="n">
        <v>0</v>
      </c>
      <c r="BI402" s="105" t="n">
        <v>0</v>
      </c>
      <c r="BJ402" s="105" t="n">
        <v>0</v>
      </c>
      <c r="BK402" s="105" t="n">
        <v>0</v>
      </c>
      <c r="BL402" s="105" t="n">
        <v>0</v>
      </c>
      <c r="BM402" s="105" t="n">
        <v>0</v>
      </c>
      <c r="BN402" s="105" t="n">
        <v>0</v>
      </c>
      <c r="BO402" s="105" t="n">
        <v>0</v>
      </c>
      <c r="BP402" s="105" t="n">
        <v>0</v>
      </c>
      <c r="BQ402" s="105" t="n">
        <v>0</v>
      </c>
      <c r="BR402" s="106" t="n">
        <v>0</v>
      </c>
      <c r="BS402" s="106" t="n">
        <v>0</v>
      </c>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row>
    <row r="403" customFormat="false" ht="14.9" hidden="false" customHeight="false" outlineLevel="0" collapsed="false">
      <c r="A403" s="74" t="n">
        <f aca="false">MONTH(B403)</f>
        <v>9</v>
      </c>
      <c r="B403" s="135" t="n">
        <v>44443</v>
      </c>
      <c r="C403" s="128" t="s">
        <v>63</v>
      </c>
      <c r="D403" s="77" t="str">
        <f aca="false">IFERROR(VLOOKUP(E:E,'Item Data Support Sheet'!A:O,7,0),"")</f>
        <v>BOTTLE PRINTED</v>
      </c>
      <c r="E403" s="80" t="s">
        <v>870</v>
      </c>
      <c r="F403" s="122"/>
      <c r="G403" s="137" t="s">
        <v>66</v>
      </c>
      <c r="H403" s="79" t="str">
        <f aca="false">IFERROR(VLOOKUP(E:E,'Item Data Support Sheet'!A:O,2,0),"")</f>
        <v>RPP 240ML BOY BLUE BOTTLE PRINTED (WM3GB)</v>
      </c>
      <c r="I403" s="80" t="s">
        <v>902</v>
      </c>
      <c r="J403" s="80" t="s">
        <v>143</v>
      </c>
      <c r="K403" s="81" t="n">
        <v>3</v>
      </c>
      <c r="L403" s="124" t="n">
        <v>1200</v>
      </c>
      <c r="M403" s="83" t="n">
        <f aca="false">IFERROR(L403/K403,0)</f>
        <v>400</v>
      </c>
      <c r="N403" s="84" t="n">
        <f aca="false">+O403+Q403+T403+U403</f>
        <v>925</v>
      </c>
      <c r="O403" s="85" t="n">
        <v>911</v>
      </c>
      <c r="P403" s="86" t="n">
        <v>0</v>
      </c>
      <c r="Q403" s="86" t="n">
        <v>0</v>
      </c>
      <c r="R403" s="132" t="n">
        <v>8</v>
      </c>
      <c r="S403" s="128" t="n">
        <v>0</v>
      </c>
      <c r="T403" s="132" t="n">
        <v>14</v>
      </c>
      <c r="U403" s="128" t="n">
        <v>0</v>
      </c>
      <c r="V403" s="128" t="n">
        <v>6</v>
      </c>
      <c r="W403" s="90" t="n">
        <f aca="false">IFERROR(O403/V403,0)</f>
        <v>151.833333333333</v>
      </c>
      <c r="X403" s="91" t="n">
        <f aca="false">O403/L403</f>
        <v>0.759166666666667</v>
      </c>
      <c r="Y403" s="92" t="str">
        <f aca="false">IFERROR(VLOOKUP(E:E,'Item Data Support Sheet'!A:J,6,0),0)</f>
        <v>FO055</v>
      </c>
      <c r="Z403" s="93" t="n">
        <f aca="false">IFERROR(VLOOKUP(E:E,'Item Data Support Sheet'!A:O,4,0),0)</f>
        <v>0</v>
      </c>
      <c r="AA403" s="93" t="n">
        <f aca="false">IFERROR(((N403)*(Z403/1000))+P403,0)</f>
        <v>0</v>
      </c>
      <c r="AB403" s="94" t="str">
        <f aca="false">IFERROR((O403*(Z403/1000)/(AA403))," ")</f>
        <v> </v>
      </c>
      <c r="AC403" s="95" t="n">
        <f aca="false">IFERROR((T403)/((T403)+O403),0)</f>
        <v>0.0151351351351351</v>
      </c>
      <c r="AD403" s="96" t="n">
        <f aca="false">IFERROR(Q403/(Q403+N403),0)</f>
        <v>0</v>
      </c>
      <c r="AE403" s="91" t="n">
        <f aca="false">(N403-T403)/N403</f>
        <v>0.984864864864865</v>
      </c>
      <c r="AF403" s="97" t="n">
        <f aca="false">BR403</f>
        <v>1.5</v>
      </c>
      <c r="AG403" s="98" t="n">
        <f aca="false">K403-AF403</f>
        <v>1.5</v>
      </c>
      <c r="AH403" s="99" t="n">
        <f aca="false">IFERROR(AG403/K403," ")</f>
        <v>0.5</v>
      </c>
      <c r="AI403" s="100" t="n">
        <f aca="false">IFERROR(O403/K403,0)</f>
        <v>303.666666666667</v>
      </c>
      <c r="AJ403" s="101" t="n">
        <f aca="false">VLOOKUP(D403,'Standard Cycle time'!C:D,2,0)</f>
        <v>32.4</v>
      </c>
      <c r="AK403" s="101" t="n">
        <f aca="false">AG403*V403*3600/O403</f>
        <v>35.5653128430296</v>
      </c>
      <c r="AL403" s="102" t="n">
        <f aca="false">AJ403/AK403</f>
        <v>0.911</v>
      </c>
      <c r="AM403" s="99" t="n">
        <f aca="false">AE403*AL403*AH403</f>
        <v>0.448605945945946</v>
      </c>
      <c r="AN403" s="103" t="s">
        <v>869</v>
      </c>
      <c r="AO403" s="112" t="s">
        <v>903</v>
      </c>
      <c r="AP403" s="105" t="n">
        <v>50</v>
      </c>
      <c r="AQ403" s="105" t="n">
        <v>40</v>
      </c>
      <c r="AR403" s="105" t="n">
        <v>0</v>
      </c>
      <c r="AS403" s="105" t="n">
        <v>0</v>
      </c>
      <c r="AT403" s="105" t="n">
        <v>0</v>
      </c>
      <c r="AU403" s="105" t="n">
        <v>0</v>
      </c>
      <c r="AV403" s="105" t="n">
        <v>0</v>
      </c>
      <c r="AW403" s="105" t="n">
        <v>0</v>
      </c>
      <c r="AX403" s="105" t="n">
        <v>0</v>
      </c>
      <c r="AY403" s="105" t="n">
        <v>0</v>
      </c>
      <c r="AZ403" s="105" t="n">
        <v>0</v>
      </c>
      <c r="BA403" s="105" t="n">
        <v>0</v>
      </c>
      <c r="BB403" s="105" t="n">
        <v>0</v>
      </c>
      <c r="BC403" s="105" t="n">
        <v>0</v>
      </c>
      <c r="BD403" s="105" t="n">
        <v>0</v>
      </c>
      <c r="BE403" s="105" t="n">
        <v>0</v>
      </c>
      <c r="BF403" s="105" t="n">
        <v>0</v>
      </c>
      <c r="BG403" s="105" t="n">
        <v>0</v>
      </c>
      <c r="BH403" s="105" t="n">
        <v>0</v>
      </c>
      <c r="BI403" s="105" t="n">
        <v>0</v>
      </c>
      <c r="BJ403" s="105" t="n">
        <v>0</v>
      </c>
      <c r="BK403" s="105" t="n">
        <v>0</v>
      </c>
      <c r="BL403" s="105" t="n">
        <v>0</v>
      </c>
      <c r="BM403" s="105" t="n">
        <v>0</v>
      </c>
      <c r="BN403" s="105" t="n">
        <v>0</v>
      </c>
      <c r="BO403" s="105" t="n">
        <v>0</v>
      </c>
      <c r="BP403" s="105" t="n">
        <v>0</v>
      </c>
      <c r="BQ403" s="105" t="n">
        <v>0</v>
      </c>
      <c r="BR403" s="106" t="n">
        <v>1.5</v>
      </c>
      <c r="BS403" s="106" t="n">
        <v>1.525</v>
      </c>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row>
    <row r="404" customFormat="false" ht="14.9" hidden="false" customHeight="false" outlineLevel="0" collapsed="false">
      <c r="A404" s="74" t="n">
        <f aca="false">MONTH(B404)</f>
        <v>9</v>
      </c>
      <c r="B404" s="135" t="n">
        <v>44443</v>
      </c>
      <c r="C404" s="128" t="s">
        <v>63</v>
      </c>
      <c r="D404" s="77" t="str">
        <f aca="false">IFERROR(VLOOKUP(E:E,'Item Data Support Sheet'!A:O,7,0),"")</f>
        <v>BOTTLE PRINTED</v>
      </c>
      <c r="E404" s="80" t="s">
        <v>65</v>
      </c>
      <c r="F404" s="122"/>
      <c r="G404" s="137" t="s">
        <v>66</v>
      </c>
      <c r="H404" s="79" t="str">
        <f aca="false">IFERROR(VLOOKUP(E:E,'Item Data Support Sheet'!A:O,2,0),"")</f>
        <v>KPP 240 ML BOTTLE PRINTED</v>
      </c>
      <c r="I404" s="80" t="s">
        <v>904</v>
      </c>
      <c r="J404" s="80" t="s">
        <v>143</v>
      </c>
      <c r="K404" s="81" t="n">
        <v>5.5</v>
      </c>
      <c r="L404" s="124" t="n">
        <v>2400</v>
      </c>
      <c r="M404" s="83" t="n">
        <f aca="false">IFERROR(L404/K404,0)</f>
        <v>436.363636363636</v>
      </c>
      <c r="N404" s="84" t="n">
        <f aca="false">+O404+Q404+T404+U404</f>
        <v>2174</v>
      </c>
      <c r="O404" s="85" t="n">
        <v>2160</v>
      </c>
      <c r="P404" s="86" t="n">
        <v>0</v>
      </c>
      <c r="Q404" s="86" t="n">
        <v>0</v>
      </c>
      <c r="R404" s="132" t="n">
        <v>8</v>
      </c>
      <c r="S404" s="128" t="n">
        <v>0</v>
      </c>
      <c r="T404" s="132" t="n">
        <v>14</v>
      </c>
      <c r="U404" s="128" t="n">
        <v>0</v>
      </c>
      <c r="V404" s="128" t="n">
        <v>6</v>
      </c>
      <c r="W404" s="90" t="n">
        <f aca="false">IFERROR(O404/V404,0)</f>
        <v>360</v>
      </c>
      <c r="X404" s="91" t="n">
        <f aca="false">O404/L404</f>
        <v>0.9</v>
      </c>
      <c r="Y404" s="92" t="str">
        <f aca="false">IFERROR(VLOOKUP(E:E,'Item Data Support Sheet'!A:J,6,0),0)</f>
        <v>FO003</v>
      </c>
      <c r="Z404" s="93" t="n">
        <f aca="false">IFERROR(VLOOKUP(E:E,'Item Data Support Sheet'!A:O,4,0),0)</f>
        <v>0</v>
      </c>
      <c r="AA404" s="93" t="n">
        <f aca="false">IFERROR(((N404)*(Z404/1000))+P404,0)</f>
        <v>0</v>
      </c>
      <c r="AB404" s="94" t="str">
        <f aca="false">IFERROR((O404*(Z404/1000)/(AA404))," ")</f>
        <v> </v>
      </c>
      <c r="AC404" s="95" t="n">
        <f aca="false">IFERROR((T404)/((T404)+O404),0)</f>
        <v>0.00643974241030359</v>
      </c>
      <c r="AD404" s="96" t="n">
        <f aca="false">IFERROR(Q404/(Q404+N404),0)</f>
        <v>0</v>
      </c>
      <c r="AE404" s="91" t="n">
        <f aca="false">(N404-T404)/N404</f>
        <v>0.993560257589696</v>
      </c>
      <c r="AF404" s="97" t="n">
        <f aca="false">BR404</f>
        <v>2</v>
      </c>
      <c r="AG404" s="98" t="n">
        <f aca="false">K404-AF404</f>
        <v>3.5</v>
      </c>
      <c r="AH404" s="99" t="n">
        <f aca="false">IFERROR(AG404/K404," ")</f>
        <v>0.636363636363636</v>
      </c>
      <c r="AI404" s="100" t="n">
        <f aca="false">IFERROR(O404/K404,0)</f>
        <v>392.727272727273</v>
      </c>
      <c r="AJ404" s="101" t="n">
        <f aca="false">VLOOKUP(D404,'Standard Cycle time'!C:D,2,0)</f>
        <v>32.4</v>
      </c>
      <c r="AK404" s="101" t="n">
        <f aca="false">AG404*V404*3600/O404</f>
        <v>35</v>
      </c>
      <c r="AL404" s="102" t="n">
        <f aca="false">AJ404/AK404</f>
        <v>0.925714285714286</v>
      </c>
      <c r="AM404" s="99" t="n">
        <f aca="false">AE404*AL404*AH404</f>
        <v>0.585297315380112</v>
      </c>
      <c r="AN404" s="103" t="s">
        <v>869</v>
      </c>
      <c r="AO404" s="112" t="s">
        <v>905</v>
      </c>
      <c r="AP404" s="105" t="n">
        <v>0</v>
      </c>
      <c r="AQ404" s="105" t="n">
        <v>0</v>
      </c>
      <c r="AR404" s="105" t="n">
        <v>0</v>
      </c>
      <c r="AS404" s="105" t="n">
        <v>0</v>
      </c>
      <c r="AT404" s="105" t="n">
        <v>0</v>
      </c>
      <c r="AU404" s="105" t="n">
        <v>0</v>
      </c>
      <c r="AV404" s="105" t="n">
        <v>0</v>
      </c>
      <c r="AW404" s="105" t="n">
        <v>0</v>
      </c>
      <c r="AX404" s="105" t="n">
        <v>0</v>
      </c>
      <c r="AY404" s="105" t="n">
        <v>0</v>
      </c>
      <c r="AZ404" s="105" t="n">
        <v>0</v>
      </c>
      <c r="BA404" s="105" t="n">
        <v>0</v>
      </c>
      <c r="BB404" s="105" t="n">
        <v>0</v>
      </c>
      <c r="BC404" s="105" t="n">
        <v>0</v>
      </c>
      <c r="BD404" s="105" t="n">
        <v>0</v>
      </c>
      <c r="BE404" s="105" t="n">
        <v>120</v>
      </c>
      <c r="BF404" s="105" t="n">
        <v>0</v>
      </c>
      <c r="BG404" s="105" t="n">
        <v>0</v>
      </c>
      <c r="BH404" s="105" t="n">
        <v>0</v>
      </c>
      <c r="BI404" s="105" t="n">
        <v>0</v>
      </c>
      <c r="BJ404" s="105" t="n">
        <v>0</v>
      </c>
      <c r="BK404" s="105" t="n">
        <v>0</v>
      </c>
      <c r="BL404" s="105" t="n">
        <v>0</v>
      </c>
      <c r="BM404" s="105" t="n">
        <v>0</v>
      </c>
      <c r="BN404" s="105" t="n">
        <v>0</v>
      </c>
      <c r="BO404" s="105" t="n">
        <v>0</v>
      </c>
      <c r="BP404" s="105" t="n">
        <v>0</v>
      </c>
      <c r="BQ404" s="105" t="n">
        <v>0</v>
      </c>
      <c r="BR404" s="106" t="n">
        <v>2</v>
      </c>
      <c r="BS404" s="106" t="n">
        <v>2.03333333333333</v>
      </c>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row>
    <row r="405" customFormat="false" ht="14.9" hidden="false" customHeight="false" outlineLevel="0" collapsed="false">
      <c r="A405" s="74" t="n">
        <f aca="false">MONTH(B405)</f>
        <v>9</v>
      </c>
      <c r="B405" s="135" t="n">
        <v>44443</v>
      </c>
      <c r="C405" s="128" t="s">
        <v>70</v>
      </c>
      <c r="D405" s="77" t="str">
        <f aca="false">IFERROR(VLOOKUP(E:E,'Item Data Support Sheet'!A:O,7,0),"")</f>
        <v>NIPPLE MOLDED</v>
      </c>
      <c r="E405" s="80" t="s">
        <v>136</v>
      </c>
      <c r="F405" s="122" t="s">
        <v>137</v>
      </c>
      <c r="G405" s="137" t="s">
        <v>848</v>
      </c>
      <c r="H405" s="79" t="str">
        <f aca="false">IFERROR(VLOOKUP(E:E,'Item Data Support Sheet'!A:O,2,0),"")</f>
        <v>NIPPLE S TYPE M SIZE INJECTION</v>
      </c>
      <c r="I405" s="80" t="s">
        <v>906</v>
      </c>
      <c r="J405" s="80" t="s">
        <v>143</v>
      </c>
      <c r="K405" s="81" t="n">
        <v>8</v>
      </c>
      <c r="L405" s="124" t="n">
        <v>4815</v>
      </c>
      <c r="M405" s="83" t="n">
        <f aca="false">IFERROR(L405/K405,0)</f>
        <v>601.875</v>
      </c>
      <c r="N405" s="84" t="n">
        <f aca="false">+O405+Q405+T405+U405</f>
        <v>5206</v>
      </c>
      <c r="O405" s="85" t="n">
        <v>5100</v>
      </c>
      <c r="P405" s="86" t="n">
        <v>0</v>
      </c>
      <c r="Q405" s="86" t="n">
        <v>45</v>
      </c>
      <c r="R405" s="132" t="n">
        <v>0</v>
      </c>
      <c r="S405" s="128" t="n">
        <v>0</v>
      </c>
      <c r="T405" s="132" t="n">
        <v>61</v>
      </c>
      <c r="U405" s="128" t="n">
        <v>0</v>
      </c>
      <c r="V405" s="128" t="n">
        <v>1</v>
      </c>
      <c r="W405" s="90" t="n">
        <f aca="false">IFERROR(O405/V405,0)</f>
        <v>5100</v>
      </c>
      <c r="X405" s="91" t="n">
        <f aca="false">O405/L405</f>
        <v>1.05919003115265</v>
      </c>
      <c r="Y405" s="92" t="str">
        <f aca="false">IFERROR(VLOOKUP(E:E,'Item Data Support Sheet'!A:J,6,0),0)</f>
        <v>Silicon</v>
      </c>
      <c r="Z405" s="93" t="n">
        <f aca="false">IFERROR(VLOOKUP(E:E,'Item Data Support Sheet'!A:O,4,0),0)</f>
        <v>6.8</v>
      </c>
      <c r="AA405" s="93" t="n">
        <f aca="false">IFERROR(((N405)*(Z405/1000))+P405,0)</f>
        <v>35.4008</v>
      </c>
      <c r="AB405" s="94" t="n">
        <f aca="false">IFERROR((O405*(Z405/1000)/(AA405))," ")</f>
        <v>0.979638878217441</v>
      </c>
      <c r="AC405" s="95" t="n">
        <f aca="false">IFERROR((T405)/((T405)+O405),0)</f>
        <v>0.0118194148420849</v>
      </c>
      <c r="AD405" s="96" t="n">
        <f aca="false">IFERROR(Q405/(Q405+N405),0)</f>
        <v>0.00856979622928966</v>
      </c>
      <c r="AE405" s="91" t="n">
        <f aca="false">(N405-T405)/N405</f>
        <v>0.988282750672301</v>
      </c>
      <c r="AF405" s="97" t="n">
        <f aca="false">BR405</f>
        <v>0</v>
      </c>
      <c r="AG405" s="98" t="n">
        <f aca="false">K405-AF405</f>
        <v>8</v>
      </c>
      <c r="AH405" s="99" t="n">
        <f aca="false">IFERROR(AG405/K405," ")</f>
        <v>1</v>
      </c>
      <c r="AI405" s="100" t="n">
        <f aca="false">IFERROR(O405/K405,0)</f>
        <v>637.5</v>
      </c>
      <c r="AJ405" s="101" t="n">
        <f aca="false">VLOOKUP(D405,'Standard Cycle time'!C:D,2,0)</f>
        <v>5.25</v>
      </c>
      <c r="AK405" s="101" t="n">
        <f aca="false">AG405*V405*3600/O405</f>
        <v>5.64705882352941</v>
      </c>
      <c r="AL405" s="102" t="n">
        <f aca="false">AJ405/AK405</f>
        <v>0.9296875</v>
      </c>
      <c r="AM405" s="99" t="n">
        <f aca="false">AE405*AL405*AH405</f>
        <v>0.918794119765655</v>
      </c>
      <c r="AN405" s="103" t="s">
        <v>907</v>
      </c>
      <c r="AO405" s="112" t="s">
        <v>811</v>
      </c>
      <c r="AP405" s="105" t="n">
        <v>0</v>
      </c>
      <c r="AQ405" s="105" t="n">
        <v>0</v>
      </c>
      <c r="AR405" s="105" t="n">
        <v>0</v>
      </c>
      <c r="AS405" s="105" t="n">
        <v>0</v>
      </c>
      <c r="AT405" s="105" t="n">
        <v>0</v>
      </c>
      <c r="AU405" s="105" t="n">
        <v>0</v>
      </c>
      <c r="AV405" s="105" t="n">
        <v>0</v>
      </c>
      <c r="AW405" s="105" t="n">
        <v>0</v>
      </c>
      <c r="AX405" s="105" t="n">
        <v>0</v>
      </c>
      <c r="AY405" s="105" t="n">
        <v>0</v>
      </c>
      <c r="AZ405" s="105" t="n">
        <v>0</v>
      </c>
      <c r="BA405" s="105" t="n">
        <v>0</v>
      </c>
      <c r="BB405" s="105" t="n">
        <v>0</v>
      </c>
      <c r="BC405" s="105" t="n">
        <v>0</v>
      </c>
      <c r="BD405" s="105" t="n">
        <v>0</v>
      </c>
      <c r="BE405" s="105" t="n">
        <v>0</v>
      </c>
      <c r="BF405" s="105" t="n">
        <v>0</v>
      </c>
      <c r="BG405" s="105" t="n">
        <v>0</v>
      </c>
      <c r="BH405" s="105" t="n">
        <v>0</v>
      </c>
      <c r="BI405" s="105" t="n">
        <v>0</v>
      </c>
      <c r="BJ405" s="105" t="n">
        <v>0</v>
      </c>
      <c r="BK405" s="105" t="n">
        <v>0</v>
      </c>
      <c r="BL405" s="105" t="n">
        <v>0</v>
      </c>
      <c r="BM405" s="105" t="n">
        <v>0</v>
      </c>
      <c r="BN405" s="105" t="n">
        <v>0</v>
      </c>
      <c r="BO405" s="105" t="n">
        <v>0</v>
      </c>
      <c r="BP405" s="105" t="n">
        <v>0</v>
      </c>
      <c r="BQ405" s="105" t="n">
        <v>0</v>
      </c>
      <c r="BR405" s="106" t="n">
        <v>0</v>
      </c>
      <c r="BS405" s="106" t="n">
        <v>0</v>
      </c>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row>
    <row r="406" customFormat="false" ht="14.9" hidden="false" customHeight="false" outlineLevel="0" collapsed="false">
      <c r="A406" s="74" t="n">
        <f aca="false">MONTH(B406)</f>
        <v>9</v>
      </c>
      <c r="B406" s="135" t="n">
        <v>44443</v>
      </c>
      <c r="C406" s="128" t="s">
        <v>70</v>
      </c>
      <c r="D406" s="77" t="str">
        <f aca="false">IFERROR(VLOOKUP(E:E,'Item Data Support Sheet'!A:O,7,0),"")</f>
        <v>NIPPLE POSTCURE</v>
      </c>
      <c r="E406" s="80" t="s">
        <v>62</v>
      </c>
      <c r="F406" s="122"/>
      <c r="G406" s="137" t="s">
        <v>149</v>
      </c>
      <c r="H406" s="79" t="str">
        <f aca="false">IFERROR(VLOOKUP(E:E,'Item Data Support Sheet'!A:O,2,0),"")</f>
        <v>NIPPLE S TYPE M SIZE POSTCURED</v>
      </c>
      <c r="I406" s="80" t="s">
        <v>908</v>
      </c>
      <c r="J406" s="80" t="s">
        <v>143</v>
      </c>
      <c r="K406" s="81" t="n">
        <v>8</v>
      </c>
      <c r="L406" s="124" t="n">
        <v>7000</v>
      </c>
      <c r="M406" s="83" t="n">
        <f aca="false">IFERROR(L406/K406,0)</f>
        <v>875</v>
      </c>
      <c r="N406" s="84" t="n">
        <f aca="false">+O406+Q406+T406+U406</f>
        <v>7900</v>
      </c>
      <c r="O406" s="85" t="n">
        <v>7900</v>
      </c>
      <c r="P406" s="86" t="n">
        <v>0</v>
      </c>
      <c r="Q406" s="86" t="n">
        <v>0</v>
      </c>
      <c r="R406" s="132" t="n">
        <v>0</v>
      </c>
      <c r="S406" s="128" t="n">
        <v>0</v>
      </c>
      <c r="T406" s="132" t="n">
        <v>0</v>
      </c>
      <c r="U406" s="128" t="n">
        <v>0</v>
      </c>
      <c r="V406" s="128" t="n">
        <v>1</v>
      </c>
      <c r="W406" s="90" t="n">
        <f aca="false">IFERROR(O406/V406,0)</f>
        <v>7900</v>
      </c>
      <c r="X406" s="91" t="n">
        <f aca="false">O406/L406</f>
        <v>1.12857142857143</v>
      </c>
      <c r="Y406" s="92" t="str">
        <f aca="false">IFERROR(VLOOKUP(E:E,'Item Data Support Sheet'!A:J,6,0),0)</f>
        <v>FO012</v>
      </c>
      <c r="Z406" s="93" t="n">
        <f aca="false">IFERROR(VLOOKUP(E:E,'Item Data Support Sheet'!A:O,4,0),0)</f>
        <v>0</v>
      </c>
      <c r="AA406" s="93" t="n">
        <f aca="false">IFERROR(((N406)*(Z406/1000))+P406,0)</f>
        <v>0</v>
      </c>
      <c r="AB406" s="94" t="str">
        <f aca="false">IFERROR((O406*(Z406/1000)/(AA406))," ")</f>
        <v> </v>
      </c>
      <c r="AC406" s="95" t="n">
        <f aca="false">IFERROR((T406)/((T406)+O406),0)</f>
        <v>0</v>
      </c>
      <c r="AD406" s="96" t="n">
        <f aca="false">IFERROR(Q406/(Q406+N406),0)</f>
        <v>0</v>
      </c>
      <c r="AE406" s="91" t="n">
        <f aca="false">(N406-T406)/N406</f>
        <v>1</v>
      </c>
      <c r="AF406" s="97" t="n">
        <f aca="false">BR406</f>
        <v>2.66666666666667</v>
      </c>
      <c r="AG406" s="98" t="n">
        <f aca="false">K406-AF406</f>
        <v>5.33333333333333</v>
      </c>
      <c r="AH406" s="99" t="n">
        <f aca="false">IFERROR(AG406/K406," ")</f>
        <v>0.666666666666666</v>
      </c>
      <c r="AI406" s="100" t="n">
        <f aca="false">IFERROR(O406/K406,0)</f>
        <v>987.5</v>
      </c>
      <c r="AJ406" s="101" t="n">
        <f aca="false">VLOOKUP(D406,'Standard Cycle time'!C:D,2,0)</f>
        <v>2.3</v>
      </c>
      <c r="AK406" s="101" t="n">
        <f aca="false">AG406*V406*3600/O406</f>
        <v>2.43037974683544</v>
      </c>
      <c r="AL406" s="102" t="n">
        <f aca="false">AJ406/AK406</f>
        <v>0.946354166666667</v>
      </c>
      <c r="AM406" s="99" t="n">
        <f aca="false">AE406*AL406*AH406</f>
        <v>0.630902777777778</v>
      </c>
      <c r="AN406" s="103" t="s">
        <v>909</v>
      </c>
      <c r="AO406" s="112" t="s">
        <v>900</v>
      </c>
      <c r="AP406" s="105" t="n">
        <v>40</v>
      </c>
      <c r="AQ406" s="105" t="n">
        <v>0</v>
      </c>
      <c r="AR406" s="105" t="n">
        <v>0</v>
      </c>
      <c r="AS406" s="105" t="n">
        <v>120</v>
      </c>
      <c r="AT406" s="105" t="n">
        <v>0</v>
      </c>
      <c r="AU406" s="105" t="n">
        <v>0</v>
      </c>
      <c r="AV406" s="105" t="n">
        <v>0</v>
      </c>
      <c r="AW406" s="105" t="n">
        <v>0</v>
      </c>
      <c r="AX406" s="105" t="n">
        <v>0</v>
      </c>
      <c r="AY406" s="105" t="n">
        <v>0</v>
      </c>
      <c r="AZ406" s="105" t="n">
        <v>0</v>
      </c>
      <c r="BA406" s="105" t="n">
        <v>0</v>
      </c>
      <c r="BB406" s="105" t="n">
        <v>0</v>
      </c>
      <c r="BC406" s="105" t="n">
        <v>0</v>
      </c>
      <c r="BD406" s="105" t="n">
        <v>0</v>
      </c>
      <c r="BE406" s="105" t="n">
        <v>0</v>
      </c>
      <c r="BF406" s="105" t="n">
        <v>0</v>
      </c>
      <c r="BG406" s="105" t="n">
        <v>0</v>
      </c>
      <c r="BH406" s="105" t="n">
        <v>0</v>
      </c>
      <c r="BI406" s="105" t="n">
        <v>0</v>
      </c>
      <c r="BJ406" s="105" t="n">
        <v>0</v>
      </c>
      <c r="BK406" s="105" t="n">
        <v>0</v>
      </c>
      <c r="BL406" s="105" t="n">
        <v>0</v>
      </c>
      <c r="BM406" s="105" t="n">
        <v>0</v>
      </c>
      <c r="BN406" s="105" t="n">
        <v>0</v>
      </c>
      <c r="BO406" s="105" t="n">
        <v>0</v>
      </c>
      <c r="BP406" s="105" t="n">
        <v>0</v>
      </c>
      <c r="BQ406" s="105" t="n">
        <v>0</v>
      </c>
      <c r="BR406" s="106" t="n">
        <v>2.66666666666667</v>
      </c>
      <c r="BS406" s="106" t="n">
        <v>2.71111111111111</v>
      </c>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row>
    <row r="407" customFormat="false" ht="14.9" hidden="false" customHeight="false" outlineLevel="0" collapsed="false">
      <c r="A407" s="74" t="n">
        <f aca="false">MONTH(B407)</f>
        <v>9</v>
      </c>
      <c r="B407" s="135" t="n">
        <v>44443</v>
      </c>
      <c r="C407" s="128" t="s">
        <v>70</v>
      </c>
      <c r="D407" s="77" t="str">
        <f aca="false">IFERROR(VLOOKUP(E:E,'Item Data Support Sheet'!A:O,7,0),"")</f>
        <v>NIPPLE PUNCH</v>
      </c>
      <c r="E407" s="80" t="s">
        <v>60</v>
      </c>
      <c r="F407" s="122"/>
      <c r="G407" s="137" t="s">
        <v>54</v>
      </c>
      <c r="H407" s="79" t="str">
        <f aca="false">IFERROR(VLOOKUP(E:E,'Item Data Support Sheet'!A:O,2,0),"")</f>
        <v>NIPPLE S TYPE M SIZE PUNCHED</v>
      </c>
      <c r="I407" s="80" t="s">
        <v>910</v>
      </c>
      <c r="J407" s="80" t="s">
        <v>143</v>
      </c>
      <c r="K407" s="81" t="n">
        <v>8</v>
      </c>
      <c r="L407" s="124" t="n">
        <v>7036</v>
      </c>
      <c r="M407" s="83" t="n">
        <f aca="false">IFERROR(L407/K407,0)</f>
        <v>879.5</v>
      </c>
      <c r="N407" s="84" t="n">
        <f aca="false">+O407+Q407+T407+U407</f>
        <v>4400</v>
      </c>
      <c r="O407" s="85" t="n">
        <v>4392</v>
      </c>
      <c r="P407" s="86" t="n">
        <v>0</v>
      </c>
      <c r="Q407" s="86" t="n">
        <v>0</v>
      </c>
      <c r="R407" s="132" t="n">
        <v>0</v>
      </c>
      <c r="S407" s="128" t="n">
        <v>0</v>
      </c>
      <c r="T407" s="132" t="n">
        <v>8</v>
      </c>
      <c r="U407" s="128" t="n">
        <v>0</v>
      </c>
      <c r="V407" s="128" t="n">
        <v>1</v>
      </c>
      <c r="W407" s="90" t="n">
        <f aca="false">IFERROR(O407/V407,0)</f>
        <v>4392</v>
      </c>
      <c r="X407" s="91" t="n">
        <f aca="false">O407/L407</f>
        <v>0.6242183058556</v>
      </c>
      <c r="Y407" s="92" t="str">
        <f aca="false">IFERROR(VLOOKUP(E:E,'Item Data Support Sheet'!A:J,6,0),0)</f>
        <v>FO016</v>
      </c>
      <c r="Z407" s="93" t="n">
        <f aca="false">IFERROR(VLOOKUP(E:E,'Item Data Support Sheet'!A:O,4,0),0)</f>
        <v>0</v>
      </c>
      <c r="AA407" s="93" t="n">
        <f aca="false">IFERROR(((N407)*(Z407/1000))+P407,0)</f>
        <v>0</v>
      </c>
      <c r="AB407" s="94" t="str">
        <f aca="false">IFERROR((O407*(Z407/1000)/(AA407))," ")</f>
        <v> </v>
      </c>
      <c r="AC407" s="95" t="n">
        <f aca="false">IFERROR((T407)/((T407)+O407),0)</f>
        <v>0.00181818181818182</v>
      </c>
      <c r="AD407" s="96" t="n">
        <f aca="false">IFERROR(Q407/(Q407+N407),0)</f>
        <v>0</v>
      </c>
      <c r="AE407" s="91" t="n">
        <f aca="false">(N407-T407)/N407</f>
        <v>0.998181818181818</v>
      </c>
      <c r="AF407" s="97" t="n">
        <f aca="false">BR407</f>
        <v>2.66666666666667</v>
      </c>
      <c r="AG407" s="98" t="n">
        <f aca="false">K407-AF407</f>
        <v>5.33333333333333</v>
      </c>
      <c r="AH407" s="99" t="n">
        <f aca="false">IFERROR(AG407/K407," ")</f>
        <v>0.666666666666666</v>
      </c>
      <c r="AI407" s="100" t="n">
        <f aca="false">IFERROR(O407/K407,0)</f>
        <v>549</v>
      </c>
      <c r="AJ407" s="101" t="n">
        <f aca="false">VLOOKUP(D407,'Standard Cycle time'!C:D,2,0)</f>
        <v>3.5</v>
      </c>
      <c r="AK407" s="101" t="n">
        <f aca="false">AG407*V407*3600/O407</f>
        <v>4.37158469945355</v>
      </c>
      <c r="AL407" s="102" t="n">
        <f aca="false">AJ407/AK407</f>
        <v>0.800625</v>
      </c>
      <c r="AM407" s="99" t="n">
        <f aca="false">AE407*AL407*AH407</f>
        <v>0.532779545454545</v>
      </c>
      <c r="AN407" s="103" t="s">
        <v>911</v>
      </c>
      <c r="AO407" s="112" t="s">
        <v>900</v>
      </c>
      <c r="AP407" s="105" t="n">
        <v>40</v>
      </c>
      <c r="AQ407" s="105" t="n">
        <v>0</v>
      </c>
      <c r="AR407" s="105" t="n">
        <v>0</v>
      </c>
      <c r="AS407" s="105" t="n">
        <v>0</v>
      </c>
      <c r="AT407" s="105" t="n">
        <v>0</v>
      </c>
      <c r="AU407" s="105" t="n">
        <v>0</v>
      </c>
      <c r="AV407" s="105" t="n">
        <v>0</v>
      </c>
      <c r="AW407" s="105" t="n">
        <v>0</v>
      </c>
      <c r="AX407" s="105" t="n">
        <v>0</v>
      </c>
      <c r="AY407" s="105" t="n">
        <v>0</v>
      </c>
      <c r="AZ407" s="105" t="n">
        <v>0</v>
      </c>
      <c r="BA407" s="105" t="n">
        <v>0</v>
      </c>
      <c r="BB407" s="105" t="n">
        <v>0</v>
      </c>
      <c r="BC407" s="105" t="n">
        <v>0</v>
      </c>
      <c r="BD407" s="105" t="n">
        <v>0</v>
      </c>
      <c r="BE407" s="105" t="n">
        <v>120</v>
      </c>
      <c r="BF407" s="105" t="n">
        <v>0</v>
      </c>
      <c r="BG407" s="105" t="n">
        <v>0</v>
      </c>
      <c r="BH407" s="105" t="n">
        <v>0</v>
      </c>
      <c r="BI407" s="105" t="n">
        <v>0</v>
      </c>
      <c r="BJ407" s="105" t="n">
        <v>0</v>
      </c>
      <c r="BK407" s="105" t="n">
        <v>0</v>
      </c>
      <c r="BL407" s="105" t="n">
        <v>0</v>
      </c>
      <c r="BM407" s="105" t="n">
        <v>0</v>
      </c>
      <c r="BN407" s="105" t="n">
        <v>0</v>
      </c>
      <c r="BO407" s="105" t="n">
        <v>0</v>
      </c>
      <c r="BP407" s="105" t="n">
        <v>0</v>
      </c>
      <c r="BQ407" s="105" t="n">
        <v>0</v>
      </c>
      <c r="BR407" s="106" t="n">
        <v>2.66666666666667</v>
      </c>
      <c r="BS407" s="106" t="n">
        <v>2.71111111111111</v>
      </c>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row>
    <row r="408" customFormat="false" ht="14.9" hidden="false" customHeight="false" outlineLevel="0" collapsed="false">
      <c r="A408" s="74" t="n">
        <f aca="false">MONTH(B408)</f>
        <v>9</v>
      </c>
      <c r="B408" s="135" t="n">
        <v>44443</v>
      </c>
      <c r="C408" s="128" t="s">
        <v>70</v>
      </c>
      <c r="D408" s="77" t="str">
        <f aca="false">IFERROR(VLOOKUP(E:E,'Item Data Support Sheet'!A:O,7,0),"")</f>
        <v>HOOD MOLDED</v>
      </c>
      <c r="E408" s="80" t="s">
        <v>529</v>
      </c>
      <c r="F408" s="122"/>
      <c r="G408" s="137" t="s">
        <v>740</v>
      </c>
      <c r="H408" s="79" t="str">
        <f aca="false">IFERROR(VLOOKUP(E:E,'Item Data Support Sheet'!A:O,2,0),"")</f>
        <v>HOOD S TYPE MOLDED</v>
      </c>
      <c r="I408" s="80" t="s">
        <v>912</v>
      </c>
      <c r="J408" s="80" t="s">
        <v>143</v>
      </c>
      <c r="K408" s="81" t="n">
        <v>8</v>
      </c>
      <c r="L408" s="124" t="n">
        <v>4137</v>
      </c>
      <c r="M408" s="83" t="n">
        <f aca="false">IFERROR(L408/K408,0)</f>
        <v>517.125</v>
      </c>
      <c r="N408" s="84" t="n">
        <f aca="false">+O408+Q408+T408+U408</f>
        <v>5321</v>
      </c>
      <c r="O408" s="85" t="n">
        <v>5300</v>
      </c>
      <c r="P408" s="86" t="n">
        <v>0</v>
      </c>
      <c r="Q408" s="86" t="n">
        <v>0</v>
      </c>
      <c r="R408" s="132" t="n">
        <v>0</v>
      </c>
      <c r="S408" s="128" t="n">
        <v>0</v>
      </c>
      <c r="T408" s="132" t="n">
        <v>21</v>
      </c>
      <c r="U408" s="128" t="n">
        <v>0</v>
      </c>
      <c r="V408" s="128" t="n">
        <v>1</v>
      </c>
      <c r="W408" s="90" t="n">
        <f aca="false">IFERROR(O408/V408,0)</f>
        <v>5300</v>
      </c>
      <c r="X408" s="91" t="n">
        <f aca="false">O408/L408</f>
        <v>1.28112158569011</v>
      </c>
      <c r="Y408" s="92" t="str">
        <f aca="false">IFERROR(VLOOKUP(E:E,'Item Data Support Sheet'!A:J,6,0),0)</f>
        <v>HMC</v>
      </c>
      <c r="Z408" s="93" t="n">
        <f aca="false">IFERROR(VLOOKUP(E:E,'Item Data Support Sheet'!A:O,4,0),0)</f>
        <v>8.6</v>
      </c>
      <c r="AA408" s="93" t="n">
        <f aca="false">IFERROR(((N408)*(Z408/1000))+P408,0)</f>
        <v>45.7606</v>
      </c>
      <c r="AB408" s="94" t="n">
        <f aca="false">IFERROR((O408*(Z408/1000)/(AA408))," ")</f>
        <v>0.996053373426048</v>
      </c>
      <c r="AC408" s="95" t="n">
        <f aca="false">IFERROR((T408)/((T408)+O408),0)</f>
        <v>0.00394662657395226</v>
      </c>
      <c r="AD408" s="96" t="n">
        <f aca="false">IFERROR(Q408/(Q408+N408),0)</f>
        <v>0</v>
      </c>
      <c r="AE408" s="91" t="n">
        <f aca="false">(N408-T408)/N408</f>
        <v>0.996053373426048</v>
      </c>
      <c r="AF408" s="97" t="n">
        <f aca="false">BR408</f>
        <v>0</v>
      </c>
      <c r="AG408" s="98" t="n">
        <f aca="false">K408-AF408</f>
        <v>8</v>
      </c>
      <c r="AH408" s="99" t="n">
        <f aca="false">IFERROR(AG408/K408," ")</f>
        <v>1</v>
      </c>
      <c r="AI408" s="100" t="n">
        <f aca="false">IFERROR(O408/K408,0)</f>
        <v>662.5</v>
      </c>
      <c r="AJ408" s="101" t="n">
        <f aca="false">VLOOKUP(D408,'Standard Cycle time'!C:D,2,0)</f>
        <v>6</v>
      </c>
      <c r="AK408" s="101" t="n">
        <f aca="false">AG408*V408*3600/O408</f>
        <v>5.43396226415094</v>
      </c>
      <c r="AL408" s="102" t="n">
        <f aca="false">AJ408/AK408</f>
        <v>1.10416666666667</v>
      </c>
      <c r="AM408" s="99" t="n">
        <f aca="false">AE408*AL408*AH408</f>
        <v>1.09980893315793</v>
      </c>
      <c r="AN408" s="103" t="n">
        <v>2988</v>
      </c>
      <c r="AO408" s="112" t="s">
        <v>913</v>
      </c>
      <c r="AP408" s="105" t="n">
        <v>0</v>
      </c>
      <c r="AQ408" s="105" t="n">
        <v>0</v>
      </c>
      <c r="AR408" s="105" t="n">
        <v>0</v>
      </c>
      <c r="AS408" s="105" t="n">
        <v>0</v>
      </c>
      <c r="AT408" s="105" t="n">
        <v>0</v>
      </c>
      <c r="AU408" s="105" t="n">
        <v>0</v>
      </c>
      <c r="AV408" s="105" t="n">
        <v>0</v>
      </c>
      <c r="AW408" s="105" t="n">
        <v>0</v>
      </c>
      <c r="AX408" s="105" t="n">
        <v>0</v>
      </c>
      <c r="AY408" s="105" t="n">
        <v>0</v>
      </c>
      <c r="AZ408" s="105" t="n">
        <v>0</v>
      </c>
      <c r="BA408" s="105" t="n">
        <v>0</v>
      </c>
      <c r="BB408" s="105" t="n">
        <v>0</v>
      </c>
      <c r="BC408" s="105" t="n">
        <v>0</v>
      </c>
      <c r="BD408" s="105" t="n">
        <v>0</v>
      </c>
      <c r="BE408" s="105" t="n">
        <v>0</v>
      </c>
      <c r="BF408" s="105" t="n">
        <v>0</v>
      </c>
      <c r="BG408" s="105" t="n">
        <v>0</v>
      </c>
      <c r="BH408" s="105" t="n">
        <v>0</v>
      </c>
      <c r="BI408" s="105" t="n">
        <v>0</v>
      </c>
      <c r="BJ408" s="105" t="n">
        <v>0</v>
      </c>
      <c r="BK408" s="105" t="n">
        <v>0</v>
      </c>
      <c r="BL408" s="105" t="n">
        <v>0</v>
      </c>
      <c r="BM408" s="105" t="n">
        <v>0</v>
      </c>
      <c r="BN408" s="105" t="n">
        <v>0</v>
      </c>
      <c r="BO408" s="105" t="n">
        <v>0</v>
      </c>
      <c r="BP408" s="105" t="n">
        <v>0</v>
      </c>
      <c r="BQ408" s="105" t="n">
        <v>0</v>
      </c>
      <c r="BR408" s="106" t="n">
        <v>0</v>
      </c>
      <c r="BS408" s="106" t="n">
        <v>0</v>
      </c>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row>
    <row r="409" customFormat="false" ht="14.9" hidden="false" customHeight="false" outlineLevel="0" collapsed="false">
      <c r="A409" s="74" t="n">
        <f aca="false">MONTH(B409)</f>
        <v>9</v>
      </c>
      <c r="B409" s="135" t="n">
        <v>44443</v>
      </c>
      <c r="C409" s="128" t="s">
        <v>70</v>
      </c>
      <c r="D409" s="77" t="str">
        <f aca="false">IFERROR(VLOOKUP(E:E,'Item Data Support Sheet'!A:O,7,0),"")</f>
        <v>BOTTLE MOLDED</v>
      </c>
      <c r="E409" s="80" t="s">
        <v>215</v>
      </c>
      <c r="F409" s="122" t="s">
        <v>216</v>
      </c>
      <c r="G409" s="137" t="s">
        <v>80</v>
      </c>
      <c r="H409" s="79" t="str">
        <f aca="false">IFERROR(VLOOKUP(E:E,'Item Data Support Sheet'!A:O,2,0),"")</f>
        <v>KPP BOTTLE 200 ML MOULDED-WMG3B</v>
      </c>
      <c r="I409" s="80" t="s">
        <v>914</v>
      </c>
      <c r="J409" s="80" t="s">
        <v>143</v>
      </c>
      <c r="K409" s="81" t="n">
        <v>8</v>
      </c>
      <c r="L409" s="124" t="n">
        <v>2503</v>
      </c>
      <c r="M409" s="83" t="n">
        <f aca="false">IFERROR(L409/K409,0)</f>
        <v>312.875</v>
      </c>
      <c r="N409" s="84" t="n">
        <f aca="false">+O409+Q409+T409+U409</f>
        <v>1306</v>
      </c>
      <c r="O409" s="85" t="n">
        <v>1188</v>
      </c>
      <c r="P409" s="86" t="n">
        <v>0.45</v>
      </c>
      <c r="Q409" s="86" t="n">
        <v>74</v>
      </c>
      <c r="R409" s="132" t="n">
        <v>0</v>
      </c>
      <c r="S409" s="128" t="n">
        <v>0</v>
      </c>
      <c r="T409" s="132" t="n">
        <v>36</v>
      </c>
      <c r="U409" s="128" t="n">
        <v>8</v>
      </c>
      <c r="V409" s="128" t="n">
        <v>1</v>
      </c>
      <c r="W409" s="90" t="n">
        <f aca="false">IFERROR(O409/V409,0)</f>
        <v>1188</v>
      </c>
      <c r="X409" s="91" t="n">
        <f aca="false">O409/L409</f>
        <v>0.474630443467839</v>
      </c>
      <c r="Y409" s="92" t="str">
        <f aca="false">IFERROR(VLOOKUP(E:E,'Item Data Support Sheet'!A:J,6,0),0)</f>
        <v>WMG3B</v>
      </c>
      <c r="Z409" s="93" t="n">
        <f aca="false">IFERROR(VLOOKUP(E:E,'Item Data Support Sheet'!A:O,4,0),0)</f>
        <v>28.6</v>
      </c>
      <c r="AA409" s="93" t="n">
        <f aca="false">IFERROR(((N409)*(Z409/1000))+P409,0)</f>
        <v>37.8016</v>
      </c>
      <c r="AB409" s="94" t="n">
        <f aca="false">IFERROR((O409*(Z409/1000)/(AA409))," ")</f>
        <v>0.898819097604334</v>
      </c>
      <c r="AC409" s="95" t="n">
        <f aca="false">IFERROR((T409)/((T409)+O409),0)</f>
        <v>0.0294117647058823</v>
      </c>
      <c r="AD409" s="96" t="n">
        <f aca="false">IFERROR(Q409/(Q409+N409),0)</f>
        <v>0.0536231884057971</v>
      </c>
      <c r="AE409" s="91" t="n">
        <f aca="false">(N409-T409)/N409</f>
        <v>0.972434915773354</v>
      </c>
      <c r="AF409" s="97" t="n">
        <f aca="false">BR409</f>
        <v>4.5</v>
      </c>
      <c r="AG409" s="98" t="n">
        <f aca="false">K409-AF409</f>
        <v>3.5</v>
      </c>
      <c r="AH409" s="99" t="n">
        <f aca="false">IFERROR(AG409/K409," ")</f>
        <v>0.4375</v>
      </c>
      <c r="AI409" s="100" t="n">
        <f aca="false">IFERROR(O409/K409,0)</f>
        <v>148.5</v>
      </c>
      <c r="AJ409" s="101" t="n">
        <f aca="false">VLOOKUP(D409,'Standard Cycle time'!C:D,2,0)</f>
        <v>9</v>
      </c>
      <c r="AK409" s="101" t="n">
        <f aca="false">AG409*V409*3600/O409</f>
        <v>10.6060606060606</v>
      </c>
      <c r="AL409" s="102" t="n">
        <f aca="false">AJ409/AK409</f>
        <v>0.848571428571429</v>
      </c>
      <c r="AM409" s="99" t="n">
        <f aca="false">AE409*AL409*AH409</f>
        <v>0.361016462480858</v>
      </c>
      <c r="AN409" s="103" t="n">
        <v>2992</v>
      </c>
      <c r="AO409" s="112" t="s">
        <v>915</v>
      </c>
      <c r="AP409" s="105" t="n">
        <v>0</v>
      </c>
      <c r="AQ409" s="105" t="n">
        <v>170</v>
      </c>
      <c r="AR409" s="105" t="n">
        <v>70</v>
      </c>
      <c r="AS409" s="105" t="n">
        <v>0</v>
      </c>
      <c r="AT409" s="105" t="n">
        <v>0</v>
      </c>
      <c r="AU409" s="105" t="n">
        <v>0</v>
      </c>
      <c r="AV409" s="105" t="n">
        <v>30</v>
      </c>
      <c r="AW409" s="105" t="n">
        <v>0</v>
      </c>
      <c r="AX409" s="105" t="n">
        <v>0</v>
      </c>
      <c r="AY409" s="105" t="n">
        <v>0</v>
      </c>
      <c r="AZ409" s="105" t="n">
        <v>0</v>
      </c>
      <c r="BA409" s="105" t="n">
        <v>0</v>
      </c>
      <c r="BB409" s="105" t="n">
        <v>0</v>
      </c>
      <c r="BC409" s="105" t="n">
        <v>0</v>
      </c>
      <c r="BD409" s="105" t="n">
        <v>0</v>
      </c>
      <c r="BE409" s="105" t="n">
        <v>0</v>
      </c>
      <c r="BF409" s="105" t="n">
        <v>0</v>
      </c>
      <c r="BG409" s="105" t="n">
        <v>0</v>
      </c>
      <c r="BH409" s="105" t="n">
        <v>0</v>
      </c>
      <c r="BI409" s="105" t="n">
        <v>0</v>
      </c>
      <c r="BJ409" s="105" t="n">
        <v>0</v>
      </c>
      <c r="BK409" s="105" t="n">
        <v>0</v>
      </c>
      <c r="BL409" s="105" t="n">
        <v>0</v>
      </c>
      <c r="BM409" s="105" t="n">
        <v>0</v>
      </c>
      <c r="BN409" s="105" t="n">
        <v>0</v>
      </c>
      <c r="BO409" s="105" t="n">
        <v>0</v>
      </c>
      <c r="BP409" s="105" t="n">
        <v>0</v>
      </c>
      <c r="BQ409" s="105" t="n">
        <v>0</v>
      </c>
      <c r="BR409" s="106" t="n">
        <v>4.5</v>
      </c>
      <c r="BS409" s="106" t="n">
        <v>4.575</v>
      </c>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row>
    <row r="410" customFormat="false" ht="14.9" hidden="false" customHeight="false" outlineLevel="0" collapsed="false">
      <c r="A410" s="74" t="n">
        <f aca="false">MONTH(B410)</f>
        <v>9</v>
      </c>
      <c r="B410" s="135" t="n">
        <v>44443</v>
      </c>
      <c r="C410" s="128" t="s">
        <v>152</v>
      </c>
      <c r="D410" s="77" t="str">
        <f aca="false">IFERROR(VLOOKUP(E:E,'Item Data Support Sheet'!A:O,7,0),"")</f>
        <v>BOTTLE MOLDED</v>
      </c>
      <c r="E410" s="80" t="s">
        <v>215</v>
      </c>
      <c r="F410" s="122" t="s">
        <v>216</v>
      </c>
      <c r="G410" s="137" t="s">
        <v>80</v>
      </c>
      <c r="H410" s="79" t="str">
        <f aca="false">IFERROR(VLOOKUP(E:E,'Item Data Support Sheet'!A:O,2,0),"")</f>
        <v>KPP BOTTLE 200 ML MOULDED-WMG3B</v>
      </c>
      <c r="I410" s="80" t="s">
        <v>916</v>
      </c>
      <c r="J410" s="80" t="s">
        <v>815</v>
      </c>
      <c r="K410" s="81" t="n">
        <v>8</v>
      </c>
      <c r="L410" s="124" t="n">
        <v>2503</v>
      </c>
      <c r="M410" s="83" t="n">
        <f aca="false">IFERROR(L410/K410,0)</f>
        <v>312.875</v>
      </c>
      <c r="N410" s="84" t="n">
        <f aca="false">+O410+Q410+T410+U410</f>
        <v>2854</v>
      </c>
      <c r="O410" s="85" t="n">
        <v>2700</v>
      </c>
      <c r="P410" s="86" t="n">
        <v>0.2</v>
      </c>
      <c r="Q410" s="86" t="n">
        <v>80</v>
      </c>
      <c r="R410" s="132" t="n">
        <v>0</v>
      </c>
      <c r="S410" s="128" t="n">
        <v>0</v>
      </c>
      <c r="T410" s="132" t="n">
        <v>66</v>
      </c>
      <c r="U410" s="128" t="n">
        <v>8</v>
      </c>
      <c r="V410" s="128" t="n">
        <v>1</v>
      </c>
      <c r="W410" s="90" t="n">
        <f aca="false">IFERROR(O410/V410,0)</f>
        <v>2700</v>
      </c>
      <c r="X410" s="91" t="n">
        <f aca="false">O410/L410</f>
        <v>1.078705553336</v>
      </c>
      <c r="Y410" s="92" t="str">
        <f aca="false">IFERROR(VLOOKUP(E:E,'Item Data Support Sheet'!A:J,6,0),0)</f>
        <v>WMG3B</v>
      </c>
      <c r="Z410" s="93" t="n">
        <f aca="false">IFERROR(VLOOKUP(E:E,'Item Data Support Sheet'!A:O,4,0),0)</f>
        <v>28.6</v>
      </c>
      <c r="AA410" s="93" t="n">
        <f aca="false">IFERROR(((N410)*(Z410/1000))+P410,0)</f>
        <v>81.8244</v>
      </c>
      <c r="AB410" s="94" t="n">
        <f aca="false">IFERROR((O410*(Z410/1000)/(AA410))," ")</f>
        <v>0.943728276650975</v>
      </c>
      <c r="AC410" s="95" t="n">
        <f aca="false">IFERROR((T410)/((T410)+O410),0)</f>
        <v>0.0238611713665944</v>
      </c>
      <c r="AD410" s="96" t="n">
        <f aca="false">IFERROR(Q410/(Q410+N410),0)</f>
        <v>0.027266530334015</v>
      </c>
      <c r="AE410" s="91" t="n">
        <f aca="false">(N410-T410)/N410</f>
        <v>0.97687456201822</v>
      </c>
      <c r="AF410" s="97" t="n">
        <f aca="false">BR410</f>
        <v>0</v>
      </c>
      <c r="AG410" s="98" t="n">
        <f aca="false">K410-AF410</f>
        <v>8</v>
      </c>
      <c r="AH410" s="99" t="n">
        <f aca="false">IFERROR(AG410/K410," ")</f>
        <v>1</v>
      </c>
      <c r="AI410" s="100" t="n">
        <f aca="false">IFERROR(O410/K410,0)</f>
        <v>337.5</v>
      </c>
      <c r="AJ410" s="101" t="n">
        <f aca="false">VLOOKUP(D410,'Standard Cycle time'!C:D,2,0)</f>
        <v>9</v>
      </c>
      <c r="AK410" s="101" t="n">
        <f aca="false">AG410*V410*3600/O410</f>
        <v>10.6666666666667</v>
      </c>
      <c r="AL410" s="102" t="n">
        <f aca="false">AJ410/AK410</f>
        <v>0.84375</v>
      </c>
      <c r="AM410" s="99" t="n">
        <f aca="false">AE410*AL410*AH410</f>
        <v>0.824237911702873</v>
      </c>
      <c r="AN410" s="103" t="n">
        <v>2994</v>
      </c>
      <c r="AO410" s="112" t="s">
        <v>917</v>
      </c>
      <c r="AP410" s="105" t="n">
        <v>0</v>
      </c>
      <c r="AQ410" s="105" t="n">
        <v>0</v>
      </c>
      <c r="AR410" s="105" t="n">
        <v>0</v>
      </c>
      <c r="AS410" s="105" t="n">
        <v>0</v>
      </c>
      <c r="AT410" s="105" t="n">
        <v>0</v>
      </c>
      <c r="AU410" s="105" t="n">
        <v>0</v>
      </c>
      <c r="AV410" s="105" t="n">
        <v>0</v>
      </c>
      <c r="AW410" s="105" t="n">
        <v>0</v>
      </c>
      <c r="AX410" s="105" t="n">
        <v>0</v>
      </c>
      <c r="AY410" s="105" t="n">
        <v>0</v>
      </c>
      <c r="AZ410" s="105" t="n">
        <v>0</v>
      </c>
      <c r="BA410" s="105" t="n">
        <v>0</v>
      </c>
      <c r="BB410" s="105" t="n">
        <v>0</v>
      </c>
      <c r="BC410" s="105" t="n">
        <v>0</v>
      </c>
      <c r="BD410" s="105" t="n">
        <v>0</v>
      </c>
      <c r="BE410" s="105" t="n">
        <v>0</v>
      </c>
      <c r="BF410" s="105" t="n">
        <v>0</v>
      </c>
      <c r="BG410" s="105" t="n">
        <v>0</v>
      </c>
      <c r="BH410" s="105" t="n">
        <v>0</v>
      </c>
      <c r="BI410" s="105" t="n">
        <v>0</v>
      </c>
      <c r="BJ410" s="105" t="n">
        <v>0</v>
      </c>
      <c r="BK410" s="105" t="n">
        <v>0</v>
      </c>
      <c r="BL410" s="105" t="n">
        <v>0</v>
      </c>
      <c r="BM410" s="105" t="n">
        <v>0</v>
      </c>
      <c r="BN410" s="105" t="n">
        <v>0</v>
      </c>
      <c r="BO410" s="105" t="n">
        <v>0</v>
      </c>
      <c r="BP410" s="105" t="n">
        <v>0</v>
      </c>
      <c r="BQ410" s="105" t="n">
        <v>0</v>
      </c>
      <c r="BR410" s="106" t="n">
        <v>0</v>
      </c>
      <c r="BS410" s="106" t="n">
        <v>0</v>
      </c>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row>
    <row r="411" customFormat="false" ht="14.9" hidden="false" customHeight="false" outlineLevel="0" collapsed="false">
      <c r="A411" s="74" t="n">
        <f aca="false">MONTH(B411)</f>
        <v>9</v>
      </c>
      <c r="B411" s="135" t="n">
        <v>44443</v>
      </c>
      <c r="C411" s="128" t="s">
        <v>152</v>
      </c>
      <c r="D411" s="77" t="str">
        <f aca="false">IFERROR(VLOOKUP(E:E,'Item Data Support Sheet'!A:O,7,0),"")</f>
        <v>HOOD MOLDED</v>
      </c>
      <c r="E411" s="80" t="s">
        <v>529</v>
      </c>
      <c r="F411" s="122"/>
      <c r="G411" s="137" t="s">
        <v>740</v>
      </c>
      <c r="H411" s="79" t="str">
        <f aca="false">IFERROR(VLOOKUP(E:E,'Item Data Support Sheet'!A:O,2,0),"")</f>
        <v>HOOD S TYPE MOLDED</v>
      </c>
      <c r="I411" s="80" t="s">
        <v>918</v>
      </c>
      <c r="J411" s="80" t="s">
        <v>815</v>
      </c>
      <c r="K411" s="81" t="n">
        <v>8</v>
      </c>
      <c r="L411" s="124" t="n">
        <v>4137</v>
      </c>
      <c r="M411" s="83" t="n">
        <f aca="false">IFERROR(L411/K411,0)</f>
        <v>517.125</v>
      </c>
      <c r="N411" s="84" t="n">
        <f aca="false">+O411+Q411+T411+U411</f>
        <v>5216</v>
      </c>
      <c r="O411" s="85" t="n">
        <v>5200</v>
      </c>
      <c r="P411" s="86" t="n">
        <v>0</v>
      </c>
      <c r="Q411" s="86" t="n">
        <v>0</v>
      </c>
      <c r="R411" s="132" t="n">
        <v>0</v>
      </c>
      <c r="S411" s="128" t="n">
        <v>0</v>
      </c>
      <c r="T411" s="132" t="n">
        <v>8</v>
      </c>
      <c r="U411" s="128" t="n">
        <v>8</v>
      </c>
      <c r="V411" s="128" t="n">
        <v>1</v>
      </c>
      <c r="W411" s="90" t="n">
        <f aca="false">IFERROR(O411/V411,0)</f>
        <v>5200</v>
      </c>
      <c r="X411" s="91" t="n">
        <f aca="false">O411/L411</f>
        <v>1.25694948029973</v>
      </c>
      <c r="Y411" s="92" t="str">
        <f aca="false">IFERROR(VLOOKUP(E:E,'Item Data Support Sheet'!A:J,6,0),0)</f>
        <v>HMC</v>
      </c>
      <c r="Z411" s="93" t="n">
        <f aca="false">IFERROR(VLOOKUP(E:E,'Item Data Support Sheet'!A:O,4,0),0)</f>
        <v>8.6</v>
      </c>
      <c r="AA411" s="93" t="n">
        <f aca="false">IFERROR(((N411)*(Z411/1000))+P411,0)</f>
        <v>44.8576</v>
      </c>
      <c r="AB411" s="94" t="n">
        <f aca="false">IFERROR((O411*(Z411/1000)/(AA411))," ")</f>
        <v>0.996932515337423</v>
      </c>
      <c r="AC411" s="95" t="n">
        <f aca="false">IFERROR((T411)/((T411)+O411),0)</f>
        <v>0.00153609831029186</v>
      </c>
      <c r="AD411" s="96" t="n">
        <f aca="false">IFERROR(Q411/(Q411+N411),0)</f>
        <v>0</v>
      </c>
      <c r="AE411" s="91" t="n">
        <f aca="false">(N411-T411)/N411</f>
        <v>0.998466257668712</v>
      </c>
      <c r="AF411" s="97" t="n">
        <f aca="false">BR411</f>
        <v>0</v>
      </c>
      <c r="AG411" s="98" t="n">
        <f aca="false">K411-AF411</f>
        <v>8</v>
      </c>
      <c r="AH411" s="99" t="n">
        <f aca="false">IFERROR(AG411/K411," ")</f>
        <v>1</v>
      </c>
      <c r="AI411" s="100" t="n">
        <f aca="false">IFERROR(O411/K411,0)</f>
        <v>650</v>
      </c>
      <c r="AJ411" s="101" t="n">
        <f aca="false">VLOOKUP(D411,'Standard Cycle time'!C:D,2,0)</f>
        <v>6</v>
      </c>
      <c r="AK411" s="101" t="n">
        <f aca="false">AG411*V411*3600/O411</f>
        <v>5.53846153846154</v>
      </c>
      <c r="AL411" s="102" t="n">
        <f aca="false">AJ411/AK411</f>
        <v>1.08333333333333</v>
      </c>
      <c r="AM411" s="99" t="n">
        <f aca="false">AE411*AL411*AH411</f>
        <v>1.0816717791411</v>
      </c>
      <c r="AN411" s="103" t="n">
        <v>3025</v>
      </c>
      <c r="AO411" s="112" t="s">
        <v>919</v>
      </c>
      <c r="AP411" s="105" t="n">
        <v>0</v>
      </c>
      <c r="AQ411" s="105" t="n">
        <v>0</v>
      </c>
      <c r="AR411" s="105" t="n">
        <v>0</v>
      </c>
      <c r="AS411" s="105" t="n">
        <v>0</v>
      </c>
      <c r="AT411" s="105" t="n">
        <v>0</v>
      </c>
      <c r="AU411" s="105" t="n">
        <v>0</v>
      </c>
      <c r="AV411" s="105" t="n">
        <v>0</v>
      </c>
      <c r="AW411" s="105" t="n">
        <v>0</v>
      </c>
      <c r="AX411" s="105" t="n">
        <v>0</v>
      </c>
      <c r="AY411" s="105" t="n">
        <v>0</v>
      </c>
      <c r="AZ411" s="105" t="n">
        <v>0</v>
      </c>
      <c r="BA411" s="105" t="n">
        <v>0</v>
      </c>
      <c r="BB411" s="105" t="n">
        <v>0</v>
      </c>
      <c r="BC411" s="105" t="n">
        <v>0</v>
      </c>
      <c r="BD411" s="105" t="n">
        <v>0</v>
      </c>
      <c r="BE411" s="105" t="n">
        <v>0</v>
      </c>
      <c r="BF411" s="105" t="n">
        <v>0</v>
      </c>
      <c r="BG411" s="105" t="n">
        <v>0</v>
      </c>
      <c r="BH411" s="105" t="n">
        <v>0</v>
      </c>
      <c r="BI411" s="105" t="n">
        <v>0</v>
      </c>
      <c r="BJ411" s="105" t="n">
        <v>0</v>
      </c>
      <c r="BK411" s="105" t="n">
        <v>0</v>
      </c>
      <c r="BL411" s="105" t="n">
        <v>0</v>
      </c>
      <c r="BM411" s="105" t="n">
        <v>0</v>
      </c>
      <c r="BN411" s="105" t="n">
        <v>0</v>
      </c>
      <c r="BO411" s="105" t="n">
        <v>0</v>
      </c>
      <c r="BP411" s="105" t="n">
        <v>0</v>
      </c>
      <c r="BQ411" s="105" t="n">
        <v>0</v>
      </c>
      <c r="BR411" s="106" t="n">
        <v>0</v>
      </c>
      <c r="BS411" s="106" t="n">
        <v>0</v>
      </c>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row>
    <row r="412" customFormat="false" ht="14.9" hidden="false" customHeight="false" outlineLevel="0" collapsed="false">
      <c r="A412" s="74" t="n">
        <f aca="false">MONTH(B412)</f>
        <v>9</v>
      </c>
      <c r="B412" s="135" t="n">
        <v>44443</v>
      </c>
      <c r="C412" s="128" t="s">
        <v>152</v>
      </c>
      <c r="D412" s="77" t="str">
        <f aca="false">IFERROR(VLOOKUP(E:E,'Item Data Support Sheet'!A:O,7,0),"")</f>
        <v>NIPPLE MOLDED</v>
      </c>
      <c r="E412" s="80" t="s">
        <v>136</v>
      </c>
      <c r="F412" s="122" t="s">
        <v>137</v>
      </c>
      <c r="G412" s="137" t="s">
        <v>848</v>
      </c>
      <c r="H412" s="79" t="str">
        <f aca="false">IFERROR(VLOOKUP(E:E,'Item Data Support Sheet'!A:O,2,0),"")</f>
        <v>NIPPLE S TYPE M SIZE INJECTION</v>
      </c>
      <c r="I412" s="80" t="s">
        <v>920</v>
      </c>
      <c r="J412" s="80" t="s">
        <v>815</v>
      </c>
      <c r="K412" s="81" t="n">
        <v>8</v>
      </c>
      <c r="L412" s="124" t="n">
        <v>4815</v>
      </c>
      <c r="M412" s="83" t="n">
        <f aca="false">IFERROR(L412/K412,0)</f>
        <v>601.875</v>
      </c>
      <c r="N412" s="84" t="n">
        <f aca="false">+O412+Q412+T412+U412</f>
        <v>4294</v>
      </c>
      <c r="O412" s="85" t="n">
        <v>4200</v>
      </c>
      <c r="P412" s="86" t="n">
        <v>0.4</v>
      </c>
      <c r="Q412" s="86" t="n">
        <v>35</v>
      </c>
      <c r="R412" s="132" t="n">
        <v>0</v>
      </c>
      <c r="S412" s="128" t="n">
        <v>0</v>
      </c>
      <c r="T412" s="132" t="n">
        <v>51</v>
      </c>
      <c r="U412" s="128" t="n">
        <v>8</v>
      </c>
      <c r="V412" s="128" t="n">
        <v>1</v>
      </c>
      <c r="W412" s="90" t="n">
        <f aca="false">IFERROR(O412/V412,0)</f>
        <v>4200</v>
      </c>
      <c r="X412" s="91" t="n">
        <f aca="false">O412/L412</f>
        <v>0.872274143302181</v>
      </c>
      <c r="Y412" s="92" t="str">
        <f aca="false">IFERROR(VLOOKUP(E:E,'Item Data Support Sheet'!A:J,6,0),0)</f>
        <v>Silicon</v>
      </c>
      <c r="Z412" s="93" t="n">
        <f aca="false">IFERROR(VLOOKUP(E:E,'Item Data Support Sheet'!A:O,4,0),0)</f>
        <v>6.8</v>
      </c>
      <c r="AA412" s="93" t="n">
        <f aca="false">IFERROR(((N412)*(Z412/1000))+P412,0)</f>
        <v>29.5992</v>
      </c>
      <c r="AB412" s="94" t="n">
        <f aca="false">IFERROR((O412*(Z412/1000)/(AA412))," ")</f>
        <v>0.964890942998459</v>
      </c>
      <c r="AC412" s="95" t="n">
        <f aca="false">IFERROR((T412)/((T412)+O412),0)</f>
        <v>0.0119971771347918</v>
      </c>
      <c r="AD412" s="96" t="n">
        <f aca="false">IFERROR(Q412/(Q412+N412),0)</f>
        <v>0.00808500808500808</v>
      </c>
      <c r="AE412" s="91" t="n">
        <f aca="false">(N412-T412)/N412</f>
        <v>0.988122962272939</v>
      </c>
      <c r="AF412" s="97" t="n">
        <f aca="false">BR412</f>
        <v>0</v>
      </c>
      <c r="AG412" s="98" t="n">
        <f aca="false">K412-AF412</f>
        <v>8</v>
      </c>
      <c r="AH412" s="99" t="n">
        <f aca="false">IFERROR(AG412/K412," ")</f>
        <v>1</v>
      </c>
      <c r="AI412" s="100" t="n">
        <f aca="false">IFERROR(O412/K412,0)</f>
        <v>525</v>
      </c>
      <c r="AJ412" s="101" t="n">
        <f aca="false">VLOOKUP(D412,'Standard Cycle time'!C:D,2,0)</f>
        <v>5.25</v>
      </c>
      <c r="AK412" s="101" t="n">
        <f aca="false">AG412*V412*3600/O412</f>
        <v>6.85714285714286</v>
      </c>
      <c r="AL412" s="102" t="n">
        <f aca="false">AJ412/AK412</f>
        <v>0.765625</v>
      </c>
      <c r="AM412" s="99" t="n">
        <f aca="false">AE412*AL412*AH412</f>
        <v>0.756531642990219</v>
      </c>
      <c r="AN412" s="103" t="n">
        <v>2993</v>
      </c>
      <c r="AO412" s="112" t="s">
        <v>811</v>
      </c>
      <c r="AP412" s="105" t="n">
        <v>0</v>
      </c>
      <c r="AQ412" s="105" t="n">
        <v>0</v>
      </c>
      <c r="AR412" s="105" t="n">
        <v>0</v>
      </c>
      <c r="AS412" s="105" t="n">
        <v>0</v>
      </c>
      <c r="AT412" s="105" t="n">
        <v>0</v>
      </c>
      <c r="AU412" s="105" t="n">
        <v>0</v>
      </c>
      <c r="AV412" s="105" t="n">
        <v>0</v>
      </c>
      <c r="AW412" s="105" t="n">
        <v>0</v>
      </c>
      <c r="AX412" s="105" t="n">
        <v>0</v>
      </c>
      <c r="AY412" s="105" t="n">
        <v>0</v>
      </c>
      <c r="AZ412" s="105" t="n">
        <v>0</v>
      </c>
      <c r="BA412" s="105" t="n">
        <v>0</v>
      </c>
      <c r="BB412" s="105" t="n">
        <v>0</v>
      </c>
      <c r="BC412" s="105" t="n">
        <v>0</v>
      </c>
      <c r="BD412" s="105" t="n">
        <v>0</v>
      </c>
      <c r="BE412" s="105" t="n">
        <v>0</v>
      </c>
      <c r="BF412" s="105" t="n">
        <v>0</v>
      </c>
      <c r="BG412" s="105" t="n">
        <v>0</v>
      </c>
      <c r="BH412" s="105" t="n">
        <v>0</v>
      </c>
      <c r="BI412" s="105" t="n">
        <v>0</v>
      </c>
      <c r="BJ412" s="105" t="n">
        <v>0</v>
      </c>
      <c r="BK412" s="105" t="n">
        <v>0</v>
      </c>
      <c r="BL412" s="105" t="n">
        <v>0</v>
      </c>
      <c r="BM412" s="105" t="n">
        <v>0</v>
      </c>
      <c r="BN412" s="105" t="n">
        <v>0</v>
      </c>
      <c r="BO412" s="105" t="n">
        <v>0</v>
      </c>
      <c r="BP412" s="105" t="n">
        <v>0</v>
      </c>
      <c r="BQ412" s="105" t="n">
        <v>0</v>
      </c>
      <c r="BR412" s="106" t="n">
        <v>0</v>
      </c>
      <c r="BS412" s="106" t="n">
        <v>0</v>
      </c>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row>
    <row r="413" customFormat="false" ht="14.9" hidden="false" customHeight="false" outlineLevel="0" collapsed="false">
      <c r="A413" s="74" t="n">
        <f aca="false">MONTH(B413)</f>
        <v>9</v>
      </c>
      <c r="B413" s="135" t="n">
        <v>44445</v>
      </c>
      <c r="C413" s="128" t="s">
        <v>51</v>
      </c>
      <c r="D413" s="77" t="str">
        <f aca="false">IFERROR(VLOOKUP(E:E,'Item Data Support Sheet'!A:O,7,0),"")</f>
        <v>BOTTLE MOLDED</v>
      </c>
      <c r="E413" s="80" t="s">
        <v>215</v>
      </c>
      <c r="F413" s="122" t="s">
        <v>216</v>
      </c>
      <c r="G413" s="137" t="s">
        <v>80</v>
      </c>
      <c r="H413" s="79" t="str">
        <f aca="false">IFERROR(VLOOKUP(E:E,'Item Data Support Sheet'!A:O,2,0),"")</f>
        <v>KPP BOTTLE 200 ML MOULDED-WMG3B</v>
      </c>
      <c r="I413" s="80" t="s">
        <v>921</v>
      </c>
      <c r="J413" s="80" t="s">
        <v>148</v>
      </c>
      <c r="K413" s="81" t="n">
        <v>8</v>
      </c>
      <c r="L413" s="124" t="n">
        <v>2503</v>
      </c>
      <c r="M413" s="83" t="n">
        <f aca="false">IFERROR(L413/K413,0)</f>
        <v>312.875</v>
      </c>
      <c r="N413" s="84" t="n">
        <f aca="false">+O413+Q413+T413+U413</f>
        <v>1705</v>
      </c>
      <c r="O413" s="85" t="n">
        <v>1620</v>
      </c>
      <c r="P413" s="86" t="n">
        <v>0.12</v>
      </c>
      <c r="Q413" s="86" t="n">
        <v>40</v>
      </c>
      <c r="R413" s="132" t="n">
        <v>0</v>
      </c>
      <c r="S413" s="128" t="n">
        <v>0</v>
      </c>
      <c r="T413" s="132" t="n">
        <v>37</v>
      </c>
      <c r="U413" s="128" t="n">
        <v>8</v>
      </c>
      <c r="V413" s="128" t="n">
        <v>1</v>
      </c>
      <c r="W413" s="90" t="n">
        <f aca="false">IFERROR(O413/V413,0)</f>
        <v>1620</v>
      </c>
      <c r="X413" s="91" t="n">
        <f aca="false">O413/L413</f>
        <v>0.647223332001598</v>
      </c>
      <c r="Y413" s="92" t="str">
        <f aca="false">IFERROR(VLOOKUP(E:E,'Item Data Support Sheet'!A:J,6,0),0)</f>
        <v>WMG3B</v>
      </c>
      <c r="Z413" s="93" t="n">
        <f aca="false">IFERROR(VLOOKUP(E:E,'Item Data Support Sheet'!A:O,4,0),0)</f>
        <v>28.6</v>
      </c>
      <c r="AA413" s="93" t="n">
        <f aca="false">IFERROR(((N413)*(Z413/1000))+P413,0)</f>
        <v>48.883</v>
      </c>
      <c r="AB413" s="94" t="n">
        <f aca="false">IFERROR((O413*(Z413/1000)/(AA413))," ")</f>
        <v>0.947814168524845</v>
      </c>
      <c r="AC413" s="95" t="n">
        <f aca="false">IFERROR((T413)/((T413)+O413),0)</f>
        <v>0.0223295111647556</v>
      </c>
      <c r="AD413" s="96" t="n">
        <f aca="false">IFERROR(Q413/(Q413+N413),0)</f>
        <v>0.0229226361031519</v>
      </c>
      <c r="AE413" s="91" t="n">
        <f aca="false">(N413-T413)/N413</f>
        <v>0.978299120234604</v>
      </c>
      <c r="AF413" s="97" t="n">
        <f aca="false">BR413</f>
        <v>3.5</v>
      </c>
      <c r="AG413" s="98" t="n">
        <f aca="false">K413-AF413</f>
        <v>4.5</v>
      </c>
      <c r="AH413" s="99" t="n">
        <f aca="false">IFERROR(AG413/K413," ")</f>
        <v>0.5625</v>
      </c>
      <c r="AI413" s="100" t="n">
        <f aca="false">IFERROR(O413/K413,0)</f>
        <v>202.5</v>
      </c>
      <c r="AJ413" s="101" t="n">
        <f aca="false">VLOOKUP(D413,'Standard Cycle time'!C:D,2,0)</f>
        <v>9</v>
      </c>
      <c r="AK413" s="101" t="n">
        <f aca="false">AG413*V413*3600/O413</f>
        <v>10</v>
      </c>
      <c r="AL413" s="102" t="n">
        <f aca="false">AJ413/AK413</f>
        <v>0.9</v>
      </c>
      <c r="AM413" s="99" t="n">
        <f aca="false">AE413*AL413*AH413</f>
        <v>0.495263929618768</v>
      </c>
      <c r="AN413" s="103" t="s">
        <v>922</v>
      </c>
      <c r="AO413" s="112" t="s">
        <v>923</v>
      </c>
      <c r="AP413" s="105" t="n">
        <v>0</v>
      </c>
      <c r="AQ413" s="105" t="n">
        <v>0</v>
      </c>
      <c r="AR413" s="105" t="n">
        <v>150</v>
      </c>
      <c r="AS413" s="105" t="n">
        <v>0</v>
      </c>
      <c r="AT413" s="105" t="n">
        <v>0</v>
      </c>
      <c r="AU413" s="105" t="n">
        <v>0</v>
      </c>
      <c r="AV413" s="105" t="n">
        <v>60</v>
      </c>
      <c r="AW413" s="105" t="n">
        <v>0</v>
      </c>
      <c r="AX413" s="105" t="n">
        <v>0</v>
      </c>
      <c r="AY413" s="105" t="n">
        <v>0</v>
      </c>
      <c r="AZ413" s="105" t="n">
        <v>0</v>
      </c>
      <c r="BA413" s="105" t="n">
        <v>0</v>
      </c>
      <c r="BB413" s="105" t="n">
        <v>0</v>
      </c>
      <c r="BC413" s="105" t="n">
        <v>0</v>
      </c>
      <c r="BD413" s="105" t="n">
        <v>0</v>
      </c>
      <c r="BE413" s="105" t="n">
        <v>0</v>
      </c>
      <c r="BF413" s="105" t="n">
        <v>0</v>
      </c>
      <c r="BG413" s="105" t="n">
        <v>0</v>
      </c>
      <c r="BH413" s="105" t="n">
        <v>0</v>
      </c>
      <c r="BI413" s="105" t="n">
        <v>0</v>
      </c>
      <c r="BJ413" s="105" t="n">
        <v>0</v>
      </c>
      <c r="BK413" s="105" t="n">
        <v>0</v>
      </c>
      <c r="BL413" s="105" t="n">
        <v>0</v>
      </c>
      <c r="BM413" s="105" t="n">
        <v>0</v>
      </c>
      <c r="BN413" s="105" t="n">
        <v>0</v>
      </c>
      <c r="BO413" s="105" t="n">
        <v>0</v>
      </c>
      <c r="BP413" s="105" t="n">
        <v>0</v>
      </c>
      <c r="BQ413" s="105" t="n">
        <v>0</v>
      </c>
      <c r="BR413" s="106" t="n">
        <v>3.5</v>
      </c>
      <c r="BS413" s="106" t="n">
        <v>3.55833333333333</v>
      </c>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row>
    <row r="414" customFormat="false" ht="14.9" hidden="false" customHeight="false" outlineLevel="0" collapsed="false">
      <c r="A414" s="74" t="n">
        <f aca="false">MONTH(B414)</f>
        <v>9</v>
      </c>
      <c r="B414" s="135" t="n">
        <v>44445</v>
      </c>
      <c r="C414" s="128" t="s">
        <v>51</v>
      </c>
      <c r="D414" s="77" t="str">
        <f aca="false">IFERROR(VLOOKUP(E:E,'Item Data Support Sheet'!A:O,7,0),"")</f>
        <v>NIPPLE MOLDED</v>
      </c>
      <c r="E414" s="80" t="s">
        <v>136</v>
      </c>
      <c r="F414" s="122" t="s">
        <v>137</v>
      </c>
      <c r="G414" s="137" t="s">
        <v>848</v>
      </c>
      <c r="H414" s="79" t="str">
        <f aca="false">IFERROR(VLOOKUP(E:E,'Item Data Support Sheet'!A:O,2,0),"")</f>
        <v>NIPPLE S TYPE M SIZE INJECTION</v>
      </c>
      <c r="I414" s="80" t="s">
        <v>924</v>
      </c>
      <c r="J414" s="80" t="s">
        <v>148</v>
      </c>
      <c r="K414" s="81" t="n">
        <v>6.5</v>
      </c>
      <c r="L414" s="124" t="n">
        <v>3600</v>
      </c>
      <c r="M414" s="83" t="n">
        <f aca="false">IFERROR(L414/K414,0)</f>
        <v>553.846153846154</v>
      </c>
      <c r="N414" s="84" t="n">
        <f aca="false">+O414+Q414+T414+U414</f>
        <v>4155</v>
      </c>
      <c r="O414" s="85" t="n">
        <v>4000</v>
      </c>
      <c r="P414" s="86" t="n">
        <v>0.63</v>
      </c>
      <c r="Q414" s="86" t="n">
        <v>95</v>
      </c>
      <c r="R414" s="132" t="n">
        <v>0</v>
      </c>
      <c r="S414" s="128" t="n">
        <v>0</v>
      </c>
      <c r="T414" s="132" t="n">
        <v>52</v>
      </c>
      <c r="U414" s="128" t="n">
        <v>8</v>
      </c>
      <c r="V414" s="128" t="n">
        <v>1</v>
      </c>
      <c r="W414" s="90" t="n">
        <f aca="false">IFERROR(O414/V414,0)</f>
        <v>4000</v>
      </c>
      <c r="X414" s="91" t="n">
        <f aca="false">O414/L414</f>
        <v>1.11111111111111</v>
      </c>
      <c r="Y414" s="92" t="str">
        <f aca="false">IFERROR(VLOOKUP(E:E,'Item Data Support Sheet'!A:J,6,0),0)</f>
        <v>Silicon</v>
      </c>
      <c r="Z414" s="93" t="n">
        <f aca="false">IFERROR(VLOOKUP(E:E,'Item Data Support Sheet'!A:O,4,0),0)</f>
        <v>6.8</v>
      </c>
      <c r="AA414" s="93" t="n">
        <f aca="false">IFERROR(((N414)*(Z414/1000))+P414,0)</f>
        <v>28.884</v>
      </c>
      <c r="AB414" s="94" t="n">
        <f aca="false">IFERROR((O414*(Z414/1000)/(AA414))," ")</f>
        <v>0.941697825785902</v>
      </c>
      <c r="AC414" s="95" t="n">
        <f aca="false">IFERROR((T414)/((T414)+O414),0)</f>
        <v>0.0128331688055281</v>
      </c>
      <c r="AD414" s="96" t="n">
        <f aca="false">IFERROR(Q414/(Q414+N414),0)</f>
        <v>0.0223529411764706</v>
      </c>
      <c r="AE414" s="91" t="n">
        <f aca="false">(N414-T414)/N414</f>
        <v>0.98748495788207</v>
      </c>
      <c r="AF414" s="97" t="n">
        <f aca="false">BR414</f>
        <v>0</v>
      </c>
      <c r="AG414" s="98" t="n">
        <f aca="false">K414-AF414</f>
        <v>6.5</v>
      </c>
      <c r="AH414" s="99" t="n">
        <f aca="false">IFERROR(AG414/K414," ")</f>
        <v>1</v>
      </c>
      <c r="AI414" s="100" t="n">
        <f aca="false">IFERROR(O414/K414,0)</f>
        <v>615.384615384615</v>
      </c>
      <c r="AJ414" s="101" t="n">
        <f aca="false">VLOOKUP(D414,'Standard Cycle time'!C:D,2,0)</f>
        <v>5.25</v>
      </c>
      <c r="AK414" s="101" t="n">
        <f aca="false">AG414*V414*3600/O414</f>
        <v>5.85</v>
      </c>
      <c r="AL414" s="102" t="n">
        <f aca="false">AJ414/AK414</f>
        <v>0.897435897435897</v>
      </c>
      <c r="AM414" s="99" t="n">
        <f aca="false">AE414*AL414*AH414</f>
        <v>0.886204449381345</v>
      </c>
      <c r="AN414" s="103" t="n">
        <v>2996</v>
      </c>
      <c r="AO414" s="112" t="s">
        <v>925</v>
      </c>
      <c r="AP414" s="105" t="n">
        <v>0</v>
      </c>
      <c r="AQ414" s="105" t="n">
        <v>0</v>
      </c>
      <c r="AR414" s="105" t="n">
        <v>0</v>
      </c>
      <c r="AS414" s="105" t="n">
        <v>0</v>
      </c>
      <c r="AT414" s="105" t="n">
        <v>0</v>
      </c>
      <c r="AU414" s="105" t="n">
        <v>0</v>
      </c>
      <c r="AV414" s="105" t="n">
        <v>0</v>
      </c>
      <c r="AW414" s="105" t="n">
        <v>0</v>
      </c>
      <c r="AX414" s="105" t="n">
        <v>0</v>
      </c>
      <c r="AY414" s="105" t="n">
        <v>0</v>
      </c>
      <c r="AZ414" s="105" t="n">
        <v>0</v>
      </c>
      <c r="BA414" s="105" t="n">
        <v>0</v>
      </c>
      <c r="BB414" s="105" t="n">
        <v>0</v>
      </c>
      <c r="BC414" s="105" t="n">
        <v>0</v>
      </c>
      <c r="BD414" s="105" t="n">
        <v>0</v>
      </c>
      <c r="BE414" s="105" t="n">
        <v>0</v>
      </c>
      <c r="BF414" s="105" t="n">
        <v>0</v>
      </c>
      <c r="BG414" s="105" t="n">
        <v>0</v>
      </c>
      <c r="BH414" s="105" t="n">
        <v>0</v>
      </c>
      <c r="BI414" s="105" t="n">
        <v>0</v>
      </c>
      <c r="BJ414" s="105" t="n">
        <v>0</v>
      </c>
      <c r="BK414" s="105" t="n">
        <v>0</v>
      </c>
      <c r="BL414" s="105" t="n">
        <v>0</v>
      </c>
      <c r="BM414" s="105" t="n">
        <v>0</v>
      </c>
      <c r="BN414" s="105" t="n">
        <v>0</v>
      </c>
      <c r="BO414" s="105" t="n">
        <v>0</v>
      </c>
      <c r="BP414" s="105" t="n">
        <v>0</v>
      </c>
      <c r="BQ414" s="105" t="n">
        <v>0</v>
      </c>
      <c r="BR414" s="106" t="n">
        <v>0</v>
      </c>
      <c r="BS414" s="106" t="n">
        <v>0</v>
      </c>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row>
    <row r="415" customFormat="false" ht="14.9" hidden="false" customHeight="false" outlineLevel="0" collapsed="false">
      <c r="A415" s="74" t="n">
        <f aca="false">MONTH(B415)</f>
        <v>9</v>
      </c>
      <c r="B415" s="135" t="n">
        <v>44445</v>
      </c>
      <c r="C415" s="128" t="s">
        <v>51</v>
      </c>
      <c r="D415" s="77" t="str">
        <f aca="false">IFERROR(VLOOKUP(E:E,'Item Data Support Sheet'!A:O,7,0),"")</f>
        <v>HOOD MOLDED</v>
      </c>
      <c r="E415" s="80" t="s">
        <v>529</v>
      </c>
      <c r="F415" s="122"/>
      <c r="G415" s="137" t="s">
        <v>740</v>
      </c>
      <c r="H415" s="79" t="str">
        <f aca="false">IFERROR(VLOOKUP(E:E,'Item Data Support Sheet'!A:O,2,0),"")</f>
        <v>HOOD S TYPE MOLDED</v>
      </c>
      <c r="I415" s="80" t="s">
        <v>926</v>
      </c>
      <c r="J415" s="80" t="s">
        <v>148</v>
      </c>
      <c r="K415" s="81" t="n">
        <v>8</v>
      </c>
      <c r="L415" s="124" t="n">
        <v>4137</v>
      </c>
      <c r="M415" s="83" t="n">
        <f aca="false">IFERROR(L415/K415,0)</f>
        <v>517.125</v>
      </c>
      <c r="N415" s="84" t="n">
        <f aca="false">+O415+Q415+T415+U415</f>
        <v>4522</v>
      </c>
      <c r="O415" s="85" t="n">
        <v>4500</v>
      </c>
      <c r="P415" s="86" t="n">
        <v>0.15</v>
      </c>
      <c r="Q415" s="86" t="n">
        <v>12</v>
      </c>
      <c r="R415" s="132" t="n">
        <v>0</v>
      </c>
      <c r="S415" s="128" t="n">
        <v>0</v>
      </c>
      <c r="T415" s="132" t="n">
        <v>2</v>
      </c>
      <c r="U415" s="128" t="n">
        <v>8</v>
      </c>
      <c r="V415" s="128" t="n">
        <v>1</v>
      </c>
      <c r="W415" s="90" t="n">
        <f aca="false">IFERROR(O415/V415,0)</f>
        <v>4500</v>
      </c>
      <c r="X415" s="91" t="n">
        <f aca="false">O415/L415</f>
        <v>1.08774474256708</v>
      </c>
      <c r="Y415" s="92" t="str">
        <f aca="false">IFERROR(VLOOKUP(E:E,'Item Data Support Sheet'!A:J,6,0),0)</f>
        <v>HMC</v>
      </c>
      <c r="Z415" s="93" t="n">
        <f aca="false">IFERROR(VLOOKUP(E:E,'Item Data Support Sheet'!A:O,4,0),0)</f>
        <v>8.6</v>
      </c>
      <c r="AA415" s="93" t="n">
        <f aca="false">IFERROR(((N415)*(Z415/1000))+P415,0)</f>
        <v>39.0392</v>
      </c>
      <c r="AB415" s="94" t="n">
        <f aca="false">IFERROR((O415*(Z415/1000)/(AA415))," ")</f>
        <v>0.991311297362651</v>
      </c>
      <c r="AC415" s="95" t="n">
        <f aca="false">IFERROR((T415)/((T415)+O415),0)</f>
        <v>0.000444247001332741</v>
      </c>
      <c r="AD415" s="96" t="n">
        <f aca="false">IFERROR(Q415/(Q415+N415),0)</f>
        <v>0.00264666960741067</v>
      </c>
      <c r="AE415" s="91" t="n">
        <f aca="false">(N415-T415)/N415</f>
        <v>0.999557717823972</v>
      </c>
      <c r="AF415" s="97" t="n">
        <f aca="false">BR415</f>
        <v>0</v>
      </c>
      <c r="AG415" s="98" t="n">
        <f aca="false">K415-AF415</f>
        <v>8</v>
      </c>
      <c r="AH415" s="99" t="n">
        <f aca="false">IFERROR(AG415/K415," ")</f>
        <v>1</v>
      </c>
      <c r="AI415" s="100" t="n">
        <f aca="false">IFERROR(O415/K415,0)</f>
        <v>562.5</v>
      </c>
      <c r="AJ415" s="101" t="n">
        <f aca="false">VLOOKUP(D415,'Standard Cycle time'!C:D,2,0)</f>
        <v>6</v>
      </c>
      <c r="AK415" s="101" t="n">
        <f aca="false">AG415*V415*3600/O415</f>
        <v>6.4</v>
      </c>
      <c r="AL415" s="102" t="n">
        <f aca="false">AJ415/AK415</f>
        <v>0.9375</v>
      </c>
      <c r="AM415" s="99" t="n">
        <f aca="false">AE415*AL415*AH415</f>
        <v>0.937085360459973</v>
      </c>
      <c r="AN415" s="103" t="s">
        <v>927</v>
      </c>
      <c r="AO415" s="112"/>
      <c r="AP415" s="105" t="n">
        <v>0</v>
      </c>
      <c r="AQ415" s="105" t="n">
        <v>0</v>
      </c>
      <c r="AR415" s="105" t="n">
        <v>0</v>
      </c>
      <c r="AS415" s="105" t="n">
        <v>0</v>
      </c>
      <c r="AT415" s="105" t="n">
        <v>0</v>
      </c>
      <c r="AU415" s="105" t="n">
        <v>0</v>
      </c>
      <c r="AV415" s="105" t="n">
        <v>0</v>
      </c>
      <c r="AW415" s="105" t="n">
        <v>0</v>
      </c>
      <c r="AX415" s="105" t="n">
        <v>0</v>
      </c>
      <c r="AY415" s="105" t="n">
        <v>0</v>
      </c>
      <c r="AZ415" s="105" t="n">
        <v>0</v>
      </c>
      <c r="BA415" s="105" t="n">
        <v>0</v>
      </c>
      <c r="BB415" s="105" t="n">
        <v>0</v>
      </c>
      <c r="BC415" s="105" t="n">
        <v>0</v>
      </c>
      <c r="BD415" s="105" t="n">
        <v>0</v>
      </c>
      <c r="BE415" s="105" t="n">
        <v>0</v>
      </c>
      <c r="BF415" s="105" t="n">
        <v>0</v>
      </c>
      <c r="BG415" s="105" t="n">
        <v>0</v>
      </c>
      <c r="BH415" s="105" t="n">
        <v>0</v>
      </c>
      <c r="BI415" s="105" t="n">
        <v>0</v>
      </c>
      <c r="BJ415" s="105" t="n">
        <v>0</v>
      </c>
      <c r="BK415" s="105" t="n">
        <v>0</v>
      </c>
      <c r="BL415" s="105" t="n">
        <v>0</v>
      </c>
      <c r="BM415" s="105" t="n">
        <v>0</v>
      </c>
      <c r="BN415" s="105" t="n">
        <v>0</v>
      </c>
      <c r="BO415" s="105" t="n">
        <v>0</v>
      </c>
      <c r="BP415" s="105" t="n">
        <v>0</v>
      </c>
      <c r="BQ415" s="105" t="n">
        <v>0</v>
      </c>
      <c r="BR415" s="106" t="n">
        <v>0</v>
      </c>
      <c r="BS415" s="106" t="n">
        <v>0</v>
      </c>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row>
    <row r="416" customFormat="false" ht="14.9" hidden="false" customHeight="false" outlineLevel="0" collapsed="false">
      <c r="A416" s="74" t="n">
        <f aca="false">MONTH(B416)</f>
        <v>9</v>
      </c>
      <c r="B416" s="135" t="n">
        <v>44445</v>
      </c>
      <c r="C416" s="128" t="s">
        <v>51</v>
      </c>
      <c r="D416" s="77" t="str">
        <f aca="false">IFERROR(VLOOKUP(E:E,'Item Data Support Sheet'!A:O,7,0),"")</f>
        <v>NIPPLE POSTCURE</v>
      </c>
      <c r="E416" s="80" t="s">
        <v>62</v>
      </c>
      <c r="F416" s="122"/>
      <c r="G416" s="137"/>
      <c r="H416" s="79" t="str">
        <f aca="false">IFERROR(VLOOKUP(E:E,'Item Data Support Sheet'!A:O,2,0),"")</f>
        <v>NIPPLE S TYPE M SIZE POSTCURED</v>
      </c>
      <c r="I416" s="80" t="s">
        <v>928</v>
      </c>
      <c r="J416" s="80" t="s">
        <v>148</v>
      </c>
      <c r="K416" s="81" t="n">
        <v>6</v>
      </c>
      <c r="L416" s="124" t="n">
        <v>7500</v>
      </c>
      <c r="M416" s="83" t="n">
        <f aca="false">IFERROR(L416/K416,0)</f>
        <v>1250</v>
      </c>
      <c r="N416" s="84" t="n">
        <f aca="false">+O416+Q416+T416+U416</f>
        <v>7700</v>
      </c>
      <c r="O416" s="85" t="n">
        <v>7700</v>
      </c>
      <c r="P416" s="86" t="n">
        <v>0</v>
      </c>
      <c r="Q416" s="86" t="n">
        <v>0</v>
      </c>
      <c r="R416" s="132" t="n">
        <v>0</v>
      </c>
      <c r="S416" s="128" t="n">
        <v>0</v>
      </c>
      <c r="T416" s="132" t="n">
        <v>0</v>
      </c>
      <c r="U416" s="128" t="n">
        <v>0</v>
      </c>
      <c r="V416" s="128" t="n">
        <v>1</v>
      </c>
      <c r="W416" s="90" t="n">
        <f aca="false">IFERROR(O416/V416,0)</f>
        <v>7700</v>
      </c>
      <c r="X416" s="91" t="n">
        <f aca="false">O416/L416</f>
        <v>1.02666666666667</v>
      </c>
      <c r="Y416" s="92" t="str">
        <f aca="false">IFERROR(VLOOKUP(E:E,'Item Data Support Sheet'!A:J,6,0),0)</f>
        <v>FO012</v>
      </c>
      <c r="Z416" s="93" t="n">
        <f aca="false">IFERROR(VLOOKUP(E:E,'Item Data Support Sheet'!A:O,4,0),0)</f>
        <v>0</v>
      </c>
      <c r="AA416" s="93" t="n">
        <f aca="false">IFERROR(((N416)*(Z416/1000))+P416,0)</f>
        <v>0</v>
      </c>
      <c r="AB416" s="94" t="str">
        <f aca="false">IFERROR((O416*(Z416/1000)/(AA416))," ")</f>
        <v> </v>
      </c>
      <c r="AC416" s="95" t="n">
        <f aca="false">IFERROR((T416)/((T416)+O416),0)</f>
        <v>0</v>
      </c>
      <c r="AD416" s="96" t="n">
        <f aca="false">IFERROR(Q416/(Q416+N416),0)</f>
        <v>0</v>
      </c>
      <c r="AE416" s="91" t="n">
        <f aca="false">(N416-T416)/N416</f>
        <v>1</v>
      </c>
      <c r="AF416" s="97" t="n">
        <f aca="false">BR416</f>
        <v>1</v>
      </c>
      <c r="AG416" s="98" t="n">
        <f aca="false">K416-AF416</f>
        <v>5</v>
      </c>
      <c r="AH416" s="99" t="n">
        <f aca="false">IFERROR(AG416/K416," ")</f>
        <v>0.833333333333333</v>
      </c>
      <c r="AI416" s="100" t="n">
        <f aca="false">IFERROR(O416/K416,0)</f>
        <v>1283.33333333333</v>
      </c>
      <c r="AJ416" s="101" t="n">
        <f aca="false">VLOOKUP(D416,'Standard Cycle time'!C:D,2,0)</f>
        <v>2.3</v>
      </c>
      <c r="AK416" s="101" t="n">
        <f aca="false">AG416*V416*3600/O416</f>
        <v>2.33766233766234</v>
      </c>
      <c r="AL416" s="102" t="n">
        <f aca="false">AJ416/AK416</f>
        <v>0.983888888888889</v>
      </c>
      <c r="AM416" s="99" t="n">
        <f aca="false">AE416*AL416*AH416</f>
        <v>0.819907407407407</v>
      </c>
      <c r="AN416" s="103" t="s">
        <v>929</v>
      </c>
      <c r="AO416" s="112"/>
      <c r="AP416" s="105" t="n">
        <v>0</v>
      </c>
      <c r="AQ416" s="105" t="n">
        <v>0</v>
      </c>
      <c r="AR416" s="105" t="n">
        <v>0</v>
      </c>
      <c r="AS416" s="105" t="n">
        <v>60</v>
      </c>
      <c r="AT416" s="105" t="n">
        <v>0</v>
      </c>
      <c r="AU416" s="105" t="n">
        <v>0</v>
      </c>
      <c r="AV416" s="105" t="n">
        <v>0</v>
      </c>
      <c r="AW416" s="105" t="n">
        <v>0</v>
      </c>
      <c r="AX416" s="105" t="n">
        <v>0</v>
      </c>
      <c r="AY416" s="105" t="n">
        <v>0</v>
      </c>
      <c r="AZ416" s="105" t="n">
        <v>0</v>
      </c>
      <c r="BA416" s="105" t="n">
        <v>0</v>
      </c>
      <c r="BB416" s="105" t="n">
        <v>0</v>
      </c>
      <c r="BC416" s="105" t="n">
        <v>0</v>
      </c>
      <c r="BD416" s="105" t="n">
        <v>0</v>
      </c>
      <c r="BE416" s="105" t="n">
        <v>0</v>
      </c>
      <c r="BF416" s="105" t="n">
        <v>0</v>
      </c>
      <c r="BG416" s="105" t="n">
        <v>0</v>
      </c>
      <c r="BH416" s="105" t="n">
        <v>0</v>
      </c>
      <c r="BI416" s="105" t="n">
        <v>0</v>
      </c>
      <c r="BJ416" s="105" t="n">
        <v>0</v>
      </c>
      <c r="BK416" s="105" t="n">
        <v>0</v>
      </c>
      <c r="BL416" s="105" t="n">
        <v>0</v>
      </c>
      <c r="BM416" s="105" t="n">
        <v>0</v>
      </c>
      <c r="BN416" s="105" t="n">
        <v>0</v>
      </c>
      <c r="BO416" s="105" t="n">
        <v>0</v>
      </c>
      <c r="BP416" s="105" t="n">
        <v>0</v>
      </c>
      <c r="BQ416" s="105" t="n">
        <v>0</v>
      </c>
      <c r="BR416" s="106" t="n">
        <v>1</v>
      </c>
      <c r="BS416" s="106" t="n">
        <v>1.01666666666667</v>
      </c>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row>
    <row r="417" customFormat="false" ht="14.9" hidden="false" customHeight="false" outlineLevel="0" collapsed="false">
      <c r="A417" s="74" t="n">
        <f aca="false">MONTH(B417)</f>
        <v>9</v>
      </c>
      <c r="B417" s="135" t="n">
        <v>44445</v>
      </c>
      <c r="C417" s="128" t="s">
        <v>51</v>
      </c>
      <c r="D417" s="77" t="str">
        <f aca="false">IFERROR(VLOOKUP(E:E,'Item Data Support Sheet'!A:O,7,0),"")</f>
        <v>NIPPLE PUNCH</v>
      </c>
      <c r="E417" s="80" t="s">
        <v>60</v>
      </c>
      <c r="F417" s="122"/>
      <c r="G417" s="137" t="s">
        <v>54</v>
      </c>
      <c r="H417" s="79" t="str">
        <f aca="false">IFERROR(VLOOKUP(E:E,'Item Data Support Sheet'!A:O,2,0),"")</f>
        <v>NIPPLE S TYPE M SIZE PUNCHED</v>
      </c>
      <c r="I417" s="80" t="s">
        <v>930</v>
      </c>
      <c r="J417" s="80" t="s">
        <v>148</v>
      </c>
      <c r="K417" s="81" t="n">
        <v>8</v>
      </c>
      <c r="L417" s="124" t="n">
        <v>7000</v>
      </c>
      <c r="M417" s="83" t="n">
        <f aca="false">IFERROR(L417/K417,0)</f>
        <v>875</v>
      </c>
      <c r="N417" s="84" t="n">
        <f aca="false">+O417+Q417+T417+U417</f>
        <v>7300</v>
      </c>
      <c r="O417" s="85" t="n">
        <v>7300</v>
      </c>
      <c r="P417" s="86" t="n">
        <v>0</v>
      </c>
      <c r="Q417" s="86" t="n">
        <v>0</v>
      </c>
      <c r="R417" s="132" t="n">
        <v>0</v>
      </c>
      <c r="S417" s="128" t="n">
        <v>0</v>
      </c>
      <c r="T417" s="132" t="n">
        <v>0</v>
      </c>
      <c r="U417" s="128" t="n">
        <v>0</v>
      </c>
      <c r="V417" s="128" t="n">
        <v>1</v>
      </c>
      <c r="W417" s="90" t="n">
        <f aca="false">IFERROR(O417/V417,0)</f>
        <v>7300</v>
      </c>
      <c r="X417" s="91" t="n">
        <f aca="false">O417/L417</f>
        <v>1.04285714285714</v>
      </c>
      <c r="Y417" s="92" t="str">
        <f aca="false">IFERROR(VLOOKUP(E:E,'Item Data Support Sheet'!A:J,6,0),0)</f>
        <v>FO016</v>
      </c>
      <c r="Z417" s="93" t="n">
        <f aca="false">IFERROR(VLOOKUP(E:E,'Item Data Support Sheet'!A:O,4,0),0)</f>
        <v>0</v>
      </c>
      <c r="AA417" s="93" t="n">
        <f aca="false">IFERROR(((N417)*(Z417/1000))+P417,0)</f>
        <v>0</v>
      </c>
      <c r="AB417" s="94" t="str">
        <f aca="false">IFERROR((O417*(Z417/1000)/(AA417))," ")</f>
        <v> </v>
      </c>
      <c r="AC417" s="95" t="n">
        <f aca="false">IFERROR((T417)/((T417)+O417),0)</f>
        <v>0</v>
      </c>
      <c r="AD417" s="96" t="n">
        <f aca="false">IFERROR(Q417/(Q417+N417),0)</f>
        <v>0</v>
      </c>
      <c r="AE417" s="91" t="n">
        <f aca="false">(N417-T417)/N417</f>
        <v>1</v>
      </c>
      <c r="AF417" s="97" t="n">
        <f aca="false">BR417</f>
        <v>0</v>
      </c>
      <c r="AG417" s="98" t="n">
        <f aca="false">K417-AF417</f>
        <v>8</v>
      </c>
      <c r="AH417" s="99" t="n">
        <f aca="false">IFERROR(AG417/K417," ")</f>
        <v>1</v>
      </c>
      <c r="AI417" s="100" t="n">
        <f aca="false">IFERROR(O417/K417,0)</f>
        <v>912.5</v>
      </c>
      <c r="AJ417" s="101" t="n">
        <f aca="false">VLOOKUP(D417,'Standard Cycle time'!C:D,2,0)</f>
        <v>3.5</v>
      </c>
      <c r="AK417" s="101" t="n">
        <f aca="false">AG417*V417*3600/O417</f>
        <v>3.94520547945205</v>
      </c>
      <c r="AL417" s="102" t="n">
        <f aca="false">AJ417/AK417</f>
        <v>0.887152777777778</v>
      </c>
      <c r="AM417" s="99" t="n">
        <f aca="false">AE417*AL417*AH417</f>
        <v>0.887152777777778</v>
      </c>
      <c r="AN417" s="103" t="s">
        <v>931</v>
      </c>
      <c r="AO417" s="112"/>
      <c r="AP417" s="105" t="n">
        <v>0</v>
      </c>
      <c r="AQ417" s="105" t="n">
        <v>0</v>
      </c>
      <c r="AR417" s="105" t="n">
        <v>0</v>
      </c>
      <c r="AS417" s="105" t="n">
        <v>0</v>
      </c>
      <c r="AT417" s="105" t="n">
        <v>0</v>
      </c>
      <c r="AU417" s="105" t="n">
        <v>0</v>
      </c>
      <c r="AV417" s="105" t="n">
        <v>0</v>
      </c>
      <c r="AW417" s="105" t="n">
        <v>0</v>
      </c>
      <c r="AX417" s="105" t="n">
        <v>0</v>
      </c>
      <c r="AY417" s="105" t="n">
        <v>0</v>
      </c>
      <c r="AZ417" s="105" t="n">
        <v>0</v>
      </c>
      <c r="BA417" s="105" t="n">
        <v>0</v>
      </c>
      <c r="BB417" s="105" t="n">
        <v>0</v>
      </c>
      <c r="BC417" s="105" t="n">
        <v>0</v>
      </c>
      <c r="BD417" s="105" t="n">
        <v>0</v>
      </c>
      <c r="BE417" s="105" t="n">
        <v>0</v>
      </c>
      <c r="BF417" s="105" t="n">
        <v>0</v>
      </c>
      <c r="BG417" s="105" t="n">
        <v>0</v>
      </c>
      <c r="BH417" s="105" t="n">
        <v>0</v>
      </c>
      <c r="BI417" s="105" t="n">
        <v>0</v>
      </c>
      <c r="BJ417" s="105" t="n">
        <v>0</v>
      </c>
      <c r="BK417" s="105" t="n">
        <v>0</v>
      </c>
      <c r="BL417" s="105" t="n">
        <v>0</v>
      </c>
      <c r="BM417" s="105" t="n">
        <v>0</v>
      </c>
      <c r="BN417" s="105" t="n">
        <v>0</v>
      </c>
      <c r="BO417" s="105" t="n">
        <v>0</v>
      </c>
      <c r="BP417" s="105" t="n">
        <v>0</v>
      </c>
      <c r="BQ417" s="105" t="n">
        <v>0</v>
      </c>
      <c r="BR417" s="106" t="n">
        <v>0</v>
      </c>
      <c r="BS417" s="106" t="n">
        <v>0</v>
      </c>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row>
    <row r="418" customFormat="false" ht="14.9" hidden="false" customHeight="false" outlineLevel="0" collapsed="false">
      <c r="A418" s="74" t="n">
        <f aca="false">MONTH(B418)</f>
        <v>9</v>
      </c>
      <c r="B418" s="135" t="n">
        <v>44445</v>
      </c>
      <c r="C418" s="128" t="s">
        <v>51</v>
      </c>
      <c r="D418" s="77" t="str">
        <f aca="false">IFERROR(VLOOKUP(E:E,'Item Data Support Sheet'!A:O,7,0),"")</f>
        <v>NIPPLE LASER MARKING</v>
      </c>
      <c r="E418" s="80" t="s">
        <v>932</v>
      </c>
      <c r="F418" s="122"/>
      <c r="G418" s="137" t="s">
        <v>517</v>
      </c>
      <c r="H418" s="79" t="str">
        <f aca="false">IFERROR(VLOOKUP(E:E,'Item Data Support Sheet'!A:O,2,0),"")</f>
        <v>NIPPLE S TYPE M SIZE PUNCHED LASER MARKED</v>
      </c>
      <c r="I418" s="80" t="s">
        <v>933</v>
      </c>
      <c r="J418" s="80" t="s">
        <v>148</v>
      </c>
      <c r="K418" s="81" t="n">
        <v>1</v>
      </c>
      <c r="L418" s="124" t="n">
        <v>1000</v>
      </c>
      <c r="M418" s="83" t="n">
        <f aca="false">IFERROR(L418/K418,0)</f>
        <v>1000</v>
      </c>
      <c r="N418" s="84" t="n">
        <f aca="false">+O418+Q418+T418+U418</f>
        <v>1000</v>
      </c>
      <c r="O418" s="85" t="n">
        <v>1000</v>
      </c>
      <c r="P418" s="86" t="n">
        <v>0</v>
      </c>
      <c r="Q418" s="86" t="n">
        <v>0</v>
      </c>
      <c r="R418" s="132" t="n">
        <v>0</v>
      </c>
      <c r="S418" s="128" t="n">
        <v>0</v>
      </c>
      <c r="T418" s="132" t="n">
        <v>0</v>
      </c>
      <c r="U418" s="128" t="n">
        <v>0</v>
      </c>
      <c r="V418" s="128" t="n">
        <v>1</v>
      </c>
      <c r="W418" s="90" t="n">
        <f aca="false">IFERROR(O418/V418,0)</f>
        <v>1000</v>
      </c>
      <c r="X418" s="91" t="n">
        <f aca="false">O418/L418</f>
        <v>1</v>
      </c>
      <c r="Y418" s="92" t="str">
        <f aca="false">IFERROR(VLOOKUP(E:E,'Item Data Support Sheet'!A:J,6,0),0)</f>
        <v>FO020</v>
      </c>
      <c r="Z418" s="93" t="n">
        <f aca="false">IFERROR(VLOOKUP(E:E,'Item Data Support Sheet'!A:O,4,0),0)</f>
        <v>0</v>
      </c>
      <c r="AA418" s="93" t="n">
        <f aca="false">IFERROR(((N418)*(Z418/1000))+P418,0)</f>
        <v>0</v>
      </c>
      <c r="AB418" s="94" t="str">
        <f aca="false">IFERROR((O418*(Z418/1000)/(AA418))," ")</f>
        <v> </v>
      </c>
      <c r="AC418" s="95" t="n">
        <f aca="false">IFERROR((T418)/((T418)+O418),0)</f>
        <v>0</v>
      </c>
      <c r="AD418" s="96" t="n">
        <f aca="false">IFERROR(Q418/(Q418+N418),0)</f>
        <v>0</v>
      </c>
      <c r="AE418" s="91" t="n">
        <f aca="false">(N418-T418)/N418</f>
        <v>1</v>
      </c>
      <c r="AF418" s="97" t="n">
        <f aca="false">BR418</f>
        <v>0</v>
      </c>
      <c r="AG418" s="98" t="n">
        <f aca="false">K418-AF418</f>
        <v>1</v>
      </c>
      <c r="AH418" s="99" t="n">
        <f aca="false">IFERROR(AG418/K418," ")</f>
        <v>1</v>
      </c>
      <c r="AI418" s="100" t="n">
        <f aca="false">IFERROR(O418/K418,0)</f>
        <v>1000</v>
      </c>
      <c r="AJ418" s="101" t="n">
        <f aca="false">VLOOKUP(D418,'Standard Cycle time'!C:D,2,0)</f>
        <v>3.5</v>
      </c>
      <c r="AK418" s="101" t="n">
        <f aca="false">AG418*V418*3600/O418</f>
        <v>3.6</v>
      </c>
      <c r="AL418" s="102" t="n">
        <f aca="false">AJ418/AK418</f>
        <v>0.972222222222222</v>
      </c>
      <c r="AM418" s="99" t="n">
        <f aca="false">AE418*AL418*AH418</f>
        <v>0.972222222222222</v>
      </c>
      <c r="AN418" s="103" t="s">
        <v>934</v>
      </c>
      <c r="AO418" s="112" t="s">
        <v>935</v>
      </c>
      <c r="AP418" s="105" t="n">
        <v>0</v>
      </c>
      <c r="AQ418" s="105" t="n">
        <v>0</v>
      </c>
      <c r="AR418" s="105" t="n">
        <v>0</v>
      </c>
      <c r="AS418" s="105" t="n">
        <v>0</v>
      </c>
      <c r="AT418" s="105" t="n">
        <v>0</v>
      </c>
      <c r="AU418" s="105" t="n">
        <v>0</v>
      </c>
      <c r="AV418" s="105" t="n">
        <v>0</v>
      </c>
      <c r="AW418" s="105" t="n">
        <v>0</v>
      </c>
      <c r="AX418" s="105" t="n">
        <v>0</v>
      </c>
      <c r="AY418" s="105" t="n">
        <v>0</v>
      </c>
      <c r="AZ418" s="105" t="n">
        <v>0</v>
      </c>
      <c r="BA418" s="105" t="n">
        <v>0</v>
      </c>
      <c r="BB418" s="105" t="n">
        <v>0</v>
      </c>
      <c r="BC418" s="105" t="n">
        <v>0</v>
      </c>
      <c r="BD418" s="105" t="n">
        <v>0</v>
      </c>
      <c r="BE418" s="105" t="n">
        <v>0</v>
      </c>
      <c r="BF418" s="105" t="n">
        <v>0</v>
      </c>
      <c r="BG418" s="105" t="n">
        <v>0</v>
      </c>
      <c r="BH418" s="105" t="n">
        <v>0</v>
      </c>
      <c r="BI418" s="105" t="n">
        <v>0</v>
      </c>
      <c r="BJ418" s="105" t="n">
        <v>0</v>
      </c>
      <c r="BK418" s="105" t="n">
        <v>0</v>
      </c>
      <c r="BL418" s="105" t="n">
        <v>0</v>
      </c>
      <c r="BM418" s="105" t="n">
        <v>0</v>
      </c>
      <c r="BN418" s="105" t="n">
        <v>0</v>
      </c>
      <c r="BO418" s="105" t="n">
        <v>0</v>
      </c>
      <c r="BP418" s="105" t="n">
        <v>0</v>
      </c>
      <c r="BQ418" s="105" t="n">
        <v>0</v>
      </c>
      <c r="BR418" s="106" t="n">
        <v>0</v>
      </c>
      <c r="BS418" s="106" t="n">
        <v>0</v>
      </c>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row>
    <row r="419" customFormat="false" ht="14.9" hidden="false" customHeight="false" outlineLevel="0" collapsed="false">
      <c r="A419" s="74" t="n">
        <f aca="false">MONTH(B419)</f>
        <v>9</v>
      </c>
      <c r="B419" s="135" t="n">
        <v>44445</v>
      </c>
      <c r="C419" s="128" t="s">
        <v>51</v>
      </c>
      <c r="D419" s="77" t="str">
        <f aca="false">IFERROR(VLOOKUP(E:E,'Item Data Support Sheet'!A:O,7,0),"")</f>
        <v>NIPPLE LASER MARKING</v>
      </c>
      <c r="E419" s="80" t="s">
        <v>885</v>
      </c>
      <c r="F419" s="122"/>
      <c r="G419" s="137" t="s">
        <v>517</v>
      </c>
      <c r="H419" s="79" t="str">
        <f aca="false">IFERROR(VLOOKUP(E:E,'Item Data Support Sheet'!A:O,2,0),"")</f>
        <v>NIPPLE S TYPE Y SIZE PUNCHED LASER MARKED</v>
      </c>
      <c r="I419" s="80" t="s">
        <v>936</v>
      </c>
      <c r="J419" s="80" t="s">
        <v>148</v>
      </c>
      <c r="K419" s="81" t="n">
        <v>1</v>
      </c>
      <c r="L419" s="124" t="n">
        <v>1000</v>
      </c>
      <c r="M419" s="83" t="n">
        <f aca="false">IFERROR(L419/K419,0)</f>
        <v>1000</v>
      </c>
      <c r="N419" s="84" t="n">
        <f aca="false">+O419+Q419+T419+U419</f>
        <v>1000</v>
      </c>
      <c r="O419" s="85" t="n">
        <v>1000</v>
      </c>
      <c r="P419" s="86" t="n">
        <v>0</v>
      </c>
      <c r="Q419" s="86" t="n">
        <v>0</v>
      </c>
      <c r="R419" s="132" t="n">
        <v>0</v>
      </c>
      <c r="S419" s="128" t="n">
        <v>0</v>
      </c>
      <c r="T419" s="132" t="n">
        <v>0</v>
      </c>
      <c r="U419" s="128" t="n">
        <v>0</v>
      </c>
      <c r="V419" s="128" t="n">
        <v>1</v>
      </c>
      <c r="W419" s="90" t="n">
        <f aca="false">IFERROR(O419/V419,0)</f>
        <v>1000</v>
      </c>
      <c r="X419" s="91" t="n">
        <f aca="false">O419/L419</f>
        <v>1</v>
      </c>
      <c r="Y419" s="92" t="str">
        <f aca="false">IFERROR(VLOOKUP(E:E,'Item Data Support Sheet'!A:J,6,0),0)</f>
        <v>FO022</v>
      </c>
      <c r="Z419" s="93" t="n">
        <f aca="false">IFERROR(VLOOKUP(E:E,'Item Data Support Sheet'!A:O,4,0),0)</f>
        <v>0</v>
      </c>
      <c r="AA419" s="93" t="n">
        <f aca="false">IFERROR(((N419)*(Z419/1000))+P419,0)</f>
        <v>0</v>
      </c>
      <c r="AB419" s="94" t="str">
        <f aca="false">IFERROR((O419*(Z419/1000)/(AA419))," ")</f>
        <v> </v>
      </c>
      <c r="AC419" s="95" t="n">
        <f aca="false">IFERROR((T419)/((T419)+O419),0)</f>
        <v>0</v>
      </c>
      <c r="AD419" s="96" t="n">
        <f aca="false">IFERROR(Q419/(Q419+N419),0)</f>
        <v>0</v>
      </c>
      <c r="AE419" s="91" t="n">
        <f aca="false">(N419-T419)/N419</f>
        <v>1</v>
      </c>
      <c r="AF419" s="97" t="n">
        <f aca="false">BR419</f>
        <v>0</v>
      </c>
      <c r="AG419" s="98" t="n">
        <f aca="false">K419-AF419</f>
        <v>1</v>
      </c>
      <c r="AH419" s="99" t="n">
        <f aca="false">IFERROR(AG419/K419," ")</f>
        <v>1</v>
      </c>
      <c r="AI419" s="100" t="n">
        <f aca="false">IFERROR(O419/K419,0)</f>
        <v>1000</v>
      </c>
      <c r="AJ419" s="101" t="n">
        <f aca="false">VLOOKUP(D419,'Standard Cycle time'!C:D,2,0)</f>
        <v>3.5</v>
      </c>
      <c r="AK419" s="101" t="n">
        <f aca="false">AG419*V419*3600/O419</f>
        <v>3.6</v>
      </c>
      <c r="AL419" s="102" t="n">
        <f aca="false">AJ419/AK419</f>
        <v>0.972222222222222</v>
      </c>
      <c r="AM419" s="99" t="n">
        <f aca="false">AE419*AL419*AH419</f>
        <v>0.972222222222222</v>
      </c>
      <c r="AN419" s="103" t="n">
        <v>3005</v>
      </c>
      <c r="AO419" s="112" t="s">
        <v>935</v>
      </c>
      <c r="AP419" s="105" t="n">
        <v>0</v>
      </c>
      <c r="AQ419" s="105" t="n">
        <v>0</v>
      </c>
      <c r="AR419" s="105" t="n">
        <v>0</v>
      </c>
      <c r="AS419" s="105" t="n">
        <v>0</v>
      </c>
      <c r="AT419" s="105" t="n">
        <v>0</v>
      </c>
      <c r="AU419" s="105" t="n">
        <v>0</v>
      </c>
      <c r="AV419" s="105" t="n">
        <v>0</v>
      </c>
      <c r="AW419" s="105" t="n">
        <v>0</v>
      </c>
      <c r="AX419" s="105" t="n">
        <v>0</v>
      </c>
      <c r="AY419" s="105" t="n">
        <v>0</v>
      </c>
      <c r="AZ419" s="105" t="n">
        <v>0</v>
      </c>
      <c r="BA419" s="105" t="n">
        <v>0</v>
      </c>
      <c r="BB419" s="105" t="n">
        <v>0</v>
      </c>
      <c r="BC419" s="105" t="n">
        <v>0</v>
      </c>
      <c r="BD419" s="105" t="n">
        <v>0</v>
      </c>
      <c r="BE419" s="105" t="n">
        <v>0</v>
      </c>
      <c r="BF419" s="105" t="n">
        <v>0</v>
      </c>
      <c r="BG419" s="105" t="n">
        <v>0</v>
      </c>
      <c r="BH419" s="105" t="n">
        <v>0</v>
      </c>
      <c r="BI419" s="105" t="n">
        <v>0</v>
      </c>
      <c r="BJ419" s="105" t="n">
        <v>0</v>
      </c>
      <c r="BK419" s="105" t="n">
        <v>0</v>
      </c>
      <c r="BL419" s="105" t="n">
        <v>0</v>
      </c>
      <c r="BM419" s="105" t="n">
        <v>0</v>
      </c>
      <c r="BN419" s="105" t="n">
        <v>0</v>
      </c>
      <c r="BO419" s="105" t="n">
        <v>0</v>
      </c>
      <c r="BP419" s="105" t="n">
        <v>0</v>
      </c>
      <c r="BQ419" s="105" t="n">
        <v>0</v>
      </c>
      <c r="BR419" s="106" t="n">
        <v>0</v>
      </c>
      <c r="BS419" s="106" t="n">
        <v>0</v>
      </c>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row>
    <row r="420" customFormat="false" ht="14.9" hidden="false" customHeight="false" outlineLevel="0" collapsed="false">
      <c r="A420" s="74" t="n">
        <f aca="false">MONTH(B420)</f>
        <v>9</v>
      </c>
      <c r="B420" s="135" t="n">
        <v>44445</v>
      </c>
      <c r="C420" s="128" t="s">
        <v>63</v>
      </c>
      <c r="D420" s="77" t="str">
        <f aca="false">IFERROR(VLOOKUP(E:E,'Item Data Support Sheet'!A:O,7,0),"")</f>
        <v>NIPPLE WRAP PRINTED</v>
      </c>
      <c r="E420" s="80" t="s">
        <v>937</v>
      </c>
      <c r="F420" s="122"/>
      <c r="G420" s="137" t="s">
        <v>432</v>
      </c>
      <c r="H420" s="79" t="str">
        <f aca="false">IFERROR(VLOOKUP(E:E,'Item Data Support Sheet'!A:O,2,0),"")</f>
        <v>NIPPLE S TYPE Y SIZE WITH PRINTED WRAP</v>
      </c>
      <c r="I420" s="80" t="s">
        <v>886</v>
      </c>
      <c r="J420" s="80" t="s">
        <v>143</v>
      </c>
      <c r="K420" s="81" t="n">
        <v>1</v>
      </c>
      <c r="L420" s="124" t="n">
        <v>1000</v>
      </c>
      <c r="M420" s="83" t="n">
        <f aca="false">IFERROR(L420/K420,0)</f>
        <v>1000</v>
      </c>
      <c r="N420" s="84" t="n">
        <f aca="false">+O420+Q420+T420+U420</f>
        <v>997</v>
      </c>
      <c r="O420" s="85" t="n">
        <v>997</v>
      </c>
      <c r="P420" s="86" t="n">
        <v>0</v>
      </c>
      <c r="Q420" s="86" t="n">
        <v>0</v>
      </c>
      <c r="R420" s="132" t="n">
        <v>0</v>
      </c>
      <c r="S420" s="128" t="n">
        <v>0</v>
      </c>
      <c r="T420" s="132" t="n">
        <v>0</v>
      </c>
      <c r="U420" s="128" t="n">
        <v>0</v>
      </c>
      <c r="V420" s="128" t="n">
        <v>2</v>
      </c>
      <c r="W420" s="90" t="n">
        <f aca="false">IFERROR(O420/V420,0)</f>
        <v>498.5</v>
      </c>
      <c r="X420" s="91" t="n">
        <f aca="false">O420/L420</f>
        <v>0.997</v>
      </c>
      <c r="Y420" s="92" t="str">
        <f aca="false">IFERROR(VLOOKUP(E:E,'Item Data Support Sheet'!A:J,6,0),0)</f>
        <v>FO022</v>
      </c>
      <c r="Z420" s="93" t="n">
        <f aca="false">IFERROR(VLOOKUP(E:E,'Item Data Support Sheet'!A:O,4,0),0)</f>
        <v>0</v>
      </c>
      <c r="AA420" s="93" t="n">
        <f aca="false">IFERROR(((N420)*(Z420/1000))+P420,0)</f>
        <v>0</v>
      </c>
      <c r="AB420" s="94" t="str">
        <f aca="false">IFERROR((O420*(Z420/1000)/(AA420))," ")</f>
        <v> </v>
      </c>
      <c r="AC420" s="95" t="n">
        <f aca="false">IFERROR((T420)/((T420)+O420),0)</f>
        <v>0</v>
      </c>
      <c r="AD420" s="96" t="n">
        <f aca="false">IFERROR(Q420/(Q420+N420),0)</f>
        <v>0</v>
      </c>
      <c r="AE420" s="91" t="n">
        <f aca="false">(N420-T420)/N420</f>
        <v>1</v>
      </c>
      <c r="AF420" s="97" t="n">
        <f aca="false">BR420</f>
        <v>0.5</v>
      </c>
      <c r="AG420" s="98" t="n">
        <f aca="false">K420-AF420</f>
        <v>0.5</v>
      </c>
      <c r="AH420" s="99" t="n">
        <f aca="false">IFERROR(AG420/K420," ")</f>
        <v>0.5</v>
      </c>
      <c r="AI420" s="100" t="n">
        <f aca="false">IFERROR(O420/K420,0)</f>
        <v>997</v>
      </c>
      <c r="AJ420" s="101" t="n">
        <f aca="false">VLOOKUP(D420,'Standard Cycle time'!C:D,2,0)</f>
        <v>2.5</v>
      </c>
      <c r="AK420" s="101" t="n">
        <f aca="false">AG420*V420*3600/O420</f>
        <v>3.61083249749248</v>
      </c>
      <c r="AL420" s="102" t="n">
        <f aca="false">AJ420/AK420</f>
        <v>0.692361111111111</v>
      </c>
      <c r="AM420" s="99" t="n">
        <f aca="false">AE420*AL420*AH420</f>
        <v>0.346180555555556</v>
      </c>
      <c r="AN420" s="103" t="n">
        <v>3015</v>
      </c>
      <c r="AO420" s="112" t="s">
        <v>938</v>
      </c>
      <c r="AP420" s="105" t="n">
        <v>0</v>
      </c>
      <c r="AQ420" s="105" t="n">
        <v>0</v>
      </c>
      <c r="AR420" s="105" t="n">
        <v>0</v>
      </c>
      <c r="AS420" s="105" t="n">
        <v>0</v>
      </c>
      <c r="AT420" s="105" t="n">
        <v>0</v>
      </c>
      <c r="AU420" s="105" t="n">
        <v>0</v>
      </c>
      <c r="AV420" s="105" t="n">
        <v>30</v>
      </c>
      <c r="AW420" s="105" t="n">
        <v>0</v>
      </c>
      <c r="AX420" s="105" t="n">
        <v>0</v>
      </c>
      <c r="AY420" s="105" t="n">
        <v>0</v>
      </c>
      <c r="AZ420" s="105" t="n">
        <v>0</v>
      </c>
      <c r="BA420" s="105" t="n">
        <v>0</v>
      </c>
      <c r="BB420" s="105" t="n">
        <v>0</v>
      </c>
      <c r="BC420" s="105" t="n">
        <v>0</v>
      </c>
      <c r="BD420" s="105" t="n">
        <v>0</v>
      </c>
      <c r="BE420" s="105" t="n">
        <v>0</v>
      </c>
      <c r="BF420" s="105" t="n">
        <v>0</v>
      </c>
      <c r="BG420" s="105" t="n">
        <v>0</v>
      </c>
      <c r="BH420" s="105" t="n">
        <v>0</v>
      </c>
      <c r="BI420" s="105" t="n">
        <v>0</v>
      </c>
      <c r="BJ420" s="105" t="n">
        <v>0</v>
      </c>
      <c r="BK420" s="105" t="n">
        <v>0</v>
      </c>
      <c r="BL420" s="105" t="n">
        <v>0</v>
      </c>
      <c r="BM420" s="105" t="n">
        <v>0</v>
      </c>
      <c r="BN420" s="105" t="n">
        <v>0</v>
      </c>
      <c r="BO420" s="105" t="n">
        <v>0</v>
      </c>
      <c r="BP420" s="105" t="n">
        <v>0</v>
      </c>
      <c r="BQ420" s="105" t="n">
        <v>0</v>
      </c>
      <c r="BR420" s="106" t="n">
        <v>0.5</v>
      </c>
      <c r="BS420" s="106" t="n">
        <v>0.508333333333333</v>
      </c>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row>
    <row r="421" customFormat="false" ht="14.9" hidden="false" customHeight="false" outlineLevel="0" collapsed="false">
      <c r="A421" s="74" t="n">
        <f aca="false">MONTH(B421)</f>
        <v>9</v>
      </c>
      <c r="B421" s="135" t="n">
        <v>44445</v>
      </c>
      <c r="C421" s="128" t="s">
        <v>63</v>
      </c>
      <c r="D421" s="77" t="str">
        <f aca="false">IFERROR(VLOOKUP(E:E,'Item Data Support Sheet'!A:O,7,0),"")</f>
        <v>NIPPLE PUNCH INSPECTED</v>
      </c>
      <c r="E421" s="80" t="s">
        <v>182</v>
      </c>
      <c r="F421" s="122"/>
      <c r="G421" s="137"/>
      <c r="H421" s="79" t="str">
        <f aca="false">IFERROR(VLOOKUP(E:E,'Item Data Support Sheet'!A:O,2,0),"")</f>
        <v>NIPPLE S TYPE M SIZE PUNCHED INSPECTED</v>
      </c>
      <c r="I421" s="80" t="s">
        <v>939</v>
      </c>
      <c r="J421" s="80" t="s">
        <v>143</v>
      </c>
      <c r="K421" s="81" t="n">
        <v>3.5</v>
      </c>
      <c r="L421" s="124" t="n">
        <v>7000</v>
      </c>
      <c r="M421" s="83" t="n">
        <f aca="false">IFERROR(L421/K421,0)</f>
        <v>2000</v>
      </c>
      <c r="N421" s="84" t="n">
        <f aca="false">+O421+Q421+T421+U421</f>
        <v>3200</v>
      </c>
      <c r="O421" s="85" t="n">
        <v>3200</v>
      </c>
      <c r="P421" s="86" t="n">
        <v>0</v>
      </c>
      <c r="Q421" s="86" t="n">
        <v>0</v>
      </c>
      <c r="R421" s="132" t="n">
        <v>0</v>
      </c>
      <c r="S421" s="128" t="n">
        <v>0</v>
      </c>
      <c r="T421" s="132" t="n">
        <v>0</v>
      </c>
      <c r="U421" s="128" t="n">
        <v>0</v>
      </c>
      <c r="V421" s="128" t="n">
        <v>2</v>
      </c>
      <c r="W421" s="90" t="n">
        <f aca="false">IFERROR(O421/V421,0)</f>
        <v>1600</v>
      </c>
      <c r="X421" s="91" t="n">
        <f aca="false">O421/L421</f>
        <v>0.457142857142857</v>
      </c>
      <c r="Y421" s="92" t="str">
        <f aca="false">IFERROR(VLOOKUP(E:E,'Item Data Support Sheet'!A:J,6,0),0)</f>
        <v>FO105</v>
      </c>
      <c r="Z421" s="93" t="n">
        <f aca="false">IFERROR(VLOOKUP(E:E,'Item Data Support Sheet'!A:O,4,0),0)</f>
        <v>0</v>
      </c>
      <c r="AA421" s="93" t="n">
        <f aca="false">IFERROR(((N421)*(Z421/1000))+P421,0)</f>
        <v>0</v>
      </c>
      <c r="AB421" s="94" t="str">
        <f aca="false">IFERROR((O421*(Z421/1000)/(AA421))," ")</f>
        <v> </v>
      </c>
      <c r="AC421" s="95" t="n">
        <f aca="false">IFERROR((T421)/((T421)+O421),0)</f>
        <v>0</v>
      </c>
      <c r="AD421" s="96" t="n">
        <f aca="false">IFERROR(Q421/(Q421+N421),0)</f>
        <v>0</v>
      </c>
      <c r="AE421" s="91" t="n">
        <f aca="false">(N421-T421)/N421</f>
        <v>1</v>
      </c>
      <c r="AF421" s="97" t="n">
        <f aca="false">BR421</f>
        <v>1.83333333333333</v>
      </c>
      <c r="AG421" s="98" t="n">
        <f aca="false">K421-AF421</f>
        <v>1.66666666666667</v>
      </c>
      <c r="AH421" s="99" t="n">
        <f aca="false">IFERROR(AG421/K421," ")</f>
        <v>0.476190476190477</v>
      </c>
      <c r="AI421" s="100" t="n">
        <f aca="false">IFERROR(O421/K421,0)</f>
        <v>914.285714285714</v>
      </c>
      <c r="AJ421" s="101" t="n">
        <f aca="false">VLOOKUP(D421,'Standard Cycle time'!C:D,2,0)</f>
        <v>4</v>
      </c>
      <c r="AK421" s="101" t="n">
        <f aca="false">AG421*V421*3600/O421</f>
        <v>3.75000000000001</v>
      </c>
      <c r="AL421" s="102" t="n">
        <f aca="false">AJ421/AK421</f>
        <v>1.06666666666666</v>
      </c>
      <c r="AM421" s="99" t="n">
        <f aca="false">AE421*AL421*AH421</f>
        <v>0.507936507936508</v>
      </c>
      <c r="AN421" s="103" t="n">
        <v>3016</v>
      </c>
      <c r="AO421" s="112"/>
      <c r="AP421" s="105" t="n">
        <v>50</v>
      </c>
      <c r="AQ421" s="105" t="n">
        <v>0</v>
      </c>
      <c r="AR421" s="105" t="n">
        <v>0</v>
      </c>
      <c r="AS421" s="105" t="n">
        <v>60</v>
      </c>
      <c r="AT421" s="105" t="n">
        <v>0</v>
      </c>
      <c r="AU421" s="105" t="n">
        <v>0</v>
      </c>
      <c r="AV421" s="105" t="n">
        <v>0</v>
      </c>
      <c r="AW421" s="105" t="n">
        <v>0</v>
      </c>
      <c r="AX421" s="105" t="n">
        <v>0</v>
      </c>
      <c r="AY421" s="105" t="n">
        <v>0</v>
      </c>
      <c r="AZ421" s="105" t="n">
        <v>0</v>
      </c>
      <c r="BA421" s="105" t="n">
        <v>0</v>
      </c>
      <c r="BB421" s="105" t="n">
        <v>0</v>
      </c>
      <c r="BC421" s="105" t="n">
        <v>0</v>
      </c>
      <c r="BD421" s="105" t="n">
        <v>0</v>
      </c>
      <c r="BE421" s="105" t="n">
        <v>0</v>
      </c>
      <c r="BF421" s="105" t="n">
        <v>0</v>
      </c>
      <c r="BG421" s="105" t="n">
        <v>0</v>
      </c>
      <c r="BH421" s="105" t="n">
        <v>0</v>
      </c>
      <c r="BI421" s="105" t="n">
        <v>0</v>
      </c>
      <c r="BJ421" s="105" t="n">
        <v>0</v>
      </c>
      <c r="BK421" s="105" t="n">
        <v>0</v>
      </c>
      <c r="BL421" s="105" t="n">
        <v>0</v>
      </c>
      <c r="BM421" s="105" t="n">
        <v>0</v>
      </c>
      <c r="BN421" s="105" t="n">
        <v>0</v>
      </c>
      <c r="BO421" s="105" t="n">
        <v>0</v>
      </c>
      <c r="BP421" s="105" t="n">
        <v>0</v>
      </c>
      <c r="BQ421" s="105" t="n">
        <v>0</v>
      </c>
      <c r="BR421" s="106" t="n">
        <v>1.83333333333333</v>
      </c>
      <c r="BS421" s="106" t="n">
        <v>1.86388888888889</v>
      </c>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row>
    <row r="422" customFormat="false" ht="14.9" hidden="false" customHeight="false" outlineLevel="0" collapsed="false">
      <c r="A422" s="74" t="n">
        <f aca="false">MONTH(B422)</f>
        <v>9</v>
      </c>
      <c r="B422" s="135" t="n">
        <v>44445</v>
      </c>
      <c r="C422" s="128" t="s">
        <v>63</v>
      </c>
      <c r="D422" s="77" t="str">
        <f aca="false">IFERROR(VLOOKUP(E:E,'Item Data Support Sheet'!A:O,7,0),"")</f>
        <v>NIPPLE PUNCH INSPECTED</v>
      </c>
      <c r="E422" s="80" t="s">
        <v>901</v>
      </c>
      <c r="F422" s="122"/>
      <c r="G422" s="137"/>
      <c r="H422" s="79" t="str">
        <f aca="false">IFERROR(VLOOKUP(E:E,'Item Data Support Sheet'!A:O,2,0),"")</f>
        <v>NIPPLE S TYPE Y SIZE PUNCHED INSPECTED</v>
      </c>
      <c r="I422" s="80" t="s">
        <v>886</v>
      </c>
      <c r="J422" s="80" t="s">
        <v>143</v>
      </c>
      <c r="K422" s="81" t="n">
        <v>5</v>
      </c>
      <c r="L422" s="124" t="n">
        <v>7000</v>
      </c>
      <c r="M422" s="83" t="n">
        <f aca="false">IFERROR(L422/K422,0)</f>
        <v>1400</v>
      </c>
      <c r="N422" s="84" t="n">
        <f aca="false">+O422+Q422+T422+U422</f>
        <v>5202</v>
      </c>
      <c r="O422" s="85" t="n">
        <v>5181</v>
      </c>
      <c r="P422" s="86" t="n">
        <v>0</v>
      </c>
      <c r="Q422" s="86" t="n">
        <v>0</v>
      </c>
      <c r="R422" s="132" t="n">
        <v>0</v>
      </c>
      <c r="S422" s="128" t="n">
        <v>0</v>
      </c>
      <c r="T422" s="132" t="n">
        <v>21</v>
      </c>
      <c r="U422" s="128" t="n">
        <v>0</v>
      </c>
      <c r="V422" s="128" t="n">
        <v>2</v>
      </c>
      <c r="W422" s="90" t="n">
        <f aca="false">IFERROR(O422/V422,0)</f>
        <v>2590.5</v>
      </c>
      <c r="X422" s="91" t="n">
        <f aca="false">O422/L422</f>
        <v>0.740142857142857</v>
      </c>
      <c r="Y422" s="92" t="str">
        <f aca="false">IFERROR(VLOOKUP(E:E,'Item Data Support Sheet'!A:J,6,0),0)</f>
        <v>FO107</v>
      </c>
      <c r="Z422" s="93" t="n">
        <f aca="false">IFERROR(VLOOKUP(E:E,'Item Data Support Sheet'!A:O,4,0),0)</f>
        <v>0</v>
      </c>
      <c r="AA422" s="93" t="n">
        <f aca="false">IFERROR(((N422)*(Z422/1000))+P422,0)</f>
        <v>0</v>
      </c>
      <c r="AB422" s="94" t="str">
        <f aca="false">IFERROR((O422*(Z422/1000)/(AA422))," ")</f>
        <v> </v>
      </c>
      <c r="AC422" s="95" t="n">
        <f aca="false">IFERROR((T422)/((T422)+O422),0)</f>
        <v>0.00403690888119954</v>
      </c>
      <c r="AD422" s="96" t="n">
        <f aca="false">IFERROR(Q422/(Q422+N422),0)</f>
        <v>0</v>
      </c>
      <c r="AE422" s="91" t="n">
        <f aca="false">(N422-T422)/N422</f>
        <v>0.9959630911188</v>
      </c>
      <c r="AF422" s="97" t="n">
        <f aca="false">BR422</f>
        <v>1.83333333333333</v>
      </c>
      <c r="AG422" s="98" t="n">
        <f aca="false">K422-AF422</f>
        <v>3.16666666666667</v>
      </c>
      <c r="AH422" s="99" t="n">
        <f aca="false">IFERROR(AG422/K422," ")</f>
        <v>0.633333333333334</v>
      </c>
      <c r="AI422" s="100" t="n">
        <f aca="false">IFERROR(O422/K422,0)</f>
        <v>1036.2</v>
      </c>
      <c r="AJ422" s="101" t="n">
        <f aca="false">VLOOKUP(D422,'Standard Cycle time'!C:D,2,0)</f>
        <v>4</v>
      </c>
      <c r="AK422" s="101" t="n">
        <f aca="false">AG422*V422*3600/O422</f>
        <v>4.40069484655472</v>
      </c>
      <c r="AL422" s="102" t="n">
        <f aca="false">AJ422/AK422</f>
        <v>0.908947368421052</v>
      </c>
      <c r="AM422" s="99" t="n">
        <f aca="false">AE422*AL422*AH422</f>
        <v>0.573342752787389</v>
      </c>
      <c r="AN422" s="103" t="s">
        <v>940</v>
      </c>
      <c r="AO422" s="112"/>
      <c r="AP422" s="105" t="n">
        <v>50</v>
      </c>
      <c r="AQ422" s="105" t="n">
        <v>0</v>
      </c>
      <c r="AR422" s="105" t="n">
        <v>0</v>
      </c>
      <c r="AS422" s="105" t="n">
        <v>60</v>
      </c>
      <c r="AT422" s="105" t="n">
        <v>0</v>
      </c>
      <c r="AU422" s="105" t="n">
        <v>0</v>
      </c>
      <c r="AV422" s="105" t="n">
        <v>0</v>
      </c>
      <c r="AW422" s="105" t="n">
        <v>0</v>
      </c>
      <c r="AX422" s="105" t="n">
        <v>0</v>
      </c>
      <c r="AY422" s="105" t="n">
        <v>0</v>
      </c>
      <c r="AZ422" s="105" t="n">
        <v>0</v>
      </c>
      <c r="BA422" s="105" t="n">
        <v>0</v>
      </c>
      <c r="BB422" s="105" t="n">
        <v>0</v>
      </c>
      <c r="BC422" s="105" t="n">
        <v>0</v>
      </c>
      <c r="BD422" s="105" t="n">
        <v>0</v>
      </c>
      <c r="BE422" s="105" t="n">
        <v>0</v>
      </c>
      <c r="BF422" s="105" t="n">
        <v>0</v>
      </c>
      <c r="BG422" s="105" t="n">
        <v>0</v>
      </c>
      <c r="BH422" s="105" t="n">
        <v>0</v>
      </c>
      <c r="BI422" s="105" t="n">
        <v>0</v>
      </c>
      <c r="BJ422" s="105" t="n">
        <v>0</v>
      </c>
      <c r="BK422" s="105" t="n">
        <v>0</v>
      </c>
      <c r="BL422" s="105" t="n">
        <v>0</v>
      </c>
      <c r="BM422" s="105" t="n">
        <v>0</v>
      </c>
      <c r="BN422" s="105" t="n">
        <v>0</v>
      </c>
      <c r="BO422" s="105" t="n">
        <v>0</v>
      </c>
      <c r="BP422" s="105" t="n">
        <v>0</v>
      </c>
      <c r="BQ422" s="105" t="n">
        <v>0</v>
      </c>
      <c r="BR422" s="106" t="n">
        <v>1.83333333333333</v>
      </c>
      <c r="BS422" s="106" t="n">
        <v>1.86388888888889</v>
      </c>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row>
    <row r="423" customFormat="false" ht="14.9" hidden="false" customHeight="false" outlineLevel="0" collapsed="false">
      <c r="A423" s="74" t="n">
        <f aca="false">MONTH(B423)</f>
        <v>9</v>
      </c>
      <c r="B423" s="135" t="n">
        <v>44445</v>
      </c>
      <c r="C423" s="128" t="s">
        <v>63</v>
      </c>
      <c r="D423" s="77" t="str">
        <f aca="false">IFERROR(VLOOKUP(E:E,'Item Data Support Sheet'!A:O,7,0),"")</f>
        <v>BOTTLE PRINTED</v>
      </c>
      <c r="E423" s="80" t="s">
        <v>65</v>
      </c>
      <c r="F423" s="122"/>
      <c r="G423" s="137" t="s">
        <v>66</v>
      </c>
      <c r="H423" s="79" t="str">
        <f aca="false">IFERROR(VLOOKUP(E:E,'Item Data Support Sheet'!A:O,2,0),"")</f>
        <v>KPP 240 ML BOTTLE PRINTED</v>
      </c>
      <c r="I423" s="80" t="s">
        <v>941</v>
      </c>
      <c r="J423" s="80" t="s">
        <v>143</v>
      </c>
      <c r="K423" s="81" t="n">
        <v>5.5</v>
      </c>
      <c r="L423" s="124" t="n">
        <v>3226</v>
      </c>
      <c r="M423" s="83" t="n">
        <f aca="false">IFERROR(L423/K423,0)</f>
        <v>586.545454545455</v>
      </c>
      <c r="N423" s="84" t="n">
        <f aca="false">+O423+Q423+T423+U423</f>
        <v>3226</v>
      </c>
      <c r="O423" s="85" t="n">
        <v>3210</v>
      </c>
      <c r="P423" s="86" t="n">
        <v>0</v>
      </c>
      <c r="Q423" s="86" t="n">
        <v>0</v>
      </c>
      <c r="R423" s="132" t="n">
        <v>23</v>
      </c>
      <c r="S423" s="128" t="n">
        <v>0</v>
      </c>
      <c r="T423" s="132" t="n">
        <v>16</v>
      </c>
      <c r="U423" s="128" t="n">
        <v>0</v>
      </c>
      <c r="V423" s="128" t="n">
        <v>6</v>
      </c>
      <c r="W423" s="90" t="n">
        <f aca="false">IFERROR(O423/V423,0)</f>
        <v>535</v>
      </c>
      <c r="X423" s="91" t="n">
        <f aca="false">O423/L423</f>
        <v>0.995040297582145</v>
      </c>
      <c r="Y423" s="92" t="str">
        <f aca="false">IFERROR(VLOOKUP(E:E,'Item Data Support Sheet'!A:J,6,0),0)</f>
        <v>FO003</v>
      </c>
      <c r="Z423" s="93" t="n">
        <f aca="false">IFERROR(VLOOKUP(E:E,'Item Data Support Sheet'!A:O,4,0),0)</f>
        <v>0</v>
      </c>
      <c r="AA423" s="93" t="n">
        <f aca="false">IFERROR(((N423)*(Z423/1000))+P423,0)</f>
        <v>0</v>
      </c>
      <c r="AB423" s="94" t="str">
        <f aca="false">IFERROR((O423*(Z423/1000)/(AA423))," ")</f>
        <v> </v>
      </c>
      <c r="AC423" s="95" t="n">
        <f aca="false">IFERROR((T423)/((T423)+O423),0)</f>
        <v>0.00495970241785493</v>
      </c>
      <c r="AD423" s="96" t="n">
        <f aca="false">IFERROR(Q423/(Q423+N423),0)</f>
        <v>0</v>
      </c>
      <c r="AE423" s="91" t="n">
        <f aca="false">(N423-T423)/N423</f>
        <v>0.995040297582145</v>
      </c>
      <c r="AF423" s="97" t="n">
        <f aca="false">BR423</f>
        <v>0.833333333333333</v>
      </c>
      <c r="AG423" s="98" t="n">
        <f aca="false">K423-AF423</f>
        <v>4.66666666666667</v>
      </c>
      <c r="AH423" s="99" t="n">
        <f aca="false">IFERROR(AG423/K423," ")</f>
        <v>0.848484848484848</v>
      </c>
      <c r="AI423" s="100" t="n">
        <f aca="false">IFERROR(O423/K423,0)</f>
        <v>583.636363636364</v>
      </c>
      <c r="AJ423" s="101" t="n">
        <f aca="false">VLOOKUP(D423,'Standard Cycle time'!C:D,2,0)</f>
        <v>32.4</v>
      </c>
      <c r="AK423" s="101" t="n">
        <f aca="false">AG423*V423*3600/O423</f>
        <v>31.4018691588785</v>
      </c>
      <c r="AL423" s="102" t="n">
        <f aca="false">AJ423/AK423</f>
        <v>1.03178571428571</v>
      </c>
      <c r="AM423" s="99" t="n">
        <f aca="false">AE423*AL423*AH423</f>
        <v>0.871112551428733</v>
      </c>
      <c r="AN423" s="103" t="s">
        <v>942</v>
      </c>
      <c r="AO423" s="112"/>
      <c r="AP423" s="105" t="n">
        <v>50</v>
      </c>
      <c r="AQ423" s="105" t="n">
        <v>0</v>
      </c>
      <c r="AR423" s="105" t="n">
        <v>0</v>
      </c>
      <c r="AS423" s="105" t="n">
        <v>0</v>
      </c>
      <c r="AT423" s="105" t="n">
        <v>0</v>
      </c>
      <c r="AU423" s="105" t="n">
        <v>0</v>
      </c>
      <c r="AV423" s="105" t="n">
        <v>0</v>
      </c>
      <c r="AW423" s="105" t="n">
        <v>0</v>
      </c>
      <c r="AX423" s="105" t="n">
        <v>0</v>
      </c>
      <c r="AY423" s="105" t="n">
        <v>0</v>
      </c>
      <c r="AZ423" s="105" t="n">
        <v>0</v>
      </c>
      <c r="BA423" s="105" t="n">
        <v>0</v>
      </c>
      <c r="BB423" s="105" t="n">
        <v>0</v>
      </c>
      <c r="BC423" s="105" t="n">
        <v>0</v>
      </c>
      <c r="BD423" s="105" t="n">
        <v>0</v>
      </c>
      <c r="BE423" s="105" t="n">
        <v>0</v>
      </c>
      <c r="BF423" s="105" t="n">
        <v>0</v>
      </c>
      <c r="BG423" s="105" t="n">
        <v>0</v>
      </c>
      <c r="BH423" s="105" t="n">
        <v>0</v>
      </c>
      <c r="BI423" s="105" t="n">
        <v>0</v>
      </c>
      <c r="BJ423" s="105" t="n">
        <v>0</v>
      </c>
      <c r="BK423" s="105" t="n">
        <v>0</v>
      </c>
      <c r="BL423" s="105" t="n">
        <v>0</v>
      </c>
      <c r="BM423" s="105" t="n">
        <v>0</v>
      </c>
      <c r="BN423" s="105" t="n">
        <v>0</v>
      </c>
      <c r="BO423" s="105" t="n">
        <v>0</v>
      </c>
      <c r="BP423" s="105" t="n">
        <v>0</v>
      </c>
      <c r="BQ423" s="105" t="n">
        <v>0</v>
      </c>
      <c r="BR423" s="106" t="n">
        <v>0.833333333333333</v>
      </c>
      <c r="BS423" s="106" t="n">
        <v>0.847222222222222</v>
      </c>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row>
    <row r="424" customFormat="false" ht="14.9" hidden="false" customHeight="false" outlineLevel="0" collapsed="false">
      <c r="A424" s="74" t="n">
        <f aca="false">MONTH(B424)</f>
        <v>9</v>
      </c>
      <c r="B424" s="135" t="n">
        <v>44445</v>
      </c>
      <c r="C424" s="128" t="s">
        <v>63</v>
      </c>
      <c r="D424" s="77" t="str">
        <f aca="false">IFERROR(VLOOKUP(E:E,'Item Data Support Sheet'!A:O,7,0),"")</f>
        <v>BOTTLE PRINTED</v>
      </c>
      <c r="E424" s="80" t="s">
        <v>229</v>
      </c>
      <c r="F424" s="122"/>
      <c r="G424" s="137" t="s">
        <v>66</v>
      </c>
      <c r="H424" s="79" t="str">
        <f aca="false">IFERROR(VLOOKUP(E:E,'Item Data Support Sheet'!A:O,2,0),"")</f>
        <v>KPP BOTTLE 200 ML PRINTED-WMG3B</v>
      </c>
      <c r="I424" s="80" t="s">
        <v>943</v>
      </c>
      <c r="J424" s="80" t="s">
        <v>143</v>
      </c>
      <c r="K424" s="81" t="n">
        <v>3</v>
      </c>
      <c r="L424" s="124" t="n">
        <v>1200</v>
      </c>
      <c r="M424" s="83" t="n">
        <f aca="false">IFERROR(L424/K424,0)</f>
        <v>400</v>
      </c>
      <c r="N424" s="84" t="n">
        <f aca="false">+O424+Q424+T424+U424</f>
        <v>1312</v>
      </c>
      <c r="O424" s="85" t="n">
        <v>1296</v>
      </c>
      <c r="P424" s="86" t="n">
        <v>0</v>
      </c>
      <c r="Q424" s="86" t="n">
        <v>0</v>
      </c>
      <c r="R424" s="132" t="n">
        <v>14</v>
      </c>
      <c r="S424" s="128" t="n">
        <v>0</v>
      </c>
      <c r="T424" s="132" t="n">
        <v>16</v>
      </c>
      <c r="U424" s="128" t="n">
        <v>0</v>
      </c>
      <c r="V424" s="128" t="n">
        <v>6</v>
      </c>
      <c r="W424" s="90" t="n">
        <f aca="false">IFERROR(O424/V424,0)</f>
        <v>216</v>
      </c>
      <c r="X424" s="91" t="n">
        <f aca="false">O424/L424</f>
        <v>1.08</v>
      </c>
      <c r="Y424" s="92" t="str">
        <f aca="false">IFERROR(VLOOKUP(E:E,'Item Data Support Sheet'!A:J,6,0),0)</f>
        <v>FO043</v>
      </c>
      <c r="Z424" s="93" t="n">
        <f aca="false">IFERROR(VLOOKUP(E:E,'Item Data Support Sheet'!A:O,4,0),0)</f>
        <v>0</v>
      </c>
      <c r="AA424" s="93" t="n">
        <f aca="false">IFERROR(((N424)*(Z424/1000))+P424,0)</f>
        <v>0</v>
      </c>
      <c r="AB424" s="94" t="str">
        <f aca="false">IFERROR((O424*(Z424/1000)/(AA424))," ")</f>
        <v> </v>
      </c>
      <c r="AC424" s="95" t="n">
        <f aca="false">IFERROR((T424)/((T424)+O424),0)</f>
        <v>0.0121951219512195</v>
      </c>
      <c r="AD424" s="96" t="n">
        <f aca="false">IFERROR(Q424/(Q424+N424),0)</f>
        <v>0</v>
      </c>
      <c r="AE424" s="91" t="n">
        <f aca="false">(N424-T424)/N424</f>
        <v>0.98780487804878</v>
      </c>
      <c r="AF424" s="97" t="n">
        <f aca="false">BR424</f>
        <v>1.16666666666667</v>
      </c>
      <c r="AG424" s="98" t="n">
        <f aca="false">K424-AF424</f>
        <v>1.83333333333333</v>
      </c>
      <c r="AH424" s="99" t="n">
        <f aca="false">IFERROR(AG424/K424," ")</f>
        <v>0.61111111111111</v>
      </c>
      <c r="AI424" s="100" t="n">
        <f aca="false">IFERROR(O424/K424,0)</f>
        <v>432</v>
      </c>
      <c r="AJ424" s="101" t="n">
        <f aca="false">VLOOKUP(D424,'Standard Cycle time'!C:D,2,0)</f>
        <v>32.4</v>
      </c>
      <c r="AK424" s="101" t="n">
        <f aca="false">AG424*V424*3600/O424</f>
        <v>30.5555555555555</v>
      </c>
      <c r="AL424" s="102" t="n">
        <f aca="false">AJ424/AK424</f>
        <v>1.06036363636364</v>
      </c>
      <c r="AM424" s="99" t="n">
        <f aca="false">AE424*AL424*AH424</f>
        <v>0.64009756097561</v>
      </c>
      <c r="AN424" s="103" t="s">
        <v>944</v>
      </c>
      <c r="AO424" s="112" t="s">
        <v>945</v>
      </c>
      <c r="AP424" s="105" t="n">
        <v>0</v>
      </c>
      <c r="AQ424" s="105" t="n">
        <v>70</v>
      </c>
      <c r="AR424" s="105" t="n">
        <v>0</v>
      </c>
      <c r="AS424" s="105" t="n">
        <v>0</v>
      </c>
      <c r="AT424" s="105" t="n">
        <v>0</v>
      </c>
      <c r="AU424" s="105" t="n">
        <v>0</v>
      </c>
      <c r="AV424" s="105" t="n">
        <v>0</v>
      </c>
      <c r="AW424" s="105" t="n">
        <v>0</v>
      </c>
      <c r="AX424" s="105" t="n">
        <v>0</v>
      </c>
      <c r="AY424" s="105" t="n">
        <v>0</v>
      </c>
      <c r="AZ424" s="105" t="n">
        <v>0</v>
      </c>
      <c r="BA424" s="105" t="n">
        <v>0</v>
      </c>
      <c r="BB424" s="105" t="n">
        <v>0</v>
      </c>
      <c r="BC424" s="105" t="n">
        <v>0</v>
      </c>
      <c r="BD424" s="105" t="n">
        <v>0</v>
      </c>
      <c r="BE424" s="105" t="n">
        <v>0</v>
      </c>
      <c r="BF424" s="105" t="n">
        <v>0</v>
      </c>
      <c r="BG424" s="105" t="n">
        <v>0</v>
      </c>
      <c r="BH424" s="105" t="n">
        <v>0</v>
      </c>
      <c r="BI424" s="105" t="n">
        <v>0</v>
      </c>
      <c r="BJ424" s="105" t="n">
        <v>0</v>
      </c>
      <c r="BK424" s="105" t="n">
        <v>0</v>
      </c>
      <c r="BL424" s="105" t="n">
        <v>0</v>
      </c>
      <c r="BM424" s="105" t="n">
        <v>0</v>
      </c>
      <c r="BN424" s="105" t="n">
        <v>0</v>
      </c>
      <c r="BO424" s="105" t="n">
        <v>0</v>
      </c>
      <c r="BP424" s="105" t="n">
        <v>0</v>
      </c>
      <c r="BQ424" s="105" t="n">
        <v>0</v>
      </c>
      <c r="BR424" s="106" t="n">
        <v>1.16666666666667</v>
      </c>
      <c r="BS424" s="106" t="n">
        <v>1.18611111111111</v>
      </c>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row>
    <row r="425" customFormat="false" ht="14.9" hidden="false" customHeight="false" outlineLevel="0" collapsed="false">
      <c r="A425" s="74" t="n">
        <f aca="false">MONTH(B425)</f>
        <v>9</v>
      </c>
      <c r="B425" s="135" t="n">
        <v>44445</v>
      </c>
      <c r="C425" s="128" t="s">
        <v>70</v>
      </c>
      <c r="D425" s="77" t="str">
        <f aca="false">IFERROR(VLOOKUP(E:E,'Item Data Support Sheet'!A:O,7,0),"")</f>
        <v>NIPPLE LASER MARKING</v>
      </c>
      <c r="E425" s="80" t="s">
        <v>932</v>
      </c>
      <c r="F425" s="122"/>
      <c r="G425" s="137" t="s">
        <v>517</v>
      </c>
      <c r="H425" s="79" t="str">
        <f aca="false">IFERROR(VLOOKUP(E:E,'Item Data Support Sheet'!A:O,2,0),"")</f>
        <v>NIPPLE S TYPE M SIZE PUNCHED LASER MARKED</v>
      </c>
      <c r="I425" s="80" t="s">
        <v>939</v>
      </c>
      <c r="J425" s="80" t="s">
        <v>143</v>
      </c>
      <c r="K425" s="81" t="n">
        <v>8</v>
      </c>
      <c r="L425" s="124" t="n">
        <v>7000</v>
      </c>
      <c r="M425" s="83" t="n">
        <f aca="false">IFERROR(L425/K425,0)</f>
        <v>875</v>
      </c>
      <c r="N425" s="84" t="n">
        <f aca="false">+O425+Q425+T425+U425</f>
        <v>6592</v>
      </c>
      <c r="O425" s="85" t="n">
        <v>6592</v>
      </c>
      <c r="P425" s="86" t="n">
        <v>0</v>
      </c>
      <c r="Q425" s="86" t="n">
        <v>0</v>
      </c>
      <c r="R425" s="132" t="n">
        <v>0</v>
      </c>
      <c r="S425" s="128" t="n">
        <v>0</v>
      </c>
      <c r="T425" s="132" t="n">
        <v>0</v>
      </c>
      <c r="U425" s="128" t="n">
        <v>0</v>
      </c>
      <c r="V425" s="128" t="n">
        <v>1</v>
      </c>
      <c r="W425" s="90" t="n">
        <f aca="false">IFERROR(O425/V425,0)</f>
        <v>6592</v>
      </c>
      <c r="X425" s="91" t="n">
        <f aca="false">O425/L425</f>
        <v>0.941714285714286</v>
      </c>
      <c r="Y425" s="92" t="str">
        <f aca="false">IFERROR(VLOOKUP(E:E,'Item Data Support Sheet'!A:J,6,0),0)</f>
        <v>FO020</v>
      </c>
      <c r="Z425" s="93" t="n">
        <f aca="false">IFERROR(VLOOKUP(E:E,'Item Data Support Sheet'!A:O,4,0),0)</f>
        <v>0</v>
      </c>
      <c r="AA425" s="93" t="n">
        <f aca="false">IFERROR(((N425)*(Z425/1000))+P425,0)</f>
        <v>0</v>
      </c>
      <c r="AB425" s="94" t="str">
        <f aca="false">IFERROR((O425*(Z425/1000)/(AA425))," ")</f>
        <v> </v>
      </c>
      <c r="AC425" s="95" t="n">
        <f aca="false">IFERROR((T425)/((T425)+O425),0)</f>
        <v>0</v>
      </c>
      <c r="AD425" s="96" t="n">
        <f aca="false">IFERROR(Q425/(Q425+N425),0)</f>
        <v>0</v>
      </c>
      <c r="AE425" s="91" t="n">
        <f aca="false">(N425-T425)/N425</f>
        <v>1</v>
      </c>
      <c r="AF425" s="97" t="n">
        <f aca="false">BR425</f>
        <v>0.666666666666667</v>
      </c>
      <c r="AG425" s="98" t="n">
        <f aca="false">K425-AF425</f>
        <v>7.33333333333333</v>
      </c>
      <c r="AH425" s="99" t="n">
        <f aca="false">IFERROR(AG425/K425," ")</f>
        <v>0.916666666666667</v>
      </c>
      <c r="AI425" s="100" t="n">
        <f aca="false">IFERROR(O425/K425,0)</f>
        <v>824</v>
      </c>
      <c r="AJ425" s="101" t="n">
        <f aca="false">VLOOKUP(D425,'Standard Cycle time'!C:D,2,0)</f>
        <v>3.5</v>
      </c>
      <c r="AK425" s="101" t="n">
        <f aca="false">AG425*V425*3600/O425</f>
        <v>4.00485436893204</v>
      </c>
      <c r="AL425" s="102" t="n">
        <f aca="false">AJ425/AK425</f>
        <v>0.873939393939394</v>
      </c>
      <c r="AM425" s="99" t="n">
        <f aca="false">AE425*AL425*AH425</f>
        <v>0.801111111111111</v>
      </c>
      <c r="AN425" s="103" t="s">
        <v>946</v>
      </c>
      <c r="AO425" s="112" t="s">
        <v>947</v>
      </c>
      <c r="AP425" s="105" t="n">
        <v>40</v>
      </c>
      <c r="AQ425" s="105" t="n">
        <v>0</v>
      </c>
      <c r="AR425" s="105" t="n">
        <v>0</v>
      </c>
      <c r="AS425" s="105" t="n">
        <v>0</v>
      </c>
      <c r="AT425" s="105" t="n">
        <v>0</v>
      </c>
      <c r="AU425" s="105" t="n">
        <v>0</v>
      </c>
      <c r="AV425" s="105" t="n">
        <v>0</v>
      </c>
      <c r="AW425" s="105" t="n">
        <v>0</v>
      </c>
      <c r="AX425" s="105" t="n">
        <v>0</v>
      </c>
      <c r="AY425" s="105" t="n">
        <v>0</v>
      </c>
      <c r="AZ425" s="105" t="n">
        <v>0</v>
      </c>
      <c r="BA425" s="105" t="n">
        <v>0</v>
      </c>
      <c r="BB425" s="105" t="n">
        <v>0</v>
      </c>
      <c r="BC425" s="105" t="n">
        <v>0</v>
      </c>
      <c r="BD425" s="105" t="n">
        <v>0</v>
      </c>
      <c r="BE425" s="105" t="n">
        <v>0</v>
      </c>
      <c r="BF425" s="105" t="n">
        <v>0</v>
      </c>
      <c r="BG425" s="105" t="n">
        <v>0</v>
      </c>
      <c r="BH425" s="105" t="n">
        <v>0</v>
      </c>
      <c r="BI425" s="105" t="n">
        <v>0</v>
      </c>
      <c r="BJ425" s="105" t="n">
        <v>0</v>
      </c>
      <c r="BK425" s="105" t="n">
        <v>0</v>
      </c>
      <c r="BL425" s="105" t="n">
        <v>0</v>
      </c>
      <c r="BM425" s="105" t="n">
        <v>0</v>
      </c>
      <c r="BN425" s="105" t="n">
        <v>0</v>
      </c>
      <c r="BO425" s="105" t="n">
        <v>0</v>
      </c>
      <c r="BP425" s="105" t="n">
        <v>0</v>
      </c>
      <c r="BQ425" s="105" t="n">
        <v>0</v>
      </c>
      <c r="BR425" s="106" t="n">
        <v>0.666666666666667</v>
      </c>
      <c r="BS425" s="106" t="n">
        <v>0.677777777777778</v>
      </c>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row>
    <row r="426" customFormat="false" ht="14.9" hidden="false" customHeight="false" outlineLevel="0" collapsed="false">
      <c r="A426" s="74" t="n">
        <f aca="false">MONTH(B426)</f>
        <v>9</v>
      </c>
      <c r="B426" s="135" t="n">
        <v>44445</v>
      </c>
      <c r="C426" s="128" t="s">
        <v>70</v>
      </c>
      <c r="D426" s="77" t="str">
        <f aca="false">IFERROR(VLOOKUP(E:E,'Item Data Support Sheet'!A:O,7,0),"")</f>
        <v>NIPPLE PUNCH</v>
      </c>
      <c r="E426" s="80" t="s">
        <v>60</v>
      </c>
      <c r="F426" s="122"/>
      <c r="G426" s="137" t="s">
        <v>54</v>
      </c>
      <c r="H426" s="79" t="str">
        <f aca="false">IFERROR(VLOOKUP(E:E,'Item Data Support Sheet'!A:O,2,0),"")</f>
        <v>NIPPLE S TYPE M SIZE PUNCHED</v>
      </c>
      <c r="I426" s="80" t="s">
        <v>948</v>
      </c>
      <c r="J426" s="80" t="s">
        <v>143</v>
      </c>
      <c r="K426" s="81" t="n">
        <v>8</v>
      </c>
      <c r="L426" s="124" t="n">
        <v>7000</v>
      </c>
      <c r="M426" s="83" t="n">
        <f aca="false">IFERROR(L426/K426,0)</f>
        <v>875</v>
      </c>
      <c r="N426" s="84" t="n">
        <f aca="false">+O426+Q426+T426+U426</f>
        <v>6300</v>
      </c>
      <c r="O426" s="85" t="n">
        <v>6300</v>
      </c>
      <c r="P426" s="86" t="n">
        <v>0</v>
      </c>
      <c r="Q426" s="86" t="n">
        <v>0</v>
      </c>
      <c r="R426" s="132" t="n">
        <v>0</v>
      </c>
      <c r="S426" s="128" t="n">
        <v>0</v>
      </c>
      <c r="T426" s="132" t="n">
        <v>0</v>
      </c>
      <c r="U426" s="128" t="n">
        <v>0</v>
      </c>
      <c r="V426" s="128" t="n">
        <v>1</v>
      </c>
      <c r="W426" s="90" t="n">
        <f aca="false">IFERROR(O426/V426,0)</f>
        <v>6300</v>
      </c>
      <c r="X426" s="91" t="n">
        <f aca="false">O426/L426</f>
        <v>0.9</v>
      </c>
      <c r="Y426" s="92" t="str">
        <f aca="false">IFERROR(VLOOKUP(E:E,'Item Data Support Sheet'!A:J,6,0),0)</f>
        <v>FO016</v>
      </c>
      <c r="Z426" s="93" t="n">
        <f aca="false">IFERROR(VLOOKUP(E:E,'Item Data Support Sheet'!A:O,4,0),0)</f>
        <v>0</v>
      </c>
      <c r="AA426" s="93" t="n">
        <f aca="false">IFERROR(((N426)*(Z426/1000))+P426,0)</f>
        <v>0</v>
      </c>
      <c r="AB426" s="94" t="str">
        <f aca="false">IFERROR((O426*(Z426/1000)/(AA426))," ")</f>
        <v> </v>
      </c>
      <c r="AC426" s="95" t="n">
        <f aca="false">IFERROR((T426)/((T426)+O426),0)</f>
        <v>0</v>
      </c>
      <c r="AD426" s="96" t="n">
        <f aca="false">IFERROR(Q426/(Q426+N426),0)</f>
        <v>0</v>
      </c>
      <c r="AE426" s="91" t="n">
        <f aca="false">(N426-T426)/N426</f>
        <v>1</v>
      </c>
      <c r="AF426" s="97" t="n">
        <f aca="false">BR426</f>
        <v>0.666666666666667</v>
      </c>
      <c r="AG426" s="98" t="n">
        <f aca="false">K426-AF426</f>
        <v>7.33333333333333</v>
      </c>
      <c r="AH426" s="99" t="n">
        <f aca="false">IFERROR(AG426/K426," ")</f>
        <v>0.916666666666667</v>
      </c>
      <c r="AI426" s="100" t="n">
        <f aca="false">IFERROR(O426/K426,0)</f>
        <v>787.5</v>
      </c>
      <c r="AJ426" s="101" t="n">
        <f aca="false">VLOOKUP(D426,'Standard Cycle time'!C:D,2,0)</f>
        <v>3.5</v>
      </c>
      <c r="AK426" s="101" t="n">
        <f aca="false">AG426*V426*3600/O426</f>
        <v>4.19047619047619</v>
      </c>
      <c r="AL426" s="102" t="n">
        <f aca="false">AJ426/AK426</f>
        <v>0.835227272727273</v>
      </c>
      <c r="AM426" s="99" t="n">
        <f aca="false">AE426*AL426*AH426</f>
        <v>0.765625</v>
      </c>
      <c r="AN426" s="103" t="s">
        <v>949</v>
      </c>
      <c r="AO426" s="112" t="s">
        <v>950</v>
      </c>
      <c r="AP426" s="105" t="n">
        <v>40</v>
      </c>
      <c r="AQ426" s="105" t="n">
        <v>0</v>
      </c>
      <c r="AR426" s="105" t="n">
        <v>0</v>
      </c>
      <c r="AS426" s="105" t="n">
        <v>0</v>
      </c>
      <c r="AT426" s="105" t="n">
        <v>0</v>
      </c>
      <c r="AU426" s="105" t="n">
        <v>0</v>
      </c>
      <c r="AV426" s="105" t="n">
        <v>0</v>
      </c>
      <c r="AW426" s="105" t="n">
        <v>0</v>
      </c>
      <c r="AX426" s="105" t="n">
        <v>0</v>
      </c>
      <c r="AY426" s="105" t="n">
        <v>0</v>
      </c>
      <c r="AZ426" s="105" t="n">
        <v>0</v>
      </c>
      <c r="BA426" s="105" t="n">
        <v>0</v>
      </c>
      <c r="BB426" s="105" t="n">
        <v>0</v>
      </c>
      <c r="BC426" s="105" t="n">
        <v>0</v>
      </c>
      <c r="BD426" s="105" t="n">
        <v>0</v>
      </c>
      <c r="BE426" s="105" t="n">
        <v>0</v>
      </c>
      <c r="BF426" s="105" t="n">
        <v>0</v>
      </c>
      <c r="BG426" s="105" t="n">
        <v>0</v>
      </c>
      <c r="BH426" s="105" t="n">
        <v>0</v>
      </c>
      <c r="BI426" s="105" t="n">
        <v>0</v>
      </c>
      <c r="BJ426" s="105" t="n">
        <v>0</v>
      </c>
      <c r="BK426" s="105" t="n">
        <v>0</v>
      </c>
      <c r="BL426" s="105" t="n">
        <v>0</v>
      </c>
      <c r="BM426" s="105" t="n">
        <v>0</v>
      </c>
      <c r="BN426" s="105" t="n">
        <v>0</v>
      </c>
      <c r="BO426" s="105" t="n">
        <v>0</v>
      </c>
      <c r="BP426" s="105" t="n">
        <v>0</v>
      </c>
      <c r="BQ426" s="105" t="n">
        <v>0</v>
      </c>
      <c r="BR426" s="106" t="n">
        <v>0.666666666666667</v>
      </c>
      <c r="BS426" s="106" t="n">
        <v>0.677777777777778</v>
      </c>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row>
    <row r="427" customFormat="false" ht="14.9" hidden="false" customHeight="false" outlineLevel="0" collapsed="false">
      <c r="A427" s="74" t="n">
        <f aca="false">MONTH(B427)</f>
        <v>9</v>
      </c>
      <c r="B427" s="135" t="n">
        <v>44445</v>
      </c>
      <c r="C427" s="128" t="s">
        <v>70</v>
      </c>
      <c r="D427" s="77" t="str">
        <f aca="false">IFERROR(VLOOKUP(E:E,'Item Data Support Sheet'!A:O,7,0),"")</f>
        <v>BOTTLE MOLDED</v>
      </c>
      <c r="E427" s="80" t="s">
        <v>215</v>
      </c>
      <c r="F427" s="122" t="s">
        <v>216</v>
      </c>
      <c r="G427" s="137" t="s">
        <v>80</v>
      </c>
      <c r="H427" s="79" t="str">
        <f aca="false">IFERROR(VLOOKUP(E:E,'Item Data Support Sheet'!A:O,2,0),"")</f>
        <v>KPP BOTTLE 200 ML MOULDED-WMG3B</v>
      </c>
      <c r="I427" s="80" t="s">
        <v>951</v>
      </c>
      <c r="J427" s="80" t="s">
        <v>143</v>
      </c>
      <c r="K427" s="81" t="n">
        <v>4</v>
      </c>
      <c r="L427" s="124" t="n">
        <v>1200</v>
      </c>
      <c r="M427" s="83" t="n">
        <f aca="false">IFERROR(L427/K427,0)</f>
        <v>300</v>
      </c>
      <c r="N427" s="84" t="n">
        <f aca="false">+O427+Q427+T427+U427</f>
        <v>1150</v>
      </c>
      <c r="O427" s="85" t="n">
        <v>1104</v>
      </c>
      <c r="P427" s="86" t="n">
        <v>0.2</v>
      </c>
      <c r="Q427" s="86" t="n">
        <v>26</v>
      </c>
      <c r="R427" s="132" t="n">
        <v>0</v>
      </c>
      <c r="S427" s="128" t="n">
        <v>0</v>
      </c>
      <c r="T427" s="132" t="n">
        <v>20</v>
      </c>
      <c r="U427" s="128" t="n">
        <v>0</v>
      </c>
      <c r="V427" s="128" t="n">
        <v>1</v>
      </c>
      <c r="W427" s="90" t="n">
        <f aca="false">IFERROR(O427/V427,0)</f>
        <v>1104</v>
      </c>
      <c r="X427" s="91" t="n">
        <f aca="false">O427/L427</f>
        <v>0.92</v>
      </c>
      <c r="Y427" s="92" t="str">
        <f aca="false">IFERROR(VLOOKUP(E:E,'Item Data Support Sheet'!A:J,6,0),0)</f>
        <v>WMG3B</v>
      </c>
      <c r="Z427" s="93" t="n">
        <f aca="false">IFERROR(VLOOKUP(E:E,'Item Data Support Sheet'!A:O,4,0),0)</f>
        <v>28.6</v>
      </c>
      <c r="AA427" s="93" t="n">
        <f aca="false">IFERROR(((N427)*(Z427/1000))+P427,0)</f>
        <v>33.09</v>
      </c>
      <c r="AB427" s="94" t="n">
        <f aca="false">IFERROR((O427*(Z427/1000)/(AA427))," ")</f>
        <v>0.954197642792384</v>
      </c>
      <c r="AC427" s="95" t="n">
        <f aca="false">IFERROR((T427)/((T427)+O427),0)</f>
        <v>0.0177935943060498</v>
      </c>
      <c r="AD427" s="96" t="n">
        <f aca="false">IFERROR(Q427/(Q427+N427),0)</f>
        <v>0.022108843537415</v>
      </c>
      <c r="AE427" s="91" t="n">
        <f aca="false">(N427-T427)/N427</f>
        <v>0.982608695652174</v>
      </c>
      <c r="AF427" s="97" t="n">
        <f aca="false">BR427</f>
        <v>1.33333333333333</v>
      </c>
      <c r="AG427" s="98" t="n">
        <f aca="false">K427-AF427</f>
        <v>2.66666666666667</v>
      </c>
      <c r="AH427" s="99" t="n">
        <f aca="false">IFERROR(AG427/K427," ")</f>
        <v>0.666666666666668</v>
      </c>
      <c r="AI427" s="100" t="n">
        <f aca="false">IFERROR(O427/K427,0)</f>
        <v>276</v>
      </c>
      <c r="AJ427" s="101" t="n">
        <f aca="false">VLOOKUP(D427,'Standard Cycle time'!C:D,2,0)</f>
        <v>9</v>
      </c>
      <c r="AK427" s="101" t="n">
        <f aca="false">AG427*V427*3600/O427</f>
        <v>8.69565217391306</v>
      </c>
      <c r="AL427" s="102" t="n">
        <f aca="false">AJ427/AK427</f>
        <v>1.035</v>
      </c>
      <c r="AM427" s="99" t="n">
        <f aca="false">AE427*AL427*AH427</f>
        <v>0.678</v>
      </c>
      <c r="AN427" s="103" t="n">
        <v>3012</v>
      </c>
      <c r="AO427" s="112"/>
      <c r="AP427" s="105" t="n">
        <v>0</v>
      </c>
      <c r="AQ427" s="105" t="n">
        <v>0</v>
      </c>
      <c r="AR427" s="105" t="n">
        <v>0</v>
      </c>
      <c r="AS427" s="105" t="n">
        <v>0</v>
      </c>
      <c r="AT427" s="105" t="n">
        <v>0</v>
      </c>
      <c r="AU427" s="105" t="n">
        <v>0</v>
      </c>
      <c r="AV427" s="105" t="n">
        <v>50</v>
      </c>
      <c r="AW427" s="105" t="n">
        <v>0</v>
      </c>
      <c r="AX427" s="105" t="n">
        <v>0</v>
      </c>
      <c r="AY427" s="105" t="n">
        <v>0</v>
      </c>
      <c r="AZ427" s="105" t="n">
        <v>30</v>
      </c>
      <c r="BA427" s="105" t="n">
        <v>0</v>
      </c>
      <c r="BB427" s="105" t="n">
        <v>0</v>
      </c>
      <c r="BC427" s="105" t="n">
        <v>0</v>
      </c>
      <c r="BD427" s="105" t="n">
        <v>0</v>
      </c>
      <c r="BE427" s="105" t="n">
        <v>0</v>
      </c>
      <c r="BF427" s="105" t="n">
        <v>0</v>
      </c>
      <c r="BG427" s="105" t="n">
        <v>0</v>
      </c>
      <c r="BH427" s="105" t="n">
        <v>0</v>
      </c>
      <c r="BI427" s="105" t="n">
        <v>0</v>
      </c>
      <c r="BJ427" s="105" t="n">
        <v>0</v>
      </c>
      <c r="BK427" s="105" t="n">
        <v>0</v>
      </c>
      <c r="BL427" s="105" t="n">
        <v>0</v>
      </c>
      <c r="BM427" s="105" t="n">
        <v>0</v>
      </c>
      <c r="BN427" s="105" t="n">
        <v>0</v>
      </c>
      <c r="BO427" s="105" t="n">
        <v>0</v>
      </c>
      <c r="BP427" s="105" t="n">
        <v>0</v>
      </c>
      <c r="BQ427" s="105" t="n">
        <v>0</v>
      </c>
      <c r="BR427" s="106" t="n">
        <v>1.33333333333333</v>
      </c>
      <c r="BS427" s="106" t="n">
        <v>1.35555555555556</v>
      </c>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row>
    <row r="428" customFormat="false" ht="14.9" hidden="false" customHeight="false" outlineLevel="0" collapsed="false">
      <c r="A428" s="74" t="n">
        <f aca="false">MONTH(B428)</f>
        <v>9</v>
      </c>
      <c r="B428" s="135" t="n">
        <v>44445</v>
      </c>
      <c r="C428" s="128" t="s">
        <v>70</v>
      </c>
      <c r="D428" s="77" t="str">
        <f aca="false">IFERROR(VLOOKUP(E:E,'Item Data Support Sheet'!A:O,7,0),"")</f>
        <v>BOTTLE MOLDED</v>
      </c>
      <c r="E428" s="80" t="s">
        <v>72</v>
      </c>
      <c r="F428" s="122" t="s">
        <v>73</v>
      </c>
      <c r="G428" s="137" t="s">
        <v>74</v>
      </c>
      <c r="H428" s="79" t="str">
        <f aca="false">IFERROR(VLOOKUP(E:E,'Item Data Support Sheet'!A:O,2,0),"")</f>
        <v>KPP BOTTLE 240 ML MOULDED-WMG3B</v>
      </c>
      <c r="I428" s="80" t="s">
        <v>951</v>
      </c>
      <c r="J428" s="80" t="s">
        <v>143</v>
      </c>
      <c r="K428" s="81" t="n">
        <v>4</v>
      </c>
      <c r="L428" s="124" t="n">
        <v>1303</v>
      </c>
      <c r="M428" s="83" t="n">
        <f aca="false">IFERROR(L428/K428,0)</f>
        <v>325.75</v>
      </c>
      <c r="N428" s="84" t="n">
        <f aca="false">+O428+Q428+T428+U428</f>
        <v>1940</v>
      </c>
      <c r="O428" s="85" t="n">
        <v>1836</v>
      </c>
      <c r="P428" s="86" t="n">
        <v>0.43</v>
      </c>
      <c r="Q428" s="86" t="n">
        <v>44</v>
      </c>
      <c r="R428" s="132" t="n">
        <v>0</v>
      </c>
      <c r="S428" s="128" t="n">
        <v>0</v>
      </c>
      <c r="T428" s="132" t="n">
        <v>52</v>
      </c>
      <c r="U428" s="128" t="n">
        <v>8</v>
      </c>
      <c r="V428" s="128" t="n">
        <v>1</v>
      </c>
      <c r="W428" s="90" t="n">
        <f aca="false">IFERROR(O428/V428,0)</f>
        <v>1836</v>
      </c>
      <c r="X428" s="91" t="n">
        <f aca="false">O428/L428</f>
        <v>1.40905602455871</v>
      </c>
      <c r="Y428" s="92" t="str">
        <f aca="false">IFERROR(VLOOKUP(E:E,'Item Data Support Sheet'!A:J,6,0),0)</f>
        <v>WMG3B</v>
      </c>
      <c r="Z428" s="93" t="n">
        <f aca="false">IFERROR(VLOOKUP(E:E,'Item Data Support Sheet'!A:O,4,0),0)</f>
        <v>33.1</v>
      </c>
      <c r="AA428" s="93" t="n">
        <f aca="false">IFERROR(((N428)*(Z428/1000))+P428,0)</f>
        <v>64.644</v>
      </c>
      <c r="AB428" s="94" t="n">
        <f aca="false">IFERROR((O428*(Z428/1000)/(AA428))," ")</f>
        <v>0.940096528680156</v>
      </c>
      <c r="AC428" s="95" t="n">
        <f aca="false">IFERROR((T428)/((T428)+O428),0)</f>
        <v>0.0275423728813559</v>
      </c>
      <c r="AD428" s="96" t="n">
        <f aca="false">IFERROR(Q428/(Q428+N428),0)</f>
        <v>0.0221774193548387</v>
      </c>
      <c r="AE428" s="91" t="n">
        <f aca="false">(N428-T428)/N428</f>
        <v>0.97319587628866</v>
      </c>
      <c r="AF428" s="97" t="n">
        <f aca="false">BR428</f>
        <v>0</v>
      </c>
      <c r="AG428" s="98" t="n">
        <f aca="false">K428-AF428</f>
        <v>4</v>
      </c>
      <c r="AH428" s="99" t="n">
        <f aca="false">IFERROR(AG428/K428," ")</f>
        <v>1</v>
      </c>
      <c r="AI428" s="100" t="n">
        <f aca="false">IFERROR(O428/K428,0)</f>
        <v>459</v>
      </c>
      <c r="AJ428" s="101" t="n">
        <f aca="false">VLOOKUP(D428,'Standard Cycle time'!C:D,2,0)</f>
        <v>9</v>
      </c>
      <c r="AK428" s="101" t="n">
        <f aca="false">AG428*V428*3600/O428</f>
        <v>7.84313725490196</v>
      </c>
      <c r="AL428" s="102" t="n">
        <f aca="false">AJ428/AK428</f>
        <v>1.1475</v>
      </c>
      <c r="AM428" s="99" t="n">
        <f aca="false">AE428*AL428*AH428</f>
        <v>1.11674226804124</v>
      </c>
      <c r="AN428" s="103" t="n">
        <v>3023</v>
      </c>
      <c r="AO428" s="112" t="s">
        <v>952</v>
      </c>
      <c r="AP428" s="105" t="n">
        <v>0</v>
      </c>
      <c r="AQ428" s="105" t="n">
        <v>0</v>
      </c>
      <c r="AR428" s="105" t="n">
        <v>0</v>
      </c>
      <c r="AS428" s="105" t="n">
        <v>0</v>
      </c>
      <c r="AT428" s="105" t="n">
        <v>0</v>
      </c>
      <c r="AU428" s="105" t="n">
        <v>0</v>
      </c>
      <c r="AV428" s="105" t="n">
        <v>0</v>
      </c>
      <c r="AW428" s="105" t="n">
        <v>0</v>
      </c>
      <c r="AX428" s="105" t="n">
        <v>0</v>
      </c>
      <c r="AY428" s="105" t="n">
        <v>0</v>
      </c>
      <c r="AZ428" s="105" t="n">
        <v>0</v>
      </c>
      <c r="BA428" s="105" t="n">
        <v>0</v>
      </c>
      <c r="BB428" s="105" t="n">
        <v>0</v>
      </c>
      <c r="BC428" s="105" t="n">
        <v>0</v>
      </c>
      <c r="BD428" s="105" t="n">
        <v>0</v>
      </c>
      <c r="BE428" s="105" t="n">
        <v>0</v>
      </c>
      <c r="BF428" s="105" t="n">
        <v>0</v>
      </c>
      <c r="BG428" s="105" t="n">
        <v>0</v>
      </c>
      <c r="BH428" s="105" t="n">
        <v>0</v>
      </c>
      <c r="BI428" s="105" t="n">
        <v>0</v>
      </c>
      <c r="BJ428" s="105" t="n">
        <v>0</v>
      </c>
      <c r="BK428" s="105" t="n">
        <v>0</v>
      </c>
      <c r="BL428" s="105" t="n">
        <v>0</v>
      </c>
      <c r="BM428" s="105" t="n">
        <v>0</v>
      </c>
      <c r="BN428" s="105" t="n">
        <v>0</v>
      </c>
      <c r="BO428" s="105" t="n">
        <v>0</v>
      </c>
      <c r="BP428" s="105" t="n">
        <v>0</v>
      </c>
      <c r="BQ428" s="105" t="n">
        <v>0</v>
      </c>
      <c r="BR428" s="106" t="n">
        <v>0</v>
      </c>
      <c r="BS428" s="106" t="n">
        <v>0</v>
      </c>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row>
    <row r="429" customFormat="false" ht="14.9" hidden="false" customHeight="false" outlineLevel="0" collapsed="false">
      <c r="A429" s="74" t="n">
        <f aca="false">MONTH(B429)</f>
        <v>9</v>
      </c>
      <c r="B429" s="135" t="n">
        <v>44445</v>
      </c>
      <c r="C429" s="128" t="s">
        <v>70</v>
      </c>
      <c r="D429" s="77" t="str">
        <f aca="false">IFERROR(VLOOKUP(E:E,'Item Data Support Sheet'!A:O,7,0),"")</f>
        <v>NIPPLE MOLDED</v>
      </c>
      <c r="E429" s="80" t="s">
        <v>136</v>
      </c>
      <c r="F429" s="122" t="s">
        <v>137</v>
      </c>
      <c r="G429" s="137" t="s">
        <v>848</v>
      </c>
      <c r="H429" s="79" t="str">
        <f aca="false">IFERROR(VLOOKUP(E:E,'Item Data Support Sheet'!A:O,2,0),"")</f>
        <v>NIPPLE S TYPE M SIZE INJECTION</v>
      </c>
      <c r="I429" s="80" t="s">
        <v>953</v>
      </c>
      <c r="J429" s="80" t="s">
        <v>143</v>
      </c>
      <c r="K429" s="81" t="n">
        <v>8</v>
      </c>
      <c r="L429" s="124" t="n">
        <v>4814</v>
      </c>
      <c r="M429" s="83" t="n">
        <f aca="false">IFERROR(L429/K429,0)</f>
        <v>601.75</v>
      </c>
      <c r="N429" s="84" t="n">
        <f aca="false">+O429+Q429+T429+U429</f>
        <v>5100</v>
      </c>
      <c r="O429" s="85" t="n">
        <v>5000</v>
      </c>
      <c r="P429" s="86" t="n">
        <v>0</v>
      </c>
      <c r="Q429" s="86" t="n">
        <v>40</v>
      </c>
      <c r="R429" s="132" t="n">
        <v>0</v>
      </c>
      <c r="S429" s="128" t="n">
        <v>0</v>
      </c>
      <c r="T429" s="132" t="n">
        <v>60</v>
      </c>
      <c r="U429" s="128" t="n">
        <v>0</v>
      </c>
      <c r="V429" s="128" t="n">
        <v>1</v>
      </c>
      <c r="W429" s="90" t="n">
        <f aca="false">IFERROR(O429/V429,0)</f>
        <v>5000</v>
      </c>
      <c r="X429" s="91" t="n">
        <f aca="false">O429/L429</f>
        <v>1.0386373078521</v>
      </c>
      <c r="Y429" s="92" t="str">
        <f aca="false">IFERROR(VLOOKUP(E:E,'Item Data Support Sheet'!A:J,6,0),0)</f>
        <v>Silicon</v>
      </c>
      <c r="Z429" s="93" t="n">
        <f aca="false">IFERROR(VLOOKUP(E:E,'Item Data Support Sheet'!A:O,4,0),0)</f>
        <v>6.8</v>
      </c>
      <c r="AA429" s="93" t="n">
        <f aca="false">IFERROR(((N429)*(Z429/1000))+P429,0)</f>
        <v>34.68</v>
      </c>
      <c r="AB429" s="94" t="n">
        <f aca="false">IFERROR((O429*(Z429/1000)/(AA429))," ")</f>
        <v>0.980392156862745</v>
      </c>
      <c r="AC429" s="95" t="n">
        <f aca="false">IFERROR((T429)/((T429)+O429),0)</f>
        <v>0.0118577075098814</v>
      </c>
      <c r="AD429" s="96" t="n">
        <f aca="false">IFERROR(Q429/(Q429+N429),0)</f>
        <v>0.00778210116731518</v>
      </c>
      <c r="AE429" s="91" t="n">
        <f aca="false">(N429-T429)/N429</f>
        <v>0.988235294117647</v>
      </c>
      <c r="AF429" s="97" t="n">
        <f aca="false">BR429</f>
        <v>0.5</v>
      </c>
      <c r="AG429" s="98" t="n">
        <f aca="false">K429-AF429</f>
        <v>7.5</v>
      </c>
      <c r="AH429" s="99" t="n">
        <f aca="false">IFERROR(AG429/K429," ")</f>
        <v>0.9375</v>
      </c>
      <c r="AI429" s="100" t="n">
        <f aca="false">IFERROR(O429/K429,0)</f>
        <v>625</v>
      </c>
      <c r="AJ429" s="101" t="n">
        <f aca="false">VLOOKUP(D429,'Standard Cycle time'!C:D,2,0)</f>
        <v>5.25</v>
      </c>
      <c r="AK429" s="101" t="n">
        <f aca="false">AG429*V429*3600/O429</f>
        <v>5.4</v>
      </c>
      <c r="AL429" s="102" t="n">
        <f aca="false">AJ429/AK429</f>
        <v>0.972222222222222</v>
      </c>
      <c r="AM429" s="99" t="n">
        <f aca="false">AE429*AL429*AH429</f>
        <v>0.900735294117647</v>
      </c>
      <c r="AN429" s="103" t="n">
        <v>3022</v>
      </c>
      <c r="AO429" s="112" t="s">
        <v>811</v>
      </c>
      <c r="AP429" s="105" t="n">
        <v>0</v>
      </c>
      <c r="AQ429" s="105" t="n">
        <v>0</v>
      </c>
      <c r="AR429" s="105" t="n">
        <v>0</v>
      </c>
      <c r="AS429" s="105" t="n">
        <v>0</v>
      </c>
      <c r="AT429" s="105" t="n">
        <v>0</v>
      </c>
      <c r="AU429" s="105" t="n">
        <v>30</v>
      </c>
      <c r="AV429" s="105" t="n">
        <v>0</v>
      </c>
      <c r="AW429" s="105" t="n">
        <v>0</v>
      </c>
      <c r="AX429" s="105" t="n">
        <v>0</v>
      </c>
      <c r="AY429" s="105" t="n">
        <v>0</v>
      </c>
      <c r="AZ429" s="105" t="n">
        <v>0</v>
      </c>
      <c r="BA429" s="105" t="n">
        <v>0</v>
      </c>
      <c r="BB429" s="105" t="n">
        <v>0</v>
      </c>
      <c r="BC429" s="105" t="n">
        <v>0</v>
      </c>
      <c r="BD429" s="105" t="n">
        <v>0</v>
      </c>
      <c r="BE429" s="105" t="n">
        <v>0</v>
      </c>
      <c r="BF429" s="105" t="n">
        <v>0</v>
      </c>
      <c r="BG429" s="105" t="n">
        <v>0</v>
      </c>
      <c r="BH429" s="105" t="n">
        <v>0</v>
      </c>
      <c r="BI429" s="105" t="n">
        <v>0</v>
      </c>
      <c r="BJ429" s="105" t="n">
        <v>0</v>
      </c>
      <c r="BK429" s="105" t="n">
        <v>0</v>
      </c>
      <c r="BL429" s="105" t="n">
        <v>0</v>
      </c>
      <c r="BM429" s="105" t="n">
        <v>0</v>
      </c>
      <c r="BN429" s="105" t="n">
        <v>0</v>
      </c>
      <c r="BO429" s="105" t="n">
        <v>0</v>
      </c>
      <c r="BP429" s="105" t="n">
        <v>0</v>
      </c>
      <c r="BQ429" s="105" t="n">
        <v>0</v>
      </c>
      <c r="BR429" s="106" t="n">
        <v>0.5</v>
      </c>
      <c r="BS429" s="106" t="n">
        <v>0.508333333333333</v>
      </c>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row>
    <row r="430" customFormat="false" ht="14.9" hidden="false" customHeight="false" outlineLevel="0" collapsed="false">
      <c r="A430" s="74" t="n">
        <f aca="false">MONTH(B430)</f>
        <v>9</v>
      </c>
      <c r="B430" s="135" t="n">
        <v>44445</v>
      </c>
      <c r="C430" s="128" t="s">
        <v>70</v>
      </c>
      <c r="D430" s="77" t="str">
        <f aca="false">IFERROR(VLOOKUP(E:E,'Item Data Support Sheet'!A:O,7,0),"")</f>
        <v>NIPPLE POSTCURE</v>
      </c>
      <c r="E430" s="80" t="s">
        <v>62</v>
      </c>
      <c r="F430" s="122"/>
      <c r="G430" s="137" t="s">
        <v>149</v>
      </c>
      <c r="H430" s="79" t="str">
        <f aca="false">IFERROR(VLOOKUP(E:E,'Item Data Support Sheet'!A:O,2,0),"")</f>
        <v>NIPPLE S TYPE M SIZE POSTCURED</v>
      </c>
      <c r="I430" s="80" t="s">
        <v>954</v>
      </c>
      <c r="J430" s="80" t="s">
        <v>143</v>
      </c>
      <c r="K430" s="81" t="n">
        <v>8</v>
      </c>
      <c r="L430" s="124" t="n">
        <v>7000</v>
      </c>
      <c r="M430" s="83" t="n">
        <f aca="false">IFERROR(L430/K430,0)</f>
        <v>875</v>
      </c>
      <c r="N430" s="84" t="n">
        <f aca="false">+O430+Q430+T430+U430</f>
        <v>7000</v>
      </c>
      <c r="O430" s="85" t="n">
        <v>7000</v>
      </c>
      <c r="P430" s="86" t="n">
        <v>0</v>
      </c>
      <c r="Q430" s="86" t="n">
        <v>0</v>
      </c>
      <c r="R430" s="132" t="n">
        <v>0</v>
      </c>
      <c r="S430" s="128" t="n">
        <v>0</v>
      </c>
      <c r="T430" s="132" t="n">
        <v>0</v>
      </c>
      <c r="U430" s="128" t="n">
        <v>0</v>
      </c>
      <c r="V430" s="128" t="n">
        <v>1</v>
      </c>
      <c r="W430" s="90" t="n">
        <f aca="false">IFERROR(O430/V430,0)</f>
        <v>7000</v>
      </c>
      <c r="X430" s="91" t="n">
        <f aca="false">O430/L430</f>
        <v>1</v>
      </c>
      <c r="Y430" s="92" t="str">
        <f aca="false">IFERROR(VLOOKUP(E:E,'Item Data Support Sheet'!A:J,6,0),0)</f>
        <v>FO012</v>
      </c>
      <c r="Z430" s="93" t="n">
        <f aca="false">IFERROR(VLOOKUP(E:E,'Item Data Support Sheet'!A:O,4,0),0)</f>
        <v>0</v>
      </c>
      <c r="AA430" s="93" t="n">
        <f aca="false">IFERROR(((N430)*(Z430/1000))+P430,0)</f>
        <v>0</v>
      </c>
      <c r="AB430" s="94" t="str">
        <f aca="false">IFERROR((O430*(Z430/1000)/(AA430))," ")</f>
        <v> </v>
      </c>
      <c r="AC430" s="95" t="n">
        <f aca="false">IFERROR((T430)/((T430)+O430),0)</f>
        <v>0</v>
      </c>
      <c r="AD430" s="96" t="n">
        <f aca="false">IFERROR(Q430/(Q430+N430),0)</f>
        <v>0</v>
      </c>
      <c r="AE430" s="91" t="n">
        <f aca="false">(N430-T430)/N430</f>
        <v>1</v>
      </c>
      <c r="AF430" s="97" t="n">
        <f aca="false">BR430</f>
        <v>3.16666666666667</v>
      </c>
      <c r="AG430" s="98" t="n">
        <f aca="false">K430-AF430</f>
        <v>4.83333333333333</v>
      </c>
      <c r="AH430" s="99" t="n">
        <f aca="false">IFERROR(AG430/K430," ")</f>
        <v>0.604166666666666</v>
      </c>
      <c r="AI430" s="100" t="n">
        <f aca="false">IFERROR(O430/K430,0)</f>
        <v>875</v>
      </c>
      <c r="AJ430" s="101" t="n">
        <f aca="false">VLOOKUP(D430,'Standard Cycle time'!C:D,2,0)</f>
        <v>2.3</v>
      </c>
      <c r="AK430" s="101" t="n">
        <f aca="false">AG430*V430*3600/O430</f>
        <v>2.48571428571428</v>
      </c>
      <c r="AL430" s="102" t="n">
        <f aca="false">AJ430/AK430</f>
        <v>0.92528735632184</v>
      </c>
      <c r="AM430" s="99" t="n">
        <f aca="false">AE430*AL430*AH430</f>
        <v>0.559027777777778</v>
      </c>
      <c r="AN430" s="103" t="s">
        <v>955</v>
      </c>
      <c r="AO430" s="112" t="s">
        <v>461</v>
      </c>
      <c r="AP430" s="105" t="n">
        <v>40</v>
      </c>
      <c r="AQ430" s="105" t="n">
        <v>0</v>
      </c>
      <c r="AR430" s="105" t="n">
        <v>0</v>
      </c>
      <c r="AS430" s="105" t="n">
        <v>150</v>
      </c>
      <c r="AT430" s="105" t="n">
        <v>0</v>
      </c>
      <c r="AU430" s="105" t="n">
        <v>0</v>
      </c>
      <c r="AV430" s="105" t="n">
        <v>0</v>
      </c>
      <c r="AW430" s="105" t="n">
        <v>0</v>
      </c>
      <c r="AX430" s="105" t="n">
        <v>0</v>
      </c>
      <c r="AY430" s="105" t="n">
        <v>0</v>
      </c>
      <c r="AZ430" s="105" t="n">
        <v>0</v>
      </c>
      <c r="BA430" s="105" t="n">
        <v>0</v>
      </c>
      <c r="BB430" s="105" t="n">
        <v>0</v>
      </c>
      <c r="BC430" s="105" t="n">
        <v>0</v>
      </c>
      <c r="BD430" s="105" t="n">
        <v>0</v>
      </c>
      <c r="BE430" s="105" t="n">
        <v>0</v>
      </c>
      <c r="BF430" s="105" t="n">
        <v>0</v>
      </c>
      <c r="BG430" s="105" t="n">
        <v>0</v>
      </c>
      <c r="BH430" s="105" t="n">
        <v>0</v>
      </c>
      <c r="BI430" s="105" t="n">
        <v>0</v>
      </c>
      <c r="BJ430" s="105" t="n">
        <v>0</v>
      </c>
      <c r="BK430" s="105" t="n">
        <v>0</v>
      </c>
      <c r="BL430" s="105" t="n">
        <v>0</v>
      </c>
      <c r="BM430" s="105" t="n">
        <v>0</v>
      </c>
      <c r="BN430" s="105" t="n">
        <v>0</v>
      </c>
      <c r="BO430" s="105" t="n">
        <v>0</v>
      </c>
      <c r="BP430" s="105" t="n">
        <v>0</v>
      </c>
      <c r="BQ430" s="105" t="n">
        <v>0</v>
      </c>
      <c r="BR430" s="106" t="n">
        <v>3.16666666666667</v>
      </c>
      <c r="BS430" s="106" t="n">
        <v>3.21944444444444</v>
      </c>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row>
    <row r="431" customFormat="false" ht="14.9" hidden="false" customHeight="false" outlineLevel="0" collapsed="false">
      <c r="A431" s="74" t="n">
        <f aca="false">MONTH(B431)</f>
        <v>9</v>
      </c>
      <c r="B431" s="135" t="n">
        <v>44445</v>
      </c>
      <c r="C431" s="128" t="s">
        <v>70</v>
      </c>
      <c r="D431" s="77" t="str">
        <f aca="false">IFERROR(VLOOKUP(E:E,'Item Data Support Sheet'!A:O,7,0),"")</f>
        <v>HOOD MOLDED</v>
      </c>
      <c r="E431" s="80" t="s">
        <v>529</v>
      </c>
      <c r="F431" s="122"/>
      <c r="G431" s="137" t="s">
        <v>740</v>
      </c>
      <c r="H431" s="79" t="str">
        <f aca="false">IFERROR(VLOOKUP(E:E,'Item Data Support Sheet'!A:O,2,0),"")</f>
        <v>HOOD S TYPE MOLDED</v>
      </c>
      <c r="I431" s="80" t="s">
        <v>956</v>
      </c>
      <c r="J431" s="80" t="s">
        <v>143</v>
      </c>
      <c r="K431" s="81" t="n">
        <v>8</v>
      </c>
      <c r="L431" s="124" t="n">
        <v>4137</v>
      </c>
      <c r="M431" s="83" t="n">
        <f aca="false">IFERROR(L431/K431,0)</f>
        <v>517.125</v>
      </c>
      <c r="N431" s="84" t="n">
        <f aca="false">+O431+Q431+T431+U431</f>
        <v>5047</v>
      </c>
      <c r="O431" s="85" t="n">
        <v>5000</v>
      </c>
      <c r="P431" s="86" t="n">
        <v>0.1</v>
      </c>
      <c r="Q431" s="86" t="n">
        <v>27</v>
      </c>
      <c r="R431" s="132" t="n">
        <v>0</v>
      </c>
      <c r="S431" s="128" t="n">
        <v>0</v>
      </c>
      <c r="T431" s="132" t="n">
        <v>20</v>
      </c>
      <c r="U431" s="128" t="n">
        <v>0</v>
      </c>
      <c r="V431" s="128" t="n">
        <v>1</v>
      </c>
      <c r="W431" s="90" t="n">
        <f aca="false">IFERROR(O431/V431,0)</f>
        <v>5000</v>
      </c>
      <c r="X431" s="91" t="n">
        <f aca="false">O431/L431</f>
        <v>1.20860526951898</v>
      </c>
      <c r="Y431" s="92" t="str">
        <f aca="false">IFERROR(VLOOKUP(E:E,'Item Data Support Sheet'!A:J,6,0),0)</f>
        <v>HMC</v>
      </c>
      <c r="Z431" s="93" t="n">
        <f aca="false">IFERROR(VLOOKUP(E:E,'Item Data Support Sheet'!A:O,4,0),0)</f>
        <v>8.6</v>
      </c>
      <c r="AA431" s="93" t="n">
        <f aca="false">IFERROR(((N431)*(Z431/1000))+P431,0)</f>
        <v>43.5042</v>
      </c>
      <c r="AB431" s="94" t="n">
        <f aca="false">IFERROR((O431*(Z431/1000)/(AA431))," ")</f>
        <v>0.988410314406425</v>
      </c>
      <c r="AC431" s="95" t="n">
        <f aca="false">IFERROR((T431)/((T431)+O431),0)</f>
        <v>0.00398406374501992</v>
      </c>
      <c r="AD431" s="96" t="n">
        <f aca="false">IFERROR(Q431/(Q431+N431),0)</f>
        <v>0.0053212455656287</v>
      </c>
      <c r="AE431" s="91" t="n">
        <f aca="false">(N431-T431)/N431</f>
        <v>0.996037249851397</v>
      </c>
      <c r="AF431" s="97" t="n">
        <f aca="false">BR431</f>
        <v>0</v>
      </c>
      <c r="AG431" s="98" t="n">
        <f aca="false">K431-AF431</f>
        <v>8</v>
      </c>
      <c r="AH431" s="99" t="n">
        <f aca="false">IFERROR(AG431/K431," ")</f>
        <v>1</v>
      </c>
      <c r="AI431" s="100" t="n">
        <f aca="false">IFERROR(O431/K431,0)</f>
        <v>625</v>
      </c>
      <c r="AJ431" s="101" t="n">
        <f aca="false">VLOOKUP(D431,'Standard Cycle time'!C:D,2,0)</f>
        <v>6</v>
      </c>
      <c r="AK431" s="101" t="n">
        <f aca="false">AG431*V431*3600/O431</f>
        <v>5.76</v>
      </c>
      <c r="AL431" s="102" t="n">
        <f aca="false">AJ431/AK431</f>
        <v>1.04166666666667</v>
      </c>
      <c r="AM431" s="99" t="n">
        <f aca="false">AE431*AL431*AH431</f>
        <v>1.03753880192854</v>
      </c>
      <c r="AN431" s="103" t="n">
        <v>3021</v>
      </c>
      <c r="AO431" s="112" t="s">
        <v>957</v>
      </c>
      <c r="AP431" s="105" t="n">
        <v>0</v>
      </c>
      <c r="AQ431" s="105" t="n">
        <v>0</v>
      </c>
      <c r="AR431" s="105" t="n">
        <v>0</v>
      </c>
      <c r="AS431" s="105" t="n">
        <v>0</v>
      </c>
      <c r="AT431" s="105" t="n">
        <v>0</v>
      </c>
      <c r="AU431" s="105" t="n">
        <v>0</v>
      </c>
      <c r="AV431" s="105" t="n">
        <v>0</v>
      </c>
      <c r="AW431" s="105" t="n">
        <v>0</v>
      </c>
      <c r="AX431" s="105" t="n">
        <v>0</v>
      </c>
      <c r="AY431" s="105" t="n">
        <v>0</v>
      </c>
      <c r="AZ431" s="105" t="n">
        <v>0</v>
      </c>
      <c r="BA431" s="105" t="n">
        <v>0</v>
      </c>
      <c r="BB431" s="105" t="n">
        <v>0</v>
      </c>
      <c r="BC431" s="105" t="n">
        <v>0</v>
      </c>
      <c r="BD431" s="105" t="n">
        <v>0</v>
      </c>
      <c r="BE431" s="105" t="n">
        <v>0</v>
      </c>
      <c r="BF431" s="105" t="n">
        <v>0</v>
      </c>
      <c r="BG431" s="105" t="n">
        <v>0</v>
      </c>
      <c r="BH431" s="105" t="n">
        <v>0</v>
      </c>
      <c r="BI431" s="105" t="n">
        <v>0</v>
      </c>
      <c r="BJ431" s="105" t="n">
        <v>0</v>
      </c>
      <c r="BK431" s="105" t="n">
        <v>0</v>
      </c>
      <c r="BL431" s="105" t="n">
        <v>0</v>
      </c>
      <c r="BM431" s="105" t="n">
        <v>0</v>
      </c>
      <c r="BN431" s="105" t="n">
        <v>0</v>
      </c>
      <c r="BO431" s="105" t="n">
        <v>0</v>
      </c>
      <c r="BP431" s="105" t="n">
        <v>0</v>
      </c>
      <c r="BQ431" s="105" t="n">
        <v>0</v>
      </c>
      <c r="BR431" s="106" t="n">
        <v>0</v>
      </c>
      <c r="BS431" s="106" t="n">
        <v>0</v>
      </c>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row>
    <row r="432" customFormat="false" ht="14.9" hidden="false" customHeight="false" outlineLevel="0" collapsed="false">
      <c r="A432" s="74" t="n">
        <f aca="false">MONTH(B432)</f>
        <v>9</v>
      </c>
      <c r="B432" s="135" t="n">
        <v>44445</v>
      </c>
      <c r="C432" s="128" t="s">
        <v>152</v>
      </c>
      <c r="D432" s="77" t="str">
        <f aca="false">IFERROR(VLOOKUP(E:E,'Item Data Support Sheet'!A:O,7,0),"")</f>
        <v>BOTTLE MOLDED</v>
      </c>
      <c r="E432" s="80" t="s">
        <v>72</v>
      </c>
      <c r="F432" s="122" t="s">
        <v>73</v>
      </c>
      <c r="G432" s="137" t="s">
        <v>74</v>
      </c>
      <c r="H432" s="79" t="str">
        <f aca="false">IFERROR(VLOOKUP(E:E,'Item Data Support Sheet'!A:O,2,0),"")</f>
        <v>KPP BOTTLE 240 ML MOULDED-WMG3B</v>
      </c>
      <c r="I432" s="80" t="s">
        <v>958</v>
      </c>
      <c r="J432" s="80" t="s">
        <v>815</v>
      </c>
      <c r="K432" s="81" t="n">
        <v>8</v>
      </c>
      <c r="L432" s="124" t="n">
        <v>2503</v>
      </c>
      <c r="M432" s="83" t="n">
        <f aca="false">IFERROR(L432/K432,0)</f>
        <v>312.875</v>
      </c>
      <c r="N432" s="84" t="n">
        <f aca="false">+O432+Q432+T432+U432</f>
        <v>2946</v>
      </c>
      <c r="O432" s="85" t="n">
        <v>2808</v>
      </c>
      <c r="P432" s="86" t="n">
        <v>0.18</v>
      </c>
      <c r="Q432" s="86" t="n">
        <v>63</v>
      </c>
      <c r="R432" s="132" t="n">
        <v>0</v>
      </c>
      <c r="S432" s="128" t="n">
        <v>0</v>
      </c>
      <c r="T432" s="132" t="n">
        <v>67</v>
      </c>
      <c r="U432" s="128" t="n">
        <v>8</v>
      </c>
      <c r="V432" s="128" t="n">
        <v>1</v>
      </c>
      <c r="W432" s="90" t="n">
        <f aca="false">IFERROR(O432/V432,0)</f>
        <v>2808</v>
      </c>
      <c r="X432" s="91" t="n">
        <f aca="false">O432/L432</f>
        <v>1.12185377546944</v>
      </c>
      <c r="Y432" s="92" t="str">
        <f aca="false">IFERROR(VLOOKUP(E:E,'Item Data Support Sheet'!A:J,6,0),0)</f>
        <v>WMG3B</v>
      </c>
      <c r="Z432" s="93" t="n">
        <f aca="false">IFERROR(VLOOKUP(E:E,'Item Data Support Sheet'!A:O,4,0),0)</f>
        <v>33.1</v>
      </c>
      <c r="AA432" s="93" t="n">
        <f aca="false">IFERROR(((N432)*(Z432/1000))+P432,0)</f>
        <v>97.6926</v>
      </c>
      <c r="AB432" s="94" t="n">
        <f aca="false">IFERROR((O432*(Z432/1000)/(AA432))," ")</f>
        <v>0.951400617856419</v>
      </c>
      <c r="AC432" s="95" t="n">
        <f aca="false">IFERROR((T432)/((T432)+O432),0)</f>
        <v>0.023304347826087</v>
      </c>
      <c r="AD432" s="96" t="n">
        <f aca="false">IFERROR(Q432/(Q432+N432),0)</f>
        <v>0.0209371884346959</v>
      </c>
      <c r="AE432" s="91" t="n">
        <f aca="false">(N432-T432)/N432</f>
        <v>0.977257298031229</v>
      </c>
      <c r="AF432" s="97" t="n">
        <f aca="false">BR432</f>
        <v>0</v>
      </c>
      <c r="AG432" s="98" t="n">
        <f aca="false">K432-AF432</f>
        <v>8</v>
      </c>
      <c r="AH432" s="99" t="n">
        <f aca="false">IFERROR(AG432/K432," ")</f>
        <v>1</v>
      </c>
      <c r="AI432" s="100" t="n">
        <f aca="false">IFERROR(O432/K432,0)</f>
        <v>351</v>
      </c>
      <c r="AJ432" s="101" t="n">
        <f aca="false">VLOOKUP(D432,'Standard Cycle time'!C:D,2,0)</f>
        <v>9</v>
      </c>
      <c r="AK432" s="101" t="n">
        <f aca="false">AG432*V432*3600/O432</f>
        <v>10.2564102564103</v>
      </c>
      <c r="AL432" s="102" t="n">
        <f aca="false">AJ432/AK432</f>
        <v>0.8775</v>
      </c>
      <c r="AM432" s="99" t="n">
        <f aca="false">AE432*AL432*AH432</f>
        <v>0.857543279022403</v>
      </c>
      <c r="AN432" s="103" t="n">
        <v>3027</v>
      </c>
      <c r="AO432" s="112"/>
      <c r="AP432" s="105" t="n">
        <v>0</v>
      </c>
      <c r="AQ432" s="105" t="n">
        <v>0</v>
      </c>
      <c r="AR432" s="105" t="n">
        <v>0</v>
      </c>
      <c r="AS432" s="105" t="n">
        <v>0</v>
      </c>
      <c r="AT432" s="105" t="n">
        <v>0</v>
      </c>
      <c r="AU432" s="105" t="n">
        <v>0</v>
      </c>
      <c r="AV432" s="105" t="n">
        <v>0</v>
      </c>
      <c r="AW432" s="105" t="n">
        <v>0</v>
      </c>
      <c r="AX432" s="105" t="n">
        <v>0</v>
      </c>
      <c r="AY432" s="105" t="n">
        <v>0</v>
      </c>
      <c r="AZ432" s="105" t="n">
        <v>0</v>
      </c>
      <c r="BA432" s="105" t="n">
        <v>0</v>
      </c>
      <c r="BB432" s="105" t="n">
        <v>0</v>
      </c>
      <c r="BC432" s="105" t="n">
        <v>0</v>
      </c>
      <c r="BD432" s="105" t="n">
        <v>0</v>
      </c>
      <c r="BE432" s="105" t="n">
        <v>0</v>
      </c>
      <c r="BF432" s="105" t="n">
        <v>0</v>
      </c>
      <c r="BG432" s="105" t="n">
        <v>0</v>
      </c>
      <c r="BH432" s="105" t="n">
        <v>0</v>
      </c>
      <c r="BI432" s="105" t="n">
        <v>0</v>
      </c>
      <c r="BJ432" s="105" t="n">
        <v>0</v>
      </c>
      <c r="BK432" s="105" t="n">
        <v>0</v>
      </c>
      <c r="BL432" s="105" t="n">
        <v>0</v>
      </c>
      <c r="BM432" s="105" t="n">
        <v>0</v>
      </c>
      <c r="BN432" s="105" t="n">
        <v>0</v>
      </c>
      <c r="BO432" s="105" t="n">
        <v>0</v>
      </c>
      <c r="BP432" s="105" t="n">
        <v>0</v>
      </c>
      <c r="BQ432" s="105" t="n">
        <v>0</v>
      </c>
      <c r="BR432" s="106" t="n">
        <v>0</v>
      </c>
      <c r="BS432" s="106" t="n">
        <v>0</v>
      </c>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row>
    <row r="433" customFormat="false" ht="14.9" hidden="false" customHeight="false" outlineLevel="0" collapsed="false">
      <c r="A433" s="74" t="n">
        <f aca="false">MONTH(B433)</f>
        <v>9</v>
      </c>
      <c r="B433" s="135" t="n">
        <v>44445</v>
      </c>
      <c r="C433" s="128" t="s">
        <v>152</v>
      </c>
      <c r="D433" s="77" t="str">
        <f aca="false">IFERROR(VLOOKUP(E:E,'Item Data Support Sheet'!A:O,7,0),"")</f>
        <v>NIPPLE MOLDED</v>
      </c>
      <c r="E433" s="80" t="s">
        <v>136</v>
      </c>
      <c r="F433" s="122" t="s">
        <v>137</v>
      </c>
      <c r="G433" s="137" t="s">
        <v>848</v>
      </c>
      <c r="H433" s="79" t="str">
        <f aca="false">IFERROR(VLOOKUP(E:E,'Item Data Support Sheet'!A:O,2,0),"")</f>
        <v>NIPPLE S TYPE M SIZE INJECTION</v>
      </c>
      <c r="I433" s="80" t="s">
        <v>959</v>
      </c>
      <c r="J433" s="80" t="s">
        <v>815</v>
      </c>
      <c r="K433" s="81" t="n">
        <v>8</v>
      </c>
      <c r="L433" s="124" t="n">
        <v>4815</v>
      </c>
      <c r="M433" s="83" t="n">
        <f aca="false">IFERROR(L433/K433,0)</f>
        <v>601.875</v>
      </c>
      <c r="N433" s="84" t="n">
        <f aca="false">+O433+Q433+T433+U433</f>
        <v>4963</v>
      </c>
      <c r="O433" s="85" t="n">
        <v>4840</v>
      </c>
      <c r="P433" s="86" t="n">
        <v>0</v>
      </c>
      <c r="Q433" s="86" t="n">
        <v>47</v>
      </c>
      <c r="R433" s="132" t="n">
        <v>0</v>
      </c>
      <c r="S433" s="128" t="n">
        <v>0</v>
      </c>
      <c r="T433" s="132" t="n">
        <v>76</v>
      </c>
      <c r="U433" s="128" t="n">
        <v>0</v>
      </c>
      <c r="V433" s="128" t="n">
        <v>1</v>
      </c>
      <c r="W433" s="90" t="n">
        <f aca="false">IFERROR(O433/V433,0)</f>
        <v>4840</v>
      </c>
      <c r="X433" s="91" t="n">
        <f aca="false">O433/L433</f>
        <v>1.00519210799585</v>
      </c>
      <c r="Y433" s="92" t="str">
        <f aca="false">IFERROR(VLOOKUP(E:E,'Item Data Support Sheet'!A:J,6,0),0)</f>
        <v>Silicon</v>
      </c>
      <c r="Z433" s="93" t="n">
        <f aca="false">IFERROR(VLOOKUP(E:E,'Item Data Support Sheet'!A:O,4,0),0)</f>
        <v>6.8</v>
      </c>
      <c r="AA433" s="93" t="n">
        <f aca="false">IFERROR(((N433)*(Z433/1000))+P433,0)</f>
        <v>33.7484</v>
      </c>
      <c r="AB433" s="94" t="n">
        <f aca="false">IFERROR((O433*(Z433/1000)/(AA433))," ")</f>
        <v>0.975216602861173</v>
      </c>
      <c r="AC433" s="95" t="n">
        <f aca="false">IFERROR((T433)/((T433)+O433),0)</f>
        <v>0.015459723352319</v>
      </c>
      <c r="AD433" s="96" t="n">
        <f aca="false">IFERROR(Q433/(Q433+N433),0)</f>
        <v>0.0093812375249501</v>
      </c>
      <c r="AE433" s="91" t="n">
        <f aca="false">(N433-T433)/N433</f>
        <v>0.984686681442676</v>
      </c>
      <c r="AF433" s="97" t="n">
        <f aca="false">BR433</f>
        <v>0</v>
      </c>
      <c r="AG433" s="98" t="n">
        <f aca="false">K433-AF433</f>
        <v>8</v>
      </c>
      <c r="AH433" s="99" t="n">
        <f aca="false">IFERROR(AG433/K433," ")</f>
        <v>1</v>
      </c>
      <c r="AI433" s="100" t="n">
        <f aca="false">IFERROR(O433/K433,0)</f>
        <v>605</v>
      </c>
      <c r="AJ433" s="101" t="n">
        <f aca="false">VLOOKUP(D433,'Standard Cycle time'!C:D,2,0)</f>
        <v>5.25</v>
      </c>
      <c r="AK433" s="101" t="n">
        <f aca="false">AG433*V433*3600/O433</f>
        <v>5.9504132231405</v>
      </c>
      <c r="AL433" s="102" t="n">
        <f aca="false">AJ433/AK433</f>
        <v>0.882291666666667</v>
      </c>
      <c r="AM433" s="99" t="n">
        <f aca="false">AE433*AL433*AH433</f>
        <v>0.868780853314527</v>
      </c>
      <c r="AN433" s="103" t="n">
        <v>3066</v>
      </c>
      <c r="AO433" s="112" t="s">
        <v>811</v>
      </c>
      <c r="AP433" s="105" t="n">
        <v>0</v>
      </c>
      <c r="AQ433" s="105" t="n">
        <v>0</v>
      </c>
      <c r="AR433" s="105" t="n">
        <v>0</v>
      </c>
      <c r="AS433" s="105" t="n">
        <v>0</v>
      </c>
      <c r="AT433" s="105" t="n">
        <v>0</v>
      </c>
      <c r="AU433" s="105" t="n">
        <v>0</v>
      </c>
      <c r="AV433" s="105" t="n">
        <v>0</v>
      </c>
      <c r="AW433" s="105" t="n">
        <v>0</v>
      </c>
      <c r="AX433" s="105" t="n">
        <v>0</v>
      </c>
      <c r="AY433" s="105" t="n">
        <v>0</v>
      </c>
      <c r="AZ433" s="105" t="n">
        <v>0</v>
      </c>
      <c r="BA433" s="105" t="n">
        <v>0</v>
      </c>
      <c r="BB433" s="105" t="n">
        <v>0</v>
      </c>
      <c r="BC433" s="105" t="n">
        <v>0</v>
      </c>
      <c r="BD433" s="105" t="n">
        <v>0</v>
      </c>
      <c r="BE433" s="105" t="n">
        <v>0</v>
      </c>
      <c r="BF433" s="105" t="n">
        <v>0</v>
      </c>
      <c r="BG433" s="105" t="n">
        <v>0</v>
      </c>
      <c r="BH433" s="105" t="n">
        <v>0</v>
      </c>
      <c r="BI433" s="105" t="n">
        <v>0</v>
      </c>
      <c r="BJ433" s="105" t="n">
        <v>0</v>
      </c>
      <c r="BK433" s="105" t="n">
        <v>0</v>
      </c>
      <c r="BL433" s="105" t="n">
        <v>0</v>
      </c>
      <c r="BM433" s="105" t="n">
        <v>0</v>
      </c>
      <c r="BN433" s="105" t="n">
        <v>0</v>
      </c>
      <c r="BO433" s="105" t="n">
        <v>0</v>
      </c>
      <c r="BP433" s="105" t="n">
        <v>0</v>
      </c>
      <c r="BQ433" s="105" t="n">
        <v>0</v>
      </c>
      <c r="BR433" s="106" t="n">
        <v>0</v>
      </c>
      <c r="BS433" s="106" t="n">
        <v>0</v>
      </c>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row>
    <row r="434" customFormat="false" ht="14.9" hidden="false" customHeight="false" outlineLevel="0" collapsed="false">
      <c r="A434" s="74" t="n">
        <f aca="false">MONTH(B434)</f>
        <v>9</v>
      </c>
      <c r="B434" s="135" t="n">
        <v>44445</v>
      </c>
      <c r="C434" s="128" t="s">
        <v>152</v>
      </c>
      <c r="D434" s="77" t="str">
        <f aca="false">IFERROR(VLOOKUP(E:E,'Item Data Support Sheet'!A:O,7,0),"")</f>
        <v>HOOD MOLDED</v>
      </c>
      <c r="E434" s="80" t="s">
        <v>529</v>
      </c>
      <c r="F434" s="122"/>
      <c r="G434" s="137" t="s">
        <v>740</v>
      </c>
      <c r="H434" s="79" t="str">
        <f aca="false">IFERROR(VLOOKUP(E:E,'Item Data Support Sheet'!A:O,2,0),"")</f>
        <v>HOOD S TYPE MOLDED</v>
      </c>
      <c r="I434" s="80" t="s">
        <v>960</v>
      </c>
      <c r="J434" s="80" t="s">
        <v>815</v>
      </c>
      <c r="K434" s="81" t="n">
        <v>8</v>
      </c>
      <c r="L434" s="124" t="n">
        <v>4137</v>
      </c>
      <c r="M434" s="83" t="n">
        <f aca="false">IFERROR(L434/K434,0)</f>
        <v>517.125</v>
      </c>
      <c r="N434" s="84" t="n">
        <f aca="false">+O434+Q434+T434+U434</f>
        <v>5523</v>
      </c>
      <c r="O434" s="85" t="n">
        <v>5500</v>
      </c>
      <c r="P434" s="86" t="n">
        <v>0</v>
      </c>
      <c r="Q434" s="86" t="n">
        <v>0</v>
      </c>
      <c r="R434" s="132" t="n">
        <v>0</v>
      </c>
      <c r="S434" s="128" t="n">
        <v>0</v>
      </c>
      <c r="T434" s="132" t="n">
        <v>15</v>
      </c>
      <c r="U434" s="128" t="n">
        <v>8</v>
      </c>
      <c r="V434" s="128" t="n">
        <v>1</v>
      </c>
      <c r="W434" s="90" t="n">
        <f aca="false">IFERROR(O434/V434,0)</f>
        <v>5500</v>
      </c>
      <c r="X434" s="91" t="n">
        <f aca="false">O434/L434</f>
        <v>1.32946579647087</v>
      </c>
      <c r="Y434" s="92" t="str">
        <f aca="false">IFERROR(VLOOKUP(E:E,'Item Data Support Sheet'!A:J,6,0),0)</f>
        <v>HMC</v>
      </c>
      <c r="Z434" s="93" t="n">
        <f aca="false">IFERROR(VLOOKUP(E:E,'Item Data Support Sheet'!A:O,4,0),0)</f>
        <v>8.6</v>
      </c>
      <c r="AA434" s="93" t="n">
        <f aca="false">IFERROR(((N434)*(Z434/1000))+P434,0)</f>
        <v>47.4978</v>
      </c>
      <c r="AB434" s="94" t="n">
        <f aca="false">IFERROR((O434*(Z434/1000)/(AA434))," ")</f>
        <v>0.995835596596053</v>
      </c>
      <c r="AC434" s="95" t="n">
        <f aca="false">IFERROR((T434)/((T434)+O434),0)</f>
        <v>0.00271985494106981</v>
      </c>
      <c r="AD434" s="96" t="n">
        <f aca="false">IFERROR(Q434/(Q434+N434),0)</f>
        <v>0</v>
      </c>
      <c r="AE434" s="91" t="n">
        <f aca="false">(N434-T434)/N434</f>
        <v>0.997284084736556</v>
      </c>
      <c r="AF434" s="97" t="n">
        <f aca="false">BR434</f>
        <v>0</v>
      </c>
      <c r="AG434" s="98" t="n">
        <f aca="false">K434-AF434</f>
        <v>8</v>
      </c>
      <c r="AH434" s="99" t="n">
        <f aca="false">IFERROR(AG434/K434," ")</f>
        <v>1</v>
      </c>
      <c r="AI434" s="100" t="n">
        <f aca="false">IFERROR(O434/K434,0)</f>
        <v>687.5</v>
      </c>
      <c r="AJ434" s="101" t="n">
        <f aca="false">VLOOKUP(D434,'Standard Cycle time'!C:D,2,0)</f>
        <v>6</v>
      </c>
      <c r="AK434" s="101" t="n">
        <f aca="false">AG434*V434*3600/O434</f>
        <v>5.23636363636364</v>
      </c>
      <c r="AL434" s="102" t="n">
        <f aca="false">AJ434/AK434</f>
        <v>1.14583333333333</v>
      </c>
      <c r="AM434" s="99" t="n">
        <f aca="false">AE434*AL434*AH434</f>
        <v>1.14272134709397</v>
      </c>
      <c r="AN434" s="103" t="n">
        <v>3026</v>
      </c>
      <c r="AO434" s="112" t="s">
        <v>961</v>
      </c>
      <c r="AP434" s="105" t="n">
        <v>0</v>
      </c>
      <c r="AQ434" s="105" t="n">
        <v>0</v>
      </c>
      <c r="AR434" s="105" t="n">
        <v>0</v>
      </c>
      <c r="AS434" s="105" t="n">
        <v>0</v>
      </c>
      <c r="AT434" s="105" t="n">
        <v>0</v>
      </c>
      <c r="AU434" s="105" t="n">
        <v>0</v>
      </c>
      <c r="AV434" s="105" t="n">
        <v>0</v>
      </c>
      <c r="AW434" s="105" t="n">
        <v>0</v>
      </c>
      <c r="AX434" s="105" t="n">
        <v>0</v>
      </c>
      <c r="AY434" s="105" t="n">
        <v>0</v>
      </c>
      <c r="AZ434" s="105" t="n">
        <v>0</v>
      </c>
      <c r="BA434" s="105" t="n">
        <v>0</v>
      </c>
      <c r="BB434" s="105" t="n">
        <v>0</v>
      </c>
      <c r="BC434" s="105" t="n">
        <v>0</v>
      </c>
      <c r="BD434" s="105" t="n">
        <v>0</v>
      </c>
      <c r="BE434" s="105" t="n">
        <v>0</v>
      </c>
      <c r="BF434" s="105" t="n">
        <v>0</v>
      </c>
      <c r="BG434" s="105" t="n">
        <v>0</v>
      </c>
      <c r="BH434" s="105" t="n">
        <v>0</v>
      </c>
      <c r="BI434" s="105" t="n">
        <v>0</v>
      </c>
      <c r="BJ434" s="105" t="n">
        <v>0</v>
      </c>
      <c r="BK434" s="105" t="n">
        <v>0</v>
      </c>
      <c r="BL434" s="105" t="n">
        <v>0</v>
      </c>
      <c r="BM434" s="105" t="n">
        <v>0</v>
      </c>
      <c r="BN434" s="105" t="n">
        <v>0</v>
      </c>
      <c r="BO434" s="105" t="n">
        <v>0</v>
      </c>
      <c r="BP434" s="105" t="n">
        <v>0</v>
      </c>
      <c r="BQ434" s="105" t="n">
        <v>0</v>
      </c>
      <c r="BR434" s="106" t="n">
        <v>0</v>
      </c>
      <c r="BS434" s="106" t="n">
        <v>0</v>
      </c>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row>
    <row r="435" customFormat="false" ht="14.9" hidden="false" customHeight="false" outlineLevel="0" collapsed="false">
      <c r="A435" s="74" t="n">
        <f aca="false">MONTH(B435)</f>
        <v>9</v>
      </c>
      <c r="B435" s="135" t="n">
        <v>44445</v>
      </c>
      <c r="C435" s="128" t="s">
        <v>152</v>
      </c>
      <c r="D435" s="77" t="str">
        <f aca="false">IFERROR(VLOOKUP(E:E,'Item Data Support Sheet'!A:O,7,0),"")</f>
        <v>NIPPLE POSTCURE</v>
      </c>
      <c r="E435" s="80" t="s">
        <v>62</v>
      </c>
      <c r="F435" s="122"/>
      <c r="G435" s="137" t="s">
        <v>149</v>
      </c>
      <c r="H435" s="79" t="str">
        <f aca="false">IFERROR(VLOOKUP(E:E,'Item Data Support Sheet'!A:O,2,0),"")</f>
        <v>NIPPLE S TYPE M SIZE POSTCURED</v>
      </c>
      <c r="I435" s="80" t="s">
        <v>962</v>
      </c>
      <c r="J435" s="80" t="s">
        <v>815</v>
      </c>
      <c r="K435" s="81" t="n">
        <v>8</v>
      </c>
      <c r="L435" s="124" t="n">
        <v>7036</v>
      </c>
      <c r="M435" s="83" t="n">
        <f aca="false">IFERROR(L435/K435,0)</f>
        <v>879.5</v>
      </c>
      <c r="N435" s="84" t="n">
        <f aca="false">+O435+Q435+T435+U435</f>
        <v>4000</v>
      </c>
      <c r="O435" s="85" t="n">
        <v>4000</v>
      </c>
      <c r="P435" s="86" t="n">
        <v>0</v>
      </c>
      <c r="Q435" s="86" t="n">
        <v>0</v>
      </c>
      <c r="R435" s="132" t="n">
        <v>0</v>
      </c>
      <c r="S435" s="128" t="n">
        <v>0</v>
      </c>
      <c r="T435" s="132" t="n">
        <v>0</v>
      </c>
      <c r="U435" s="128" t="n">
        <v>0</v>
      </c>
      <c r="V435" s="128" t="n">
        <v>1</v>
      </c>
      <c r="W435" s="90" t="n">
        <f aca="false">IFERROR(O435/V435,0)</f>
        <v>4000</v>
      </c>
      <c r="X435" s="91" t="n">
        <f aca="false">O435/L435</f>
        <v>0.568504832291074</v>
      </c>
      <c r="Y435" s="92" t="str">
        <f aca="false">IFERROR(VLOOKUP(E:E,'Item Data Support Sheet'!A:J,6,0),0)</f>
        <v>FO012</v>
      </c>
      <c r="Z435" s="93" t="n">
        <f aca="false">IFERROR(VLOOKUP(E:E,'Item Data Support Sheet'!A:O,4,0),0)</f>
        <v>0</v>
      </c>
      <c r="AA435" s="93" t="n">
        <f aca="false">IFERROR(((N435)*(Z435/1000))+P435,0)</f>
        <v>0</v>
      </c>
      <c r="AB435" s="94" t="str">
        <f aca="false">IFERROR((O435*(Z435/1000)/(AA435))," ")</f>
        <v> </v>
      </c>
      <c r="AC435" s="95" t="n">
        <f aca="false">IFERROR((T435)/((T435)+O435),0)</f>
        <v>0</v>
      </c>
      <c r="AD435" s="96" t="n">
        <f aca="false">IFERROR(Q435/(Q435+N435),0)</f>
        <v>0</v>
      </c>
      <c r="AE435" s="91" t="n">
        <f aca="false">(N435-T435)/N435</f>
        <v>1</v>
      </c>
      <c r="AF435" s="97" t="n">
        <f aca="false">BR435</f>
        <v>5.5</v>
      </c>
      <c r="AG435" s="98" t="n">
        <f aca="false">K435-AF435</f>
        <v>2.5</v>
      </c>
      <c r="AH435" s="99" t="n">
        <f aca="false">IFERROR(AG435/K435," ")</f>
        <v>0.3125</v>
      </c>
      <c r="AI435" s="100" t="n">
        <f aca="false">IFERROR(O435/K435,0)</f>
        <v>500</v>
      </c>
      <c r="AJ435" s="101" t="n">
        <f aca="false">VLOOKUP(D435,'Standard Cycle time'!C:D,2,0)</f>
        <v>2.3</v>
      </c>
      <c r="AK435" s="101" t="n">
        <f aca="false">AG435*V435*3600/O435</f>
        <v>2.25</v>
      </c>
      <c r="AL435" s="102" t="n">
        <f aca="false">AJ435/AK435</f>
        <v>1.02222222222222</v>
      </c>
      <c r="AM435" s="99" t="n">
        <f aca="false">AE435*AL435*AH435</f>
        <v>0.319444444444444</v>
      </c>
      <c r="AN435" s="103" t="n">
        <v>3067</v>
      </c>
      <c r="AO435" s="112" t="s">
        <v>874</v>
      </c>
      <c r="AP435" s="105" t="n">
        <v>50</v>
      </c>
      <c r="AQ435" s="105" t="n">
        <v>0</v>
      </c>
      <c r="AR435" s="105" t="n">
        <v>0</v>
      </c>
      <c r="AS435" s="105" t="n">
        <v>280</v>
      </c>
      <c r="AT435" s="105" t="n">
        <v>0</v>
      </c>
      <c r="AU435" s="105" t="n">
        <v>0</v>
      </c>
      <c r="AV435" s="105" t="n">
        <v>0</v>
      </c>
      <c r="AW435" s="105" t="n">
        <v>0</v>
      </c>
      <c r="AX435" s="105" t="n">
        <v>0</v>
      </c>
      <c r="AY435" s="105" t="n">
        <v>0</v>
      </c>
      <c r="AZ435" s="105" t="n">
        <v>0</v>
      </c>
      <c r="BA435" s="105" t="n">
        <v>0</v>
      </c>
      <c r="BB435" s="105" t="n">
        <v>0</v>
      </c>
      <c r="BC435" s="105" t="n">
        <v>0</v>
      </c>
      <c r="BD435" s="105" t="n">
        <v>0</v>
      </c>
      <c r="BE435" s="105" t="n">
        <v>0</v>
      </c>
      <c r="BF435" s="105" t="n">
        <v>0</v>
      </c>
      <c r="BG435" s="105" t="n">
        <v>0</v>
      </c>
      <c r="BH435" s="105" t="n">
        <v>0</v>
      </c>
      <c r="BI435" s="105" t="n">
        <v>0</v>
      </c>
      <c r="BJ435" s="105" t="n">
        <v>0</v>
      </c>
      <c r="BK435" s="105" t="n">
        <v>0</v>
      </c>
      <c r="BL435" s="105" t="n">
        <v>0</v>
      </c>
      <c r="BM435" s="105" t="n">
        <v>0</v>
      </c>
      <c r="BN435" s="105" t="n">
        <v>0</v>
      </c>
      <c r="BO435" s="105" t="n">
        <v>0</v>
      </c>
      <c r="BP435" s="105" t="n">
        <v>0</v>
      </c>
      <c r="BQ435" s="105" t="n">
        <v>0</v>
      </c>
      <c r="BR435" s="106" t="n">
        <v>5.5</v>
      </c>
      <c r="BS435" s="106" t="n">
        <v>5.59166666666667</v>
      </c>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row>
    <row r="436" customFormat="false" ht="14.9" hidden="false" customHeight="false" outlineLevel="0" collapsed="false">
      <c r="A436" s="74" t="n">
        <f aca="false">MONTH(B436)</f>
        <v>9</v>
      </c>
      <c r="B436" s="135" t="n">
        <v>44446</v>
      </c>
      <c r="C436" s="128" t="s">
        <v>51</v>
      </c>
      <c r="D436" s="77" t="str">
        <f aca="false">IFERROR(VLOOKUP(E:E,'Item Data Support Sheet'!A:O,7,0),"")</f>
        <v>BOTTLE MOLDED</v>
      </c>
      <c r="E436" s="80" t="s">
        <v>72</v>
      </c>
      <c r="F436" s="122" t="s">
        <v>73</v>
      </c>
      <c r="G436" s="137" t="s">
        <v>74</v>
      </c>
      <c r="H436" s="79" t="str">
        <f aca="false">IFERROR(VLOOKUP(E:E,'Item Data Support Sheet'!A:O,2,0),"")</f>
        <v>KPP BOTTLE 240 ML MOULDED-WMG3B</v>
      </c>
      <c r="I436" s="80" t="s">
        <v>963</v>
      </c>
      <c r="J436" s="80" t="s">
        <v>148</v>
      </c>
      <c r="K436" s="81" t="n">
        <v>3</v>
      </c>
      <c r="L436" s="124" t="n">
        <v>1439</v>
      </c>
      <c r="M436" s="83" t="n">
        <f aca="false">IFERROR(L436/K436,0)</f>
        <v>479.666666666667</v>
      </c>
      <c r="N436" s="84" t="n">
        <f aca="false">+O436+Q436+T436+U436</f>
        <v>1507</v>
      </c>
      <c r="O436" s="85" t="n">
        <v>1439</v>
      </c>
      <c r="P436" s="86" t="n">
        <v>0.26</v>
      </c>
      <c r="Q436" s="86" t="n">
        <v>40</v>
      </c>
      <c r="R436" s="132" t="n">
        <v>0</v>
      </c>
      <c r="S436" s="128" t="n">
        <v>0</v>
      </c>
      <c r="T436" s="132" t="n">
        <v>20</v>
      </c>
      <c r="U436" s="128" t="n">
        <v>8</v>
      </c>
      <c r="V436" s="128" t="n">
        <v>1</v>
      </c>
      <c r="W436" s="90" t="n">
        <f aca="false">IFERROR(O436/V436,0)</f>
        <v>1439</v>
      </c>
      <c r="X436" s="91" t="n">
        <f aca="false">O436/L436</f>
        <v>1</v>
      </c>
      <c r="Y436" s="92" t="str">
        <f aca="false">IFERROR(VLOOKUP(E:E,'Item Data Support Sheet'!A:J,6,0),0)</f>
        <v>WMG3B</v>
      </c>
      <c r="Z436" s="93" t="n">
        <f aca="false">IFERROR(VLOOKUP(E:E,'Item Data Support Sheet'!A:O,4,0),0)</f>
        <v>33.1</v>
      </c>
      <c r="AA436" s="93" t="n">
        <f aca="false">IFERROR(((N436)*(Z436/1000))+P436,0)</f>
        <v>50.1417</v>
      </c>
      <c r="AB436" s="94" t="n">
        <f aca="false">IFERROR((O436*(Z436/1000)/(AA436))," ")</f>
        <v>0.949925909971142</v>
      </c>
      <c r="AC436" s="95" t="n">
        <f aca="false">IFERROR((T436)/((T436)+O436),0)</f>
        <v>0.0137080191912269</v>
      </c>
      <c r="AD436" s="96" t="n">
        <f aca="false">IFERROR(Q436/(Q436+N436),0)</f>
        <v>0.0258564964447317</v>
      </c>
      <c r="AE436" s="91" t="n">
        <f aca="false">(N436-T436)/N436</f>
        <v>0.986728599867286</v>
      </c>
      <c r="AF436" s="97" t="n">
        <f aca="false">BR436</f>
        <v>0</v>
      </c>
      <c r="AG436" s="98" t="n">
        <f aca="false">K436-AF436</f>
        <v>3</v>
      </c>
      <c r="AH436" s="99" t="n">
        <f aca="false">IFERROR(AG436/K436," ")</f>
        <v>1</v>
      </c>
      <c r="AI436" s="100" t="n">
        <f aca="false">IFERROR(O436/K436,0)</f>
        <v>479.666666666667</v>
      </c>
      <c r="AJ436" s="101" t="n">
        <f aca="false">VLOOKUP(D436,'Standard Cycle time'!C:D,2,0)</f>
        <v>9</v>
      </c>
      <c r="AK436" s="101" t="n">
        <f aca="false">AG436*V436*3600/O436</f>
        <v>7.50521195274496</v>
      </c>
      <c r="AL436" s="102" t="n">
        <f aca="false">AJ436/AK436</f>
        <v>1.19916666666667</v>
      </c>
      <c r="AM436" s="99" t="n">
        <f aca="false">AE436*AL436*AH436</f>
        <v>1.18325204600752</v>
      </c>
      <c r="AN436" s="103" t="s">
        <v>964</v>
      </c>
      <c r="AO436" s="112"/>
      <c r="AP436" s="105" t="n">
        <v>0</v>
      </c>
      <c r="AQ436" s="105" t="n">
        <v>0</v>
      </c>
      <c r="AR436" s="105" t="n">
        <v>0</v>
      </c>
      <c r="AS436" s="105" t="n">
        <v>0</v>
      </c>
      <c r="AT436" s="105" t="n">
        <v>0</v>
      </c>
      <c r="AU436" s="105" t="n">
        <v>0</v>
      </c>
      <c r="AV436" s="105" t="n">
        <v>0</v>
      </c>
      <c r="AW436" s="105" t="n">
        <v>0</v>
      </c>
      <c r="AX436" s="105" t="n">
        <v>0</v>
      </c>
      <c r="AY436" s="105" t="n">
        <v>0</v>
      </c>
      <c r="AZ436" s="105" t="n">
        <v>0</v>
      </c>
      <c r="BA436" s="105" t="n">
        <v>0</v>
      </c>
      <c r="BB436" s="105" t="n">
        <v>0</v>
      </c>
      <c r="BC436" s="105" t="n">
        <v>0</v>
      </c>
      <c r="BD436" s="105" t="n">
        <v>0</v>
      </c>
      <c r="BE436" s="105" t="n">
        <v>0</v>
      </c>
      <c r="BF436" s="105" t="n">
        <v>0</v>
      </c>
      <c r="BG436" s="105" t="n">
        <v>0</v>
      </c>
      <c r="BH436" s="105" t="n">
        <v>0</v>
      </c>
      <c r="BI436" s="105" t="n">
        <v>0</v>
      </c>
      <c r="BJ436" s="105" t="n">
        <v>0</v>
      </c>
      <c r="BK436" s="105" t="n">
        <v>0</v>
      </c>
      <c r="BL436" s="105" t="n">
        <v>0</v>
      </c>
      <c r="BM436" s="105" t="n">
        <v>0</v>
      </c>
      <c r="BN436" s="105" t="n">
        <v>0</v>
      </c>
      <c r="BO436" s="105" t="n">
        <v>0</v>
      </c>
      <c r="BP436" s="105" t="n">
        <v>0</v>
      </c>
      <c r="BQ436" s="105" t="n">
        <v>0</v>
      </c>
      <c r="BR436" s="106" t="n">
        <v>0</v>
      </c>
      <c r="BS436" s="106" t="n">
        <v>0</v>
      </c>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row>
    <row r="437" customFormat="false" ht="14.9" hidden="false" customHeight="false" outlineLevel="0" collapsed="false">
      <c r="A437" s="74" t="n">
        <f aca="false">MONTH(B437)</f>
        <v>9</v>
      </c>
      <c r="B437" s="135" t="n">
        <v>44446</v>
      </c>
      <c r="C437" s="128" t="s">
        <v>51</v>
      </c>
      <c r="D437" s="77" t="str">
        <f aca="false">IFERROR(VLOOKUP(E:E,'Item Data Support Sheet'!A:O,7,0),"")</f>
        <v>NIPPLE LASER MARKING</v>
      </c>
      <c r="E437" s="80" t="s">
        <v>932</v>
      </c>
      <c r="F437" s="122"/>
      <c r="G437" s="137" t="s">
        <v>517</v>
      </c>
      <c r="H437" s="79" t="str">
        <f aca="false">IFERROR(VLOOKUP(E:E,'Item Data Support Sheet'!A:O,2,0),"")</f>
        <v>NIPPLE S TYPE M SIZE PUNCHED LASER MARKED</v>
      </c>
      <c r="I437" s="80" t="s">
        <v>939</v>
      </c>
      <c r="J437" s="80" t="s">
        <v>148</v>
      </c>
      <c r="K437" s="81" t="n">
        <v>8</v>
      </c>
      <c r="L437" s="124" t="n">
        <v>7000</v>
      </c>
      <c r="M437" s="83" t="n">
        <f aca="false">IFERROR(L437/K437,0)</f>
        <v>875</v>
      </c>
      <c r="N437" s="84" t="n">
        <f aca="false">+O437+Q437+T437+U437</f>
        <v>7000</v>
      </c>
      <c r="O437" s="85" t="n">
        <v>7000</v>
      </c>
      <c r="P437" s="86" t="n">
        <v>0</v>
      </c>
      <c r="Q437" s="86" t="n">
        <v>0</v>
      </c>
      <c r="R437" s="132" t="n">
        <v>0</v>
      </c>
      <c r="S437" s="128" t="n">
        <v>0</v>
      </c>
      <c r="T437" s="132" t="n">
        <v>0</v>
      </c>
      <c r="U437" s="128" t="n">
        <v>0</v>
      </c>
      <c r="V437" s="128" t="n">
        <v>1</v>
      </c>
      <c r="W437" s="90" t="n">
        <f aca="false">IFERROR(O437/V437,0)</f>
        <v>7000</v>
      </c>
      <c r="X437" s="91" t="n">
        <f aca="false">O437/L437</f>
        <v>1</v>
      </c>
      <c r="Y437" s="92" t="str">
        <f aca="false">IFERROR(VLOOKUP(E:E,'Item Data Support Sheet'!A:J,6,0),0)</f>
        <v>FO020</v>
      </c>
      <c r="Z437" s="93" t="n">
        <f aca="false">IFERROR(VLOOKUP(E:E,'Item Data Support Sheet'!A:O,4,0),0)</f>
        <v>0</v>
      </c>
      <c r="AA437" s="93" t="n">
        <f aca="false">IFERROR(((N437)*(Z437/1000))+P437,0)</f>
        <v>0</v>
      </c>
      <c r="AB437" s="94" t="str">
        <f aca="false">IFERROR((O437*(Z437/1000)/(AA437))," ")</f>
        <v> </v>
      </c>
      <c r="AC437" s="95" t="n">
        <f aca="false">IFERROR((T437)/((T437)+O437),0)</f>
        <v>0</v>
      </c>
      <c r="AD437" s="96" t="n">
        <f aca="false">IFERROR(Q437/(Q437+N437),0)</f>
        <v>0</v>
      </c>
      <c r="AE437" s="91" t="n">
        <f aca="false">(N437-T437)/N437</f>
        <v>1</v>
      </c>
      <c r="AF437" s="97" t="n">
        <f aca="false">BR437</f>
        <v>1</v>
      </c>
      <c r="AG437" s="98" t="n">
        <f aca="false">K437-AF437</f>
        <v>7</v>
      </c>
      <c r="AH437" s="99" t="n">
        <f aca="false">IFERROR(AG437/K437," ")</f>
        <v>0.875</v>
      </c>
      <c r="AI437" s="100" t="n">
        <f aca="false">IFERROR(O437/K437,0)</f>
        <v>875</v>
      </c>
      <c r="AJ437" s="101" t="n">
        <f aca="false">VLOOKUP(D437,'Standard Cycle time'!C:D,2,0)</f>
        <v>3.5</v>
      </c>
      <c r="AK437" s="101" t="n">
        <f aca="false">AG437*V437*3600/O437</f>
        <v>3.6</v>
      </c>
      <c r="AL437" s="102" t="n">
        <f aca="false">AJ437/AK437</f>
        <v>0.972222222222222</v>
      </c>
      <c r="AM437" s="99" t="n">
        <f aca="false">AE437*AL437*AH437</f>
        <v>0.850694444444444</v>
      </c>
      <c r="AN437" s="103" t="s">
        <v>965</v>
      </c>
      <c r="AO437" s="112"/>
      <c r="AP437" s="105" t="n">
        <v>0</v>
      </c>
      <c r="AQ437" s="105" t="n">
        <v>0</v>
      </c>
      <c r="AR437" s="105" t="n">
        <v>0</v>
      </c>
      <c r="AS437" s="105" t="n">
        <v>0</v>
      </c>
      <c r="AT437" s="105" t="n">
        <v>0</v>
      </c>
      <c r="AU437" s="105" t="n">
        <v>0</v>
      </c>
      <c r="AV437" s="105" t="n">
        <v>60</v>
      </c>
      <c r="AW437" s="105" t="n">
        <v>0</v>
      </c>
      <c r="AX437" s="105" t="n">
        <v>0</v>
      </c>
      <c r="AY437" s="105" t="n">
        <v>0</v>
      </c>
      <c r="AZ437" s="105" t="n">
        <v>0</v>
      </c>
      <c r="BA437" s="105" t="n">
        <v>0</v>
      </c>
      <c r="BB437" s="105" t="n">
        <v>0</v>
      </c>
      <c r="BC437" s="105" t="n">
        <v>0</v>
      </c>
      <c r="BD437" s="105" t="n">
        <v>0</v>
      </c>
      <c r="BE437" s="105" t="n">
        <v>0</v>
      </c>
      <c r="BF437" s="105" t="n">
        <v>0</v>
      </c>
      <c r="BG437" s="105" t="n">
        <v>0</v>
      </c>
      <c r="BH437" s="105" t="n">
        <v>0</v>
      </c>
      <c r="BI437" s="105" t="n">
        <v>0</v>
      </c>
      <c r="BJ437" s="105" t="n">
        <v>0</v>
      </c>
      <c r="BK437" s="105" t="n">
        <v>0</v>
      </c>
      <c r="BL437" s="105" t="n">
        <v>0</v>
      </c>
      <c r="BM437" s="105" t="n">
        <v>0</v>
      </c>
      <c r="BN437" s="105" t="n">
        <v>0</v>
      </c>
      <c r="BO437" s="105" t="n">
        <v>0</v>
      </c>
      <c r="BP437" s="105" t="n">
        <v>0</v>
      </c>
      <c r="BQ437" s="105" t="n">
        <v>0</v>
      </c>
      <c r="BR437" s="106" t="n">
        <v>1</v>
      </c>
      <c r="BS437" s="106" t="n">
        <v>1.01666666666667</v>
      </c>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row>
    <row r="438" customFormat="false" ht="14.9" hidden="false" customHeight="false" outlineLevel="0" collapsed="false">
      <c r="A438" s="74" t="n">
        <f aca="false">MONTH(B438)</f>
        <v>9</v>
      </c>
      <c r="B438" s="135" t="n">
        <v>44446</v>
      </c>
      <c r="C438" s="128" t="s">
        <v>51</v>
      </c>
      <c r="D438" s="77" t="str">
        <f aca="false">IFERROR(VLOOKUP(E:E,'Item Data Support Sheet'!A:O,7,0),"")</f>
        <v>NIPPLE PUNCH</v>
      </c>
      <c r="E438" s="80" t="s">
        <v>60</v>
      </c>
      <c r="F438" s="122"/>
      <c r="G438" s="137" t="s">
        <v>54</v>
      </c>
      <c r="H438" s="79" t="str">
        <f aca="false">IFERROR(VLOOKUP(E:E,'Item Data Support Sheet'!A:O,2,0),"")</f>
        <v>NIPPLE S TYPE M SIZE PUNCHED</v>
      </c>
      <c r="I438" s="80" t="s">
        <v>966</v>
      </c>
      <c r="J438" s="80" t="s">
        <v>148</v>
      </c>
      <c r="K438" s="81" t="n">
        <v>8</v>
      </c>
      <c r="L438" s="124" t="n">
        <v>7000</v>
      </c>
      <c r="M438" s="83" t="n">
        <f aca="false">IFERROR(L438/K438,0)</f>
        <v>875</v>
      </c>
      <c r="N438" s="84" t="n">
        <f aca="false">+O438+Q438+T438+U438</f>
        <v>7000</v>
      </c>
      <c r="O438" s="85" t="n">
        <v>7000</v>
      </c>
      <c r="P438" s="86" t="n">
        <v>0</v>
      </c>
      <c r="Q438" s="86" t="n">
        <v>0</v>
      </c>
      <c r="R438" s="132" t="n">
        <v>0</v>
      </c>
      <c r="S438" s="128" t="n">
        <v>0</v>
      </c>
      <c r="T438" s="132" t="n">
        <v>0</v>
      </c>
      <c r="U438" s="128" t="n">
        <v>0</v>
      </c>
      <c r="V438" s="128" t="n">
        <v>1</v>
      </c>
      <c r="W438" s="90" t="n">
        <f aca="false">IFERROR(O438/V438,0)</f>
        <v>7000</v>
      </c>
      <c r="X438" s="91" t="n">
        <f aca="false">O438/L438</f>
        <v>1</v>
      </c>
      <c r="Y438" s="92" t="str">
        <f aca="false">IFERROR(VLOOKUP(E:E,'Item Data Support Sheet'!A:J,6,0),0)</f>
        <v>FO016</v>
      </c>
      <c r="Z438" s="93" t="n">
        <f aca="false">IFERROR(VLOOKUP(E:E,'Item Data Support Sheet'!A:O,4,0),0)</f>
        <v>0</v>
      </c>
      <c r="AA438" s="93" t="n">
        <f aca="false">IFERROR(((N438)*(Z438/1000))+P438,0)</f>
        <v>0</v>
      </c>
      <c r="AB438" s="94" t="str">
        <f aca="false">IFERROR((O438*(Z438/1000)/(AA438))," ")</f>
        <v> </v>
      </c>
      <c r="AC438" s="95" t="n">
        <f aca="false">IFERROR((T438)/((T438)+O438),0)</f>
        <v>0</v>
      </c>
      <c r="AD438" s="96" t="n">
        <f aca="false">IFERROR(Q438/(Q438+N438),0)</f>
        <v>0</v>
      </c>
      <c r="AE438" s="91" t="n">
        <f aca="false">(N438-T438)/N438</f>
        <v>1</v>
      </c>
      <c r="AF438" s="97" t="n">
        <f aca="false">BR438</f>
        <v>0</v>
      </c>
      <c r="AG438" s="98" t="n">
        <f aca="false">K438-AF438</f>
        <v>8</v>
      </c>
      <c r="AH438" s="99" t="n">
        <f aca="false">IFERROR(AG438/K438," ")</f>
        <v>1</v>
      </c>
      <c r="AI438" s="100" t="n">
        <f aca="false">IFERROR(O438/K438,0)</f>
        <v>875</v>
      </c>
      <c r="AJ438" s="101" t="n">
        <f aca="false">VLOOKUP(D438,'Standard Cycle time'!C:D,2,0)</f>
        <v>3.5</v>
      </c>
      <c r="AK438" s="101" t="n">
        <f aca="false">AG438*V438*3600/O438</f>
        <v>4.11428571428571</v>
      </c>
      <c r="AL438" s="102" t="n">
        <f aca="false">AJ438/AK438</f>
        <v>0.850694444444444</v>
      </c>
      <c r="AM438" s="99" t="n">
        <f aca="false">AE438*AL438*AH438</f>
        <v>0.850694444444444</v>
      </c>
      <c r="AN438" s="103" t="s">
        <v>967</v>
      </c>
      <c r="AO438" s="112"/>
      <c r="AP438" s="105" t="n">
        <v>0</v>
      </c>
      <c r="AQ438" s="105" t="n">
        <v>0</v>
      </c>
      <c r="AR438" s="105" t="n">
        <v>0</v>
      </c>
      <c r="AS438" s="105" t="n">
        <v>0</v>
      </c>
      <c r="AT438" s="105" t="n">
        <v>0</v>
      </c>
      <c r="AU438" s="105" t="n">
        <v>0</v>
      </c>
      <c r="AV438" s="105" t="n">
        <v>0</v>
      </c>
      <c r="AW438" s="105" t="n">
        <v>0</v>
      </c>
      <c r="AX438" s="105" t="n">
        <v>0</v>
      </c>
      <c r="AY438" s="105" t="n">
        <v>0</v>
      </c>
      <c r="AZ438" s="105" t="n">
        <v>0</v>
      </c>
      <c r="BA438" s="105" t="n">
        <v>0</v>
      </c>
      <c r="BB438" s="105" t="n">
        <v>0</v>
      </c>
      <c r="BC438" s="105" t="n">
        <v>0</v>
      </c>
      <c r="BD438" s="105" t="n">
        <v>0</v>
      </c>
      <c r="BE438" s="105" t="n">
        <v>0</v>
      </c>
      <c r="BF438" s="105" t="n">
        <v>0</v>
      </c>
      <c r="BG438" s="105" t="n">
        <v>0</v>
      </c>
      <c r="BH438" s="105" t="n">
        <v>0</v>
      </c>
      <c r="BI438" s="105" t="n">
        <v>0</v>
      </c>
      <c r="BJ438" s="105" t="n">
        <v>0</v>
      </c>
      <c r="BK438" s="105" t="n">
        <v>0</v>
      </c>
      <c r="BL438" s="105" t="n">
        <v>0</v>
      </c>
      <c r="BM438" s="105" t="n">
        <v>0</v>
      </c>
      <c r="BN438" s="105" t="n">
        <v>0</v>
      </c>
      <c r="BO438" s="105" t="n">
        <v>0</v>
      </c>
      <c r="BP438" s="105" t="n">
        <v>0</v>
      </c>
      <c r="BQ438" s="105" t="n">
        <v>0</v>
      </c>
      <c r="BR438" s="106" t="n">
        <v>0</v>
      </c>
      <c r="BS438" s="106" t="n">
        <v>0</v>
      </c>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row>
    <row r="439" customFormat="false" ht="14.9" hidden="false" customHeight="false" outlineLevel="0" collapsed="false">
      <c r="A439" s="74" t="n">
        <f aca="false">MONTH(B439)</f>
        <v>9</v>
      </c>
      <c r="B439" s="135" t="n">
        <v>44446</v>
      </c>
      <c r="C439" s="128" t="s">
        <v>51</v>
      </c>
      <c r="D439" s="77" t="str">
        <f aca="false">IFERROR(VLOOKUP(E:E,'Item Data Support Sheet'!A:O,7,0),"")</f>
        <v>HOOD MOLDED</v>
      </c>
      <c r="E439" s="80" t="s">
        <v>529</v>
      </c>
      <c r="F439" s="122"/>
      <c r="G439" s="137" t="s">
        <v>740</v>
      </c>
      <c r="H439" s="79" t="str">
        <f aca="false">IFERROR(VLOOKUP(E:E,'Item Data Support Sheet'!A:O,2,0),"")</f>
        <v>HOOD S TYPE MOLDED</v>
      </c>
      <c r="I439" s="80" t="s">
        <v>968</v>
      </c>
      <c r="J439" s="80" t="s">
        <v>148</v>
      </c>
      <c r="K439" s="81" t="n">
        <v>8</v>
      </c>
      <c r="L439" s="124" t="n">
        <v>4137</v>
      </c>
      <c r="M439" s="83" t="n">
        <f aca="false">IFERROR(L439/K439,0)</f>
        <v>517.125</v>
      </c>
      <c r="N439" s="84" t="n">
        <f aca="false">+O439+Q439+T439+U439</f>
        <v>5512</v>
      </c>
      <c r="O439" s="85" t="n">
        <v>5500</v>
      </c>
      <c r="P439" s="86" t="n">
        <v>0</v>
      </c>
      <c r="Q439" s="86" t="n">
        <v>0</v>
      </c>
      <c r="R439" s="132" t="n">
        <v>0</v>
      </c>
      <c r="S439" s="128" t="n">
        <v>0</v>
      </c>
      <c r="T439" s="132" t="n">
        <v>4</v>
      </c>
      <c r="U439" s="128" t="n">
        <v>8</v>
      </c>
      <c r="V439" s="128" t="n">
        <v>1</v>
      </c>
      <c r="W439" s="90" t="n">
        <f aca="false">IFERROR(O439/V439,0)</f>
        <v>5500</v>
      </c>
      <c r="X439" s="91" t="n">
        <f aca="false">O439/L439</f>
        <v>1.32946579647087</v>
      </c>
      <c r="Y439" s="92" t="str">
        <f aca="false">IFERROR(VLOOKUP(E:E,'Item Data Support Sheet'!A:J,6,0),0)</f>
        <v>HMC</v>
      </c>
      <c r="Z439" s="93" t="n">
        <f aca="false">IFERROR(VLOOKUP(E:E,'Item Data Support Sheet'!A:O,4,0),0)</f>
        <v>8.6</v>
      </c>
      <c r="AA439" s="93" t="n">
        <f aca="false">IFERROR(((N439)*(Z439/1000))+P439,0)</f>
        <v>47.4032</v>
      </c>
      <c r="AB439" s="94" t="n">
        <f aca="false">IFERROR((O439*(Z439/1000)/(AA439))," ")</f>
        <v>0.997822931785196</v>
      </c>
      <c r="AC439" s="95" t="n">
        <f aca="false">IFERROR((T439)/((T439)+O439),0)</f>
        <v>0.000726744186046512</v>
      </c>
      <c r="AD439" s="96" t="n">
        <f aca="false">IFERROR(Q439/(Q439+N439),0)</f>
        <v>0</v>
      </c>
      <c r="AE439" s="91" t="n">
        <f aca="false">(N439-T439)/N439</f>
        <v>0.999274310595065</v>
      </c>
      <c r="AF439" s="97" t="n">
        <f aca="false">BR439</f>
        <v>0</v>
      </c>
      <c r="AG439" s="98" t="n">
        <f aca="false">K439-AF439</f>
        <v>8</v>
      </c>
      <c r="AH439" s="99" t="n">
        <f aca="false">IFERROR(AG439/K439," ")</f>
        <v>1</v>
      </c>
      <c r="AI439" s="100" t="n">
        <f aca="false">IFERROR(O439/K439,0)</f>
        <v>687.5</v>
      </c>
      <c r="AJ439" s="101" t="n">
        <f aca="false">VLOOKUP(D439,'Standard Cycle time'!C:D,2,0)</f>
        <v>6</v>
      </c>
      <c r="AK439" s="101" t="n">
        <f aca="false">AG439*V439*3600/O439</f>
        <v>5.23636363636364</v>
      </c>
      <c r="AL439" s="102" t="n">
        <f aca="false">AJ439/AK439</f>
        <v>1.14583333333333</v>
      </c>
      <c r="AM439" s="99" t="n">
        <f aca="false">AE439*AL439*AH439</f>
        <v>1.14500181422351</v>
      </c>
      <c r="AN439" s="103" t="n">
        <v>3036</v>
      </c>
      <c r="AO439" s="112"/>
      <c r="AP439" s="105" t="n">
        <v>0</v>
      </c>
      <c r="AQ439" s="105" t="n">
        <v>0</v>
      </c>
      <c r="AR439" s="105" t="n">
        <v>0</v>
      </c>
      <c r="AS439" s="105" t="n">
        <v>0</v>
      </c>
      <c r="AT439" s="105" t="n">
        <v>0</v>
      </c>
      <c r="AU439" s="105" t="n">
        <v>0</v>
      </c>
      <c r="AV439" s="105" t="n">
        <v>0</v>
      </c>
      <c r="AW439" s="105" t="n">
        <v>0</v>
      </c>
      <c r="AX439" s="105" t="n">
        <v>0</v>
      </c>
      <c r="AY439" s="105" t="n">
        <v>0</v>
      </c>
      <c r="AZ439" s="105" t="n">
        <v>0</v>
      </c>
      <c r="BA439" s="105" t="n">
        <v>0</v>
      </c>
      <c r="BB439" s="105" t="n">
        <v>0</v>
      </c>
      <c r="BC439" s="105" t="n">
        <v>0</v>
      </c>
      <c r="BD439" s="105" t="n">
        <v>0</v>
      </c>
      <c r="BE439" s="105" t="n">
        <v>0</v>
      </c>
      <c r="BF439" s="105" t="n">
        <v>0</v>
      </c>
      <c r="BG439" s="105" t="n">
        <v>0</v>
      </c>
      <c r="BH439" s="105" t="n">
        <v>0</v>
      </c>
      <c r="BI439" s="105" t="n">
        <v>0</v>
      </c>
      <c r="BJ439" s="105" t="n">
        <v>0</v>
      </c>
      <c r="BK439" s="105" t="n">
        <v>0</v>
      </c>
      <c r="BL439" s="105" t="n">
        <v>0</v>
      </c>
      <c r="BM439" s="105" t="n">
        <v>0</v>
      </c>
      <c r="BN439" s="105" t="n">
        <v>0</v>
      </c>
      <c r="BO439" s="105" t="n">
        <v>0</v>
      </c>
      <c r="BP439" s="105" t="n">
        <v>0</v>
      </c>
      <c r="BQ439" s="105" t="n">
        <v>0</v>
      </c>
      <c r="BR439" s="106" t="n">
        <v>0</v>
      </c>
      <c r="BS439" s="106" t="n">
        <v>0</v>
      </c>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row>
    <row r="440" customFormat="false" ht="14.9" hidden="false" customHeight="false" outlineLevel="0" collapsed="false">
      <c r="A440" s="74" t="n">
        <f aca="false">MONTH(B440)</f>
        <v>9</v>
      </c>
      <c r="B440" s="135" t="n">
        <v>44446</v>
      </c>
      <c r="C440" s="128" t="s">
        <v>51</v>
      </c>
      <c r="D440" s="77" t="str">
        <f aca="false">IFERROR(VLOOKUP(E:E,'Item Data Support Sheet'!A:O,7,0),"")</f>
        <v>BOTTLE PRINTED</v>
      </c>
      <c r="E440" s="80" t="s">
        <v>229</v>
      </c>
      <c r="F440" s="122"/>
      <c r="G440" s="137" t="s">
        <v>66</v>
      </c>
      <c r="H440" s="79" t="str">
        <f aca="false">IFERROR(VLOOKUP(E:E,'Item Data Support Sheet'!A:O,2,0),"")</f>
        <v>KPP BOTTLE 200 ML PRINTED-WMG3B</v>
      </c>
      <c r="I440" s="80" t="s">
        <v>969</v>
      </c>
      <c r="J440" s="80" t="s">
        <v>143</v>
      </c>
      <c r="K440" s="81" t="n">
        <v>8</v>
      </c>
      <c r="L440" s="124" t="n">
        <v>5100</v>
      </c>
      <c r="M440" s="83" t="n">
        <f aca="false">IFERROR(L440/K440,0)</f>
        <v>637.5</v>
      </c>
      <c r="N440" s="84" t="n">
        <f aca="false">+O440+Q440+T440+U440</f>
        <v>1556</v>
      </c>
      <c r="O440" s="85" t="n">
        <v>1545</v>
      </c>
      <c r="P440" s="86" t="n">
        <v>0</v>
      </c>
      <c r="Q440" s="86" t="n">
        <v>0</v>
      </c>
      <c r="R440" s="132" t="n">
        <v>20</v>
      </c>
      <c r="S440" s="128" t="n">
        <v>0</v>
      </c>
      <c r="T440" s="132" t="n">
        <v>11</v>
      </c>
      <c r="U440" s="128" t="n">
        <v>0</v>
      </c>
      <c r="V440" s="128" t="n">
        <v>6</v>
      </c>
      <c r="W440" s="90" t="n">
        <f aca="false">IFERROR(O440/V440,0)</f>
        <v>257.5</v>
      </c>
      <c r="X440" s="91" t="n">
        <f aca="false">O440/L440</f>
        <v>0.302941176470588</v>
      </c>
      <c r="Y440" s="92" t="str">
        <f aca="false">IFERROR(VLOOKUP(E:E,'Item Data Support Sheet'!A:J,6,0),0)</f>
        <v>FO043</v>
      </c>
      <c r="Z440" s="93" t="n">
        <f aca="false">IFERROR(VLOOKUP(E:E,'Item Data Support Sheet'!A:O,4,0),0)</f>
        <v>0</v>
      </c>
      <c r="AA440" s="93" t="n">
        <f aca="false">IFERROR(((N440)*(Z440/1000))+P440,0)</f>
        <v>0</v>
      </c>
      <c r="AB440" s="94" t="str">
        <f aca="false">IFERROR((O440*(Z440/1000)/(AA440))," ")</f>
        <v> </v>
      </c>
      <c r="AC440" s="95" t="n">
        <f aca="false">IFERROR((T440)/((T440)+O440),0)</f>
        <v>0.0070694087403599</v>
      </c>
      <c r="AD440" s="96" t="n">
        <f aca="false">IFERROR(Q440/(Q440+N440),0)</f>
        <v>0</v>
      </c>
      <c r="AE440" s="91" t="n">
        <f aca="false">(N440-T440)/N440</f>
        <v>0.99293059125964</v>
      </c>
      <c r="AF440" s="97" t="n">
        <f aca="false">BR440</f>
        <v>5.66666666666667</v>
      </c>
      <c r="AG440" s="98" t="n">
        <f aca="false">K440-AF440</f>
        <v>2.33333333333333</v>
      </c>
      <c r="AH440" s="99" t="n">
        <f aca="false">IFERROR(AG440/K440," ")</f>
        <v>0.291666666666666</v>
      </c>
      <c r="AI440" s="100" t="n">
        <f aca="false">IFERROR(O440/K440,0)</f>
        <v>193.125</v>
      </c>
      <c r="AJ440" s="101" t="n">
        <f aca="false">VLOOKUP(D440,'Standard Cycle time'!C:D,2,0)</f>
        <v>32.4</v>
      </c>
      <c r="AK440" s="101" t="n">
        <f aca="false">AG440*V440*3600/O440</f>
        <v>32.6213592233009</v>
      </c>
      <c r="AL440" s="102" t="n">
        <f aca="false">AJ440/AK440</f>
        <v>0.993214285714287</v>
      </c>
      <c r="AM440" s="99" t="n">
        <f aca="false">AE440*AL440*AH440</f>
        <v>0.287639580655527</v>
      </c>
      <c r="AN440" s="103" t="n">
        <v>3037</v>
      </c>
      <c r="AO440" s="112"/>
      <c r="AP440" s="105" t="n">
        <v>40</v>
      </c>
      <c r="AQ440" s="105" t="n">
        <v>90</v>
      </c>
      <c r="AR440" s="105" t="n">
        <v>0</v>
      </c>
      <c r="AS440" s="105" t="n">
        <v>0</v>
      </c>
      <c r="AT440" s="105" t="n">
        <v>0</v>
      </c>
      <c r="AU440" s="105" t="n">
        <v>0</v>
      </c>
      <c r="AV440" s="105" t="n">
        <v>0</v>
      </c>
      <c r="AW440" s="105" t="n">
        <v>180</v>
      </c>
      <c r="AX440" s="105" t="n">
        <v>0</v>
      </c>
      <c r="AY440" s="105" t="n">
        <v>0</v>
      </c>
      <c r="AZ440" s="105" t="n">
        <v>0</v>
      </c>
      <c r="BA440" s="105" t="n">
        <v>0</v>
      </c>
      <c r="BB440" s="105" t="n">
        <v>0</v>
      </c>
      <c r="BC440" s="105" t="n">
        <v>0</v>
      </c>
      <c r="BD440" s="105" t="n">
        <v>0</v>
      </c>
      <c r="BE440" s="105" t="n">
        <v>0</v>
      </c>
      <c r="BF440" s="105" t="n">
        <v>0</v>
      </c>
      <c r="BG440" s="105" t="n">
        <v>0</v>
      </c>
      <c r="BH440" s="105" t="n">
        <v>0</v>
      </c>
      <c r="BI440" s="105" t="n">
        <v>0</v>
      </c>
      <c r="BJ440" s="105" t="n">
        <v>0</v>
      </c>
      <c r="BK440" s="105" t="n">
        <v>30</v>
      </c>
      <c r="BL440" s="105" t="n">
        <v>0</v>
      </c>
      <c r="BM440" s="105" t="n">
        <v>0</v>
      </c>
      <c r="BN440" s="105" t="n">
        <v>0</v>
      </c>
      <c r="BO440" s="105" t="n">
        <v>0</v>
      </c>
      <c r="BP440" s="105" t="n">
        <v>0</v>
      </c>
      <c r="BQ440" s="105" t="n">
        <v>0</v>
      </c>
      <c r="BR440" s="106" t="n">
        <v>5.66666666666667</v>
      </c>
      <c r="BS440" s="106" t="n">
        <v>5.76111111111111</v>
      </c>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row>
    <row r="441" customFormat="false" ht="14.9" hidden="false" customHeight="false" outlineLevel="0" collapsed="false">
      <c r="A441" s="74" t="n">
        <f aca="false">MONTH(B441)</f>
        <v>9</v>
      </c>
      <c r="B441" s="135" t="n">
        <v>44446</v>
      </c>
      <c r="C441" s="128" t="s">
        <v>63</v>
      </c>
      <c r="D441" s="77" t="str">
        <f aca="false">IFERROR(VLOOKUP(E:E,'Item Data Support Sheet'!A:O,7,0),"")</f>
        <v>NIPPLE PUNCH INSPECTED</v>
      </c>
      <c r="E441" s="80" t="s">
        <v>182</v>
      </c>
      <c r="F441" s="122"/>
      <c r="G441" s="137"/>
      <c r="H441" s="79" t="str">
        <f aca="false">IFERROR(VLOOKUP(E:E,'Item Data Support Sheet'!A:O,2,0),"")</f>
        <v>NIPPLE S TYPE M SIZE PUNCHED INSPECTED</v>
      </c>
      <c r="I441" s="80" t="s">
        <v>970</v>
      </c>
      <c r="J441" s="80" t="s">
        <v>143</v>
      </c>
      <c r="K441" s="81" t="n">
        <v>8.5</v>
      </c>
      <c r="L441" s="124" t="n">
        <v>14000</v>
      </c>
      <c r="M441" s="83" t="n">
        <f aca="false">IFERROR(L441/K441,0)</f>
        <v>1647.05882352941</v>
      </c>
      <c r="N441" s="84" t="n">
        <f aca="false">+O441+Q441+T441+U441</f>
        <v>13390</v>
      </c>
      <c r="O441" s="85" t="n">
        <v>13390</v>
      </c>
      <c r="P441" s="86" t="n">
        <v>0</v>
      </c>
      <c r="Q441" s="86" t="n">
        <v>0</v>
      </c>
      <c r="R441" s="132" t="n">
        <v>0</v>
      </c>
      <c r="S441" s="128" t="n">
        <v>0</v>
      </c>
      <c r="T441" s="132" t="n">
        <v>0</v>
      </c>
      <c r="U441" s="128" t="n">
        <v>0</v>
      </c>
      <c r="V441" s="128" t="n">
        <v>2</v>
      </c>
      <c r="W441" s="90" t="n">
        <f aca="false">IFERROR(O441/V441,0)</f>
        <v>6695</v>
      </c>
      <c r="X441" s="91" t="n">
        <f aca="false">O441/L441</f>
        <v>0.956428571428571</v>
      </c>
      <c r="Y441" s="92" t="str">
        <f aca="false">IFERROR(VLOOKUP(E:E,'Item Data Support Sheet'!A:J,6,0),0)</f>
        <v>FO105</v>
      </c>
      <c r="Z441" s="93" t="n">
        <f aca="false">IFERROR(VLOOKUP(E:E,'Item Data Support Sheet'!A:O,4,0),0)</f>
        <v>0</v>
      </c>
      <c r="AA441" s="93" t="n">
        <f aca="false">IFERROR(((N441)*(Z441/1000))+P441,0)</f>
        <v>0</v>
      </c>
      <c r="AB441" s="94" t="str">
        <f aca="false">IFERROR((O441*(Z441/1000)/(AA441))," ")</f>
        <v> </v>
      </c>
      <c r="AC441" s="95" t="n">
        <f aca="false">IFERROR((T441)/((T441)+O441),0)</f>
        <v>0</v>
      </c>
      <c r="AD441" s="96" t="n">
        <f aca="false">IFERROR(Q441/(Q441+N441),0)</f>
        <v>0</v>
      </c>
      <c r="AE441" s="91" t="n">
        <f aca="false">(N441-T441)/N441</f>
        <v>1</v>
      </c>
      <c r="AF441" s="97" t="n">
        <f aca="false">BR441</f>
        <v>0.833333333333333</v>
      </c>
      <c r="AG441" s="98" t="n">
        <f aca="false">K441-AF441</f>
        <v>7.66666666666667</v>
      </c>
      <c r="AH441" s="99" t="n">
        <f aca="false">IFERROR(AG441/K441," ")</f>
        <v>0.901960784313726</v>
      </c>
      <c r="AI441" s="100" t="n">
        <f aca="false">IFERROR(O441/K441,0)</f>
        <v>1575.29411764706</v>
      </c>
      <c r="AJ441" s="101" t="n">
        <f aca="false">VLOOKUP(D441,'Standard Cycle time'!C:D,2,0)</f>
        <v>4</v>
      </c>
      <c r="AK441" s="101" t="n">
        <f aca="false">AG441*V441*3600/O441</f>
        <v>4.12247946228529</v>
      </c>
      <c r="AL441" s="102" t="n">
        <f aca="false">AJ441/AK441</f>
        <v>0.970289855072464</v>
      </c>
      <c r="AM441" s="99" t="n">
        <f aca="false">AE441*AL441*AH441</f>
        <v>0.87516339869281</v>
      </c>
      <c r="AN441" s="103" t="s">
        <v>971</v>
      </c>
      <c r="AO441" s="112"/>
      <c r="AP441" s="105" t="n">
        <v>50</v>
      </c>
      <c r="AQ441" s="105" t="n">
        <v>0</v>
      </c>
      <c r="AR441" s="105" t="n">
        <v>0</v>
      </c>
      <c r="AS441" s="105" t="n">
        <v>0</v>
      </c>
      <c r="AT441" s="105" t="n">
        <v>0</v>
      </c>
      <c r="AU441" s="105" t="n">
        <v>0</v>
      </c>
      <c r="AV441" s="105" t="n">
        <v>0</v>
      </c>
      <c r="AW441" s="105" t="n">
        <v>0</v>
      </c>
      <c r="AX441" s="105" t="n">
        <v>0</v>
      </c>
      <c r="AY441" s="105" t="n">
        <v>0</v>
      </c>
      <c r="AZ441" s="105" t="n">
        <v>0</v>
      </c>
      <c r="BA441" s="105" t="n">
        <v>0</v>
      </c>
      <c r="BB441" s="105" t="n">
        <v>0</v>
      </c>
      <c r="BC441" s="105" t="n">
        <v>0</v>
      </c>
      <c r="BD441" s="105" t="n">
        <v>0</v>
      </c>
      <c r="BE441" s="105" t="n">
        <v>0</v>
      </c>
      <c r="BF441" s="105" t="n">
        <v>0</v>
      </c>
      <c r="BG441" s="105" t="n">
        <v>0</v>
      </c>
      <c r="BH441" s="105" t="n">
        <v>0</v>
      </c>
      <c r="BI441" s="105" t="n">
        <v>0</v>
      </c>
      <c r="BJ441" s="105" t="n">
        <v>0</v>
      </c>
      <c r="BK441" s="105" t="n">
        <v>0</v>
      </c>
      <c r="BL441" s="105" t="n">
        <v>0</v>
      </c>
      <c r="BM441" s="105" t="n">
        <v>0</v>
      </c>
      <c r="BN441" s="105" t="n">
        <v>0</v>
      </c>
      <c r="BO441" s="105" t="n">
        <v>0</v>
      </c>
      <c r="BP441" s="105" t="n">
        <v>0</v>
      </c>
      <c r="BQ441" s="105" t="n">
        <v>0</v>
      </c>
      <c r="BR441" s="106" t="n">
        <v>0.833333333333333</v>
      </c>
      <c r="BS441" s="106" t="n">
        <v>0.847222222222222</v>
      </c>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row>
    <row r="442" customFormat="false" ht="14.9" hidden="false" customHeight="false" outlineLevel="0" collapsed="false">
      <c r="A442" s="74" t="n">
        <f aca="false">MONTH(B442)</f>
        <v>9</v>
      </c>
      <c r="B442" s="135" t="n">
        <v>44446</v>
      </c>
      <c r="C442" s="128" t="s">
        <v>70</v>
      </c>
      <c r="D442" s="77" t="str">
        <f aca="false">IFERROR(VLOOKUP(E:E,'Item Data Support Sheet'!A:O,7,0),"")</f>
        <v>BOTTLE MOLDED</v>
      </c>
      <c r="E442" s="80" t="s">
        <v>69</v>
      </c>
      <c r="F442" s="122" t="s">
        <v>73</v>
      </c>
      <c r="G442" s="137" t="s">
        <v>74</v>
      </c>
      <c r="H442" s="79" t="str">
        <f aca="false">IFERROR(VLOOKUP(E:E,'Item Data Support Sheet'!A:O,2,0),"")</f>
        <v>KPP 240 ML BOTTLE MOLDED</v>
      </c>
      <c r="I442" s="80" t="s">
        <v>972</v>
      </c>
      <c r="J442" s="80" t="s">
        <v>143</v>
      </c>
      <c r="K442" s="81" t="n">
        <v>8</v>
      </c>
      <c r="L442" s="124" t="n">
        <v>2574</v>
      </c>
      <c r="M442" s="83" t="n">
        <f aca="false">IFERROR(L442/K442,0)</f>
        <v>321.75</v>
      </c>
      <c r="N442" s="84" t="n">
        <f aca="false">+O442+Q442+T442+U442</f>
        <v>2808</v>
      </c>
      <c r="O442" s="85" t="n">
        <v>2808</v>
      </c>
      <c r="P442" s="86" t="n">
        <v>0</v>
      </c>
      <c r="Q442" s="86" t="n">
        <v>0</v>
      </c>
      <c r="R442" s="132" t="n">
        <v>0</v>
      </c>
      <c r="S442" s="128" t="n">
        <v>0</v>
      </c>
      <c r="T442" s="132" t="n">
        <v>0</v>
      </c>
      <c r="U442" s="128" t="n">
        <v>0</v>
      </c>
      <c r="V442" s="128" t="n">
        <v>1</v>
      </c>
      <c r="W442" s="90" t="n">
        <f aca="false">IFERROR(O442/V442,0)</f>
        <v>2808</v>
      </c>
      <c r="X442" s="91" t="n">
        <f aca="false">O442/L442</f>
        <v>1.09090909090909</v>
      </c>
      <c r="Y442" s="92" t="str">
        <f aca="false">IFERROR(VLOOKUP(E:E,'Item Data Support Sheet'!A:J,6,0),0)</f>
        <v>HMC</v>
      </c>
      <c r="Z442" s="93" t="n">
        <f aca="false">IFERROR(VLOOKUP(E:E,'Item Data Support Sheet'!A:O,4,0),0)</f>
        <v>32.1</v>
      </c>
      <c r="AA442" s="93" t="n">
        <f aca="false">IFERROR(((N442)*(Z442/1000))+P442,0)</f>
        <v>90.1368</v>
      </c>
      <c r="AB442" s="94" t="n">
        <f aca="false">IFERROR((O442*(Z442/1000)/(AA442))," ")</f>
        <v>1</v>
      </c>
      <c r="AC442" s="95" t="n">
        <f aca="false">IFERROR((T442)/((T442)+O442),0)</f>
        <v>0</v>
      </c>
      <c r="AD442" s="96" t="n">
        <f aca="false">IFERROR(Q442/(Q442+N442),0)</f>
        <v>0</v>
      </c>
      <c r="AE442" s="91" t="n">
        <f aca="false">(N442-T442)/N442</f>
        <v>1</v>
      </c>
      <c r="AF442" s="97" t="n">
        <f aca="false">BR442</f>
        <v>1</v>
      </c>
      <c r="AG442" s="98" t="n">
        <f aca="false">K442-AF442</f>
        <v>7</v>
      </c>
      <c r="AH442" s="99" t="n">
        <f aca="false">IFERROR(AG442/K442," ")</f>
        <v>0.875</v>
      </c>
      <c r="AI442" s="100" t="n">
        <f aca="false">IFERROR(O442/K442,0)</f>
        <v>351</v>
      </c>
      <c r="AJ442" s="101" t="n">
        <f aca="false">VLOOKUP(D442,'Standard Cycle time'!C:D,2,0)</f>
        <v>9</v>
      </c>
      <c r="AK442" s="101" t="n">
        <f aca="false">AG442*V442*3600/O442</f>
        <v>8.97435897435897</v>
      </c>
      <c r="AL442" s="102" t="n">
        <f aca="false">AJ442/AK442</f>
        <v>1.00285714285714</v>
      </c>
      <c r="AM442" s="99" t="n">
        <f aca="false">AE442*AL442*AH442</f>
        <v>0.8775</v>
      </c>
      <c r="AN442" s="103" t="n">
        <v>2572</v>
      </c>
      <c r="AO442" s="112"/>
      <c r="AP442" s="105" t="n">
        <v>0</v>
      </c>
      <c r="AQ442" s="105" t="n">
        <v>0</v>
      </c>
      <c r="AR442" s="105" t="n">
        <v>60</v>
      </c>
      <c r="AS442" s="105" t="n">
        <v>0</v>
      </c>
      <c r="AT442" s="105" t="n">
        <v>0</v>
      </c>
      <c r="AU442" s="105" t="n">
        <v>0</v>
      </c>
      <c r="AV442" s="105" t="n">
        <v>0</v>
      </c>
      <c r="AW442" s="105" t="n">
        <v>0</v>
      </c>
      <c r="AX442" s="105" t="n">
        <v>0</v>
      </c>
      <c r="AY442" s="105" t="n">
        <v>0</v>
      </c>
      <c r="AZ442" s="105" t="n">
        <v>0</v>
      </c>
      <c r="BA442" s="105" t="n">
        <v>0</v>
      </c>
      <c r="BB442" s="105" t="n">
        <v>0</v>
      </c>
      <c r="BC442" s="105" t="n">
        <v>0</v>
      </c>
      <c r="BD442" s="105" t="n">
        <v>0</v>
      </c>
      <c r="BE442" s="105" t="n">
        <v>0</v>
      </c>
      <c r="BF442" s="105" t="n">
        <v>0</v>
      </c>
      <c r="BG442" s="105" t="n">
        <v>0</v>
      </c>
      <c r="BH442" s="105" t="n">
        <v>0</v>
      </c>
      <c r="BI442" s="105" t="n">
        <v>0</v>
      </c>
      <c r="BJ442" s="105" t="n">
        <v>0</v>
      </c>
      <c r="BK442" s="105" t="n">
        <v>0</v>
      </c>
      <c r="BL442" s="105" t="n">
        <v>0</v>
      </c>
      <c r="BM442" s="105" t="n">
        <v>0</v>
      </c>
      <c r="BN442" s="105" t="n">
        <v>0</v>
      </c>
      <c r="BO442" s="105" t="n">
        <v>0</v>
      </c>
      <c r="BP442" s="105" t="n">
        <v>0</v>
      </c>
      <c r="BQ442" s="105" t="n">
        <v>0</v>
      </c>
      <c r="BR442" s="106" t="n">
        <v>1</v>
      </c>
      <c r="BS442" s="106" t="n">
        <v>1.01666666666667</v>
      </c>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row>
    <row r="443" customFormat="false" ht="14.9" hidden="false" customHeight="false" outlineLevel="0" collapsed="false">
      <c r="A443" s="74" t="n">
        <f aca="false">MONTH(B443)</f>
        <v>9</v>
      </c>
      <c r="B443" s="135" t="n">
        <v>44446</v>
      </c>
      <c r="C443" s="128" t="s">
        <v>70</v>
      </c>
      <c r="D443" s="77" t="str">
        <f aca="false">IFERROR(VLOOKUP(E:E,'Item Data Support Sheet'!A:O,7,0),"")</f>
        <v>NIPPLE PUNCH</v>
      </c>
      <c r="E443" s="80" t="s">
        <v>60</v>
      </c>
      <c r="F443" s="122"/>
      <c r="G443" s="137" t="s">
        <v>54</v>
      </c>
      <c r="H443" s="79" t="str">
        <f aca="false">IFERROR(VLOOKUP(E:E,'Item Data Support Sheet'!A:O,2,0),"")</f>
        <v>NIPPLE S TYPE M SIZE PUNCHED</v>
      </c>
      <c r="I443" s="80" t="s">
        <v>973</v>
      </c>
      <c r="J443" s="80" t="s">
        <v>143</v>
      </c>
      <c r="K443" s="81" t="n">
        <v>8</v>
      </c>
      <c r="L443" s="124" t="n">
        <v>7000</v>
      </c>
      <c r="M443" s="83" t="n">
        <f aca="false">IFERROR(L443/K443,0)</f>
        <v>875</v>
      </c>
      <c r="N443" s="84" t="n">
        <f aca="false">+O443+Q443+T443+U443</f>
        <v>7000</v>
      </c>
      <c r="O443" s="85" t="n">
        <v>7000</v>
      </c>
      <c r="P443" s="86" t="n">
        <v>0</v>
      </c>
      <c r="Q443" s="86" t="n">
        <v>0</v>
      </c>
      <c r="R443" s="132" t="n">
        <v>0</v>
      </c>
      <c r="S443" s="128" t="n">
        <v>0</v>
      </c>
      <c r="T443" s="132" t="n">
        <v>0</v>
      </c>
      <c r="U443" s="128" t="n">
        <v>0</v>
      </c>
      <c r="V443" s="128" t="n">
        <v>1</v>
      </c>
      <c r="W443" s="90" t="n">
        <f aca="false">IFERROR(O443/V443,0)</f>
        <v>7000</v>
      </c>
      <c r="X443" s="91" t="n">
        <f aca="false">O443/L443</f>
        <v>1</v>
      </c>
      <c r="Y443" s="92" t="str">
        <f aca="false">IFERROR(VLOOKUP(E:E,'Item Data Support Sheet'!A:J,6,0),0)</f>
        <v>FO016</v>
      </c>
      <c r="Z443" s="93" t="n">
        <f aca="false">IFERROR(VLOOKUP(E:E,'Item Data Support Sheet'!A:O,4,0),0)</f>
        <v>0</v>
      </c>
      <c r="AA443" s="93" t="n">
        <f aca="false">IFERROR(((N443)*(Z443/1000))+P443,0)</f>
        <v>0</v>
      </c>
      <c r="AB443" s="94" t="str">
        <f aca="false">IFERROR((O443*(Z443/1000)/(AA443))," ")</f>
        <v> </v>
      </c>
      <c r="AC443" s="95" t="n">
        <f aca="false">IFERROR((T443)/((T443)+O443),0)</f>
        <v>0</v>
      </c>
      <c r="AD443" s="96" t="n">
        <f aca="false">IFERROR(Q443/(Q443+N443),0)</f>
        <v>0</v>
      </c>
      <c r="AE443" s="91" t="n">
        <f aca="false">(N443-T443)/N443</f>
        <v>1</v>
      </c>
      <c r="AF443" s="97" t="n">
        <f aca="false">BR443</f>
        <v>0</v>
      </c>
      <c r="AG443" s="98" t="n">
        <f aca="false">K443-AF443</f>
        <v>8</v>
      </c>
      <c r="AH443" s="99" t="n">
        <f aca="false">IFERROR(AG443/K443," ")</f>
        <v>1</v>
      </c>
      <c r="AI443" s="100" t="n">
        <f aca="false">IFERROR(O443/K443,0)</f>
        <v>875</v>
      </c>
      <c r="AJ443" s="101" t="n">
        <f aca="false">VLOOKUP(D443,'Standard Cycle time'!C:D,2,0)</f>
        <v>3.5</v>
      </c>
      <c r="AK443" s="101" t="n">
        <f aca="false">AG443*V443*3600/O443</f>
        <v>4.11428571428571</v>
      </c>
      <c r="AL443" s="102" t="n">
        <f aca="false">AJ443/AK443</f>
        <v>0.850694444444444</v>
      </c>
      <c r="AM443" s="99" t="n">
        <f aca="false">AE443*AL443*AH443</f>
        <v>0.850694444444444</v>
      </c>
      <c r="AN443" s="103" t="n">
        <v>3068</v>
      </c>
      <c r="AO443" s="112" t="s">
        <v>974</v>
      </c>
      <c r="AP443" s="105" t="n">
        <v>0</v>
      </c>
      <c r="AQ443" s="105" t="n">
        <v>0</v>
      </c>
      <c r="AR443" s="105" t="n">
        <v>0</v>
      </c>
      <c r="AS443" s="105" t="n">
        <v>0</v>
      </c>
      <c r="AT443" s="105" t="n">
        <v>0</v>
      </c>
      <c r="AU443" s="105" t="n">
        <v>0</v>
      </c>
      <c r="AV443" s="105" t="n">
        <v>0</v>
      </c>
      <c r="AW443" s="105" t="n">
        <v>0</v>
      </c>
      <c r="AX443" s="105" t="n">
        <v>0</v>
      </c>
      <c r="AY443" s="105" t="n">
        <v>0</v>
      </c>
      <c r="AZ443" s="105" t="n">
        <v>0</v>
      </c>
      <c r="BA443" s="105" t="n">
        <v>0</v>
      </c>
      <c r="BB443" s="105" t="n">
        <v>0</v>
      </c>
      <c r="BC443" s="105" t="n">
        <v>0</v>
      </c>
      <c r="BD443" s="105" t="n">
        <v>0</v>
      </c>
      <c r="BE443" s="105" t="n">
        <v>0</v>
      </c>
      <c r="BF443" s="105" t="n">
        <v>0</v>
      </c>
      <c r="BG443" s="105" t="n">
        <v>0</v>
      </c>
      <c r="BH443" s="105" t="n">
        <v>0</v>
      </c>
      <c r="BI443" s="105" t="n">
        <v>0</v>
      </c>
      <c r="BJ443" s="105" t="n">
        <v>0</v>
      </c>
      <c r="BK443" s="105" t="n">
        <v>0</v>
      </c>
      <c r="BL443" s="105" t="n">
        <v>0</v>
      </c>
      <c r="BM443" s="105" t="n">
        <v>0</v>
      </c>
      <c r="BN443" s="105" t="n">
        <v>0</v>
      </c>
      <c r="BO443" s="105" t="n">
        <v>0</v>
      </c>
      <c r="BP443" s="105" t="n">
        <v>0</v>
      </c>
      <c r="BQ443" s="105" t="n">
        <v>0</v>
      </c>
      <c r="BR443" s="106" t="n">
        <v>0</v>
      </c>
      <c r="BS443" s="106" t="n">
        <v>0</v>
      </c>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row>
    <row r="444" customFormat="false" ht="14.9" hidden="false" customHeight="false" outlineLevel="0" collapsed="false">
      <c r="A444" s="74" t="n">
        <f aca="false">MONTH(B444)</f>
        <v>9</v>
      </c>
      <c r="B444" s="135" t="n">
        <v>44446</v>
      </c>
      <c r="C444" s="128" t="s">
        <v>70</v>
      </c>
      <c r="D444" s="77" t="str">
        <f aca="false">IFERROR(VLOOKUP(E:E,'Item Data Support Sheet'!A:O,7,0),"")</f>
        <v>NIPPLE LASER MARKING</v>
      </c>
      <c r="E444" s="80" t="s">
        <v>932</v>
      </c>
      <c r="F444" s="122"/>
      <c r="G444" s="137" t="s">
        <v>517</v>
      </c>
      <c r="H444" s="79" t="str">
        <f aca="false">IFERROR(VLOOKUP(E:E,'Item Data Support Sheet'!A:O,2,0),"")</f>
        <v>NIPPLE S TYPE M SIZE PUNCHED LASER MARKED</v>
      </c>
      <c r="I444" s="80" t="s">
        <v>975</v>
      </c>
      <c r="J444" s="80" t="s">
        <v>143</v>
      </c>
      <c r="K444" s="81" t="n">
        <v>8</v>
      </c>
      <c r="L444" s="124" t="n">
        <v>7000</v>
      </c>
      <c r="M444" s="83" t="n">
        <f aca="false">IFERROR(L444/K444,0)</f>
        <v>875</v>
      </c>
      <c r="N444" s="84" t="n">
        <f aca="false">+O444+Q444+T444+U444</f>
        <v>6900</v>
      </c>
      <c r="O444" s="85" t="n">
        <v>6900</v>
      </c>
      <c r="P444" s="86" t="n">
        <v>0</v>
      </c>
      <c r="Q444" s="86" t="n">
        <v>0</v>
      </c>
      <c r="R444" s="132" t="n">
        <v>0</v>
      </c>
      <c r="S444" s="128" t="n">
        <v>0</v>
      </c>
      <c r="T444" s="132" t="n">
        <v>0</v>
      </c>
      <c r="U444" s="128" t="n">
        <v>0</v>
      </c>
      <c r="V444" s="128" t="n">
        <v>1</v>
      </c>
      <c r="W444" s="90" t="n">
        <f aca="false">IFERROR(O444/V444,0)</f>
        <v>6900</v>
      </c>
      <c r="X444" s="91" t="n">
        <f aca="false">O444/L444</f>
        <v>0.985714285714286</v>
      </c>
      <c r="Y444" s="92" t="str">
        <f aca="false">IFERROR(VLOOKUP(E:E,'Item Data Support Sheet'!A:J,6,0),0)</f>
        <v>FO020</v>
      </c>
      <c r="Z444" s="93" t="n">
        <f aca="false">IFERROR(VLOOKUP(E:E,'Item Data Support Sheet'!A:O,4,0),0)</f>
        <v>0</v>
      </c>
      <c r="AA444" s="93" t="n">
        <f aca="false">IFERROR(((N444)*(Z444/1000))+P444,0)</f>
        <v>0</v>
      </c>
      <c r="AB444" s="94" t="str">
        <f aca="false">IFERROR((O444*(Z444/1000)/(AA444))," ")</f>
        <v> </v>
      </c>
      <c r="AC444" s="95" t="n">
        <f aca="false">IFERROR((T444)/((T444)+O444),0)</f>
        <v>0</v>
      </c>
      <c r="AD444" s="96" t="n">
        <f aca="false">IFERROR(Q444/(Q444+N444),0)</f>
        <v>0</v>
      </c>
      <c r="AE444" s="91" t="n">
        <f aca="false">(N444-T444)/N444</f>
        <v>1</v>
      </c>
      <c r="AF444" s="97" t="n">
        <f aca="false">BR444</f>
        <v>0.666666666666667</v>
      </c>
      <c r="AG444" s="98" t="n">
        <f aca="false">K444-AF444</f>
        <v>7.33333333333333</v>
      </c>
      <c r="AH444" s="99" t="n">
        <f aca="false">IFERROR(AG444/K444," ")</f>
        <v>0.916666666666667</v>
      </c>
      <c r="AI444" s="100" t="n">
        <f aca="false">IFERROR(O444/K444,0)</f>
        <v>862.5</v>
      </c>
      <c r="AJ444" s="101" t="n">
        <f aca="false">VLOOKUP(D444,'Standard Cycle time'!C:D,2,0)</f>
        <v>3.5</v>
      </c>
      <c r="AK444" s="101" t="n">
        <f aca="false">AG444*V444*3600/O444</f>
        <v>3.82608695652174</v>
      </c>
      <c r="AL444" s="102" t="n">
        <f aca="false">AJ444/AK444</f>
        <v>0.914772727272727</v>
      </c>
      <c r="AM444" s="99" t="n">
        <f aca="false">AE444*AL444*AH444</f>
        <v>0.838541666666667</v>
      </c>
      <c r="AN444" s="103" t="s">
        <v>976</v>
      </c>
      <c r="AO444" s="112"/>
      <c r="AP444" s="105" t="n">
        <v>40</v>
      </c>
      <c r="AQ444" s="105" t="n">
        <v>0</v>
      </c>
      <c r="AR444" s="105" t="n">
        <v>0</v>
      </c>
      <c r="AS444" s="105" t="n">
        <v>0</v>
      </c>
      <c r="AT444" s="105" t="n">
        <v>0</v>
      </c>
      <c r="AU444" s="105" t="n">
        <v>0</v>
      </c>
      <c r="AV444" s="105" t="n">
        <v>0</v>
      </c>
      <c r="AW444" s="105" t="n">
        <v>0</v>
      </c>
      <c r="AX444" s="105" t="n">
        <v>0</v>
      </c>
      <c r="AY444" s="105" t="n">
        <v>0</v>
      </c>
      <c r="AZ444" s="105" t="n">
        <v>0</v>
      </c>
      <c r="BA444" s="105" t="n">
        <v>0</v>
      </c>
      <c r="BB444" s="105" t="n">
        <v>0</v>
      </c>
      <c r="BC444" s="105" t="n">
        <v>0</v>
      </c>
      <c r="BD444" s="105" t="n">
        <v>0</v>
      </c>
      <c r="BE444" s="105" t="n">
        <v>0</v>
      </c>
      <c r="BF444" s="105" t="n">
        <v>0</v>
      </c>
      <c r="BG444" s="105" t="n">
        <v>0</v>
      </c>
      <c r="BH444" s="105" t="n">
        <v>0</v>
      </c>
      <c r="BI444" s="105" t="n">
        <v>0</v>
      </c>
      <c r="BJ444" s="105" t="n">
        <v>0</v>
      </c>
      <c r="BK444" s="105" t="n">
        <v>0</v>
      </c>
      <c r="BL444" s="105" t="n">
        <v>0</v>
      </c>
      <c r="BM444" s="105" t="n">
        <v>0</v>
      </c>
      <c r="BN444" s="105" t="n">
        <v>0</v>
      </c>
      <c r="BO444" s="105" t="n">
        <v>0</v>
      </c>
      <c r="BP444" s="105" t="n">
        <v>0</v>
      </c>
      <c r="BQ444" s="105" t="n">
        <v>0</v>
      </c>
      <c r="BR444" s="106" t="n">
        <v>0.666666666666667</v>
      </c>
      <c r="BS444" s="106" t="n">
        <v>0.677777777777778</v>
      </c>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row>
    <row r="445" customFormat="false" ht="14.9" hidden="false" customHeight="false" outlineLevel="0" collapsed="false">
      <c r="A445" s="74" t="n">
        <f aca="false">MONTH(B445)</f>
        <v>9</v>
      </c>
      <c r="B445" s="135" t="n">
        <v>44446</v>
      </c>
      <c r="C445" s="128" t="s">
        <v>70</v>
      </c>
      <c r="D445" s="77" t="str">
        <f aca="false">IFERROR(VLOOKUP(E:E,'Item Data Support Sheet'!A:O,7,0),"")</f>
        <v>NIPPLE MOLDED</v>
      </c>
      <c r="E445" s="80" t="s">
        <v>136</v>
      </c>
      <c r="F445" s="122" t="s">
        <v>137</v>
      </c>
      <c r="G445" s="137" t="s">
        <v>848</v>
      </c>
      <c r="H445" s="79" t="str">
        <f aca="false">IFERROR(VLOOKUP(E:E,'Item Data Support Sheet'!A:O,2,0),"")</f>
        <v>NIPPLE S TYPE M SIZE INJECTION</v>
      </c>
      <c r="I445" s="80" t="s">
        <v>977</v>
      </c>
      <c r="J445" s="80" t="s">
        <v>143</v>
      </c>
      <c r="K445" s="81" t="n">
        <v>8</v>
      </c>
      <c r="L445" s="124" t="n">
        <v>4815</v>
      </c>
      <c r="M445" s="83" t="n">
        <f aca="false">IFERROR(L445/K445,0)</f>
        <v>601.875</v>
      </c>
      <c r="N445" s="84" t="n">
        <f aca="false">+O445+Q445+T445+U445</f>
        <v>4878</v>
      </c>
      <c r="O445" s="85" t="n">
        <v>4500</v>
      </c>
      <c r="P445" s="86" t="n">
        <v>3.2</v>
      </c>
      <c r="Q445" s="86" t="n">
        <v>292</v>
      </c>
      <c r="R445" s="132" t="n">
        <v>0</v>
      </c>
      <c r="S445" s="128" t="n">
        <v>0</v>
      </c>
      <c r="T445" s="132" t="n">
        <v>78</v>
      </c>
      <c r="U445" s="128" t="n">
        <v>8</v>
      </c>
      <c r="V445" s="128" t="n">
        <v>1</v>
      </c>
      <c r="W445" s="90" t="n">
        <f aca="false">IFERROR(O445/V445,0)</f>
        <v>4500</v>
      </c>
      <c r="X445" s="91" t="n">
        <f aca="false">O445/L445</f>
        <v>0.934579439252336</v>
      </c>
      <c r="Y445" s="92" t="str">
        <f aca="false">IFERROR(VLOOKUP(E:E,'Item Data Support Sheet'!A:J,6,0),0)</f>
        <v>Silicon</v>
      </c>
      <c r="Z445" s="93" t="n">
        <f aca="false">IFERROR(VLOOKUP(E:E,'Item Data Support Sheet'!A:O,4,0),0)</f>
        <v>6.8</v>
      </c>
      <c r="AA445" s="93" t="n">
        <f aca="false">IFERROR(((N445)*(Z445/1000))+P445,0)</f>
        <v>36.3704</v>
      </c>
      <c r="AB445" s="94" t="n">
        <f aca="false">IFERROR((O445*(Z445/1000)/(AA445))," ")</f>
        <v>0.84134351010712</v>
      </c>
      <c r="AC445" s="95" t="n">
        <f aca="false">IFERROR((T445)/((T445)+O445),0)</f>
        <v>0.0170380078636959</v>
      </c>
      <c r="AD445" s="96" t="n">
        <f aca="false">IFERROR(Q445/(Q445+N445),0)</f>
        <v>0.0564796905222437</v>
      </c>
      <c r="AE445" s="91" t="n">
        <f aca="false">(N445-T445)/N445</f>
        <v>0.984009840098401</v>
      </c>
      <c r="AF445" s="97" t="n">
        <f aca="false">BR445</f>
        <v>1</v>
      </c>
      <c r="AG445" s="98" t="n">
        <f aca="false">K445-AF445</f>
        <v>7</v>
      </c>
      <c r="AH445" s="99" t="n">
        <f aca="false">IFERROR(AG445/K445," ")</f>
        <v>0.875</v>
      </c>
      <c r="AI445" s="100" t="n">
        <f aca="false">IFERROR(O445/K445,0)</f>
        <v>562.5</v>
      </c>
      <c r="AJ445" s="101" t="n">
        <f aca="false">VLOOKUP(D445,'Standard Cycle time'!C:D,2,0)</f>
        <v>5.25</v>
      </c>
      <c r="AK445" s="101" t="n">
        <f aca="false">AG445*V445*3600/O445</f>
        <v>5.6</v>
      </c>
      <c r="AL445" s="102" t="n">
        <f aca="false">AJ445/AK445</f>
        <v>0.9375</v>
      </c>
      <c r="AM445" s="99" t="n">
        <f aca="false">AE445*AL445*AH445</f>
        <v>0.80719557195572</v>
      </c>
      <c r="AN445" s="103" t="n">
        <v>3079</v>
      </c>
      <c r="AO445" s="112" t="s">
        <v>978</v>
      </c>
      <c r="AP445" s="105" t="n">
        <v>0</v>
      </c>
      <c r="AQ445" s="105" t="n">
        <v>0</v>
      </c>
      <c r="AR445" s="105" t="n">
        <v>0</v>
      </c>
      <c r="AS445" s="105" t="n">
        <v>0</v>
      </c>
      <c r="AT445" s="105" t="n">
        <v>30</v>
      </c>
      <c r="AU445" s="105" t="n">
        <v>0</v>
      </c>
      <c r="AV445" s="105" t="n">
        <v>0</v>
      </c>
      <c r="AW445" s="105" t="n">
        <v>30</v>
      </c>
      <c r="AX445" s="105" t="n">
        <v>0</v>
      </c>
      <c r="AY445" s="105" t="n">
        <v>0</v>
      </c>
      <c r="AZ445" s="105" t="n">
        <v>0</v>
      </c>
      <c r="BA445" s="105" t="n">
        <v>0</v>
      </c>
      <c r="BB445" s="105" t="n">
        <v>0</v>
      </c>
      <c r="BC445" s="105" t="n">
        <v>0</v>
      </c>
      <c r="BD445" s="105" t="n">
        <v>0</v>
      </c>
      <c r="BE445" s="105" t="n">
        <v>0</v>
      </c>
      <c r="BF445" s="105" t="n">
        <v>0</v>
      </c>
      <c r="BG445" s="105" t="n">
        <v>0</v>
      </c>
      <c r="BH445" s="105" t="n">
        <v>0</v>
      </c>
      <c r="BI445" s="105" t="n">
        <v>0</v>
      </c>
      <c r="BJ445" s="105" t="n">
        <v>0</v>
      </c>
      <c r="BK445" s="105" t="n">
        <v>0</v>
      </c>
      <c r="BL445" s="105" t="n">
        <v>0</v>
      </c>
      <c r="BM445" s="105" t="n">
        <v>0</v>
      </c>
      <c r="BN445" s="105" t="n">
        <v>0</v>
      </c>
      <c r="BO445" s="105" t="n">
        <v>0</v>
      </c>
      <c r="BP445" s="105" t="n">
        <v>0</v>
      </c>
      <c r="BQ445" s="105" t="n">
        <v>0</v>
      </c>
      <c r="BR445" s="106" t="n">
        <v>1</v>
      </c>
      <c r="BS445" s="106" t="n">
        <v>1.01666666666667</v>
      </c>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row>
    <row r="446" customFormat="false" ht="14.9" hidden="false" customHeight="false" outlineLevel="0" collapsed="false">
      <c r="A446" s="74" t="n">
        <f aca="false">MONTH(B446)</f>
        <v>9</v>
      </c>
      <c r="B446" s="135" t="n">
        <v>44446</v>
      </c>
      <c r="C446" s="128" t="s">
        <v>70</v>
      </c>
      <c r="D446" s="77" t="str">
        <f aca="false">IFERROR(VLOOKUP(E:E,'Item Data Support Sheet'!A:O,7,0),"")</f>
        <v>NIPPLE POSTCURE</v>
      </c>
      <c r="E446" s="80" t="s">
        <v>62</v>
      </c>
      <c r="F446" s="122"/>
      <c r="G446" s="137" t="s">
        <v>149</v>
      </c>
      <c r="H446" s="79" t="str">
        <f aca="false">IFERROR(VLOOKUP(E:E,'Item Data Support Sheet'!A:O,2,0),"")</f>
        <v>NIPPLE S TYPE M SIZE POSTCURED</v>
      </c>
      <c r="I446" s="80" t="s">
        <v>979</v>
      </c>
      <c r="J446" s="80" t="s">
        <v>143</v>
      </c>
      <c r="K446" s="81" t="n">
        <v>2</v>
      </c>
      <c r="L446" s="124" t="n">
        <v>2000</v>
      </c>
      <c r="M446" s="83" t="n">
        <f aca="false">IFERROR(L446/K446,0)</f>
        <v>1000</v>
      </c>
      <c r="N446" s="84" t="n">
        <f aca="false">+O446+Q446+T446+U446</f>
        <v>1840</v>
      </c>
      <c r="O446" s="85" t="n">
        <v>1840</v>
      </c>
      <c r="P446" s="86" t="n">
        <v>0</v>
      </c>
      <c r="Q446" s="86" t="n">
        <v>0</v>
      </c>
      <c r="R446" s="132" t="n">
        <v>0</v>
      </c>
      <c r="S446" s="128" t="n">
        <v>0</v>
      </c>
      <c r="T446" s="132" t="n">
        <v>0</v>
      </c>
      <c r="U446" s="128" t="n">
        <v>0</v>
      </c>
      <c r="V446" s="128" t="n">
        <v>1</v>
      </c>
      <c r="W446" s="90" t="n">
        <f aca="false">IFERROR(O446/V446,0)</f>
        <v>1840</v>
      </c>
      <c r="X446" s="91" t="n">
        <f aca="false">O446/L446</f>
        <v>0.92</v>
      </c>
      <c r="Y446" s="92" t="str">
        <f aca="false">IFERROR(VLOOKUP(E:E,'Item Data Support Sheet'!A:J,6,0),0)</f>
        <v>FO012</v>
      </c>
      <c r="Z446" s="93" t="n">
        <f aca="false">IFERROR(VLOOKUP(E:E,'Item Data Support Sheet'!A:O,4,0),0)</f>
        <v>0</v>
      </c>
      <c r="AA446" s="93" t="n">
        <f aca="false">IFERROR(((N446)*(Z446/1000))+P446,0)</f>
        <v>0</v>
      </c>
      <c r="AB446" s="94" t="str">
        <f aca="false">IFERROR((O446*(Z446/1000)/(AA446))," ")</f>
        <v> </v>
      </c>
      <c r="AC446" s="95" t="n">
        <f aca="false">IFERROR((T446)/((T446)+O446),0)</f>
        <v>0</v>
      </c>
      <c r="AD446" s="96" t="n">
        <f aca="false">IFERROR(Q446/(Q446+N446),0)</f>
        <v>0</v>
      </c>
      <c r="AE446" s="91" t="n">
        <f aca="false">(N446-T446)/N446</f>
        <v>1</v>
      </c>
      <c r="AF446" s="97" t="n">
        <f aca="false">BR446</f>
        <v>0.833333333333333</v>
      </c>
      <c r="AG446" s="98" t="n">
        <f aca="false">K446-AF446</f>
        <v>1.16666666666667</v>
      </c>
      <c r="AH446" s="99" t="n">
        <f aca="false">IFERROR(AG446/K446," ")</f>
        <v>0.583333333333334</v>
      </c>
      <c r="AI446" s="100" t="n">
        <f aca="false">IFERROR(O446/K446,0)</f>
        <v>920</v>
      </c>
      <c r="AJ446" s="101" t="n">
        <f aca="false">VLOOKUP(D446,'Standard Cycle time'!C:D,2,0)</f>
        <v>2.3</v>
      </c>
      <c r="AK446" s="101" t="n">
        <f aca="false">AG446*V446*3600/O446</f>
        <v>2.28260869565217</v>
      </c>
      <c r="AL446" s="102" t="n">
        <f aca="false">AJ446/AK446</f>
        <v>1.00761904761905</v>
      </c>
      <c r="AM446" s="99" t="n">
        <f aca="false">AE446*AL446*AH446</f>
        <v>0.587777777777778</v>
      </c>
      <c r="AN446" s="103" t="n">
        <v>3067</v>
      </c>
      <c r="AO446" s="112"/>
      <c r="AP446" s="105" t="n">
        <v>50</v>
      </c>
      <c r="AQ446" s="105" t="n">
        <v>0</v>
      </c>
      <c r="AR446" s="105" t="n">
        <v>0</v>
      </c>
      <c r="AS446" s="105" t="n">
        <v>0</v>
      </c>
      <c r="AT446" s="105" t="n">
        <v>0</v>
      </c>
      <c r="AU446" s="105" t="n">
        <v>0</v>
      </c>
      <c r="AV446" s="105" t="n">
        <v>0</v>
      </c>
      <c r="AW446" s="105" t="n">
        <v>0</v>
      </c>
      <c r="AX446" s="105" t="n">
        <v>0</v>
      </c>
      <c r="AY446" s="105" t="n">
        <v>0</v>
      </c>
      <c r="AZ446" s="105" t="n">
        <v>0</v>
      </c>
      <c r="BA446" s="105" t="n">
        <v>0</v>
      </c>
      <c r="BB446" s="105" t="n">
        <v>0</v>
      </c>
      <c r="BC446" s="105" t="n">
        <v>0</v>
      </c>
      <c r="BD446" s="105" t="n">
        <v>0</v>
      </c>
      <c r="BE446" s="105" t="n">
        <v>0</v>
      </c>
      <c r="BF446" s="105" t="n">
        <v>0</v>
      </c>
      <c r="BG446" s="105" t="n">
        <v>0</v>
      </c>
      <c r="BH446" s="105" t="n">
        <v>0</v>
      </c>
      <c r="BI446" s="105" t="n">
        <v>0</v>
      </c>
      <c r="BJ446" s="105" t="n">
        <v>0</v>
      </c>
      <c r="BK446" s="105" t="n">
        <v>0</v>
      </c>
      <c r="BL446" s="105" t="n">
        <v>0</v>
      </c>
      <c r="BM446" s="105" t="n">
        <v>0</v>
      </c>
      <c r="BN446" s="105" t="n">
        <v>0</v>
      </c>
      <c r="BO446" s="105" t="n">
        <v>0</v>
      </c>
      <c r="BP446" s="105" t="n">
        <v>0</v>
      </c>
      <c r="BQ446" s="105" t="n">
        <v>0</v>
      </c>
      <c r="BR446" s="106" t="n">
        <v>0.833333333333333</v>
      </c>
      <c r="BS446" s="106" t="n">
        <v>0.847222222222222</v>
      </c>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row>
    <row r="447" customFormat="false" ht="14.9" hidden="false" customHeight="false" outlineLevel="0" collapsed="false">
      <c r="A447" s="74" t="n">
        <f aca="false">MONTH(B447)</f>
        <v>9</v>
      </c>
      <c r="B447" s="135" t="n">
        <v>44446</v>
      </c>
      <c r="C447" s="128" t="s">
        <v>70</v>
      </c>
      <c r="D447" s="77" t="str">
        <f aca="false">IFERROR(VLOOKUP(E:E,'Item Data Support Sheet'!A:O,7,0),"")</f>
        <v>HOOD MOLDED</v>
      </c>
      <c r="E447" s="80" t="s">
        <v>529</v>
      </c>
      <c r="F447" s="122"/>
      <c r="G447" s="137" t="s">
        <v>740</v>
      </c>
      <c r="H447" s="79" t="str">
        <f aca="false">IFERROR(VLOOKUP(E:E,'Item Data Support Sheet'!A:O,2,0),"")</f>
        <v>HOOD S TYPE MOLDED</v>
      </c>
      <c r="I447" s="80" t="s">
        <v>980</v>
      </c>
      <c r="J447" s="80" t="s">
        <v>143</v>
      </c>
      <c r="K447" s="81" t="n">
        <v>8</v>
      </c>
      <c r="L447" s="124" t="n">
        <v>4137</v>
      </c>
      <c r="M447" s="83" t="n">
        <f aca="false">IFERROR(L447/K447,0)</f>
        <v>517.125</v>
      </c>
      <c r="N447" s="84" t="n">
        <f aca="false">+O447+Q447+T447+U447</f>
        <v>5315</v>
      </c>
      <c r="O447" s="85" t="n">
        <v>5300</v>
      </c>
      <c r="P447" s="86" t="n">
        <v>0</v>
      </c>
      <c r="Q447" s="86" t="n">
        <v>0</v>
      </c>
      <c r="R447" s="132" t="n">
        <v>0</v>
      </c>
      <c r="S447" s="128" t="n">
        <v>0</v>
      </c>
      <c r="T447" s="132" t="n">
        <v>15</v>
      </c>
      <c r="U447" s="128" t="n">
        <v>0</v>
      </c>
      <c r="V447" s="128" t="n">
        <v>1</v>
      </c>
      <c r="W447" s="90" t="n">
        <f aca="false">IFERROR(O447/V447,0)</f>
        <v>5300</v>
      </c>
      <c r="X447" s="91" t="n">
        <f aca="false">O447/L447</f>
        <v>1.28112158569011</v>
      </c>
      <c r="Y447" s="92" t="str">
        <f aca="false">IFERROR(VLOOKUP(E:E,'Item Data Support Sheet'!A:J,6,0),0)</f>
        <v>HMC</v>
      </c>
      <c r="Z447" s="93" t="n">
        <f aca="false">IFERROR(VLOOKUP(E:E,'Item Data Support Sheet'!A:O,4,0),0)</f>
        <v>8.6</v>
      </c>
      <c r="AA447" s="93" t="n">
        <f aca="false">IFERROR(((N447)*(Z447/1000))+P447,0)</f>
        <v>45.709</v>
      </c>
      <c r="AB447" s="94" t="n">
        <f aca="false">IFERROR((O447*(Z447/1000)/(AA447))," ")</f>
        <v>0.997177798682973</v>
      </c>
      <c r="AC447" s="95" t="n">
        <f aca="false">IFERROR((T447)/((T447)+O447),0)</f>
        <v>0.00282220131702728</v>
      </c>
      <c r="AD447" s="96" t="n">
        <f aca="false">IFERROR(Q447/(Q447+N447),0)</f>
        <v>0</v>
      </c>
      <c r="AE447" s="91" t="n">
        <f aca="false">(N447-T447)/N447</f>
        <v>0.997177798682973</v>
      </c>
      <c r="AF447" s="97" t="n">
        <f aca="false">BR447</f>
        <v>0</v>
      </c>
      <c r="AG447" s="98" t="n">
        <f aca="false">K447-AF447</f>
        <v>8</v>
      </c>
      <c r="AH447" s="99" t="n">
        <f aca="false">IFERROR(AG447/K447," ")</f>
        <v>1</v>
      </c>
      <c r="AI447" s="100" t="n">
        <f aca="false">IFERROR(O447/K447,0)</f>
        <v>662.5</v>
      </c>
      <c r="AJ447" s="101" t="n">
        <f aca="false">VLOOKUP(D447,'Standard Cycle time'!C:D,2,0)</f>
        <v>6</v>
      </c>
      <c r="AK447" s="101" t="n">
        <f aca="false">AG447*V447*3600/O447</f>
        <v>5.43396226415094</v>
      </c>
      <c r="AL447" s="102" t="n">
        <f aca="false">AJ447/AK447</f>
        <v>1.10416666666667</v>
      </c>
      <c r="AM447" s="99" t="n">
        <f aca="false">AE447*AL447*AH447</f>
        <v>1.10105048604578</v>
      </c>
      <c r="AN447" s="103" t="n">
        <v>3051</v>
      </c>
      <c r="AO447" s="112"/>
      <c r="AP447" s="105" t="n">
        <v>0</v>
      </c>
      <c r="AQ447" s="105" t="n">
        <v>0</v>
      </c>
      <c r="AR447" s="105" t="n">
        <v>0</v>
      </c>
      <c r="AS447" s="105" t="n">
        <v>0</v>
      </c>
      <c r="AT447" s="105" t="n">
        <v>0</v>
      </c>
      <c r="AU447" s="105" t="n">
        <v>0</v>
      </c>
      <c r="AV447" s="105" t="n">
        <v>0</v>
      </c>
      <c r="AW447" s="105" t="n">
        <v>0</v>
      </c>
      <c r="AX447" s="105" t="n">
        <v>0</v>
      </c>
      <c r="AY447" s="105" t="n">
        <v>0</v>
      </c>
      <c r="AZ447" s="105" t="n">
        <v>0</v>
      </c>
      <c r="BA447" s="105" t="n">
        <v>0</v>
      </c>
      <c r="BB447" s="105" t="n">
        <v>0</v>
      </c>
      <c r="BC447" s="105" t="n">
        <v>0</v>
      </c>
      <c r="BD447" s="105" t="n">
        <v>0</v>
      </c>
      <c r="BE447" s="105" t="n">
        <v>0</v>
      </c>
      <c r="BF447" s="105" t="n">
        <v>0</v>
      </c>
      <c r="BG447" s="105" t="n">
        <v>0</v>
      </c>
      <c r="BH447" s="105" t="n">
        <v>0</v>
      </c>
      <c r="BI447" s="105" t="n">
        <v>0</v>
      </c>
      <c r="BJ447" s="105" t="n">
        <v>0</v>
      </c>
      <c r="BK447" s="105" t="n">
        <v>0</v>
      </c>
      <c r="BL447" s="105" t="n">
        <v>0</v>
      </c>
      <c r="BM447" s="105" t="n">
        <v>0</v>
      </c>
      <c r="BN447" s="105" t="n">
        <v>0</v>
      </c>
      <c r="BO447" s="105" t="n">
        <v>0</v>
      </c>
      <c r="BP447" s="105" t="n">
        <v>0</v>
      </c>
      <c r="BQ447" s="105" t="n">
        <v>0</v>
      </c>
      <c r="BR447" s="106" t="n">
        <v>0</v>
      </c>
      <c r="BS447" s="106" t="n">
        <v>0</v>
      </c>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row>
    <row r="448" customFormat="false" ht="14.9" hidden="false" customHeight="false" outlineLevel="0" collapsed="false">
      <c r="A448" s="74" t="n">
        <f aca="false">MONTH(B448)</f>
        <v>9</v>
      </c>
      <c r="B448" s="135" t="n">
        <v>44446</v>
      </c>
      <c r="C448" s="128" t="s">
        <v>70</v>
      </c>
      <c r="D448" s="77" t="str">
        <f aca="false">IFERROR(VLOOKUP(E:E,'Item Data Support Sheet'!A:O,7,0),"")</f>
        <v>BOTTLE PRINTED</v>
      </c>
      <c r="E448" s="80" t="s">
        <v>981</v>
      </c>
      <c r="F448" s="122"/>
      <c r="G448" s="137" t="s">
        <v>66</v>
      </c>
      <c r="H448" s="79" t="str">
        <f aca="false">IFERROR(VLOOKUP(E:E,'Item Data Support Sheet'!A:O,2,0),"")</f>
        <v>KPP BOTTLE 240 ML PRINTED-WMG3B</v>
      </c>
      <c r="I448" s="80" t="s">
        <v>982</v>
      </c>
      <c r="J448" s="80" t="s">
        <v>143</v>
      </c>
      <c r="K448" s="81" t="n">
        <v>8</v>
      </c>
      <c r="L448" s="124" t="n">
        <v>5100</v>
      </c>
      <c r="M448" s="83" t="n">
        <f aca="false">IFERROR(L448/K448,0)</f>
        <v>637.5</v>
      </c>
      <c r="N448" s="84" t="n">
        <f aca="false">+O448+Q448+T448+U448</f>
        <v>3694</v>
      </c>
      <c r="O448" s="85" t="n">
        <v>3639</v>
      </c>
      <c r="P448" s="86" t="n">
        <v>0</v>
      </c>
      <c r="Q448" s="86" t="n">
        <v>0</v>
      </c>
      <c r="R448" s="132" t="n">
        <v>35</v>
      </c>
      <c r="S448" s="128" t="n">
        <v>0</v>
      </c>
      <c r="T448" s="132" t="n">
        <v>55</v>
      </c>
      <c r="U448" s="128" t="n">
        <v>0</v>
      </c>
      <c r="V448" s="128" t="n">
        <v>5</v>
      </c>
      <c r="W448" s="90" t="n">
        <f aca="false">IFERROR(O448/V448,0)</f>
        <v>727.8</v>
      </c>
      <c r="X448" s="91" t="n">
        <f aca="false">O448/L448</f>
        <v>0.713529411764706</v>
      </c>
      <c r="Y448" s="92" t="str">
        <f aca="false">IFERROR(VLOOKUP(E:E,'Item Data Support Sheet'!A:J,6,0),0)</f>
        <v>FO044</v>
      </c>
      <c r="Z448" s="93" t="n">
        <f aca="false">IFERROR(VLOOKUP(E:E,'Item Data Support Sheet'!A:O,4,0),0)</f>
        <v>0</v>
      </c>
      <c r="AA448" s="93" t="n">
        <f aca="false">IFERROR(((N448)*(Z448/1000))+P448,0)</f>
        <v>0</v>
      </c>
      <c r="AB448" s="94" t="str">
        <f aca="false">IFERROR((O448*(Z448/1000)/(AA448))," ")</f>
        <v> </v>
      </c>
      <c r="AC448" s="95" t="n">
        <f aca="false">IFERROR((T448)/((T448)+O448),0)</f>
        <v>0.0148890092041148</v>
      </c>
      <c r="AD448" s="96" t="n">
        <f aca="false">IFERROR(Q448/(Q448+N448),0)</f>
        <v>0</v>
      </c>
      <c r="AE448" s="91" t="n">
        <f aca="false">(N448-T448)/N448</f>
        <v>0.985110990795885</v>
      </c>
      <c r="AF448" s="97" t="n">
        <f aca="false">BR448</f>
        <v>1.66666666666667</v>
      </c>
      <c r="AG448" s="98" t="n">
        <f aca="false">K448-AF448</f>
        <v>6.33333333333333</v>
      </c>
      <c r="AH448" s="99" t="n">
        <f aca="false">IFERROR(AG448/K448," ")</f>
        <v>0.791666666666666</v>
      </c>
      <c r="AI448" s="100" t="n">
        <f aca="false">IFERROR(O448/K448,0)</f>
        <v>454.875</v>
      </c>
      <c r="AJ448" s="101" t="n">
        <f aca="false">VLOOKUP(D448,'Standard Cycle time'!C:D,2,0)</f>
        <v>32.4</v>
      </c>
      <c r="AK448" s="101" t="n">
        <f aca="false">AG448*V448*3600/O448</f>
        <v>31.3272877164056</v>
      </c>
      <c r="AL448" s="102" t="n">
        <f aca="false">AJ448/AK448</f>
        <v>1.03424210526316</v>
      </c>
      <c r="AM448" s="99" t="n">
        <f aca="false">AE448*AL448*AH448</f>
        <v>0.806584251488901</v>
      </c>
      <c r="AN448" s="103" t="s">
        <v>983</v>
      </c>
      <c r="AO448" s="112" t="s">
        <v>984</v>
      </c>
      <c r="AP448" s="105" t="n">
        <v>40</v>
      </c>
      <c r="AQ448" s="105" t="n">
        <v>0</v>
      </c>
      <c r="AR448" s="105" t="n">
        <v>0</v>
      </c>
      <c r="AS448" s="105" t="n">
        <v>0</v>
      </c>
      <c r="AT448" s="105" t="n">
        <v>60</v>
      </c>
      <c r="AU448" s="105" t="n">
        <v>0</v>
      </c>
      <c r="AV448" s="105" t="n">
        <v>0</v>
      </c>
      <c r="AW448" s="105" t="n">
        <v>0</v>
      </c>
      <c r="AX448" s="105" t="n">
        <v>0</v>
      </c>
      <c r="AY448" s="105" t="n">
        <v>0</v>
      </c>
      <c r="AZ448" s="105" t="n">
        <v>0</v>
      </c>
      <c r="BA448" s="105" t="n">
        <v>0</v>
      </c>
      <c r="BB448" s="105" t="n">
        <v>0</v>
      </c>
      <c r="BC448" s="105" t="n">
        <v>0</v>
      </c>
      <c r="BD448" s="105" t="n">
        <v>0</v>
      </c>
      <c r="BE448" s="105" t="n">
        <v>0</v>
      </c>
      <c r="BF448" s="105" t="n">
        <v>0</v>
      </c>
      <c r="BG448" s="105" t="n">
        <v>0</v>
      </c>
      <c r="BH448" s="105" t="n">
        <v>0</v>
      </c>
      <c r="BI448" s="105" t="n">
        <v>0</v>
      </c>
      <c r="BJ448" s="105" t="n">
        <v>0</v>
      </c>
      <c r="BK448" s="105" t="n">
        <v>0</v>
      </c>
      <c r="BL448" s="105" t="n">
        <v>0</v>
      </c>
      <c r="BM448" s="105" t="n">
        <v>0</v>
      </c>
      <c r="BN448" s="105" t="n">
        <v>0</v>
      </c>
      <c r="BO448" s="105" t="n">
        <v>0</v>
      </c>
      <c r="BP448" s="105" t="n">
        <v>0</v>
      </c>
      <c r="BQ448" s="105" t="n">
        <v>0</v>
      </c>
      <c r="BR448" s="106" t="n">
        <v>1.66666666666667</v>
      </c>
      <c r="BS448" s="106" t="n">
        <v>1.69444444444444</v>
      </c>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row>
    <row r="449" customFormat="false" ht="14.9" hidden="false" customHeight="false" outlineLevel="0" collapsed="false">
      <c r="A449" s="74" t="n">
        <f aca="false">MONTH(B449)</f>
        <v>9</v>
      </c>
      <c r="B449" s="135" t="n">
        <v>44446</v>
      </c>
      <c r="C449" s="128" t="s">
        <v>152</v>
      </c>
      <c r="D449" s="77" t="str">
        <f aca="false">IFERROR(VLOOKUP(E:E,'Item Data Support Sheet'!A:O,7,0),"")</f>
        <v>NIPPLE MOLDED</v>
      </c>
      <c r="E449" s="80" t="s">
        <v>136</v>
      </c>
      <c r="F449" s="122" t="s">
        <v>137</v>
      </c>
      <c r="G449" s="137" t="s">
        <v>848</v>
      </c>
      <c r="H449" s="79" t="str">
        <f aca="false">IFERROR(VLOOKUP(E:E,'Item Data Support Sheet'!A:O,2,0),"")</f>
        <v>NIPPLE S TYPE M SIZE INJECTION</v>
      </c>
      <c r="I449" s="80" t="s">
        <v>985</v>
      </c>
      <c r="J449" s="80" t="s">
        <v>815</v>
      </c>
      <c r="K449" s="81" t="n">
        <v>8</v>
      </c>
      <c r="L449" s="124" t="n">
        <v>4815</v>
      </c>
      <c r="M449" s="83" t="n">
        <f aca="false">IFERROR(L449/K449,0)</f>
        <v>601.875</v>
      </c>
      <c r="N449" s="84" t="n">
        <f aca="false">+O449+Q449+T449+U449</f>
        <v>5322</v>
      </c>
      <c r="O449" s="85" t="n">
        <v>5200</v>
      </c>
      <c r="P449" s="86" t="n">
        <v>0</v>
      </c>
      <c r="Q449" s="86" t="n">
        <v>38</v>
      </c>
      <c r="R449" s="132" t="n">
        <v>0</v>
      </c>
      <c r="S449" s="128" t="n">
        <v>0</v>
      </c>
      <c r="T449" s="132" t="n">
        <v>76</v>
      </c>
      <c r="U449" s="128" t="n">
        <v>8</v>
      </c>
      <c r="V449" s="128" t="n">
        <v>1</v>
      </c>
      <c r="W449" s="90" t="n">
        <f aca="false">IFERROR(O449/V449,0)</f>
        <v>5200</v>
      </c>
      <c r="X449" s="91" t="n">
        <f aca="false">O449/L449</f>
        <v>1.07995846313603</v>
      </c>
      <c r="Y449" s="92" t="str">
        <f aca="false">IFERROR(VLOOKUP(E:E,'Item Data Support Sheet'!A:J,6,0),0)</f>
        <v>Silicon</v>
      </c>
      <c r="Z449" s="93" t="n">
        <f aca="false">IFERROR(VLOOKUP(E:E,'Item Data Support Sheet'!A:O,4,0),0)</f>
        <v>6.8</v>
      </c>
      <c r="AA449" s="93" t="n">
        <f aca="false">IFERROR(((N449)*(Z449/1000))+P449,0)</f>
        <v>36.1896</v>
      </c>
      <c r="AB449" s="94" t="n">
        <f aca="false">IFERROR((O449*(Z449/1000)/(AA449))," ")</f>
        <v>0.977076287110109</v>
      </c>
      <c r="AC449" s="95" t="n">
        <f aca="false">IFERROR((T449)/((T449)+O449),0)</f>
        <v>0.0144048521607278</v>
      </c>
      <c r="AD449" s="96" t="n">
        <f aca="false">IFERROR(Q449/(Q449+N449),0)</f>
        <v>0.00708955223880597</v>
      </c>
      <c r="AE449" s="91" t="n">
        <f aca="false">(N449-T449)/N449</f>
        <v>0.985719654265314</v>
      </c>
      <c r="AF449" s="97" t="n">
        <f aca="false">BR449</f>
        <v>0</v>
      </c>
      <c r="AG449" s="98" t="n">
        <f aca="false">K449-AF449</f>
        <v>8</v>
      </c>
      <c r="AH449" s="99" t="n">
        <f aca="false">IFERROR(AG449/K449," ")</f>
        <v>1</v>
      </c>
      <c r="AI449" s="100" t="n">
        <f aca="false">IFERROR(O449/K449,0)</f>
        <v>650</v>
      </c>
      <c r="AJ449" s="101" t="n">
        <f aca="false">VLOOKUP(D449,'Standard Cycle time'!C:D,2,0)</f>
        <v>5.25</v>
      </c>
      <c r="AK449" s="101" t="n">
        <f aca="false">AG449*V449*3600/O449</f>
        <v>5.53846153846154</v>
      </c>
      <c r="AL449" s="102" t="n">
        <f aca="false">AJ449/AK449</f>
        <v>0.947916666666667</v>
      </c>
      <c r="AM449" s="99" t="n">
        <f aca="false">AE449*AL449*AH449</f>
        <v>0.934380088938995</v>
      </c>
      <c r="AN449" s="103" t="n">
        <v>3080</v>
      </c>
      <c r="AO449" s="112"/>
      <c r="AP449" s="105" t="n">
        <v>0</v>
      </c>
      <c r="AQ449" s="105" t="n">
        <v>0</v>
      </c>
      <c r="AR449" s="105" t="n">
        <v>0</v>
      </c>
      <c r="AS449" s="105" t="n">
        <v>0</v>
      </c>
      <c r="AT449" s="105" t="n">
        <v>0</v>
      </c>
      <c r="AU449" s="105" t="n">
        <v>0</v>
      </c>
      <c r="AV449" s="105" t="n">
        <v>0</v>
      </c>
      <c r="AW449" s="105" t="n">
        <v>0</v>
      </c>
      <c r="AX449" s="105" t="n">
        <v>0</v>
      </c>
      <c r="AY449" s="105" t="n">
        <v>0</v>
      </c>
      <c r="AZ449" s="105" t="n">
        <v>0</v>
      </c>
      <c r="BA449" s="105" t="n">
        <v>0</v>
      </c>
      <c r="BB449" s="105" t="n">
        <v>0</v>
      </c>
      <c r="BC449" s="105" t="n">
        <v>0</v>
      </c>
      <c r="BD449" s="105" t="n">
        <v>0</v>
      </c>
      <c r="BE449" s="105" t="n">
        <v>0</v>
      </c>
      <c r="BF449" s="105" t="n">
        <v>0</v>
      </c>
      <c r="BG449" s="105" t="n">
        <v>0</v>
      </c>
      <c r="BH449" s="105" t="n">
        <v>0</v>
      </c>
      <c r="BI449" s="105" t="n">
        <v>0</v>
      </c>
      <c r="BJ449" s="105" t="n">
        <v>0</v>
      </c>
      <c r="BK449" s="105" t="n">
        <v>0</v>
      </c>
      <c r="BL449" s="105" t="n">
        <v>0</v>
      </c>
      <c r="BM449" s="105" t="n">
        <v>0</v>
      </c>
      <c r="BN449" s="105" t="n">
        <v>0</v>
      </c>
      <c r="BO449" s="105" t="n">
        <v>0</v>
      </c>
      <c r="BP449" s="105" t="n">
        <v>0</v>
      </c>
      <c r="BQ449" s="105" t="n">
        <v>0</v>
      </c>
      <c r="BR449" s="106" t="n">
        <v>0</v>
      </c>
      <c r="BS449" s="106" t="n">
        <v>0</v>
      </c>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row>
    <row r="450" customFormat="false" ht="14.9" hidden="false" customHeight="false" outlineLevel="0" collapsed="false">
      <c r="A450" s="74" t="n">
        <f aca="false">MONTH(B450)</f>
        <v>9</v>
      </c>
      <c r="B450" s="135" t="n">
        <v>44446</v>
      </c>
      <c r="C450" s="128" t="s">
        <v>152</v>
      </c>
      <c r="D450" s="77" t="str">
        <f aca="false">IFERROR(VLOOKUP(E:E,'Item Data Support Sheet'!A:O,7,0),"")</f>
        <v>HOOD MOLDED</v>
      </c>
      <c r="E450" s="80" t="s">
        <v>529</v>
      </c>
      <c r="F450" s="122"/>
      <c r="G450" s="137" t="s">
        <v>740</v>
      </c>
      <c r="H450" s="79" t="str">
        <f aca="false">IFERROR(VLOOKUP(E:E,'Item Data Support Sheet'!A:O,2,0),"")</f>
        <v>HOOD S TYPE MOLDED</v>
      </c>
      <c r="I450" s="80" t="s">
        <v>986</v>
      </c>
      <c r="J450" s="80" t="s">
        <v>815</v>
      </c>
      <c r="K450" s="81" t="n">
        <v>8</v>
      </c>
      <c r="L450" s="124" t="n">
        <v>4137</v>
      </c>
      <c r="M450" s="83" t="n">
        <f aca="false">IFERROR(L450/K450,0)</f>
        <v>517.125</v>
      </c>
      <c r="N450" s="84" t="n">
        <f aca="false">+O450+Q450+T450+U450</f>
        <v>5512</v>
      </c>
      <c r="O450" s="85" t="n">
        <v>5500</v>
      </c>
      <c r="P450" s="86" t="n">
        <v>0</v>
      </c>
      <c r="Q450" s="86" t="n">
        <v>0</v>
      </c>
      <c r="R450" s="132" t="n">
        <v>0</v>
      </c>
      <c r="S450" s="128" t="n">
        <v>0</v>
      </c>
      <c r="T450" s="132" t="n">
        <v>4</v>
      </c>
      <c r="U450" s="128" t="n">
        <v>8</v>
      </c>
      <c r="V450" s="128" t="n">
        <v>1</v>
      </c>
      <c r="W450" s="90" t="n">
        <f aca="false">IFERROR(O450/V450,0)</f>
        <v>5500</v>
      </c>
      <c r="X450" s="91" t="n">
        <f aca="false">O450/L450</f>
        <v>1.32946579647087</v>
      </c>
      <c r="Y450" s="92" t="str">
        <f aca="false">IFERROR(VLOOKUP(E:E,'Item Data Support Sheet'!A:J,6,0),0)</f>
        <v>HMC</v>
      </c>
      <c r="Z450" s="93" t="n">
        <f aca="false">IFERROR(VLOOKUP(E:E,'Item Data Support Sheet'!A:O,4,0),0)</f>
        <v>8.6</v>
      </c>
      <c r="AA450" s="93" t="n">
        <f aca="false">IFERROR(((N450)*(Z450/1000))+P450,0)</f>
        <v>47.4032</v>
      </c>
      <c r="AB450" s="94" t="n">
        <f aca="false">IFERROR((O450*(Z450/1000)/(AA450))," ")</f>
        <v>0.997822931785196</v>
      </c>
      <c r="AC450" s="95" t="n">
        <f aca="false">IFERROR((T450)/((T450)+O450),0)</f>
        <v>0.000726744186046512</v>
      </c>
      <c r="AD450" s="96" t="n">
        <f aca="false">IFERROR(Q450/(Q450+N450),0)</f>
        <v>0</v>
      </c>
      <c r="AE450" s="91" t="n">
        <f aca="false">(N450-T450)/N450</f>
        <v>0.999274310595065</v>
      </c>
      <c r="AF450" s="97" t="n">
        <f aca="false">BR450</f>
        <v>0</v>
      </c>
      <c r="AG450" s="98" t="n">
        <f aca="false">K450-AF450</f>
        <v>8</v>
      </c>
      <c r="AH450" s="99" t="n">
        <f aca="false">IFERROR(AG450/K450," ")</f>
        <v>1</v>
      </c>
      <c r="AI450" s="100" t="n">
        <f aca="false">IFERROR(O450/K450,0)</f>
        <v>687.5</v>
      </c>
      <c r="AJ450" s="101" t="n">
        <f aca="false">VLOOKUP(D450,'Standard Cycle time'!C:D,2,0)</f>
        <v>6</v>
      </c>
      <c r="AK450" s="101" t="n">
        <f aca="false">AG450*V450*3600/O450</f>
        <v>5.23636363636364</v>
      </c>
      <c r="AL450" s="102" t="n">
        <f aca="false">AJ450/AK450</f>
        <v>1.14583333333333</v>
      </c>
      <c r="AM450" s="99" t="n">
        <f aca="false">AE450*AL450*AH450</f>
        <v>1.14500181422351</v>
      </c>
      <c r="AN450" s="103" t="n">
        <v>3052</v>
      </c>
      <c r="AO450" s="112"/>
      <c r="AP450" s="105" t="n">
        <v>0</v>
      </c>
      <c r="AQ450" s="105" t="n">
        <v>0</v>
      </c>
      <c r="AR450" s="105" t="n">
        <v>0</v>
      </c>
      <c r="AS450" s="105" t="n">
        <v>0</v>
      </c>
      <c r="AT450" s="105" t="n">
        <v>0</v>
      </c>
      <c r="AU450" s="105" t="n">
        <v>0</v>
      </c>
      <c r="AV450" s="105" t="n">
        <v>0</v>
      </c>
      <c r="AW450" s="105" t="n">
        <v>0</v>
      </c>
      <c r="AX450" s="105" t="n">
        <v>0</v>
      </c>
      <c r="AY450" s="105" t="n">
        <v>0</v>
      </c>
      <c r="AZ450" s="105" t="n">
        <v>0</v>
      </c>
      <c r="BA450" s="105" t="n">
        <v>0</v>
      </c>
      <c r="BB450" s="105" t="n">
        <v>0</v>
      </c>
      <c r="BC450" s="105" t="n">
        <v>0</v>
      </c>
      <c r="BD450" s="105" t="n">
        <v>0</v>
      </c>
      <c r="BE450" s="105" t="n">
        <v>0</v>
      </c>
      <c r="BF450" s="105" t="n">
        <v>0</v>
      </c>
      <c r="BG450" s="105" t="n">
        <v>0</v>
      </c>
      <c r="BH450" s="105" t="n">
        <v>0</v>
      </c>
      <c r="BI450" s="105" t="n">
        <v>0</v>
      </c>
      <c r="BJ450" s="105" t="n">
        <v>0</v>
      </c>
      <c r="BK450" s="105" t="n">
        <v>0</v>
      </c>
      <c r="BL450" s="105" t="n">
        <v>0</v>
      </c>
      <c r="BM450" s="105" t="n">
        <v>0</v>
      </c>
      <c r="BN450" s="105" t="n">
        <v>0</v>
      </c>
      <c r="BO450" s="105" t="n">
        <v>0</v>
      </c>
      <c r="BP450" s="105" t="n">
        <v>0</v>
      </c>
      <c r="BQ450" s="105" t="n">
        <v>0</v>
      </c>
      <c r="BR450" s="106" t="n">
        <v>0</v>
      </c>
      <c r="BS450" s="106" t="n">
        <v>0</v>
      </c>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row>
    <row r="451" customFormat="false" ht="14.9" hidden="false" customHeight="false" outlineLevel="0" collapsed="false">
      <c r="A451" s="74" t="n">
        <f aca="false">MONTH(B451)</f>
        <v>9</v>
      </c>
      <c r="B451" s="135" t="n">
        <v>44447</v>
      </c>
      <c r="C451" s="128" t="s">
        <v>51</v>
      </c>
      <c r="D451" s="77" t="str">
        <f aca="false">IFERROR(VLOOKUP(E:E,'Item Data Support Sheet'!A:O,7,0),"")</f>
        <v>HOOD MOLDED</v>
      </c>
      <c r="E451" s="80" t="s">
        <v>529</v>
      </c>
      <c r="F451" s="122"/>
      <c r="G451" s="137" t="s">
        <v>740</v>
      </c>
      <c r="H451" s="79" t="str">
        <f aca="false">IFERROR(VLOOKUP(E:E,'Item Data Support Sheet'!A:O,2,0),"")</f>
        <v>HOOD S TYPE MOLDED</v>
      </c>
      <c r="I451" s="80" t="s">
        <v>987</v>
      </c>
      <c r="J451" s="80" t="s">
        <v>148</v>
      </c>
      <c r="K451" s="81" t="n">
        <v>8</v>
      </c>
      <c r="L451" s="124" t="n">
        <v>2574</v>
      </c>
      <c r="M451" s="83" t="n">
        <f aca="false">IFERROR(L451/K451,0)</f>
        <v>321.75</v>
      </c>
      <c r="N451" s="84" t="n">
        <f aca="false">+O451+Q451+T451+U451</f>
        <v>5514</v>
      </c>
      <c r="O451" s="85" t="n">
        <v>5500</v>
      </c>
      <c r="P451" s="86" t="n">
        <v>0</v>
      </c>
      <c r="Q451" s="86" t="n">
        <v>4</v>
      </c>
      <c r="R451" s="132" t="n">
        <v>0</v>
      </c>
      <c r="S451" s="128" t="n">
        <v>0</v>
      </c>
      <c r="T451" s="132" t="n">
        <v>2</v>
      </c>
      <c r="U451" s="128" t="n">
        <v>8</v>
      </c>
      <c r="V451" s="128" t="n">
        <v>1</v>
      </c>
      <c r="W451" s="90" t="n">
        <f aca="false">IFERROR(O451/V451,0)</f>
        <v>5500</v>
      </c>
      <c r="X451" s="91" t="n">
        <f aca="false">O451/L451</f>
        <v>2.13675213675214</v>
      </c>
      <c r="Y451" s="92" t="str">
        <f aca="false">IFERROR(VLOOKUP(E:E,'Item Data Support Sheet'!A:J,6,0),0)</f>
        <v>HMC</v>
      </c>
      <c r="Z451" s="93" t="n">
        <f aca="false">IFERROR(VLOOKUP(E:E,'Item Data Support Sheet'!A:O,4,0),0)</f>
        <v>8.6</v>
      </c>
      <c r="AA451" s="93" t="n">
        <f aca="false">IFERROR(((N451)*(Z451/1000))+P451,0)</f>
        <v>47.4204</v>
      </c>
      <c r="AB451" s="94" t="n">
        <f aca="false">IFERROR((O451*(Z451/1000)/(AA451))," ")</f>
        <v>0.997461008342401</v>
      </c>
      <c r="AC451" s="95" t="n">
        <f aca="false">IFERROR((T451)/((T451)+O451),0)</f>
        <v>0.000363504180298073</v>
      </c>
      <c r="AD451" s="96" t="n">
        <f aca="false">IFERROR(Q451/(Q451+N451),0)</f>
        <v>0.000724900326205147</v>
      </c>
      <c r="AE451" s="91" t="n">
        <f aca="false">(N451-T451)/N451</f>
        <v>0.999637286906057</v>
      </c>
      <c r="AF451" s="97" t="n">
        <f aca="false">BR451</f>
        <v>0.666666666666667</v>
      </c>
      <c r="AG451" s="98" t="n">
        <f aca="false">K451-AF451</f>
        <v>7.33333333333333</v>
      </c>
      <c r="AH451" s="99" t="n">
        <f aca="false">IFERROR(AG451/K451," ")</f>
        <v>0.916666666666667</v>
      </c>
      <c r="AI451" s="100" t="n">
        <f aca="false">IFERROR(O451/K451,0)</f>
        <v>687.5</v>
      </c>
      <c r="AJ451" s="101" t="n">
        <f aca="false">VLOOKUP(D451,'Standard Cycle time'!C:D,2,0)</f>
        <v>6</v>
      </c>
      <c r="AK451" s="101" t="n">
        <f aca="false">AG451*V451*3600/O451</f>
        <v>4.8</v>
      </c>
      <c r="AL451" s="102" t="n">
        <f aca="false">AJ451/AK451</f>
        <v>1.25</v>
      </c>
      <c r="AM451" s="99" t="n">
        <f aca="false">AE451*AL451*AH451</f>
        <v>1.14541772457986</v>
      </c>
      <c r="AN451" s="103" t="n">
        <v>3059</v>
      </c>
      <c r="AO451" s="112"/>
      <c r="AP451" s="105" t="n">
        <v>40</v>
      </c>
      <c r="AQ451" s="105" t="n">
        <v>0</v>
      </c>
      <c r="AR451" s="105" t="n">
        <v>0</v>
      </c>
      <c r="AS451" s="105" t="n">
        <v>0</v>
      </c>
      <c r="AT451" s="105" t="n">
        <v>0</v>
      </c>
      <c r="AU451" s="105" t="n">
        <v>0</v>
      </c>
      <c r="AV451" s="105" t="n">
        <v>0</v>
      </c>
      <c r="AW451" s="105" t="n">
        <v>0</v>
      </c>
      <c r="AX451" s="105" t="n">
        <v>0</v>
      </c>
      <c r="AY451" s="105" t="n">
        <v>0</v>
      </c>
      <c r="AZ451" s="105" t="n">
        <v>0</v>
      </c>
      <c r="BA451" s="105" t="n">
        <v>0</v>
      </c>
      <c r="BB451" s="105" t="n">
        <v>0</v>
      </c>
      <c r="BC451" s="105" t="n">
        <v>0</v>
      </c>
      <c r="BD451" s="105" t="n">
        <v>0</v>
      </c>
      <c r="BE451" s="105" t="n">
        <v>0</v>
      </c>
      <c r="BF451" s="105" t="n">
        <v>0</v>
      </c>
      <c r="BG451" s="105" t="n">
        <v>0</v>
      </c>
      <c r="BH451" s="105" t="n">
        <v>0</v>
      </c>
      <c r="BI451" s="105" t="n">
        <v>0</v>
      </c>
      <c r="BJ451" s="105" t="n">
        <v>0</v>
      </c>
      <c r="BK451" s="105" t="n">
        <v>0</v>
      </c>
      <c r="BL451" s="105" t="n">
        <v>0</v>
      </c>
      <c r="BM451" s="105" t="n">
        <v>0</v>
      </c>
      <c r="BN451" s="105" t="n">
        <v>0</v>
      </c>
      <c r="BO451" s="105" t="n">
        <v>0</v>
      </c>
      <c r="BP451" s="105" t="n">
        <v>0</v>
      </c>
      <c r="BQ451" s="105" t="n">
        <v>0</v>
      </c>
      <c r="BR451" s="106" t="n">
        <v>0.666666666666667</v>
      </c>
      <c r="BS451" s="106" t="n">
        <v>0.677777777777778</v>
      </c>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row>
    <row r="452" customFormat="false" ht="14.9" hidden="false" customHeight="false" outlineLevel="0" collapsed="false">
      <c r="A452" s="74" t="n">
        <f aca="false">MONTH(B452)</f>
        <v>9</v>
      </c>
      <c r="B452" s="135" t="n">
        <v>44447</v>
      </c>
      <c r="C452" s="128" t="s">
        <v>51</v>
      </c>
      <c r="D452" s="77" t="str">
        <f aca="false">IFERROR(VLOOKUP(E:E,'Item Data Support Sheet'!A:O,7,0),"")</f>
        <v>NIPPLE MOLDED</v>
      </c>
      <c r="E452" s="80" t="s">
        <v>136</v>
      </c>
      <c r="F452" s="122" t="s">
        <v>137</v>
      </c>
      <c r="G452" s="137" t="s">
        <v>848</v>
      </c>
      <c r="H452" s="79" t="str">
        <f aca="false">IFERROR(VLOOKUP(E:E,'Item Data Support Sheet'!A:O,2,0),"")</f>
        <v>NIPPLE S TYPE M SIZE INJECTION</v>
      </c>
      <c r="I452" s="80" t="s">
        <v>988</v>
      </c>
      <c r="J452" s="80" t="s">
        <v>148</v>
      </c>
      <c r="K452" s="81" t="n">
        <v>8</v>
      </c>
      <c r="L452" s="124" t="n">
        <v>4815</v>
      </c>
      <c r="M452" s="83" t="n">
        <f aca="false">IFERROR(L452/K452,0)</f>
        <v>601.875</v>
      </c>
      <c r="N452" s="84" t="n">
        <f aca="false">+O452+Q452+T452+U452</f>
        <v>5370</v>
      </c>
      <c r="O452" s="85" t="n">
        <v>5200</v>
      </c>
      <c r="P452" s="86" t="n">
        <v>0.36</v>
      </c>
      <c r="Q452" s="86" t="n">
        <v>90</v>
      </c>
      <c r="R452" s="132" t="n">
        <v>0</v>
      </c>
      <c r="S452" s="128" t="n">
        <v>0</v>
      </c>
      <c r="T452" s="132" t="n">
        <v>72</v>
      </c>
      <c r="U452" s="128" t="n">
        <v>8</v>
      </c>
      <c r="V452" s="128" t="n">
        <v>1</v>
      </c>
      <c r="W452" s="90" t="n">
        <f aca="false">IFERROR(O452/V452,0)</f>
        <v>5200</v>
      </c>
      <c r="X452" s="91" t="n">
        <f aca="false">O452/L452</f>
        <v>1.07995846313603</v>
      </c>
      <c r="Y452" s="92" t="str">
        <f aca="false">IFERROR(VLOOKUP(E:E,'Item Data Support Sheet'!A:J,6,0),0)</f>
        <v>Silicon</v>
      </c>
      <c r="Z452" s="93" t="n">
        <f aca="false">IFERROR(VLOOKUP(E:E,'Item Data Support Sheet'!A:O,4,0),0)</f>
        <v>6.8</v>
      </c>
      <c r="AA452" s="93" t="n">
        <f aca="false">IFERROR(((N452)*(Z452/1000))+P452,0)</f>
        <v>36.876</v>
      </c>
      <c r="AB452" s="94" t="n">
        <f aca="false">IFERROR((O452*(Z452/1000)/(AA452))," ")</f>
        <v>0.958889250461004</v>
      </c>
      <c r="AC452" s="95" t="n">
        <f aca="false">IFERROR((T452)/((T452)+O452),0)</f>
        <v>0.0136570561456753</v>
      </c>
      <c r="AD452" s="96" t="n">
        <f aca="false">IFERROR(Q452/(Q452+N452),0)</f>
        <v>0.0164835164835165</v>
      </c>
      <c r="AE452" s="91" t="n">
        <f aca="false">(N452-T452)/N452</f>
        <v>0.98659217877095</v>
      </c>
      <c r="AF452" s="97" t="n">
        <f aca="false">BR452</f>
        <v>0</v>
      </c>
      <c r="AG452" s="98" t="n">
        <f aca="false">K452-AF452</f>
        <v>8</v>
      </c>
      <c r="AH452" s="99" t="n">
        <f aca="false">IFERROR(AG452/K452," ")</f>
        <v>1</v>
      </c>
      <c r="AI452" s="100" t="n">
        <f aca="false">IFERROR(O452/K452,0)</f>
        <v>650</v>
      </c>
      <c r="AJ452" s="101" t="n">
        <f aca="false">VLOOKUP(D452,'Standard Cycle time'!C:D,2,0)</f>
        <v>5.25</v>
      </c>
      <c r="AK452" s="101" t="n">
        <f aca="false">AG452*V452*3600/O452</f>
        <v>5.53846153846154</v>
      </c>
      <c r="AL452" s="102" t="n">
        <f aca="false">AJ452/AK452</f>
        <v>0.947916666666667</v>
      </c>
      <c r="AM452" s="99" t="n">
        <f aca="false">AE452*AL452*AH452</f>
        <v>0.935207169459963</v>
      </c>
      <c r="AN452" s="103" t="n">
        <v>3081</v>
      </c>
      <c r="AO452" s="112"/>
      <c r="AP452" s="105" t="n">
        <v>0</v>
      </c>
      <c r="AQ452" s="105" t="n">
        <v>0</v>
      </c>
      <c r="AR452" s="105" t="n">
        <v>0</v>
      </c>
      <c r="AS452" s="105" t="n">
        <v>0</v>
      </c>
      <c r="AT452" s="105" t="n">
        <v>0</v>
      </c>
      <c r="AU452" s="105" t="n">
        <v>0</v>
      </c>
      <c r="AV452" s="105" t="n">
        <v>0</v>
      </c>
      <c r="AW452" s="105" t="n">
        <v>0</v>
      </c>
      <c r="AX452" s="105" t="n">
        <v>0</v>
      </c>
      <c r="AY452" s="105" t="n">
        <v>0</v>
      </c>
      <c r="AZ452" s="105" t="n">
        <v>0</v>
      </c>
      <c r="BA452" s="105" t="n">
        <v>0</v>
      </c>
      <c r="BB452" s="105" t="n">
        <v>0</v>
      </c>
      <c r="BC452" s="105" t="n">
        <v>0</v>
      </c>
      <c r="BD452" s="105" t="n">
        <v>0</v>
      </c>
      <c r="BE452" s="105" t="n">
        <v>0</v>
      </c>
      <c r="BF452" s="105" t="n">
        <v>0</v>
      </c>
      <c r="BG452" s="105" t="n">
        <v>0</v>
      </c>
      <c r="BH452" s="105" t="n">
        <v>0</v>
      </c>
      <c r="BI452" s="105" t="n">
        <v>0</v>
      </c>
      <c r="BJ452" s="105" t="n">
        <v>0</v>
      </c>
      <c r="BK452" s="105" t="n">
        <v>0</v>
      </c>
      <c r="BL452" s="105" t="n">
        <v>0</v>
      </c>
      <c r="BM452" s="105" t="n">
        <v>0</v>
      </c>
      <c r="BN452" s="105" t="n">
        <v>0</v>
      </c>
      <c r="BO452" s="105" t="n">
        <v>0</v>
      </c>
      <c r="BP452" s="105" t="n">
        <v>0</v>
      </c>
      <c r="BQ452" s="105" t="n">
        <v>0</v>
      </c>
      <c r="BR452" s="106" t="n">
        <v>0</v>
      </c>
      <c r="BS452" s="106" t="n">
        <v>0</v>
      </c>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row>
    <row r="453" customFormat="false" ht="14.9" hidden="false" customHeight="false" outlineLevel="0" collapsed="false">
      <c r="A453" s="74" t="n">
        <f aca="false">MONTH(B453)</f>
        <v>9</v>
      </c>
      <c r="B453" s="135" t="n">
        <v>44447</v>
      </c>
      <c r="C453" s="128" t="s">
        <v>51</v>
      </c>
      <c r="D453" s="77" t="str">
        <f aca="false">IFERROR(VLOOKUP(E:E,'Item Data Support Sheet'!A:O,7,0),"")</f>
        <v>NIPPLE PUNCH</v>
      </c>
      <c r="E453" s="80" t="s">
        <v>60</v>
      </c>
      <c r="F453" s="122"/>
      <c r="G453" s="137"/>
      <c r="H453" s="79" t="str">
        <f aca="false">IFERROR(VLOOKUP(E:E,'Item Data Support Sheet'!A:O,2,0),"")</f>
        <v>NIPPLE S TYPE M SIZE PUNCHED</v>
      </c>
      <c r="I453" s="80" t="s">
        <v>989</v>
      </c>
      <c r="J453" s="80" t="s">
        <v>148</v>
      </c>
      <c r="K453" s="81" t="n">
        <v>2</v>
      </c>
      <c r="L453" s="124" t="n">
        <v>1840</v>
      </c>
      <c r="M453" s="83" t="n">
        <f aca="false">IFERROR(L453/K453,0)</f>
        <v>920</v>
      </c>
      <c r="N453" s="84" t="n">
        <f aca="false">+O453+Q453+T453+U453</f>
        <v>1840</v>
      </c>
      <c r="O453" s="85" t="n">
        <v>1840</v>
      </c>
      <c r="P453" s="86" t="n">
        <v>0</v>
      </c>
      <c r="Q453" s="86" t="n">
        <v>0</v>
      </c>
      <c r="R453" s="132" t="n">
        <v>0</v>
      </c>
      <c r="S453" s="128" t="n">
        <v>0</v>
      </c>
      <c r="T453" s="132" t="n">
        <v>0</v>
      </c>
      <c r="U453" s="128" t="n">
        <v>0</v>
      </c>
      <c r="V453" s="128" t="n">
        <v>1</v>
      </c>
      <c r="W453" s="90" t="n">
        <f aca="false">IFERROR(O453/V453,0)</f>
        <v>1840</v>
      </c>
      <c r="X453" s="91" t="n">
        <f aca="false">O453/L453</f>
        <v>1</v>
      </c>
      <c r="Y453" s="92" t="str">
        <f aca="false">IFERROR(VLOOKUP(E:E,'Item Data Support Sheet'!A:J,6,0),0)</f>
        <v>FO016</v>
      </c>
      <c r="Z453" s="93" t="n">
        <f aca="false">IFERROR(VLOOKUP(E:E,'Item Data Support Sheet'!A:O,4,0),0)</f>
        <v>0</v>
      </c>
      <c r="AA453" s="93" t="n">
        <f aca="false">IFERROR(((N453)*(Z453/1000))+P453,0)</f>
        <v>0</v>
      </c>
      <c r="AB453" s="94" t="str">
        <f aca="false">IFERROR((O453*(Z453/1000)/(AA453))," ")</f>
        <v> </v>
      </c>
      <c r="AC453" s="95" t="n">
        <f aca="false">IFERROR((T453)/((T453)+O453),0)</f>
        <v>0</v>
      </c>
      <c r="AD453" s="96" t="n">
        <f aca="false">IFERROR(Q453/(Q453+N453),0)</f>
        <v>0</v>
      </c>
      <c r="AE453" s="91" t="n">
        <f aca="false">(N453-T453)/N453</f>
        <v>1</v>
      </c>
      <c r="AF453" s="97" t="n">
        <f aca="false">BR453</f>
        <v>0.666666666666667</v>
      </c>
      <c r="AG453" s="98" t="n">
        <f aca="false">K453-AF453</f>
        <v>1.33333333333333</v>
      </c>
      <c r="AH453" s="99" t="n">
        <f aca="false">IFERROR(AG453/K453," ")</f>
        <v>0.666666666666667</v>
      </c>
      <c r="AI453" s="100" t="n">
        <f aca="false">IFERROR(O453/K453,0)</f>
        <v>920</v>
      </c>
      <c r="AJ453" s="101" t="n">
        <f aca="false">VLOOKUP(D453,'Standard Cycle time'!C:D,2,0)</f>
        <v>3.5</v>
      </c>
      <c r="AK453" s="101" t="n">
        <f aca="false">AG453*V453*3600/O453</f>
        <v>2.60869565217391</v>
      </c>
      <c r="AL453" s="102" t="n">
        <f aca="false">AJ453/AK453</f>
        <v>1.34166666666667</v>
      </c>
      <c r="AM453" s="99" t="n">
        <f aca="false">AE453*AL453*AH453</f>
        <v>0.894444444444444</v>
      </c>
      <c r="AN453" s="103" t="n">
        <v>3068</v>
      </c>
      <c r="AO453" s="112"/>
      <c r="AP453" s="105" t="n">
        <v>40</v>
      </c>
      <c r="AQ453" s="105" t="n">
        <v>0</v>
      </c>
      <c r="AR453" s="105" t="n">
        <v>0</v>
      </c>
      <c r="AS453" s="105" t="n">
        <v>0</v>
      </c>
      <c r="AT453" s="105" t="n">
        <v>0</v>
      </c>
      <c r="AU453" s="105" t="n">
        <v>0</v>
      </c>
      <c r="AV453" s="105" t="n">
        <v>0</v>
      </c>
      <c r="AW453" s="105" t="n">
        <v>0</v>
      </c>
      <c r="AX453" s="105" t="n">
        <v>0</v>
      </c>
      <c r="AY453" s="105" t="n">
        <v>0</v>
      </c>
      <c r="AZ453" s="105" t="n">
        <v>0</v>
      </c>
      <c r="BA453" s="105" t="n">
        <v>0</v>
      </c>
      <c r="BB453" s="105" t="n">
        <v>0</v>
      </c>
      <c r="BC453" s="105" t="n">
        <v>0</v>
      </c>
      <c r="BD453" s="105" t="n">
        <v>0</v>
      </c>
      <c r="BE453" s="105" t="n">
        <v>0</v>
      </c>
      <c r="BF453" s="105" t="n">
        <v>0</v>
      </c>
      <c r="BG453" s="105" t="n">
        <v>0</v>
      </c>
      <c r="BH453" s="105" t="n">
        <v>0</v>
      </c>
      <c r="BI453" s="105" t="n">
        <v>0</v>
      </c>
      <c r="BJ453" s="105" t="n">
        <v>0</v>
      </c>
      <c r="BK453" s="105" t="n">
        <v>0</v>
      </c>
      <c r="BL453" s="105" t="n">
        <v>0</v>
      </c>
      <c r="BM453" s="105" t="n">
        <v>0</v>
      </c>
      <c r="BN453" s="105" t="n">
        <v>0</v>
      </c>
      <c r="BO453" s="105" t="n">
        <v>0</v>
      </c>
      <c r="BP453" s="105" t="n">
        <v>0</v>
      </c>
      <c r="BQ453" s="105" t="n">
        <v>0</v>
      </c>
      <c r="BR453" s="106" t="n">
        <v>0.666666666666667</v>
      </c>
      <c r="BS453" s="106" t="n">
        <v>0.677777777777778</v>
      </c>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row>
    <row r="454" customFormat="false" ht="14.9" hidden="false" customHeight="false" outlineLevel="0" collapsed="false">
      <c r="A454" s="74" t="n">
        <f aca="false">MONTH(B454)</f>
        <v>9</v>
      </c>
      <c r="B454" s="135" t="n">
        <v>44447</v>
      </c>
      <c r="C454" s="128" t="s">
        <v>51</v>
      </c>
      <c r="D454" s="77" t="str">
        <f aca="false">IFERROR(VLOOKUP(E:E,'Item Data Support Sheet'!A:O,7,0),"")</f>
        <v>NIPPLE LASER MARKING</v>
      </c>
      <c r="E454" s="80" t="s">
        <v>932</v>
      </c>
      <c r="F454" s="122"/>
      <c r="G454" s="137"/>
      <c r="H454" s="79" t="str">
        <f aca="false">IFERROR(VLOOKUP(E:E,'Item Data Support Sheet'!A:O,2,0),"")</f>
        <v>NIPPLE S TYPE M SIZE PUNCHED LASER MARKED</v>
      </c>
      <c r="I454" s="80" t="s">
        <v>990</v>
      </c>
      <c r="J454" s="80" t="s">
        <v>148</v>
      </c>
      <c r="K454" s="81" t="n">
        <v>8</v>
      </c>
      <c r="L454" s="124" t="n">
        <v>7036</v>
      </c>
      <c r="M454" s="83" t="n">
        <f aca="false">IFERROR(L454/K454,0)</f>
        <v>879.5</v>
      </c>
      <c r="N454" s="84" t="n">
        <f aca="false">+O454+Q454+T454+U454</f>
        <v>5700</v>
      </c>
      <c r="O454" s="85" t="n">
        <v>5700</v>
      </c>
      <c r="P454" s="86" t="n">
        <v>0</v>
      </c>
      <c r="Q454" s="86" t="n">
        <v>0</v>
      </c>
      <c r="R454" s="132" t="n">
        <v>0</v>
      </c>
      <c r="S454" s="128" t="n">
        <v>0</v>
      </c>
      <c r="T454" s="132" t="n">
        <v>0</v>
      </c>
      <c r="U454" s="128" t="n">
        <v>0</v>
      </c>
      <c r="V454" s="128" t="n">
        <v>1</v>
      </c>
      <c r="W454" s="90" t="n">
        <f aca="false">IFERROR(O454/V454,0)</f>
        <v>5700</v>
      </c>
      <c r="X454" s="91" t="n">
        <f aca="false">O454/L454</f>
        <v>0.810119386014781</v>
      </c>
      <c r="Y454" s="92" t="str">
        <f aca="false">IFERROR(VLOOKUP(E:E,'Item Data Support Sheet'!A:J,6,0),0)</f>
        <v>FO020</v>
      </c>
      <c r="Z454" s="93" t="n">
        <f aca="false">IFERROR(VLOOKUP(E:E,'Item Data Support Sheet'!A:O,4,0),0)</f>
        <v>0</v>
      </c>
      <c r="AA454" s="93" t="n">
        <f aca="false">IFERROR(((N454)*(Z454/1000))+P454,0)</f>
        <v>0</v>
      </c>
      <c r="AB454" s="94" t="str">
        <f aca="false">IFERROR((O454*(Z454/1000)/(AA454))," ")</f>
        <v> </v>
      </c>
      <c r="AC454" s="95" t="n">
        <f aca="false">IFERROR((T454)/((T454)+O454),0)</f>
        <v>0</v>
      </c>
      <c r="AD454" s="96" t="n">
        <f aca="false">IFERROR(Q454/(Q454+N454),0)</f>
        <v>0</v>
      </c>
      <c r="AE454" s="91" t="n">
        <f aca="false">(N454-T454)/N454</f>
        <v>1</v>
      </c>
      <c r="AF454" s="97" t="n">
        <f aca="false">BR454</f>
        <v>2</v>
      </c>
      <c r="AG454" s="98" t="n">
        <f aca="false">K454-AF454</f>
        <v>6</v>
      </c>
      <c r="AH454" s="99" t="n">
        <f aca="false">IFERROR(AG454/K454," ")</f>
        <v>0.75</v>
      </c>
      <c r="AI454" s="100" t="n">
        <f aca="false">IFERROR(O454/K454,0)</f>
        <v>712.5</v>
      </c>
      <c r="AJ454" s="101" t="n">
        <f aca="false">VLOOKUP(D454,'Standard Cycle time'!C:D,2,0)</f>
        <v>3.5</v>
      </c>
      <c r="AK454" s="101" t="n">
        <f aca="false">AG454*V454*3600/O454</f>
        <v>3.78947368421053</v>
      </c>
      <c r="AL454" s="102" t="n">
        <f aca="false">AJ454/AK454</f>
        <v>0.923611111111111</v>
      </c>
      <c r="AM454" s="99" t="n">
        <f aca="false">AE454*AL454*AH454</f>
        <v>0.692708333333333</v>
      </c>
      <c r="AN454" s="103" t="s">
        <v>991</v>
      </c>
      <c r="AO454" s="112"/>
      <c r="AP454" s="105" t="n">
        <v>0</v>
      </c>
      <c r="AQ454" s="105" t="n">
        <v>0</v>
      </c>
      <c r="AR454" s="105" t="n">
        <v>0</v>
      </c>
      <c r="AS454" s="105" t="n">
        <v>0</v>
      </c>
      <c r="AT454" s="105" t="n">
        <v>0</v>
      </c>
      <c r="AU454" s="105" t="n">
        <v>0</v>
      </c>
      <c r="AV454" s="105" t="n">
        <v>120</v>
      </c>
      <c r="AW454" s="105" t="n">
        <v>0</v>
      </c>
      <c r="AX454" s="105" t="n">
        <v>0</v>
      </c>
      <c r="AY454" s="105" t="n">
        <v>0</v>
      </c>
      <c r="AZ454" s="105" t="n">
        <v>0</v>
      </c>
      <c r="BA454" s="105" t="n">
        <v>0</v>
      </c>
      <c r="BB454" s="105" t="n">
        <v>0</v>
      </c>
      <c r="BC454" s="105" t="n">
        <v>0</v>
      </c>
      <c r="BD454" s="105" t="n">
        <v>0</v>
      </c>
      <c r="BE454" s="105" t="n">
        <v>0</v>
      </c>
      <c r="BF454" s="105" t="n">
        <v>0</v>
      </c>
      <c r="BG454" s="105" t="n">
        <v>0</v>
      </c>
      <c r="BH454" s="105" t="n">
        <v>0</v>
      </c>
      <c r="BI454" s="105" t="n">
        <v>0</v>
      </c>
      <c r="BJ454" s="105" t="n">
        <v>0</v>
      </c>
      <c r="BK454" s="105" t="n">
        <v>0</v>
      </c>
      <c r="BL454" s="105" t="n">
        <v>0</v>
      </c>
      <c r="BM454" s="105" t="n">
        <v>0</v>
      </c>
      <c r="BN454" s="105" t="n">
        <v>0</v>
      </c>
      <c r="BO454" s="105" t="n">
        <v>0</v>
      </c>
      <c r="BP454" s="105" t="n">
        <v>0</v>
      </c>
      <c r="BQ454" s="105" t="n">
        <v>0</v>
      </c>
      <c r="BR454" s="106" t="n">
        <v>2</v>
      </c>
      <c r="BS454" s="106" t="n">
        <v>2.03333333333333</v>
      </c>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row>
    <row r="455" customFormat="false" ht="14.9" hidden="false" customHeight="false" outlineLevel="0" collapsed="false">
      <c r="A455" s="74" t="n">
        <f aca="false">MONTH(B455)</f>
        <v>9</v>
      </c>
      <c r="B455" s="135" t="n">
        <v>44447</v>
      </c>
      <c r="C455" s="128" t="s">
        <v>51</v>
      </c>
      <c r="D455" s="77" t="str">
        <f aca="false">IFERROR(VLOOKUP(E:E,'Item Data Support Sheet'!A:O,7,0),"")</f>
        <v>NIPPLE PUNCH</v>
      </c>
      <c r="E455" s="80" t="s">
        <v>60</v>
      </c>
      <c r="F455" s="122"/>
      <c r="G455" s="137"/>
      <c r="H455" s="79" t="str">
        <f aca="false">IFERROR(VLOOKUP(E:E,'Item Data Support Sheet'!A:O,2,0),"")</f>
        <v>NIPPLE S TYPE M SIZE PUNCHED</v>
      </c>
      <c r="I455" s="80" t="s">
        <v>992</v>
      </c>
      <c r="J455" s="80" t="s">
        <v>148</v>
      </c>
      <c r="K455" s="81" t="n">
        <v>6</v>
      </c>
      <c r="L455" s="124" t="n">
        <v>5000</v>
      </c>
      <c r="M455" s="83" t="n">
        <f aca="false">IFERROR(L455/K455,0)</f>
        <v>833.333333333333</v>
      </c>
      <c r="N455" s="84" t="n">
        <f aca="false">+O455+Q455+T455+U455</f>
        <v>3500</v>
      </c>
      <c r="O455" s="85" t="n">
        <v>3500</v>
      </c>
      <c r="P455" s="86" t="n">
        <v>0</v>
      </c>
      <c r="Q455" s="86" t="n">
        <v>0</v>
      </c>
      <c r="R455" s="132" t="n">
        <v>0</v>
      </c>
      <c r="S455" s="128" t="n">
        <v>0</v>
      </c>
      <c r="T455" s="132" t="n">
        <v>0</v>
      </c>
      <c r="U455" s="128" t="n">
        <v>0</v>
      </c>
      <c r="V455" s="128" t="n">
        <v>1</v>
      </c>
      <c r="W455" s="90" t="n">
        <f aca="false">IFERROR(O455/V455,0)</f>
        <v>3500</v>
      </c>
      <c r="X455" s="91" t="n">
        <f aca="false">O455/L455</f>
        <v>0.7</v>
      </c>
      <c r="Y455" s="92" t="str">
        <f aca="false">IFERROR(VLOOKUP(E:E,'Item Data Support Sheet'!A:J,6,0),0)</f>
        <v>FO016</v>
      </c>
      <c r="Z455" s="93" t="n">
        <f aca="false">IFERROR(VLOOKUP(E:E,'Item Data Support Sheet'!A:O,4,0),0)</f>
        <v>0</v>
      </c>
      <c r="AA455" s="93" t="n">
        <f aca="false">IFERROR(((N455)*(Z455/1000))+P455,0)</f>
        <v>0</v>
      </c>
      <c r="AB455" s="94" t="str">
        <f aca="false">IFERROR((O455*(Z455/1000)/(AA455))," ")</f>
        <v> </v>
      </c>
      <c r="AC455" s="95" t="n">
        <f aca="false">IFERROR((T455)/((T455)+O455),0)</f>
        <v>0</v>
      </c>
      <c r="AD455" s="96" t="n">
        <f aca="false">IFERROR(Q455/(Q455+N455),0)</f>
        <v>0</v>
      </c>
      <c r="AE455" s="91" t="n">
        <f aca="false">(N455-T455)/N455</f>
        <v>1</v>
      </c>
      <c r="AF455" s="97" t="n">
        <f aca="false">BR455</f>
        <v>2.5</v>
      </c>
      <c r="AG455" s="98" t="n">
        <f aca="false">K455-AF455</f>
        <v>3.5</v>
      </c>
      <c r="AH455" s="99" t="n">
        <f aca="false">IFERROR(AG455/K455," ")</f>
        <v>0.583333333333333</v>
      </c>
      <c r="AI455" s="100" t="n">
        <f aca="false">IFERROR(O455/K455,0)</f>
        <v>583.333333333333</v>
      </c>
      <c r="AJ455" s="101" t="n">
        <f aca="false">VLOOKUP(D455,'Standard Cycle time'!C:D,2,0)</f>
        <v>3.5</v>
      </c>
      <c r="AK455" s="101" t="n">
        <f aca="false">AG455*V455*3600/O455</f>
        <v>3.6</v>
      </c>
      <c r="AL455" s="102" t="n">
        <f aca="false">AJ455/AK455</f>
        <v>0.972222222222222</v>
      </c>
      <c r="AM455" s="99" t="n">
        <f aca="false">AE455*AL455*AH455</f>
        <v>0.56712962962963</v>
      </c>
      <c r="AN455" s="103" t="n">
        <v>3082</v>
      </c>
      <c r="AO455" s="112"/>
      <c r="AP455" s="105" t="n">
        <v>0</v>
      </c>
      <c r="AQ455" s="105" t="n">
        <v>0</v>
      </c>
      <c r="AR455" s="105" t="n">
        <v>0</v>
      </c>
      <c r="AS455" s="105" t="n">
        <v>0</v>
      </c>
      <c r="AT455" s="105" t="n">
        <v>0</v>
      </c>
      <c r="AU455" s="105" t="n">
        <v>0</v>
      </c>
      <c r="AV455" s="105" t="n">
        <v>150</v>
      </c>
      <c r="AW455" s="105" t="n">
        <v>0</v>
      </c>
      <c r="AX455" s="105" t="n">
        <v>0</v>
      </c>
      <c r="AY455" s="105" t="n">
        <v>0</v>
      </c>
      <c r="AZ455" s="105" t="n">
        <v>0</v>
      </c>
      <c r="BA455" s="105" t="n">
        <v>0</v>
      </c>
      <c r="BB455" s="105" t="n">
        <v>0</v>
      </c>
      <c r="BC455" s="105" t="n">
        <v>0</v>
      </c>
      <c r="BD455" s="105" t="n">
        <v>0</v>
      </c>
      <c r="BE455" s="105" t="n">
        <v>0</v>
      </c>
      <c r="BF455" s="105" t="n">
        <v>0</v>
      </c>
      <c r="BG455" s="105" t="n">
        <v>0</v>
      </c>
      <c r="BH455" s="105" t="n">
        <v>0</v>
      </c>
      <c r="BI455" s="105" t="n">
        <v>0</v>
      </c>
      <c r="BJ455" s="105" t="n">
        <v>0</v>
      </c>
      <c r="BK455" s="105" t="n">
        <v>0</v>
      </c>
      <c r="BL455" s="105" t="n">
        <v>0</v>
      </c>
      <c r="BM455" s="105" t="n">
        <v>0</v>
      </c>
      <c r="BN455" s="105" t="n">
        <v>0</v>
      </c>
      <c r="BO455" s="105" t="n">
        <v>0</v>
      </c>
      <c r="BP455" s="105" t="n">
        <v>0</v>
      </c>
      <c r="BQ455" s="105" t="n">
        <v>0</v>
      </c>
      <c r="BR455" s="106" t="n">
        <v>2.5</v>
      </c>
      <c r="BS455" s="106" t="n">
        <v>2.54166666666667</v>
      </c>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row>
    <row r="456" customFormat="false" ht="14.9" hidden="false" customHeight="false" outlineLevel="0" collapsed="false">
      <c r="A456" s="74" t="n">
        <f aca="false">MONTH(B456)</f>
        <v>9</v>
      </c>
      <c r="B456" s="135" t="n">
        <v>44447</v>
      </c>
      <c r="C456" s="128" t="s">
        <v>51</v>
      </c>
      <c r="D456" s="77" t="str">
        <f aca="false">IFERROR(VLOOKUP(E:E,'Item Data Support Sheet'!A:O,7,0),"")</f>
        <v>BOTTLE PRINTED</v>
      </c>
      <c r="E456" s="80" t="s">
        <v>387</v>
      </c>
      <c r="F456" s="122"/>
      <c r="G456" s="137" t="s">
        <v>66</v>
      </c>
      <c r="H456" s="79" t="str">
        <f aca="false">IFERROR(VLOOKUP(E:E,'Item Data Support Sheet'!A:O,2,0),"")</f>
        <v>KPP 240 BOTTLE PRINTED (WMG3B) W/O OZ &amp; W/BIS LOGO</v>
      </c>
      <c r="I456" s="80" t="s">
        <v>993</v>
      </c>
      <c r="J456" s="80" t="s">
        <v>143</v>
      </c>
      <c r="K456" s="81" t="n">
        <v>4</v>
      </c>
      <c r="L456" s="124" t="n">
        <v>2000</v>
      </c>
      <c r="M456" s="83" t="n">
        <f aca="false">IFERROR(L456/K456,0)</f>
        <v>500</v>
      </c>
      <c r="N456" s="84" t="n">
        <f aca="false">+O456+Q456+T456+U456</f>
        <v>864</v>
      </c>
      <c r="O456" s="85" t="n">
        <v>836</v>
      </c>
      <c r="P456" s="86" t="n">
        <v>0</v>
      </c>
      <c r="Q456" s="86" t="n">
        <v>0</v>
      </c>
      <c r="R456" s="132" t="n">
        <v>9</v>
      </c>
      <c r="S456" s="128" t="n">
        <v>9</v>
      </c>
      <c r="T456" s="132" t="n">
        <v>28</v>
      </c>
      <c r="U456" s="128" t="n">
        <v>0</v>
      </c>
      <c r="V456" s="128" t="n">
        <v>5</v>
      </c>
      <c r="W456" s="90" t="n">
        <f aca="false">IFERROR(O456/V456,0)</f>
        <v>167.2</v>
      </c>
      <c r="X456" s="91" t="n">
        <f aca="false">O456/L456</f>
        <v>0.418</v>
      </c>
      <c r="Y456" s="92" t="str">
        <f aca="false">IFERROR(VLOOKUP(E:E,'Item Data Support Sheet'!A:J,6,0),0)</f>
        <v>FO044</v>
      </c>
      <c r="Z456" s="93" t="n">
        <f aca="false">IFERROR(VLOOKUP(E:E,'Item Data Support Sheet'!A:O,4,0),0)</f>
        <v>0</v>
      </c>
      <c r="AA456" s="93" t="n">
        <f aca="false">IFERROR(((N456)*(Z456/1000))+P456,0)</f>
        <v>0</v>
      </c>
      <c r="AB456" s="94" t="str">
        <f aca="false">IFERROR((O456*(Z456/1000)/(AA456))," ")</f>
        <v> </v>
      </c>
      <c r="AC456" s="95" t="n">
        <f aca="false">IFERROR((T456)/((T456)+O456),0)</f>
        <v>0.0324074074074074</v>
      </c>
      <c r="AD456" s="96" t="n">
        <f aca="false">IFERROR(Q456/(Q456+N456),0)</f>
        <v>0</v>
      </c>
      <c r="AE456" s="91" t="n">
        <f aca="false">(N456-T456)/N456</f>
        <v>0.967592592592593</v>
      </c>
      <c r="AF456" s="97" t="n">
        <f aca="false">BR456</f>
        <v>2.66666666666667</v>
      </c>
      <c r="AG456" s="98" t="n">
        <f aca="false">K456-AF456</f>
        <v>1.33333333333333</v>
      </c>
      <c r="AH456" s="99" t="n">
        <f aca="false">IFERROR(AG456/K456," ")</f>
        <v>0.333333333333332</v>
      </c>
      <c r="AI456" s="100" t="n">
        <f aca="false">IFERROR(O456/K456,0)</f>
        <v>209</v>
      </c>
      <c r="AJ456" s="101" t="n">
        <f aca="false">VLOOKUP(D456,'Standard Cycle time'!C:D,2,0)</f>
        <v>32.4</v>
      </c>
      <c r="AK456" s="101" t="n">
        <f aca="false">AG456*V456*3600/O456</f>
        <v>28.7081339712918</v>
      </c>
      <c r="AL456" s="102" t="n">
        <f aca="false">AJ456/AK456</f>
        <v>1.1286</v>
      </c>
      <c r="AM456" s="99" t="n">
        <f aca="false">AE456*AL456*AH456</f>
        <v>0.364008333333333</v>
      </c>
      <c r="AN456" s="103" t="s">
        <v>869</v>
      </c>
      <c r="AO456" s="112" t="s">
        <v>994</v>
      </c>
      <c r="AP456" s="105" t="n">
        <v>40</v>
      </c>
      <c r="AQ456" s="105" t="n">
        <v>90</v>
      </c>
      <c r="AR456" s="105" t="n">
        <v>0</v>
      </c>
      <c r="AS456" s="105" t="n">
        <v>0</v>
      </c>
      <c r="AT456" s="105" t="n">
        <v>0</v>
      </c>
      <c r="AU456" s="105" t="n">
        <v>0</v>
      </c>
      <c r="AV456" s="105" t="n">
        <v>0</v>
      </c>
      <c r="AW456" s="105" t="n">
        <v>30</v>
      </c>
      <c r="AX456" s="105" t="n">
        <v>0</v>
      </c>
      <c r="AY456" s="105" t="n">
        <v>0</v>
      </c>
      <c r="AZ456" s="105" t="n">
        <v>0</v>
      </c>
      <c r="BA456" s="105" t="n">
        <v>0</v>
      </c>
      <c r="BB456" s="105" t="n">
        <v>0</v>
      </c>
      <c r="BC456" s="105" t="n">
        <v>0</v>
      </c>
      <c r="BD456" s="105" t="n">
        <v>0</v>
      </c>
      <c r="BE456" s="105" t="n">
        <v>0</v>
      </c>
      <c r="BF456" s="105" t="n">
        <v>0</v>
      </c>
      <c r="BG456" s="105" t="n">
        <v>0</v>
      </c>
      <c r="BH456" s="105" t="n">
        <v>0</v>
      </c>
      <c r="BI456" s="105" t="n">
        <v>0</v>
      </c>
      <c r="BJ456" s="105" t="n">
        <v>0</v>
      </c>
      <c r="BK456" s="105" t="n">
        <v>0</v>
      </c>
      <c r="BL456" s="105" t="n">
        <v>0</v>
      </c>
      <c r="BM456" s="105" t="n">
        <v>0</v>
      </c>
      <c r="BN456" s="105" t="n">
        <v>0</v>
      </c>
      <c r="BO456" s="105" t="n">
        <v>0</v>
      </c>
      <c r="BP456" s="105" t="n">
        <v>0</v>
      </c>
      <c r="BQ456" s="105" t="n">
        <v>0</v>
      </c>
      <c r="BR456" s="106" t="n">
        <v>2.66666666666667</v>
      </c>
      <c r="BS456" s="106" t="n">
        <v>2.71111111111111</v>
      </c>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row>
    <row r="457" customFormat="false" ht="14.9" hidden="false" customHeight="false" outlineLevel="0" collapsed="false">
      <c r="A457" s="74" t="n">
        <f aca="false">MONTH(B457)</f>
        <v>9</v>
      </c>
      <c r="B457" s="135" t="n">
        <v>44447</v>
      </c>
      <c r="C457" s="128" t="s">
        <v>51</v>
      </c>
      <c r="D457" s="77" t="str">
        <f aca="false">IFERROR(VLOOKUP(E:E,'Item Data Support Sheet'!A:O,7,0),"")</f>
        <v>BOTTLE PRINTED</v>
      </c>
      <c r="E457" s="80" t="s">
        <v>981</v>
      </c>
      <c r="F457" s="122"/>
      <c r="G457" s="137" t="s">
        <v>66</v>
      </c>
      <c r="H457" s="79" t="str">
        <f aca="false">IFERROR(VLOOKUP(E:E,'Item Data Support Sheet'!A:O,2,0),"")</f>
        <v>KPP BOTTLE 240 ML PRINTED-WMG3B</v>
      </c>
      <c r="I457" s="80" t="s">
        <v>993</v>
      </c>
      <c r="J457" s="80" t="s">
        <v>143</v>
      </c>
      <c r="K457" s="81" t="n">
        <v>4</v>
      </c>
      <c r="L457" s="124" t="n">
        <v>2000</v>
      </c>
      <c r="M457" s="83" t="n">
        <f aca="false">IFERROR(L457/K457,0)</f>
        <v>500</v>
      </c>
      <c r="N457" s="84" t="n">
        <f aca="false">+O457+Q457+T457+U457</f>
        <v>426</v>
      </c>
      <c r="O457" s="85" t="n">
        <v>420</v>
      </c>
      <c r="P457" s="86" t="n">
        <v>0</v>
      </c>
      <c r="Q457" s="86" t="n">
        <v>0</v>
      </c>
      <c r="R457" s="132" t="n">
        <v>12</v>
      </c>
      <c r="S457" s="128" t="n">
        <v>0</v>
      </c>
      <c r="T457" s="132" t="n">
        <v>6</v>
      </c>
      <c r="U457" s="128" t="n">
        <v>0</v>
      </c>
      <c r="V457" s="128" t="n">
        <v>5</v>
      </c>
      <c r="W457" s="90" t="n">
        <f aca="false">IFERROR(O457/V457,0)</f>
        <v>84</v>
      </c>
      <c r="X457" s="91" t="n">
        <f aca="false">O457/L457</f>
        <v>0.21</v>
      </c>
      <c r="Y457" s="92" t="str">
        <f aca="false">IFERROR(VLOOKUP(E:E,'Item Data Support Sheet'!A:J,6,0),0)</f>
        <v>FO044</v>
      </c>
      <c r="Z457" s="93" t="n">
        <f aca="false">IFERROR(VLOOKUP(E:E,'Item Data Support Sheet'!A:O,4,0),0)</f>
        <v>0</v>
      </c>
      <c r="AA457" s="93" t="n">
        <f aca="false">IFERROR(((N457)*(Z457/1000))+P457,0)</f>
        <v>0</v>
      </c>
      <c r="AB457" s="94" t="str">
        <f aca="false">IFERROR((O457*(Z457/1000)/(AA457))," ")</f>
        <v> </v>
      </c>
      <c r="AC457" s="95" t="n">
        <f aca="false">IFERROR((T457)/((T457)+O457),0)</f>
        <v>0.0140845070422535</v>
      </c>
      <c r="AD457" s="96" t="n">
        <f aca="false">IFERROR(Q457/(Q457+N457),0)</f>
        <v>0</v>
      </c>
      <c r="AE457" s="91" t="n">
        <f aca="false">(N457-T457)/N457</f>
        <v>0.985915492957746</v>
      </c>
      <c r="AF457" s="97" t="n">
        <f aca="false">BR457</f>
        <v>3.16666666666667</v>
      </c>
      <c r="AG457" s="98" t="n">
        <f aca="false">K457-AF457</f>
        <v>0.83333333333333</v>
      </c>
      <c r="AH457" s="99" t="n">
        <f aca="false">IFERROR(AG457/K457," ")</f>
        <v>0.208333333333332</v>
      </c>
      <c r="AI457" s="100" t="n">
        <f aca="false">IFERROR(O457/K457,0)</f>
        <v>105</v>
      </c>
      <c r="AJ457" s="101" t="n">
        <f aca="false">VLOOKUP(D457,'Standard Cycle time'!C:D,2,0)</f>
        <v>32.4</v>
      </c>
      <c r="AK457" s="101" t="n">
        <f aca="false">AG457*V457*3600/O457</f>
        <v>35.7142857142856</v>
      </c>
      <c r="AL457" s="102" t="n">
        <f aca="false">AJ457/AK457</f>
        <v>0.907200000000004</v>
      </c>
      <c r="AM457" s="99" t="n">
        <f aca="false">AE457*AL457*AH457</f>
        <v>0.186338028169014</v>
      </c>
      <c r="AN457" s="103" t="n">
        <v>3057</v>
      </c>
      <c r="AO457" s="112"/>
      <c r="AP457" s="105" t="n">
        <v>40</v>
      </c>
      <c r="AQ457" s="105" t="n">
        <v>30</v>
      </c>
      <c r="AR457" s="105" t="n">
        <v>0</v>
      </c>
      <c r="AS457" s="105" t="n">
        <v>0</v>
      </c>
      <c r="AT457" s="105" t="n">
        <v>0</v>
      </c>
      <c r="AU457" s="105" t="n">
        <v>0</v>
      </c>
      <c r="AV457" s="105" t="n">
        <v>0</v>
      </c>
      <c r="AW457" s="105" t="n">
        <v>0</v>
      </c>
      <c r="AX457" s="105" t="n">
        <v>0</v>
      </c>
      <c r="AY457" s="105" t="n">
        <v>0</v>
      </c>
      <c r="AZ457" s="105" t="n">
        <v>0</v>
      </c>
      <c r="BA457" s="105" t="n">
        <v>120</v>
      </c>
      <c r="BB457" s="105" t="n">
        <v>0</v>
      </c>
      <c r="BC457" s="105" t="n">
        <v>0</v>
      </c>
      <c r="BD457" s="105" t="n">
        <v>0</v>
      </c>
      <c r="BE457" s="105" t="n">
        <v>0</v>
      </c>
      <c r="BF457" s="105" t="n">
        <v>0</v>
      </c>
      <c r="BG457" s="105" t="n">
        <v>0</v>
      </c>
      <c r="BH457" s="105" t="n">
        <v>0</v>
      </c>
      <c r="BI457" s="105" t="n">
        <v>0</v>
      </c>
      <c r="BJ457" s="105" t="n">
        <v>0</v>
      </c>
      <c r="BK457" s="105" t="n">
        <v>0</v>
      </c>
      <c r="BL457" s="105" t="n">
        <v>0</v>
      </c>
      <c r="BM457" s="105" t="n">
        <v>0</v>
      </c>
      <c r="BN457" s="105" t="n">
        <v>0</v>
      </c>
      <c r="BO457" s="105" t="n">
        <v>0</v>
      </c>
      <c r="BP457" s="105" t="n">
        <v>0</v>
      </c>
      <c r="BQ457" s="105" t="n">
        <v>0</v>
      </c>
      <c r="BR457" s="106" t="n">
        <v>3.16666666666667</v>
      </c>
      <c r="BS457" s="106" t="n">
        <v>3.21944444444444</v>
      </c>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row>
    <row r="458" customFormat="false" ht="14.9" hidden="false" customHeight="false" outlineLevel="0" collapsed="false">
      <c r="A458" s="74" t="n">
        <f aca="false">MONTH(B458)</f>
        <v>9</v>
      </c>
      <c r="B458" s="135" t="n">
        <v>44447</v>
      </c>
      <c r="C458" s="128" t="s">
        <v>63</v>
      </c>
      <c r="D458" s="77" t="str">
        <f aca="false">IFERROR(VLOOKUP(E:E,'Item Data Support Sheet'!A:O,7,0),"")</f>
        <v>NIPPLE WRAP PRINTED</v>
      </c>
      <c r="E458" s="80" t="s">
        <v>431</v>
      </c>
      <c r="F458" s="122"/>
      <c r="G458" s="137" t="s">
        <v>432</v>
      </c>
      <c r="H458" s="79" t="str">
        <f aca="false">IFERROR(VLOOKUP(E:E,'Item Data Support Sheet'!A:O,2,0),"")</f>
        <v>NIPPLE S TYPE M SIZE WITH PRINTED WRAP</v>
      </c>
      <c r="I458" s="80" t="s">
        <v>995</v>
      </c>
      <c r="J458" s="80" t="s">
        <v>143</v>
      </c>
      <c r="K458" s="81" t="n">
        <v>8</v>
      </c>
      <c r="L458" s="124" t="n">
        <v>16132</v>
      </c>
      <c r="M458" s="83" t="n">
        <f aca="false">IFERROR(L458/K458,0)</f>
        <v>2016.5</v>
      </c>
      <c r="N458" s="84" t="n">
        <f aca="false">+O458+Q458+T458+U458</f>
        <v>10851</v>
      </c>
      <c r="O458" s="85" t="n">
        <v>10849</v>
      </c>
      <c r="P458" s="86" t="n">
        <v>0</v>
      </c>
      <c r="Q458" s="86" t="n">
        <v>0</v>
      </c>
      <c r="R458" s="132" t="n">
        <v>0</v>
      </c>
      <c r="S458" s="128" t="n">
        <v>0</v>
      </c>
      <c r="T458" s="132" t="n">
        <v>2</v>
      </c>
      <c r="U458" s="128" t="n">
        <v>0</v>
      </c>
      <c r="V458" s="128" t="n">
        <v>2</v>
      </c>
      <c r="W458" s="90" t="n">
        <f aca="false">IFERROR(O458/V458,0)</f>
        <v>5424.5</v>
      </c>
      <c r="X458" s="91" t="n">
        <f aca="false">O458/L458</f>
        <v>0.672514257376643</v>
      </c>
      <c r="Y458" s="92" t="str">
        <f aca="false">IFERROR(VLOOKUP(E:E,'Item Data Support Sheet'!A:J,6,0),0)</f>
        <v>FO020</v>
      </c>
      <c r="Z458" s="93" t="n">
        <f aca="false">IFERROR(VLOOKUP(E:E,'Item Data Support Sheet'!A:O,4,0),0)</f>
        <v>0</v>
      </c>
      <c r="AA458" s="93" t="n">
        <f aca="false">IFERROR(((N458)*(Z458/1000))+P458,0)</f>
        <v>0</v>
      </c>
      <c r="AB458" s="94" t="str">
        <f aca="false">IFERROR((O458*(Z458/1000)/(AA458))," ")</f>
        <v> </v>
      </c>
      <c r="AC458" s="95" t="n">
        <f aca="false">IFERROR((T458)/((T458)+O458),0)</f>
        <v>0.000184314809694959</v>
      </c>
      <c r="AD458" s="96" t="n">
        <f aca="false">IFERROR(Q458/(Q458+N458),0)</f>
        <v>0</v>
      </c>
      <c r="AE458" s="91" t="n">
        <f aca="false">(N458-T458)/N458</f>
        <v>0.999815685190305</v>
      </c>
      <c r="AF458" s="97" t="n">
        <f aca="false">BR458</f>
        <v>2.83333333333333</v>
      </c>
      <c r="AG458" s="98" t="n">
        <f aca="false">K458-AF458</f>
        <v>5.16666666666667</v>
      </c>
      <c r="AH458" s="99" t="n">
        <f aca="false">IFERROR(AG458/K458," ")</f>
        <v>0.645833333333334</v>
      </c>
      <c r="AI458" s="100" t="n">
        <f aca="false">IFERROR(O458/K458,0)</f>
        <v>1356.125</v>
      </c>
      <c r="AJ458" s="101" t="n">
        <f aca="false">VLOOKUP(D458,'Standard Cycle time'!C:D,2,0)</f>
        <v>2.5</v>
      </c>
      <c r="AK458" s="101" t="n">
        <f aca="false">AG458*V458*3600/O458</f>
        <v>3.42888745506498</v>
      </c>
      <c r="AL458" s="102" t="n">
        <f aca="false">AJ458/AK458</f>
        <v>0.729099462365591</v>
      </c>
      <c r="AM458" s="99" t="n">
        <f aca="false">AE458*AL458*AH458</f>
        <v>0.470789946555105</v>
      </c>
      <c r="AN458" s="103" t="s">
        <v>996</v>
      </c>
      <c r="AO458" s="112" t="s">
        <v>997</v>
      </c>
      <c r="AP458" s="105" t="n">
        <v>50</v>
      </c>
      <c r="AQ458" s="105" t="n">
        <v>0</v>
      </c>
      <c r="AR458" s="105" t="n">
        <v>0</v>
      </c>
      <c r="AS458" s="105" t="n">
        <v>0</v>
      </c>
      <c r="AT458" s="105" t="n">
        <v>120</v>
      </c>
      <c r="AU458" s="105" t="n">
        <v>0</v>
      </c>
      <c r="AV458" s="105" t="n">
        <v>0</v>
      </c>
      <c r="AW458" s="105" t="n">
        <v>0</v>
      </c>
      <c r="AX458" s="105" t="n">
        <v>0</v>
      </c>
      <c r="AY458" s="105" t="n">
        <v>0</v>
      </c>
      <c r="AZ458" s="105" t="n">
        <v>0</v>
      </c>
      <c r="BA458" s="105" t="n">
        <v>0</v>
      </c>
      <c r="BB458" s="105" t="n">
        <v>0</v>
      </c>
      <c r="BC458" s="105" t="n">
        <v>0</v>
      </c>
      <c r="BD458" s="105" t="n">
        <v>0</v>
      </c>
      <c r="BE458" s="105" t="n">
        <v>0</v>
      </c>
      <c r="BF458" s="105" t="n">
        <v>0</v>
      </c>
      <c r="BG458" s="105" t="n">
        <v>0</v>
      </c>
      <c r="BH458" s="105" t="n">
        <v>0</v>
      </c>
      <c r="BI458" s="105" t="n">
        <v>0</v>
      </c>
      <c r="BJ458" s="105" t="n">
        <v>0</v>
      </c>
      <c r="BK458" s="105" t="n">
        <v>0</v>
      </c>
      <c r="BL458" s="105" t="n">
        <v>0</v>
      </c>
      <c r="BM458" s="105" t="n">
        <v>0</v>
      </c>
      <c r="BN458" s="105" t="n">
        <v>0</v>
      </c>
      <c r="BO458" s="105" t="n">
        <v>0</v>
      </c>
      <c r="BP458" s="105" t="n">
        <v>0</v>
      </c>
      <c r="BQ458" s="105" t="n">
        <v>0</v>
      </c>
      <c r="BR458" s="106" t="n">
        <v>2.83333333333333</v>
      </c>
      <c r="BS458" s="106" t="n">
        <v>2.88055555555556</v>
      </c>
      <c r="BT458" s="107"/>
      <c r="BU458" s="107"/>
      <c r="BV458" s="107"/>
      <c r="BW458" s="107"/>
      <c r="BX458" s="107"/>
      <c r="BY458" s="107"/>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row>
    <row r="459" customFormat="false" ht="14.9" hidden="false" customHeight="false" outlineLevel="0" collapsed="false">
      <c r="A459" s="74" t="n">
        <f aca="false">MONTH(B459)</f>
        <v>9</v>
      </c>
      <c r="B459" s="135" t="n">
        <v>44447</v>
      </c>
      <c r="C459" s="128" t="s">
        <v>63</v>
      </c>
      <c r="D459" s="77" t="str">
        <f aca="false">IFERROR(VLOOKUP(E:E,'Item Data Support Sheet'!A:O,7,0),"")</f>
        <v>NIPPLE PUNCH INSPECTED</v>
      </c>
      <c r="E459" s="80" t="s">
        <v>182</v>
      </c>
      <c r="F459" s="122"/>
      <c r="G459" s="137"/>
      <c r="H459" s="79" t="str">
        <f aca="false">IFERROR(VLOOKUP(E:E,'Item Data Support Sheet'!A:O,2,0),"")</f>
        <v>NIPPLE S TYPE M SIZE PUNCHED INSPECTED</v>
      </c>
      <c r="I459" s="80" t="s">
        <v>975</v>
      </c>
      <c r="J459" s="80" t="s">
        <v>143</v>
      </c>
      <c r="K459" s="81" t="n">
        <v>8</v>
      </c>
      <c r="L459" s="124" t="n">
        <v>14000</v>
      </c>
      <c r="M459" s="83" t="n">
        <f aca="false">IFERROR(L459/K459,0)</f>
        <v>1750</v>
      </c>
      <c r="N459" s="84" t="n">
        <f aca="false">+O459+Q459+T459+U459</f>
        <v>12600</v>
      </c>
      <c r="O459" s="85" t="n">
        <v>12543</v>
      </c>
      <c r="P459" s="86" t="n">
        <v>0</v>
      </c>
      <c r="Q459" s="86" t="n">
        <v>0</v>
      </c>
      <c r="R459" s="132" t="n">
        <v>0</v>
      </c>
      <c r="S459" s="128" t="n">
        <v>0</v>
      </c>
      <c r="T459" s="132" t="n">
        <v>57</v>
      </c>
      <c r="U459" s="128" t="n">
        <v>0</v>
      </c>
      <c r="V459" s="128" t="n">
        <v>2</v>
      </c>
      <c r="W459" s="90" t="n">
        <f aca="false">IFERROR(O459/V459,0)</f>
        <v>6271.5</v>
      </c>
      <c r="X459" s="91" t="n">
        <f aca="false">O459/L459</f>
        <v>0.895928571428571</v>
      </c>
      <c r="Y459" s="92" t="str">
        <f aca="false">IFERROR(VLOOKUP(E:E,'Item Data Support Sheet'!A:J,6,0),0)</f>
        <v>FO105</v>
      </c>
      <c r="Z459" s="93" t="n">
        <f aca="false">IFERROR(VLOOKUP(E:E,'Item Data Support Sheet'!A:O,4,0),0)</f>
        <v>0</v>
      </c>
      <c r="AA459" s="93" t="n">
        <f aca="false">IFERROR(((N459)*(Z459/1000))+P459,0)</f>
        <v>0</v>
      </c>
      <c r="AB459" s="94" t="str">
        <f aca="false">IFERROR((O459*(Z459/1000)/(AA459))," ")</f>
        <v> </v>
      </c>
      <c r="AC459" s="95" t="n">
        <f aca="false">IFERROR((T459)/((T459)+O459),0)</f>
        <v>0.00452380952380952</v>
      </c>
      <c r="AD459" s="96" t="n">
        <f aca="false">IFERROR(Q459/(Q459+N459),0)</f>
        <v>0</v>
      </c>
      <c r="AE459" s="91" t="n">
        <f aca="false">(N459-T459)/N459</f>
        <v>0.99547619047619</v>
      </c>
      <c r="AF459" s="97" t="n">
        <f aca="false">BR459</f>
        <v>0.833333333333333</v>
      </c>
      <c r="AG459" s="98" t="n">
        <f aca="false">K459-AF459</f>
        <v>7.16666666666667</v>
      </c>
      <c r="AH459" s="99" t="n">
        <f aca="false">IFERROR(AG459/K459," ")</f>
        <v>0.895833333333333</v>
      </c>
      <c r="AI459" s="100" t="n">
        <f aca="false">IFERROR(O459/K459,0)</f>
        <v>1567.875</v>
      </c>
      <c r="AJ459" s="101" t="n">
        <f aca="false">VLOOKUP(D459,'Standard Cycle time'!C:D,2,0)</f>
        <v>4</v>
      </c>
      <c r="AK459" s="101" t="n">
        <f aca="false">AG459*V459*3600/O459</f>
        <v>4.11384836163597</v>
      </c>
      <c r="AL459" s="102" t="n">
        <f aca="false">AJ459/AK459</f>
        <v>0.972325581395349</v>
      </c>
      <c r="AM459" s="99" t="n">
        <f aca="false">AE459*AL459*AH459</f>
        <v>0.867101240079365</v>
      </c>
      <c r="AN459" s="103" t="s">
        <v>998</v>
      </c>
      <c r="AO459" s="112" t="s">
        <v>824</v>
      </c>
      <c r="AP459" s="105" t="n">
        <v>50</v>
      </c>
      <c r="AQ459" s="105" t="n">
        <v>0</v>
      </c>
      <c r="AR459" s="105" t="n">
        <v>0</v>
      </c>
      <c r="AS459" s="105" t="n">
        <v>0</v>
      </c>
      <c r="AT459" s="105" t="n">
        <v>0</v>
      </c>
      <c r="AU459" s="105" t="n">
        <v>0</v>
      </c>
      <c r="AV459" s="105" t="n">
        <v>0</v>
      </c>
      <c r="AW459" s="105" t="n">
        <v>0</v>
      </c>
      <c r="AX459" s="105" t="n">
        <v>0</v>
      </c>
      <c r="AY459" s="105" t="n">
        <v>0</v>
      </c>
      <c r="AZ459" s="105" t="n">
        <v>0</v>
      </c>
      <c r="BA459" s="105" t="n">
        <v>0</v>
      </c>
      <c r="BB459" s="105" t="n">
        <v>0</v>
      </c>
      <c r="BC459" s="105" t="n">
        <v>0</v>
      </c>
      <c r="BD459" s="105" t="n">
        <v>0</v>
      </c>
      <c r="BE459" s="105" t="n">
        <v>0</v>
      </c>
      <c r="BF459" s="105" t="n">
        <v>0</v>
      </c>
      <c r="BG459" s="105" t="n">
        <v>0</v>
      </c>
      <c r="BH459" s="105" t="n">
        <v>0</v>
      </c>
      <c r="BI459" s="105" t="n">
        <v>0</v>
      </c>
      <c r="BJ459" s="105" t="n">
        <v>0</v>
      </c>
      <c r="BK459" s="105" t="n">
        <v>0</v>
      </c>
      <c r="BL459" s="105" t="n">
        <v>0</v>
      </c>
      <c r="BM459" s="105" t="n">
        <v>0</v>
      </c>
      <c r="BN459" s="105" t="n">
        <v>0</v>
      </c>
      <c r="BO459" s="105" t="n">
        <v>0</v>
      </c>
      <c r="BP459" s="105" t="n">
        <v>0</v>
      </c>
      <c r="BQ459" s="105" t="n">
        <v>0</v>
      </c>
      <c r="BR459" s="106" t="n">
        <v>0.833333333333333</v>
      </c>
      <c r="BS459" s="106" t="n">
        <v>0.847222222222222</v>
      </c>
      <c r="BT459" s="107"/>
      <c r="BU459" s="107"/>
      <c r="BV459" s="107"/>
      <c r="BW459" s="107"/>
      <c r="BX459" s="107"/>
      <c r="BY459" s="107"/>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row>
    <row r="460" customFormat="false" ht="14.9" hidden="false" customHeight="false" outlineLevel="0" collapsed="false">
      <c r="A460" s="74" t="n">
        <f aca="false">MONTH(B460)</f>
        <v>9</v>
      </c>
      <c r="B460" s="135" t="n">
        <v>44447</v>
      </c>
      <c r="C460" s="128" t="s">
        <v>70</v>
      </c>
      <c r="D460" s="77" t="str">
        <f aca="false">IFERROR(VLOOKUP(E:E,'Item Data Support Sheet'!A:O,7,0),"")</f>
        <v>NIPPLE LASER MARKING</v>
      </c>
      <c r="E460" s="80" t="s">
        <v>932</v>
      </c>
      <c r="F460" s="122"/>
      <c r="G460" s="137" t="s">
        <v>517</v>
      </c>
      <c r="H460" s="79" t="str">
        <f aca="false">IFERROR(VLOOKUP(E:E,'Item Data Support Sheet'!A:O,2,0),"")</f>
        <v>NIPPLE S TYPE M SIZE PUNCHED LASER MARKED</v>
      </c>
      <c r="I460" s="80" t="s">
        <v>999</v>
      </c>
      <c r="J460" s="80" t="s">
        <v>143</v>
      </c>
      <c r="K460" s="81" t="n">
        <v>8</v>
      </c>
      <c r="L460" s="124" t="n">
        <v>7000</v>
      </c>
      <c r="M460" s="83" t="n">
        <f aca="false">IFERROR(L460/K460,0)</f>
        <v>875</v>
      </c>
      <c r="N460" s="84" t="n">
        <f aca="false">+O460+Q460+T460+U460</f>
        <v>6000</v>
      </c>
      <c r="O460" s="85" t="n">
        <v>6000</v>
      </c>
      <c r="P460" s="86" t="n">
        <v>0</v>
      </c>
      <c r="Q460" s="86" t="n">
        <v>0</v>
      </c>
      <c r="R460" s="132" t="n">
        <v>0</v>
      </c>
      <c r="S460" s="128" t="n">
        <v>0</v>
      </c>
      <c r="T460" s="132" t="n">
        <v>0</v>
      </c>
      <c r="U460" s="128" t="n">
        <v>0</v>
      </c>
      <c r="V460" s="128" t="n">
        <v>1</v>
      </c>
      <c r="W460" s="90" t="n">
        <f aca="false">IFERROR(O460/V460,0)</f>
        <v>6000</v>
      </c>
      <c r="X460" s="91" t="n">
        <f aca="false">O460/L460</f>
        <v>0.857142857142857</v>
      </c>
      <c r="Y460" s="92" t="str">
        <f aca="false">IFERROR(VLOOKUP(E:E,'Item Data Support Sheet'!A:J,6,0),0)</f>
        <v>FO020</v>
      </c>
      <c r="Z460" s="93" t="n">
        <f aca="false">IFERROR(VLOOKUP(E:E,'Item Data Support Sheet'!A:O,4,0),0)</f>
        <v>0</v>
      </c>
      <c r="AA460" s="93" t="n">
        <f aca="false">IFERROR(((N460)*(Z460/1000))+P460,0)</f>
        <v>0</v>
      </c>
      <c r="AB460" s="94" t="str">
        <f aca="false">IFERROR((O460*(Z460/1000)/(AA460))," ")</f>
        <v> </v>
      </c>
      <c r="AC460" s="95" t="n">
        <f aca="false">IFERROR((T460)/((T460)+O460),0)</f>
        <v>0</v>
      </c>
      <c r="AD460" s="96" t="n">
        <f aca="false">IFERROR(Q460/(Q460+N460),0)</f>
        <v>0</v>
      </c>
      <c r="AE460" s="91" t="n">
        <f aca="false">(N460-T460)/N460</f>
        <v>1</v>
      </c>
      <c r="AF460" s="97" t="n">
        <f aca="false">BR460</f>
        <v>0.666666666666667</v>
      </c>
      <c r="AG460" s="98" t="n">
        <f aca="false">K460-AF460</f>
        <v>7.33333333333333</v>
      </c>
      <c r="AH460" s="99" t="n">
        <f aca="false">IFERROR(AG460/K460," ")</f>
        <v>0.916666666666667</v>
      </c>
      <c r="AI460" s="100" t="n">
        <f aca="false">IFERROR(O460/K460,0)</f>
        <v>750</v>
      </c>
      <c r="AJ460" s="101" t="n">
        <f aca="false">VLOOKUP(D460,'Standard Cycle time'!C:D,2,0)</f>
        <v>3.5</v>
      </c>
      <c r="AK460" s="101" t="n">
        <f aca="false">AG460*V460*3600/O460</f>
        <v>4.4</v>
      </c>
      <c r="AL460" s="102" t="n">
        <f aca="false">AJ460/AK460</f>
        <v>0.795454545454545</v>
      </c>
      <c r="AM460" s="99" t="n">
        <f aca="false">AE460*AL460*AH460</f>
        <v>0.729166666666667</v>
      </c>
      <c r="AN460" s="103" t="s">
        <v>1000</v>
      </c>
      <c r="AO460" s="112" t="s">
        <v>947</v>
      </c>
      <c r="AP460" s="105" t="n">
        <v>40</v>
      </c>
      <c r="AQ460" s="105" t="n">
        <v>0</v>
      </c>
      <c r="AR460" s="105" t="n">
        <v>0</v>
      </c>
      <c r="AS460" s="105" t="n">
        <v>0</v>
      </c>
      <c r="AT460" s="105" t="n">
        <v>0</v>
      </c>
      <c r="AU460" s="105" t="n">
        <v>0</v>
      </c>
      <c r="AV460" s="105" t="n">
        <v>0</v>
      </c>
      <c r="AW460" s="105" t="n">
        <v>0</v>
      </c>
      <c r="AX460" s="105" t="n">
        <v>0</v>
      </c>
      <c r="AY460" s="105" t="n">
        <v>0</v>
      </c>
      <c r="AZ460" s="105" t="n">
        <v>0</v>
      </c>
      <c r="BA460" s="105" t="n">
        <v>0</v>
      </c>
      <c r="BB460" s="105" t="n">
        <v>0</v>
      </c>
      <c r="BC460" s="105" t="n">
        <v>0</v>
      </c>
      <c r="BD460" s="105" t="n">
        <v>0</v>
      </c>
      <c r="BE460" s="105" t="n">
        <v>0</v>
      </c>
      <c r="BF460" s="105" t="n">
        <v>0</v>
      </c>
      <c r="BG460" s="105" t="n">
        <v>0</v>
      </c>
      <c r="BH460" s="105" t="n">
        <v>0</v>
      </c>
      <c r="BI460" s="105" t="n">
        <v>0</v>
      </c>
      <c r="BJ460" s="105" t="n">
        <v>0</v>
      </c>
      <c r="BK460" s="105" t="n">
        <v>0</v>
      </c>
      <c r="BL460" s="105" t="n">
        <v>0</v>
      </c>
      <c r="BM460" s="105" t="n">
        <v>0</v>
      </c>
      <c r="BN460" s="105" t="n">
        <v>0</v>
      </c>
      <c r="BO460" s="105" t="n">
        <v>0</v>
      </c>
      <c r="BP460" s="105" t="n">
        <v>0</v>
      </c>
      <c r="BQ460" s="105" t="n">
        <v>0</v>
      </c>
      <c r="BR460" s="106" t="n">
        <v>0.666666666666667</v>
      </c>
      <c r="BS460" s="106" t="n">
        <v>0.677777777777778</v>
      </c>
      <c r="BT460" s="107"/>
      <c r="BU460" s="107"/>
      <c r="BV460" s="107"/>
      <c r="BW460" s="107"/>
      <c r="BX460" s="107"/>
      <c r="BY460" s="107"/>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row>
    <row r="461" customFormat="false" ht="14.9" hidden="false" customHeight="false" outlineLevel="0" collapsed="false">
      <c r="A461" s="74" t="n">
        <f aca="false">MONTH(B461)</f>
        <v>9</v>
      </c>
      <c r="B461" s="135" t="n">
        <v>44447</v>
      </c>
      <c r="C461" s="128" t="s">
        <v>70</v>
      </c>
      <c r="D461" s="77" t="str">
        <f aca="false">IFERROR(VLOOKUP(E:E,'Item Data Support Sheet'!A:O,7,0),"")</f>
        <v>NIPPLE PUNCH</v>
      </c>
      <c r="E461" s="80" t="s">
        <v>60</v>
      </c>
      <c r="F461" s="122"/>
      <c r="G461" s="137" t="s">
        <v>54</v>
      </c>
      <c r="H461" s="79" t="str">
        <f aca="false">IFERROR(VLOOKUP(E:E,'Item Data Support Sheet'!A:O,2,0),"")</f>
        <v>NIPPLE S TYPE M SIZE PUNCHED</v>
      </c>
      <c r="I461" s="80" t="s">
        <v>1001</v>
      </c>
      <c r="J461" s="80" t="s">
        <v>143</v>
      </c>
      <c r="K461" s="81" t="n">
        <v>8</v>
      </c>
      <c r="L461" s="124" t="n">
        <v>7000</v>
      </c>
      <c r="M461" s="83" t="n">
        <f aca="false">IFERROR(L461/K461,0)</f>
        <v>875</v>
      </c>
      <c r="N461" s="84" t="n">
        <f aca="false">+O461+Q461+T461+U461</f>
        <v>7200</v>
      </c>
      <c r="O461" s="85" t="n">
        <v>7200</v>
      </c>
      <c r="P461" s="86" t="n">
        <v>0</v>
      </c>
      <c r="Q461" s="86" t="n">
        <v>0</v>
      </c>
      <c r="R461" s="132" t="n">
        <v>0</v>
      </c>
      <c r="S461" s="128" t="n">
        <v>0</v>
      </c>
      <c r="T461" s="132" t="n">
        <v>0</v>
      </c>
      <c r="U461" s="128" t="n">
        <v>0</v>
      </c>
      <c r="V461" s="128" t="n">
        <v>1</v>
      </c>
      <c r="W461" s="90" t="n">
        <f aca="false">IFERROR(O461/V461,0)</f>
        <v>7200</v>
      </c>
      <c r="X461" s="91" t="n">
        <f aca="false">O461/L461</f>
        <v>1.02857142857143</v>
      </c>
      <c r="Y461" s="92" t="str">
        <f aca="false">IFERROR(VLOOKUP(E:E,'Item Data Support Sheet'!A:J,6,0),0)</f>
        <v>FO016</v>
      </c>
      <c r="Z461" s="93" t="n">
        <f aca="false">IFERROR(VLOOKUP(E:E,'Item Data Support Sheet'!A:O,4,0),0)</f>
        <v>0</v>
      </c>
      <c r="AA461" s="93" t="n">
        <f aca="false">IFERROR(((N461)*(Z461/1000))+P461,0)</f>
        <v>0</v>
      </c>
      <c r="AB461" s="94" t="str">
        <f aca="false">IFERROR((O461*(Z461/1000)/(AA461))," ")</f>
        <v> </v>
      </c>
      <c r="AC461" s="95" t="n">
        <f aca="false">IFERROR((T461)/((T461)+O461),0)</f>
        <v>0</v>
      </c>
      <c r="AD461" s="96" t="n">
        <f aca="false">IFERROR(Q461/(Q461+N461),0)</f>
        <v>0</v>
      </c>
      <c r="AE461" s="91" t="n">
        <f aca="false">(N461-T461)/N461</f>
        <v>1</v>
      </c>
      <c r="AF461" s="97" t="n">
        <f aca="false">BR461</f>
        <v>0.666666666666667</v>
      </c>
      <c r="AG461" s="98" t="n">
        <f aca="false">K461-AF461</f>
        <v>7.33333333333333</v>
      </c>
      <c r="AH461" s="99" t="n">
        <f aca="false">IFERROR(AG461/K461," ")</f>
        <v>0.916666666666667</v>
      </c>
      <c r="AI461" s="100" t="n">
        <f aca="false">IFERROR(O461/K461,0)</f>
        <v>900</v>
      </c>
      <c r="AJ461" s="101" t="n">
        <f aca="false">VLOOKUP(D461,'Standard Cycle time'!C:D,2,0)</f>
        <v>3.5</v>
      </c>
      <c r="AK461" s="101" t="n">
        <f aca="false">AG461*V461*3600/O461</f>
        <v>3.66666666666667</v>
      </c>
      <c r="AL461" s="102" t="n">
        <f aca="false">AJ461/AK461</f>
        <v>0.954545454545455</v>
      </c>
      <c r="AM461" s="99" t="n">
        <f aca="false">AE461*AL461*AH461</f>
        <v>0.875</v>
      </c>
      <c r="AN461" s="103" t="s">
        <v>1002</v>
      </c>
      <c r="AO461" s="112" t="s">
        <v>461</v>
      </c>
      <c r="AP461" s="105" t="n">
        <v>40</v>
      </c>
      <c r="AQ461" s="105" t="n">
        <v>0</v>
      </c>
      <c r="AR461" s="105" t="n">
        <v>0</v>
      </c>
      <c r="AS461" s="105" t="n">
        <v>0</v>
      </c>
      <c r="AT461" s="105" t="n">
        <v>0</v>
      </c>
      <c r="AU461" s="105" t="n">
        <v>0</v>
      </c>
      <c r="AV461" s="105" t="n">
        <v>0</v>
      </c>
      <c r="AW461" s="105" t="n">
        <v>0</v>
      </c>
      <c r="AX461" s="105" t="n">
        <v>0</v>
      </c>
      <c r="AY461" s="105" t="n">
        <v>0</v>
      </c>
      <c r="AZ461" s="105" t="n">
        <v>0</v>
      </c>
      <c r="BA461" s="105" t="n">
        <v>0</v>
      </c>
      <c r="BB461" s="105" t="n">
        <v>0</v>
      </c>
      <c r="BC461" s="105" t="n">
        <v>0</v>
      </c>
      <c r="BD461" s="105" t="n">
        <v>0</v>
      </c>
      <c r="BE461" s="105" t="n">
        <v>0</v>
      </c>
      <c r="BF461" s="105" t="n">
        <v>0</v>
      </c>
      <c r="BG461" s="105" t="n">
        <v>0</v>
      </c>
      <c r="BH461" s="105" t="n">
        <v>0</v>
      </c>
      <c r="BI461" s="105" t="n">
        <v>0</v>
      </c>
      <c r="BJ461" s="105" t="n">
        <v>0</v>
      </c>
      <c r="BK461" s="105" t="n">
        <v>0</v>
      </c>
      <c r="BL461" s="105" t="n">
        <v>0</v>
      </c>
      <c r="BM461" s="105" t="n">
        <v>0</v>
      </c>
      <c r="BN461" s="105" t="n">
        <v>0</v>
      </c>
      <c r="BO461" s="105" t="n">
        <v>0</v>
      </c>
      <c r="BP461" s="105" t="n">
        <v>0</v>
      </c>
      <c r="BQ461" s="105" t="n">
        <v>0</v>
      </c>
      <c r="BR461" s="106" t="n">
        <v>0.666666666666667</v>
      </c>
      <c r="BS461" s="106" t="n">
        <v>0.677777777777778</v>
      </c>
      <c r="BT461" s="107"/>
      <c r="BU461" s="107"/>
      <c r="BV461" s="107"/>
      <c r="BW461" s="107"/>
      <c r="BX461" s="107"/>
      <c r="BY461" s="107"/>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row>
    <row r="462" customFormat="false" ht="14.9" hidden="false" customHeight="false" outlineLevel="0" collapsed="false">
      <c r="A462" s="74" t="n">
        <f aca="false">MONTH(B462)</f>
        <v>9</v>
      </c>
      <c r="B462" s="135" t="n">
        <v>44447</v>
      </c>
      <c r="C462" s="128" t="s">
        <v>70</v>
      </c>
      <c r="D462" s="77" t="str">
        <f aca="false">IFERROR(VLOOKUP(E:E,'Item Data Support Sheet'!A:O,7,0),"")</f>
        <v>HOOD MOLDED</v>
      </c>
      <c r="E462" s="80" t="s">
        <v>529</v>
      </c>
      <c r="F462" s="122"/>
      <c r="G462" s="137" t="s">
        <v>740</v>
      </c>
      <c r="H462" s="79" t="str">
        <f aca="false">IFERROR(VLOOKUP(E:E,'Item Data Support Sheet'!A:O,2,0),"")</f>
        <v>HOOD S TYPE MOLDED</v>
      </c>
      <c r="I462" s="80" t="s">
        <v>1003</v>
      </c>
      <c r="J462" s="80" t="s">
        <v>143</v>
      </c>
      <c r="K462" s="81" t="n">
        <v>8</v>
      </c>
      <c r="L462" s="124" t="n">
        <v>4137</v>
      </c>
      <c r="M462" s="83" t="n">
        <f aca="false">IFERROR(L462/K462,0)</f>
        <v>517.125</v>
      </c>
      <c r="N462" s="84" t="n">
        <f aca="false">+O462+Q462+T462+U462</f>
        <v>5218</v>
      </c>
      <c r="O462" s="85" t="n">
        <v>5200</v>
      </c>
      <c r="P462" s="86" t="n">
        <v>0</v>
      </c>
      <c r="Q462" s="86" t="n">
        <v>0</v>
      </c>
      <c r="R462" s="132" t="n">
        <v>0</v>
      </c>
      <c r="S462" s="128" t="n">
        <v>0</v>
      </c>
      <c r="T462" s="132" t="n">
        <v>18</v>
      </c>
      <c r="U462" s="128" t="n">
        <v>0</v>
      </c>
      <c r="V462" s="128" t="n">
        <v>1</v>
      </c>
      <c r="W462" s="90" t="n">
        <f aca="false">IFERROR(O462/V462,0)</f>
        <v>5200</v>
      </c>
      <c r="X462" s="91" t="n">
        <f aca="false">O462/L462</f>
        <v>1.25694948029973</v>
      </c>
      <c r="Y462" s="92" t="str">
        <f aca="false">IFERROR(VLOOKUP(E:E,'Item Data Support Sheet'!A:J,6,0),0)</f>
        <v>HMC</v>
      </c>
      <c r="Z462" s="93" t="n">
        <f aca="false">IFERROR(VLOOKUP(E:E,'Item Data Support Sheet'!A:O,4,0),0)</f>
        <v>8.6</v>
      </c>
      <c r="AA462" s="93" t="n">
        <f aca="false">IFERROR(((N462)*(Z462/1000))+P462,0)</f>
        <v>44.8748</v>
      </c>
      <c r="AB462" s="94" t="n">
        <f aca="false">IFERROR((O462*(Z462/1000)/(AA462))," ")</f>
        <v>0.996550402453047</v>
      </c>
      <c r="AC462" s="95" t="n">
        <f aca="false">IFERROR((T462)/((T462)+O462),0)</f>
        <v>0.00344959754695286</v>
      </c>
      <c r="AD462" s="96" t="n">
        <f aca="false">IFERROR(Q462/(Q462+N462),0)</f>
        <v>0</v>
      </c>
      <c r="AE462" s="91" t="n">
        <f aca="false">(N462-T462)/N462</f>
        <v>0.996550402453047</v>
      </c>
      <c r="AF462" s="97" t="n">
        <f aca="false">BR462</f>
        <v>0</v>
      </c>
      <c r="AG462" s="98" t="n">
        <f aca="false">K462-AF462</f>
        <v>8</v>
      </c>
      <c r="AH462" s="99" t="n">
        <f aca="false">IFERROR(AG462/K462," ")</f>
        <v>1</v>
      </c>
      <c r="AI462" s="100" t="n">
        <f aca="false">IFERROR(O462/K462,0)</f>
        <v>650</v>
      </c>
      <c r="AJ462" s="101" t="n">
        <f aca="false">VLOOKUP(D462,'Standard Cycle time'!C:D,2,0)</f>
        <v>6</v>
      </c>
      <c r="AK462" s="101" t="n">
        <f aca="false">AG462*V462*3600/O462</f>
        <v>5.53846153846154</v>
      </c>
      <c r="AL462" s="102" t="n">
        <f aca="false">AJ462/AK462</f>
        <v>1.08333333333333</v>
      </c>
      <c r="AM462" s="99" t="n">
        <f aca="false">AE462*AL462*AH462</f>
        <v>1.07959626932413</v>
      </c>
      <c r="AN462" s="103" t="n">
        <v>3088</v>
      </c>
      <c r="AO462" s="112" t="s">
        <v>461</v>
      </c>
      <c r="AP462" s="105" t="n">
        <v>0</v>
      </c>
      <c r="AQ462" s="105" t="n">
        <v>0</v>
      </c>
      <c r="AR462" s="105" t="n">
        <v>0</v>
      </c>
      <c r="AS462" s="105" t="n">
        <v>0</v>
      </c>
      <c r="AT462" s="105" t="n">
        <v>0</v>
      </c>
      <c r="AU462" s="105" t="n">
        <v>0</v>
      </c>
      <c r="AV462" s="105" t="n">
        <v>0</v>
      </c>
      <c r="AW462" s="105" t="n">
        <v>0</v>
      </c>
      <c r="AX462" s="105" t="n">
        <v>0</v>
      </c>
      <c r="AY462" s="105" t="n">
        <v>0</v>
      </c>
      <c r="AZ462" s="105" t="n">
        <v>0</v>
      </c>
      <c r="BA462" s="105" t="n">
        <v>0</v>
      </c>
      <c r="BB462" s="105" t="n">
        <v>0</v>
      </c>
      <c r="BC462" s="105" t="n">
        <v>0</v>
      </c>
      <c r="BD462" s="105" t="n">
        <v>0</v>
      </c>
      <c r="BE462" s="105" t="n">
        <v>0</v>
      </c>
      <c r="BF462" s="105" t="n">
        <v>0</v>
      </c>
      <c r="BG462" s="105" t="n">
        <v>0</v>
      </c>
      <c r="BH462" s="105" t="n">
        <v>0</v>
      </c>
      <c r="BI462" s="105" t="n">
        <v>0</v>
      </c>
      <c r="BJ462" s="105" t="n">
        <v>0</v>
      </c>
      <c r="BK462" s="105" t="n">
        <v>0</v>
      </c>
      <c r="BL462" s="105" t="n">
        <v>0</v>
      </c>
      <c r="BM462" s="105" t="n">
        <v>0</v>
      </c>
      <c r="BN462" s="105" t="n">
        <v>0</v>
      </c>
      <c r="BO462" s="105" t="n">
        <v>0</v>
      </c>
      <c r="BP462" s="105" t="n">
        <v>0</v>
      </c>
      <c r="BQ462" s="105" t="n">
        <v>0</v>
      </c>
      <c r="BR462" s="106" t="n">
        <v>0</v>
      </c>
      <c r="BS462" s="106" t="n">
        <v>0</v>
      </c>
      <c r="BT462" s="107"/>
      <c r="BU462" s="107"/>
      <c r="BV462" s="107"/>
      <c r="BW462" s="107"/>
      <c r="BX462" s="107"/>
      <c r="BY462" s="107"/>
      <c r="BZ462" s="107"/>
      <c r="CA462" s="107"/>
      <c r="CB462" s="107"/>
      <c r="CC462" s="107"/>
      <c r="CD462" s="107"/>
      <c r="CE462" s="107"/>
      <c r="CF462" s="107"/>
      <c r="CG462" s="107"/>
      <c r="CH462" s="107"/>
      <c r="CI462" s="107"/>
      <c r="CJ462" s="107"/>
      <c r="CK462" s="107"/>
      <c r="CL462" s="107"/>
      <c r="CM462" s="107"/>
      <c r="CN462" s="107"/>
      <c r="CO462" s="107"/>
      <c r="CP462" s="107"/>
      <c r="CQ462" s="107"/>
      <c r="CR462" s="107"/>
      <c r="CS462" s="107"/>
      <c r="CT462" s="107"/>
      <c r="CU462" s="107"/>
      <c r="CV462" s="107"/>
    </row>
    <row r="463" customFormat="false" ht="14.9" hidden="false" customHeight="false" outlineLevel="0" collapsed="false">
      <c r="A463" s="74" t="n">
        <f aca="false">MONTH(B463)</f>
        <v>9</v>
      </c>
      <c r="B463" s="135" t="n">
        <v>44447</v>
      </c>
      <c r="C463" s="128" t="s">
        <v>70</v>
      </c>
      <c r="D463" s="77" t="str">
        <f aca="false">IFERROR(VLOOKUP(E:E,'Item Data Support Sheet'!A:O,7,0),"")</f>
        <v>BOTTLE PRINTED</v>
      </c>
      <c r="E463" s="80" t="s">
        <v>65</v>
      </c>
      <c r="F463" s="122"/>
      <c r="G463" s="137" t="s">
        <v>66</v>
      </c>
      <c r="H463" s="79" t="str">
        <f aca="false">IFERROR(VLOOKUP(E:E,'Item Data Support Sheet'!A:O,2,0),"")</f>
        <v>KPP 240 ML BOTTLE PRINTED</v>
      </c>
      <c r="I463" s="80" t="s">
        <v>1004</v>
      </c>
      <c r="J463" s="80" t="s">
        <v>143</v>
      </c>
      <c r="K463" s="81" t="n">
        <v>8</v>
      </c>
      <c r="L463" s="124" t="n">
        <v>5100</v>
      </c>
      <c r="M463" s="83" t="n">
        <f aca="false">IFERROR(L463/K463,0)</f>
        <v>637.5</v>
      </c>
      <c r="N463" s="84" t="n">
        <f aca="false">+O463+Q463+T463+U463</f>
        <v>2174</v>
      </c>
      <c r="O463" s="85" t="n">
        <v>2160</v>
      </c>
      <c r="P463" s="86" t="n">
        <v>0</v>
      </c>
      <c r="Q463" s="86" t="n">
        <v>0</v>
      </c>
      <c r="R463" s="132" t="n">
        <v>31</v>
      </c>
      <c r="S463" s="128" t="n">
        <v>0</v>
      </c>
      <c r="T463" s="132" t="n">
        <v>14</v>
      </c>
      <c r="U463" s="128" t="n">
        <v>0</v>
      </c>
      <c r="V463" s="128" t="n">
        <v>6</v>
      </c>
      <c r="W463" s="90" t="n">
        <f aca="false">IFERROR(O463/V463,0)</f>
        <v>360</v>
      </c>
      <c r="X463" s="91" t="n">
        <f aca="false">O463/L463</f>
        <v>0.423529411764706</v>
      </c>
      <c r="Y463" s="92" t="str">
        <f aca="false">IFERROR(VLOOKUP(E:E,'Item Data Support Sheet'!A:J,6,0),0)</f>
        <v>FO003</v>
      </c>
      <c r="Z463" s="93" t="n">
        <f aca="false">IFERROR(VLOOKUP(E:E,'Item Data Support Sheet'!A:O,4,0),0)</f>
        <v>0</v>
      </c>
      <c r="AA463" s="93" t="n">
        <f aca="false">IFERROR(((N463)*(Z463/1000))+P463,0)</f>
        <v>0</v>
      </c>
      <c r="AB463" s="94" t="str">
        <f aca="false">IFERROR((O463*(Z463/1000)/(AA463))," ")</f>
        <v> </v>
      </c>
      <c r="AC463" s="95" t="n">
        <f aca="false">IFERROR((T463)/((T463)+O463),0)</f>
        <v>0.00643974241030359</v>
      </c>
      <c r="AD463" s="96" t="n">
        <f aca="false">IFERROR(Q463/(Q463+N463),0)</f>
        <v>0</v>
      </c>
      <c r="AE463" s="91" t="n">
        <f aca="false">(N463-T463)/N463</f>
        <v>0.993560257589696</v>
      </c>
      <c r="AF463" s="97" t="n">
        <f aca="false">BR463</f>
        <v>4.66666666666667</v>
      </c>
      <c r="AG463" s="98" t="n">
        <f aca="false">K463-AF463</f>
        <v>3.33333333333333</v>
      </c>
      <c r="AH463" s="99" t="n">
        <f aca="false">IFERROR(AG463/K463," ")</f>
        <v>0.416666666666666</v>
      </c>
      <c r="AI463" s="100" t="n">
        <f aca="false">IFERROR(O463/K463,0)</f>
        <v>270</v>
      </c>
      <c r="AJ463" s="101" t="n">
        <f aca="false">VLOOKUP(D463,'Standard Cycle time'!C:D,2,0)</f>
        <v>32.4</v>
      </c>
      <c r="AK463" s="101" t="n">
        <f aca="false">AG463*V463*3600/O463</f>
        <v>33.3333333333333</v>
      </c>
      <c r="AL463" s="102" t="n">
        <f aca="false">AJ463/AK463</f>
        <v>0.972000000000001</v>
      </c>
      <c r="AM463" s="99" t="n">
        <f aca="false">AE463*AL463*AH463</f>
        <v>0.402391904323827</v>
      </c>
      <c r="AN463" s="103" t="s">
        <v>869</v>
      </c>
      <c r="AO463" s="112" t="s">
        <v>1005</v>
      </c>
      <c r="AP463" s="105" t="n">
        <v>40</v>
      </c>
      <c r="AQ463" s="105" t="n">
        <v>60</v>
      </c>
      <c r="AR463" s="105" t="n">
        <v>0</v>
      </c>
      <c r="AS463" s="105" t="n">
        <v>0</v>
      </c>
      <c r="AT463" s="105" t="n">
        <v>0</v>
      </c>
      <c r="AU463" s="105" t="n">
        <v>0</v>
      </c>
      <c r="AV463" s="105" t="n">
        <v>80</v>
      </c>
      <c r="AW463" s="105" t="n">
        <v>0</v>
      </c>
      <c r="AX463" s="105" t="n">
        <v>0</v>
      </c>
      <c r="AY463" s="105" t="n">
        <v>0</v>
      </c>
      <c r="AZ463" s="105" t="n">
        <v>0</v>
      </c>
      <c r="BA463" s="105" t="n">
        <v>0</v>
      </c>
      <c r="BB463" s="105" t="n">
        <v>0</v>
      </c>
      <c r="BC463" s="105" t="n">
        <v>0</v>
      </c>
      <c r="BD463" s="105" t="n">
        <v>0</v>
      </c>
      <c r="BE463" s="105" t="n">
        <v>0</v>
      </c>
      <c r="BF463" s="105" t="n">
        <v>0</v>
      </c>
      <c r="BG463" s="105" t="n">
        <v>0</v>
      </c>
      <c r="BH463" s="105" t="n">
        <v>0</v>
      </c>
      <c r="BI463" s="105" t="n">
        <v>0</v>
      </c>
      <c r="BJ463" s="105" t="n">
        <v>0</v>
      </c>
      <c r="BK463" s="105" t="n">
        <v>100</v>
      </c>
      <c r="BL463" s="105" t="n">
        <v>0</v>
      </c>
      <c r="BM463" s="105" t="n">
        <v>0</v>
      </c>
      <c r="BN463" s="105" t="n">
        <v>0</v>
      </c>
      <c r="BO463" s="105" t="n">
        <v>0</v>
      </c>
      <c r="BP463" s="105" t="n">
        <v>0</v>
      </c>
      <c r="BQ463" s="105" t="n">
        <v>0</v>
      </c>
      <c r="BR463" s="106" t="n">
        <v>4.66666666666667</v>
      </c>
      <c r="BS463" s="106" t="n">
        <v>4.74444444444444</v>
      </c>
      <c r="BT463" s="107"/>
      <c r="BU463" s="107"/>
      <c r="BV463" s="107"/>
      <c r="BW463" s="107"/>
      <c r="BX463" s="107"/>
      <c r="BY463" s="107"/>
      <c r="BZ463" s="107"/>
      <c r="CA463" s="107"/>
      <c r="CB463" s="107"/>
      <c r="CC463" s="107"/>
      <c r="CD463" s="107"/>
      <c r="CE463" s="107"/>
      <c r="CF463" s="107"/>
      <c r="CG463" s="107"/>
      <c r="CH463" s="107"/>
      <c r="CI463" s="107"/>
      <c r="CJ463" s="107"/>
      <c r="CK463" s="107"/>
      <c r="CL463" s="107"/>
      <c r="CM463" s="107"/>
      <c r="CN463" s="107"/>
      <c r="CO463" s="107"/>
      <c r="CP463" s="107"/>
      <c r="CQ463" s="107"/>
      <c r="CR463" s="107"/>
      <c r="CS463" s="107"/>
      <c r="CT463" s="107"/>
      <c r="CU463" s="107"/>
      <c r="CV463" s="107"/>
    </row>
    <row r="464" customFormat="false" ht="14.9" hidden="false" customHeight="false" outlineLevel="0" collapsed="false">
      <c r="A464" s="74" t="n">
        <f aca="false">MONTH(B464)</f>
        <v>9</v>
      </c>
      <c r="B464" s="135" t="n">
        <v>44447</v>
      </c>
      <c r="C464" s="128" t="s">
        <v>70</v>
      </c>
      <c r="D464" s="77" t="str">
        <f aca="false">IFERROR(VLOOKUP(E:E,'Item Data Support Sheet'!A:O,7,0),"")</f>
        <v>NIPPLE MOLDED</v>
      </c>
      <c r="E464" s="80" t="s">
        <v>136</v>
      </c>
      <c r="F464" s="122" t="s">
        <v>137</v>
      </c>
      <c r="G464" s="137" t="s">
        <v>848</v>
      </c>
      <c r="H464" s="79" t="str">
        <f aca="false">IFERROR(VLOOKUP(E:E,'Item Data Support Sheet'!A:O,2,0),"")</f>
        <v>NIPPLE S TYPE M SIZE INJECTION</v>
      </c>
      <c r="I464" s="80" t="s">
        <v>1006</v>
      </c>
      <c r="J464" s="80" t="s">
        <v>143</v>
      </c>
      <c r="K464" s="81" t="n">
        <v>8</v>
      </c>
      <c r="L464" s="124" t="n">
        <v>4815</v>
      </c>
      <c r="M464" s="83" t="n">
        <f aca="false">IFERROR(L464/K464,0)</f>
        <v>601.875</v>
      </c>
      <c r="N464" s="84" t="n">
        <f aca="false">+O464+Q464+T464+U464</f>
        <v>5360</v>
      </c>
      <c r="O464" s="85" t="n">
        <v>5300</v>
      </c>
      <c r="P464" s="86" t="n">
        <v>0</v>
      </c>
      <c r="Q464" s="86" t="n">
        <v>0</v>
      </c>
      <c r="R464" s="132" t="n">
        <v>0</v>
      </c>
      <c r="S464" s="128" t="n">
        <v>0</v>
      </c>
      <c r="T464" s="132" t="n">
        <v>60</v>
      </c>
      <c r="U464" s="128" t="n">
        <v>0</v>
      </c>
      <c r="V464" s="128" t="n">
        <v>1</v>
      </c>
      <c r="W464" s="90" t="n">
        <f aca="false">IFERROR(O464/V464,0)</f>
        <v>5300</v>
      </c>
      <c r="X464" s="91" t="n">
        <f aca="false">O464/L464</f>
        <v>1.10072689511942</v>
      </c>
      <c r="Y464" s="92" t="str">
        <f aca="false">IFERROR(VLOOKUP(E:E,'Item Data Support Sheet'!A:J,6,0),0)</f>
        <v>Silicon</v>
      </c>
      <c r="Z464" s="93" t="n">
        <f aca="false">IFERROR(VLOOKUP(E:E,'Item Data Support Sheet'!A:O,4,0),0)</f>
        <v>6.8</v>
      </c>
      <c r="AA464" s="93" t="n">
        <f aca="false">IFERROR(((N464)*(Z464/1000))+P464,0)</f>
        <v>36.448</v>
      </c>
      <c r="AB464" s="94" t="n">
        <f aca="false">IFERROR((O464*(Z464/1000)/(AA464))," ")</f>
        <v>0.988805970149254</v>
      </c>
      <c r="AC464" s="95" t="n">
        <f aca="false">IFERROR((T464)/((T464)+O464),0)</f>
        <v>0.0111940298507463</v>
      </c>
      <c r="AD464" s="96" t="n">
        <f aca="false">IFERROR(Q464/(Q464+N464),0)</f>
        <v>0</v>
      </c>
      <c r="AE464" s="91" t="n">
        <f aca="false">(N464-T464)/N464</f>
        <v>0.988805970149254</v>
      </c>
      <c r="AF464" s="97" t="n">
        <f aca="false">BR464</f>
        <v>0</v>
      </c>
      <c r="AG464" s="98" t="n">
        <f aca="false">K464-AF464</f>
        <v>8</v>
      </c>
      <c r="AH464" s="99" t="n">
        <f aca="false">IFERROR(AG464/K464," ")</f>
        <v>1</v>
      </c>
      <c r="AI464" s="100" t="n">
        <f aca="false">IFERROR(O464/K464,0)</f>
        <v>662.5</v>
      </c>
      <c r="AJ464" s="101" t="n">
        <f aca="false">VLOOKUP(D464,'Standard Cycle time'!C:D,2,0)</f>
        <v>5.25</v>
      </c>
      <c r="AK464" s="101" t="n">
        <f aca="false">AG464*V464*3600/O464</f>
        <v>5.43396226415094</v>
      </c>
      <c r="AL464" s="102" t="n">
        <f aca="false">AJ464/AK464</f>
        <v>0.966145833333333</v>
      </c>
      <c r="AM464" s="99" t="n">
        <f aca="false">AE464*AL464*AH464</f>
        <v>0.955330768034826</v>
      </c>
      <c r="AN464" s="103" t="n">
        <v>3089</v>
      </c>
      <c r="AO464" s="112" t="s">
        <v>461</v>
      </c>
      <c r="AP464" s="105" t="n">
        <v>0</v>
      </c>
      <c r="AQ464" s="105" t="n">
        <v>0</v>
      </c>
      <c r="AR464" s="105" t="n">
        <v>0</v>
      </c>
      <c r="AS464" s="105" t="n">
        <v>0</v>
      </c>
      <c r="AT464" s="105" t="n">
        <v>0</v>
      </c>
      <c r="AU464" s="105" t="n">
        <v>0</v>
      </c>
      <c r="AV464" s="105" t="n">
        <v>0</v>
      </c>
      <c r="AW464" s="105" t="n">
        <v>0</v>
      </c>
      <c r="AX464" s="105" t="n">
        <v>0</v>
      </c>
      <c r="AY464" s="105" t="n">
        <v>0</v>
      </c>
      <c r="AZ464" s="105" t="n">
        <v>0</v>
      </c>
      <c r="BA464" s="105" t="n">
        <v>0</v>
      </c>
      <c r="BB464" s="105" t="n">
        <v>0</v>
      </c>
      <c r="BC464" s="105" t="n">
        <v>0</v>
      </c>
      <c r="BD464" s="105" t="n">
        <v>0</v>
      </c>
      <c r="BE464" s="105" t="n">
        <v>0</v>
      </c>
      <c r="BF464" s="105" t="n">
        <v>0</v>
      </c>
      <c r="BG464" s="105" t="n">
        <v>0</v>
      </c>
      <c r="BH464" s="105" t="n">
        <v>0</v>
      </c>
      <c r="BI464" s="105" t="n">
        <v>0</v>
      </c>
      <c r="BJ464" s="105" t="n">
        <v>0</v>
      </c>
      <c r="BK464" s="105" t="n">
        <v>0</v>
      </c>
      <c r="BL464" s="105" t="n">
        <v>0</v>
      </c>
      <c r="BM464" s="105" t="n">
        <v>0</v>
      </c>
      <c r="BN464" s="105" t="n">
        <v>0</v>
      </c>
      <c r="BO464" s="105" t="n">
        <v>0</v>
      </c>
      <c r="BP464" s="105" t="n">
        <v>0</v>
      </c>
      <c r="BQ464" s="105" t="n">
        <v>0</v>
      </c>
      <c r="BR464" s="106" t="n">
        <v>0</v>
      </c>
      <c r="BS464" s="106" t="n">
        <v>0</v>
      </c>
      <c r="BT464" s="107"/>
      <c r="BU464" s="107"/>
      <c r="BV464" s="107"/>
      <c r="BW464" s="107"/>
      <c r="BX464" s="107"/>
      <c r="BY464" s="107"/>
      <c r="BZ464" s="107"/>
      <c r="CA464" s="107"/>
      <c r="CB464" s="107"/>
      <c r="CC464" s="107"/>
      <c r="CD464" s="107"/>
      <c r="CE464" s="107"/>
      <c r="CF464" s="107"/>
      <c r="CG464" s="107"/>
      <c r="CH464" s="107"/>
      <c r="CI464" s="107"/>
      <c r="CJ464" s="107"/>
      <c r="CK464" s="107"/>
      <c r="CL464" s="107"/>
      <c r="CM464" s="107"/>
      <c r="CN464" s="107"/>
      <c r="CO464" s="107"/>
      <c r="CP464" s="107"/>
      <c r="CQ464" s="107"/>
      <c r="CR464" s="107"/>
      <c r="CS464" s="107"/>
      <c r="CT464" s="107"/>
      <c r="CU464" s="107"/>
      <c r="CV464" s="107"/>
    </row>
    <row r="465" customFormat="false" ht="14.9" hidden="false" customHeight="false" outlineLevel="0" collapsed="false">
      <c r="A465" s="74" t="n">
        <f aca="false">MONTH(B465)</f>
        <v>9</v>
      </c>
      <c r="B465" s="135" t="n">
        <v>44447</v>
      </c>
      <c r="C465" s="128" t="s">
        <v>152</v>
      </c>
      <c r="D465" s="77" t="str">
        <f aca="false">IFERROR(VLOOKUP(E:E,'Item Data Support Sheet'!A:O,7,0),"")</f>
        <v>NIPPLE MOLDED</v>
      </c>
      <c r="E465" s="80" t="s">
        <v>136</v>
      </c>
      <c r="F465" s="122" t="s">
        <v>137</v>
      </c>
      <c r="G465" s="137" t="s">
        <v>848</v>
      </c>
      <c r="H465" s="79" t="str">
        <f aca="false">IFERROR(VLOOKUP(E:E,'Item Data Support Sheet'!A:O,2,0),"")</f>
        <v>NIPPLE S TYPE M SIZE INJECTION</v>
      </c>
      <c r="I465" s="80" t="s">
        <v>1007</v>
      </c>
      <c r="J465" s="80" t="s">
        <v>815</v>
      </c>
      <c r="K465" s="81" t="n">
        <v>8</v>
      </c>
      <c r="L465" s="124" t="n">
        <v>4815</v>
      </c>
      <c r="M465" s="83" t="n">
        <f aca="false">IFERROR(L465/K465,0)</f>
        <v>601.875</v>
      </c>
      <c r="N465" s="84" t="n">
        <f aca="false">+O465+Q465+T465+U465</f>
        <v>5686</v>
      </c>
      <c r="O465" s="85" t="n">
        <v>5600</v>
      </c>
      <c r="P465" s="86" t="n">
        <v>0</v>
      </c>
      <c r="Q465" s="86" t="n">
        <v>24</v>
      </c>
      <c r="R465" s="132" t="n">
        <v>0</v>
      </c>
      <c r="S465" s="128" t="n">
        <v>0</v>
      </c>
      <c r="T465" s="132" t="n">
        <v>54</v>
      </c>
      <c r="U465" s="128" t="n">
        <v>8</v>
      </c>
      <c r="V465" s="128" t="n">
        <v>1</v>
      </c>
      <c r="W465" s="90" t="n">
        <f aca="false">IFERROR(O465/V465,0)</f>
        <v>5600</v>
      </c>
      <c r="X465" s="91" t="n">
        <f aca="false">O465/L465</f>
        <v>1.16303219106957</v>
      </c>
      <c r="Y465" s="92" t="str">
        <f aca="false">IFERROR(VLOOKUP(E:E,'Item Data Support Sheet'!A:J,6,0),0)</f>
        <v>Silicon</v>
      </c>
      <c r="Z465" s="93" t="n">
        <f aca="false">IFERROR(VLOOKUP(E:E,'Item Data Support Sheet'!A:O,4,0),0)</f>
        <v>6.8</v>
      </c>
      <c r="AA465" s="93" t="n">
        <f aca="false">IFERROR(((N465)*(Z465/1000))+P465,0)</f>
        <v>38.6648</v>
      </c>
      <c r="AB465" s="94" t="n">
        <f aca="false">IFERROR((O465*(Z465/1000)/(AA465))," ")</f>
        <v>0.984875131902919</v>
      </c>
      <c r="AC465" s="95" t="n">
        <f aca="false">IFERROR((T465)/((T465)+O465),0)</f>
        <v>0.00955076052352317</v>
      </c>
      <c r="AD465" s="96" t="n">
        <f aca="false">IFERROR(Q465/(Q465+N465),0)</f>
        <v>0.00420315236427321</v>
      </c>
      <c r="AE465" s="91" t="n">
        <f aca="false">(N465-T465)/N465</f>
        <v>0.990502989799507</v>
      </c>
      <c r="AF465" s="97" t="n">
        <f aca="false">BR465</f>
        <v>0</v>
      </c>
      <c r="AG465" s="98" t="n">
        <f aca="false">K465-AF465</f>
        <v>8</v>
      </c>
      <c r="AH465" s="99" t="n">
        <f aca="false">IFERROR(AG465/K465," ")</f>
        <v>1</v>
      </c>
      <c r="AI465" s="100" t="n">
        <f aca="false">IFERROR(O465/K465,0)</f>
        <v>700</v>
      </c>
      <c r="AJ465" s="101" t="n">
        <f aca="false">VLOOKUP(D465,'Standard Cycle time'!C:D,2,0)</f>
        <v>5.25</v>
      </c>
      <c r="AK465" s="101" t="n">
        <f aca="false">AG465*V465*3600/O465</f>
        <v>5.14285714285714</v>
      </c>
      <c r="AL465" s="102" t="n">
        <f aca="false">AJ465/AK465</f>
        <v>1.02083333333333</v>
      </c>
      <c r="AM465" s="99" t="n">
        <f aca="false">AE465*AL465*AH465</f>
        <v>1.01113846875366</v>
      </c>
      <c r="AN465" s="103" t="n">
        <v>3090</v>
      </c>
      <c r="AO465" s="112"/>
      <c r="AP465" s="105" t="n">
        <v>0</v>
      </c>
      <c r="AQ465" s="105" t="n">
        <v>0</v>
      </c>
      <c r="AR465" s="105" t="n">
        <v>0</v>
      </c>
      <c r="AS465" s="105" t="n">
        <v>0</v>
      </c>
      <c r="AT465" s="105" t="n">
        <v>0</v>
      </c>
      <c r="AU465" s="105" t="n">
        <v>0</v>
      </c>
      <c r="AV465" s="105" t="n">
        <v>0</v>
      </c>
      <c r="AW465" s="105" t="n">
        <v>0</v>
      </c>
      <c r="AX465" s="105" t="n">
        <v>0</v>
      </c>
      <c r="AY465" s="105" t="n">
        <v>0</v>
      </c>
      <c r="AZ465" s="105" t="n">
        <v>0</v>
      </c>
      <c r="BA465" s="105" t="n">
        <v>0</v>
      </c>
      <c r="BB465" s="105" t="n">
        <v>0</v>
      </c>
      <c r="BC465" s="105" t="n">
        <v>0</v>
      </c>
      <c r="BD465" s="105" t="n">
        <v>0</v>
      </c>
      <c r="BE465" s="105" t="n">
        <v>0</v>
      </c>
      <c r="BF465" s="105" t="n">
        <v>0</v>
      </c>
      <c r="BG465" s="105" t="n">
        <v>0</v>
      </c>
      <c r="BH465" s="105" t="n">
        <v>0</v>
      </c>
      <c r="BI465" s="105" t="n">
        <v>0</v>
      </c>
      <c r="BJ465" s="105" t="n">
        <v>0</v>
      </c>
      <c r="BK465" s="105" t="n">
        <v>0</v>
      </c>
      <c r="BL465" s="105" t="n">
        <v>0</v>
      </c>
      <c r="BM465" s="105" t="n">
        <v>0</v>
      </c>
      <c r="BN465" s="105" t="n">
        <v>0</v>
      </c>
      <c r="BO465" s="105" t="n">
        <v>0</v>
      </c>
      <c r="BP465" s="105" t="n">
        <v>0</v>
      </c>
      <c r="BQ465" s="105" t="n">
        <v>0</v>
      </c>
      <c r="BR465" s="106" t="n">
        <v>0</v>
      </c>
      <c r="BS465" s="106" t="n">
        <v>0</v>
      </c>
      <c r="BT465" s="107"/>
      <c r="BU465" s="107"/>
      <c r="BV465" s="107"/>
      <c r="BW465" s="107"/>
      <c r="BX465" s="107"/>
      <c r="BY465" s="107"/>
      <c r="BZ465" s="107"/>
      <c r="CA465" s="107"/>
      <c r="CB465" s="107"/>
      <c r="CC465" s="107"/>
      <c r="CD465" s="107"/>
      <c r="CE465" s="107"/>
      <c r="CF465" s="107"/>
      <c r="CG465" s="107"/>
      <c r="CH465" s="107"/>
      <c r="CI465" s="107"/>
      <c r="CJ465" s="107"/>
      <c r="CK465" s="107"/>
      <c r="CL465" s="107"/>
      <c r="CM465" s="107"/>
      <c r="CN465" s="107"/>
      <c r="CO465" s="107"/>
      <c r="CP465" s="107"/>
      <c r="CQ465" s="107"/>
      <c r="CR465" s="107"/>
      <c r="CS465" s="107"/>
      <c r="CT465" s="107"/>
      <c r="CU465" s="107"/>
      <c r="CV465" s="107"/>
    </row>
    <row r="466" customFormat="false" ht="14.9" hidden="false" customHeight="false" outlineLevel="0" collapsed="false">
      <c r="A466" s="74" t="n">
        <f aca="false">MONTH(B466)</f>
        <v>9</v>
      </c>
      <c r="B466" s="135" t="n">
        <v>44447</v>
      </c>
      <c r="C466" s="128" t="s">
        <v>152</v>
      </c>
      <c r="D466" s="77" t="str">
        <f aca="false">IFERROR(VLOOKUP(E:E,'Item Data Support Sheet'!A:O,7,0),"")</f>
        <v>HOOD MOLDED</v>
      </c>
      <c r="E466" s="80" t="s">
        <v>529</v>
      </c>
      <c r="F466" s="122"/>
      <c r="G466" s="137" t="s">
        <v>740</v>
      </c>
      <c r="H466" s="79" t="str">
        <f aca="false">IFERROR(VLOOKUP(E:E,'Item Data Support Sheet'!A:O,2,0),"")</f>
        <v>HOOD S TYPE MOLDED</v>
      </c>
      <c r="I466" s="80" t="s">
        <v>1008</v>
      </c>
      <c r="J466" s="80" t="s">
        <v>815</v>
      </c>
      <c r="K466" s="81" t="n">
        <v>8</v>
      </c>
      <c r="L466" s="124" t="n">
        <v>4137</v>
      </c>
      <c r="M466" s="83" t="n">
        <f aca="false">IFERROR(L466/K466,0)</f>
        <v>517.125</v>
      </c>
      <c r="N466" s="84" t="n">
        <f aca="false">+O466+Q466+T466+U466</f>
        <v>5512</v>
      </c>
      <c r="O466" s="85" t="n">
        <v>5500</v>
      </c>
      <c r="P466" s="86" t="n">
        <v>0</v>
      </c>
      <c r="Q466" s="86" t="n">
        <v>0</v>
      </c>
      <c r="R466" s="132" t="n">
        <v>0</v>
      </c>
      <c r="S466" s="128" t="n">
        <v>0</v>
      </c>
      <c r="T466" s="132" t="n">
        <v>4</v>
      </c>
      <c r="U466" s="128" t="n">
        <v>8</v>
      </c>
      <c r="V466" s="128" t="n">
        <v>1</v>
      </c>
      <c r="W466" s="90" t="n">
        <f aca="false">IFERROR(O466/V466,0)</f>
        <v>5500</v>
      </c>
      <c r="X466" s="91" t="n">
        <f aca="false">O466/L466</f>
        <v>1.32946579647087</v>
      </c>
      <c r="Y466" s="92" t="str">
        <f aca="false">IFERROR(VLOOKUP(E:E,'Item Data Support Sheet'!A:J,6,0),0)</f>
        <v>HMC</v>
      </c>
      <c r="Z466" s="93" t="n">
        <f aca="false">IFERROR(VLOOKUP(E:E,'Item Data Support Sheet'!A:O,4,0),0)</f>
        <v>8.6</v>
      </c>
      <c r="AA466" s="93" t="n">
        <f aca="false">IFERROR(((N466)*(Z466/1000))+P466,0)</f>
        <v>47.4032</v>
      </c>
      <c r="AB466" s="94" t="n">
        <f aca="false">IFERROR((O466*(Z466/1000)/(AA466))," ")</f>
        <v>0.997822931785196</v>
      </c>
      <c r="AC466" s="95" t="n">
        <f aca="false">IFERROR((T466)/((T466)+O466),0)</f>
        <v>0.000726744186046512</v>
      </c>
      <c r="AD466" s="96" t="n">
        <f aca="false">IFERROR(Q466/(Q466+N466),0)</f>
        <v>0</v>
      </c>
      <c r="AE466" s="91" t="n">
        <f aca="false">(N466-T466)/N466</f>
        <v>0.999274310595065</v>
      </c>
      <c r="AF466" s="97" t="n">
        <f aca="false">BR466</f>
        <v>0</v>
      </c>
      <c r="AG466" s="98" t="n">
        <f aca="false">K466-AF466</f>
        <v>8</v>
      </c>
      <c r="AH466" s="99" t="n">
        <f aca="false">IFERROR(AG466/K466," ")</f>
        <v>1</v>
      </c>
      <c r="AI466" s="100" t="n">
        <f aca="false">IFERROR(O466/K466,0)</f>
        <v>687.5</v>
      </c>
      <c r="AJ466" s="101" t="n">
        <f aca="false">VLOOKUP(D466,'Standard Cycle time'!C:D,2,0)</f>
        <v>6</v>
      </c>
      <c r="AK466" s="101" t="n">
        <f aca="false">AG466*V466*3600/O466</f>
        <v>5.23636363636364</v>
      </c>
      <c r="AL466" s="102" t="n">
        <f aca="false">AJ466/AK466</f>
        <v>1.14583333333333</v>
      </c>
      <c r="AM466" s="99" t="n">
        <f aca="false">AE466*AL466*AH466</f>
        <v>1.14500181422351</v>
      </c>
      <c r="AN466" s="103" t="n">
        <v>3091</v>
      </c>
      <c r="AO466" s="112"/>
      <c r="AP466" s="105" t="n">
        <v>0</v>
      </c>
      <c r="AQ466" s="105" t="n">
        <v>0</v>
      </c>
      <c r="AR466" s="105" t="n">
        <v>0</v>
      </c>
      <c r="AS466" s="105" t="n">
        <v>0</v>
      </c>
      <c r="AT466" s="105" t="n">
        <v>0</v>
      </c>
      <c r="AU466" s="105" t="n">
        <v>0</v>
      </c>
      <c r="AV466" s="105" t="n">
        <v>0</v>
      </c>
      <c r="AW466" s="105" t="n">
        <v>0</v>
      </c>
      <c r="AX466" s="105" t="n">
        <v>0</v>
      </c>
      <c r="AY466" s="105" t="n">
        <v>0</v>
      </c>
      <c r="AZ466" s="105" t="n">
        <v>0</v>
      </c>
      <c r="BA466" s="105" t="n">
        <v>0</v>
      </c>
      <c r="BB466" s="105" t="n">
        <v>0</v>
      </c>
      <c r="BC466" s="105" t="n">
        <v>0</v>
      </c>
      <c r="BD466" s="105" t="n">
        <v>0</v>
      </c>
      <c r="BE466" s="105" t="n">
        <v>0</v>
      </c>
      <c r="BF466" s="105" t="n">
        <v>0</v>
      </c>
      <c r="BG466" s="105" t="n">
        <v>0</v>
      </c>
      <c r="BH466" s="105" t="n">
        <v>0</v>
      </c>
      <c r="BI466" s="105" t="n">
        <v>0</v>
      </c>
      <c r="BJ466" s="105" t="n">
        <v>0</v>
      </c>
      <c r="BK466" s="105" t="n">
        <v>0</v>
      </c>
      <c r="BL466" s="105" t="n">
        <v>0</v>
      </c>
      <c r="BM466" s="105" t="n">
        <v>0</v>
      </c>
      <c r="BN466" s="105" t="n">
        <v>0</v>
      </c>
      <c r="BO466" s="105" t="n">
        <v>0</v>
      </c>
      <c r="BP466" s="105" t="n">
        <v>0</v>
      </c>
      <c r="BQ466" s="105" t="n">
        <v>0</v>
      </c>
      <c r="BR466" s="106" t="n">
        <v>0</v>
      </c>
      <c r="BS466" s="106" t="n">
        <v>0</v>
      </c>
      <c r="BT466" s="107"/>
      <c r="BU466" s="107"/>
      <c r="BV466" s="107"/>
      <c r="BW466" s="107"/>
      <c r="BX466" s="107"/>
      <c r="BY466" s="107"/>
      <c r="BZ466" s="107"/>
      <c r="CA466" s="107"/>
      <c r="CB466" s="107"/>
      <c r="CC466" s="107"/>
      <c r="CD466" s="107"/>
      <c r="CE466" s="107"/>
      <c r="CF466" s="107"/>
      <c r="CG466" s="107"/>
      <c r="CH466" s="107"/>
      <c r="CI466" s="107"/>
      <c r="CJ466" s="107"/>
      <c r="CK466" s="107"/>
      <c r="CL466" s="107"/>
      <c r="CM466" s="107"/>
      <c r="CN466" s="107"/>
      <c r="CO466" s="107"/>
      <c r="CP466" s="107"/>
      <c r="CQ466" s="107"/>
      <c r="CR466" s="107"/>
      <c r="CS466" s="107"/>
      <c r="CT466" s="107"/>
      <c r="CU466" s="107"/>
      <c r="CV466" s="107"/>
    </row>
    <row r="467" customFormat="false" ht="14.9" hidden="false" customHeight="false" outlineLevel="0" collapsed="false">
      <c r="A467" s="74" t="n">
        <f aca="false">MONTH(B467)</f>
        <v>9</v>
      </c>
      <c r="B467" s="135" t="n">
        <v>44448</v>
      </c>
      <c r="C467" s="128" t="s">
        <v>51</v>
      </c>
      <c r="D467" s="77" t="str">
        <f aca="false">IFERROR(VLOOKUP(E:E,'Item Data Support Sheet'!A:O,7,0),"")</f>
        <v>NIPPLE MOLDED</v>
      </c>
      <c r="E467" s="80" t="s">
        <v>136</v>
      </c>
      <c r="F467" s="122" t="s">
        <v>137</v>
      </c>
      <c r="G467" s="137" t="s">
        <v>848</v>
      </c>
      <c r="H467" s="79" t="str">
        <f aca="false">IFERROR(VLOOKUP(E:E,'Item Data Support Sheet'!A:O,2,0),"")</f>
        <v>NIPPLE S TYPE M SIZE INJECTION</v>
      </c>
      <c r="I467" s="80" t="s">
        <v>1009</v>
      </c>
      <c r="J467" s="80" t="s">
        <v>143</v>
      </c>
      <c r="K467" s="81" t="n">
        <v>8</v>
      </c>
      <c r="L467" s="124" t="n">
        <v>4815</v>
      </c>
      <c r="M467" s="83" t="n">
        <f aca="false">IFERROR(L467/K467,0)</f>
        <v>601.875</v>
      </c>
      <c r="N467" s="84" t="n">
        <f aca="false">+O467+Q467+T467+U467</f>
        <v>5748</v>
      </c>
      <c r="O467" s="85" t="n">
        <v>5700</v>
      </c>
      <c r="P467" s="86" t="n">
        <v>0</v>
      </c>
      <c r="Q467" s="86" t="n">
        <v>16</v>
      </c>
      <c r="R467" s="132" t="n">
        <v>0</v>
      </c>
      <c r="S467" s="128" t="n">
        <v>0</v>
      </c>
      <c r="T467" s="132" t="n">
        <v>24</v>
      </c>
      <c r="U467" s="128" t="n">
        <v>8</v>
      </c>
      <c r="V467" s="128" t="n">
        <v>1</v>
      </c>
      <c r="W467" s="90" t="n">
        <f aca="false">IFERROR(O467/V467,0)</f>
        <v>5700</v>
      </c>
      <c r="X467" s="91" t="n">
        <f aca="false">O467/L467</f>
        <v>1.18380062305296</v>
      </c>
      <c r="Y467" s="92" t="str">
        <f aca="false">IFERROR(VLOOKUP(E:E,'Item Data Support Sheet'!A:J,6,0),0)</f>
        <v>Silicon</v>
      </c>
      <c r="Z467" s="93" t="n">
        <f aca="false">IFERROR(VLOOKUP(E:E,'Item Data Support Sheet'!A:O,4,0),0)</f>
        <v>6.8</v>
      </c>
      <c r="AA467" s="93" t="n">
        <f aca="false">IFERROR(((N467)*(Z467/1000))+P467,0)</f>
        <v>39.0864</v>
      </c>
      <c r="AB467" s="94" t="n">
        <f aca="false">IFERROR((O467*(Z467/1000)/(AA467))," ")</f>
        <v>0.991649269311065</v>
      </c>
      <c r="AC467" s="95" t="n">
        <f aca="false">IFERROR((T467)/((T467)+O467),0)</f>
        <v>0.00419287211740042</v>
      </c>
      <c r="AD467" s="96" t="n">
        <f aca="false">IFERROR(Q467/(Q467+N467),0)</f>
        <v>0.00277585010409438</v>
      </c>
      <c r="AE467" s="91" t="n">
        <f aca="false">(N467-T467)/N467</f>
        <v>0.995824634655532</v>
      </c>
      <c r="AF467" s="97" t="n">
        <f aca="false">BR467</f>
        <v>0</v>
      </c>
      <c r="AG467" s="98" t="n">
        <f aca="false">K467-AF467</f>
        <v>8</v>
      </c>
      <c r="AH467" s="99" t="n">
        <f aca="false">IFERROR(AG467/K467," ")</f>
        <v>1</v>
      </c>
      <c r="AI467" s="100" t="n">
        <f aca="false">IFERROR(O467/K467,0)</f>
        <v>712.5</v>
      </c>
      <c r="AJ467" s="101" t="n">
        <f aca="false">VLOOKUP(D467,'Standard Cycle time'!C:D,2,0)</f>
        <v>5.25</v>
      </c>
      <c r="AK467" s="101" t="n">
        <f aca="false">AG467*V467*3600/O467</f>
        <v>5.05263157894737</v>
      </c>
      <c r="AL467" s="102" t="n">
        <f aca="false">AJ467/AK467</f>
        <v>1.0390625</v>
      </c>
      <c r="AM467" s="99" t="n">
        <f aca="false">AE467*AL467*AH467</f>
        <v>1.03472403444676</v>
      </c>
      <c r="AN467" s="103" t="n">
        <v>3097</v>
      </c>
      <c r="AO467" s="112" t="s">
        <v>461</v>
      </c>
      <c r="AP467" s="105" t="n">
        <v>0</v>
      </c>
      <c r="AQ467" s="105" t="n">
        <v>0</v>
      </c>
      <c r="AR467" s="105" t="n">
        <v>0</v>
      </c>
      <c r="AS467" s="105" t="n">
        <v>0</v>
      </c>
      <c r="AT467" s="105" t="n">
        <v>0</v>
      </c>
      <c r="AU467" s="105" t="n">
        <v>0</v>
      </c>
      <c r="AV467" s="105" t="n">
        <v>0</v>
      </c>
      <c r="AW467" s="105" t="n">
        <v>0</v>
      </c>
      <c r="AX467" s="105" t="n">
        <v>0</v>
      </c>
      <c r="AY467" s="105" t="n">
        <v>0</v>
      </c>
      <c r="AZ467" s="105" t="n">
        <v>0</v>
      </c>
      <c r="BA467" s="105" t="n">
        <v>0</v>
      </c>
      <c r="BB467" s="105" t="n">
        <v>0</v>
      </c>
      <c r="BC467" s="105" t="n">
        <v>0</v>
      </c>
      <c r="BD467" s="105" t="n">
        <v>0</v>
      </c>
      <c r="BE467" s="105" t="n">
        <v>0</v>
      </c>
      <c r="BF467" s="105" t="n">
        <v>0</v>
      </c>
      <c r="BG467" s="105" t="n">
        <v>0</v>
      </c>
      <c r="BH467" s="105" t="n">
        <v>0</v>
      </c>
      <c r="BI467" s="105" t="n">
        <v>0</v>
      </c>
      <c r="BJ467" s="105" t="n">
        <v>0</v>
      </c>
      <c r="BK467" s="105" t="n">
        <v>0</v>
      </c>
      <c r="BL467" s="105" t="n">
        <v>0</v>
      </c>
      <c r="BM467" s="105" t="n">
        <v>0</v>
      </c>
      <c r="BN467" s="105" t="n">
        <v>0</v>
      </c>
      <c r="BO467" s="105" t="n">
        <v>0</v>
      </c>
      <c r="BP467" s="105" t="n">
        <v>0</v>
      </c>
      <c r="BQ467" s="105" t="n">
        <v>0</v>
      </c>
      <c r="BR467" s="106" t="n">
        <v>0</v>
      </c>
      <c r="BS467" s="106" t="n">
        <v>0</v>
      </c>
      <c r="BT467" s="107"/>
      <c r="BU467" s="107"/>
      <c r="BV467" s="107"/>
      <c r="BW467" s="107"/>
      <c r="BX467" s="107"/>
      <c r="BY467" s="107"/>
      <c r="BZ467" s="107"/>
      <c r="CA467" s="107"/>
      <c r="CB467" s="107"/>
      <c r="CC467" s="107"/>
      <c r="CD467" s="107"/>
      <c r="CE467" s="107"/>
      <c r="CF467" s="107"/>
      <c r="CG467" s="107"/>
      <c r="CH467" s="107"/>
      <c r="CI467" s="107"/>
      <c r="CJ467" s="107"/>
      <c r="CK467" s="107"/>
      <c r="CL467" s="107"/>
      <c r="CM467" s="107"/>
      <c r="CN467" s="107"/>
      <c r="CO467" s="107"/>
      <c r="CP467" s="107"/>
      <c r="CQ467" s="107"/>
      <c r="CR467" s="107"/>
      <c r="CS467" s="107"/>
      <c r="CT467" s="107"/>
      <c r="CU467" s="107"/>
      <c r="CV467" s="107"/>
    </row>
    <row r="468" customFormat="false" ht="14.9" hidden="false" customHeight="false" outlineLevel="0" collapsed="false">
      <c r="A468" s="74" t="n">
        <f aca="false">MONTH(B468)</f>
        <v>9</v>
      </c>
      <c r="B468" s="135" t="n">
        <v>44448</v>
      </c>
      <c r="C468" s="128" t="s">
        <v>51</v>
      </c>
      <c r="D468" s="77" t="str">
        <f aca="false">IFERROR(VLOOKUP(E:E,'Item Data Support Sheet'!A:O,7,0),"")</f>
        <v>NIPPLE PUNCH</v>
      </c>
      <c r="E468" s="80" t="s">
        <v>60</v>
      </c>
      <c r="F468" s="122"/>
      <c r="G468" s="137" t="s">
        <v>54</v>
      </c>
      <c r="H468" s="79" t="str">
        <f aca="false">IFERROR(VLOOKUP(E:E,'Item Data Support Sheet'!A:O,2,0),"")</f>
        <v>NIPPLE S TYPE M SIZE PUNCHED</v>
      </c>
      <c r="I468" s="80" t="s">
        <v>1010</v>
      </c>
      <c r="J468" s="80" t="s">
        <v>143</v>
      </c>
      <c r="K468" s="81" t="n">
        <v>8</v>
      </c>
      <c r="L468" s="124" t="n">
        <v>7000</v>
      </c>
      <c r="M468" s="83" t="n">
        <f aca="false">IFERROR(L468/K468,0)</f>
        <v>875</v>
      </c>
      <c r="N468" s="84" t="n">
        <f aca="false">+O468+Q468+T468+U468</f>
        <v>6500</v>
      </c>
      <c r="O468" s="85" t="n">
        <v>6500</v>
      </c>
      <c r="P468" s="86" t="n">
        <v>0</v>
      </c>
      <c r="Q468" s="86" t="n">
        <v>0</v>
      </c>
      <c r="R468" s="132" t="n">
        <v>0</v>
      </c>
      <c r="S468" s="128" t="n">
        <v>0</v>
      </c>
      <c r="T468" s="132" t="n">
        <v>0</v>
      </c>
      <c r="U468" s="128" t="n">
        <v>0</v>
      </c>
      <c r="V468" s="128" t="n">
        <v>1</v>
      </c>
      <c r="W468" s="90" t="n">
        <f aca="false">IFERROR(O468/V468,0)</f>
        <v>6500</v>
      </c>
      <c r="X468" s="91" t="n">
        <f aca="false">O468/L468</f>
        <v>0.928571428571429</v>
      </c>
      <c r="Y468" s="92" t="str">
        <f aca="false">IFERROR(VLOOKUP(E:E,'Item Data Support Sheet'!A:J,6,0),0)</f>
        <v>FO016</v>
      </c>
      <c r="Z468" s="93" t="n">
        <f aca="false">IFERROR(VLOOKUP(E:E,'Item Data Support Sheet'!A:O,4,0),0)</f>
        <v>0</v>
      </c>
      <c r="AA468" s="93" t="n">
        <f aca="false">IFERROR(((N468)*(Z468/1000))+P468,0)</f>
        <v>0</v>
      </c>
      <c r="AB468" s="94" t="str">
        <f aca="false">IFERROR((O468*(Z468/1000)/(AA468))," ")</f>
        <v> </v>
      </c>
      <c r="AC468" s="95" t="n">
        <f aca="false">IFERROR((T468)/((T468)+O468),0)</f>
        <v>0</v>
      </c>
      <c r="AD468" s="96" t="n">
        <f aca="false">IFERROR(Q468/(Q468+N468),0)</f>
        <v>0</v>
      </c>
      <c r="AE468" s="91" t="n">
        <f aca="false">(N468-T468)/N468</f>
        <v>1</v>
      </c>
      <c r="AF468" s="97" t="n">
        <f aca="false">BR468</f>
        <v>1.16666666666667</v>
      </c>
      <c r="AG468" s="98" t="n">
        <f aca="false">K468-AF468</f>
        <v>6.83333333333333</v>
      </c>
      <c r="AH468" s="99" t="n">
        <f aca="false">IFERROR(AG468/K468," ")</f>
        <v>0.854166666666666</v>
      </c>
      <c r="AI468" s="100" t="n">
        <f aca="false">IFERROR(O468/K468,0)</f>
        <v>812.5</v>
      </c>
      <c r="AJ468" s="101" t="n">
        <f aca="false">VLOOKUP(D468,'Standard Cycle time'!C:D,2,0)</f>
        <v>3.5</v>
      </c>
      <c r="AK468" s="101" t="n">
        <f aca="false">AG468*V468*3600/O468</f>
        <v>3.78461538461538</v>
      </c>
      <c r="AL468" s="102" t="n">
        <f aca="false">AJ468/AK468</f>
        <v>0.92479674796748</v>
      </c>
      <c r="AM468" s="99" t="n">
        <f aca="false">AE468*AL468*AH468</f>
        <v>0.789930555555556</v>
      </c>
      <c r="AN468" s="103" t="s">
        <v>1011</v>
      </c>
      <c r="AO468" s="112" t="s">
        <v>1012</v>
      </c>
      <c r="AP468" s="105" t="n">
        <v>40</v>
      </c>
      <c r="AQ468" s="105" t="n">
        <v>0</v>
      </c>
      <c r="AR468" s="105" t="n">
        <v>0</v>
      </c>
      <c r="AS468" s="105" t="n">
        <v>0</v>
      </c>
      <c r="AT468" s="105" t="n">
        <v>0</v>
      </c>
      <c r="AU468" s="105" t="n">
        <v>0</v>
      </c>
      <c r="AV468" s="105" t="n">
        <v>0</v>
      </c>
      <c r="AW468" s="105" t="n">
        <v>0</v>
      </c>
      <c r="AX468" s="105" t="n">
        <v>0</v>
      </c>
      <c r="AY468" s="105" t="n">
        <v>0</v>
      </c>
      <c r="AZ468" s="105" t="n">
        <v>0</v>
      </c>
      <c r="BA468" s="105" t="n">
        <v>30</v>
      </c>
      <c r="BB468" s="105" t="n">
        <v>0</v>
      </c>
      <c r="BC468" s="105" t="n">
        <v>0</v>
      </c>
      <c r="BD468" s="105" t="n">
        <v>0</v>
      </c>
      <c r="BE468" s="105" t="n">
        <v>0</v>
      </c>
      <c r="BF468" s="105" t="n">
        <v>0</v>
      </c>
      <c r="BG468" s="105" t="n">
        <v>0</v>
      </c>
      <c r="BH468" s="105" t="n">
        <v>0</v>
      </c>
      <c r="BI468" s="105" t="n">
        <v>0</v>
      </c>
      <c r="BJ468" s="105" t="n">
        <v>0</v>
      </c>
      <c r="BK468" s="105" t="n">
        <v>0</v>
      </c>
      <c r="BL468" s="105" t="n">
        <v>0</v>
      </c>
      <c r="BM468" s="105" t="n">
        <v>0</v>
      </c>
      <c r="BN468" s="105" t="n">
        <v>0</v>
      </c>
      <c r="BO468" s="105" t="n">
        <v>0</v>
      </c>
      <c r="BP468" s="105" t="n">
        <v>0</v>
      </c>
      <c r="BQ468" s="105" t="n">
        <v>0</v>
      </c>
      <c r="BR468" s="106" t="n">
        <v>1.16666666666667</v>
      </c>
      <c r="BS468" s="106" t="n">
        <v>1.18611111111111</v>
      </c>
      <c r="BT468" s="107"/>
      <c r="BU468" s="107"/>
      <c r="BV468" s="107"/>
      <c r="BW468" s="107"/>
      <c r="BX468" s="107"/>
      <c r="BY468" s="107"/>
      <c r="BZ468" s="107"/>
      <c r="CA468" s="107"/>
      <c r="CB468" s="107"/>
      <c r="CC468" s="107"/>
      <c r="CD468" s="107"/>
      <c r="CE468" s="107"/>
      <c r="CF468" s="107"/>
      <c r="CG468" s="107"/>
      <c r="CH468" s="107"/>
      <c r="CI468" s="107"/>
      <c r="CJ468" s="107"/>
      <c r="CK468" s="107"/>
      <c r="CL468" s="107"/>
      <c r="CM468" s="107"/>
      <c r="CN468" s="107"/>
      <c r="CO468" s="107"/>
      <c r="CP468" s="107"/>
      <c r="CQ468" s="107"/>
      <c r="CR468" s="107"/>
      <c r="CS468" s="107"/>
      <c r="CT468" s="107"/>
      <c r="CU468" s="107"/>
      <c r="CV468" s="107"/>
    </row>
    <row r="469" customFormat="false" ht="14.9" hidden="false" customHeight="false" outlineLevel="0" collapsed="false">
      <c r="A469" s="74" t="n">
        <f aca="false">MONTH(B469)</f>
        <v>9</v>
      </c>
      <c r="B469" s="135" t="n">
        <v>44448</v>
      </c>
      <c r="C469" s="128" t="s">
        <v>51</v>
      </c>
      <c r="D469" s="77" t="str">
        <f aca="false">IFERROR(VLOOKUP(E:E,'Item Data Support Sheet'!A:O,7,0),"")</f>
        <v>NIPPLE LASER MARKING</v>
      </c>
      <c r="E469" s="80" t="s">
        <v>932</v>
      </c>
      <c r="F469" s="122"/>
      <c r="G469" s="137" t="s">
        <v>517</v>
      </c>
      <c r="H469" s="79" t="str">
        <f aca="false">IFERROR(VLOOKUP(E:E,'Item Data Support Sheet'!A:O,2,0),"")</f>
        <v>NIPPLE S TYPE M SIZE PUNCHED LASER MARKED</v>
      </c>
      <c r="I469" s="80" t="s">
        <v>1013</v>
      </c>
      <c r="J469" s="80" t="s">
        <v>143</v>
      </c>
      <c r="K469" s="81" t="n">
        <v>8</v>
      </c>
      <c r="L469" s="124" t="n">
        <v>7000</v>
      </c>
      <c r="M469" s="83" t="n">
        <f aca="false">IFERROR(L469/K469,0)</f>
        <v>875</v>
      </c>
      <c r="N469" s="84" t="n">
        <f aca="false">+O469+Q469+T469+U469</f>
        <v>7000</v>
      </c>
      <c r="O469" s="85" t="n">
        <v>7000</v>
      </c>
      <c r="P469" s="86" t="n">
        <v>0</v>
      </c>
      <c r="Q469" s="86" t="n">
        <v>0</v>
      </c>
      <c r="R469" s="132" t="n">
        <v>0</v>
      </c>
      <c r="S469" s="128" t="n">
        <v>0</v>
      </c>
      <c r="T469" s="132" t="n">
        <v>0</v>
      </c>
      <c r="U469" s="128" t="n">
        <v>0</v>
      </c>
      <c r="V469" s="128" t="n">
        <v>1</v>
      </c>
      <c r="W469" s="90" t="n">
        <f aca="false">IFERROR(O469/V469,0)</f>
        <v>7000</v>
      </c>
      <c r="X469" s="91" t="n">
        <f aca="false">O469/L469</f>
        <v>1</v>
      </c>
      <c r="Y469" s="92" t="str">
        <f aca="false">IFERROR(VLOOKUP(E:E,'Item Data Support Sheet'!A:J,6,0),0)</f>
        <v>FO020</v>
      </c>
      <c r="Z469" s="93" t="n">
        <f aca="false">IFERROR(VLOOKUP(E:E,'Item Data Support Sheet'!A:O,4,0),0)</f>
        <v>0</v>
      </c>
      <c r="AA469" s="93" t="n">
        <f aca="false">IFERROR(((N469)*(Z469/1000))+P469,0)</f>
        <v>0</v>
      </c>
      <c r="AB469" s="94" t="str">
        <f aca="false">IFERROR((O469*(Z469/1000)/(AA469))," ")</f>
        <v> </v>
      </c>
      <c r="AC469" s="95" t="n">
        <f aca="false">IFERROR((T469)/((T469)+O469),0)</f>
        <v>0</v>
      </c>
      <c r="AD469" s="96" t="n">
        <f aca="false">IFERROR(Q469/(Q469+N469),0)</f>
        <v>0</v>
      </c>
      <c r="AE469" s="91" t="n">
        <f aca="false">(N469-T469)/N469</f>
        <v>1</v>
      </c>
      <c r="AF469" s="97" t="n">
        <f aca="false">BR469</f>
        <v>0.666666666666667</v>
      </c>
      <c r="AG469" s="98" t="n">
        <f aca="false">K469-AF469</f>
        <v>7.33333333333333</v>
      </c>
      <c r="AH469" s="99" t="n">
        <f aca="false">IFERROR(AG469/K469," ")</f>
        <v>0.916666666666667</v>
      </c>
      <c r="AI469" s="100" t="n">
        <f aca="false">IFERROR(O469/K469,0)</f>
        <v>875</v>
      </c>
      <c r="AJ469" s="101" t="n">
        <f aca="false">VLOOKUP(D469,'Standard Cycle time'!C:D,2,0)</f>
        <v>3.5</v>
      </c>
      <c r="AK469" s="101" t="n">
        <f aca="false">AG469*V469*3600/O469</f>
        <v>3.77142857142857</v>
      </c>
      <c r="AL469" s="102" t="n">
        <f aca="false">AJ469/AK469</f>
        <v>0.928030303030303</v>
      </c>
      <c r="AM469" s="99" t="n">
        <f aca="false">AE469*AL469*AH469</f>
        <v>0.850694444444444</v>
      </c>
      <c r="AN469" s="103" t="s">
        <v>1014</v>
      </c>
      <c r="AO469" s="112" t="s">
        <v>461</v>
      </c>
      <c r="AP469" s="105" t="n">
        <v>40</v>
      </c>
      <c r="AQ469" s="105" t="n">
        <v>0</v>
      </c>
      <c r="AR469" s="105" t="n">
        <v>0</v>
      </c>
      <c r="AS469" s="105" t="n">
        <v>0</v>
      </c>
      <c r="AT469" s="105" t="n">
        <v>0</v>
      </c>
      <c r="AU469" s="105" t="n">
        <v>0</v>
      </c>
      <c r="AV469" s="105" t="n">
        <v>0</v>
      </c>
      <c r="AW469" s="105" t="n">
        <v>0</v>
      </c>
      <c r="AX469" s="105" t="n">
        <v>0</v>
      </c>
      <c r="AY469" s="105" t="n">
        <v>0</v>
      </c>
      <c r="AZ469" s="105" t="n">
        <v>0</v>
      </c>
      <c r="BA469" s="105" t="n">
        <v>0</v>
      </c>
      <c r="BB469" s="105" t="n">
        <v>0</v>
      </c>
      <c r="BC469" s="105" t="n">
        <v>0</v>
      </c>
      <c r="BD469" s="105" t="n">
        <v>0</v>
      </c>
      <c r="BE469" s="105" t="n">
        <v>0</v>
      </c>
      <c r="BF469" s="105" t="n">
        <v>0</v>
      </c>
      <c r="BG469" s="105" t="n">
        <v>0</v>
      </c>
      <c r="BH469" s="105" t="n">
        <v>0</v>
      </c>
      <c r="BI469" s="105" t="n">
        <v>0</v>
      </c>
      <c r="BJ469" s="105" t="n">
        <v>0</v>
      </c>
      <c r="BK469" s="105" t="n">
        <v>0</v>
      </c>
      <c r="BL469" s="105" t="n">
        <v>0</v>
      </c>
      <c r="BM469" s="105" t="n">
        <v>0</v>
      </c>
      <c r="BN469" s="105" t="n">
        <v>0</v>
      </c>
      <c r="BO469" s="105" t="n">
        <v>0</v>
      </c>
      <c r="BP469" s="105" t="n">
        <v>0</v>
      </c>
      <c r="BQ469" s="105" t="n">
        <v>0</v>
      </c>
      <c r="BR469" s="106" t="n">
        <v>0.666666666666667</v>
      </c>
      <c r="BS469" s="106" t="n">
        <v>0.677777777777778</v>
      </c>
      <c r="BT469" s="107"/>
      <c r="BU469" s="107"/>
      <c r="BV469" s="107"/>
      <c r="BW469" s="107"/>
      <c r="BX469" s="107"/>
      <c r="BY469" s="107"/>
      <c r="BZ469" s="107"/>
      <c r="CA469" s="107"/>
      <c r="CB469" s="107"/>
      <c r="CC469" s="107"/>
      <c r="CD469" s="107"/>
      <c r="CE469" s="107"/>
      <c r="CF469" s="107"/>
      <c r="CG469" s="107"/>
      <c r="CH469" s="107"/>
      <c r="CI469" s="107"/>
      <c r="CJ469" s="107"/>
      <c r="CK469" s="107"/>
      <c r="CL469" s="107"/>
      <c r="CM469" s="107"/>
      <c r="CN469" s="107"/>
      <c r="CO469" s="107"/>
      <c r="CP469" s="107"/>
      <c r="CQ469" s="107"/>
      <c r="CR469" s="107"/>
      <c r="CS469" s="107"/>
      <c r="CT469" s="107"/>
      <c r="CU469" s="107"/>
      <c r="CV469" s="107"/>
    </row>
    <row r="470" customFormat="false" ht="14.9" hidden="false" customHeight="false" outlineLevel="0" collapsed="false">
      <c r="A470" s="74" t="n">
        <f aca="false">MONTH(B470)</f>
        <v>9</v>
      </c>
      <c r="B470" s="135" t="n">
        <v>44448</v>
      </c>
      <c r="C470" s="128" t="s">
        <v>51</v>
      </c>
      <c r="D470" s="77" t="str">
        <f aca="false">IFERROR(VLOOKUP(E:E,'Item Data Support Sheet'!A:O,7,0),"")</f>
        <v>BOTTLE PRINTED</v>
      </c>
      <c r="E470" s="80" t="s">
        <v>65</v>
      </c>
      <c r="F470" s="122"/>
      <c r="G470" s="137" t="s">
        <v>66</v>
      </c>
      <c r="H470" s="79" t="str">
        <f aca="false">IFERROR(VLOOKUP(E:E,'Item Data Support Sheet'!A:O,2,0),"")</f>
        <v>KPP 240 ML BOTTLE PRINTED</v>
      </c>
      <c r="I470" s="80" t="s">
        <v>1015</v>
      </c>
      <c r="J470" s="80" t="s">
        <v>143</v>
      </c>
      <c r="K470" s="81" t="n">
        <v>8</v>
      </c>
      <c r="L470" s="124" t="n">
        <v>5100</v>
      </c>
      <c r="M470" s="83" t="n">
        <f aca="false">IFERROR(L470/K470,0)</f>
        <v>637.5</v>
      </c>
      <c r="N470" s="84" t="n">
        <f aca="false">+O470+Q470+T470+U470</f>
        <v>3802</v>
      </c>
      <c r="O470" s="85" t="n">
        <v>3780</v>
      </c>
      <c r="P470" s="86" t="n">
        <v>0</v>
      </c>
      <c r="Q470" s="86" t="n">
        <v>0</v>
      </c>
      <c r="R470" s="132" t="n">
        <v>30</v>
      </c>
      <c r="S470" s="128" t="n">
        <v>0</v>
      </c>
      <c r="T470" s="132" t="n">
        <v>22</v>
      </c>
      <c r="U470" s="128" t="n">
        <v>0</v>
      </c>
      <c r="V470" s="128" t="n">
        <v>5</v>
      </c>
      <c r="W470" s="90" t="n">
        <f aca="false">IFERROR(O470/V470,0)</f>
        <v>756</v>
      </c>
      <c r="X470" s="91" t="n">
        <f aca="false">O470/L470</f>
        <v>0.741176470588235</v>
      </c>
      <c r="Y470" s="92" t="str">
        <f aca="false">IFERROR(VLOOKUP(E:E,'Item Data Support Sheet'!A:J,6,0),0)</f>
        <v>FO003</v>
      </c>
      <c r="Z470" s="93" t="n">
        <f aca="false">IFERROR(VLOOKUP(E:E,'Item Data Support Sheet'!A:O,4,0),0)</f>
        <v>0</v>
      </c>
      <c r="AA470" s="93" t="n">
        <f aca="false">IFERROR(((N470)*(Z470/1000))+P470,0)</f>
        <v>0</v>
      </c>
      <c r="AB470" s="94" t="str">
        <f aca="false">IFERROR((O470*(Z470/1000)/(AA470))," ")</f>
        <v> </v>
      </c>
      <c r="AC470" s="95" t="n">
        <f aca="false">IFERROR((T470)/((T470)+O470),0)</f>
        <v>0.00578642819568648</v>
      </c>
      <c r="AD470" s="96" t="n">
        <f aca="false">IFERROR(Q470/(Q470+N470),0)</f>
        <v>0</v>
      </c>
      <c r="AE470" s="91" t="n">
        <f aca="false">(N470-T470)/N470</f>
        <v>0.994213571804314</v>
      </c>
      <c r="AF470" s="97" t="n">
        <f aca="false">BR470</f>
        <v>0</v>
      </c>
      <c r="AG470" s="98" t="n">
        <f aca="false">K470-AF470</f>
        <v>8</v>
      </c>
      <c r="AH470" s="99" t="n">
        <f aca="false">IFERROR(AG470/K470," ")</f>
        <v>1</v>
      </c>
      <c r="AI470" s="100" t="n">
        <f aca="false">IFERROR(O470/K470,0)</f>
        <v>472.5</v>
      </c>
      <c r="AJ470" s="101" t="n">
        <f aca="false">VLOOKUP(D470,'Standard Cycle time'!C:D,2,0)</f>
        <v>32.4</v>
      </c>
      <c r="AK470" s="101" t="n">
        <f aca="false">AG470*V470*3600/O470</f>
        <v>38.0952380952381</v>
      </c>
      <c r="AL470" s="102" t="n">
        <f aca="false">AJ470/AK470</f>
        <v>0.8505</v>
      </c>
      <c r="AM470" s="99" t="n">
        <f aca="false">AE470*AL470*AH470</f>
        <v>0.845578642819569</v>
      </c>
      <c r="AN470" s="103" t="s">
        <v>1016</v>
      </c>
      <c r="AO470" s="112" t="s">
        <v>1017</v>
      </c>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6"/>
      <c r="BS470" s="106"/>
      <c r="BT470" s="107"/>
      <c r="BU470" s="107"/>
      <c r="BV470" s="107"/>
      <c r="BW470" s="107"/>
      <c r="BX470" s="107"/>
      <c r="BY470" s="107"/>
      <c r="BZ470" s="107"/>
      <c r="CA470" s="107"/>
      <c r="CB470" s="107"/>
      <c r="CC470" s="107"/>
      <c r="CD470" s="107"/>
      <c r="CE470" s="107"/>
      <c r="CF470" s="107"/>
      <c r="CG470" s="107"/>
      <c r="CH470" s="107"/>
      <c r="CI470" s="107"/>
      <c r="CJ470" s="107"/>
      <c r="CK470" s="107"/>
      <c r="CL470" s="107"/>
      <c r="CM470" s="107"/>
      <c r="CN470" s="107"/>
      <c r="CO470" s="107"/>
      <c r="CP470" s="107"/>
      <c r="CQ470" s="107"/>
      <c r="CR470" s="107"/>
      <c r="CS470" s="107"/>
      <c r="CT470" s="107"/>
      <c r="CU470" s="107"/>
      <c r="CV470" s="107"/>
    </row>
    <row r="471" customFormat="false" ht="14.9" hidden="false" customHeight="false" outlineLevel="0" collapsed="false">
      <c r="A471" s="74" t="n">
        <f aca="false">MONTH(B471)</f>
        <v>9</v>
      </c>
      <c r="B471" s="135" t="n">
        <v>44448</v>
      </c>
      <c r="C471" s="128" t="s">
        <v>51</v>
      </c>
      <c r="D471" s="77" t="str">
        <f aca="false">IFERROR(VLOOKUP(E:E,'Item Data Support Sheet'!A:O,7,0),"")</f>
        <v>HOOD MOLDED</v>
      </c>
      <c r="E471" s="80" t="s">
        <v>529</v>
      </c>
      <c r="F471" s="122"/>
      <c r="G471" s="137" t="s">
        <v>740</v>
      </c>
      <c r="H471" s="79" t="str">
        <f aca="false">IFERROR(VLOOKUP(E:E,'Item Data Support Sheet'!A:O,2,0),"")</f>
        <v>HOOD S TYPE MOLDED</v>
      </c>
      <c r="I471" s="80" t="s">
        <v>1018</v>
      </c>
      <c r="J471" s="80" t="s">
        <v>143</v>
      </c>
      <c r="K471" s="81" t="n">
        <v>8</v>
      </c>
      <c r="L471" s="124" t="n">
        <v>4137</v>
      </c>
      <c r="M471" s="83" t="n">
        <f aca="false">IFERROR(L471/K471,0)</f>
        <v>517.125</v>
      </c>
      <c r="N471" s="84" t="n">
        <f aca="false">+O471+Q471+T471+U471</f>
        <v>5303</v>
      </c>
      <c r="O471" s="85" t="n">
        <v>5300</v>
      </c>
      <c r="P471" s="86" t="n">
        <v>0</v>
      </c>
      <c r="Q471" s="86" t="n">
        <v>0</v>
      </c>
      <c r="R471" s="132" t="n">
        <v>0</v>
      </c>
      <c r="S471" s="128" t="n">
        <v>0</v>
      </c>
      <c r="T471" s="132" t="n">
        <v>3</v>
      </c>
      <c r="U471" s="128" t="n">
        <v>0</v>
      </c>
      <c r="V471" s="128" t="n">
        <v>1</v>
      </c>
      <c r="W471" s="90" t="n">
        <f aca="false">IFERROR(O471/V471,0)</f>
        <v>5300</v>
      </c>
      <c r="X471" s="91" t="n">
        <f aca="false">O471/L471</f>
        <v>1.28112158569011</v>
      </c>
      <c r="Y471" s="92" t="str">
        <f aca="false">IFERROR(VLOOKUP(E:E,'Item Data Support Sheet'!A:J,6,0),0)</f>
        <v>HMC</v>
      </c>
      <c r="Z471" s="93" t="n">
        <f aca="false">IFERROR(VLOOKUP(E:E,'Item Data Support Sheet'!A:O,4,0),0)</f>
        <v>8.6</v>
      </c>
      <c r="AA471" s="93" t="n">
        <f aca="false">IFERROR(((N471)*(Z471/1000))+P471,0)</f>
        <v>45.6058</v>
      </c>
      <c r="AB471" s="94" t="n">
        <f aca="false">IFERROR((O471*(Z471/1000)/(AA471))," ")</f>
        <v>0.999434282481614</v>
      </c>
      <c r="AC471" s="95" t="n">
        <f aca="false">IFERROR((T471)/((T471)+O471),0)</f>
        <v>0.000565717518385819</v>
      </c>
      <c r="AD471" s="96" t="n">
        <f aca="false">IFERROR(Q471/(Q471+N471),0)</f>
        <v>0</v>
      </c>
      <c r="AE471" s="91" t="n">
        <f aca="false">(N471-T471)/N471</f>
        <v>0.999434282481614</v>
      </c>
      <c r="AF471" s="97" t="n">
        <f aca="false">BR471</f>
        <v>0</v>
      </c>
      <c r="AG471" s="98" t="n">
        <f aca="false">K471-AF471</f>
        <v>8</v>
      </c>
      <c r="AH471" s="99" t="n">
        <f aca="false">IFERROR(AG471/K471," ")</f>
        <v>1</v>
      </c>
      <c r="AI471" s="100" t="n">
        <f aca="false">IFERROR(O471/K471,0)</f>
        <v>662.5</v>
      </c>
      <c r="AJ471" s="101" t="n">
        <f aca="false">VLOOKUP(D471,'Standard Cycle time'!C:D,2,0)</f>
        <v>6</v>
      </c>
      <c r="AK471" s="101" t="n">
        <f aca="false">AG471*V471*3600/O471</f>
        <v>5.43396226415094</v>
      </c>
      <c r="AL471" s="102" t="n">
        <f aca="false">AJ471/AK471</f>
        <v>1.10416666666667</v>
      </c>
      <c r="AM471" s="99" t="n">
        <f aca="false">AE471*AL471*AH471</f>
        <v>1.10354202024012</v>
      </c>
      <c r="AN471" s="103" t="s">
        <v>1019</v>
      </c>
      <c r="AO471" s="112" t="s">
        <v>461</v>
      </c>
      <c r="AP471" s="105" t="n">
        <v>0</v>
      </c>
      <c r="AQ471" s="105" t="n">
        <v>0</v>
      </c>
      <c r="AR471" s="105" t="n">
        <v>0</v>
      </c>
      <c r="AS471" s="105" t="n">
        <v>0</v>
      </c>
      <c r="AT471" s="105" t="n">
        <v>0</v>
      </c>
      <c r="AU471" s="105" t="n">
        <v>0</v>
      </c>
      <c r="AV471" s="105" t="n">
        <v>0</v>
      </c>
      <c r="AW471" s="105" t="n">
        <v>0</v>
      </c>
      <c r="AX471" s="105" t="n">
        <v>0</v>
      </c>
      <c r="AY471" s="105" t="n">
        <v>0</v>
      </c>
      <c r="AZ471" s="105" t="n">
        <v>0</v>
      </c>
      <c r="BA471" s="105" t="n">
        <v>0</v>
      </c>
      <c r="BB471" s="105" t="n">
        <v>0</v>
      </c>
      <c r="BC471" s="105" t="n">
        <v>0</v>
      </c>
      <c r="BD471" s="105" t="n">
        <v>0</v>
      </c>
      <c r="BE471" s="105" t="n">
        <v>0</v>
      </c>
      <c r="BF471" s="105" t="n">
        <v>0</v>
      </c>
      <c r="BG471" s="105" t="n">
        <v>0</v>
      </c>
      <c r="BH471" s="105" t="n">
        <v>0</v>
      </c>
      <c r="BI471" s="105" t="n">
        <v>0</v>
      </c>
      <c r="BJ471" s="105" t="n">
        <v>0</v>
      </c>
      <c r="BK471" s="105" t="n">
        <v>0</v>
      </c>
      <c r="BL471" s="105" t="n">
        <v>0</v>
      </c>
      <c r="BM471" s="105" t="n">
        <v>0</v>
      </c>
      <c r="BN471" s="105" t="n">
        <v>0</v>
      </c>
      <c r="BO471" s="105" t="n">
        <v>0</v>
      </c>
      <c r="BP471" s="105" t="n">
        <v>0</v>
      </c>
      <c r="BQ471" s="105" t="n">
        <v>0</v>
      </c>
      <c r="BR471" s="106" t="n">
        <v>0</v>
      </c>
      <c r="BS471" s="106" t="n">
        <v>0</v>
      </c>
      <c r="BT471" s="107"/>
      <c r="BU471" s="107"/>
      <c r="BV471" s="107"/>
      <c r="BW471" s="107"/>
      <c r="BX471" s="107"/>
      <c r="BY471" s="107"/>
      <c r="BZ471" s="107"/>
      <c r="CA471" s="107"/>
      <c r="CB471" s="107"/>
      <c r="CC471" s="107"/>
      <c r="CD471" s="107"/>
      <c r="CE471" s="107"/>
      <c r="CF471" s="107"/>
      <c r="CG471" s="107"/>
      <c r="CH471" s="107"/>
      <c r="CI471" s="107"/>
      <c r="CJ471" s="107"/>
      <c r="CK471" s="107"/>
      <c r="CL471" s="107"/>
      <c r="CM471" s="107"/>
      <c r="CN471" s="107"/>
      <c r="CO471" s="107"/>
      <c r="CP471" s="107"/>
      <c r="CQ471" s="107"/>
      <c r="CR471" s="107"/>
      <c r="CS471" s="107"/>
      <c r="CT471" s="107"/>
      <c r="CU471" s="107"/>
      <c r="CV471" s="107"/>
    </row>
    <row r="472" customFormat="false" ht="14.9" hidden="false" customHeight="false" outlineLevel="0" collapsed="false">
      <c r="A472" s="74" t="n">
        <f aca="false">MONTH(B472)</f>
        <v>9</v>
      </c>
      <c r="B472" s="135" t="n">
        <v>44448</v>
      </c>
      <c r="C472" s="128" t="s">
        <v>63</v>
      </c>
      <c r="D472" s="77" t="str">
        <f aca="false">IFERROR(VLOOKUP(E:E,'Item Data Support Sheet'!A:O,7,0),"")</f>
        <v>NIPPLE PUNCH INSPECTED</v>
      </c>
      <c r="E472" s="80" t="s">
        <v>182</v>
      </c>
      <c r="F472" s="122"/>
      <c r="G472" s="137"/>
      <c r="H472" s="79" t="str">
        <f aca="false">IFERROR(VLOOKUP(E:E,'Item Data Support Sheet'!A:O,2,0),"")</f>
        <v>NIPPLE S TYPE M SIZE PUNCHED INSPECTED</v>
      </c>
      <c r="I472" s="80" t="s">
        <v>999</v>
      </c>
      <c r="J472" s="80" t="s">
        <v>148</v>
      </c>
      <c r="K472" s="81" t="n">
        <v>8</v>
      </c>
      <c r="L472" s="124" t="n">
        <v>14000</v>
      </c>
      <c r="M472" s="83" t="n">
        <f aca="false">IFERROR(L472/K472,0)</f>
        <v>1750</v>
      </c>
      <c r="N472" s="84" t="n">
        <f aca="false">+O472+Q472+T472+U472</f>
        <v>11840</v>
      </c>
      <c r="O472" s="85" t="n">
        <v>11670</v>
      </c>
      <c r="P472" s="86" t="n">
        <v>0</v>
      </c>
      <c r="Q472" s="86" t="n">
        <v>0</v>
      </c>
      <c r="R472" s="132" t="n">
        <v>0</v>
      </c>
      <c r="S472" s="128" t="n">
        <v>0</v>
      </c>
      <c r="T472" s="132" t="n">
        <v>170</v>
      </c>
      <c r="U472" s="128" t="n">
        <v>0</v>
      </c>
      <c r="V472" s="128" t="n">
        <v>2</v>
      </c>
      <c r="W472" s="90" t="n">
        <f aca="false">IFERROR(O472/V472,0)</f>
        <v>5835</v>
      </c>
      <c r="X472" s="91" t="n">
        <f aca="false">O472/L472</f>
        <v>0.833571428571429</v>
      </c>
      <c r="Y472" s="92" t="str">
        <f aca="false">IFERROR(VLOOKUP(E:E,'Item Data Support Sheet'!A:J,6,0),0)</f>
        <v>FO105</v>
      </c>
      <c r="Z472" s="93" t="n">
        <f aca="false">IFERROR(VLOOKUP(E:E,'Item Data Support Sheet'!A:O,4,0),0)</f>
        <v>0</v>
      </c>
      <c r="AA472" s="93" t="n">
        <f aca="false">IFERROR(((N472)*(Z472/1000))+P472,0)</f>
        <v>0</v>
      </c>
      <c r="AB472" s="94" t="str">
        <f aca="false">IFERROR((O472*(Z472/1000)/(AA472))," ")</f>
        <v> </v>
      </c>
      <c r="AC472" s="95" t="n">
        <f aca="false">IFERROR((T472)/((T472)+O472),0)</f>
        <v>0.0143581081081081</v>
      </c>
      <c r="AD472" s="96" t="n">
        <f aca="false">IFERROR(Q472/(Q472+N472),0)</f>
        <v>0</v>
      </c>
      <c r="AE472" s="91" t="n">
        <f aca="false">(N472-T472)/N472</f>
        <v>0.985641891891892</v>
      </c>
      <c r="AF472" s="97" t="n">
        <f aca="false">BR472</f>
        <v>0.833333333333333</v>
      </c>
      <c r="AG472" s="98" t="n">
        <f aca="false">K472-AF472</f>
        <v>7.16666666666667</v>
      </c>
      <c r="AH472" s="99" t="n">
        <f aca="false">IFERROR(AG472/K472," ")</f>
        <v>0.895833333333333</v>
      </c>
      <c r="AI472" s="100" t="n">
        <f aca="false">IFERROR(O472/K472,0)</f>
        <v>1458.75</v>
      </c>
      <c r="AJ472" s="101" t="n">
        <f aca="false">VLOOKUP(D472,'Standard Cycle time'!C:D,2,0)</f>
        <v>4</v>
      </c>
      <c r="AK472" s="101" t="n">
        <f aca="false">AG472*V472*3600/O472</f>
        <v>4.42159383033419</v>
      </c>
      <c r="AL472" s="102" t="n">
        <f aca="false">AJ472/AK472</f>
        <v>0.904651162790698</v>
      </c>
      <c r="AM472" s="99" t="n">
        <f aca="false">AE472*AL472*AH472</f>
        <v>0.798780616554054</v>
      </c>
      <c r="AN472" s="103" t="s">
        <v>1020</v>
      </c>
      <c r="AO472" s="112"/>
      <c r="AP472" s="105" t="n">
        <v>50</v>
      </c>
      <c r="AQ472" s="105" t="n">
        <v>0</v>
      </c>
      <c r="AR472" s="105" t="n">
        <v>0</v>
      </c>
      <c r="AS472" s="105" t="n">
        <v>0</v>
      </c>
      <c r="AT472" s="105" t="n">
        <v>0</v>
      </c>
      <c r="AU472" s="105" t="n">
        <v>0</v>
      </c>
      <c r="AV472" s="105" t="n">
        <v>0</v>
      </c>
      <c r="AW472" s="105" t="n">
        <v>0</v>
      </c>
      <c r="AX472" s="105" t="n">
        <v>0</v>
      </c>
      <c r="AY472" s="105" t="n">
        <v>0</v>
      </c>
      <c r="AZ472" s="105" t="n">
        <v>0</v>
      </c>
      <c r="BA472" s="105" t="n">
        <v>0</v>
      </c>
      <c r="BB472" s="105" t="n">
        <v>0</v>
      </c>
      <c r="BC472" s="105" t="n">
        <v>0</v>
      </c>
      <c r="BD472" s="105" t="n">
        <v>0</v>
      </c>
      <c r="BE472" s="105" t="n">
        <v>0</v>
      </c>
      <c r="BF472" s="105" t="n">
        <v>0</v>
      </c>
      <c r="BG472" s="105" t="n">
        <v>0</v>
      </c>
      <c r="BH472" s="105" t="n">
        <v>0</v>
      </c>
      <c r="BI472" s="105" t="n">
        <v>0</v>
      </c>
      <c r="BJ472" s="105" t="n">
        <v>0</v>
      </c>
      <c r="BK472" s="105" t="n">
        <v>0</v>
      </c>
      <c r="BL472" s="105" t="n">
        <v>0</v>
      </c>
      <c r="BM472" s="105" t="n">
        <v>0</v>
      </c>
      <c r="BN472" s="105" t="n">
        <v>0</v>
      </c>
      <c r="BO472" s="105" t="n">
        <v>0</v>
      </c>
      <c r="BP472" s="105" t="n">
        <v>0</v>
      </c>
      <c r="BQ472" s="105" t="n">
        <v>0</v>
      </c>
      <c r="BR472" s="106" t="n">
        <v>0.833333333333333</v>
      </c>
      <c r="BS472" s="106" t="n">
        <v>0.847222222222222</v>
      </c>
      <c r="BT472" s="107"/>
      <c r="BU472" s="107"/>
      <c r="BV472" s="107"/>
      <c r="BW472" s="107"/>
      <c r="BX472" s="107"/>
      <c r="BY472" s="107"/>
      <c r="BZ472" s="107"/>
      <c r="CA472" s="107"/>
      <c r="CB472" s="107"/>
      <c r="CC472" s="107"/>
      <c r="CD472" s="107"/>
      <c r="CE472" s="107"/>
      <c r="CF472" s="107"/>
      <c r="CG472" s="107"/>
      <c r="CH472" s="107"/>
      <c r="CI472" s="107"/>
      <c r="CJ472" s="107"/>
      <c r="CK472" s="107"/>
      <c r="CL472" s="107"/>
      <c r="CM472" s="107"/>
      <c r="CN472" s="107"/>
      <c r="CO472" s="107"/>
      <c r="CP472" s="107"/>
      <c r="CQ472" s="107"/>
      <c r="CR472" s="107"/>
      <c r="CS472" s="107"/>
      <c r="CT472" s="107"/>
      <c r="CU472" s="107"/>
      <c r="CV472" s="107"/>
    </row>
    <row r="473" customFormat="false" ht="14.9" hidden="false" customHeight="false" outlineLevel="0" collapsed="false">
      <c r="A473" s="74" t="n">
        <f aca="false">MONTH(B473)</f>
        <v>9</v>
      </c>
      <c r="B473" s="135" t="n">
        <v>44448</v>
      </c>
      <c r="C473" s="128" t="s">
        <v>70</v>
      </c>
      <c r="D473" s="77" t="str">
        <f aca="false">IFERROR(VLOOKUP(E:E,'Item Data Support Sheet'!A:O,7,0),"")</f>
        <v>NIPPLE MOLDED</v>
      </c>
      <c r="E473" s="80" t="s">
        <v>136</v>
      </c>
      <c r="F473" s="122" t="s">
        <v>137</v>
      </c>
      <c r="G473" s="137" t="s">
        <v>848</v>
      </c>
      <c r="H473" s="79" t="str">
        <f aca="false">IFERROR(VLOOKUP(E:E,'Item Data Support Sheet'!A:O,2,0),"")</f>
        <v>NIPPLE S TYPE M SIZE INJECTION</v>
      </c>
      <c r="I473" s="80" t="s">
        <v>1021</v>
      </c>
      <c r="J473" s="80" t="s">
        <v>148</v>
      </c>
      <c r="K473" s="81" t="n">
        <v>8</v>
      </c>
      <c r="L473" s="124" t="n">
        <v>4815</v>
      </c>
      <c r="M473" s="83" t="n">
        <f aca="false">IFERROR(L473/K473,0)</f>
        <v>601.875</v>
      </c>
      <c r="N473" s="84" t="n">
        <f aca="false">+O473+Q473+T473+U473</f>
        <v>5740</v>
      </c>
      <c r="O473" s="85" t="n">
        <v>5700</v>
      </c>
      <c r="P473" s="86" t="n">
        <v>0</v>
      </c>
      <c r="Q473" s="86" t="n">
        <v>0</v>
      </c>
      <c r="R473" s="132" t="n">
        <v>0</v>
      </c>
      <c r="S473" s="128" t="n">
        <v>0</v>
      </c>
      <c r="T473" s="132" t="n">
        <v>40</v>
      </c>
      <c r="U473" s="128" t="n">
        <v>0</v>
      </c>
      <c r="V473" s="128" t="n">
        <v>1</v>
      </c>
      <c r="W473" s="90" t="n">
        <f aca="false">IFERROR(O473/V473,0)</f>
        <v>5700</v>
      </c>
      <c r="X473" s="91" t="n">
        <f aca="false">O473/L473</f>
        <v>1.18380062305296</v>
      </c>
      <c r="Y473" s="92" t="str">
        <f aca="false">IFERROR(VLOOKUP(E:E,'Item Data Support Sheet'!A:J,6,0),0)</f>
        <v>Silicon</v>
      </c>
      <c r="Z473" s="93" t="n">
        <f aca="false">IFERROR(VLOOKUP(E:E,'Item Data Support Sheet'!A:O,4,0),0)</f>
        <v>6.8</v>
      </c>
      <c r="AA473" s="93" t="n">
        <f aca="false">IFERROR(((N473)*(Z473/1000))+P473,0)</f>
        <v>39.032</v>
      </c>
      <c r="AB473" s="94" t="n">
        <f aca="false">IFERROR((O473*(Z473/1000)/(AA473))," ")</f>
        <v>0.993031358885017</v>
      </c>
      <c r="AC473" s="95" t="n">
        <f aca="false">IFERROR((T473)/((T473)+O473),0)</f>
        <v>0.00696864111498258</v>
      </c>
      <c r="AD473" s="96" t="n">
        <f aca="false">IFERROR(Q473/(Q473+N473),0)</f>
        <v>0</v>
      </c>
      <c r="AE473" s="91" t="n">
        <f aca="false">(N473-T473)/N473</f>
        <v>0.993031358885017</v>
      </c>
      <c r="AF473" s="97" t="n">
        <f aca="false">BR473</f>
        <v>0</v>
      </c>
      <c r="AG473" s="98" t="n">
        <f aca="false">K473-AF473</f>
        <v>8</v>
      </c>
      <c r="AH473" s="99" t="n">
        <f aca="false">IFERROR(AG473/K473," ")</f>
        <v>1</v>
      </c>
      <c r="AI473" s="100" t="n">
        <f aca="false">IFERROR(O473/K473,0)</f>
        <v>712.5</v>
      </c>
      <c r="AJ473" s="101" t="n">
        <f aca="false">VLOOKUP(D473,'Standard Cycle time'!C:D,2,0)</f>
        <v>5.25</v>
      </c>
      <c r="AK473" s="101" t="n">
        <f aca="false">AG473*V473*3600/O473</f>
        <v>5.05263157894737</v>
      </c>
      <c r="AL473" s="102" t="n">
        <f aca="false">AJ473/AK473</f>
        <v>1.0390625</v>
      </c>
      <c r="AM473" s="99" t="n">
        <f aca="false">AE473*AL473*AH473</f>
        <v>1.03182164634146</v>
      </c>
      <c r="AN473" s="103" t="n">
        <v>3107</v>
      </c>
      <c r="AO473" s="112"/>
      <c r="AP473" s="105" t="n">
        <v>0</v>
      </c>
      <c r="AQ473" s="105" t="n">
        <v>0</v>
      </c>
      <c r="AR473" s="105" t="n">
        <v>0</v>
      </c>
      <c r="AS473" s="105" t="n">
        <v>0</v>
      </c>
      <c r="AT473" s="105" t="n">
        <v>0</v>
      </c>
      <c r="AU473" s="105" t="n">
        <v>0</v>
      </c>
      <c r="AV473" s="105" t="n">
        <v>0</v>
      </c>
      <c r="AW473" s="105" t="n">
        <v>0</v>
      </c>
      <c r="AX473" s="105" t="n">
        <v>0</v>
      </c>
      <c r="AY473" s="105" t="n">
        <v>0</v>
      </c>
      <c r="AZ473" s="105" t="n">
        <v>0</v>
      </c>
      <c r="BA473" s="105" t="n">
        <v>0</v>
      </c>
      <c r="BB473" s="105" t="n">
        <v>0</v>
      </c>
      <c r="BC473" s="105" t="n">
        <v>0</v>
      </c>
      <c r="BD473" s="105" t="n">
        <v>0</v>
      </c>
      <c r="BE473" s="105" t="n">
        <v>0</v>
      </c>
      <c r="BF473" s="105" t="n">
        <v>0</v>
      </c>
      <c r="BG473" s="105" t="n">
        <v>0</v>
      </c>
      <c r="BH473" s="105" t="n">
        <v>0</v>
      </c>
      <c r="BI473" s="105" t="n">
        <v>0</v>
      </c>
      <c r="BJ473" s="105" t="n">
        <v>0</v>
      </c>
      <c r="BK473" s="105" t="n">
        <v>0</v>
      </c>
      <c r="BL473" s="105" t="n">
        <v>0</v>
      </c>
      <c r="BM473" s="105" t="n">
        <v>0</v>
      </c>
      <c r="BN473" s="105" t="n">
        <v>0</v>
      </c>
      <c r="BO473" s="105" t="n">
        <v>0</v>
      </c>
      <c r="BP473" s="105" t="n">
        <v>0</v>
      </c>
      <c r="BQ473" s="105" t="n">
        <v>0</v>
      </c>
      <c r="BR473" s="106" t="n">
        <v>0</v>
      </c>
      <c r="BS473" s="106" t="n">
        <v>0</v>
      </c>
      <c r="BT473" s="107"/>
      <c r="BU473" s="107"/>
      <c r="BV473" s="107"/>
      <c r="BW473" s="107"/>
      <c r="BX473" s="107"/>
      <c r="BY473" s="107"/>
      <c r="BZ473" s="107"/>
      <c r="CA473" s="107"/>
      <c r="CB473" s="107"/>
      <c r="CC473" s="107"/>
      <c r="CD473" s="107"/>
      <c r="CE473" s="107"/>
      <c r="CF473" s="107"/>
      <c r="CG473" s="107"/>
      <c r="CH473" s="107"/>
      <c r="CI473" s="107"/>
      <c r="CJ473" s="107"/>
      <c r="CK473" s="107"/>
      <c r="CL473" s="107"/>
      <c r="CM473" s="107"/>
      <c r="CN473" s="107"/>
      <c r="CO473" s="107"/>
      <c r="CP473" s="107"/>
      <c r="CQ473" s="107"/>
      <c r="CR473" s="107"/>
      <c r="CS473" s="107"/>
      <c r="CT473" s="107"/>
      <c r="CU473" s="107"/>
      <c r="CV473" s="107"/>
    </row>
    <row r="474" customFormat="false" ht="14.9" hidden="false" customHeight="false" outlineLevel="0" collapsed="false">
      <c r="A474" s="74" t="n">
        <f aca="false">MONTH(B474)</f>
        <v>9</v>
      </c>
      <c r="B474" s="135" t="n">
        <v>44448</v>
      </c>
      <c r="C474" s="128" t="s">
        <v>70</v>
      </c>
      <c r="D474" s="77" t="str">
        <f aca="false">IFERROR(VLOOKUP(E:E,'Item Data Support Sheet'!A:O,7,0),"")</f>
        <v>HOOD MOLDED</v>
      </c>
      <c r="E474" s="80" t="s">
        <v>529</v>
      </c>
      <c r="F474" s="122"/>
      <c r="G474" s="137" t="s">
        <v>740</v>
      </c>
      <c r="H474" s="79" t="str">
        <f aca="false">IFERROR(VLOOKUP(E:E,'Item Data Support Sheet'!A:O,2,0),"")</f>
        <v>HOOD S TYPE MOLDED</v>
      </c>
      <c r="I474" s="80" t="s">
        <v>1022</v>
      </c>
      <c r="J474" s="80" t="s">
        <v>148</v>
      </c>
      <c r="K474" s="81" t="n">
        <v>8</v>
      </c>
      <c r="L474" s="124" t="n">
        <v>4137</v>
      </c>
      <c r="M474" s="83" t="n">
        <f aca="false">IFERROR(L474/K474,0)</f>
        <v>517.125</v>
      </c>
      <c r="N474" s="84" t="n">
        <f aca="false">+O474+Q474+T474+U474</f>
        <v>5413</v>
      </c>
      <c r="O474" s="85" t="n">
        <v>5400</v>
      </c>
      <c r="P474" s="86" t="n">
        <v>0</v>
      </c>
      <c r="Q474" s="86" t="n">
        <v>0</v>
      </c>
      <c r="R474" s="132" t="n">
        <v>0</v>
      </c>
      <c r="S474" s="128" t="n">
        <v>0</v>
      </c>
      <c r="T474" s="132" t="n">
        <v>13</v>
      </c>
      <c r="U474" s="128" t="n">
        <v>0</v>
      </c>
      <c r="V474" s="128" t="n">
        <v>1</v>
      </c>
      <c r="W474" s="90" t="n">
        <f aca="false">IFERROR(O474/V474,0)</f>
        <v>5400</v>
      </c>
      <c r="X474" s="91" t="n">
        <f aca="false">O474/L474</f>
        <v>1.30529369108049</v>
      </c>
      <c r="Y474" s="92" t="str">
        <f aca="false">IFERROR(VLOOKUP(E:E,'Item Data Support Sheet'!A:J,6,0),0)</f>
        <v>HMC</v>
      </c>
      <c r="Z474" s="93" t="n">
        <f aca="false">IFERROR(VLOOKUP(E:E,'Item Data Support Sheet'!A:O,4,0),0)</f>
        <v>8.6</v>
      </c>
      <c r="AA474" s="93" t="n">
        <f aca="false">IFERROR(((N474)*(Z474/1000))+P474,0)</f>
        <v>46.5518</v>
      </c>
      <c r="AB474" s="94" t="n">
        <f aca="false">IFERROR((O474*(Z474/1000)/(AA474))," ")</f>
        <v>0.997598374284131</v>
      </c>
      <c r="AC474" s="95" t="n">
        <f aca="false">IFERROR((T474)/((T474)+O474),0)</f>
        <v>0.0024016257158692</v>
      </c>
      <c r="AD474" s="96" t="n">
        <f aca="false">IFERROR(Q474/(Q474+N474),0)</f>
        <v>0</v>
      </c>
      <c r="AE474" s="91" t="n">
        <f aca="false">(N474-T474)/N474</f>
        <v>0.997598374284131</v>
      </c>
      <c r="AF474" s="97" t="n">
        <f aca="false">BR474</f>
        <v>0</v>
      </c>
      <c r="AG474" s="98" t="n">
        <f aca="false">K474-AF474</f>
        <v>8</v>
      </c>
      <c r="AH474" s="99" t="n">
        <f aca="false">IFERROR(AG474/K474," ")</f>
        <v>1</v>
      </c>
      <c r="AI474" s="100" t="n">
        <f aca="false">IFERROR(O474/K474,0)</f>
        <v>675</v>
      </c>
      <c r="AJ474" s="101" t="n">
        <f aca="false">VLOOKUP(D474,'Standard Cycle time'!C:D,2,0)</f>
        <v>6</v>
      </c>
      <c r="AK474" s="101" t="n">
        <f aca="false">AG474*V474*3600/O474</f>
        <v>5.33333333333333</v>
      </c>
      <c r="AL474" s="102" t="n">
        <f aca="false">AJ474/AK474</f>
        <v>1.125</v>
      </c>
      <c r="AM474" s="99" t="n">
        <f aca="false">AE474*AL474*AH474</f>
        <v>1.12229817106965</v>
      </c>
      <c r="AN474" s="103" t="n">
        <v>3108</v>
      </c>
      <c r="AO474" s="112"/>
      <c r="AP474" s="105" t="n">
        <v>0</v>
      </c>
      <c r="AQ474" s="105" t="n">
        <v>0</v>
      </c>
      <c r="AR474" s="105" t="n">
        <v>0</v>
      </c>
      <c r="AS474" s="105" t="n">
        <v>0</v>
      </c>
      <c r="AT474" s="105" t="n">
        <v>0</v>
      </c>
      <c r="AU474" s="105" t="n">
        <v>0</v>
      </c>
      <c r="AV474" s="105" t="n">
        <v>0</v>
      </c>
      <c r="AW474" s="105" t="n">
        <v>0</v>
      </c>
      <c r="AX474" s="105" t="n">
        <v>0</v>
      </c>
      <c r="AY474" s="105" t="n">
        <v>0</v>
      </c>
      <c r="AZ474" s="105" t="n">
        <v>0</v>
      </c>
      <c r="BA474" s="105" t="n">
        <v>0</v>
      </c>
      <c r="BB474" s="105" t="n">
        <v>0</v>
      </c>
      <c r="BC474" s="105" t="n">
        <v>0</v>
      </c>
      <c r="BD474" s="105" t="n">
        <v>0</v>
      </c>
      <c r="BE474" s="105" t="n">
        <v>0</v>
      </c>
      <c r="BF474" s="105" t="n">
        <v>0</v>
      </c>
      <c r="BG474" s="105" t="n">
        <v>0</v>
      </c>
      <c r="BH474" s="105" t="n">
        <v>0</v>
      </c>
      <c r="BI474" s="105" t="n">
        <v>0</v>
      </c>
      <c r="BJ474" s="105" t="n">
        <v>0</v>
      </c>
      <c r="BK474" s="105" t="n">
        <v>0</v>
      </c>
      <c r="BL474" s="105" t="n">
        <v>0</v>
      </c>
      <c r="BM474" s="105" t="n">
        <v>0</v>
      </c>
      <c r="BN474" s="105" t="n">
        <v>0</v>
      </c>
      <c r="BO474" s="105" t="n">
        <v>0</v>
      </c>
      <c r="BP474" s="105" t="n">
        <v>0</v>
      </c>
      <c r="BQ474" s="105" t="n">
        <v>0</v>
      </c>
      <c r="BR474" s="106" t="n">
        <v>0</v>
      </c>
      <c r="BS474" s="106" t="n">
        <v>0</v>
      </c>
      <c r="BT474" s="107"/>
      <c r="BU474" s="107"/>
      <c r="BV474" s="107"/>
      <c r="BW474" s="107"/>
      <c r="BX474" s="107"/>
      <c r="BY474" s="107"/>
      <c r="BZ474" s="107"/>
      <c r="CA474" s="107"/>
      <c r="CB474" s="107"/>
      <c r="CC474" s="107"/>
      <c r="CD474" s="107"/>
      <c r="CE474" s="107"/>
      <c r="CF474" s="107"/>
      <c r="CG474" s="107"/>
      <c r="CH474" s="107"/>
      <c r="CI474" s="107"/>
      <c r="CJ474" s="107"/>
      <c r="CK474" s="107"/>
      <c r="CL474" s="107"/>
      <c r="CM474" s="107"/>
      <c r="CN474" s="107"/>
      <c r="CO474" s="107"/>
      <c r="CP474" s="107"/>
      <c r="CQ474" s="107"/>
      <c r="CR474" s="107"/>
      <c r="CS474" s="107"/>
      <c r="CT474" s="107"/>
      <c r="CU474" s="107"/>
      <c r="CV474" s="107"/>
    </row>
    <row r="475" customFormat="false" ht="14.9" hidden="false" customHeight="false" outlineLevel="0" collapsed="false">
      <c r="A475" s="74" t="n">
        <f aca="false">MONTH(B475)</f>
        <v>9</v>
      </c>
      <c r="B475" s="135" t="n">
        <v>44448</v>
      </c>
      <c r="C475" s="128" t="s">
        <v>70</v>
      </c>
      <c r="D475" s="77" t="str">
        <f aca="false">IFERROR(VLOOKUP(E:E,'Item Data Support Sheet'!A:O,7,0),"")</f>
        <v>BOTTLE PRINTED</v>
      </c>
      <c r="E475" s="80" t="s">
        <v>65</v>
      </c>
      <c r="F475" s="122"/>
      <c r="G475" s="137" t="s">
        <v>66</v>
      </c>
      <c r="H475" s="79" t="str">
        <f aca="false">IFERROR(VLOOKUP(E:E,'Item Data Support Sheet'!A:O,2,0),"")</f>
        <v>KPP 240 ML BOTTLE PRINTED</v>
      </c>
      <c r="I475" s="80" t="s">
        <v>1023</v>
      </c>
      <c r="J475" s="80" t="s">
        <v>148</v>
      </c>
      <c r="K475" s="81" t="n">
        <v>8</v>
      </c>
      <c r="L475" s="124" t="n">
        <v>5100</v>
      </c>
      <c r="M475" s="83" t="n">
        <f aca="false">IFERROR(L475/K475,0)</f>
        <v>637.5</v>
      </c>
      <c r="N475" s="84" t="n">
        <f aca="false">+O475+Q475+T475+U475</f>
        <v>3371</v>
      </c>
      <c r="O475" s="85" t="n">
        <v>3348</v>
      </c>
      <c r="P475" s="86" t="n">
        <v>0</v>
      </c>
      <c r="Q475" s="86" t="n">
        <v>0</v>
      </c>
      <c r="R475" s="132" t="n">
        <v>42</v>
      </c>
      <c r="S475" s="128" t="n">
        <v>0</v>
      </c>
      <c r="T475" s="132" t="n">
        <v>23</v>
      </c>
      <c r="U475" s="128" t="n">
        <v>0</v>
      </c>
      <c r="V475" s="128" t="n">
        <v>6</v>
      </c>
      <c r="W475" s="90" t="n">
        <f aca="false">IFERROR(O475/V475,0)</f>
        <v>558</v>
      </c>
      <c r="X475" s="91" t="n">
        <f aca="false">O475/L475</f>
        <v>0.656470588235294</v>
      </c>
      <c r="Y475" s="92" t="str">
        <f aca="false">IFERROR(VLOOKUP(E:E,'Item Data Support Sheet'!A:J,6,0),0)</f>
        <v>FO003</v>
      </c>
      <c r="Z475" s="93" t="n">
        <f aca="false">IFERROR(VLOOKUP(E:E,'Item Data Support Sheet'!A:O,4,0),0)</f>
        <v>0</v>
      </c>
      <c r="AA475" s="93" t="n">
        <f aca="false">IFERROR(((N475)*(Z475/1000))+P475,0)</f>
        <v>0</v>
      </c>
      <c r="AB475" s="94" t="str">
        <f aca="false">IFERROR((O475*(Z475/1000)/(AA475))," ")</f>
        <v> </v>
      </c>
      <c r="AC475" s="95" t="n">
        <f aca="false">IFERROR((T475)/((T475)+O475),0)</f>
        <v>0.0068229012162563</v>
      </c>
      <c r="AD475" s="96" t="n">
        <f aca="false">IFERROR(Q475/(Q475+N475),0)</f>
        <v>0</v>
      </c>
      <c r="AE475" s="91" t="n">
        <f aca="false">(N475-T475)/N475</f>
        <v>0.993177098783744</v>
      </c>
      <c r="AF475" s="97" t="n">
        <f aca="false">BR475</f>
        <v>2.91666666666667</v>
      </c>
      <c r="AG475" s="98" t="n">
        <f aca="false">K475-AF475</f>
        <v>5.08333333333333</v>
      </c>
      <c r="AH475" s="99" t="n">
        <f aca="false">IFERROR(AG475/K475," ")</f>
        <v>0.635416666666666</v>
      </c>
      <c r="AI475" s="100" t="n">
        <f aca="false">IFERROR(O475/K475,0)</f>
        <v>418.5</v>
      </c>
      <c r="AJ475" s="101" t="n">
        <f aca="false">VLOOKUP(D475,'Standard Cycle time'!C:D,2,0)</f>
        <v>32.4</v>
      </c>
      <c r="AK475" s="101" t="n">
        <f aca="false">AG475*V475*3600/O475</f>
        <v>32.7956989247312</v>
      </c>
      <c r="AL475" s="102" t="n">
        <f aca="false">AJ475/AK475</f>
        <v>0.987934426229509</v>
      </c>
      <c r="AM475" s="99" t="n">
        <f aca="false">AE475*AL475*AH475</f>
        <v>0.623466923761495</v>
      </c>
      <c r="AN475" s="103" t="s">
        <v>869</v>
      </c>
      <c r="AO475" s="112" t="s">
        <v>1024</v>
      </c>
      <c r="AP475" s="105" t="n">
        <v>40</v>
      </c>
      <c r="AQ475" s="105" t="n">
        <v>0</v>
      </c>
      <c r="AR475" s="105" t="n">
        <v>0</v>
      </c>
      <c r="AS475" s="105" t="n">
        <v>0</v>
      </c>
      <c r="AT475" s="105" t="n">
        <v>0</v>
      </c>
      <c r="AU475" s="105" t="n">
        <v>0</v>
      </c>
      <c r="AV475" s="105" t="n">
        <v>0</v>
      </c>
      <c r="AW475" s="105" t="n">
        <v>135</v>
      </c>
      <c r="AX475" s="105" t="n">
        <v>0</v>
      </c>
      <c r="AY475" s="105" t="n">
        <v>0</v>
      </c>
      <c r="AZ475" s="105" t="n">
        <v>0</v>
      </c>
      <c r="BA475" s="105" t="n">
        <v>0</v>
      </c>
      <c r="BB475" s="105" t="n">
        <v>0</v>
      </c>
      <c r="BC475" s="105" t="n">
        <v>0</v>
      </c>
      <c r="BD475" s="105" t="n">
        <v>0</v>
      </c>
      <c r="BE475" s="105" t="n">
        <v>0</v>
      </c>
      <c r="BF475" s="105" t="n">
        <v>0</v>
      </c>
      <c r="BG475" s="105" t="n">
        <v>0</v>
      </c>
      <c r="BH475" s="105" t="n">
        <v>0</v>
      </c>
      <c r="BI475" s="105" t="n">
        <v>0</v>
      </c>
      <c r="BJ475" s="105" t="n">
        <v>0</v>
      </c>
      <c r="BK475" s="105" t="n">
        <v>0</v>
      </c>
      <c r="BL475" s="105" t="n">
        <v>0</v>
      </c>
      <c r="BM475" s="105" t="n">
        <v>0</v>
      </c>
      <c r="BN475" s="105" t="n">
        <v>0</v>
      </c>
      <c r="BO475" s="105" t="n">
        <v>0</v>
      </c>
      <c r="BP475" s="105" t="n">
        <v>0</v>
      </c>
      <c r="BQ475" s="105" t="n">
        <v>0</v>
      </c>
      <c r="BR475" s="106" t="n">
        <v>2.91666666666667</v>
      </c>
      <c r="BS475" s="106" t="n">
        <v>2.96527777777778</v>
      </c>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row>
    <row r="476" customFormat="false" ht="14.9" hidden="false" customHeight="false" outlineLevel="0" collapsed="false">
      <c r="A476" s="74" t="n">
        <f aca="false">MONTH(B476)</f>
        <v>9</v>
      </c>
      <c r="B476" s="135" t="n">
        <v>44448</v>
      </c>
      <c r="C476" s="128" t="s">
        <v>70</v>
      </c>
      <c r="D476" s="77" t="str">
        <f aca="false">IFERROR(VLOOKUP(E:E,'Item Data Support Sheet'!A:O,7,0),"")</f>
        <v>NIPPLE LASER MARKING</v>
      </c>
      <c r="E476" s="80" t="s">
        <v>932</v>
      </c>
      <c r="F476" s="122"/>
      <c r="G476" s="137" t="s">
        <v>517</v>
      </c>
      <c r="H476" s="79" t="str">
        <f aca="false">IFERROR(VLOOKUP(E:E,'Item Data Support Sheet'!A:O,2,0),"")</f>
        <v>NIPPLE S TYPE M SIZE PUNCHED LASER MARKED</v>
      </c>
      <c r="I476" s="80" t="s">
        <v>1025</v>
      </c>
      <c r="J476" s="80" t="s">
        <v>148</v>
      </c>
      <c r="K476" s="81" t="n">
        <v>8</v>
      </c>
      <c r="L476" s="124" t="n">
        <v>7000</v>
      </c>
      <c r="M476" s="83" t="n">
        <f aca="false">IFERROR(L476/K476,0)</f>
        <v>875</v>
      </c>
      <c r="N476" s="84" t="n">
        <f aca="false">+O476+Q476+T476+U476</f>
        <v>6340</v>
      </c>
      <c r="O476" s="85" t="n">
        <v>6340</v>
      </c>
      <c r="P476" s="86" t="n">
        <v>0</v>
      </c>
      <c r="Q476" s="86" t="n">
        <v>0</v>
      </c>
      <c r="R476" s="132" t="n">
        <v>0</v>
      </c>
      <c r="S476" s="128" t="n">
        <v>0</v>
      </c>
      <c r="T476" s="132" t="n">
        <v>0</v>
      </c>
      <c r="U476" s="128" t="n">
        <v>0</v>
      </c>
      <c r="V476" s="128" t="n">
        <v>1</v>
      </c>
      <c r="W476" s="90" t="n">
        <f aca="false">IFERROR(O476/V476,0)</f>
        <v>6340</v>
      </c>
      <c r="X476" s="91" t="n">
        <f aca="false">O476/L476</f>
        <v>0.905714285714286</v>
      </c>
      <c r="Y476" s="92" t="str">
        <f aca="false">IFERROR(VLOOKUP(E:E,'Item Data Support Sheet'!A:J,6,0),0)</f>
        <v>FO020</v>
      </c>
      <c r="Z476" s="93" t="n">
        <f aca="false">IFERROR(VLOOKUP(E:E,'Item Data Support Sheet'!A:O,4,0),0)</f>
        <v>0</v>
      </c>
      <c r="AA476" s="93" t="n">
        <f aca="false">IFERROR(((N476)*(Z476/1000))+P476,0)</f>
        <v>0</v>
      </c>
      <c r="AB476" s="94" t="str">
        <f aca="false">IFERROR((O476*(Z476/1000)/(AA476))," ")</f>
        <v> </v>
      </c>
      <c r="AC476" s="95" t="n">
        <f aca="false">IFERROR((T476)/((T476)+O476),0)</f>
        <v>0</v>
      </c>
      <c r="AD476" s="96" t="n">
        <f aca="false">IFERROR(Q476/(Q476+N476),0)</f>
        <v>0</v>
      </c>
      <c r="AE476" s="91" t="n">
        <f aca="false">(N476-T476)/N476</f>
        <v>1</v>
      </c>
      <c r="AF476" s="97" t="n">
        <f aca="false">BR476</f>
        <v>0.666666666666667</v>
      </c>
      <c r="AG476" s="98" t="n">
        <f aca="false">K476-AF476</f>
        <v>7.33333333333333</v>
      </c>
      <c r="AH476" s="99" t="n">
        <f aca="false">IFERROR(AG476/K476," ")</f>
        <v>0.916666666666667</v>
      </c>
      <c r="AI476" s="100" t="n">
        <f aca="false">IFERROR(O476/K476,0)</f>
        <v>792.5</v>
      </c>
      <c r="AJ476" s="101" t="n">
        <f aca="false">VLOOKUP(D476,'Standard Cycle time'!C:D,2,0)</f>
        <v>3.5</v>
      </c>
      <c r="AK476" s="101" t="n">
        <f aca="false">AG476*V476*3600/O476</f>
        <v>4.16403785488959</v>
      </c>
      <c r="AL476" s="102" t="n">
        <f aca="false">AJ476/AK476</f>
        <v>0.840530303030303</v>
      </c>
      <c r="AM476" s="99" t="n">
        <f aca="false">AE476*AL476*AH476</f>
        <v>0.770486111111111</v>
      </c>
      <c r="AN476" s="103" t="s">
        <v>1026</v>
      </c>
      <c r="AO476" s="112"/>
      <c r="AP476" s="105" t="n">
        <v>40</v>
      </c>
      <c r="AQ476" s="105" t="n">
        <v>0</v>
      </c>
      <c r="AR476" s="105" t="n">
        <v>0</v>
      </c>
      <c r="AS476" s="105" t="n">
        <v>0</v>
      </c>
      <c r="AT476" s="105" t="n">
        <v>0</v>
      </c>
      <c r="AU476" s="105" t="n">
        <v>0</v>
      </c>
      <c r="AV476" s="105" t="n">
        <v>0</v>
      </c>
      <c r="AW476" s="105" t="n">
        <v>0</v>
      </c>
      <c r="AX476" s="105" t="n">
        <v>0</v>
      </c>
      <c r="AY476" s="105" t="n">
        <v>0</v>
      </c>
      <c r="AZ476" s="105" t="n">
        <v>0</v>
      </c>
      <c r="BA476" s="105" t="n">
        <v>0</v>
      </c>
      <c r="BB476" s="105" t="n">
        <v>0</v>
      </c>
      <c r="BC476" s="105" t="n">
        <v>0</v>
      </c>
      <c r="BD476" s="105" t="n">
        <v>0</v>
      </c>
      <c r="BE476" s="105" t="n">
        <v>0</v>
      </c>
      <c r="BF476" s="105" t="n">
        <v>0</v>
      </c>
      <c r="BG476" s="105" t="n">
        <v>0</v>
      </c>
      <c r="BH476" s="105" t="n">
        <v>0</v>
      </c>
      <c r="BI476" s="105" t="n">
        <v>0</v>
      </c>
      <c r="BJ476" s="105" t="n">
        <v>0</v>
      </c>
      <c r="BK476" s="105" t="n">
        <v>0</v>
      </c>
      <c r="BL476" s="105" t="n">
        <v>0</v>
      </c>
      <c r="BM476" s="105" t="n">
        <v>0</v>
      </c>
      <c r="BN476" s="105" t="n">
        <v>0</v>
      </c>
      <c r="BO476" s="105" t="n">
        <v>0</v>
      </c>
      <c r="BP476" s="105" t="n">
        <v>0</v>
      </c>
      <c r="BQ476" s="105" t="n">
        <v>0</v>
      </c>
      <c r="BR476" s="106" t="n">
        <v>0.666666666666667</v>
      </c>
      <c r="BS476" s="106" t="n">
        <v>0.677777777777778</v>
      </c>
      <c r="BT476" s="107"/>
      <c r="BU476" s="107"/>
      <c r="BV476" s="107"/>
      <c r="BW476" s="107"/>
      <c r="BX476" s="107"/>
      <c r="BY476" s="107"/>
      <c r="BZ476" s="107"/>
      <c r="CA476" s="107"/>
      <c r="CB476" s="107"/>
      <c r="CC476" s="107"/>
      <c r="CD476" s="107"/>
      <c r="CE476" s="107"/>
      <c r="CF476" s="107"/>
      <c r="CG476" s="107"/>
      <c r="CH476" s="107"/>
      <c r="CI476" s="107"/>
      <c r="CJ476" s="107"/>
      <c r="CK476" s="107"/>
      <c r="CL476" s="107"/>
      <c r="CM476" s="107"/>
      <c r="CN476" s="107"/>
      <c r="CO476" s="107"/>
      <c r="CP476" s="107"/>
      <c r="CQ476" s="107"/>
      <c r="CR476" s="107"/>
      <c r="CS476" s="107"/>
      <c r="CT476" s="107"/>
      <c r="CU476" s="107"/>
      <c r="CV476" s="107"/>
    </row>
    <row r="477" customFormat="false" ht="14.9" hidden="false" customHeight="false" outlineLevel="0" collapsed="false">
      <c r="A477" s="74" t="n">
        <f aca="false">MONTH(B477)</f>
        <v>9</v>
      </c>
      <c r="B477" s="135" t="n">
        <v>44448</v>
      </c>
      <c r="C477" s="128" t="s">
        <v>70</v>
      </c>
      <c r="D477" s="77" t="str">
        <f aca="false">IFERROR(VLOOKUP(E:E,'Item Data Support Sheet'!A:O,7,0),"")</f>
        <v>NIPPLE PUNCH</v>
      </c>
      <c r="E477" s="80" t="s">
        <v>60</v>
      </c>
      <c r="F477" s="122"/>
      <c r="G477" s="137" t="s">
        <v>54</v>
      </c>
      <c r="H477" s="79" t="str">
        <f aca="false">IFERROR(VLOOKUP(E:E,'Item Data Support Sheet'!A:O,2,0),"")</f>
        <v>NIPPLE S TYPE M SIZE PUNCHED</v>
      </c>
      <c r="I477" s="80" t="s">
        <v>1027</v>
      </c>
      <c r="J477" s="80" t="s">
        <v>148</v>
      </c>
      <c r="K477" s="81" t="n">
        <v>8</v>
      </c>
      <c r="L477" s="124" t="n">
        <v>7000</v>
      </c>
      <c r="M477" s="83" t="n">
        <f aca="false">IFERROR(L477/K477,0)</f>
        <v>875</v>
      </c>
      <c r="N477" s="84" t="n">
        <f aca="false">+O477+Q477+T477+U477</f>
        <v>7000</v>
      </c>
      <c r="O477" s="85" t="n">
        <v>7000</v>
      </c>
      <c r="P477" s="86" t="n">
        <v>0</v>
      </c>
      <c r="Q477" s="86" t="n">
        <v>0</v>
      </c>
      <c r="R477" s="132" t="n">
        <v>0</v>
      </c>
      <c r="S477" s="128" t="n">
        <v>0</v>
      </c>
      <c r="T477" s="132" t="n">
        <v>0</v>
      </c>
      <c r="U477" s="128" t="n">
        <v>0</v>
      </c>
      <c r="V477" s="128" t="n">
        <v>1</v>
      </c>
      <c r="W477" s="90" t="n">
        <f aca="false">IFERROR(O477/V477,0)</f>
        <v>7000</v>
      </c>
      <c r="X477" s="91" t="n">
        <f aca="false">O477/L477</f>
        <v>1</v>
      </c>
      <c r="Y477" s="92" t="str">
        <f aca="false">IFERROR(VLOOKUP(E:E,'Item Data Support Sheet'!A:J,6,0),0)</f>
        <v>FO016</v>
      </c>
      <c r="Z477" s="93" t="n">
        <f aca="false">IFERROR(VLOOKUP(E:E,'Item Data Support Sheet'!A:O,4,0),0)</f>
        <v>0</v>
      </c>
      <c r="AA477" s="93" t="n">
        <f aca="false">IFERROR(((N477)*(Z477/1000))+P477,0)</f>
        <v>0</v>
      </c>
      <c r="AB477" s="94" t="str">
        <f aca="false">IFERROR((O477*(Z477/1000)/(AA477))," ")</f>
        <v> </v>
      </c>
      <c r="AC477" s="95" t="n">
        <f aca="false">IFERROR((T477)/((T477)+O477),0)</f>
        <v>0</v>
      </c>
      <c r="AD477" s="96" t="n">
        <f aca="false">IFERROR(Q477/(Q477+N477),0)</f>
        <v>0</v>
      </c>
      <c r="AE477" s="91" t="n">
        <f aca="false">(N477-T477)/N477</f>
        <v>1</v>
      </c>
      <c r="AF477" s="97" t="n">
        <f aca="false">BR477</f>
        <v>0.666666666666667</v>
      </c>
      <c r="AG477" s="98" t="n">
        <f aca="false">K477-AF477</f>
        <v>7.33333333333333</v>
      </c>
      <c r="AH477" s="99" t="n">
        <f aca="false">IFERROR(AG477/K477," ")</f>
        <v>0.916666666666667</v>
      </c>
      <c r="AI477" s="100" t="n">
        <f aca="false">IFERROR(O477/K477,0)</f>
        <v>875</v>
      </c>
      <c r="AJ477" s="101" t="n">
        <f aca="false">VLOOKUP(D477,'Standard Cycle time'!C:D,2,0)</f>
        <v>3.5</v>
      </c>
      <c r="AK477" s="101" t="n">
        <f aca="false">AG477*V477*3600/O477</f>
        <v>3.77142857142857</v>
      </c>
      <c r="AL477" s="102" t="n">
        <f aca="false">AJ477/AK477</f>
        <v>0.928030303030303</v>
      </c>
      <c r="AM477" s="99" t="n">
        <f aca="false">AE477*AL477*AH477</f>
        <v>0.850694444444444</v>
      </c>
      <c r="AN477" s="103" t="s">
        <v>1028</v>
      </c>
      <c r="AO477" s="112"/>
      <c r="AP477" s="105" t="n">
        <v>40</v>
      </c>
      <c r="AQ477" s="105" t="n">
        <v>0</v>
      </c>
      <c r="AR477" s="105" t="n">
        <v>0</v>
      </c>
      <c r="AS477" s="105" t="n">
        <v>0</v>
      </c>
      <c r="AT477" s="105" t="n">
        <v>0</v>
      </c>
      <c r="AU477" s="105" t="n">
        <v>0</v>
      </c>
      <c r="AV477" s="105" t="n">
        <v>0</v>
      </c>
      <c r="AW477" s="105" t="n">
        <v>0</v>
      </c>
      <c r="AX477" s="105" t="n">
        <v>0</v>
      </c>
      <c r="AY477" s="105" t="n">
        <v>0</v>
      </c>
      <c r="AZ477" s="105" t="n">
        <v>0</v>
      </c>
      <c r="BA477" s="105" t="n">
        <v>0</v>
      </c>
      <c r="BB477" s="105" t="n">
        <v>0</v>
      </c>
      <c r="BC477" s="105" t="n">
        <v>0</v>
      </c>
      <c r="BD477" s="105" t="n">
        <v>0</v>
      </c>
      <c r="BE477" s="105" t="n">
        <v>0</v>
      </c>
      <c r="BF477" s="105" t="n">
        <v>0</v>
      </c>
      <c r="BG477" s="105" t="n">
        <v>0</v>
      </c>
      <c r="BH477" s="105" t="n">
        <v>0</v>
      </c>
      <c r="BI477" s="105" t="n">
        <v>0</v>
      </c>
      <c r="BJ477" s="105" t="n">
        <v>0</v>
      </c>
      <c r="BK477" s="105" t="n">
        <v>0</v>
      </c>
      <c r="BL477" s="105" t="n">
        <v>0</v>
      </c>
      <c r="BM477" s="105" t="n">
        <v>0</v>
      </c>
      <c r="BN477" s="105" t="n">
        <v>0</v>
      </c>
      <c r="BO477" s="105" t="n">
        <v>0</v>
      </c>
      <c r="BP477" s="105" t="n">
        <v>0</v>
      </c>
      <c r="BQ477" s="105" t="n">
        <v>0</v>
      </c>
      <c r="BR477" s="106" t="n">
        <v>0.666666666666667</v>
      </c>
      <c r="BS477" s="106" t="n">
        <v>0.677777777777778</v>
      </c>
      <c r="BT477" s="107"/>
      <c r="BU477" s="107"/>
      <c r="BV477" s="107"/>
      <c r="BW477" s="107"/>
      <c r="BX477" s="107"/>
      <c r="BY477" s="107"/>
      <c r="BZ477" s="107"/>
      <c r="CA477" s="107"/>
      <c r="CB477" s="107"/>
      <c r="CC477" s="107"/>
      <c r="CD477" s="107"/>
      <c r="CE477" s="107"/>
      <c r="CF477" s="107"/>
      <c r="CG477" s="107"/>
      <c r="CH477" s="107"/>
      <c r="CI477" s="107"/>
      <c r="CJ477" s="107"/>
      <c r="CK477" s="107"/>
      <c r="CL477" s="107"/>
      <c r="CM477" s="107"/>
      <c r="CN477" s="107"/>
      <c r="CO477" s="107"/>
      <c r="CP477" s="107"/>
      <c r="CQ477" s="107"/>
      <c r="CR477" s="107"/>
      <c r="CS477" s="107"/>
      <c r="CT477" s="107"/>
      <c r="CU477" s="107"/>
      <c r="CV477" s="107"/>
    </row>
    <row r="478" customFormat="false" ht="14.9" hidden="false" customHeight="false" outlineLevel="0" collapsed="false">
      <c r="A478" s="74" t="n">
        <f aca="false">MONTH(B478)</f>
        <v>9</v>
      </c>
      <c r="B478" s="135" t="n">
        <v>44448</v>
      </c>
      <c r="C478" s="128" t="s">
        <v>152</v>
      </c>
      <c r="D478" s="77" t="str">
        <f aca="false">IFERROR(VLOOKUP(E:E,'Item Data Support Sheet'!A:O,7,0),"")</f>
        <v>HOOD MOLDED</v>
      </c>
      <c r="E478" s="80" t="s">
        <v>529</v>
      </c>
      <c r="F478" s="122"/>
      <c r="G478" s="137" t="s">
        <v>740</v>
      </c>
      <c r="H478" s="79" t="str">
        <f aca="false">IFERROR(VLOOKUP(E:E,'Item Data Support Sheet'!A:O,2,0),"")</f>
        <v>HOOD S TYPE MOLDED</v>
      </c>
      <c r="I478" s="80" t="s">
        <v>1029</v>
      </c>
      <c r="J478" s="80" t="s">
        <v>815</v>
      </c>
      <c r="K478" s="81" t="n">
        <v>8</v>
      </c>
      <c r="L478" s="124" t="n">
        <v>4137</v>
      </c>
      <c r="M478" s="83" t="n">
        <f aca="false">IFERROR(L478/K478,0)</f>
        <v>517.125</v>
      </c>
      <c r="N478" s="84" t="n">
        <f aca="false">+O478+Q478+T478+U478</f>
        <v>5513</v>
      </c>
      <c r="O478" s="85" t="n">
        <v>5500</v>
      </c>
      <c r="P478" s="86" t="n">
        <v>0</v>
      </c>
      <c r="Q478" s="86" t="n">
        <v>0</v>
      </c>
      <c r="R478" s="132" t="n">
        <v>0</v>
      </c>
      <c r="S478" s="128" t="n">
        <v>0</v>
      </c>
      <c r="T478" s="132" t="n">
        <v>5</v>
      </c>
      <c r="U478" s="128" t="n">
        <v>8</v>
      </c>
      <c r="V478" s="128" t="n">
        <v>1</v>
      </c>
      <c r="W478" s="90" t="n">
        <f aca="false">IFERROR(O478/V478,0)</f>
        <v>5500</v>
      </c>
      <c r="X478" s="91" t="n">
        <f aca="false">O478/L478</f>
        <v>1.32946579647087</v>
      </c>
      <c r="Y478" s="92" t="str">
        <f aca="false">IFERROR(VLOOKUP(E:E,'Item Data Support Sheet'!A:J,6,0),0)</f>
        <v>HMC</v>
      </c>
      <c r="Z478" s="93" t="n">
        <f aca="false">IFERROR(VLOOKUP(E:E,'Item Data Support Sheet'!A:O,4,0),0)</f>
        <v>8.6</v>
      </c>
      <c r="AA478" s="93" t="n">
        <f aca="false">IFERROR(((N478)*(Z478/1000))+P478,0)</f>
        <v>47.4118</v>
      </c>
      <c r="AB478" s="94" t="n">
        <f aca="false">IFERROR((O478*(Z478/1000)/(AA478))," ")</f>
        <v>0.997641937239253</v>
      </c>
      <c r="AC478" s="95" t="n">
        <f aca="false">IFERROR((T478)/((T478)+O478),0)</f>
        <v>0.000908265213442325</v>
      </c>
      <c r="AD478" s="96" t="n">
        <f aca="false">IFERROR(Q478/(Q478+N478),0)</f>
        <v>0</v>
      </c>
      <c r="AE478" s="91" t="n">
        <f aca="false">(N478-T478)/N478</f>
        <v>0.999093052784328</v>
      </c>
      <c r="AF478" s="97" t="n">
        <f aca="false">BR478</f>
        <v>0</v>
      </c>
      <c r="AG478" s="98" t="n">
        <f aca="false">K478-AF478</f>
        <v>8</v>
      </c>
      <c r="AH478" s="99" t="n">
        <f aca="false">IFERROR(AG478/K478," ")</f>
        <v>1</v>
      </c>
      <c r="AI478" s="100" t="n">
        <f aca="false">IFERROR(O478/K478,0)</f>
        <v>687.5</v>
      </c>
      <c r="AJ478" s="101" t="n">
        <f aca="false">VLOOKUP(D478,'Standard Cycle time'!C:D,2,0)</f>
        <v>6</v>
      </c>
      <c r="AK478" s="101" t="n">
        <f aca="false">AG478*V478*3600/O478</f>
        <v>5.23636363636364</v>
      </c>
      <c r="AL478" s="102" t="n">
        <f aca="false">AJ478/AK478</f>
        <v>1.14583333333333</v>
      </c>
      <c r="AM478" s="99" t="n">
        <f aca="false">AE478*AL478*AH478</f>
        <v>1.14479412298204</v>
      </c>
      <c r="AN478" s="103" t="n">
        <v>3115</v>
      </c>
      <c r="AO478" s="112"/>
      <c r="AP478" s="105" t="n">
        <v>0</v>
      </c>
      <c r="AQ478" s="105" t="n">
        <v>0</v>
      </c>
      <c r="AR478" s="105" t="n">
        <v>0</v>
      </c>
      <c r="AS478" s="105" t="n">
        <v>0</v>
      </c>
      <c r="AT478" s="105" t="n">
        <v>0</v>
      </c>
      <c r="AU478" s="105" t="n">
        <v>0</v>
      </c>
      <c r="AV478" s="105" t="n">
        <v>0</v>
      </c>
      <c r="AW478" s="105" t="n">
        <v>0</v>
      </c>
      <c r="AX478" s="105" t="n">
        <v>0</v>
      </c>
      <c r="AY478" s="105" t="n">
        <v>0</v>
      </c>
      <c r="AZ478" s="105" t="n">
        <v>0</v>
      </c>
      <c r="BA478" s="105" t="n">
        <v>0</v>
      </c>
      <c r="BB478" s="105" t="n">
        <v>0</v>
      </c>
      <c r="BC478" s="105" t="n">
        <v>0</v>
      </c>
      <c r="BD478" s="105" t="n">
        <v>0</v>
      </c>
      <c r="BE478" s="105" t="n">
        <v>0</v>
      </c>
      <c r="BF478" s="105" t="n">
        <v>0</v>
      </c>
      <c r="BG478" s="105" t="n">
        <v>0</v>
      </c>
      <c r="BH478" s="105" t="n">
        <v>0</v>
      </c>
      <c r="BI478" s="105" t="n">
        <v>0</v>
      </c>
      <c r="BJ478" s="105" t="n">
        <v>0</v>
      </c>
      <c r="BK478" s="105" t="n">
        <v>0</v>
      </c>
      <c r="BL478" s="105" t="n">
        <v>0</v>
      </c>
      <c r="BM478" s="105" t="n">
        <v>0</v>
      </c>
      <c r="BN478" s="105" t="n">
        <v>0</v>
      </c>
      <c r="BO478" s="105" t="n">
        <v>0</v>
      </c>
      <c r="BP478" s="105" t="n">
        <v>0</v>
      </c>
      <c r="BQ478" s="105" t="n">
        <v>0</v>
      </c>
      <c r="BR478" s="106" t="n">
        <v>0</v>
      </c>
      <c r="BS478" s="106" t="n">
        <v>0</v>
      </c>
      <c r="BT478" s="107"/>
      <c r="BU478" s="107"/>
      <c r="BV478" s="107"/>
      <c r="BW478" s="107"/>
      <c r="BX478" s="107"/>
      <c r="BY478" s="107"/>
      <c r="BZ478" s="107"/>
      <c r="CA478" s="107"/>
      <c r="CB478" s="107"/>
      <c r="CC478" s="107"/>
      <c r="CD478" s="107"/>
      <c r="CE478" s="107"/>
      <c r="CF478" s="107"/>
      <c r="CG478" s="107"/>
      <c r="CH478" s="107"/>
      <c r="CI478" s="107"/>
      <c r="CJ478" s="107"/>
      <c r="CK478" s="107"/>
      <c r="CL478" s="107"/>
      <c r="CM478" s="107"/>
      <c r="CN478" s="107"/>
      <c r="CO478" s="107"/>
      <c r="CP478" s="107"/>
      <c r="CQ478" s="107"/>
      <c r="CR478" s="107"/>
      <c r="CS478" s="107"/>
      <c r="CT478" s="107"/>
      <c r="CU478" s="107"/>
      <c r="CV478" s="107"/>
    </row>
    <row r="479" customFormat="false" ht="14.9" hidden="false" customHeight="false" outlineLevel="0" collapsed="false">
      <c r="A479" s="74" t="n">
        <f aca="false">MONTH(B479)</f>
        <v>9</v>
      </c>
      <c r="B479" s="135" t="n">
        <v>44448</v>
      </c>
      <c r="C479" s="128" t="s">
        <v>152</v>
      </c>
      <c r="D479" s="77" t="str">
        <f aca="false">IFERROR(VLOOKUP(E:E,'Item Data Support Sheet'!A:O,7,0),"")</f>
        <v>NIPPLE MOLDED</v>
      </c>
      <c r="E479" s="80" t="s">
        <v>136</v>
      </c>
      <c r="F479" s="122" t="s">
        <v>137</v>
      </c>
      <c r="G479" s="137" t="s">
        <v>848</v>
      </c>
      <c r="H479" s="79" t="str">
        <f aca="false">IFERROR(VLOOKUP(E:E,'Item Data Support Sheet'!A:O,2,0),"")</f>
        <v>NIPPLE S TYPE M SIZE INJECTION</v>
      </c>
      <c r="I479" s="80" t="s">
        <v>1030</v>
      </c>
      <c r="J479" s="80" t="s">
        <v>815</v>
      </c>
      <c r="K479" s="81" t="n">
        <v>8</v>
      </c>
      <c r="L479" s="124" t="n">
        <v>4815</v>
      </c>
      <c r="M479" s="83" t="n">
        <f aca="false">IFERROR(L479/K479,0)</f>
        <v>601.875</v>
      </c>
      <c r="N479" s="84" t="n">
        <f aca="false">+O479+Q479+T479+U479</f>
        <v>5753</v>
      </c>
      <c r="O479" s="85" t="n">
        <v>5700</v>
      </c>
      <c r="P479" s="86" t="n">
        <v>0</v>
      </c>
      <c r="Q479" s="86" t="n">
        <v>0</v>
      </c>
      <c r="R479" s="132" t="n">
        <v>0</v>
      </c>
      <c r="S479" s="128" t="n">
        <v>0</v>
      </c>
      <c r="T479" s="132" t="n">
        <v>45</v>
      </c>
      <c r="U479" s="128" t="n">
        <v>8</v>
      </c>
      <c r="V479" s="128" t="n">
        <v>1</v>
      </c>
      <c r="W479" s="90" t="n">
        <f aca="false">IFERROR(O479/V479,0)</f>
        <v>5700</v>
      </c>
      <c r="X479" s="91" t="n">
        <f aca="false">O479/L479</f>
        <v>1.18380062305296</v>
      </c>
      <c r="Y479" s="92" t="str">
        <f aca="false">IFERROR(VLOOKUP(E:E,'Item Data Support Sheet'!A:J,6,0),0)</f>
        <v>Silicon</v>
      </c>
      <c r="Z479" s="93" t="n">
        <f aca="false">IFERROR(VLOOKUP(E:E,'Item Data Support Sheet'!A:O,4,0),0)</f>
        <v>6.8</v>
      </c>
      <c r="AA479" s="93" t="n">
        <f aca="false">IFERROR(((N479)*(Z479/1000))+P479,0)</f>
        <v>39.1204</v>
      </c>
      <c r="AB479" s="94" t="n">
        <f aca="false">IFERROR((O479*(Z479/1000)/(AA479))," ")</f>
        <v>0.990787415261603</v>
      </c>
      <c r="AC479" s="95" t="n">
        <f aca="false">IFERROR((T479)/((T479)+O479),0)</f>
        <v>0.00783289817232376</v>
      </c>
      <c r="AD479" s="96" t="n">
        <f aca="false">IFERROR(Q479/(Q479+N479),0)</f>
        <v>0</v>
      </c>
      <c r="AE479" s="91" t="n">
        <f aca="false">(N479-T479)/N479</f>
        <v>0.99217799409004</v>
      </c>
      <c r="AF479" s="97" t="n">
        <f aca="false">BR479</f>
        <v>0</v>
      </c>
      <c r="AG479" s="98" t="n">
        <f aca="false">K479-AF479</f>
        <v>8</v>
      </c>
      <c r="AH479" s="99" t="n">
        <f aca="false">IFERROR(AG479/K479," ")</f>
        <v>1</v>
      </c>
      <c r="AI479" s="100" t="n">
        <f aca="false">IFERROR(O479/K479,0)</f>
        <v>712.5</v>
      </c>
      <c r="AJ479" s="101" t="n">
        <f aca="false">VLOOKUP(D479,'Standard Cycle time'!C:D,2,0)</f>
        <v>5.25</v>
      </c>
      <c r="AK479" s="101" t="n">
        <f aca="false">AG479*V479*3600/O479</f>
        <v>5.05263157894737</v>
      </c>
      <c r="AL479" s="102" t="n">
        <f aca="false">AJ479/AK479</f>
        <v>1.0390625</v>
      </c>
      <c r="AM479" s="99" t="n">
        <f aca="false">AE479*AL479*AH479</f>
        <v>1.03093494698418</v>
      </c>
      <c r="AN479" s="103" t="n">
        <v>3114</v>
      </c>
      <c r="AO479" s="112"/>
      <c r="AP479" s="105" t="n">
        <v>0</v>
      </c>
      <c r="AQ479" s="105" t="n">
        <v>0</v>
      </c>
      <c r="AR479" s="105" t="n">
        <v>0</v>
      </c>
      <c r="AS479" s="105" t="n">
        <v>0</v>
      </c>
      <c r="AT479" s="105" t="n">
        <v>0</v>
      </c>
      <c r="AU479" s="105" t="n">
        <v>0</v>
      </c>
      <c r="AV479" s="105" t="n">
        <v>0</v>
      </c>
      <c r="AW479" s="105" t="n">
        <v>0</v>
      </c>
      <c r="AX479" s="105" t="n">
        <v>0</v>
      </c>
      <c r="AY479" s="105" t="n">
        <v>0</v>
      </c>
      <c r="AZ479" s="105" t="n">
        <v>0</v>
      </c>
      <c r="BA479" s="105" t="n">
        <v>0</v>
      </c>
      <c r="BB479" s="105" t="n">
        <v>0</v>
      </c>
      <c r="BC479" s="105" t="n">
        <v>0</v>
      </c>
      <c r="BD479" s="105" t="n">
        <v>0</v>
      </c>
      <c r="BE479" s="105" t="n">
        <v>0</v>
      </c>
      <c r="BF479" s="105" t="n">
        <v>0</v>
      </c>
      <c r="BG479" s="105" t="n">
        <v>0</v>
      </c>
      <c r="BH479" s="105" t="n">
        <v>0</v>
      </c>
      <c r="BI479" s="105" t="n">
        <v>0</v>
      </c>
      <c r="BJ479" s="105" t="n">
        <v>0</v>
      </c>
      <c r="BK479" s="105" t="n">
        <v>0</v>
      </c>
      <c r="BL479" s="105" t="n">
        <v>0</v>
      </c>
      <c r="BM479" s="105" t="n">
        <v>0</v>
      </c>
      <c r="BN479" s="105" t="n">
        <v>0</v>
      </c>
      <c r="BO479" s="105" t="n">
        <v>0</v>
      </c>
      <c r="BP479" s="105" t="n">
        <v>0</v>
      </c>
      <c r="BQ479" s="105" t="n">
        <v>0</v>
      </c>
      <c r="BR479" s="106" t="n">
        <v>0</v>
      </c>
      <c r="BS479" s="106" t="n">
        <v>0</v>
      </c>
      <c r="BT479" s="107"/>
      <c r="BU479" s="107"/>
      <c r="BV479" s="107"/>
      <c r="BW479" s="107"/>
      <c r="BX479" s="107"/>
      <c r="BY479" s="107"/>
      <c r="BZ479" s="107"/>
      <c r="CA479" s="107"/>
      <c r="CB479" s="107"/>
      <c r="CC479" s="107"/>
      <c r="CD479" s="107"/>
      <c r="CE479" s="107"/>
      <c r="CF479" s="107"/>
      <c r="CG479" s="107"/>
      <c r="CH479" s="107"/>
      <c r="CI479" s="107"/>
      <c r="CJ479" s="107"/>
      <c r="CK479" s="107"/>
      <c r="CL479" s="107"/>
      <c r="CM479" s="107"/>
      <c r="CN479" s="107"/>
      <c r="CO479" s="107"/>
      <c r="CP479" s="107"/>
      <c r="CQ479" s="107"/>
      <c r="CR479" s="107"/>
      <c r="CS479" s="107"/>
      <c r="CT479" s="107"/>
      <c r="CU479" s="107"/>
      <c r="CV479" s="107"/>
    </row>
    <row r="480" customFormat="false" ht="14.9" hidden="false" customHeight="false" outlineLevel="0" collapsed="false">
      <c r="A480" s="74" t="n">
        <f aca="false">MONTH(B480)</f>
        <v>9</v>
      </c>
      <c r="B480" s="135" t="n">
        <v>44449</v>
      </c>
      <c r="C480" s="128" t="s">
        <v>51</v>
      </c>
      <c r="D480" s="77" t="str">
        <f aca="false">IFERROR(VLOOKUP(E:E,'Item Data Support Sheet'!A:O,7,0),"")</f>
        <v>NIPPLE PUNCH</v>
      </c>
      <c r="E480" s="80" t="s">
        <v>60</v>
      </c>
      <c r="F480" s="122"/>
      <c r="G480" s="137"/>
      <c r="H480" s="79" t="str">
        <f aca="false">IFERROR(VLOOKUP(E:E,'Item Data Support Sheet'!A:O,2,0),"")</f>
        <v>NIPPLE S TYPE M SIZE PUNCHED</v>
      </c>
      <c r="I480" s="80" t="s">
        <v>1031</v>
      </c>
      <c r="J480" s="80" t="s">
        <v>148</v>
      </c>
      <c r="K480" s="81" t="n">
        <v>8</v>
      </c>
      <c r="L480" s="124" t="n">
        <v>7000</v>
      </c>
      <c r="M480" s="83" t="n">
        <f aca="false">IFERROR(L480/K480,0)</f>
        <v>875</v>
      </c>
      <c r="N480" s="84" t="n">
        <f aca="false">+O480+Q480+T480+U480</f>
        <v>6600</v>
      </c>
      <c r="O480" s="85" t="n">
        <v>6600</v>
      </c>
      <c r="P480" s="86" t="n">
        <v>0</v>
      </c>
      <c r="Q480" s="86" t="n">
        <v>0</v>
      </c>
      <c r="R480" s="132" t="n">
        <v>0</v>
      </c>
      <c r="S480" s="128" t="n">
        <v>0</v>
      </c>
      <c r="T480" s="132" t="n">
        <v>0</v>
      </c>
      <c r="U480" s="128" t="n">
        <v>0</v>
      </c>
      <c r="V480" s="128" t="n">
        <v>1</v>
      </c>
      <c r="W480" s="90" t="n">
        <f aca="false">IFERROR(O480/V480,0)</f>
        <v>6600</v>
      </c>
      <c r="X480" s="91" t="n">
        <f aca="false">O480/L480</f>
        <v>0.942857142857143</v>
      </c>
      <c r="Y480" s="92" t="str">
        <f aca="false">IFERROR(VLOOKUP(E:E,'Item Data Support Sheet'!A:J,6,0),0)</f>
        <v>FO016</v>
      </c>
      <c r="Z480" s="93" t="n">
        <f aca="false">IFERROR(VLOOKUP(E:E,'Item Data Support Sheet'!A:O,4,0),0)</f>
        <v>0</v>
      </c>
      <c r="AA480" s="93" t="n">
        <f aca="false">IFERROR(((N480)*(Z480/1000))+P480,0)</f>
        <v>0</v>
      </c>
      <c r="AB480" s="94" t="str">
        <f aca="false">IFERROR((O480*(Z480/1000)/(AA480))," ")</f>
        <v> </v>
      </c>
      <c r="AC480" s="95" t="n">
        <f aca="false">IFERROR((T480)/((T480)+O480),0)</f>
        <v>0</v>
      </c>
      <c r="AD480" s="96" t="n">
        <f aca="false">IFERROR(Q480/(Q480+N480),0)</f>
        <v>0</v>
      </c>
      <c r="AE480" s="91" t="n">
        <f aca="false">(N480-T480)/N480</f>
        <v>1</v>
      </c>
      <c r="AF480" s="97" t="n">
        <f aca="false">BR480</f>
        <v>1.16666666666667</v>
      </c>
      <c r="AG480" s="98" t="n">
        <f aca="false">K480-AF480</f>
        <v>6.83333333333333</v>
      </c>
      <c r="AH480" s="99" t="n">
        <f aca="false">IFERROR(AG480/K480," ")</f>
        <v>0.854166666666666</v>
      </c>
      <c r="AI480" s="100" t="n">
        <f aca="false">IFERROR(O480/K480,0)</f>
        <v>825</v>
      </c>
      <c r="AJ480" s="101" t="n">
        <f aca="false">VLOOKUP(D480,'Standard Cycle time'!C:D,2,0)</f>
        <v>3.5</v>
      </c>
      <c r="AK480" s="101" t="n">
        <f aca="false">AG480*V480*3600/O480</f>
        <v>3.72727272727273</v>
      </c>
      <c r="AL480" s="102" t="n">
        <f aca="false">AJ480/AK480</f>
        <v>0.939024390243903</v>
      </c>
      <c r="AM480" s="99" t="n">
        <f aca="false">AE480*AL480*AH480</f>
        <v>0.802083333333333</v>
      </c>
      <c r="AN480" s="103" t="s">
        <v>1032</v>
      </c>
      <c r="AO480" s="112" t="s">
        <v>1012</v>
      </c>
      <c r="AP480" s="105" t="n">
        <v>40</v>
      </c>
      <c r="AQ480" s="105" t="n">
        <v>0</v>
      </c>
      <c r="AR480" s="105" t="n">
        <v>0</v>
      </c>
      <c r="AS480" s="105" t="n">
        <v>0</v>
      </c>
      <c r="AT480" s="105" t="n">
        <v>0</v>
      </c>
      <c r="AU480" s="105" t="n">
        <v>0</v>
      </c>
      <c r="AV480" s="105" t="n">
        <v>0</v>
      </c>
      <c r="AW480" s="105" t="n">
        <v>0</v>
      </c>
      <c r="AX480" s="105" t="n">
        <v>0</v>
      </c>
      <c r="AY480" s="105" t="n">
        <v>0</v>
      </c>
      <c r="AZ480" s="105" t="n">
        <v>0</v>
      </c>
      <c r="BA480" s="105" t="n">
        <v>30</v>
      </c>
      <c r="BB480" s="105" t="n">
        <v>0</v>
      </c>
      <c r="BC480" s="105" t="n">
        <v>0</v>
      </c>
      <c r="BD480" s="105" t="n">
        <v>0</v>
      </c>
      <c r="BE480" s="105" t="n">
        <v>0</v>
      </c>
      <c r="BF480" s="105" t="n">
        <v>0</v>
      </c>
      <c r="BG480" s="105" t="n">
        <v>0</v>
      </c>
      <c r="BH480" s="105" t="n">
        <v>0</v>
      </c>
      <c r="BI480" s="105" t="n">
        <v>0</v>
      </c>
      <c r="BJ480" s="105" t="n">
        <v>0</v>
      </c>
      <c r="BK480" s="105" t="n">
        <v>0</v>
      </c>
      <c r="BL480" s="105" t="n">
        <v>0</v>
      </c>
      <c r="BM480" s="105" t="n">
        <v>0</v>
      </c>
      <c r="BN480" s="105" t="n">
        <v>0</v>
      </c>
      <c r="BO480" s="105" t="n">
        <v>0</v>
      </c>
      <c r="BP480" s="105" t="n">
        <v>0</v>
      </c>
      <c r="BQ480" s="105" t="n">
        <v>0</v>
      </c>
      <c r="BR480" s="106" t="n">
        <v>1.16666666666667</v>
      </c>
      <c r="BS480" s="106" t="n">
        <v>1.18611111111111</v>
      </c>
      <c r="BT480" s="107"/>
      <c r="BU480" s="107"/>
      <c r="BV480" s="107"/>
      <c r="BW480" s="107"/>
      <c r="BX480" s="107"/>
      <c r="BY480" s="107"/>
      <c r="BZ480" s="107"/>
      <c r="CA480" s="107"/>
      <c r="CB480" s="107"/>
      <c r="CC480" s="107"/>
      <c r="CD480" s="107"/>
      <c r="CE480" s="107"/>
      <c r="CF480" s="107"/>
      <c r="CG480" s="107"/>
      <c r="CH480" s="107"/>
      <c r="CI480" s="107"/>
      <c r="CJ480" s="107"/>
      <c r="CK480" s="107"/>
      <c r="CL480" s="107"/>
      <c r="CM480" s="107"/>
      <c r="CN480" s="107"/>
      <c r="CO480" s="107"/>
      <c r="CP480" s="107"/>
      <c r="CQ480" s="107"/>
      <c r="CR480" s="107"/>
      <c r="CS480" s="107"/>
      <c r="CT480" s="107"/>
      <c r="CU480" s="107"/>
      <c r="CV480" s="107"/>
    </row>
    <row r="481" customFormat="false" ht="14.9" hidden="false" customHeight="false" outlineLevel="0" collapsed="false">
      <c r="A481" s="74" t="n">
        <f aca="false">MONTH(B481)</f>
        <v>9</v>
      </c>
      <c r="B481" s="135" t="n">
        <v>44449</v>
      </c>
      <c r="C481" s="128" t="s">
        <v>51</v>
      </c>
      <c r="D481" s="77" t="str">
        <f aca="false">IFERROR(VLOOKUP(E:E,'Item Data Support Sheet'!A:O,7,0),"")</f>
        <v>NIPPLE LASER MARKING</v>
      </c>
      <c r="E481" s="80" t="s">
        <v>932</v>
      </c>
      <c r="F481" s="122"/>
      <c r="G481" s="137"/>
      <c r="H481" s="79" t="str">
        <f aca="false">IFERROR(VLOOKUP(E:E,'Item Data Support Sheet'!A:O,2,0),"")</f>
        <v>NIPPLE S TYPE M SIZE PUNCHED LASER MARKED</v>
      </c>
      <c r="I481" s="80" t="s">
        <v>1033</v>
      </c>
      <c r="J481" s="80" t="s">
        <v>148</v>
      </c>
      <c r="K481" s="81" t="n">
        <v>8</v>
      </c>
      <c r="L481" s="124" t="n">
        <v>7000</v>
      </c>
      <c r="M481" s="83" t="n">
        <f aca="false">IFERROR(L481/K481,0)</f>
        <v>875</v>
      </c>
      <c r="N481" s="84" t="n">
        <f aca="false">+O481+Q481+T481+U481</f>
        <v>6400</v>
      </c>
      <c r="O481" s="85" t="n">
        <v>6400</v>
      </c>
      <c r="P481" s="86" t="n">
        <v>0</v>
      </c>
      <c r="Q481" s="86" t="n">
        <v>0</v>
      </c>
      <c r="R481" s="132" t="n">
        <v>0</v>
      </c>
      <c r="S481" s="128" t="n">
        <v>0</v>
      </c>
      <c r="T481" s="132" t="n">
        <v>0</v>
      </c>
      <c r="U481" s="128" t="n">
        <v>0</v>
      </c>
      <c r="V481" s="128" t="n">
        <v>1</v>
      </c>
      <c r="W481" s="90" t="n">
        <f aca="false">IFERROR(O481/V481,0)</f>
        <v>6400</v>
      </c>
      <c r="X481" s="91" t="n">
        <f aca="false">O481/L481</f>
        <v>0.914285714285714</v>
      </c>
      <c r="Y481" s="92" t="str">
        <f aca="false">IFERROR(VLOOKUP(E:E,'Item Data Support Sheet'!A:J,6,0),0)</f>
        <v>FO020</v>
      </c>
      <c r="Z481" s="93" t="n">
        <f aca="false">IFERROR(VLOOKUP(E:E,'Item Data Support Sheet'!A:O,4,0),0)</f>
        <v>0</v>
      </c>
      <c r="AA481" s="93" t="n">
        <f aca="false">IFERROR(((N481)*(Z481/1000))+P481,0)</f>
        <v>0</v>
      </c>
      <c r="AB481" s="94" t="str">
        <f aca="false">IFERROR((O481*(Z481/1000)/(AA481))," ")</f>
        <v> </v>
      </c>
      <c r="AC481" s="95" t="n">
        <f aca="false">IFERROR((T481)/((T481)+O481),0)</f>
        <v>0</v>
      </c>
      <c r="AD481" s="96" t="n">
        <f aca="false">IFERROR(Q481/(Q481+N481),0)</f>
        <v>0</v>
      </c>
      <c r="AE481" s="91" t="n">
        <f aca="false">(N481-T481)/N481</f>
        <v>1</v>
      </c>
      <c r="AF481" s="97" t="n">
        <f aca="false">BR481</f>
        <v>1.16666666666667</v>
      </c>
      <c r="AG481" s="98" t="n">
        <f aca="false">K481-AF481</f>
        <v>6.83333333333333</v>
      </c>
      <c r="AH481" s="99" t="n">
        <f aca="false">IFERROR(AG481/K481," ")</f>
        <v>0.854166666666666</v>
      </c>
      <c r="AI481" s="100" t="n">
        <f aca="false">IFERROR(O481/K481,0)</f>
        <v>800</v>
      </c>
      <c r="AJ481" s="101" t="n">
        <f aca="false">VLOOKUP(D481,'Standard Cycle time'!C:D,2,0)</f>
        <v>3.5</v>
      </c>
      <c r="AK481" s="101" t="n">
        <f aca="false">AG481*V481*3600/O481</f>
        <v>3.84375</v>
      </c>
      <c r="AL481" s="102" t="n">
        <f aca="false">AJ481/AK481</f>
        <v>0.910569105691057</v>
      </c>
      <c r="AM481" s="99" t="n">
        <f aca="false">AE481*AL481*AH481</f>
        <v>0.777777777777778</v>
      </c>
      <c r="AN481" s="103" t="s">
        <v>1034</v>
      </c>
      <c r="AO481" s="112" t="s">
        <v>1035</v>
      </c>
      <c r="AP481" s="105" t="n">
        <v>40</v>
      </c>
      <c r="AQ481" s="105" t="n">
        <v>0</v>
      </c>
      <c r="AR481" s="105" t="n">
        <v>0</v>
      </c>
      <c r="AS481" s="105" t="n">
        <v>0</v>
      </c>
      <c r="AT481" s="105" t="n">
        <v>0</v>
      </c>
      <c r="AU481" s="105" t="n">
        <v>0</v>
      </c>
      <c r="AV481" s="105" t="n">
        <v>0</v>
      </c>
      <c r="AW481" s="105" t="n">
        <v>0</v>
      </c>
      <c r="AX481" s="105" t="n">
        <v>0</v>
      </c>
      <c r="AY481" s="105" t="n">
        <v>30</v>
      </c>
      <c r="AZ481" s="105" t="n">
        <v>0</v>
      </c>
      <c r="BA481" s="105" t="n">
        <v>0</v>
      </c>
      <c r="BB481" s="105" t="n">
        <v>0</v>
      </c>
      <c r="BC481" s="105" t="n">
        <v>0</v>
      </c>
      <c r="BD481" s="105" t="n">
        <v>0</v>
      </c>
      <c r="BE481" s="105" t="n">
        <v>0</v>
      </c>
      <c r="BF481" s="105" t="n">
        <v>0</v>
      </c>
      <c r="BG481" s="105" t="n">
        <v>0</v>
      </c>
      <c r="BH481" s="105" t="n">
        <v>0</v>
      </c>
      <c r="BI481" s="105" t="n">
        <v>0</v>
      </c>
      <c r="BJ481" s="105" t="n">
        <v>0</v>
      </c>
      <c r="BK481" s="105" t="n">
        <v>0</v>
      </c>
      <c r="BL481" s="105" t="n">
        <v>0</v>
      </c>
      <c r="BM481" s="105" t="n">
        <v>0</v>
      </c>
      <c r="BN481" s="105" t="n">
        <v>0</v>
      </c>
      <c r="BO481" s="105" t="n">
        <v>0</v>
      </c>
      <c r="BP481" s="105" t="n">
        <v>0</v>
      </c>
      <c r="BQ481" s="105" t="n">
        <v>0</v>
      </c>
      <c r="BR481" s="106" t="n">
        <v>1.16666666666667</v>
      </c>
      <c r="BS481" s="106" t="n">
        <v>1.18611111111111</v>
      </c>
      <c r="BT481" s="107"/>
      <c r="BU481" s="107"/>
      <c r="BV481" s="107"/>
      <c r="BW481" s="107"/>
      <c r="BX481" s="107"/>
      <c r="BY481" s="107"/>
      <c r="BZ481" s="107"/>
      <c r="CA481" s="107"/>
      <c r="CB481" s="107"/>
      <c r="CC481" s="107"/>
      <c r="CD481" s="107"/>
      <c r="CE481" s="107"/>
      <c r="CF481" s="107"/>
      <c r="CG481" s="107"/>
      <c r="CH481" s="107"/>
      <c r="CI481" s="107"/>
      <c r="CJ481" s="107"/>
      <c r="CK481" s="107"/>
      <c r="CL481" s="107"/>
      <c r="CM481" s="107"/>
      <c r="CN481" s="107"/>
      <c r="CO481" s="107"/>
      <c r="CP481" s="107"/>
      <c r="CQ481" s="107"/>
      <c r="CR481" s="107"/>
      <c r="CS481" s="107"/>
      <c r="CT481" s="107"/>
      <c r="CU481" s="107"/>
      <c r="CV481" s="107"/>
    </row>
    <row r="482" customFormat="false" ht="14.9" hidden="false" customHeight="false" outlineLevel="0" collapsed="false">
      <c r="A482" s="74" t="n">
        <f aca="false">MONTH(B482)</f>
        <v>9</v>
      </c>
      <c r="B482" s="135" t="n">
        <v>44449</v>
      </c>
      <c r="C482" s="128" t="s">
        <v>51</v>
      </c>
      <c r="D482" s="77" t="str">
        <f aca="false">IFERROR(VLOOKUP(E:E,'Item Data Support Sheet'!A:O,7,0),"")</f>
        <v>NIPPLE MOLDED</v>
      </c>
      <c r="E482" s="80" t="s">
        <v>136</v>
      </c>
      <c r="F482" s="122" t="s">
        <v>137</v>
      </c>
      <c r="G482" s="137" t="s">
        <v>848</v>
      </c>
      <c r="H482" s="79" t="str">
        <f aca="false">IFERROR(VLOOKUP(E:E,'Item Data Support Sheet'!A:O,2,0),"")</f>
        <v>NIPPLE S TYPE M SIZE INJECTION</v>
      </c>
      <c r="I482" s="80" t="s">
        <v>1036</v>
      </c>
      <c r="J482" s="80" t="s">
        <v>148</v>
      </c>
      <c r="K482" s="81" t="n">
        <v>8</v>
      </c>
      <c r="L482" s="124" t="n">
        <v>4815</v>
      </c>
      <c r="M482" s="83" t="n">
        <f aca="false">IFERROR(L482/K482,0)</f>
        <v>601.875</v>
      </c>
      <c r="N482" s="84" t="n">
        <f aca="false">+O482+Q482+T482+U482</f>
        <v>5550</v>
      </c>
      <c r="O482" s="85" t="n">
        <v>5500</v>
      </c>
      <c r="P482" s="86" t="n">
        <v>0</v>
      </c>
      <c r="Q482" s="86" t="n">
        <v>20</v>
      </c>
      <c r="R482" s="132" t="n">
        <v>0</v>
      </c>
      <c r="S482" s="128" t="n">
        <v>0</v>
      </c>
      <c r="T482" s="132" t="n">
        <v>22</v>
      </c>
      <c r="U482" s="128" t="n">
        <v>8</v>
      </c>
      <c r="V482" s="128" t="n">
        <v>1</v>
      </c>
      <c r="W482" s="90" t="n">
        <f aca="false">IFERROR(O482/V482,0)</f>
        <v>5500</v>
      </c>
      <c r="X482" s="91" t="n">
        <f aca="false">O482/L482</f>
        <v>1.14226375908619</v>
      </c>
      <c r="Y482" s="92" t="str">
        <f aca="false">IFERROR(VLOOKUP(E:E,'Item Data Support Sheet'!A:J,6,0),0)</f>
        <v>Silicon</v>
      </c>
      <c r="Z482" s="93" t="n">
        <f aca="false">IFERROR(VLOOKUP(E:E,'Item Data Support Sheet'!A:O,4,0),0)</f>
        <v>6.8</v>
      </c>
      <c r="AA482" s="93" t="n">
        <f aca="false">IFERROR(((N482)*(Z482/1000))+P482,0)</f>
        <v>37.74</v>
      </c>
      <c r="AB482" s="94" t="n">
        <f aca="false">IFERROR((O482*(Z482/1000)/(AA482))," ")</f>
        <v>0.990990990990991</v>
      </c>
      <c r="AC482" s="95" t="n">
        <f aca="false">IFERROR((T482)/((T482)+O482),0)</f>
        <v>0.00398406374501992</v>
      </c>
      <c r="AD482" s="96" t="n">
        <f aca="false">IFERROR(Q482/(Q482+N482),0)</f>
        <v>0.00359066427289048</v>
      </c>
      <c r="AE482" s="91" t="n">
        <f aca="false">(N482-T482)/N482</f>
        <v>0.996036036036036</v>
      </c>
      <c r="AF482" s="97" t="n">
        <f aca="false">BR482</f>
        <v>0.666666666666667</v>
      </c>
      <c r="AG482" s="98" t="n">
        <f aca="false">K482-AF482</f>
        <v>7.33333333333333</v>
      </c>
      <c r="AH482" s="99" t="n">
        <f aca="false">IFERROR(AG482/K482," ")</f>
        <v>0.916666666666667</v>
      </c>
      <c r="AI482" s="100" t="n">
        <f aca="false">IFERROR(O482/K482,0)</f>
        <v>687.5</v>
      </c>
      <c r="AJ482" s="101" t="n">
        <f aca="false">VLOOKUP(D482,'Standard Cycle time'!C:D,2,0)</f>
        <v>5.25</v>
      </c>
      <c r="AK482" s="101" t="n">
        <f aca="false">AG482*V482*3600/O482</f>
        <v>4.8</v>
      </c>
      <c r="AL482" s="102" t="n">
        <f aca="false">AJ482/AK482</f>
        <v>1.09375</v>
      </c>
      <c r="AM482" s="99" t="n">
        <f aca="false">AE482*AL482*AH482</f>
        <v>0.99862987987988</v>
      </c>
      <c r="AN482" s="103" t="n">
        <v>3133</v>
      </c>
      <c r="AO482" s="112"/>
      <c r="AP482" s="105" t="n">
        <v>40</v>
      </c>
      <c r="AQ482" s="105" t="n">
        <v>0</v>
      </c>
      <c r="AR482" s="105" t="n">
        <v>0</v>
      </c>
      <c r="AS482" s="105" t="n">
        <v>0</v>
      </c>
      <c r="AT482" s="105" t="n">
        <v>0</v>
      </c>
      <c r="AU482" s="105" t="n">
        <v>0</v>
      </c>
      <c r="AV482" s="105" t="n">
        <v>0</v>
      </c>
      <c r="AW482" s="105" t="n">
        <v>0</v>
      </c>
      <c r="AX482" s="105" t="n">
        <v>0</v>
      </c>
      <c r="AY482" s="105" t="n">
        <v>0</v>
      </c>
      <c r="AZ482" s="105" t="n">
        <v>0</v>
      </c>
      <c r="BA482" s="105" t="n">
        <v>0</v>
      </c>
      <c r="BB482" s="105" t="n">
        <v>0</v>
      </c>
      <c r="BC482" s="105" t="n">
        <v>0</v>
      </c>
      <c r="BD482" s="105" t="n">
        <v>0</v>
      </c>
      <c r="BE482" s="105" t="n">
        <v>0</v>
      </c>
      <c r="BF482" s="105" t="n">
        <v>0</v>
      </c>
      <c r="BG482" s="105" t="n">
        <v>0</v>
      </c>
      <c r="BH482" s="105" t="n">
        <v>0</v>
      </c>
      <c r="BI482" s="105" t="n">
        <v>0</v>
      </c>
      <c r="BJ482" s="105" t="n">
        <v>0</v>
      </c>
      <c r="BK482" s="105" t="n">
        <v>0</v>
      </c>
      <c r="BL482" s="105" t="n">
        <v>0</v>
      </c>
      <c r="BM482" s="105" t="n">
        <v>0</v>
      </c>
      <c r="BN482" s="105" t="n">
        <v>0</v>
      </c>
      <c r="BO482" s="105" t="n">
        <v>0</v>
      </c>
      <c r="BP482" s="105" t="n">
        <v>0</v>
      </c>
      <c r="BQ482" s="105" t="n">
        <v>0</v>
      </c>
      <c r="BR482" s="106" t="n">
        <v>0.666666666666667</v>
      </c>
      <c r="BS482" s="106" t="n">
        <v>0.677777777777778</v>
      </c>
      <c r="BT482" s="107"/>
      <c r="BU482" s="107"/>
      <c r="BV482" s="107"/>
      <c r="BW482" s="107"/>
      <c r="BX482" s="107"/>
      <c r="BY482" s="107"/>
      <c r="BZ482" s="107"/>
      <c r="CA482" s="107"/>
      <c r="CB482" s="107"/>
      <c r="CC482" s="107"/>
      <c r="CD482" s="107"/>
      <c r="CE482" s="107"/>
      <c r="CF482" s="107"/>
      <c r="CG482" s="107"/>
      <c r="CH482" s="107"/>
      <c r="CI482" s="107"/>
      <c r="CJ482" s="107"/>
      <c r="CK482" s="107"/>
      <c r="CL482" s="107"/>
      <c r="CM482" s="107"/>
      <c r="CN482" s="107"/>
      <c r="CO482" s="107"/>
      <c r="CP482" s="107"/>
      <c r="CQ482" s="107"/>
      <c r="CR482" s="107"/>
      <c r="CS482" s="107"/>
      <c r="CT482" s="107"/>
      <c r="CU482" s="107"/>
      <c r="CV482" s="107"/>
    </row>
    <row r="483" customFormat="false" ht="14.9" hidden="false" customHeight="false" outlineLevel="0" collapsed="false">
      <c r="A483" s="74" t="n">
        <f aca="false">MONTH(B483)</f>
        <v>9</v>
      </c>
      <c r="B483" s="135" t="n">
        <v>44449</v>
      </c>
      <c r="C483" s="128" t="s">
        <v>51</v>
      </c>
      <c r="D483" s="77" t="str">
        <f aca="false">IFERROR(VLOOKUP(E:E,'Item Data Support Sheet'!A:O,7,0),"")</f>
        <v>HOOD MOLDED</v>
      </c>
      <c r="E483" s="80" t="s">
        <v>529</v>
      </c>
      <c r="F483" s="122"/>
      <c r="G483" s="137"/>
      <c r="H483" s="79" t="str">
        <f aca="false">IFERROR(VLOOKUP(E:E,'Item Data Support Sheet'!A:O,2,0),"")</f>
        <v>HOOD S TYPE MOLDED</v>
      </c>
      <c r="I483" s="80" t="s">
        <v>1037</v>
      </c>
      <c r="J483" s="80" t="s">
        <v>148</v>
      </c>
      <c r="K483" s="81" t="n">
        <v>8</v>
      </c>
      <c r="L483" s="124" t="n">
        <v>4137</v>
      </c>
      <c r="M483" s="83" t="n">
        <f aca="false">IFERROR(L483/K483,0)</f>
        <v>517.125</v>
      </c>
      <c r="N483" s="84" t="n">
        <f aca="false">+O483+Q483+T483+U483</f>
        <v>5020</v>
      </c>
      <c r="O483" s="85" t="n">
        <v>5000</v>
      </c>
      <c r="P483" s="86" t="n">
        <v>0</v>
      </c>
      <c r="Q483" s="86" t="n">
        <v>10</v>
      </c>
      <c r="R483" s="132" t="n">
        <v>0</v>
      </c>
      <c r="S483" s="128" t="n">
        <v>0</v>
      </c>
      <c r="T483" s="132" t="n">
        <v>2</v>
      </c>
      <c r="U483" s="128" t="n">
        <v>8</v>
      </c>
      <c r="V483" s="128" t="n">
        <v>1</v>
      </c>
      <c r="W483" s="90" t="n">
        <f aca="false">IFERROR(O483/V483,0)</f>
        <v>5000</v>
      </c>
      <c r="X483" s="91" t="n">
        <f aca="false">O483/L483</f>
        <v>1.20860526951898</v>
      </c>
      <c r="Y483" s="92" t="str">
        <f aca="false">IFERROR(VLOOKUP(E:E,'Item Data Support Sheet'!A:J,6,0),0)</f>
        <v>HMC</v>
      </c>
      <c r="Z483" s="93" t="n">
        <f aca="false">IFERROR(VLOOKUP(E:E,'Item Data Support Sheet'!A:O,4,0),0)</f>
        <v>8.6</v>
      </c>
      <c r="AA483" s="93" t="n">
        <f aca="false">IFERROR(((N483)*(Z483/1000))+P483,0)</f>
        <v>43.172</v>
      </c>
      <c r="AB483" s="94" t="n">
        <f aca="false">IFERROR((O483*(Z483/1000)/(AA483))," ")</f>
        <v>0.99601593625498</v>
      </c>
      <c r="AC483" s="95" t="n">
        <f aca="false">IFERROR((T483)/((T483)+O483),0)</f>
        <v>0.00039984006397441</v>
      </c>
      <c r="AD483" s="96" t="n">
        <f aca="false">IFERROR(Q483/(Q483+N483),0)</f>
        <v>0.00198807157057654</v>
      </c>
      <c r="AE483" s="91" t="n">
        <f aca="false">(N483-T483)/N483</f>
        <v>0.999601593625498</v>
      </c>
      <c r="AF483" s="97" t="n">
        <f aca="false">BR483</f>
        <v>0</v>
      </c>
      <c r="AG483" s="98" t="n">
        <f aca="false">K483-AF483</f>
        <v>8</v>
      </c>
      <c r="AH483" s="99" t="n">
        <f aca="false">IFERROR(AG483/K483," ")</f>
        <v>1</v>
      </c>
      <c r="AI483" s="100" t="n">
        <f aca="false">IFERROR(O483/K483,0)</f>
        <v>625</v>
      </c>
      <c r="AJ483" s="101" t="n">
        <f aca="false">VLOOKUP(D483,'Standard Cycle time'!C:D,2,0)</f>
        <v>6</v>
      </c>
      <c r="AK483" s="101" t="n">
        <f aca="false">AG483*V483*3600/O483</f>
        <v>5.76</v>
      </c>
      <c r="AL483" s="102" t="n">
        <f aca="false">AJ483/AK483</f>
        <v>1.04166666666667</v>
      </c>
      <c r="AM483" s="99" t="n">
        <f aca="false">AE483*AL483*AH483</f>
        <v>1.04125166002656</v>
      </c>
      <c r="AN483" s="103" t="n">
        <v>3134</v>
      </c>
      <c r="AO483" s="112"/>
      <c r="AP483" s="105" t="n">
        <v>0</v>
      </c>
      <c r="AQ483" s="105" t="n">
        <v>0</v>
      </c>
      <c r="AR483" s="105" t="n">
        <v>0</v>
      </c>
      <c r="AS483" s="105" t="n">
        <v>0</v>
      </c>
      <c r="AT483" s="105" t="n">
        <v>0</v>
      </c>
      <c r="AU483" s="105" t="n">
        <v>0</v>
      </c>
      <c r="AV483" s="105" t="n">
        <v>0</v>
      </c>
      <c r="AW483" s="105" t="n">
        <v>0</v>
      </c>
      <c r="AX483" s="105" t="n">
        <v>0</v>
      </c>
      <c r="AY483" s="105" t="n">
        <v>0</v>
      </c>
      <c r="AZ483" s="105" t="n">
        <v>0</v>
      </c>
      <c r="BA483" s="105" t="n">
        <v>0</v>
      </c>
      <c r="BB483" s="105" t="n">
        <v>0</v>
      </c>
      <c r="BC483" s="105" t="n">
        <v>0</v>
      </c>
      <c r="BD483" s="105" t="n">
        <v>0</v>
      </c>
      <c r="BE483" s="105" t="n">
        <v>0</v>
      </c>
      <c r="BF483" s="105" t="n">
        <v>0</v>
      </c>
      <c r="BG483" s="105" t="n">
        <v>0</v>
      </c>
      <c r="BH483" s="105" t="n">
        <v>0</v>
      </c>
      <c r="BI483" s="105" t="n">
        <v>0</v>
      </c>
      <c r="BJ483" s="105" t="n">
        <v>0</v>
      </c>
      <c r="BK483" s="105" t="n">
        <v>0</v>
      </c>
      <c r="BL483" s="105" t="n">
        <v>0</v>
      </c>
      <c r="BM483" s="105" t="n">
        <v>0</v>
      </c>
      <c r="BN483" s="105" t="n">
        <v>0</v>
      </c>
      <c r="BO483" s="105" t="n">
        <v>0</v>
      </c>
      <c r="BP483" s="105" t="n">
        <v>0</v>
      </c>
      <c r="BQ483" s="105" t="n">
        <v>0</v>
      </c>
      <c r="BR483" s="106" t="n">
        <v>0</v>
      </c>
      <c r="BS483" s="106" t="n">
        <v>0</v>
      </c>
      <c r="BT483" s="107"/>
      <c r="BU483" s="107"/>
      <c r="BV483" s="107"/>
      <c r="BW483" s="107"/>
      <c r="BX483" s="107"/>
      <c r="BY483" s="107"/>
      <c r="BZ483" s="107"/>
      <c r="CA483" s="107"/>
      <c r="CB483" s="107"/>
      <c r="CC483" s="107"/>
      <c r="CD483" s="107"/>
      <c r="CE483" s="107"/>
      <c r="CF483" s="107"/>
      <c r="CG483" s="107"/>
      <c r="CH483" s="107"/>
      <c r="CI483" s="107"/>
      <c r="CJ483" s="107"/>
      <c r="CK483" s="107"/>
      <c r="CL483" s="107"/>
      <c r="CM483" s="107"/>
      <c r="CN483" s="107"/>
      <c r="CO483" s="107"/>
      <c r="CP483" s="107"/>
      <c r="CQ483" s="107"/>
      <c r="CR483" s="107"/>
      <c r="CS483" s="107"/>
      <c r="CT483" s="107"/>
      <c r="CU483" s="107"/>
      <c r="CV483" s="107"/>
    </row>
    <row r="484" customFormat="false" ht="14.9" hidden="false" customHeight="false" outlineLevel="0" collapsed="false">
      <c r="A484" s="74" t="n">
        <f aca="false">MONTH(B484)</f>
        <v>9</v>
      </c>
      <c r="B484" s="135" t="n">
        <v>44449</v>
      </c>
      <c r="C484" s="128" t="s">
        <v>51</v>
      </c>
      <c r="D484" s="77" t="str">
        <f aca="false">IFERROR(VLOOKUP(E:E,'Item Data Support Sheet'!A:O,7,0),"")</f>
        <v>BOTTLE PRINTED</v>
      </c>
      <c r="E484" s="80" t="s">
        <v>65</v>
      </c>
      <c r="F484" s="122"/>
      <c r="G484" s="137"/>
      <c r="H484" s="79" t="str">
        <f aca="false">IFERROR(VLOOKUP(E:E,'Item Data Support Sheet'!A:O,2,0),"")</f>
        <v>KPP 240 ML BOTTLE PRINTED</v>
      </c>
      <c r="I484" s="80" t="s">
        <v>1038</v>
      </c>
      <c r="J484" s="80" t="s">
        <v>148</v>
      </c>
      <c r="K484" s="81" t="n">
        <v>8</v>
      </c>
      <c r="L484" s="124" t="n">
        <v>5100</v>
      </c>
      <c r="M484" s="83" t="n">
        <f aca="false">IFERROR(L484/K484,0)</f>
        <v>637.5</v>
      </c>
      <c r="N484" s="84" t="n">
        <f aca="false">+O484+Q484+T484+U484</f>
        <v>3923</v>
      </c>
      <c r="O484" s="85" t="n">
        <v>3888</v>
      </c>
      <c r="P484" s="86" t="n">
        <v>0</v>
      </c>
      <c r="Q484" s="86" t="n">
        <v>0</v>
      </c>
      <c r="R484" s="132" t="n">
        <v>26</v>
      </c>
      <c r="S484" s="128" t="n">
        <v>0</v>
      </c>
      <c r="T484" s="132" t="n">
        <v>35</v>
      </c>
      <c r="U484" s="128" t="n">
        <v>0</v>
      </c>
      <c r="V484" s="128" t="n">
        <v>6</v>
      </c>
      <c r="W484" s="90" t="n">
        <f aca="false">IFERROR(O484/V484,0)</f>
        <v>648</v>
      </c>
      <c r="X484" s="91" t="n">
        <f aca="false">O484/L484</f>
        <v>0.762352941176471</v>
      </c>
      <c r="Y484" s="92" t="str">
        <f aca="false">IFERROR(VLOOKUP(E:E,'Item Data Support Sheet'!A:J,6,0),0)</f>
        <v>FO003</v>
      </c>
      <c r="Z484" s="93" t="n">
        <f aca="false">IFERROR(VLOOKUP(E:E,'Item Data Support Sheet'!A:O,4,0),0)</f>
        <v>0</v>
      </c>
      <c r="AA484" s="93" t="n">
        <f aca="false">IFERROR(((N484)*(Z484/1000))+P484,0)</f>
        <v>0</v>
      </c>
      <c r="AB484" s="94" t="str">
        <f aca="false">IFERROR((O484*(Z484/1000)/(AA484))," ")</f>
        <v> </v>
      </c>
      <c r="AC484" s="95" t="n">
        <f aca="false">IFERROR((T484)/((T484)+O484),0)</f>
        <v>0.00892174356359929</v>
      </c>
      <c r="AD484" s="96" t="n">
        <f aca="false">IFERROR(Q484/(Q484+N484),0)</f>
        <v>0</v>
      </c>
      <c r="AE484" s="91" t="n">
        <f aca="false">(N484-T484)/N484</f>
        <v>0.991078256436401</v>
      </c>
      <c r="AF484" s="97" t="n">
        <f aca="false">BR484</f>
        <v>2.08333333333333</v>
      </c>
      <c r="AG484" s="98" t="n">
        <f aca="false">K484-AF484</f>
        <v>5.91666666666667</v>
      </c>
      <c r="AH484" s="99" t="n">
        <f aca="false">IFERROR(AG484/K484," ")</f>
        <v>0.739583333333334</v>
      </c>
      <c r="AI484" s="100" t="n">
        <f aca="false">IFERROR(O484/K484,0)</f>
        <v>486</v>
      </c>
      <c r="AJ484" s="101" t="n">
        <f aca="false">VLOOKUP(D484,'Standard Cycle time'!C:D,2,0)</f>
        <v>32.4</v>
      </c>
      <c r="AK484" s="101" t="n">
        <f aca="false">AG484*V484*3600/O484</f>
        <v>32.8703703703704</v>
      </c>
      <c r="AL484" s="102" t="n">
        <f aca="false">AJ484/AK484</f>
        <v>0.98569014084507</v>
      </c>
      <c r="AM484" s="99" t="n">
        <f aca="false">AE484*AL484*AH484</f>
        <v>0.722496048942136</v>
      </c>
      <c r="AN484" s="103" t="s">
        <v>869</v>
      </c>
      <c r="AO484" s="112" t="s">
        <v>1039</v>
      </c>
      <c r="AP484" s="105" t="n">
        <v>40</v>
      </c>
      <c r="AQ484" s="105" t="n">
        <v>0</v>
      </c>
      <c r="AR484" s="105" t="n">
        <v>0</v>
      </c>
      <c r="AS484" s="105" t="n">
        <v>0</v>
      </c>
      <c r="AT484" s="105" t="n">
        <v>0</v>
      </c>
      <c r="AU484" s="105" t="n">
        <v>0</v>
      </c>
      <c r="AV484" s="105" t="n">
        <v>0</v>
      </c>
      <c r="AW484" s="105" t="n">
        <v>85</v>
      </c>
      <c r="AX484" s="105" t="n">
        <v>0</v>
      </c>
      <c r="AY484" s="105" t="n">
        <v>0</v>
      </c>
      <c r="AZ484" s="105" t="n">
        <v>0</v>
      </c>
      <c r="BA484" s="105" t="n">
        <v>0</v>
      </c>
      <c r="BB484" s="105" t="n">
        <v>0</v>
      </c>
      <c r="BC484" s="105" t="n">
        <v>0</v>
      </c>
      <c r="BD484" s="105" t="n">
        <v>0</v>
      </c>
      <c r="BE484" s="105" t="n">
        <v>0</v>
      </c>
      <c r="BF484" s="105" t="n">
        <v>0</v>
      </c>
      <c r="BG484" s="105" t="n">
        <v>0</v>
      </c>
      <c r="BH484" s="105" t="n">
        <v>0</v>
      </c>
      <c r="BI484" s="105" t="n">
        <v>0</v>
      </c>
      <c r="BJ484" s="105" t="n">
        <v>0</v>
      </c>
      <c r="BK484" s="105" t="n">
        <v>0</v>
      </c>
      <c r="BL484" s="105" t="n">
        <v>0</v>
      </c>
      <c r="BM484" s="105" t="n">
        <v>0</v>
      </c>
      <c r="BN484" s="105" t="n">
        <v>0</v>
      </c>
      <c r="BO484" s="105" t="n">
        <v>0</v>
      </c>
      <c r="BP484" s="105" t="n">
        <v>0</v>
      </c>
      <c r="BQ484" s="105" t="n">
        <v>0</v>
      </c>
      <c r="BR484" s="106" t="n">
        <v>2.08333333333333</v>
      </c>
      <c r="BS484" s="106" t="n">
        <v>2.11805555555556</v>
      </c>
      <c r="BT484" s="107"/>
      <c r="BU484" s="107"/>
      <c r="BV484" s="107"/>
      <c r="BW484" s="107"/>
      <c r="BX484" s="107"/>
      <c r="BY484" s="107"/>
      <c r="BZ484" s="107"/>
      <c r="CA484" s="107"/>
      <c r="CB484" s="107"/>
      <c r="CC484" s="107"/>
      <c r="CD484" s="107"/>
      <c r="CE484" s="107"/>
      <c r="CF484" s="107"/>
      <c r="CG484" s="107"/>
      <c r="CH484" s="107"/>
      <c r="CI484" s="107"/>
      <c r="CJ484" s="107"/>
      <c r="CK484" s="107"/>
      <c r="CL484" s="107"/>
      <c r="CM484" s="107"/>
      <c r="CN484" s="107"/>
      <c r="CO484" s="107"/>
      <c r="CP484" s="107"/>
      <c r="CQ484" s="107"/>
      <c r="CR484" s="107"/>
      <c r="CS484" s="107"/>
      <c r="CT484" s="107"/>
      <c r="CU484" s="107"/>
      <c r="CV484" s="107"/>
    </row>
    <row r="485" customFormat="false" ht="14.9" hidden="false" customHeight="false" outlineLevel="0" collapsed="false">
      <c r="A485" s="74" t="n">
        <f aca="false">MONTH(B485)</f>
        <v>9</v>
      </c>
      <c r="B485" s="135" t="n">
        <v>44449</v>
      </c>
      <c r="C485" s="128" t="s">
        <v>63</v>
      </c>
      <c r="D485" s="77" t="str">
        <f aca="false">IFERROR(VLOOKUP(E:E,'Item Data Support Sheet'!A:O,7,0),"")</f>
        <v>NIPPLE PUNCH INSPECTED</v>
      </c>
      <c r="E485" s="80" t="s">
        <v>182</v>
      </c>
      <c r="F485" s="122"/>
      <c r="G485" s="137"/>
      <c r="H485" s="79" t="str">
        <f aca="false">IFERROR(VLOOKUP(E:E,'Item Data Support Sheet'!A:O,2,0),"")</f>
        <v>NIPPLE S TYPE M SIZE PUNCHED INSPECTED</v>
      </c>
      <c r="I485" s="80" t="s">
        <v>1040</v>
      </c>
      <c r="J485" s="80" t="s">
        <v>148</v>
      </c>
      <c r="K485" s="81" t="n">
        <v>8</v>
      </c>
      <c r="L485" s="124" t="n">
        <v>14000</v>
      </c>
      <c r="M485" s="83" t="n">
        <f aca="false">IFERROR(L485/K485,0)</f>
        <v>1750</v>
      </c>
      <c r="N485" s="84" t="n">
        <f aca="false">+O485+Q485+T485+U485</f>
        <v>13900</v>
      </c>
      <c r="O485" s="85" t="n">
        <v>13741</v>
      </c>
      <c r="P485" s="86" t="n">
        <v>0</v>
      </c>
      <c r="Q485" s="86" t="n">
        <v>0</v>
      </c>
      <c r="R485" s="132" t="n">
        <v>0</v>
      </c>
      <c r="S485" s="128" t="n">
        <v>0</v>
      </c>
      <c r="T485" s="132" t="n">
        <v>159</v>
      </c>
      <c r="U485" s="128" t="n">
        <v>0</v>
      </c>
      <c r="V485" s="128" t="n">
        <v>2</v>
      </c>
      <c r="W485" s="90" t="n">
        <f aca="false">IFERROR(O485/V485,0)</f>
        <v>6870.5</v>
      </c>
      <c r="X485" s="91" t="n">
        <f aca="false">O485/L485</f>
        <v>0.9815</v>
      </c>
      <c r="Y485" s="92" t="str">
        <f aca="false">IFERROR(VLOOKUP(E:E,'Item Data Support Sheet'!A:J,6,0),0)</f>
        <v>FO105</v>
      </c>
      <c r="Z485" s="93" t="n">
        <f aca="false">IFERROR(VLOOKUP(E:E,'Item Data Support Sheet'!A:O,4,0),0)</f>
        <v>0</v>
      </c>
      <c r="AA485" s="93" t="n">
        <f aca="false">IFERROR(((N485)*(Z485/1000))+P485,0)</f>
        <v>0</v>
      </c>
      <c r="AB485" s="94" t="str">
        <f aca="false">IFERROR((O485*(Z485/1000)/(AA485))," ")</f>
        <v> </v>
      </c>
      <c r="AC485" s="95" t="n">
        <f aca="false">IFERROR((T485)/((T485)+O485),0)</f>
        <v>0.0114388489208633</v>
      </c>
      <c r="AD485" s="96" t="n">
        <f aca="false">IFERROR(Q485/(Q485+N485),0)</f>
        <v>0</v>
      </c>
      <c r="AE485" s="91" t="n">
        <f aca="false">(N485-T485)/N485</f>
        <v>0.988561151079137</v>
      </c>
      <c r="AF485" s="97" t="n">
        <f aca="false">BR485</f>
        <v>0</v>
      </c>
      <c r="AG485" s="98" t="n">
        <f aca="false">K485-AF485</f>
        <v>8</v>
      </c>
      <c r="AH485" s="99" t="n">
        <f aca="false">IFERROR(AG485/K485," ")</f>
        <v>1</v>
      </c>
      <c r="AI485" s="100" t="n">
        <f aca="false">IFERROR(O485/K485,0)</f>
        <v>1717.625</v>
      </c>
      <c r="AJ485" s="101" t="n">
        <f aca="false">VLOOKUP(D485,'Standard Cycle time'!C:D,2,0)</f>
        <v>4</v>
      </c>
      <c r="AK485" s="101" t="n">
        <f aca="false">AG485*V485*3600/O485</f>
        <v>4.19183465541081</v>
      </c>
      <c r="AL485" s="102" t="n">
        <f aca="false">AJ485/AK485</f>
        <v>0.954236111111111</v>
      </c>
      <c r="AM485" s="99" t="n">
        <f aca="false">AE485*AL485*AH485</f>
        <v>0.943320748401279</v>
      </c>
      <c r="AN485" s="103" t="s">
        <v>1041</v>
      </c>
      <c r="AO485" s="112"/>
      <c r="AP485" s="105" t="n">
        <v>0</v>
      </c>
      <c r="AQ485" s="105" t="n">
        <v>0</v>
      </c>
      <c r="AR485" s="105" t="n">
        <v>0</v>
      </c>
      <c r="AS485" s="105" t="n">
        <v>0</v>
      </c>
      <c r="AT485" s="105" t="n">
        <v>0</v>
      </c>
      <c r="AU485" s="105" t="n">
        <v>0</v>
      </c>
      <c r="AV485" s="105" t="n">
        <v>0</v>
      </c>
      <c r="AW485" s="105" t="n">
        <v>0</v>
      </c>
      <c r="AX485" s="105" t="n">
        <v>0</v>
      </c>
      <c r="AY485" s="105" t="n">
        <v>0</v>
      </c>
      <c r="AZ485" s="105" t="n">
        <v>0</v>
      </c>
      <c r="BA485" s="105" t="n">
        <v>0</v>
      </c>
      <c r="BB485" s="105" t="n">
        <v>0</v>
      </c>
      <c r="BC485" s="105" t="n">
        <v>0</v>
      </c>
      <c r="BD485" s="105" t="n">
        <v>0</v>
      </c>
      <c r="BE485" s="105" t="n">
        <v>0</v>
      </c>
      <c r="BF485" s="105" t="n">
        <v>0</v>
      </c>
      <c r="BG485" s="105" t="n">
        <v>0</v>
      </c>
      <c r="BH485" s="105" t="n">
        <v>0</v>
      </c>
      <c r="BI485" s="105" t="n">
        <v>0</v>
      </c>
      <c r="BJ485" s="105" t="n">
        <v>0</v>
      </c>
      <c r="BK485" s="105" t="n">
        <v>0</v>
      </c>
      <c r="BL485" s="105" t="n">
        <v>0</v>
      </c>
      <c r="BM485" s="105" t="n">
        <v>0</v>
      </c>
      <c r="BN485" s="105" t="n">
        <v>0</v>
      </c>
      <c r="BO485" s="105" t="n">
        <v>0</v>
      </c>
      <c r="BP485" s="105" t="n">
        <v>0</v>
      </c>
      <c r="BQ485" s="105" t="n">
        <v>0</v>
      </c>
      <c r="BR485" s="106" t="n">
        <v>0</v>
      </c>
      <c r="BS485" s="106" t="n">
        <v>0</v>
      </c>
      <c r="BT485" s="107"/>
      <c r="BU485" s="107"/>
      <c r="BV485" s="107"/>
      <c r="BW485" s="107"/>
      <c r="BX485" s="107"/>
      <c r="BY485" s="107"/>
      <c r="BZ485" s="107"/>
      <c r="CA485" s="107"/>
      <c r="CB485" s="107"/>
      <c r="CC485" s="107"/>
      <c r="CD485" s="107"/>
      <c r="CE485" s="107"/>
      <c r="CF485" s="107"/>
      <c r="CG485" s="107"/>
      <c r="CH485" s="107"/>
      <c r="CI485" s="107"/>
      <c r="CJ485" s="107"/>
      <c r="CK485" s="107"/>
      <c r="CL485" s="107"/>
      <c r="CM485" s="107"/>
      <c r="CN485" s="107"/>
      <c r="CO485" s="107"/>
      <c r="CP485" s="107"/>
      <c r="CQ485" s="107"/>
      <c r="CR485" s="107"/>
      <c r="CS485" s="107"/>
      <c r="CT485" s="107"/>
      <c r="CU485" s="107"/>
      <c r="CV485" s="107"/>
    </row>
    <row r="486" customFormat="false" ht="14.9" hidden="false" customHeight="false" outlineLevel="0" collapsed="false">
      <c r="A486" s="74" t="n">
        <f aca="false">MONTH(B486)</f>
        <v>9</v>
      </c>
      <c r="B486" s="135" t="n">
        <v>44449</v>
      </c>
      <c r="C486" s="128" t="s">
        <v>70</v>
      </c>
      <c r="D486" s="77" t="str">
        <f aca="false">IFERROR(VLOOKUP(E:E,'Item Data Support Sheet'!A:O,7,0),"")</f>
        <v>NIPPLE PUNCH</v>
      </c>
      <c r="E486" s="80" t="s">
        <v>60</v>
      </c>
      <c r="F486" s="122"/>
      <c r="G486" s="137"/>
      <c r="H486" s="79" t="str">
        <f aca="false">IFERROR(VLOOKUP(E:E,'Item Data Support Sheet'!A:O,2,0),"")</f>
        <v>NIPPLE S TYPE M SIZE PUNCHED</v>
      </c>
      <c r="I486" s="80" t="s">
        <v>1042</v>
      </c>
      <c r="J486" s="80" t="s">
        <v>148</v>
      </c>
      <c r="K486" s="81" t="n">
        <v>8</v>
      </c>
      <c r="L486" s="124" t="n">
        <v>7000</v>
      </c>
      <c r="M486" s="83" t="n">
        <f aca="false">IFERROR(L486/K486,0)</f>
        <v>875</v>
      </c>
      <c r="N486" s="84" t="n">
        <f aca="false">+O486+Q486+T486+U486</f>
        <v>6400</v>
      </c>
      <c r="O486" s="85" t="n">
        <v>6400</v>
      </c>
      <c r="P486" s="86" t="n">
        <v>0</v>
      </c>
      <c r="Q486" s="86" t="n">
        <v>0</v>
      </c>
      <c r="R486" s="132" t="n">
        <v>0</v>
      </c>
      <c r="S486" s="128" t="n">
        <v>0</v>
      </c>
      <c r="T486" s="132" t="n">
        <v>0</v>
      </c>
      <c r="U486" s="128" t="n">
        <v>0</v>
      </c>
      <c r="V486" s="128" t="n">
        <v>1</v>
      </c>
      <c r="W486" s="90" t="n">
        <f aca="false">IFERROR(O486/V486,0)</f>
        <v>6400</v>
      </c>
      <c r="X486" s="91" t="n">
        <f aca="false">O486/L486</f>
        <v>0.914285714285714</v>
      </c>
      <c r="Y486" s="92" t="str">
        <f aca="false">IFERROR(VLOOKUP(E:E,'Item Data Support Sheet'!A:J,6,0),0)</f>
        <v>FO016</v>
      </c>
      <c r="Z486" s="93" t="n">
        <f aca="false">IFERROR(VLOOKUP(E:E,'Item Data Support Sheet'!A:O,4,0),0)</f>
        <v>0</v>
      </c>
      <c r="AA486" s="93" t="n">
        <f aca="false">IFERROR(((N486)*(Z486/1000))+P486,0)</f>
        <v>0</v>
      </c>
      <c r="AB486" s="94" t="str">
        <f aca="false">IFERROR((O486*(Z486/1000)/(AA486))," ")</f>
        <v> </v>
      </c>
      <c r="AC486" s="95" t="n">
        <f aca="false">IFERROR((T486)/((T486)+O486),0)</f>
        <v>0</v>
      </c>
      <c r="AD486" s="96" t="n">
        <f aca="false">IFERROR(Q486/(Q486+N486),0)</f>
        <v>0</v>
      </c>
      <c r="AE486" s="91" t="n">
        <f aca="false">(N486-T486)/N486</f>
        <v>1</v>
      </c>
      <c r="AF486" s="97" t="n">
        <f aca="false">BR486</f>
        <v>0</v>
      </c>
      <c r="AG486" s="98" t="n">
        <f aca="false">K486-AF486</f>
        <v>8</v>
      </c>
      <c r="AH486" s="99" t="n">
        <f aca="false">IFERROR(AG486/K486," ")</f>
        <v>1</v>
      </c>
      <c r="AI486" s="100" t="n">
        <f aca="false">IFERROR(O486/K486,0)</f>
        <v>800</v>
      </c>
      <c r="AJ486" s="101" t="n">
        <f aca="false">VLOOKUP(D486,'Standard Cycle time'!C:D,2,0)</f>
        <v>3.5</v>
      </c>
      <c r="AK486" s="101" t="n">
        <f aca="false">AG486*V486*3600/O486</f>
        <v>4.5</v>
      </c>
      <c r="AL486" s="102" t="n">
        <f aca="false">AJ486/AK486</f>
        <v>0.777777777777778</v>
      </c>
      <c r="AM486" s="99" t="n">
        <f aca="false">AE486*AL486*AH486</f>
        <v>0.777777777777778</v>
      </c>
      <c r="AN486" s="103" t="s">
        <v>1043</v>
      </c>
      <c r="AO486" s="112"/>
      <c r="AP486" s="105" t="n">
        <v>0</v>
      </c>
      <c r="AQ486" s="105" t="n">
        <v>0</v>
      </c>
      <c r="AR486" s="105" t="n">
        <v>0</v>
      </c>
      <c r="AS486" s="105" t="n">
        <v>0</v>
      </c>
      <c r="AT486" s="105" t="n">
        <v>0</v>
      </c>
      <c r="AU486" s="105" t="n">
        <v>0</v>
      </c>
      <c r="AV486" s="105" t="n">
        <v>0</v>
      </c>
      <c r="AW486" s="105" t="n">
        <v>0</v>
      </c>
      <c r="AX486" s="105" t="n">
        <v>0</v>
      </c>
      <c r="AY486" s="105" t="n">
        <v>0</v>
      </c>
      <c r="AZ486" s="105" t="n">
        <v>0</v>
      </c>
      <c r="BA486" s="105" t="n">
        <v>0</v>
      </c>
      <c r="BB486" s="105" t="n">
        <v>0</v>
      </c>
      <c r="BC486" s="105" t="n">
        <v>0</v>
      </c>
      <c r="BD486" s="105" t="n">
        <v>0</v>
      </c>
      <c r="BE486" s="105" t="n">
        <v>0</v>
      </c>
      <c r="BF486" s="105" t="n">
        <v>0</v>
      </c>
      <c r="BG486" s="105" t="n">
        <v>0</v>
      </c>
      <c r="BH486" s="105" t="n">
        <v>0</v>
      </c>
      <c r="BI486" s="105" t="n">
        <v>0</v>
      </c>
      <c r="BJ486" s="105" t="n">
        <v>0</v>
      </c>
      <c r="BK486" s="105" t="n">
        <v>0</v>
      </c>
      <c r="BL486" s="105" t="n">
        <v>0</v>
      </c>
      <c r="BM486" s="105" t="n">
        <v>0</v>
      </c>
      <c r="BN486" s="105" t="n">
        <v>0</v>
      </c>
      <c r="BO486" s="105" t="n">
        <v>0</v>
      </c>
      <c r="BP486" s="105" t="n">
        <v>0</v>
      </c>
      <c r="BQ486" s="105" t="n">
        <v>0</v>
      </c>
      <c r="BR486" s="106" t="n">
        <v>0</v>
      </c>
      <c r="BS486" s="106" t="n">
        <v>0</v>
      </c>
      <c r="BT486" s="107"/>
      <c r="BU486" s="107"/>
      <c r="BV486" s="107"/>
      <c r="BW486" s="107"/>
      <c r="BX486" s="107"/>
      <c r="BY486" s="107"/>
      <c r="BZ486" s="107"/>
      <c r="CA486" s="107"/>
      <c r="CB486" s="107"/>
      <c r="CC486" s="107"/>
      <c r="CD486" s="107"/>
      <c r="CE486" s="107"/>
      <c r="CF486" s="107"/>
      <c r="CG486" s="107"/>
      <c r="CH486" s="107"/>
      <c r="CI486" s="107"/>
      <c r="CJ486" s="107"/>
      <c r="CK486" s="107"/>
      <c r="CL486" s="107"/>
      <c r="CM486" s="107"/>
      <c r="CN486" s="107"/>
      <c r="CO486" s="107"/>
      <c r="CP486" s="107"/>
      <c r="CQ486" s="107"/>
      <c r="CR486" s="107"/>
      <c r="CS486" s="107"/>
      <c r="CT486" s="107"/>
      <c r="CU486" s="107"/>
      <c r="CV486" s="107"/>
    </row>
    <row r="487" customFormat="false" ht="14.9" hidden="false" customHeight="false" outlineLevel="0" collapsed="false">
      <c r="A487" s="74" t="n">
        <f aca="false">MONTH(B487)</f>
        <v>9</v>
      </c>
      <c r="B487" s="135" t="n">
        <v>44449</v>
      </c>
      <c r="C487" s="128" t="s">
        <v>70</v>
      </c>
      <c r="D487" s="77" t="str">
        <f aca="false">IFERROR(VLOOKUP(E:E,'Item Data Support Sheet'!A:O,7,0),"")</f>
        <v>NIPPLE LASER MARKING</v>
      </c>
      <c r="E487" s="80" t="s">
        <v>932</v>
      </c>
      <c r="F487" s="122"/>
      <c r="G487" s="137"/>
      <c r="H487" s="79" t="str">
        <f aca="false">IFERROR(VLOOKUP(E:E,'Item Data Support Sheet'!A:O,2,0),"")</f>
        <v>NIPPLE S TYPE M SIZE PUNCHED LASER MARKED</v>
      </c>
      <c r="I487" s="80" t="s">
        <v>1033</v>
      </c>
      <c r="J487" s="80" t="s">
        <v>148</v>
      </c>
      <c r="K487" s="81" t="n">
        <v>8</v>
      </c>
      <c r="L487" s="124" t="n">
        <v>7000</v>
      </c>
      <c r="M487" s="83" t="n">
        <f aca="false">IFERROR(L487/K487,0)</f>
        <v>875</v>
      </c>
      <c r="N487" s="84" t="n">
        <f aca="false">+O487+Q487+T487+U487</f>
        <v>6300</v>
      </c>
      <c r="O487" s="85" t="n">
        <v>6300</v>
      </c>
      <c r="P487" s="86" t="n">
        <v>0</v>
      </c>
      <c r="Q487" s="86" t="n">
        <v>0</v>
      </c>
      <c r="R487" s="132" t="n">
        <v>0</v>
      </c>
      <c r="S487" s="128" t="n">
        <v>0</v>
      </c>
      <c r="T487" s="132" t="n">
        <v>0</v>
      </c>
      <c r="U487" s="128" t="n">
        <v>0</v>
      </c>
      <c r="V487" s="128" t="n">
        <v>1</v>
      </c>
      <c r="W487" s="90" t="n">
        <f aca="false">IFERROR(O487/V487,0)</f>
        <v>6300</v>
      </c>
      <c r="X487" s="91" t="n">
        <f aca="false">O487/L487</f>
        <v>0.9</v>
      </c>
      <c r="Y487" s="92" t="str">
        <f aca="false">IFERROR(VLOOKUP(E:E,'Item Data Support Sheet'!A:J,6,0),0)</f>
        <v>FO020</v>
      </c>
      <c r="Z487" s="93" t="n">
        <f aca="false">IFERROR(VLOOKUP(E:E,'Item Data Support Sheet'!A:O,4,0),0)</f>
        <v>0</v>
      </c>
      <c r="AA487" s="93" t="n">
        <f aca="false">IFERROR(((N487)*(Z487/1000))+P487,0)</f>
        <v>0</v>
      </c>
      <c r="AB487" s="94" t="str">
        <f aca="false">IFERROR((O487*(Z487/1000)/(AA487))," ")</f>
        <v> </v>
      </c>
      <c r="AC487" s="95" t="n">
        <f aca="false">IFERROR((T487)/((T487)+O487),0)</f>
        <v>0</v>
      </c>
      <c r="AD487" s="96" t="n">
        <f aca="false">IFERROR(Q487/(Q487+N487),0)</f>
        <v>0</v>
      </c>
      <c r="AE487" s="91" t="n">
        <f aca="false">(N487-T487)/N487</f>
        <v>1</v>
      </c>
      <c r="AF487" s="97" t="n">
        <f aca="false">BR487</f>
        <v>0.666666666666667</v>
      </c>
      <c r="AG487" s="98" t="n">
        <f aca="false">K487-AF487</f>
        <v>7.33333333333333</v>
      </c>
      <c r="AH487" s="99" t="n">
        <f aca="false">IFERROR(AG487/K487," ")</f>
        <v>0.916666666666667</v>
      </c>
      <c r="AI487" s="100" t="n">
        <f aca="false">IFERROR(O487/K487,0)</f>
        <v>787.5</v>
      </c>
      <c r="AJ487" s="101" t="n">
        <f aca="false">VLOOKUP(D487,'Standard Cycle time'!C:D,2,0)</f>
        <v>3.5</v>
      </c>
      <c r="AK487" s="101" t="n">
        <f aca="false">AG487*V487*3600/O487</f>
        <v>4.19047619047619</v>
      </c>
      <c r="AL487" s="102" t="n">
        <f aca="false">AJ487/AK487</f>
        <v>0.835227272727273</v>
      </c>
      <c r="AM487" s="99" t="n">
        <f aca="false">AE487*AL487*AH487</f>
        <v>0.765625</v>
      </c>
      <c r="AN487" s="103" t="s">
        <v>1044</v>
      </c>
      <c r="AO487" s="112"/>
      <c r="AP487" s="105" t="n">
        <v>40</v>
      </c>
      <c r="AQ487" s="105" t="n">
        <v>0</v>
      </c>
      <c r="AR487" s="105" t="n">
        <v>0</v>
      </c>
      <c r="AS487" s="105" t="n">
        <v>0</v>
      </c>
      <c r="AT487" s="105" t="n">
        <v>0</v>
      </c>
      <c r="AU487" s="105" t="n">
        <v>0</v>
      </c>
      <c r="AV487" s="105" t="n">
        <v>0</v>
      </c>
      <c r="AW487" s="105" t="n">
        <v>0</v>
      </c>
      <c r="AX487" s="105" t="n">
        <v>0</v>
      </c>
      <c r="AY487" s="105" t="n">
        <v>0</v>
      </c>
      <c r="AZ487" s="105" t="n">
        <v>0</v>
      </c>
      <c r="BA487" s="105" t="n">
        <v>0</v>
      </c>
      <c r="BB487" s="105" t="n">
        <v>0</v>
      </c>
      <c r="BC487" s="105" t="n">
        <v>0</v>
      </c>
      <c r="BD487" s="105" t="n">
        <v>0</v>
      </c>
      <c r="BE487" s="105" t="n">
        <v>0</v>
      </c>
      <c r="BF487" s="105" t="n">
        <v>0</v>
      </c>
      <c r="BG487" s="105" t="n">
        <v>0</v>
      </c>
      <c r="BH487" s="105" t="n">
        <v>0</v>
      </c>
      <c r="BI487" s="105" t="n">
        <v>0</v>
      </c>
      <c r="BJ487" s="105" t="n">
        <v>0</v>
      </c>
      <c r="BK487" s="105" t="n">
        <v>0</v>
      </c>
      <c r="BL487" s="105" t="n">
        <v>0</v>
      </c>
      <c r="BM487" s="105" t="n">
        <v>0</v>
      </c>
      <c r="BN487" s="105" t="n">
        <v>0</v>
      </c>
      <c r="BO487" s="105" t="n">
        <v>0</v>
      </c>
      <c r="BP487" s="105" t="n">
        <v>0</v>
      </c>
      <c r="BQ487" s="105" t="n">
        <v>0</v>
      </c>
      <c r="BR487" s="106" t="n">
        <v>0.666666666666667</v>
      </c>
      <c r="BS487" s="106" t="n">
        <v>0.677777777777778</v>
      </c>
      <c r="BT487" s="107"/>
      <c r="BU487" s="107"/>
      <c r="BV487" s="107"/>
      <c r="BW487" s="107"/>
      <c r="BX487" s="107"/>
      <c r="BY487" s="107"/>
      <c r="BZ487" s="107"/>
      <c r="CA487" s="107"/>
      <c r="CB487" s="107"/>
      <c r="CC487" s="107"/>
      <c r="CD487" s="107"/>
      <c r="CE487" s="107"/>
      <c r="CF487" s="107"/>
      <c r="CG487" s="107"/>
      <c r="CH487" s="107"/>
      <c r="CI487" s="107"/>
      <c r="CJ487" s="107"/>
      <c r="CK487" s="107"/>
      <c r="CL487" s="107"/>
      <c r="CM487" s="107"/>
      <c r="CN487" s="107"/>
      <c r="CO487" s="107"/>
      <c r="CP487" s="107"/>
      <c r="CQ487" s="107"/>
      <c r="CR487" s="107"/>
      <c r="CS487" s="107"/>
      <c r="CT487" s="107"/>
      <c r="CU487" s="107"/>
      <c r="CV487" s="107"/>
    </row>
    <row r="488" customFormat="false" ht="14.9" hidden="false" customHeight="false" outlineLevel="0" collapsed="false">
      <c r="A488" s="74" t="n">
        <f aca="false">MONTH(B488)</f>
        <v>9</v>
      </c>
      <c r="B488" s="135" t="n">
        <v>44449</v>
      </c>
      <c r="C488" s="128" t="s">
        <v>70</v>
      </c>
      <c r="D488" s="77" t="str">
        <f aca="false">IFERROR(VLOOKUP(E:E,'Item Data Support Sheet'!A:O,7,0),"")</f>
        <v>NIPPLE MOLDED</v>
      </c>
      <c r="E488" s="80" t="s">
        <v>136</v>
      </c>
      <c r="F488" s="122" t="s">
        <v>137</v>
      </c>
      <c r="G488" s="137" t="s">
        <v>848</v>
      </c>
      <c r="H488" s="79" t="str">
        <f aca="false">IFERROR(VLOOKUP(E:E,'Item Data Support Sheet'!A:O,2,0),"")</f>
        <v>NIPPLE S TYPE M SIZE INJECTION</v>
      </c>
      <c r="I488" s="80" t="s">
        <v>1045</v>
      </c>
      <c r="J488" s="80" t="s">
        <v>148</v>
      </c>
      <c r="K488" s="81" t="n">
        <v>8</v>
      </c>
      <c r="L488" s="124" t="n">
        <v>4815</v>
      </c>
      <c r="M488" s="83" t="n">
        <f aca="false">IFERROR(L488/K488,0)</f>
        <v>601.875</v>
      </c>
      <c r="N488" s="84" t="n">
        <f aca="false">+O488+Q488+T488+U488</f>
        <v>5455</v>
      </c>
      <c r="O488" s="85" t="n">
        <v>5400</v>
      </c>
      <c r="P488" s="86" t="n">
        <v>0</v>
      </c>
      <c r="Q488" s="86" t="n">
        <v>0</v>
      </c>
      <c r="R488" s="132" t="n">
        <v>0</v>
      </c>
      <c r="S488" s="128" t="n">
        <v>0</v>
      </c>
      <c r="T488" s="132" t="n">
        <v>55</v>
      </c>
      <c r="U488" s="128" t="n">
        <v>0</v>
      </c>
      <c r="V488" s="128" t="n">
        <v>1</v>
      </c>
      <c r="W488" s="90" t="n">
        <f aca="false">IFERROR(O488/V488,0)</f>
        <v>5400</v>
      </c>
      <c r="X488" s="91" t="n">
        <f aca="false">O488/L488</f>
        <v>1.1214953271028</v>
      </c>
      <c r="Y488" s="92" t="str">
        <f aca="false">IFERROR(VLOOKUP(E:E,'Item Data Support Sheet'!A:J,6,0),0)</f>
        <v>Silicon</v>
      </c>
      <c r="Z488" s="93" t="n">
        <f aca="false">IFERROR(VLOOKUP(E:E,'Item Data Support Sheet'!A:O,4,0),0)</f>
        <v>6.8</v>
      </c>
      <c r="AA488" s="93" t="n">
        <f aca="false">IFERROR(((N488)*(Z488/1000))+P488,0)</f>
        <v>37.094</v>
      </c>
      <c r="AB488" s="94" t="n">
        <f aca="false">IFERROR((O488*(Z488/1000)/(AA488))," ")</f>
        <v>0.989917506874427</v>
      </c>
      <c r="AC488" s="95" t="n">
        <f aca="false">IFERROR((T488)/((T488)+O488),0)</f>
        <v>0.0100824931255729</v>
      </c>
      <c r="AD488" s="96" t="n">
        <f aca="false">IFERROR(Q488/(Q488+N488),0)</f>
        <v>0</v>
      </c>
      <c r="AE488" s="91" t="n">
        <f aca="false">(N488-T488)/N488</f>
        <v>0.989917506874427</v>
      </c>
      <c r="AF488" s="97" t="n">
        <f aca="false">BR488</f>
        <v>0</v>
      </c>
      <c r="AG488" s="98" t="n">
        <f aca="false">K488-AF488</f>
        <v>8</v>
      </c>
      <c r="AH488" s="99" t="n">
        <f aca="false">IFERROR(AG488/K488," ")</f>
        <v>1</v>
      </c>
      <c r="AI488" s="100" t="n">
        <f aca="false">IFERROR(O488/K488,0)</f>
        <v>675</v>
      </c>
      <c r="AJ488" s="101" t="n">
        <f aca="false">VLOOKUP(D488,'Standard Cycle time'!C:D,2,0)</f>
        <v>5.25</v>
      </c>
      <c r="AK488" s="101" t="n">
        <f aca="false">AG488*V488*3600/O488</f>
        <v>5.33333333333333</v>
      </c>
      <c r="AL488" s="102" t="n">
        <f aca="false">AJ488/AK488</f>
        <v>0.984375</v>
      </c>
      <c r="AM488" s="99" t="n">
        <f aca="false">AE488*AL488*AH488</f>
        <v>0.974450045829514</v>
      </c>
      <c r="AN488" s="103" t="s">
        <v>1046</v>
      </c>
      <c r="AO488" s="112"/>
      <c r="AP488" s="105" t="n">
        <v>0</v>
      </c>
      <c r="AQ488" s="105" t="n">
        <v>0</v>
      </c>
      <c r="AR488" s="105" t="n">
        <v>0</v>
      </c>
      <c r="AS488" s="105" t="n">
        <v>0</v>
      </c>
      <c r="AT488" s="105" t="n">
        <v>0</v>
      </c>
      <c r="AU488" s="105" t="n">
        <v>0</v>
      </c>
      <c r="AV488" s="105" t="n">
        <v>0</v>
      </c>
      <c r="AW488" s="105" t="n">
        <v>0</v>
      </c>
      <c r="AX488" s="105" t="n">
        <v>0</v>
      </c>
      <c r="AY488" s="105" t="n">
        <v>0</v>
      </c>
      <c r="AZ488" s="105" t="n">
        <v>0</v>
      </c>
      <c r="BA488" s="105" t="n">
        <v>0</v>
      </c>
      <c r="BB488" s="105" t="n">
        <v>0</v>
      </c>
      <c r="BC488" s="105" t="n">
        <v>0</v>
      </c>
      <c r="BD488" s="105" t="n">
        <v>0</v>
      </c>
      <c r="BE488" s="105" t="n">
        <v>0</v>
      </c>
      <c r="BF488" s="105" t="n">
        <v>0</v>
      </c>
      <c r="BG488" s="105" t="n">
        <v>0</v>
      </c>
      <c r="BH488" s="105" t="n">
        <v>0</v>
      </c>
      <c r="BI488" s="105" t="n">
        <v>0</v>
      </c>
      <c r="BJ488" s="105" t="n">
        <v>0</v>
      </c>
      <c r="BK488" s="105" t="n">
        <v>0</v>
      </c>
      <c r="BL488" s="105" t="n">
        <v>0</v>
      </c>
      <c r="BM488" s="105" t="n">
        <v>0</v>
      </c>
      <c r="BN488" s="105" t="n">
        <v>0</v>
      </c>
      <c r="BO488" s="105" t="n">
        <v>0</v>
      </c>
      <c r="BP488" s="105" t="n">
        <v>0</v>
      </c>
      <c r="BQ488" s="105" t="n">
        <v>0</v>
      </c>
      <c r="BR488" s="106" t="n">
        <v>0</v>
      </c>
      <c r="BS488" s="106" t="n">
        <v>0</v>
      </c>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c r="CO488" s="107"/>
      <c r="CP488" s="107"/>
      <c r="CQ488" s="107"/>
      <c r="CR488" s="107"/>
      <c r="CS488" s="107"/>
      <c r="CT488" s="107"/>
      <c r="CU488" s="107"/>
      <c r="CV488" s="107"/>
    </row>
    <row r="489" customFormat="false" ht="14.9" hidden="false" customHeight="false" outlineLevel="0" collapsed="false">
      <c r="A489" s="74" t="n">
        <f aca="false">MONTH(B489)</f>
        <v>9</v>
      </c>
      <c r="B489" s="135" t="n">
        <v>44449</v>
      </c>
      <c r="C489" s="128" t="s">
        <v>70</v>
      </c>
      <c r="D489" s="77" t="str">
        <f aca="false">IFERROR(VLOOKUP(E:E,'Item Data Support Sheet'!A:O,7,0),"")</f>
        <v>HOOD MOLDED</v>
      </c>
      <c r="E489" s="80" t="s">
        <v>529</v>
      </c>
      <c r="F489" s="122"/>
      <c r="G489" s="137"/>
      <c r="H489" s="79" t="str">
        <f aca="false">IFERROR(VLOOKUP(E:E,'Item Data Support Sheet'!A:O,2,0),"")</f>
        <v>HOOD S TYPE MOLDED</v>
      </c>
      <c r="I489" s="80" t="s">
        <v>1047</v>
      </c>
      <c r="J489" s="80" t="s">
        <v>148</v>
      </c>
      <c r="K489" s="81" t="n">
        <v>8</v>
      </c>
      <c r="L489" s="124" t="n">
        <v>4137</v>
      </c>
      <c r="M489" s="83" t="n">
        <f aca="false">IFERROR(L489/K489,0)</f>
        <v>517.125</v>
      </c>
      <c r="N489" s="84" t="n">
        <f aca="false">+O489+Q489+T489+U489</f>
        <v>5012</v>
      </c>
      <c r="O489" s="85" t="n">
        <v>5000</v>
      </c>
      <c r="P489" s="86" t="n">
        <v>0</v>
      </c>
      <c r="Q489" s="86" t="n">
        <v>0</v>
      </c>
      <c r="R489" s="132" t="n">
        <v>0</v>
      </c>
      <c r="S489" s="128" t="n">
        <v>0</v>
      </c>
      <c r="T489" s="132" t="n">
        <v>12</v>
      </c>
      <c r="U489" s="128" t="n">
        <v>0</v>
      </c>
      <c r="V489" s="128" t="n">
        <v>1</v>
      </c>
      <c r="W489" s="90" t="n">
        <f aca="false">IFERROR(O489/V489,0)</f>
        <v>5000</v>
      </c>
      <c r="X489" s="91" t="n">
        <f aca="false">O489/L489</f>
        <v>1.20860526951898</v>
      </c>
      <c r="Y489" s="92" t="str">
        <f aca="false">IFERROR(VLOOKUP(E:E,'Item Data Support Sheet'!A:J,6,0),0)</f>
        <v>HMC</v>
      </c>
      <c r="Z489" s="93" t="n">
        <f aca="false">IFERROR(VLOOKUP(E:E,'Item Data Support Sheet'!A:O,4,0),0)</f>
        <v>8.6</v>
      </c>
      <c r="AA489" s="93" t="n">
        <f aca="false">IFERROR(((N489)*(Z489/1000))+P489,0)</f>
        <v>43.1032</v>
      </c>
      <c r="AB489" s="94" t="n">
        <f aca="false">IFERROR((O489*(Z489/1000)/(AA489))," ")</f>
        <v>0.997605746209098</v>
      </c>
      <c r="AC489" s="95" t="n">
        <f aca="false">IFERROR((T489)/((T489)+O489),0)</f>
        <v>0.00239425379090184</v>
      </c>
      <c r="AD489" s="96" t="n">
        <f aca="false">IFERROR(Q489/(Q489+N489),0)</f>
        <v>0</v>
      </c>
      <c r="AE489" s="91" t="n">
        <f aca="false">(N489-T489)/N489</f>
        <v>0.997605746209098</v>
      </c>
      <c r="AF489" s="97" t="n">
        <f aca="false">BR489</f>
        <v>0</v>
      </c>
      <c r="AG489" s="98" t="n">
        <f aca="false">K489-AF489</f>
        <v>8</v>
      </c>
      <c r="AH489" s="99" t="n">
        <f aca="false">IFERROR(AG489/K489," ")</f>
        <v>1</v>
      </c>
      <c r="AI489" s="100" t="n">
        <f aca="false">IFERROR(O489/K489,0)</f>
        <v>625</v>
      </c>
      <c r="AJ489" s="101" t="n">
        <f aca="false">VLOOKUP(D489,'Standard Cycle time'!C:D,2,0)</f>
        <v>6</v>
      </c>
      <c r="AK489" s="101" t="n">
        <f aca="false">AG489*V489*3600/O489</f>
        <v>5.76</v>
      </c>
      <c r="AL489" s="102" t="n">
        <f aca="false">AJ489/AK489</f>
        <v>1.04166666666667</v>
      </c>
      <c r="AM489" s="99" t="n">
        <f aca="false">AE489*AL489*AH489</f>
        <v>1.03917265230114</v>
      </c>
      <c r="AN489" s="103" t="s">
        <v>1048</v>
      </c>
      <c r="AO489" s="112"/>
      <c r="AP489" s="105" t="n">
        <v>0</v>
      </c>
      <c r="AQ489" s="105" t="n">
        <v>0</v>
      </c>
      <c r="AR489" s="105" t="n">
        <v>0</v>
      </c>
      <c r="AS489" s="105" t="n">
        <v>0</v>
      </c>
      <c r="AT489" s="105" t="n">
        <v>0</v>
      </c>
      <c r="AU489" s="105" t="n">
        <v>0</v>
      </c>
      <c r="AV489" s="105" t="n">
        <v>0</v>
      </c>
      <c r="AW489" s="105" t="n">
        <v>0</v>
      </c>
      <c r="AX489" s="105" t="n">
        <v>0</v>
      </c>
      <c r="AY489" s="105" t="n">
        <v>0</v>
      </c>
      <c r="AZ489" s="105" t="n">
        <v>0</v>
      </c>
      <c r="BA489" s="105" t="n">
        <v>0</v>
      </c>
      <c r="BB489" s="105" t="n">
        <v>0</v>
      </c>
      <c r="BC489" s="105" t="n">
        <v>0</v>
      </c>
      <c r="BD489" s="105" t="n">
        <v>0</v>
      </c>
      <c r="BE489" s="105" t="n">
        <v>0</v>
      </c>
      <c r="BF489" s="105" t="n">
        <v>0</v>
      </c>
      <c r="BG489" s="105" t="n">
        <v>0</v>
      </c>
      <c r="BH489" s="105" t="n">
        <v>0</v>
      </c>
      <c r="BI489" s="105" t="n">
        <v>0</v>
      </c>
      <c r="BJ489" s="105" t="n">
        <v>0</v>
      </c>
      <c r="BK489" s="105" t="n">
        <v>0</v>
      </c>
      <c r="BL489" s="105" t="n">
        <v>0</v>
      </c>
      <c r="BM489" s="105" t="n">
        <v>0</v>
      </c>
      <c r="BN489" s="105" t="n">
        <v>0</v>
      </c>
      <c r="BO489" s="105" t="n">
        <v>0</v>
      </c>
      <c r="BP489" s="105" t="n">
        <v>0</v>
      </c>
      <c r="BQ489" s="105" t="n">
        <v>0</v>
      </c>
      <c r="BR489" s="106" t="n">
        <v>0</v>
      </c>
      <c r="BS489" s="106" t="n">
        <v>0</v>
      </c>
      <c r="BT489" s="107"/>
      <c r="BU489" s="107"/>
      <c r="BV489" s="107"/>
      <c r="BW489" s="107"/>
      <c r="BX489" s="107"/>
      <c r="BY489" s="107"/>
      <c r="BZ489" s="107"/>
      <c r="CA489" s="107"/>
      <c r="CB489" s="107"/>
      <c r="CC489" s="107"/>
      <c r="CD489" s="107"/>
      <c r="CE489" s="107"/>
      <c r="CF489" s="107"/>
      <c r="CG489" s="107"/>
      <c r="CH489" s="107"/>
      <c r="CI489" s="107"/>
      <c r="CJ489" s="107"/>
      <c r="CK489" s="107"/>
      <c r="CL489" s="107"/>
      <c r="CM489" s="107"/>
      <c r="CN489" s="107"/>
      <c r="CO489" s="107"/>
      <c r="CP489" s="107"/>
      <c r="CQ489" s="107"/>
      <c r="CR489" s="107"/>
      <c r="CS489" s="107"/>
      <c r="CT489" s="107"/>
      <c r="CU489" s="107"/>
      <c r="CV489" s="107"/>
    </row>
    <row r="490" customFormat="false" ht="14.9" hidden="false" customHeight="false" outlineLevel="0" collapsed="false">
      <c r="A490" s="74" t="n">
        <f aca="false">MONTH(B490)</f>
        <v>9</v>
      </c>
      <c r="B490" s="135" t="n">
        <v>44449</v>
      </c>
      <c r="C490" s="128" t="s">
        <v>70</v>
      </c>
      <c r="D490" s="77" t="str">
        <f aca="false">IFERROR(VLOOKUP(E:E,'Item Data Support Sheet'!A:O,7,0),"")</f>
        <v>BOTTLE PRINTED</v>
      </c>
      <c r="E490" s="80" t="s">
        <v>65</v>
      </c>
      <c r="F490" s="122"/>
      <c r="G490" s="137" t="s">
        <v>66</v>
      </c>
      <c r="H490" s="79" t="str">
        <f aca="false">IFERROR(VLOOKUP(E:E,'Item Data Support Sheet'!A:O,2,0),"")</f>
        <v>KPP 240 ML BOTTLE PRINTED</v>
      </c>
      <c r="I490" s="80" t="s">
        <v>1049</v>
      </c>
      <c r="J490" s="80" t="s">
        <v>148</v>
      </c>
      <c r="K490" s="81" t="n">
        <v>8</v>
      </c>
      <c r="L490" s="124" t="n">
        <v>5100</v>
      </c>
      <c r="M490" s="83" t="n">
        <f aca="false">IFERROR(L490/K490,0)</f>
        <v>637.5</v>
      </c>
      <c r="N490" s="84" t="n">
        <f aca="false">+O490+Q490+T490+U490</f>
        <v>2392</v>
      </c>
      <c r="O490" s="85" t="n">
        <v>2376</v>
      </c>
      <c r="P490" s="86" t="n">
        <v>0</v>
      </c>
      <c r="Q490" s="86" t="n">
        <v>0</v>
      </c>
      <c r="R490" s="132" t="n">
        <v>18</v>
      </c>
      <c r="S490" s="128" t="n">
        <v>0</v>
      </c>
      <c r="T490" s="132" t="n">
        <v>16</v>
      </c>
      <c r="U490" s="128" t="n">
        <v>0</v>
      </c>
      <c r="V490" s="128" t="n">
        <v>6</v>
      </c>
      <c r="W490" s="90" t="n">
        <f aca="false">IFERROR(O490/V490,0)</f>
        <v>396</v>
      </c>
      <c r="X490" s="91" t="n">
        <f aca="false">O490/L490</f>
        <v>0.465882352941176</v>
      </c>
      <c r="Y490" s="92" t="str">
        <f aca="false">IFERROR(VLOOKUP(E:E,'Item Data Support Sheet'!A:J,6,0),0)</f>
        <v>FO003</v>
      </c>
      <c r="Z490" s="93" t="n">
        <f aca="false">IFERROR(VLOOKUP(E:E,'Item Data Support Sheet'!A:O,4,0),0)</f>
        <v>0</v>
      </c>
      <c r="AA490" s="93" t="n">
        <f aca="false">IFERROR(((N490)*(Z490/1000))+P490,0)</f>
        <v>0</v>
      </c>
      <c r="AB490" s="94" t="str">
        <f aca="false">IFERROR((O490*(Z490/1000)/(AA490))," ")</f>
        <v> </v>
      </c>
      <c r="AC490" s="95" t="n">
        <f aca="false">IFERROR((T490)/((T490)+O490),0)</f>
        <v>0.00668896321070234</v>
      </c>
      <c r="AD490" s="96" t="n">
        <f aca="false">IFERROR(Q490/(Q490+N490),0)</f>
        <v>0</v>
      </c>
      <c r="AE490" s="91" t="n">
        <f aca="false">(N490-T490)/N490</f>
        <v>0.993311036789298</v>
      </c>
      <c r="AF490" s="97" t="n">
        <f aca="false">BR490</f>
        <v>4.5</v>
      </c>
      <c r="AG490" s="98" t="n">
        <f aca="false">K490-AF490</f>
        <v>3.5</v>
      </c>
      <c r="AH490" s="99" t="n">
        <f aca="false">IFERROR(AG490/K490," ")</f>
        <v>0.4375</v>
      </c>
      <c r="AI490" s="100" t="n">
        <f aca="false">IFERROR(O490/K490,0)</f>
        <v>297</v>
      </c>
      <c r="AJ490" s="101" t="n">
        <f aca="false">VLOOKUP(D490,'Standard Cycle time'!C:D,2,0)</f>
        <v>32.4</v>
      </c>
      <c r="AK490" s="101" t="n">
        <f aca="false">AG490*V490*3600/O490</f>
        <v>31.8181818181818</v>
      </c>
      <c r="AL490" s="102" t="n">
        <f aca="false">AJ490/AK490</f>
        <v>1.01828571428571</v>
      </c>
      <c r="AM490" s="99" t="n">
        <f aca="false">AE490*AL490*AH490</f>
        <v>0.442520066889632</v>
      </c>
      <c r="AN490" s="103" t="s">
        <v>869</v>
      </c>
      <c r="AO490" s="112" t="s">
        <v>1050</v>
      </c>
      <c r="AP490" s="105" t="n">
        <v>40</v>
      </c>
      <c r="AQ490" s="105" t="n">
        <v>0</v>
      </c>
      <c r="AR490" s="105" t="n">
        <v>0</v>
      </c>
      <c r="AS490" s="105" t="n">
        <v>0</v>
      </c>
      <c r="AT490" s="105" t="n">
        <v>0</v>
      </c>
      <c r="AU490" s="105" t="n">
        <v>0</v>
      </c>
      <c r="AV490" s="105" t="n">
        <v>60</v>
      </c>
      <c r="AW490" s="105" t="n">
        <v>170</v>
      </c>
      <c r="AX490" s="105" t="n">
        <v>0</v>
      </c>
      <c r="AY490" s="105" t="n">
        <v>0</v>
      </c>
      <c r="AZ490" s="105" t="n">
        <v>0</v>
      </c>
      <c r="BA490" s="105" t="n">
        <v>0</v>
      </c>
      <c r="BB490" s="105" t="n">
        <v>0</v>
      </c>
      <c r="BC490" s="105" t="n">
        <v>0</v>
      </c>
      <c r="BD490" s="105" t="n">
        <v>0</v>
      </c>
      <c r="BE490" s="105" t="n">
        <v>0</v>
      </c>
      <c r="BF490" s="105" t="n">
        <v>0</v>
      </c>
      <c r="BG490" s="105" t="n">
        <v>0</v>
      </c>
      <c r="BH490" s="105" t="n">
        <v>0</v>
      </c>
      <c r="BI490" s="105" t="n">
        <v>0</v>
      </c>
      <c r="BJ490" s="105" t="n">
        <v>0</v>
      </c>
      <c r="BK490" s="105" t="n">
        <v>0</v>
      </c>
      <c r="BL490" s="105" t="n">
        <v>0</v>
      </c>
      <c r="BM490" s="105" t="n">
        <v>0</v>
      </c>
      <c r="BN490" s="105" t="n">
        <v>0</v>
      </c>
      <c r="BO490" s="105" t="n">
        <v>0</v>
      </c>
      <c r="BP490" s="105" t="n">
        <v>0</v>
      </c>
      <c r="BQ490" s="105" t="n">
        <v>0</v>
      </c>
      <c r="BR490" s="106" t="n">
        <v>4.5</v>
      </c>
      <c r="BS490" s="106" t="n">
        <v>4.575</v>
      </c>
      <c r="BT490" s="107"/>
      <c r="BU490" s="107"/>
      <c r="BV490" s="107"/>
      <c r="BW490" s="107"/>
      <c r="BX490" s="107"/>
      <c r="BY490" s="107"/>
      <c r="BZ490" s="107"/>
      <c r="CA490" s="107"/>
      <c r="CB490" s="107"/>
      <c r="CC490" s="107"/>
      <c r="CD490" s="107"/>
      <c r="CE490" s="107"/>
      <c r="CF490" s="107"/>
      <c r="CG490" s="107"/>
      <c r="CH490" s="107"/>
      <c r="CI490" s="107"/>
      <c r="CJ490" s="107"/>
      <c r="CK490" s="107"/>
      <c r="CL490" s="107"/>
      <c r="CM490" s="107"/>
      <c r="CN490" s="107"/>
      <c r="CO490" s="107"/>
      <c r="CP490" s="107"/>
      <c r="CQ490" s="107"/>
      <c r="CR490" s="107"/>
      <c r="CS490" s="107"/>
      <c r="CT490" s="107"/>
      <c r="CU490" s="107"/>
      <c r="CV490" s="107"/>
    </row>
    <row r="491" customFormat="false" ht="14.9" hidden="false" customHeight="false" outlineLevel="0" collapsed="false">
      <c r="A491" s="74" t="n">
        <f aca="false">MONTH(B491)</f>
        <v>9</v>
      </c>
      <c r="B491" s="135" t="n">
        <v>44449</v>
      </c>
      <c r="C491" s="128" t="s">
        <v>152</v>
      </c>
      <c r="D491" s="77" t="str">
        <f aca="false">IFERROR(VLOOKUP(E:E,'Item Data Support Sheet'!A:O,7,0),"")</f>
        <v>NIPPLE MOLDED</v>
      </c>
      <c r="E491" s="80" t="s">
        <v>136</v>
      </c>
      <c r="F491" s="122" t="s">
        <v>137</v>
      </c>
      <c r="G491" s="137" t="s">
        <v>848</v>
      </c>
      <c r="H491" s="79" t="str">
        <f aca="false">IFERROR(VLOOKUP(E:E,'Item Data Support Sheet'!A:O,2,0),"")</f>
        <v>NIPPLE S TYPE M SIZE INJECTION</v>
      </c>
      <c r="I491" s="80" t="s">
        <v>1051</v>
      </c>
      <c r="J491" s="80" t="s">
        <v>815</v>
      </c>
      <c r="K491" s="81" t="n">
        <v>8</v>
      </c>
      <c r="L491" s="124" t="n">
        <v>3600</v>
      </c>
      <c r="M491" s="83" t="n">
        <f aca="false">IFERROR(L491/K491,0)</f>
        <v>450</v>
      </c>
      <c r="N491" s="84" t="n">
        <f aca="false">+O491+Q491+T491+U491</f>
        <v>2326</v>
      </c>
      <c r="O491" s="85" t="n">
        <v>2280</v>
      </c>
      <c r="P491" s="86" t="n">
        <v>15.69</v>
      </c>
      <c r="Q491" s="86" t="n">
        <v>21</v>
      </c>
      <c r="R491" s="132" t="n">
        <v>0</v>
      </c>
      <c r="S491" s="128" t="n">
        <v>0</v>
      </c>
      <c r="T491" s="132" t="n">
        <v>17</v>
      </c>
      <c r="U491" s="128" t="n">
        <v>8</v>
      </c>
      <c r="V491" s="128" t="n">
        <v>1</v>
      </c>
      <c r="W491" s="90" t="n">
        <f aca="false">IFERROR(O491/V491,0)</f>
        <v>2280</v>
      </c>
      <c r="X491" s="91" t="n">
        <f aca="false">O491/L491</f>
        <v>0.633333333333333</v>
      </c>
      <c r="Y491" s="92" t="str">
        <f aca="false">IFERROR(VLOOKUP(E:E,'Item Data Support Sheet'!A:J,6,0),0)</f>
        <v>Silicon</v>
      </c>
      <c r="Z491" s="93" t="n">
        <f aca="false">IFERROR(VLOOKUP(E:E,'Item Data Support Sheet'!A:O,4,0),0)</f>
        <v>6.8</v>
      </c>
      <c r="AA491" s="93" t="n">
        <f aca="false">IFERROR(((N491)*(Z491/1000))+P491,0)</f>
        <v>31.5068</v>
      </c>
      <c r="AB491" s="94" t="n">
        <f aca="false">IFERROR((O491*(Z491/1000)/(AA491))," ")</f>
        <v>0.492084248479693</v>
      </c>
      <c r="AC491" s="95" t="n">
        <f aca="false">IFERROR((T491)/((T491)+O491),0)</f>
        <v>0.00740095777100566</v>
      </c>
      <c r="AD491" s="96" t="n">
        <f aca="false">IFERROR(Q491/(Q491+N491),0)</f>
        <v>0.00894759267149553</v>
      </c>
      <c r="AE491" s="91" t="n">
        <f aca="false">(N491-T491)/N491</f>
        <v>0.992691315563199</v>
      </c>
      <c r="AF491" s="97" t="n">
        <f aca="false">BR491</f>
        <v>4</v>
      </c>
      <c r="AG491" s="98" t="n">
        <f aca="false">K491-AF491</f>
        <v>4</v>
      </c>
      <c r="AH491" s="99" t="n">
        <f aca="false">IFERROR(AG491/K491," ")</f>
        <v>0.5</v>
      </c>
      <c r="AI491" s="100" t="n">
        <f aca="false">IFERROR(O491/K491,0)</f>
        <v>285</v>
      </c>
      <c r="AJ491" s="101" t="n">
        <f aca="false">VLOOKUP(D491,'Standard Cycle time'!C:D,2,0)</f>
        <v>5.25</v>
      </c>
      <c r="AK491" s="101" t="n">
        <f aca="false">AG491*V491*3600/O491</f>
        <v>6.31578947368421</v>
      </c>
      <c r="AL491" s="102" t="n">
        <f aca="false">AJ491/AK491</f>
        <v>0.83125</v>
      </c>
      <c r="AM491" s="99" t="n">
        <f aca="false">AE491*AL491*AH491</f>
        <v>0.412587328030954</v>
      </c>
      <c r="AN491" s="103" t="n">
        <v>3155</v>
      </c>
      <c r="AO491" s="112" t="s">
        <v>1052</v>
      </c>
      <c r="AP491" s="105" t="n">
        <v>0</v>
      </c>
      <c r="AQ491" s="105" t="n">
        <v>40</v>
      </c>
      <c r="AR491" s="105" t="n">
        <v>0</v>
      </c>
      <c r="AS491" s="105" t="n">
        <v>0</v>
      </c>
      <c r="AT491" s="105" t="n">
        <v>0</v>
      </c>
      <c r="AU491" s="105" t="n">
        <v>0</v>
      </c>
      <c r="AV491" s="105" t="n">
        <v>0</v>
      </c>
      <c r="AW491" s="105" t="n">
        <v>0</v>
      </c>
      <c r="AX491" s="105" t="n">
        <v>0</v>
      </c>
      <c r="AY491" s="105" t="n">
        <v>0</v>
      </c>
      <c r="AZ491" s="105" t="n">
        <v>0</v>
      </c>
      <c r="BA491" s="105" t="n">
        <v>0</v>
      </c>
      <c r="BB491" s="105" t="n">
        <v>200</v>
      </c>
      <c r="BC491" s="105" t="n">
        <v>0</v>
      </c>
      <c r="BD491" s="105" t="n">
        <v>0</v>
      </c>
      <c r="BE491" s="105" t="n">
        <v>0</v>
      </c>
      <c r="BF491" s="105" t="n">
        <v>0</v>
      </c>
      <c r="BG491" s="105" t="n">
        <v>0</v>
      </c>
      <c r="BH491" s="105" t="n">
        <v>0</v>
      </c>
      <c r="BI491" s="105" t="n">
        <v>0</v>
      </c>
      <c r="BJ491" s="105" t="n">
        <v>0</v>
      </c>
      <c r="BK491" s="105" t="n">
        <v>0</v>
      </c>
      <c r="BL491" s="105" t="n">
        <v>0</v>
      </c>
      <c r="BM491" s="105" t="n">
        <v>0</v>
      </c>
      <c r="BN491" s="105" t="n">
        <v>0</v>
      </c>
      <c r="BO491" s="105" t="n">
        <v>0</v>
      </c>
      <c r="BP491" s="105" t="n">
        <v>0</v>
      </c>
      <c r="BQ491" s="105" t="n">
        <v>0</v>
      </c>
      <c r="BR491" s="106" t="n">
        <v>4</v>
      </c>
      <c r="BS491" s="106" t="n">
        <v>4.06666666666667</v>
      </c>
      <c r="BT491" s="107"/>
      <c r="BU491" s="107"/>
      <c r="BV491" s="107"/>
      <c r="BW491" s="107"/>
      <c r="BX491" s="107"/>
      <c r="BY491" s="107"/>
      <c r="BZ491" s="107"/>
      <c r="CA491" s="107"/>
      <c r="CB491" s="107"/>
      <c r="CC491" s="107"/>
      <c r="CD491" s="107"/>
      <c r="CE491" s="107"/>
      <c r="CF491" s="107"/>
      <c r="CG491" s="107"/>
      <c r="CH491" s="107"/>
      <c r="CI491" s="107"/>
      <c r="CJ491" s="107"/>
      <c r="CK491" s="107"/>
      <c r="CL491" s="107"/>
      <c r="CM491" s="107"/>
      <c r="CN491" s="107"/>
      <c r="CO491" s="107"/>
      <c r="CP491" s="107"/>
      <c r="CQ491" s="107"/>
      <c r="CR491" s="107"/>
      <c r="CS491" s="107"/>
      <c r="CT491" s="107"/>
      <c r="CU491" s="107"/>
      <c r="CV491" s="107"/>
    </row>
    <row r="492" customFormat="false" ht="14.9" hidden="false" customHeight="false" outlineLevel="0" collapsed="false">
      <c r="A492" s="74" t="n">
        <f aca="false">MONTH(B492)</f>
        <v>9</v>
      </c>
      <c r="B492" s="135" t="n">
        <v>44449</v>
      </c>
      <c r="C492" s="128" t="s">
        <v>152</v>
      </c>
      <c r="D492" s="77" t="str">
        <f aca="false">IFERROR(VLOOKUP(E:E,'Item Data Support Sheet'!A:O,7,0),"")</f>
        <v>HOOD MOLDED</v>
      </c>
      <c r="E492" s="80" t="s">
        <v>529</v>
      </c>
      <c r="F492" s="122"/>
      <c r="G492" s="137" t="s">
        <v>740</v>
      </c>
      <c r="H492" s="79" t="str">
        <f aca="false">IFERROR(VLOOKUP(E:E,'Item Data Support Sheet'!A:O,2,0),"")</f>
        <v>HOOD S TYPE MOLDED</v>
      </c>
      <c r="I492" s="80" t="s">
        <v>1053</v>
      </c>
      <c r="J492" s="80" t="s">
        <v>815</v>
      </c>
      <c r="K492" s="81" t="n">
        <v>8</v>
      </c>
      <c r="L492" s="124" t="n">
        <v>4137</v>
      </c>
      <c r="M492" s="83" t="n">
        <f aca="false">IFERROR(L492/K492,0)</f>
        <v>517.125</v>
      </c>
      <c r="N492" s="84" t="n">
        <f aca="false">+O492+Q492+T492+U492</f>
        <v>5517</v>
      </c>
      <c r="O492" s="85" t="n">
        <v>5500</v>
      </c>
      <c r="P492" s="86" t="n">
        <v>0</v>
      </c>
      <c r="Q492" s="86" t="n">
        <v>0</v>
      </c>
      <c r="R492" s="132" t="n">
        <v>0</v>
      </c>
      <c r="S492" s="128" t="n">
        <v>0</v>
      </c>
      <c r="T492" s="132" t="n">
        <v>9</v>
      </c>
      <c r="U492" s="128" t="n">
        <v>8</v>
      </c>
      <c r="V492" s="128" t="n">
        <v>1</v>
      </c>
      <c r="W492" s="90" t="n">
        <f aca="false">IFERROR(O492/V492,0)</f>
        <v>5500</v>
      </c>
      <c r="X492" s="91" t="n">
        <f aca="false">O492/L492</f>
        <v>1.32946579647087</v>
      </c>
      <c r="Y492" s="92" t="str">
        <f aca="false">IFERROR(VLOOKUP(E:E,'Item Data Support Sheet'!A:J,6,0),0)</f>
        <v>HMC</v>
      </c>
      <c r="Z492" s="93" t="n">
        <f aca="false">IFERROR(VLOOKUP(E:E,'Item Data Support Sheet'!A:O,4,0),0)</f>
        <v>8.6</v>
      </c>
      <c r="AA492" s="93" t="n">
        <f aca="false">IFERROR(((N492)*(Z492/1000))+P492,0)</f>
        <v>47.4462</v>
      </c>
      <c r="AB492" s="94" t="n">
        <f aca="false">IFERROR((O492*(Z492/1000)/(AA492))," ")</f>
        <v>0.996918615189414</v>
      </c>
      <c r="AC492" s="95" t="n">
        <f aca="false">IFERROR((T492)/((T492)+O492),0)</f>
        <v>0.00163369032492285</v>
      </c>
      <c r="AD492" s="96" t="n">
        <f aca="false">IFERROR(Q492/(Q492+N492),0)</f>
        <v>0</v>
      </c>
      <c r="AE492" s="91" t="n">
        <f aca="false">(N492-T492)/N492</f>
        <v>0.99836867862969</v>
      </c>
      <c r="AF492" s="97" t="n">
        <f aca="false">BR492</f>
        <v>0</v>
      </c>
      <c r="AG492" s="98" t="n">
        <f aca="false">K492-AF492</f>
        <v>8</v>
      </c>
      <c r="AH492" s="99" t="n">
        <f aca="false">IFERROR(AG492/K492," ")</f>
        <v>1</v>
      </c>
      <c r="AI492" s="100" t="n">
        <f aca="false">IFERROR(O492/K492,0)</f>
        <v>687.5</v>
      </c>
      <c r="AJ492" s="101" t="n">
        <f aca="false">VLOOKUP(D492,'Standard Cycle time'!C:D,2,0)</f>
        <v>6</v>
      </c>
      <c r="AK492" s="101" t="n">
        <f aca="false">AG492*V492*3600/O492</f>
        <v>5.23636363636364</v>
      </c>
      <c r="AL492" s="102" t="n">
        <f aca="false">AJ492/AK492</f>
        <v>1.14583333333333</v>
      </c>
      <c r="AM492" s="99" t="n">
        <f aca="false">AE492*AL492*AH492</f>
        <v>1.14396411092985</v>
      </c>
      <c r="AN492" s="103" t="n">
        <v>3155</v>
      </c>
      <c r="AO492" s="112"/>
      <c r="AP492" s="105" t="n">
        <v>0</v>
      </c>
      <c r="AQ492" s="105" t="n">
        <v>0</v>
      </c>
      <c r="AR492" s="105" t="n">
        <v>0</v>
      </c>
      <c r="AS492" s="105" t="n">
        <v>0</v>
      </c>
      <c r="AT492" s="105" t="n">
        <v>0</v>
      </c>
      <c r="AU492" s="105" t="n">
        <v>0</v>
      </c>
      <c r="AV492" s="105" t="n">
        <v>0</v>
      </c>
      <c r="AW492" s="105" t="n">
        <v>0</v>
      </c>
      <c r="AX492" s="105" t="n">
        <v>0</v>
      </c>
      <c r="AY492" s="105" t="n">
        <v>0</v>
      </c>
      <c r="AZ492" s="105" t="n">
        <v>0</v>
      </c>
      <c r="BA492" s="105" t="n">
        <v>0</v>
      </c>
      <c r="BB492" s="105" t="n">
        <v>0</v>
      </c>
      <c r="BC492" s="105" t="n">
        <v>0</v>
      </c>
      <c r="BD492" s="105" t="n">
        <v>0</v>
      </c>
      <c r="BE492" s="105" t="n">
        <v>0</v>
      </c>
      <c r="BF492" s="105" t="n">
        <v>0</v>
      </c>
      <c r="BG492" s="105" t="n">
        <v>0</v>
      </c>
      <c r="BH492" s="105" t="n">
        <v>0</v>
      </c>
      <c r="BI492" s="105" t="n">
        <v>0</v>
      </c>
      <c r="BJ492" s="105" t="n">
        <v>0</v>
      </c>
      <c r="BK492" s="105" t="n">
        <v>0</v>
      </c>
      <c r="BL492" s="105" t="n">
        <v>0</v>
      </c>
      <c r="BM492" s="105" t="n">
        <v>0</v>
      </c>
      <c r="BN492" s="105" t="n">
        <v>0</v>
      </c>
      <c r="BO492" s="105" t="n">
        <v>0</v>
      </c>
      <c r="BP492" s="105" t="n">
        <v>0</v>
      </c>
      <c r="BQ492" s="105" t="n">
        <v>0</v>
      </c>
      <c r="BR492" s="106" t="n">
        <v>0</v>
      </c>
      <c r="BS492" s="106" t="n">
        <v>0</v>
      </c>
      <c r="BT492" s="107"/>
      <c r="BU492" s="107"/>
      <c r="BV492" s="107"/>
      <c r="BW492" s="107"/>
      <c r="BX492" s="107"/>
      <c r="BY492" s="107"/>
      <c r="BZ492" s="107"/>
      <c r="CA492" s="107"/>
      <c r="CB492" s="107"/>
      <c r="CC492" s="107"/>
      <c r="CD492" s="107"/>
      <c r="CE492" s="107"/>
      <c r="CF492" s="107"/>
      <c r="CG492" s="107"/>
      <c r="CH492" s="107"/>
      <c r="CI492" s="107"/>
      <c r="CJ492" s="107"/>
      <c r="CK492" s="107"/>
      <c r="CL492" s="107"/>
      <c r="CM492" s="107"/>
      <c r="CN492" s="107"/>
      <c r="CO492" s="107"/>
      <c r="CP492" s="107"/>
      <c r="CQ492" s="107"/>
      <c r="CR492" s="107"/>
      <c r="CS492" s="107"/>
      <c r="CT492" s="107"/>
      <c r="CU492" s="107"/>
      <c r="CV492" s="107"/>
    </row>
    <row r="493" customFormat="false" ht="14.9" hidden="false" customHeight="false" outlineLevel="0" collapsed="false">
      <c r="A493" s="74" t="n">
        <f aca="false">MONTH(B493)</f>
        <v>9</v>
      </c>
      <c r="B493" s="135" t="n">
        <v>44452</v>
      </c>
      <c r="C493" s="128" t="s">
        <v>51</v>
      </c>
      <c r="D493" s="77" t="str">
        <f aca="false">IFERROR(VLOOKUP(E:E,'Item Data Support Sheet'!A:O,7,0),"")</f>
        <v>BOTTLE MOLDED</v>
      </c>
      <c r="E493" s="80" t="s">
        <v>235</v>
      </c>
      <c r="F493" s="122" t="s">
        <v>216</v>
      </c>
      <c r="G493" s="137" t="s">
        <v>80</v>
      </c>
      <c r="H493" s="79" t="str">
        <f aca="false">IFERROR(VLOOKUP(E:E,'Item Data Support Sheet'!A:O,2,0),"")</f>
        <v>KPP 200 ML BOTTLE MOLDED</v>
      </c>
      <c r="I493" s="80" t="s">
        <v>1054</v>
      </c>
      <c r="J493" s="80" t="s">
        <v>148</v>
      </c>
      <c r="K493" s="81" t="n">
        <v>8</v>
      </c>
      <c r="L493" s="124" t="n">
        <v>2574</v>
      </c>
      <c r="M493" s="83" t="n">
        <f aca="false">IFERROR(L493/K493,0)</f>
        <v>321.75</v>
      </c>
      <c r="N493" s="84" t="n">
        <f aca="false">+O493+Q493+T493+U493</f>
        <v>2164</v>
      </c>
      <c r="O493" s="85" t="n">
        <v>2052</v>
      </c>
      <c r="P493" s="86" t="n">
        <v>0.18</v>
      </c>
      <c r="Q493" s="86" t="n">
        <v>42</v>
      </c>
      <c r="R493" s="132" t="n">
        <v>0</v>
      </c>
      <c r="S493" s="128" t="n">
        <v>0</v>
      </c>
      <c r="T493" s="132" t="n">
        <v>62</v>
      </c>
      <c r="U493" s="128" t="n">
        <v>8</v>
      </c>
      <c r="V493" s="128" t="n">
        <v>1</v>
      </c>
      <c r="W493" s="90" t="n">
        <f aca="false">IFERROR(O493/V493,0)</f>
        <v>2052</v>
      </c>
      <c r="X493" s="91" t="n">
        <f aca="false">O493/L493</f>
        <v>0.797202797202797</v>
      </c>
      <c r="Y493" s="92" t="str">
        <f aca="false">IFERROR(VLOOKUP(E:E,'Item Data Support Sheet'!A:J,6,0),0)</f>
        <v>HMC</v>
      </c>
      <c r="Z493" s="93" t="n">
        <f aca="false">IFERROR(VLOOKUP(E:E,'Item Data Support Sheet'!A:O,4,0),0)</f>
        <v>28.1</v>
      </c>
      <c r="AA493" s="93" t="n">
        <f aca="false">IFERROR(((N493)*(Z493/1000))+P493,0)</f>
        <v>60.9884</v>
      </c>
      <c r="AB493" s="94" t="n">
        <f aca="false">IFERROR((O493*(Z493/1000)/(AA493))," ")</f>
        <v>0.945445363380577</v>
      </c>
      <c r="AC493" s="95" t="n">
        <f aca="false">IFERROR((T493)/((T493)+O493),0)</f>
        <v>0.0293282876064333</v>
      </c>
      <c r="AD493" s="96" t="n">
        <f aca="false">IFERROR(Q493/(Q493+N493),0)</f>
        <v>0.0190389845874887</v>
      </c>
      <c r="AE493" s="91" t="n">
        <f aca="false">(N493-T493)/N493</f>
        <v>0.971349353049908</v>
      </c>
      <c r="AF493" s="97" t="n">
        <f aca="false">BR493</f>
        <v>2.66666666666667</v>
      </c>
      <c r="AG493" s="98" t="n">
        <f aca="false">K493-AF493</f>
        <v>5.33333333333333</v>
      </c>
      <c r="AH493" s="99" t="n">
        <f aca="false">IFERROR(AG493/K493," ")</f>
        <v>0.666666666666666</v>
      </c>
      <c r="AI493" s="100" t="n">
        <f aca="false">IFERROR(O493/K493,0)</f>
        <v>256.5</v>
      </c>
      <c r="AJ493" s="101" t="n">
        <f aca="false">VLOOKUP(D493,'Standard Cycle time'!C:D,2,0)</f>
        <v>9</v>
      </c>
      <c r="AK493" s="101" t="n">
        <f aca="false">AG493*V493*3600/O493</f>
        <v>9.35672514619882</v>
      </c>
      <c r="AL493" s="102" t="n">
        <f aca="false">AJ493/AK493</f>
        <v>0.961875000000001</v>
      </c>
      <c r="AM493" s="99" t="n">
        <f aca="false">AE493*AL493*AH493</f>
        <v>0.622877772643253</v>
      </c>
      <c r="AN493" s="103" t="s">
        <v>1055</v>
      </c>
      <c r="AO493" s="112" t="s">
        <v>1056</v>
      </c>
      <c r="AP493" s="105" t="n">
        <v>0</v>
      </c>
      <c r="AQ493" s="105" t="n">
        <v>0</v>
      </c>
      <c r="AR493" s="105" t="n">
        <v>100</v>
      </c>
      <c r="AS493" s="105" t="n">
        <v>0</v>
      </c>
      <c r="AT493" s="105" t="n">
        <v>0</v>
      </c>
      <c r="AU493" s="105" t="n">
        <v>0</v>
      </c>
      <c r="AV493" s="105" t="n">
        <v>0</v>
      </c>
      <c r="AW493" s="105" t="n">
        <v>0</v>
      </c>
      <c r="AX493" s="105" t="n">
        <v>0</v>
      </c>
      <c r="AY493" s="105" t="n">
        <v>0</v>
      </c>
      <c r="AZ493" s="105" t="n">
        <v>0</v>
      </c>
      <c r="BA493" s="105" t="n">
        <v>0</v>
      </c>
      <c r="BB493" s="105" t="n">
        <v>60</v>
      </c>
      <c r="BC493" s="105" t="n">
        <v>0</v>
      </c>
      <c r="BD493" s="105" t="n">
        <v>0</v>
      </c>
      <c r="BE493" s="105" t="n">
        <v>0</v>
      </c>
      <c r="BF493" s="105" t="n">
        <v>0</v>
      </c>
      <c r="BG493" s="105" t="n">
        <v>0</v>
      </c>
      <c r="BH493" s="105" t="n">
        <v>0</v>
      </c>
      <c r="BI493" s="105" t="n">
        <v>0</v>
      </c>
      <c r="BJ493" s="105" t="n">
        <v>0</v>
      </c>
      <c r="BK493" s="105" t="n">
        <v>0</v>
      </c>
      <c r="BL493" s="105" t="n">
        <v>0</v>
      </c>
      <c r="BM493" s="105" t="n">
        <v>0</v>
      </c>
      <c r="BN493" s="105" t="n">
        <v>0</v>
      </c>
      <c r="BO493" s="105" t="n">
        <v>0</v>
      </c>
      <c r="BP493" s="105" t="n">
        <v>0</v>
      </c>
      <c r="BQ493" s="105" t="n">
        <v>0</v>
      </c>
      <c r="BR493" s="106" t="n">
        <v>2.66666666666667</v>
      </c>
      <c r="BS493" s="106" t="n">
        <v>2.71111111111111</v>
      </c>
      <c r="BT493" s="107"/>
      <c r="BU493" s="107"/>
      <c r="BV493" s="107"/>
      <c r="BW493" s="107"/>
      <c r="BX493" s="107"/>
      <c r="BY493" s="107"/>
      <c r="BZ493" s="107"/>
      <c r="CA493" s="107"/>
      <c r="CB493" s="107"/>
      <c r="CC493" s="107"/>
      <c r="CD493" s="107"/>
      <c r="CE493" s="107"/>
      <c r="CF493" s="107"/>
      <c r="CG493" s="107"/>
      <c r="CH493" s="107"/>
      <c r="CI493" s="107"/>
      <c r="CJ493" s="107"/>
      <c r="CK493" s="107"/>
      <c r="CL493" s="107"/>
      <c r="CM493" s="107"/>
      <c r="CN493" s="107"/>
      <c r="CO493" s="107"/>
      <c r="CP493" s="107"/>
      <c r="CQ493" s="107"/>
      <c r="CR493" s="107"/>
      <c r="CS493" s="107"/>
      <c r="CT493" s="107"/>
      <c r="CU493" s="107"/>
      <c r="CV493" s="107"/>
    </row>
    <row r="494" customFormat="false" ht="14.9" hidden="false" customHeight="false" outlineLevel="0" collapsed="false">
      <c r="A494" s="74" t="n">
        <f aca="false">MONTH(B494)</f>
        <v>9</v>
      </c>
      <c r="B494" s="135" t="n">
        <v>44452</v>
      </c>
      <c r="C494" s="128" t="s">
        <v>51</v>
      </c>
      <c r="D494" s="77" t="str">
        <f aca="false">IFERROR(VLOOKUP(E:E,'Item Data Support Sheet'!A:O,7,0),"")</f>
        <v>HOOD MOLDED</v>
      </c>
      <c r="E494" s="80" t="s">
        <v>529</v>
      </c>
      <c r="F494" s="122"/>
      <c r="G494" s="137" t="s">
        <v>740</v>
      </c>
      <c r="H494" s="79" t="str">
        <f aca="false">IFERROR(VLOOKUP(E:E,'Item Data Support Sheet'!A:O,2,0),"")</f>
        <v>HOOD S TYPE MOLDED</v>
      </c>
      <c r="I494" s="80" t="s">
        <v>1057</v>
      </c>
      <c r="J494" s="80" t="s">
        <v>148</v>
      </c>
      <c r="K494" s="81" t="n">
        <v>8</v>
      </c>
      <c r="L494" s="124" t="n">
        <v>4137</v>
      </c>
      <c r="M494" s="83" t="n">
        <f aca="false">IFERROR(L494/K494,0)</f>
        <v>517.125</v>
      </c>
      <c r="N494" s="84" t="n">
        <f aca="false">+O494+Q494+T494+U494</f>
        <v>4514</v>
      </c>
      <c r="O494" s="85" t="n">
        <v>4500</v>
      </c>
      <c r="P494" s="86" t="n">
        <v>0.11</v>
      </c>
      <c r="Q494" s="86" t="n">
        <v>0</v>
      </c>
      <c r="R494" s="132" t="n">
        <v>0</v>
      </c>
      <c r="S494" s="128" t="n">
        <v>0</v>
      </c>
      <c r="T494" s="132" t="n">
        <v>6</v>
      </c>
      <c r="U494" s="128" t="n">
        <v>8</v>
      </c>
      <c r="V494" s="128" t="n">
        <v>1</v>
      </c>
      <c r="W494" s="90" t="n">
        <f aca="false">IFERROR(O494/V494,0)</f>
        <v>4500</v>
      </c>
      <c r="X494" s="91" t="n">
        <f aca="false">O494/L494</f>
        <v>1.08774474256708</v>
      </c>
      <c r="Y494" s="92" t="str">
        <f aca="false">IFERROR(VLOOKUP(E:E,'Item Data Support Sheet'!A:J,6,0),0)</f>
        <v>HMC</v>
      </c>
      <c r="Z494" s="93" t="n">
        <f aca="false">IFERROR(VLOOKUP(E:E,'Item Data Support Sheet'!A:O,4,0),0)</f>
        <v>8.6</v>
      </c>
      <c r="AA494" s="93" t="n">
        <f aca="false">IFERROR(((N494)*(Z494/1000))+P494,0)</f>
        <v>38.9304</v>
      </c>
      <c r="AB494" s="94" t="n">
        <f aca="false">IFERROR((O494*(Z494/1000)/(AA494))," ")</f>
        <v>0.994081745884964</v>
      </c>
      <c r="AC494" s="95" t="n">
        <f aca="false">IFERROR((T494)/((T494)+O494),0)</f>
        <v>0.00133155792276964</v>
      </c>
      <c r="AD494" s="96" t="n">
        <f aca="false">IFERROR(Q494/(Q494+N494),0)</f>
        <v>0</v>
      </c>
      <c r="AE494" s="91" t="n">
        <f aca="false">(N494-T494)/N494</f>
        <v>0.99867080194949</v>
      </c>
      <c r="AF494" s="97" t="n">
        <f aca="false">BR494</f>
        <v>0.5</v>
      </c>
      <c r="AG494" s="98" t="n">
        <f aca="false">K494-AF494</f>
        <v>7.5</v>
      </c>
      <c r="AH494" s="99" t="n">
        <f aca="false">IFERROR(AG494/K494," ")</f>
        <v>0.9375</v>
      </c>
      <c r="AI494" s="100" t="n">
        <f aca="false">IFERROR(O494/K494,0)</f>
        <v>562.5</v>
      </c>
      <c r="AJ494" s="101" t="n">
        <f aca="false">VLOOKUP(D494,'Standard Cycle time'!C:D,2,0)</f>
        <v>6</v>
      </c>
      <c r="AK494" s="101" t="n">
        <f aca="false">AG494*V494*3600/O494</f>
        <v>6</v>
      </c>
      <c r="AL494" s="102" t="n">
        <f aca="false">AJ494/AK494</f>
        <v>1</v>
      </c>
      <c r="AM494" s="99" t="n">
        <f aca="false">AE494*AL494*AH494</f>
        <v>0.936253876827647</v>
      </c>
      <c r="AN494" s="103" t="n">
        <v>3162</v>
      </c>
      <c r="AO494" s="112"/>
      <c r="AP494" s="105" t="n">
        <v>0</v>
      </c>
      <c r="AQ494" s="105" t="n">
        <v>0</v>
      </c>
      <c r="AR494" s="105" t="n">
        <v>0</v>
      </c>
      <c r="AS494" s="105" t="n">
        <v>0</v>
      </c>
      <c r="AT494" s="105" t="n">
        <v>0</v>
      </c>
      <c r="AU494" s="105" t="n">
        <v>0</v>
      </c>
      <c r="AV494" s="105" t="n">
        <v>0</v>
      </c>
      <c r="AW494" s="105" t="n">
        <v>0</v>
      </c>
      <c r="AX494" s="105" t="n">
        <v>0</v>
      </c>
      <c r="AY494" s="105" t="n">
        <v>0</v>
      </c>
      <c r="AZ494" s="105" t="n">
        <v>0</v>
      </c>
      <c r="BA494" s="105" t="n">
        <v>0</v>
      </c>
      <c r="BB494" s="105" t="n">
        <v>30</v>
      </c>
      <c r="BC494" s="105" t="n">
        <v>0</v>
      </c>
      <c r="BD494" s="105" t="n">
        <v>0</v>
      </c>
      <c r="BE494" s="105" t="n">
        <v>0</v>
      </c>
      <c r="BF494" s="105" t="n">
        <v>0</v>
      </c>
      <c r="BG494" s="105" t="n">
        <v>0</v>
      </c>
      <c r="BH494" s="105" t="n">
        <v>0</v>
      </c>
      <c r="BI494" s="105" t="n">
        <v>0</v>
      </c>
      <c r="BJ494" s="105" t="n">
        <v>0</v>
      </c>
      <c r="BK494" s="105" t="n">
        <v>0</v>
      </c>
      <c r="BL494" s="105" t="n">
        <v>0</v>
      </c>
      <c r="BM494" s="105" t="n">
        <v>0</v>
      </c>
      <c r="BN494" s="105" t="n">
        <v>0</v>
      </c>
      <c r="BO494" s="105" t="n">
        <v>0</v>
      </c>
      <c r="BP494" s="105" t="n">
        <v>0</v>
      </c>
      <c r="BQ494" s="105" t="n">
        <v>0</v>
      </c>
      <c r="BR494" s="106" t="n">
        <v>0.5</v>
      </c>
      <c r="BS494" s="106" t="n">
        <v>0.508333333333333</v>
      </c>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row>
    <row r="495" customFormat="false" ht="14.9" hidden="false" customHeight="false" outlineLevel="0" collapsed="false">
      <c r="A495" s="74" t="n">
        <f aca="false">MONTH(B495)</f>
        <v>9</v>
      </c>
      <c r="B495" s="135" t="n">
        <v>44452</v>
      </c>
      <c r="C495" s="128" t="s">
        <v>51</v>
      </c>
      <c r="D495" s="77" t="str">
        <f aca="false">IFERROR(VLOOKUP(E:E,'Item Data Support Sheet'!A:O,7,0),"")</f>
        <v>NIPPLE PUNCH</v>
      </c>
      <c r="E495" s="80" t="s">
        <v>60</v>
      </c>
      <c r="F495" s="122"/>
      <c r="G495" s="137" t="s">
        <v>54</v>
      </c>
      <c r="H495" s="79" t="str">
        <f aca="false">IFERROR(VLOOKUP(E:E,'Item Data Support Sheet'!A:O,2,0),"")</f>
        <v>NIPPLE S TYPE M SIZE PUNCHED</v>
      </c>
      <c r="I495" s="80" t="s">
        <v>1058</v>
      </c>
      <c r="J495" s="80" t="s">
        <v>148</v>
      </c>
      <c r="K495" s="81" t="n">
        <v>8</v>
      </c>
      <c r="L495" s="124" t="n">
        <v>7000</v>
      </c>
      <c r="M495" s="83" t="n">
        <f aca="false">IFERROR(L495/K495,0)</f>
        <v>875</v>
      </c>
      <c r="N495" s="84" t="n">
        <f aca="false">+O495+Q495+T495+U495</f>
        <v>7200</v>
      </c>
      <c r="O495" s="85" t="n">
        <v>7200</v>
      </c>
      <c r="P495" s="86" t="n">
        <v>0</v>
      </c>
      <c r="Q495" s="86" t="n">
        <v>0</v>
      </c>
      <c r="R495" s="132" t="n">
        <v>0</v>
      </c>
      <c r="S495" s="128" t="n">
        <v>0</v>
      </c>
      <c r="T495" s="132" t="n">
        <v>0</v>
      </c>
      <c r="U495" s="128" t="n">
        <v>0</v>
      </c>
      <c r="V495" s="128" t="n">
        <v>1</v>
      </c>
      <c r="W495" s="90" t="n">
        <f aca="false">IFERROR(O495/V495,0)</f>
        <v>7200</v>
      </c>
      <c r="X495" s="91" t="n">
        <f aca="false">O495/L495</f>
        <v>1.02857142857143</v>
      </c>
      <c r="Y495" s="92" t="str">
        <f aca="false">IFERROR(VLOOKUP(E:E,'Item Data Support Sheet'!A:J,6,0),0)</f>
        <v>FO016</v>
      </c>
      <c r="Z495" s="93" t="n">
        <f aca="false">IFERROR(VLOOKUP(E:E,'Item Data Support Sheet'!A:O,4,0),0)</f>
        <v>0</v>
      </c>
      <c r="AA495" s="93" t="n">
        <f aca="false">IFERROR(((N495)*(Z495/1000))+P495,0)</f>
        <v>0</v>
      </c>
      <c r="AB495" s="94" t="str">
        <f aca="false">IFERROR((O495*(Z495/1000)/(AA495))," ")</f>
        <v> </v>
      </c>
      <c r="AC495" s="95" t="n">
        <f aca="false">IFERROR((T495)/((T495)+O495),0)</f>
        <v>0</v>
      </c>
      <c r="AD495" s="96" t="n">
        <f aca="false">IFERROR(Q495/(Q495+N495),0)</f>
        <v>0</v>
      </c>
      <c r="AE495" s="91" t="n">
        <f aca="false">(N495-T495)/N495</f>
        <v>1</v>
      </c>
      <c r="AF495" s="97" t="n">
        <f aca="false">BR495</f>
        <v>0.666666666666667</v>
      </c>
      <c r="AG495" s="98" t="n">
        <f aca="false">K495-AF495</f>
        <v>7.33333333333333</v>
      </c>
      <c r="AH495" s="99" t="n">
        <f aca="false">IFERROR(AG495/K495," ")</f>
        <v>0.916666666666667</v>
      </c>
      <c r="AI495" s="100" t="n">
        <f aca="false">IFERROR(O495/K495,0)</f>
        <v>900</v>
      </c>
      <c r="AJ495" s="101" t="n">
        <f aca="false">VLOOKUP(D495,'Standard Cycle time'!C:D,2,0)</f>
        <v>3.5</v>
      </c>
      <c r="AK495" s="101" t="n">
        <f aca="false">AG495*V495*3600/O495</f>
        <v>3.66666666666667</v>
      </c>
      <c r="AL495" s="102" t="n">
        <f aca="false">AJ495/AK495</f>
        <v>0.954545454545455</v>
      </c>
      <c r="AM495" s="99" t="n">
        <f aca="false">AE495*AL495*AH495</f>
        <v>0.875</v>
      </c>
      <c r="AN495" s="103" t="s">
        <v>1059</v>
      </c>
      <c r="AO495" s="112"/>
      <c r="AP495" s="105" t="n">
        <v>40</v>
      </c>
      <c r="AQ495" s="105" t="n">
        <v>0</v>
      </c>
      <c r="AR495" s="105" t="n">
        <v>0</v>
      </c>
      <c r="AS495" s="105" t="n">
        <v>0</v>
      </c>
      <c r="AT495" s="105" t="n">
        <v>0</v>
      </c>
      <c r="AU495" s="105" t="n">
        <v>0</v>
      </c>
      <c r="AV495" s="105" t="n">
        <v>0</v>
      </c>
      <c r="AW495" s="105" t="n">
        <v>0</v>
      </c>
      <c r="AX495" s="105" t="n">
        <v>0</v>
      </c>
      <c r="AY495" s="105" t="n">
        <v>0</v>
      </c>
      <c r="AZ495" s="105" t="n">
        <v>0</v>
      </c>
      <c r="BA495" s="105" t="n">
        <v>0</v>
      </c>
      <c r="BB495" s="105" t="n">
        <v>0</v>
      </c>
      <c r="BC495" s="105" t="n">
        <v>0</v>
      </c>
      <c r="BD495" s="105" t="n">
        <v>0</v>
      </c>
      <c r="BE495" s="105" t="n">
        <v>0</v>
      </c>
      <c r="BF495" s="105" t="n">
        <v>0</v>
      </c>
      <c r="BG495" s="105" t="n">
        <v>0</v>
      </c>
      <c r="BH495" s="105" t="n">
        <v>0</v>
      </c>
      <c r="BI495" s="105" t="n">
        <v>0</v>
      </c>
      <c r="BJ495" s="105" t="n">
        <v>0</v>
      </c>
      <c r="BK495" s="105" t="n">
        <v>0</v>
      </c>
      <c r="BL495" s="105" t="n">
        <v>0</v>
      </c>
      <c r="BM495" s="105" t="n">
        <v>0</v>
      </c>
      <c r="BN495" s="105" t="n">
        <v>0</v>
      </c>
      <c r="BO495" s="105" t="n">
        <v>0</v>
      </c>
      <c r="BP495" s="105" t="n">
        <v>0</v>
      </c>
      <c r="BQ495" s="105" t="n">
        <v>0</v>
      </c>
      <c r="BR495" s="106" t="n">
        <v>0.666666666666667</v>
      </c>
      <c r="BS495" s="106" t="n">
        <v>0.677777777777778</v>
      </c>
      <c r="BT495" s="107"/>
      <c r="BU495" s="107"/>
      <c r="BV495" s="107"/>
      <c r="BW495" s="107"/>
      <c r="BX495" s="107"/>
      <c r="BY495" s="107"/>
      <c r="BZ495" s="107"/>
      <c r="CA495" s="107"/>
      <c r="CB495" s="107"/>
      <c r="CC495" s="107"/>
      <c r="CD495" s="107"/>
      <c r="CE495" s="107"/>
      <c r="CF495" s="107"/>
      <c r="CG495" s="107"/>
      <c r="CH495" s="107"/>
      <c r="CI495" s="107"/>
      <c r="CJ495" s="107"/>
      <c r="CK495" s="107"/>
      <c r="CL495" s="107"/>
      <c r="CM495" s="107"/>
      <c r="CN495" s="107"/>
      <c r="CO495" s="107"/>
      <c r="CP495" s="107"/>
      <c r="CQ495" s="107"/>
      <c r="CR495" s="107"/>
      <c r="CS495" s="107"/>
      <c r="CT495" s="107"/>
      <c r="CU495" s="107"/>
      <c r="CV495" s="107"/>
    </row>
    <row r="496" customFormat="false" ht="14.9" hidden="false" customHeight="false" outlineLevel="0" collapsed="false">
      <c r="A496" s="74" t="n">
        <f aca="false">MONTH(B496)</f>
        <v>9</v>
      </c>
      <c r="B496" s="135" t="n">
        <v>44452</v>
      </c>
      <c r="C496" s="128" t="s">
        <v>51</v>
      </c>
      <c r="D496" s="77" t="str">
        <f aca="false">IFERROR(VLOOKUP(E:E,'Item Data Support Sheet'!A:O,7,0),"")</f>
        <v>NIPPLE LASER MARKING</v>
      </c>
      <c r="E496" s="80" t="s">
        <v>932</v>
      </c>
      <c r="F496" s="122"/>
      <c r="G496" s="137" t="s">
        <v>517</v>
      </c>
      <c r="H496" s="79" t="str">
        <f aca="false">IFERROR(VLOOKUP(E:E,'Item Data Support Sheet'!A:O,2,0),"")</f>
        <v>NIPPLE S TYPE M SIZE PUNCHED LASER MARKED</v>
      </c>
      <c r="I496" s="80" t="s">
        <v>1060</v>
      </c>
      <c r="J496" s="80" t="s">
        <v>148</v>
      </c>
      <c r="K496" s="81" t="n">
        <v>8</v>
      </c>
      <c r="L496" s="124" t="n">
        <v>7000</v>
      </c>
      <c r="M496" s="83" t="n">
        <f aca="false">IFERROR(L496/K496,0)</f>
        <v>875</v>
      </c>
      <c r="N496" s="84" t="n">
        <f aca="false">+O496+Q496+T496+U496</f>
        <v>6600</v>
      </c>
      <c r="O496" s="85" t="n">
        <v>6600</v>
      </c>
      <c r="P496" s="86" t="n">
        <v>0</v>
      </c>
      <c r="Q496" s="86" t="n">
        <v>0</v>
      </c>
      <c r="R496" s="132" t="n">
        <v>0</v>
      </c>
      <c r="S496" s="128" t="n">
        <v>0</v>
      </c>
      <c r="T496" s="132" t="n">
        <v>0</v>
      </c>
      <c r="U496" s="128" t="n">
        <v>0</v>
      </c>
      <c r="V496" s="128" t="n">
        <v>1</v>
      </c>
      <c r="W496" s="90" t="n">
        <f aca="false">IFERROR(O496/V496,0)</f>
        <v>6600</v>
      </c>
      <c r="X496" s="91" t="n">
        <f aca="false">O496/L496</f>
        <v>0.942857142857143</v>
      </c>
      <c r="Y496" s="92" t="str">
        <f aca="false">IFERROR(VLOOKUP(E:E,'Item Data Support Sheet'!A:J,6,0),0)</f>
        <v>FO020</v>
      </c>
      <c r="Z496" s="93" t="n">
        <f aca="false">IFERROR(VLOOKUP(E:E,'Item Data Support Sheet'!A:O,4,0),0)</f>
        <v>0</v>
      </c>
      <c r="AA496" s="93" t="n">
        <f aca="false">IFERROR(((N496)*(Z496/1000))+P496,0)</f>
        <v>0</v>
      </c>
      <c r="AB496" s="94" t="str">
        <f aca="false">IFERROR((O496*(Z496/1000)/(AA496))," ")</f>
        <v> </v>
      </c>
      <c r="AC496" s="95" t="n">
        <f aca="false">IFERROR((T496)/((T496)+O496),0)</f>
        <v>0</v>
      </c>
      <c r="AD496" s="96" t="n">
        <f aca="false">IFERROR(Q496/(Q496+N496),0)</f>
        <v>0</v>
      </c>
      <c r="AE496" s="91" t="n">
        <f aca="false">(N496-T496)/N496</f>
        <v>1</v>
      </c>
      <c r="AF496" s="97" t="n">
        <f aca="false">BR496</f>
        <v>1.08333333333333</v>
      </c>
      <c r="AG496" s="98" t="n">
        <f aca="false">K496-AF496</f>
        <v>6.91666666666667</v>
      </c>
      <c r="AH496" s="99" t="n">
        <f aca="false">IFERROR(AG496/K496," ")</f>
        <v>0.864583333333334</v>
      </c>
      <c r="AI496" s="100" t="n">
        <f aca="false">IFERROR(O496/K496,0)</f>
        <v>825</v>
      </c>
      <c r="AJ496" s="101" t="n">
        <f aca="false">VLOOKUP(D496,'Standard Cycle time'!C:D,2,0)</f>
        <v>3.5</v>
      </c>
      <c r="AK496" s="101" t="n">
        <f aca="false">AG496*V496*3600/O496</f>
        <v>3.77272727272727</v>
      </c>
      <c r="AL496" s="102" t="n">
        <f aca="false">AJ496/AK496</f>
        <v>0.927710843373494</v>
      </c>
      <c r="AM496" s="99" t="n">
        <f aca="false">AE496*AL496*AH496</f>
        <v>0.802083333333333</v>
      </c>
      <c r="AN496" s="103" t="s">
        <v>1061</v>
      </c>
      <c r="AO496" s="112" t="s">
        <v>1062</v>
      </c>
      <c r="AP496" s="105" t="n">
        <v>40</v>
      </c>
      <c r="AQ496" s="105" t="n">
        <v>0</v>
      </c>
      <c r="AR496" s="105" t="n">
        <v>0</v>
      </c>
      <c r="AS496" s="105" t="n">
        <v>25</v>
      </c>
      <c r="AT496" s="105" t="n">
        <v>0</v>
      </c>
      <c r="AU496" s="105" t="n">
        <v>0</v>
      </c>
      <c r="AV496" s="105" t="n">
        <v>0</v>
      </c>
      <c r="AW496" s="105" t="n">
        <v>0</v>
      </c>
      <c r="AX496" s="105" t="n">
        <v>0</v>
      </c>
      <c r="AY496" s="105" t="n">
        <v>0</v>
      </c>
      <c r="AZ496" s="105" t="n">
        <v>0</v>
      </c>
      <c r="BA496" s="105" t="n">
        <v>0</v>
      </c>
      <c r="BB496" s="105" t="n">
        <v>0</v>
      </c>
      <c r="BC496" s="105" t="n">
        <v>0</v>
      </c>
      <c r="BD496" s="105" t="n">
        <v>0</v>
      </c>
      <c r="BE496" s="105" t="n">
        <v>0</v>
      </c>
      <c r="BF496" s="105" t="n">
        <v>0</v>
      </c>
      <c r="BG496" s="105" t="n">
        <v>0</v>
      </c>
      <c r="BH496" s="105" t="n">
        <v>0</v>
      </c>
      <c r="BI496" s="105" t="n">
        <v>0</v>
      </c>
      <c r="BJ496" s="105" t="n">
        <v>0</v>
      </c>
      <c r="BK496" s="105" t="n">
        <v>0</v>
      </c>
      <c r="BL496" s="105" t="n">
        <v>0</v>
      </c>
      <c r="BM496" s="105" t="n">
        <v>0</v>
      </c>
      <c r="BN496" s="105" t="n">
        <v>0</v>
      </c>
      <c r="BO496" s="105" t="n">
        <v>0</v>
      </c>
      <c r="BP496" s="105" t="n">
        <v>0</v>
      </c>
      <c r="BQ496" s="105" t="n">
        <v>0</v>
      </c>
      <c r="BR496" s="106" t="n">
        <v>1.08333333333333</v>
      </c>
      <c r="BS496" s="106" t="n">
        <v>1.10138888888889</v>
      </c>
      <c r="BT496" s="107"/>
      <c r="BU496" s="107"/>
      <c r="BV496" s="107"/>
      <c r="BW496" s="107"/>
      <c r="BX496" s="107"/>
      <c r="BY496" s="107"/>
      <c r="BZ496" s="107"/>
      <c r="CA496" s="107"/>
      <c r="CB496" s="107"/>
      <c r="CC496" s="107"/>
      <c r="CD496" s="107"/>
      <c r="CE496" s="107"/>
      <c r="CF496" s="107"/>
      <c r="CG496" s="107"/>
      <c r="CH496" s="107"/>
      <c r="CI496" s="107"/>
      <c r="CJ496" s="107"/>
      <c r="CK496" s="107"/>
      <c r="CL496" s="107"/>
      <c r="CM496" s="107"/>
      <c r="CN496" s="107"/>
      <c r="CO496" s="107"/>
      <c r="CP496" s="107"/>
      <c r="CQ496" s="107"/>
      <c r="CR496" s="107"/>
      <c r="CS496" s="107"/>
      <c r="CT496" s="107"/>
      <c r="CU496" s="107"/>
      <c r="CV496" s="107"/>
    </row>
    <row r="497" customFormat="false" ht="14.9" hidden="false" customHeight="false" outlineLevel="0" collapsed="false">
      <c r="A497" s="74" t="n">
        <f aca="false">MONTH(B497)</f>
        <v>9</v>
      </c>
      <c r="B497" s="135" t="n">
        <v>44452</v>
      </c>
      <c r="C497" s="128" t="s">
        <v>51</v>
      </c>
      <c r="D497" s="77" t="str">
        <f aca="false">IFERROR(VLOOKUP(E:E,'Item Data Support Sheet'!A:O,7,0),"")</f>
        <v>BOTTLE PRINTED</v>
      </c>
      <c r="E497" s="80" t="s">
        <v>65</v>
      </c>
      <c r="F497" s="122"/>
      <c r="G497" s="137"/>
      <c r="H497" s="79" t="str">
        <f aca="false">IFERROR(VLOOKUP(E:E,'Item Data Support Sheet'!A:O,2,0),"")</f>
        <v>KPP 240 ML BOTTLE PRINTED</v>
      </c>
      <c r="I497" s="80" t="s">
        <v>1063</v>
      </c>
      <c r="J497" s="80" t="s">
        <v>161</v>
      </c>
      <c r="K497" s="81" t="n">
        <v>8</v>
      </c>
      <c r="L497" s="124" t="n">
        <v>5100</v>
      </c>
      <c r="M497" s="83" t="n">
        <f aca="false">IFERROR(L497/K497,0)</f>
        <v>637.5</v>
      </c>
      <c r="N497" s="84" t="n">
        <f aca="false">+O497+Q497+T497+U497</f>
        <v>4047</v>
      </c>
      <c r="O497" s="85" t="n">
        <v>3996</v>
      </c>
      <c r="P497" s="86" t="n">
        <v>0</v>
      </c>
      <c r="Q497" s="86" t="n">
        <v>0</v>
      </c>
      <c r="R497" s="132" t="n">
        <v>31</v>
      </c>
      <c r="S497" s="128" t="n">
        <v>0</v>
      </c>
      <c r="T497" s="132" t="n">
        <v>51</v>
      </c>
      <c r="U497" s="128" t="n">
        <v>0</v>
      </c>
      <c r="V497" s="128" t="n">
        <v>6</v>
      </c>
      <c r="W497" s="90" t="n">
        <f aca="false">IFERROR(O497/V497,0)</f>
        <v>666</v>
      </c>
      <c r="X497" s="91" t="n">
        <f aca="false">O497/L497</f>
        <v>0.783529411764706</v>
      </c>
      <c r="Y497" s="92" t="str">
        <f aca="false">IFERROR(VLOOKUP(E:E,'Item Data Support Sheet'!A:J,6,0),0)</f>
        <v>FO003</v>
      </c>
      <c r="Z497" s="93" t="n">
        <f aca="false">IFERROR(VLOOKUP(E:E,'Item Data Support Sheet'!A:O,4,0),0)</f>
        <v>0</v>
      </c>
      <c r="AA497" s="93" t="n">
        <f aca="false">IFERROR(((N497)*(Z497/1000))+P497,0)</f>
        <v>0</v>
      </c>
      <c r="AB497" s="94" t="str">
        <f aca="false">IFERROR((O497*(Z497/1000)/(AA497))," ")</f>
        <v> </v>
      </c>
      <c r="AC497" s="95" t="n">
        <f aca="false">IFERROR((T497)/((T497)+O497),0)</f>
        <v>0.0126019273535953</v>
      </c>
      <c r="AD497" s="96" t="n">
        <f aca="false">IFERROR(Q497/(Q497+N497),0)</f>
        <v>0</v>
      </c>
      <c r="AE497" s="91" t="n">
        <f aca="false">(N497-T497)/N497</f>
        <v>0.987398072646405</v>
      </c>
      <c r="AF497" s="97" t="n">
        <f aca="false">BR497</f>
        <v>2.33333333333333</v>
      </c>
      <c r="AG497" s="98" t="n">
        <f aca="false">K497-AF497</f>
        <v>5.66666666666667</v>
      </c>
      <c r="AH497" s="99" t="n">
        <f aca="false">IFERROR(AG497/K497," ")</f>
        <v>0.708333333333334</v>
      </c>
      <c r="AI497" s="100" t="n">
        <f aca="false">IFERROR(O497/K497,0)</f>
        <v>499.5</v>
      </c>
      <c r="AJ497" s="101" t="n">
        <f aca="false">VLOOKUP(D497,'Standard Cycle time'!C:D,2,0)</f>
        <v>32.4</v>
      </c>
      <c r="AK497" s="101" t="n">
        <f aca="false">AG497*V497*3600/O497</f>
        <v>30.6306306306306</v>
      </c>
      <c r="AL497" s="102" t="n">
        <f aca="false">AJ497/AK497</f>
        <v>1.05776470588235</v>
      </c>
      <c r="AM497" s="99" t="n">
        <f aca="false">AE497*AL497*AH497</f>
        <v>0.739808005930319</v>
      </c>
      <c r="AN497" s="103" t="s">
        <v>1064</v>
      </c>
      <c r="AO497" s="112" t="s">
        <v>1065</v>
      </c>
      <c r="AP497" s="105" t="n">
        <v>40</v>
      </c>
      <c r="AQ497" s="105" t="n">
        <v>0</v>
      </c>
      <c r="AR497" s="105" t="n">
        <v>0</v>
      </c>
      <c r="AS497" s="105" t="n">
        <v>0</v>
      </c>
      <c r="AT497" s="105" t="n">
        <v>100</v>
      </c>
      <c r="AU497" s="105" t="n">
        <v>0</v>
      </c>
      <c r="AV497" s="105" t="n">
        <v>0</v>
      </c>
      <c r="AW497" s="105" t="n">
        <v>0</v>
      </c>
      <c r="AX497" s="105" t="n">
        <v>0</v>
      </c>
      <c r="AY497" s="105" t="n">
        <v>0</v>
      </c>
      <c r="AZ497" s="105" t="n">
        <v>0</v>
      </c>
      <c r="BA497" s="105" t="n">
        <v>0</v>
      </c>
      <c r="BB497" s="105" t="n">
        <v>0</v>
      </c>
      <c r="BC497" s="105" t="n">
        <v>0</v>
      </c>
      <c r="BD497" s="105" t="n">
        <v>0</v>
      </c>
      <c r="BE497" s="105" t="n">
        <v>0</v>
      </c>
      <c r="BF497" s="105" t="n">
        <v>0</v>
      </c>
      <c r="BG497" s="105" t="n">
        <v>0</v>
      </c>
      <c r="BH497" s="105" t="n">
        <v>0</v>
      </c>
      <c r="BI497" s="105" t="n">
        <v>0</v>
      </c>
      <c r="BJ497" s="105" t="n">
        <v>0</v>
      </c>
      <c r="BK497" s="105" t="n">
        <v>0</v>
      </c>
      <c r="BL497" s="105" t="n">
        <v>0</v>
      </c>
      <c r="BM497" s="105" t="n">
        <v>0</v>
      </c>
      <c r="BN497" s="105" t="n">
        <v>0</v>
      </c>
      <c r="BO497" s="105" t="n">
        <v>0</v>
      </c>
      <c r="BP497" s="105" t="n">
        <v>0</v>
      </c>
      <c r="BQ497" s="105" t="n">
        <v>0</v>
      </c>
      <c r="BR497" s="106" t="n">
        <v>2.33333333333333</v>
      </c>
      <c r="BS497" s="106" t="n">
        <v>2.37222222222222</v>
      </c>
      <c r="BT497" s="107"/>
      <c r="BU497" s="107"/>
      <c r="BV497" s="107"/>
      <c r="BW497" s="107"/>
      <c r="BX497" s="107"/>
      <c r="BY497" s="107"/>
      <c r="BZ497" s="107"/>
      <c r="CA497" s="107"/>
      <c r="CB497" s="107"/>
      <c r="CC497" s="107"/>
      <c r="CD497" s="107"/>
      <c r="CE497" s="107"/>
      <c r="CF497" s="107"/>
      <c r="CG497" s="107"/>
      <c r="CH497" s="107"/>
      <c r="CI497" s="107"/>
      <c r="CJ497" s="107"/>
      <c r="CK497" s="107"/>
      <c r="CL497" s="107"/>
      <c r="CM497" s="107"/>
      <c r="CN497" s="107"/>
      <c r="CO497" s="107"/>
      <c r="CP497" s="107"/>
      <c r="CQ497" s="107"/>
      <c r="CR497" s="107"/>
      <c r="CS497" s="107"/>
      <c r="CT497" s="107"/>
      <c r="CU497" s="107"/>
      <c r="CV497" s="107"/>
    </row>
    <row r="498" customFormat="false" ht="14.9" hidden="false" customHeight="false" outlineLevel="0" collapsed="false">
      <c r="A498" s="74" t="n">
        <f aca="false">MONTH(B498)</f>
        <v>9</v>
      </c>
      <c r="B498" s="135" t="n">
        <v>44452</v>
      </c>
      <c r="C498" s="128" t="s">
        <v>70</v>
      </c>
      <c r="D498" s="77" t="str">
        <f aca="false">IFERROR(VLOOKUP(E:E,'Item Data Support Sheet'!A:O,7,0),"")</f>
        <v>NIPPLE PUNCH</v>
      </c>
      <c r="E498" s="80" t="s">
        <v>60</v>
      </c>
      <c r="F498" s="122"/>
      <c r="G498" s="137"/>
      <c r="H498" s="79" t="str">
        <f aca="false">IFERROR(VLOOKUP(E:E,'Item Data Support Sheet'!A:O,2,0),"")</f>
        <v>NIPPLE S TYPE M SIZE PUNCHED</v>
      </c>
      <c r="I498" s="80" t="s">
        <v>1066</v>
      </c>
      <c r="J498" s="80" t="s">
        <v>155</v>
      </c>
      <c r="K498" s="81" t="n">
        <v>8</v>
      </c>
      <c r="L498" s="124" t="n">
        <v>7000</v>
      </c>
      <c r="M498" s="83" t="n">
        <f aca="false">IFERROR(L498/K498,0)</f>
        <v>875</v>
      </c>
      <c r="N498" s="84" t="n">
        <f aca="false">+O498+Q498+T498+U498</f>
        <v>7000</v>
      </c>
      <c r="O498" s="85" t="n">
        <v>7000</v>
      </c>
      <c r="P498" s="86" t="n">
        <v>0</v>
      </c>
      <c r="Q498" s="86" t="n">
        <v>0</v>
      </c>
      <c r="R498" s="132" t="n">
        <v>0</v>
      </c>
      <c r="S498" s="128" t="n">
        <v>0</v>
      </c>
      <c r="T498" s="132" t="n">
        <v>0</v>
      </c>
      <c r="U498" s="128" t="n">
        <v>0</v>
      </c>
      <c r="V498" s="128" t="n">
        <v>1</v>
      </c>
      <c r="W498" s="90" t="n">
        <f aca="false">IFERROR(O498/V498,0)</f>
        <v>7000</v>
      </c>
      <c r="X498" s="91" t="n">
        <f aca="false">O498/L498</f>
        <v>1</v>
      </c>
      <c r="Y498" s="92" t="str">
        <f aca="false">IFERROR(VLOOKUP(E:E,'Item Data Support Sheet'!A:J,6,0),0)</f>
        <v>FO016</v>
      </c>
      <c r="Z498" s="93" t="n">
        <f aca="false">IFERROR(VLOOKUP(E:E,'Item Data Support Sheet'!A:O,4,0),0)</f>
        <v>0</v>
      </c>
      <c r="AA498" s="93" t="n">
        <f aca="false">IFERROR(((N498)*(Z498/1000))+P498,0)</f>
        <v>0</v>
      </c>
      <c r="AB498" s="94" t="str">
        <f aca="false">IFERROR((O498*(Z498/1000)/(AA498))," ")</f>
        <v> </v>
      </c>
      <c r="AC498" s="95" t="n">
        <f aca="false">IFERROR((T498)/((T498)+O498),0)</f>
        <v>0</v>
      </c>
      <c r="AD498" s="96" t="n">
        <f aca="false">IFERROR(Q498/(Q498+N498),0)</f>
        <v>0</v>
      </c>
      <c r="AE498" s="91" t="n">
        <f aca="false">(N498-T498)/N498</f>
        <v>1</v>
      </c>
      <c r="AF498" s="97" t="n">
        <f aca="false">BR498</f>
        <v>0.666666666666667</v>
      </c>
      <c r="AG498" s="98" t="n">
        <f aca="false">K498-AF498</f>
        <v>7.33333333333333</v>
      </c>
      <c r="AH498" s="99" t="n">
        <f aca="false">IFERROR(AG498/K498," ")</f>
        <v>0.916666666666667</v>
      </c>
      <c r="AI498" s="100" t="n">
        <f aca="false">IFERROR(O498/K498,0)</f>
        <v>875</v>
      </c>
      <c r="AJ498" s="101" t="n">
        <f aca="false">VLOOKUP(D498,'Standard Cycle time'!C:D,2,0)</f>
        <v>3.5</v>
      </c>
      <c r="AK498" s="101" t="n">
        <f aca="false">AG498*V498*3600/O498</f>
        <v>3.77142857142857</v>
      </c>
      <c r="AL498" s="102" t="n">
        <f aca="false">AJ498/AK498</f>
        <v>0.928030303030303</v>
      </c>
      <c r="AM498" s="99" t="n">
        <f aca="false">AE498*AL498*AH498</f>
        <v>0.850694444444444</v>
      </c>
      <c r="AN498" s="103" t="s">
        <v>1067</v>
      </c>
      <c r="AO498" s="112"/>
      <c r="AP498" s="105" t="n">
        <v>40</v>
      </c>
      <c r="AQ498" s="105" t="n">
        <v>0</v>
      </c>
      <c r="AR498" s="105" t="n">
        <v>0</v>
      </c>
      <c r="AS498" s="105" t="n">
        <v>0</v>
      </c>
      <c r="AT498" s="105" t="n">
        <v>0</v>
      </c>
      <c r="AU498" s="105" t="n">
        <v>0</v>
      </c>
      <c r="AV498" s="105" t="n">
        <v>0</v>
      </c>
      <c r="AW498" s="105" t="n">
        <v>0</v>
      </c>
      <c r="AX498" s="105" t="n">
        <v>0</v>
      </c>
      <c r="AY498" s="105" t="n">
        <v>0</v>
      </c>
      <c r="AZ498" s="105" t="n">
        <v>0</v>
      </c>
      <c r="BA498" s="105" t="n">
        <v>0</v>
      </c>
      <c r="BB498" s="105" t="n">
        <v>0</v>
      </c>
      <c r="BC498" s="105" t="n">
        <v>0</v>
      </c>
      <c r="BD498" s="105" t="n">
        <v>0</v>
      </c>
      <c r="BE498" s="105" t="n">
        <v>0</v>
      </c>
      <c r="BF498" s="105" t="n">
        <v>0</v>
      </c>
      <c r="BG498" s="105" t="n">
        <v>0</v>
      </c>
      <c r="BH498" s="105" t="n">
        <v>0</v>
      </c>
      <c r="BI498" s="105" t="n">
        <v>0</v>
      </c>
      <c r="BJ498" s="105" t="n">
        <v>0</v>
      </c>
      <c r="BK498" s="105" t="n">
        <v>0</v>
      </c>
      <c r="BL498" s="105" t="n">
        <v>0</v>
      </c>
      <c r="BM498" s="105" t="n">
        <v>0</v>
      </c>
      <c r="BN498" s="105" t="n">
        <v>0</v>
      </c>
      <c r="BO498" s="105" t="n">
        <v>0</v>
      </c>
      <c r="BP498" s="105" t="n">
        <v>0</v>
      </c>
      <c r="BQ498" s="105" t="n">
        <v>0</v>
      </c>
      <c r="BR498" s="106" t="n">
        <v>0.666666666666667</v>
      </c>
      <c r="BS498" s="106" t="n">
        <v>0.677777777777778</v>
      </c>
      <c r="BT498" s="107"/>
      <c r="BU498" s="107"/>
      <c r="BV498" s="107"/>
      <c r="BW498" s="107"/>
      <c r="BX498" s="107"/>
      <c r="BY498" s="107"/>
      <c r="BZ498" s="107"/>
      <c r="CA498" s="107"/>
      <c r="CB498" s="107"/>
      <c r="CC498" s="107"/>
      <c r="CD498" s="107"/>
      <c r="CE498" s="107"/>
      <c r="CF498" s="107"/>
      <c r="CG498" s="107"/>
      <c r="CH498" s="107"/>
      <c r="CI498" s="107"/>
      <c r="CJ498" s="107"/>
      <c r="CK498" s="107"/>
      <c r="CL498" s="107"/>
      <c r="CM498" s="107"/>
      <c r="CN498" s="107"/>
      <c r="CO498" s="107"/>
      <c r="CP498" s="107"/>
      <c r="CQ498" s="107"/>
      <c r="CR498" s="107"/>
      <c r="CS498" s="107"/>
      <c r="CT498" s="107"/>
      <c r="CU498" s="107"/>
      <c r="CV498" s="107"/>
    </row>
    <row r="499" customFormat="false" ht="14.9" hidden="false" customHeight="false" outlineLevel="0" collapsed="false">
      <c r="A499" s="74" t="n">
        <f aca="false">MONTH(B499)</f>
        <v>9</v>
      </c>
      <c r="B499" s="135" t="n">
        <v>44452</v>
      </c>
      <c r="C499" s="128" t="s">
        <v>70</v>
      </c>
      <c r="D499" s="77" t="str">
        <f aca="false">IFERROR(VLOOKUP(E:E,'Item Data Support Sheet'!A:O,7,0),"")</f>
        <v>HOOD MOLDED</v>
      </c>
      <c r="E499" s="80" t="s">
        <v>529</v>
      </c>
      <c r="F499" s="122"/>
      <c r="G499" s="137" t="s">
        <v>740</v>
      </c>
      <c r="H499" s="79" t="str">
        <f aca="false">IFERROR(VLOOKUP(E:E,'Item Data Support Sheet'!A:O,2,0),"")</f>
        <v>HOOD S TYPE MOLDED</v>
      </c>
      <c r="I499" s="80" t="s">
        <v>1068</v>
      </c>
      <c r="J499" s="80" t="s">
        <v>155</v>
      </c>
      <c r="K499" s="81" t="n">
        <v>8</v>
      </c>
      <c r="L499" s="124" t="n">
        <v>4137</v>
      </c>
      <c r="M499" s="83" t="n">
        <f aca="false">IFERROR(L499/K499,0)</f>
        <v>517.125</v>
      </c>
      <c r="N499" s="84" t="n">
        <f aca="false">+O499+Q499+T499+U499</f>
        <v>5208</v>
      </c>
      <c r="O499" s="85" t="n">
        <v>5200</v>
      </c>
      <c r="P499" s="86" t="n">
        <v>0</v>
      </c>
      <c r="Q499" s="86" t="n">
        <v>0</v>
      </c>
      <c r="R499" s="132" t="n">
        <v>0</v>
      </c>
      <c r="S499" s="128" t="n">
        <v>0</v>
      </c>
      <c r="T499" s="132" t="n">
        <v>8</v>
      </c>
      <c r="U499" s="128" t="n">
        <v>0</v>
      </c>
      <c r="V499" s="128" t="n">
        <v>1</v>
      </c>
      <c r="W499" s="90" t="n">
        <f aca="false">IFERROR(O499/V499,0)</f>
        <v>5200</v>
      </c>
      <c r="X499" s="91" t="n">
        <f aca="false">O499/L499</f>
        <v>1.25694948029973</v>
      </c>
      <c r="Y499" s="92" t="str">
        <f aca="false">IFERROR(VLOOKUP(E:E,'Item Data Support Sheet'!A:J,6,0),0)</f>
        <v>HMC</v>
      </c>
      <c r="Z499" s="93" t="n">
        <f aca="false">IFERROR(VLOOKUP(E:E,'Item Data Support Sheet'!A:O,4,0),0)</f>
        <v>8.6</v>
      </c>
      <c r="AA499" s="93" t="n">
        <f aca="false">IFERROR(((N499)*(Z499/1000))+P499,0)</f>
        <v>44.7888</v>
      </c>
      <c r="AB499" s="94" t="n">
        <f aca="false">IFERROR((O499*(Z499/1000)/(AA499))," ")</f>
        <v>0.998463901689708</v>
      </c>
      <c r="AC499" s="95" t="n">
        <f aca="false">IFERROR((T499)/((T499)+O499),0)</f>
        <v>0.00153609831029186</v>
      </c>
      <c r="AD499" s="96" t="n">
        <f aca="false">IFERROR(Q499/(Q499+N499),0)</f>
        <v>0</v>
      </c>
      <c r="AE499" s="91" t="n">
        <f aca="false">(N499-T499)/N499</f>
        <v>0.998463901689708</v>
      </c>
      <c r="AF499" s="97" t="n">
        <f aca="false">BR499</f>
        <v>0</v>
      </c>
      <c r="AG499" s="98" t="n">
        <f aca="false">K499-AF499</f>
        <v>8</v>
      </c>
      <c r="AH499" s="99" t="n">
        <f aca="false">IFERROR(AG499/K499," ")</f>
        <v>1</v>
      </c>
      <c r="AI499" s="100" t="n">
        <f aca="false">IFERROR(O499/K499,0)</f>
        <v>650</v>
      </c>
      <c r="AJ499" s="101" t="n">
        <f aca="false">VLOOKUP(D499,'Standard Cycle time'!C:D,2,0)</f>
        <v>6</v>
      </c>
      <c r="AK499" s="101" t="n">
        <f aca="false">AG499*V499*3600/O499</f>
        <v>5.53846153846154</v>
      </c>
      <c r="AL499" s="102" t="n">
        <f aca="false">AJ499/AK499</f>
        <v>1.08333333333333</v>
      </c>
      <c r="AM499" s="99" t="n">
        <f aca="false">AE499*AL499*AH499</f>
        <v>1.08166922683052</v>
      </c>
      <c r="AN499" s="103" t="n">
        <v>3173</v>
      </c>
      <c r="AO499" s="112"/>
      <c r="AP499" s="105" t="n">
        <v>0</v>
      </c>
      <c r="AQ499" s="105" t="n">
        <v>0</v>
      </c>
      <c r="AR499" s="105" t="n">
        <v>0</v>
      </c>
      <c r="AS499" s="105" t="n">
        <v>0</v>
      </c>
      <c r="AT499" s="105" t="n">
        <v>0</v>
      </c>
      <c r="AU499" s="105" t="n">
        <v>0</v>
      </c>
      <c r="AV499" s="105" t="n">
        <v>0</v>
      </c>
      <c r="AW499" s="105" t="n">
        <v>0</v>
      </c>
      <c r="AX499" s="105" t="n">
        <v>0</v>
      </c>
      <c r="AY499" s="105" t="n">
        <v>0</v>
      </c>
      <c r="AZ499" s="105" t="n">
        <v>0</v>
      </c>
      <c r="BA499" s="105" t="n">
        <v>0</v>
      </c>
      <c r="BB499" s="105" t="n">
        <v>0</v>
      </c>
      <c r="BC499" s="105" t="n">
        <v>0</v>
      </c>
      <c r="BD499" s="105" t="n">
        <v>0</v>
      </c>
      <c r="BE499" s="105" t="n">
        <v>0</v>
      </c>
      <c r="BF499" s="105" t="n">
        <v>0</v>
      </c>
      <c r="BG499" s="105" t="n">
        <v>0</v>
      </c>
      <c r="BH499" s="105" t="n">
        <v>0</v>
      </c>
      <c r="BI499" s="105" t="n">
        <v>0</v>
      </c>
      <c r="BJ499" s="105" t="n">
        <v>0</v>
      </c>
      <c r="BK499" s="105" t="n">
        <v>0</v>
      </c>
      <c r="BL499" s="105" t="n">
        <v>0</v>
      </c>
      <c r="BM499" s="105" t="n">
        <v>0</v>
      </c>
      <c r="BN499" s="105" t="n">
        <v>0</v>
      </c>
      <c r="BO499" s="105" t="n">
        <v>0</v>
      </c>
      <c r="BP499" s="105" t="n">
        <v>0</v>
      </c>
      <c r="BQ499" s="105" t="n">
        <v>0</v>
      </c>
      <c r="BR499" s="106" t="n">
        <v>0</v>
      </c>
      <c r="BS499" s="106" t="n">
        <v>0</v>
      </c>
      <c r="BT499" s="107"/>
      <c r="BU499" s="107"/>
      <c r="BV499" s="107"/>
      <c r="BW499" s="107"/>
      <c r="BX499" s="107"/>
      <c r="BY499" s="107"/>
      <c r="BZ499" s="107"/>
      <c r="CA499" s="107"/>
      <c r="CB499" s="107"/>
      <c r="CC499" s="107"/>
      <c r="CD499" s="107"/>
      <c r="CE499" s="107"/>
      <c r="CF499" s="107"/>
      <c r="CG499" s="107"/>
      <c r="CH499" s="107"/>
      <c r="CI499" s="107"/>
      <c r="CJ499" s="107"/>
      <c r="CK499" s="107"/>
      <c r="CL499" s="107"/>
      <c r="CM499" s="107"/>
      <c r="CN499" s="107"/>
      <c r="CO499" s="107"/>
      <c r="CP499" s="107"/>
      <c r="CQ499" s="107"/>
      <c r="CR499" s="107"/>
      <c r="CS499" s="107"/>
      <c r="CT499" s="107"/>
      <c r="CU499" s="107"/>
      <c r="CV499" s="107"/>
    </row>
    <row r="500" customFormat="false" ht="14.9" hidden="false" customHeight="false" outlineLevel="0" collapsed="false">
      <c r="A500" s="74" t="n">
        <f aca="false">MONTH(B500)</f>
        <v>9</v>
      </c>
      <c r="B500" s="135" t="n">
        <v>44452</v>
      </c>
      <c r="C500" s="128" t="s">
        <v>70</v>
      </c>
      <c r="D500" s="77" t="str">
        <f aca="false">IFERROR(VLOOKUP(E:E,'Item Data Support Sheet'!A:O,7,0),"")</f>
        <v>NIPPLE MOLDED</v>
      </c>
      <c r="E500" s="80" t="s">
        <v>661</v>
      </c>
      <c r="F500" s="122" t="s">
        <v>137</v>
      </c>
      <c r="G500" s="137" t="s">
        <v>138</v>
      </c>
      <c r="H500" s="79" t="str">
        <f aca="false">IFERROR(VLOOKUP(E:E,'Item Data Support Sheet'!A:O,2,0),"")</f>
        <v>NIPPLE S TYPE L SIZE INJECTION</v>
      </c>
      <c r="I500" s="80" t="s">
        <v>1069</v>
      </c>
      <c r="J500" s="80" t="s">
        <v>155</v>
      </c>
      <c r="K500" s="81" t="n">
        <v>8</v>
      </c>
      <c r="L500" s="124" t="n">
        <v>4815</v>
      </c>
      <c r="M500" s="83" t="n">
        <f aca="false">IFERROR(L500/K500,0)</f>
        <v>601.875</v>
      </c>
      <c r="N500" s="84" t="n">
        <f aca="false">+O500+Q500+T500+U500</f>
        <v>4220</v>
      </c>
      <c r="O500" s="85" t="n">
        <v>4000</v>
      </c>
      <c r="P500" s="86" t="n">
        <v>1.56</v>
      </c>
      <c r="Q500" s="86" t="n">
        <v>142</v>
      </c>
      <c r="R500" s="132" t="n">
        <v>0</v>
      </c>
      <c r="S500" s="128" t="n">
        <v>0</v>
      </c>
      <c r="T500" s="132" t="n">
        <v>70</v>
      </c>
      <c r="U500" s="128" t="n">
        <v>8</v>
      </c>
      <c r="V500" s="128" t="n">
        <v>1</v>
      </c>
      <c r="W500" s="90" t="n">
        <f aca="false">IFERROR(O500/V500,0)</f>
        <v>4000</v>
      </c>
      <c r="X500" s="91" t="n">
        <f aca="false">O500/L500</f>
        <v>0.83073727933541</v>
      </c>
      <c r="Y500" s="92" t="str">
        <f aca="false">IFERROR(VLOOKUP(E:E,'Item Data Support Sheet'!A:J,6,0),0)</f>
        <v>Silicon</v>
      </c>
      <c r="Z500" s="93" t="n">
        <f aca="false">IFERROR(VLOOKUP(E:E,'Item Data Support Sheet'!A:O,4,0),0)</f>
        <v>6.8</v>
      </c>
      <c r="AA500" s="93" t="n">
        <f aca="false">IFERROR(((N500)*(Z500/1000))+P500,0)</f>
        <v>30.256</v>
      </c>
      <c r="AB500" s="94" t="n">
        <f aca="false">IFERROR((O500*(Z500/1000)/(AA500))," ")</f>
        <v>0.898995240613432</v>
      </c>
      <c r="AC500" s="95" t="n">
        <f aca="false">IFERROR((T500)/((T500)+O500),0)</f>
        <v>0.0171990171990172</v>
      </c>
      <c r="AD500" s="96" t="n">
        <f aca="false">IFERROR(Q500/(Q500+N500),0)</f>
        <v>0.0325538743695552</v>
      </c>
      <c r="AE500" s="91" t="n">
        <f aca="false">(N500-T500)/N500</f>
        <v>0.983412322274882</v>
      </c>
      <c r="AF500" s="97" t="n">
        <f aca="false">BR500</f>
        <v>1.16666666666667</v>
      </c>
      <c r="AG500" s="98" t="n">
        <f aca="false">K500-AF500</f>
        <v>6.83333333333333</v>
      </c>
      <c r="AH500" s="99" t="n">
        <f aca="false">IFERROR(AG500/K500," ")</f>
        <v>0.854166666666666</v>
      </c>
      <c r="AI500" s="100" t="n">
        <f aca="false">IFERROR(O500/K500,0)</f>
        <v>500</v>
      </c>
      <c r="AJ500" s="101" t="n">
        <f aca="false">VLOOKUP(D500,'Standard Cycle time'!C:D,2,0)</f>
        <v>5.25</v>
      </c>
      <c r="AK500" s="101" t="n">
        <f aca="false">AG500*V500*3600/O500</f>
        <v>6.15</v>
      </c>
      <c r="AL500" s="102" t="n">
        <f aca="false">AJ500/AK500</f>
        <v>0.853658536585366</v>
      </c>
      <c r="AM500" s="99" t="n">
        <f aca="false">AE500*AL500*AH500</f>
        <v>0.717071484992101</v>
      </c>
      <c r="AN500" s="103" t="n">
        <v>3174</v>
      </c>
      <c r="AO500" s="112"/>
      <c r="AP500" s="105" t="n">
        <v>40</v>
      </c>
      <c r="AQ500" s="105" t="n">
        <v>0</v>
      </c>
      <c r="AR500" s="105" t="n">
        <v>0</v>
      </c>
      <c r="AS500" s="105" t="n">
        <v>0</v>
      </c>
      <c r="AT500" s="105" t="n">
        <v>0</v>
      </c>
      <c r="AU500" s="105" t="n">
        <v>30</v>
      </c>
      <c r="AV500" s="105"/>
      <c r="AW500" s="105" t="n">
        <v>0</v>
      </c>
      <c r="AX500" s="105" t="n">
        <v>0</v>
      </c>
      <c r="AY500" s="105" t="n">
        <v>0</v>
      </c>
      <c r="AZ500" s="105" t="n">
        <v>0</v>
      </c>
      <c r="BA500" s="105" t="n">
        <v>0</v>
      </c>
      <c r="BB500" s="105" t="n">
        <v>0</v>
      </c>
      <c r="BC500" s="105" t="n">
        <v>0</v>
      </c>
      <c r="BD500" s="105" t="n">
        <v>0</v>
      </c>
      <c r="BE500" s="105" t="n">
        <v>0</v>
      </c>
      <c r="BF500" s="105" t="n">
        <v>0</v>
      </c>
      <c r="BG500" s="105" t="n">
        <v>0</v>
      </c>
      <c r="BH500" s="105" t="n">
        <v>0</v>
      </c>
      <c r="BI500" s="105" t="n">
        <v>0</v>
      </c>
      <c r="BJ500" s="105" t="n">
        <v>0</v>
      </c>
      <c r="BK500" s="105" t="n">
        <v>0</v>
      </c>
      <c r="BL500" s="105" t="n">
        <v>0</v>
      </c>
      <c r="BM500" s="105" t="n">
        <v>0</v>
      </c>
      <c r="BN500" s="105" t="n">
        <v>0</v>
      </c>
      <c r="BO500" s="105" t="n">
        <v>0</v>
      </c>
      <c r="BP500" s="105" t="n">
        <v>0</v>
      </c>
      <c r="BQ500" s="105" t="n">
        <v>0</v>
      </c>
      <c r="BR500" s="106" t="n">
        <v>1.16666666666667</v>
      </c>
      <c r="BS500" s="106" t="n">
        <v>1.18611111111111</v>
      </c>
      <c r="BT500" s="107"/>
      <c r="BU500" s="107"/>
      <c r="BV500" s="107"/>
      <c r="BW500" s="107"/>
      <c r="BX500" s="107"/>
      <c r="BY500" s="107"/>
      <c r="BZ500" s="107"/>
      <c r="CA500" s="107"/>
      <c r="CB500" s="107"/>
      <c r="CC500" s="107"/>
      <c r="CD500" s="107"/>
      <c r="CE500" s="107"/>
      <c r="CF500" s="107"/>
      <c r="CG500" s="107"/>
      <c r="CH500" s="107"/>
      <c r="CI500" s="107"/>
      <c r="CJ500" s="107"/>
      <c r="CK500" s="107"/>
      <c r="CL500" s="107"/>
      <c r="CM500" s="107"/>
      <c r="CN500" s="107"/>
      <c r="CO500" s="107"/>
      <c r="CP500" s="107"/>
      <c r="CQ500" s="107"/>
      <c r="CR500" s="107"/>
      <c r="CS500" s="107"/>
      <c r="CT500" s="107"/>
      <c r="CU500" s="107"/>
      <c r="CV500" s="107"/>
    </row>
    <row r="501" customFormat="false" ht="14.9" hidden="false" customHeight="false" outlineLevel="0" collapsed="false">
      <c r="A501" s="74" t="n">
        <f aca="false">MONTH(B501)</f>
        <v>9</v>
      </c>
      <c r="B501" s="135" t="n">
        <v>44452</v>
      </c>
      <c r="C501" s="128" t="s">
        <v>70</v>
      </c>
      <c r="D501" s="77" t="str">
        <f aca="false">IFERROR(VLOOKUP(E:E,'Item Data Support Sheet'!A:O,7,0),"")</f>
        <v>NIPPLE LASER MARKING</v>
      </c>
      <c r="E501" s="80" t="s">
        <v>932</v>
      </c>
      <c r="F501" s="122"/>
      <c r="G501" s="137" t="s">
        <v>80</v>
      </c>
      <c r="H501" s="79" t="str">
        <f aca="false">IFERROR(VLOOKUP(E:E,'Item Data Support Sheet'!A:O,2,0),"")</f>
        <v>NIPPLE S TYPE M SIZE PUNCHED LASER MARKED</v>
      </c>
      <c r="I501" s="80" t="s">
        <v>1070</v>
      </c>
      <c r="J501" s="80" t="s">
        <v>155</v>
      </c>
      <c r="K501" s="81" t="n">
        <v>8</v>
      </c>
      <c r="L501" s="124" t="n">
        <v>7000</v>
      </c>
      <c r="M501" s="83" t="n">
        <f aca="false">IFERROR(L501/K501,0)</f>
        <v>875</v>
      </c>
      <c r="N501" s="84" t="n">
        <f aca="false">+O501+Q501+T501+U501</f>
        <v>6700</v>
      </c>
      <c r="O501" s="85" t="n">
        <v>6700</v>
      </c>
      <c r="P501" s="86" t="n">
        <v>0</v>
      </c>
      <c r="Q501" s="86" t="n">
        <v>0</v>
      </c>
      <c r="R501" s="132" t="n">
        <v>0</v>
      </c>
      <c r="S501" s="128" t="n">
        <v>0</v>
      </c>
      <c r="T501" s="132" t="n">
        <v>0</v>
      </c>
      <c r="U501" s="128" t="n">
        <v>0</v>
      </c>
      <c r="V501" s="128" t="n">
        <v>1</v>
      </c>
      <c r="W501" s="90" t="n">
        <f aca="false">IFERROR(O501/V501,0)</f>
        <v>6700</v>
      </c>
      <c r="X501" s="91" t="n">
        <f aca="false">O501/L501</f>
        <v>0.957142857142857</v>
      </c>
      <c r="Y501" s="92" t="str">
        <f aca="false">IFERROR(VLOOKUP(E:E,'Item Data Support Sheet'!A:J,6,0),0)</f>
        <v>FO020</v>
      </c>
      <c r="Z501" s="93" t="n">
        <f aca="false">IFERROR(VLOOKUP(E:E,'Item Data Support Sheet'!A:O,4,0),0)</f>
        <v>0</v>
      </c>
      <c r="AA501" s="93" t="n">
        <f aca="false">IFERROR(((N501)*(Z501/1000))+P501,0)</f>
        <v>0</v>
      </c>
      <c r="AB501" s="94" t="str">
        <f aca="false">IFERROR((O501*(Z501/1000)/(AA501))," ")</f>
        <v> </v>
      </c>
      <c r="AC501" s="95" t="n">
        <f aca="false">IFERROR((T501)/((T501)+O501),0)</f>
        <v>0</v>
      </c>
      <c r="AD501" s="96" t="n">
        <f aca="false">IFERROR(Q501/(Q501+N501),0)</f>
        <v>0</v>
      </c>
      <c r="AE501" s="91" t="n">
        <f aca="false">(N501-T501)/N501</f>
        <v>1</v>
      </c>
      <c r="AF501" s="97" t="n">
        <f aca="false">BR501</f>
        <v>0.666666666666667</v>
      </c>
      <c r="AG501" s="98" t="n">
        <f aca="false">K501-AF501</f>
        <v>7.33333333333333</v>
      </c>
      <c r="AH501" s="99" t="n">
        <f aca="false">IFERROR(AG501/K501," ")</f>
        <v>0.916666666666667</v>
      </c>
      <c r="AI501" s="100" t="n">
        <f aca="false">IFERROR(O501/K501,0)</f>
        <v>837.5</v>
      </c>
      <c r="AJ501" s="101" t="n">
        <f aca="false">VLOOKUP(D501,'Standard Cycle time'!C:D,2,0)</f>
        <v>3.5</v>
      </c>
      <c r="AK501" s="101" t="n">
        <f aca="false">AG501*V501*3600/O501</f>
        <v>3.94029850746269</v>
      </c>
      <c r="AL501" s="102" t="n">
        <f aca="false">AJ501/AK501</f>
        <v>0.888257575757576</v>
      </c>
      <c r="AM501" s="99" t="n">
        <f aca="false">AE501*AL501*AH501</f>
        <v>0.814236111111111</v>
      </c>
      <c r="AN501" s="103" t="s">
        <v>1071</v>
      </c>
      <c r="AO501" s="112"/>
      <c r="AP501" s="105" t="n">
        <v>40</v>
      </c>
      <c r="AQ501" s="105" t="n">
        <v>0</v>
      </c>
      <c r="AR501" s="105" t="n">
        <v>0</v>
      </c>
      <c r="AS501" s="105" t="n">
        <v>0</v>
      </c>
      <c r="AT501" s="105" t="n">
        <v>0</v>
      </c>
      <c r="AU501" s="105" t="n">
        <v>0</v>
      </c>
      <c r="AV501" s="105" t="n">
        <v>0</v>
      </c>
      <c r="AW501" s="105" t="n">
        <v>0</v>
      </c>
      <c r="AX501" s="105" t="n">
        <v>0</v>
      </c>
      <c r="AY501" s="105" t="n">
        <v>0</v>
      </c>
      <c r="AZ501" s="105" t="n">
        <v>0</v>
      </c>
      <c r="BA501" s="105" t="n">
        <v>0</v>
      </c>
      <c r="BB501" s="105" t="n">
        <v>0</v>
      </c>
      <c r="BC501" s="105" t="n">
        <v>0</v>
      </c>
      <c r="BD501" s="105" t="n">
        <v>0</v>
      </c>
      <c r="BE501" s="105" t="n">
        <v>0</v>
      </c>
      <c r="BF501" s="105" t="n">
        <v>0</v>
      </c>
      <c r="BG501" s="105" t="n">
        <v>0</v>
      </c>
      <c r="BH501" s="105" t="n">
        <v>0</v>
      </c>
      <c r="BI501" s="105" t="n">
        <v>0</v>
      </c>
      <c r="BJ501" s="105" t="n">
        <v>0</v>
      </c>
      <c r="BK501" s="105" t="n">
        <v>0</v>
      </c>
      <c r="BL501" s="105" t="n">
        <v>0</v>
      </c>
      <c r="BM501" s="105" t="n">
        <v>0</v>
      </c>
      <c r="BN501" s="105" t="n">
        <v>0</v>
      </c>
      <c r="BO501" s="105" t="n">
        <v>0</v>
      </c>
      <c r="BP501" s="105" t="n">
        <v>0</v>
      </c>
      <c r="BQ501" s="105" t="n">
        <v>0</v>
      </c>
      <c r="BR501" s="106" t="n">
        <v>0.666666666666667</v>
      </c>
      <c r="BS501" s="106" t="n">
        <v>0.677777777777778</v>
      </c>
      <c r="BT501" s="107"/>
      <c r="BU501" s="107"/>
      <c r="BV501" s="107"/>
      <c r="BW501" s="107"/>
      <c r="BX501" s="107"/>
      <c r="BY501" s="107"/>
      <c r="BZ501" s="107"/>
      <c r="CA501" s="107"/>
      <c r="CB501" s="107"/>
      <c r="CC501" s="107"/>
      <c r="CD501" s="107"/>
      <c r="CE501" s="107"/>
      <c r="CF501" s="107"/>
      <c r="CG501" s="107"/>
      <c r="CH501" s="107"/>
      <c r="CI501" s="107"/>
      <c r="CJ501" s="107"/>
      <c r="CK501" s="107"/>
      <c r="CL501" s="107"/>
      <c r="CM501" s="107"/>
      <c r="CN501" s="107"/>
      <c r="CO501" s="107"/>
      <c r="CP501" s="107"/>
      <c r="CQ501" s="107"/>
      <c r="CR501" s="107"/>
      <c r="CS501" s="107"/>
      <c r="CT501" s="107"/>
      <c r="CU501" s="107"/>
      <c r="CV501" s="107"/>
    </row>
    <row r="502" customFormat="false" ht="14.9" hidden="false" customHeight="false" outlineLevel="0" collapsed="false">
      <c r="A502" s="74" t="n">
        <f aca="false">MONTH(B502)</f>
        <v>9</v>
      </c>
      <c r="B502" s="135" t="n">
        <v>44452</v>
      </c>
      <c r="C502" s="128" t="s">
        <v>70</v>
      </c>
      <c r="D502" s="77" t="str">
        <f aca="false">IFERROR(VLOOKUP(E:E,'Item Data Support Sheet'!A:O,7,0),"")</f>
        <v>BOTTLE MOLDED</v>
      </c>
      <c r="E502" s="80" t="s">
        <v>235</v>
      </c>
      <c r="F502" s="122"/>
      <c r="G502" s="137" t="s">
        <v>80</v>
      </c>
      <c r="H502" s="79" t="str">
        <f aca="false">IFERROR(VLOOKUP(E:E,'Item Data Support Sheet'!A:O,2,0),"")</f>
        <v>KPP 200 ML BOTTLE MOLDED</v>
      </c>
      <c r="I502" s="80" t="s">
        <v>1072</v>
      </c>
      <c r="J502" s="80" t="s">
        <v>155</v>
      </c>
      <c r="K502" s="81" t="n">
        <v>8</v>
      </c>
      <c r="L502" s="124" t="n">
        <v>2574</v>
      </c>
      <c r="M502" s="83" t="n">
        <f aca="false">IFERROR(L502/K502,0)</f>
        <v>321.75</v>
      </c>
      <c r="N502" s="84" t="n">
        <f aca="false">+O502+Q502+T502+U502</f>
        <v>2906</v>
      </c>
      <c r="O502" s="85" t="n">
        <v>2808</v>
      </c>
      <c r="P502" s="86" t="n">
        <v>0</v>
      </c>
      <c r="Q502" s="86" t="n">
        <v>42</v>
      </c>
      <c r="R502" s="132" t="n">
        <v>0</v>
      </c>
      <c r="S502" s="128" t="n">
        <v>0</v>
      </c>
      <c r="T502" s="132" t="n">
        <v>56</v>
      </c>
      <c r="U502" s="128" t="n">
        <v>0</v>
      </c>
      <c r="V502" s="128" t="n">
        <v>1</v>
      </c>
      <c r="W502" s="90" t="n">
        <f aca="false">IFERROR(O502/V502,0)</f>
        <v>2808</v>
      </c>
      <c r="X502" s="91" t="n">
        <f aca="false">O502/L502</f>
        <v>1.09090909090909</v>
      </c>
      <c r="Y502" s="92" t="str">
        <f aca="false">IFERROR(VLOOKUP(E:E,'Item Data Support Sheet'!A:J,6,0),0)</f>
        <v>HMC</v>
      </c>
      <c r="Z502" s="93" t="n">
        <f aca="false">IFERROR(VLOOKUP(E:E,'Item Data Support Sheet'!A:O,4,0),0)</f>
        <v>28.1</v>
      </c>
      <c r="AA502" s="93" t="n">
        <f aca="false">IFERROR(((N502)*(Z502/1000))+P502,0)</f>
        <v>81.6586</v>
      </c>
      <c r="AB502" s="94" t="n">
        <f aca="false">IFERROR((O502*(Z502/1000)/(AA502))," ")</f>
        <v>0.966276668960771</v>
      </c>
      <c r="AC502" s="95" t="n">
        <f aca="false">IFERROR((T502)/((T502)+O502),0)</f>
        <v>0.0195530726256983</v>
      </c>
      <c r="AD502" s="96" t="n">
        <f aca="false">IFERROR(Q502/(Q502+N502),0)</f>
        <v>0.014246947082768</v>
      </c>
      <c r="AE502" s="91" t="n">
        <f aca="false">(N502-T502)/N502</f>
        <v>0.98072952512044</v>
      </c>
      <c r="AF502" s="97" t="n">
        <f aca="false">BR502</f>
        <v>0</v>
      </c>
      <c r="AG502" s="98" t="n">
        <f aca="false">K502-AF502</f>
        <v>8</v>
      </c>
      <c r="AH502" s="99" t="n">
        <f aca="false">IFERROR(AG502/K502," ")</f>
        <v>1</v>
      </c>
      <c r="AI502" s="100" t="n">
        <f aca="false">IFERROR(O502/K502,0)</f>
        <v>351</v>
      </c>
      <c r="AJ502" s="101" t="n">
        <f aca="false">VLOOKUP(D502,'Standard Cycle time'!C:D,2,0)</f>
        <v>9</v>
      </c>
      <c r="AK502" s="101" t="n">
        <f aca="false">AG502*V502*3600/O502</f>
        <v>10.2564102564103</v>
      </c>
      <c r="AL502" s="102" t="n">
        <f aca="false">AJ502/AK502</f>
        <v>0.8775</v>
      </c>
      <c r="AM502" s="99" t="n">
        <f aca="false">AE502*AL502*AH502</f>
        <v>0.860590158293186</v>
      </c>
      <c r="AN502" s="103" t="n">
        <v>3175</v>
      </c>
      <c r="AO502" s="112"/>
      <c r="AP502" s="105" t="n">
        <v>0</v>
      </c>
      <c r="AQ502" s="105" t="n">
        <v>0</v>
      </c>
      <c r="AR502" s="105" t="n">
        <v>0</v>
      </c>
      <c r="AS502" s="105" t="n">
        <v>0</v>
      </c>
      <c r="AT502" s="105" t="n">
        <v>0</v>
      </c>
      <c r="AU502" s="105" t="n">
        <v>0</v>
      </c>
      <c r="AV502" s="105" t="n">
        <v>0</v>
      </c>
      <c r="AW502" s="105" t="n">
        <v>0</v>
      </c>
      <c r="AX502" s="105" t="n">
        <v>0</v>
      </c>
      <c r="AY502" s="105" t="n">
        <v>0</v>
      </c>
      <c r="AZ502" s="105" t="n">
        <v>0</v>
      </c>
      <c r="BA502" s="105" t="n">
        <v>0</v>
      </c>
      <c r="BB502" s="105" t="n">
        <v>0</v>
      </c>
      <c r="BC502" s="105" t="n">
        <v>0</v>
      </c>
      <c r="BD502" s="105" t="n">
        <v>0</v>
      </c>
      <c r="BE502" s="105" t="n">
        <v>0</v>
      </c>
      <c r="BF502" s="105" t="n">
        <v>0</v>
      </c>
      <c r="BG502" s="105" t="n">
        <v>0</v>
      </c>
      <c r="BH502" s="105" t="n">
        <v>0</v>
      </c>
      <c r="BI502" s="105" t="n">
        <v>0</v>
      </c>
      <c r="BJ502" s="105" t="n">
        <v>0</v>
      </c>
      <c r="BK502" s="105" t="n">
        <v>0</v>
      </c>
      <c r="BL502" s="105" t="n">
        <v>0</v>
      </c>
      <c r="BM502" s="105" t="n">
        <v>0</v>
      </c>
      <c r="BN502" s="105" t="n">
        <v>0</v>
      </c>
      <c r="BO502" s="105" t="n">
        <v>0</v>
      </c>
      <c r="BP502" s="105" t="n">
        <v>0</v>
      </c>
      <c r="BQ502" s="105" t="n">
        <v>0</v>
      </c>
      <c r="BR502" s="106" t="n">
        <v>0</v>
      </c>
      <c r="BS502" s="106" t="n">
        <v>0</v>
      </c>
      <c r="BT502" s="107"/>
      <c r="BU502" s="107"/>
      <c r="BV502" s="107"/>
      <c r="BW502" s="107"/>
      <c r="BX502" s="107"/>
      <c r="BY502" s="107"/>
      <c r="BZ502" s="107"/>
      <c r="CA502" s="107"/>
      <c r="CB502" s="107"/>
      <c r="CC502" s="107"/>
      <c r="CD502" s="107"/>
      <c r="CE502" s="107"/>
      <c r="CF502" s="107"/>
      <c r="CG502" s="107"/>
      <c r="CH502" s="107"/>
      <c r="CI502" s="107"/>
      <c r="CJ502" s="107"/>
      <c r="CK502" s="107"/>
      <c r="CL502" s="107"/>
      <c r="CM502" s="107"/>
      <c r="CN502" s="107"/>
      <c r="CO502" s="107"/>
      <c r="CP502" s="107"/>
      <c r="CQ502" s="107"/>
      <c r="CR502" s="107"/>
      <c r="CS502" s="107"/>
      <c r="CT502" s="107"/>
      <c r="CU502" s="107"/>
      <c r="CV502" s="107"/>
    </row>
    <row r="503" customFormat="false" ht="14.9" hidden="false" customHeight="false" outlineLevel="0" collapsed="false">
      <c r="A503" s="74" t="n">
        <f aca="false">MONTH(B503)</f>
        <v>9</v>
      </c>
      <c r="B503" s="135" t="n">
        <v>44452</v>
      </c>
      <c r="C503" s="128" t="s">
        <v>70</v>
      </c>
      <c r="D503" s="77" t="str">
        <f aca="false">IFERROR(VLOOKUP(E:E,'Item Data Support Sheet'!A:O,7,0),"")</f>
        <v>BOTTLE PRINTED</v>
      </c>
      <c r="E503" s="80" t="s">
        <v>65</v>
      </c>
      <c r="F503" s="122"/>
      <c r="G503" s="137"/>
      <c r="H503" s="79" t="str">
        <f aca="false">IFERROR(VLOOKUP(E:E,'Item Data Support Sheet'!A:O,2,0),"")</f>
        <v>KPP 240 ML BOTTLE PRINTED</v>
      </c>
      <c r="I503" s="80" t="s">
        <v>1073</v>
      </c>
      <c r="J503" s="80" t="s">
        <v>155</v>
      </c>
      <c r="K503" s="81" t="n">
        <v>8</v>
      </c>
      <c r="L503" s="124" t="n">
        <v>5100</v>
      </c>
      <c r="M503" s="83" t="n">
        <f aca="false">IFERROR(L503/K503,0)</f>
        <v>637.5</v>
      </c>
      <c r="N503" s="84" t="n">
        <f aca="false">+O503+Q503+T503+U503</f>
        <v>5033</v>
      </c>
      <c r="O503" s="85" t="n">
        <v>4968</v>
      </c>
      <c r="P503" s="86" t="n">
        <v>0</v>
      </c>
      <c r="Q503" s="86" t="n">
        <v>0</v>
      </c>
      <c r="R503" s="132" t="n">
        <v>41</v>
      </c>
      <c r="S503" s="128" t="n">
        <v>0</v>
      </c>
      <c r="T503" s="132" t="n">
        <v>65</v>
      </c>
      <c r="U503" s="128" t="n">
        <v>0</v>
      </c>
      <c r="V503" s="128" t="n">
        <v>6</v>
      </c>
      <c r="W503" s="90" t="n">
        <f aca="false">IFERROR(O503/V503,0)</f>
        <v>828</v>
      </c>
      <c r="X503" s="91" t="n">
        <f aca="false">O503/L503</f>
        <v>0.974117647058823</v>
      </c>
      <c r="Y503" s="92" t="str">
        <f aca="false">IFERROR(VLOOKUP(E:E,'Item Data Support Sheet'!A:J,6,0),0)</f>
        <v>FO003</v>
      </c>
      <c r="Z503" s="93" t="n">
        <f aca="false">IFERROR(VLOOKUP(E:E,'Item Data Support Sheet'!A:O,4,0),0)</f>
        <v>0</v>
      </c>
      <c r="AA503" s="93" t="n">
        <f aca="false">IFERROR(((N503)*(Z503/1000))+P503,0)</f>
        <v>0</v>
      </c>
      <c r="AB503" s="94" t="str">
        <f aca="false">IFERROR((O503*(Z503/1000)/(AA503))," ")</f>
        <v> </v>
      </c>
      <c r="AC503" s="95" t="n">
        <f aca="false">IFERROR((T503)/((T503)+O503),0)</f>
        <v>0.0129147625670574</v>
      </c>
      <c r="AD503" s="96" t="n">
        <f aca="false">IFERROR(Q503/(Q503+N503),0)</f>
        <v>0</v>
      </c>
      <c r="AE503" s="91" t="n">
        <f aca="false">(N503-T503)/N503</f>
        <v>0.987085237432943</v>
      </c>
      <c r="AF503" s="97" t="n">
        <f aca="false">BR503</f>
        <v>0.666666666666667</v>
      </c>
      <c r="AG503" s="98" t="n">
        <f aca="false">K503-AF503</f>
        <v>7.33333333333333</v>
      </c>
      <c r="AH503" s="99" t="n">
        <f aca="false">IFERROR(AG503/K503," ")</f>
        <v>0.916666666666667</v>
      </c>
      <c r="AI503" s="100" t="n">
        <f aca="false">IFERROR(O503/K503,0)</f>
        <v>621</v>
      </c>
      <c r="AJ503" s="101" t="n">
        <f aca="false">VLOOKUP(D503,'Standard Cycle time'!C:D,2,0)</f>
        <v>32.4</v>
      </c>
      <c r="AK503" s="101" t="n">
        <f aca="false">AG503*V503*3600/O503</f>
        <v>31.8840579710145</v>
      </c>
      <c r="AL503" s="102" t="n">
        <f aca="false">AJ503/AK503</f>
        <v>1.01618181818182</v>
      </c>
      <c r="AM503" s="99" t="n">
        <f aca="false">AE503*AL503*AH503</f>
        <v>0.919469898668786</v>
      </c>
      <c r="AN503" s="103" t="s">
        <v>869</v>
      </c>
      <c r="AO503" s="112"/>
      <c r="AP503" s="105" t="n">
        <v>40</v>
      </c>
      <c r="AQ503" s="105" t="n">
        <v>0</v>
      </c>
      <c r="AR503" s="105" t="n">
        <v>0</v>
      </c>
      <c r="AS503" s="105" t="n">
        <v>0</v>
      </c>
      <c r="AT503" s="105" t="n">
        <v>0</v>
      </c>
      <c r="AU503" s="105" t="n">
        <v>0</v>
      </c>
      <c r="AV503" s="105" t="n">
        <v>0</v>
      </c>
      <c r="AW503" s="105" t="n">
        <v>0</v>
      </c>
      <c r="AX503" s="105" t="n">
        <v>0</v>
      </c>
      <c r="AY503" s="105" t="n">
        <v>0</v>
      </c>
      <c r="AZ503" s="105" t="n">
        <v>0</v>
      </c>
      <c r="BA503" s="105" t="n">
        <v>0</v>
      </c>
      <c r="BB503" s="105" t="n">
        <v>0</v>
      </c>
      <c r="BC503" s="105" t="n">
        <v>0</v>
      </c>
      <c r="BD503" s="105" t="n">
        <v>0</v>
      </c>
      <c r="BE503" s="105" t="n">
        <v>0</v>
      </c>
      <c r="BF503" s="105" t="n">
        <v>0</v>
      </c>
      <c r="BG503" s="105" t="n">
        <v>0</v>
      </c>
      <c r="BH503" s="105" t="n">
        <v>0</v>
      </c>
      <c r="BI503" s="105" t="n">
        <v>0</v>
      </c>
      <c r="BJ503" s="105" t="n">
        <v>0</v>
      </c>
      <c r="BK503" s="105" t="n">
        <v>0</v>
      </c>
      <c r="BL503" s="105" t="n">
        <v>0</v>
      </c>
      <c r="BM503" s="105" t="n">
        <v>0</v>
      </c>
      <c r="BN503" s="105" t="n">
        <v>0</v>
      </c>
      <c r="BO503" s="105" t="n">
        <v>0</v>
      </c>
      <c r="BP503" s="105" t="n">
        <v>0</v>
      </c>
      <c r="BQ503" s="105" t="n">
        <v>0</v>
      </c>
      <c r="BR503" s="106" t="n">
        <v>0.666666666666667</v>
      </c>
      <c r="BS503" s="106" t="n">
        <v>0.677777777777778</v>
      </c>
      <c r="BT503" s="107"/>
      <c r="BU503" s="107"/>
      <c r="BV503" s="107"/>
      <c r="BW503" s="107"/>
      <c r="BX503" s="107"/>
      <c r="BY503" s="107"/>
      <c r="BZ503" s="107"/>
      <c r="CA503" s="107"/>
      <c r="CB503" s="107"/>
      <c r="CC503" s="107"/>
      <c r="CD503" s="107"/>
      <c r="CE503" s="107"/>
      <c r="CF503" s="107"/>
      <c r="CG503" s="107"/>
      <c r="CH503" s="107"/>
      <c r="CI503" s="107"/>
      <c r="CJ503" s="107"/>
      <c r="CK503" s="107"/>
      <c r="CL503" s="107"/>
      <c r="CM503" s="107"/>
      <c r="CN503" s="107"/>
      <c r="CO503" s="107"/>
      <c r="CP503" s="107"/>
      <c r="CQ503" s="107"/>
      <c r="CR503" s="107"/>
      <c r="CS503" s="107"/>
      <c r="CT503" s="107"/>
      <c r="CU503" s="107"/>
      <c r="CV503" s="107"/>
    </row>
    <row r="504" customFormat="false" ht="14.9" hidden="false" customHeight="false" outlineLevel="0" collapsed="false">
      <c r="A504" s="74" t="n">
        <f aca="false">MONTH(B504)</f>
        <v>9</v>
      </c>
      <c r="B504" s="135" t="n">
        <v>44452</v>
      </c>
      <c r="C504" s="128" t="s">
        <v>63</v>
      </c>
      <c r="D504" s="77" t="str">
        <f aca="false">IFERROR(VLOOKUP(E:E,'Item Data Support Sheet'!A:O,7,0),"")</f>
        <v>NIPPLE PUNCH INSPECTED</v>
      </c>
      <c r="E504" s="80" t="s">
        <v>182</v>
      </c>
      <c r="F504" s="122"/>
      <c r="G504" s="137"/>
      <c r="H504" s="79" t="str">
        <f aca="false">IFERROR(VLOOKUP(E:E,'Item Data Support Sheet'!A:O,2,0),"")</f>
        <v>NIPPLE S TYPE M SIZE PUNCHED INSPECTED</v>
      </c>
      <c r="I504" s="80" t="s">
        <v>1074</v>
      </c>
      <c r="J504" s="80" t="s">
        <v>155</v>
      </c>
      <c r="K504" s="81" t="n">
        <v>8.5</v>
      </c>
      <c r="L504" s="124" t="n">
        <v>10091</v>
      </c>
      <c r="M504" s="83" t="n">
        <f aca="false">IFERROR(L504/K504,0)</f>
        <v>1187.17647058824</v>
      </c>
      <c r="N504" s="84" t="n">
        <f aca="false">+O504+Q504+T504+U504</f>
        <v>11900</v>
      </c>
      <c r="O504" s="85" t="n">
        <v>11867</v>
      </c>
      <c r="P504" s="86" t="n">
        <v>0</v>
      </c>
      <c r="Q504" s="86" t="n">
        <v>0</v>
      </c>
      <c r="R504" s="132" t="n">
        <v>0</v>
      </c>
      <c r="S504" s="128" t="n">
        <v>0</v>
      </c>
      <c r="T504" s="132" t="n">
        <v>33</v>
      </c>
      <c r="U504" s="128" t="n">
        <v>0</v>
      </c>
      <c r="V504" s="128" t="n">
        <v>1</v>
      </c>
      <c r="W504" s="90" t="n">
        <f aca="false">IFERROR(O504/V504,0)</f>
        <v>11867</v>
      </c>
      <c r="X504" s="91" t="n">
        <f aca="false">O504/L504</f>
        <v>1.1759984144287</v>
      </c>
      <c r="Y504" s="92" t="str">
        <f aca="false">IFERROR(VLOOKUP(E:E,'Item Data Support Sheet'!A:J,6,0),0)</f>
        <v>FO105</v>
      </c>
      <c r="Z504" s="93" t="n">
        <f aca="false">IFERROR(VLOOKUP(E:E,'Item Data Support Sheet'!A:O,4,0),0)</f>
        <v>0</v>
      </c>
      <c r="AA504" s="93" t="n">
        <f aca="false">IFERROR(((N504)*(Z504/1000))+P504,0)</f>
        <v>0</v>
      </c>
      <c r="AB504" s="94" t="str">
        <f aca="false">IFERROR((O504*(Z504/1000)/(AA504))," ")</f>
        <v> </v>
      </c>
      <c r="AC504" s="95" t="n">
        <f aca="false">IFERROR((T504)/((T504)+O504),0)</f>
        <v>0.00277310924369748</v>
      </c>
      <c r="AD504" s="96" t="n">
        <f aca="false">IFERROR(Q504/(Q504+N504),0)</f>
        <v>0</v>
      </c>
      <c r="AE504" s="91" t="n">
        <f aca="false">(N504-T504)/N504</f>
        <v>0.997226890756303</v>
      </c>
      <c r="AF504" s="97" t="n">
        <f aca="false">BR504</f>
        <v>0.833333333333333</v>
      </c>
      <c r="AG504" s="98" t="n">
        <f aca="false">K504-AF504</f>
        <v>7.66666666666667</v>
      </c>
      <c r="AH504" s="99" t="n">
        <f aca="false">IFERROR(AG504/K504," ")</f>
        <v>0.901960784313726</v>
      </c>
      <c r="AI504" s="100" t="n">
        <f aca="false">IFERROR(O504/K504,0)</f>
        <v>1396.11764705882</v>
      </c>
      <c r="AJ504" s="101" t="n">
        <f aca="false">VLOOKUP(D504,'Standard Cycle time'!C:D,2,0)</f>
        <v>4</v>
      </c>
      <c r="AK504" s="101" t="n">
        <f aca="false">AG504*V504*3600/O504</f>
        <v>2.32577736580433</v>
      </c>
      <c r="AL504" s="102" t="n">
        <f aca="false">AJ504/AK504</f>
        <v>1.71985507246377</v>
      </c>
      <c r="AM504" s="99" t="n">
        <f aca="false">AE504*AL504*AH504</f>
        <v>1.5469400670072</v>
      </c>
      <c r="AN504" s="103" t="s">
        <v>1075</v>
      </c>
      <c r="AO504" s="112"/>
      <c r="AP504" s="105" t="n">
        <v>50</v>
      </c>
      <c r="AQ504" s="105" t="n">
        <v>0</v>
      </c>
      <c r="AR504" s="105" t="n">
        <v>0</v>
      </c>
      <c r="AS504" s="105" t="n">
        <v>0</v>
      </c>
      <c r="AT504" s="105" t="n">
        <v>0</v>
      </c>
      <c r="AU504" s="105" t="n">
        <v>0</v>
      </c>
      <c r="AV504" s="105" t="n">
        <v>0</v>
      </c>
      <c r="AW504" s="105" t="n">
        <v>0</v>
      </c>
      <c r="AX504" s="105" t="n">
        <v>0</v>
      </c>
      <c r="AY504" s="105" t="n">
        <v>0</v>
      </c>
      <c r="AZ504" s="105" t="n">
        <v>0</v>
      </c>
      <c r="BA504" s="105" t="n">
        <v>0</v>
      </c>
      <c r="BB504" s="105" t="n">
        <v>0</v>
      </c>
      <c r="BC504" s="105" t="n">
        <v>0</v>
      </c>
      <c r="BD504" s="105" t="n">
        <v>0</v>
      </c>
      <c r="BE504" s="105" t="n">
        <v>0</v>
      </c>
      <c r="BF504" s="105" t="n">
        <v>0</v>
      </c>
      <c r="BG504" s="105" t="n">
        <v>0</v>
      </c>
      <c r="BH504" s="105" t="n">
        <v>0</v>
      </c>
      <c r="BI504" s="105" t="n">
        <v>0</v>
      </c>
      <c r="BJ504" s="105" t="n">
        <v>0</v>
      </c>
      <c r="BK504" s="105" t="n">
        <v>0</v>
      </c>
      <c r="BL504" s="105" t="n">
        <v>0</v>
      </c>
      <c r="BM504" s="105" t="n">
        <v>0</v>
      </c>
      <c r="BN504" s="105" t="n">
        <v>0</v>
      </c>
      <c r="BO504" s="105" t="n">
        <v>0</v>
      </c>
      <c r="BP504" s="105" t="n">
        <v>0</v>
      </c>
      <c r="BQ504" s="105" t="n">
        <v>0</v>
      </c>
      <c r="BR504" s="106" t="n">
        <v>0.833333333333333</v>
      </c>
      <c r="BS504" s="106" t="n">
        <v>0.847222222222222</v>
      </c>
      <c r="BT504" s="107"/>
      <c r="BU504" s="107"/>
      <c r="BV504" s="107"/>
      <c r="BW504" s="107"/>
      <c r="BX504" s="107"/>
      <c r="BY504" s="107"/>
      <c r="BZ504" s="107"/>
      <c r="CA504" s="107"/>
      <c r="CB504" s="107"/>
      <c r="CC504" s="107"/>
      <c r="CD504" s="107"/>
      <c r="CE504" s="107"/>
      <c r="CF504" s="107"/>
      <c r="CG504" s="107"/>
      <c r="CH504" s="107"/>
      <c r="CI504" s="107"/>
      <c r="CJ504" s="107"/>
      <c r="CK504" s="107"/>
      <c r="CL504" s="107"/>
      <c r="CM504" s="107"/>
      <c r="CN504" s="107"/>
      <c r="CO504" s="107"/>
      <c r="CP504" s="107"/>
      <c r="CQ504" s="107"/>
      <c r="CR504" s="107"/>
      <c r="CS504" s="107"/>
      <c r="CT504" s="107"/>
      <c r="CU504" s="107"/>
      <c r="CV504" s="107"/>
    </row>
    <row r="505" customFormat="false" ht="14.9" hidden="false" customHeight="false" outlineLevel="0" collapsed="false">
      <c r="A505" s="74" t="n">
        <f aca="false">MONTH(B505)</f>
        <v>9</v>
      </c>
      <c r="B505" s="135" t="n">
        <v>44452</v>
      </c>
      <c r="C505" s="128" t="s">
        <v>63</v>
      </c>
      <c r="D505" s="77" t="str">
        <f aca="false">IFERROR(VLOOKUP(E:E,'Item Data Support Sheet'!A:O,7,0),"")</f>
        <v>NIPPLE WRAP PRINTED</v>
      </c>
      <c r="E505" s="80" t="s">
        <v>506</v>
      </c>
      <c r="F505" s="122"/>
      <c r="G505" s="137" t="s">
        <v>432</v>
      </c>
      <c r="H505" s="79" t="str">
        <f aca="false">IFERROR(VLOOKUP(E:E,'Item Data Support Sheet'!A:O,2,0),"")</f>
        <v>NIPPLE S TYPE LL SIZE WRAPPED</v>
      </c>
      <c r="I505" s="80" t="s">
        <v>1076</v>
      </c>
      <c r="J505" s="80" t="s">
        <v>155</v>
      </c>
      <c r="K505" s="81" t="n">
        <v>8.5</v>
      </c>
      <c r="L505" s="124" t="n">
        <v>16132</v>
      </c>
      <c r="M505" s="83" t="n">
        <f aca="false">IFERROR(L505/K505,0)</f>
        <v>1897.88235294118</v>
      </c>
      <c r="N505" s="84" t="n">
        <f aca="false">+O505+Q505+T505+U505</f>
        <v>16305</v>
      </c>
      <c r="O505" s="85" t="n">
        <v>16287</v>
      </c>
      <c r="P505" s="86" t="n">
        <v>0</v>
      </c>
      <c r="Q505" s="86" t="n">
        <v>0</v>
      </c>
      <c r="R505" s="132" t="n">
        <v>0</v>
      </c>
      <c r="S505" s="128" t="n">
        <v>0</v>
      </c>
      <c r="T505" s="132" t="n">
        <v>18</v>
      </c>
      <c r="U505" s="128" t="n">
        <v>0</v>
      </c>
      <c r="V505" s="128" t="n">
        <v>2</v>
      </c>
      <c r="W505" s="90" t="n">
        <f aca="false">IFERROR(O505/V505,0)</f>
        <v>8143.5</v>
      </c>
      <c r="X505" s="91" t="n">
        <f aca="false">O505/L505</f>
        <v>1.0096082320853</v>
      </c>
      <c r="Y505" s="92" t="str">
        <f aca="false">IFERROR(VLOOKUP(E:E,'Item Data Support Sheet'!A:J,6,0),0)</f>
        <v>FO141</v>
      </c>
      <c r="Z505" s="93" t="n">
        <f aca="false">IFERROR(VLOOKUP(E:E,'Item Data Support Sheet'!A:O,4,0),0)</f>
        <v>0</v>
      </c>
      <c r="AA505" s="93" t="n">
        <f aca="false">IFERROR(((N505)*(Z505/1000))+P505,0)</f>
        <v>0</v>
      </c>
      <c r="AB505" s="94" t="str">
        <f aca="false">IFERROR((O505*(Z505/1000)/(AA505))," ")</f>
        <v> </v>
      </c>
      <c r="AC505" s="95" t="n">
        <f aca="false">IFERROR((T505)/((T505)+O505),0)</f>
        <v>0.00110395584176633</v>
      </c>
      <c r="AD505" s="96" t="n">
        <f aca="false">IFERROR(Q505/(Q505+N505),0)</f>
        <v>0</v>
      </c>
      <c r="AE505" s="91" t="n">
        <f aca="false">(N505-T505)/N505</f>
        <v>0.998896044158234</v>
      </c>
      <c r="AF505" s="97" t="n">
        <f aca="false">BR505</f>
        <v>0.833333333333333</v>
      </c>
      <c r="AG505" s="98" t="n">
        <f aca="false">K505-AF505</f>
        <v>7.66666666666667</v>
      </c>
      <c r="AH505" s="99" t="n">
        <f aca="false">IFERROR(AG505/K505," ")</f>
        <v>0.901960784313726</v>
      </c>
      <c r="AI505" s="100" t="n">
        <f aca="false">IFERROR(O505/K505,0)</f>
        <v>1916.11764705882</v>
      </c>
      <c r="AJ505" s="101" t="n">
        <f aca="false">VLOOKUP(D505,'Standard Cycle time'!C:D,2,0)</f>
        <v>2.5</v>
      </c>
      <c r="AK505" s="101" t="n">
        <f aca="false">AG505*V505*3600/O505</f>
        <v>3.38920611530669</v>
      </c>
      <c r="AL505" s="102" t="n">
        <f aca="false">AJ505/AK505</f>
        <v>0.737635869565217</v>
      </c>
      <c r="AM505" s="99" t="n">
        <f aca="false">AE505*AL505*AH505</f>
        <v>0.66458414506557</v>
      </c>
      <c r="AN505" s="103" t="s">
        <v>1077</v>
      </c>
      <c r="AO505" s="112"/>
      <c r="AP505" s="105" t="n">
        <v>50</v>
      </c>
      <c r="AQ505" s="105" t="n">
        <v>0</v>
      </c>
      <c r="AR505" s="105" t="n">
        <v>0</v>
      </c>
      <c r="AS505" s="105" t="n">
        <v>0</v>
      </c>
      <c r="AT505" s="105" t="n">
        <v>0</v>
      </c>
      <c r="AU505" s="105" t="n">
        <v>0</v>
      </c>
      <c r="AV505" s="105" t="n">
        <v>0</v>
      </c>
      <c r="AW505" s="105" t="n">
        <v>0</v>
      </c>
      <c r="AX505" s="105" t="n">
        <v>0</v>
      </c>
      <c r="AY505" s="105" t="n">
        <v>0</v>
      </c>
      <c r="AZ505" s="105" t="n">
        <v>0</v>
      </c>
      <c r="BA505" s="105" t="n">
        <v>0</v>
      </c>
      <c r="BB505" s="105" t="n">
        <v>0</v>
      </c>
      <c r="BC505" s="105" t="n">
        <v>0</v>
      </c>
      <c r="BD505" s="105" t="n">
        <v>0</v>
      </c>
      <c r="BE505" s="105" t="n">
        <v>0</v>
      </c>
      <c r="BF505" s="105" t="n">
        <v>0</v>
      </c>
      <c r="BG505" s="105" t="n">
        <v>0</v>
      </c>
      <c r="BH505" s="105" t="n">
        <v>0</v>
      </c>
      <c r="BI505" s="105" t="n">
        <v>0</v>
      </c>
      <c r="BJ505" s="105" t="n">
        <v>0</v>
      </c>
      <c r="BK505" s="105" t="n">
        <v>0</v>
      </c>
      <c r="BL505" s="105" t="n">
        <v>0</v>
      </c>
      <c r="BM505" s="105" t="n">
        <v>0</v>
      </c>
      <c r="BN505" s="105" t="n">
        <v>0</v>
      </c>
      <c r="BO505" s="105" t="n">
        <v>0</v>
      </c>
      <c r="BP505" s="105" t="n">
        <v>0</v>
      </c>
      <c r="BQ505" s="105" t="n">
        <v>0</v>
      </c>
      <c r="BR505" s="106" t="n">
        <v>0.833333333333333</v>
      </c>
      <c r="BS505" s="106" t="n">
        <v>0.847222222222222</v>
      </c>
      <c r="BT505" s="107"/>
      <c r="BU505" s="107"/>
      <c r="BV505" s="107"/>
      <c r="BW505" s="107"/>
      <c r="BX505" s="107"/>
      <c r="BY505" s="107"/>
      <c r="BZ505" s="107"/>
      <c r="CA505" s="107"/>
      <c r="CB505" s="107"/>
      <c r="CC505" s="107"/>
      <c r="CD505" s="107"/>
      <c r="CE505" s="107"/>
      <c r="CF505" s="107"/>
      <c r="CG505" s="107"/>
      <c r="CH505" s="107"/>
      <c r="CI505" s="107"/>
      <c r="CJ505" s="107"/>
      <c r="CK505" s="107"/>
      <c r="CL505" s="107"/>
      <c r="CM505" s="107"/>
      <c r="CN505" s="107"/>
      <c r="CO505" s="107"/>
      <c r="CP505" s="107"/>
      <c r="CQ505" s="107"/>
      <c r="CR505" s="107"/>
      <c r="CS505" s="107"/>
      <c r="CT505" s="107"/>
      <c r="CU505" s="107"/>
      <c r="CV505" s="107"/>
    </row>
    <row r="506" customFormat="false" ht="14.9" hidden="false" customHeight="false" outlineLevel="0" collapsed="false">
      <c r="A506" s="74" t="n">
        <f aca="false">MONTH(B506)</f>
        <v>9</v>
      </c>
      <c r="B506" s="135" t="n">
        <v>44452</v>
      </c>
      <c r="C506" s="128" t="s">
        <v>152</v>
      </c>
      <c r="D506" s="77" t="str">
        <f aca="false">IFERROR(VLOOKUP(E:E,'Item Data Support Sheet'!A:O,7,0),"")</f>
        <v>NIPPLE MOLDED</v>
      </c>
      <c r="E506" s="80" t="s">
        <v>661</v>
      </c>
      <c r="F506" s="122" t="s">
        <v>137</v>
      </c>
      <c r="G506" s="137" t="s">
        <v>138</v>
      </c>
      <c r="H506" s="79" t="str">
        <f aca="false">IFERROR(VLOOKUP(E:E,'Item Data Support Sheet'!A:O,2,0),"")</f>
        <v>NIPPLE S TYPE L SIZE INJECTION</v>
      </c>
      <c r="I506" s="80" t="s">
        <v>1078</v>
      </c>
      <c r="J506" s="80" t="s">
        <v>815</v>
      </c>
      <c r="K506" s="81" t="n">
        <v>8</v>
      </c>
      <c r="L506" s="124" t="n">
        <v>4815</v>
      </c>
      <c r="M506" s="83" t="n">
        <f aca="false">IFERROR(L506/K506,0)</f>
        <v>601.875</v>
      </c>
      <c r="N506" s="84" t="n">
        <f aca="false">+O506+Q506+T506+U506</f>
        <v>5383</v>
      </c>
      <c r="O506" s="85" t="n">
        <v>5300</v>
      </c>
      <c r="P506" s="86" t="n">
        <v>0</v>
      </c>
      <c r="Q506" s="86" t="n">
        <v>27</v>
      </c>
      <c r="R506" s="132" t="n">
        <v>0</v>
      </c>
      <c r="S506" s="128" t="n">
        <v>0</v>
      </c>
      <c r="T506" s="132" t="n">
        <v>48</v>
      </c>
      <c r="U506" s="128" t="n">
        <v>8</v>
      </c>
      <c r="V506" s="128" t="n">
        <v>1</v>
      </c>
      <c r="W506" s="90" t="n">
        <f aca="false">IFERROR(O506/V506,0)</f>
        <v>5300</v>
      </c>
      <c r="X506" s="91" t="n">
        <f aca="false">O506/L506</f>
        <v>1.10072689511942</v>
      </c>
      <c r="Y506" s="92" t="str">
        <f aca="false">IFERROR(VLOOKUP(E:E,'Item Data Support Sheet'!A:J,6,0),0)</f>
        <v>Silicon</v>
      </c>
      <c r="Z506" s="93" t="n">
        <f aca="false">IFERROR(VLOOKUP(E:E,'Item Data Support Sheet'!A:O,4,0),0)</f>
        <v>6.8</v>
      </c>
      <c r="AA506" s="93" t="n">
        <f aca="false">IFERROR(((N506)*(Z506/1000))+P506,0)</f>
        <v>36.6044</v>
      </c>
      <c r="AB506" s="94" t="n">
        <f aca="false">IFERROR((O506*(Z506/1000)/(AA506))," ")</f>
        <v>0.984581088612298</v>
      </c>
      <c r="AC506" s="95" t="n">
        <f aca="false">IFERROR((T506)/((T506)+O506),0)</f>
        <v>0.00897531787584144</v>
      </c>
      <c r="AD506" s="96" t="n">
        <f aca="false">IFERROR(Q506/(Q506+N506),0)</f>
        <v>0.00499075785582255</v>
      </c>
      <c r="AE506" s="91" t="n">
        <f aca="false">(N506-T506)/N506</f>
        <v>0.991083039197473</v>
      </c>
      <c r="AF506" s="97" t="n">
        <f aca="false">BR506</f>
        <v>0</v>
      </c>
      <c r="AG506" s="98" t="n">
        <f aca="false">K506-AF506</f>
        <v>8</v>
      </c>
      <c r="AH506" s="99" t="n">
        <f aca="false">IFERROR(AG506/K506," ")</f>
        <v>1</v>
      </c>
      <c r="AI506" s="100" t="n">
        <f aca="false">IFERROR(O506/K506,0)</f>
        <v>662.5</v>
      </c>
      <c r="AJ506" s="101" t="n">
        <f aca="false">VLOOKUP(D506,'Standard Cycle time'!C:D,2,0)</f>
        <v>5.25</v>
      </c>
      <c r="AK506" s="101" t="n">
        <f aca="false">AG506*V506*3600/O506</f>
        <v>5.43396226415094</v>
      </c>
      <c r="AL506" s="102" t="n">
        <f aca="false">AJ506/AK506</f>
        <v>0.966145833333333</v>
      </c>
      <c r="AM506" s="99" t="n">
        <f aca="false">AE506*AL506*AH506</f>
        <v>0.957530748807976</v>
      </c>
      <c r="AN506" s="103" t="n">
        <v>3179</v>
      </c>
      <c r="AO506" s="112"/>
      <c r="AP506" s="105" t="n">
        <v>0</v>
      </c>
      <c r="AQ506" s="105" t="n">
        <v>0</v>
      </c>
      <c r="AR506" s="105" t="n">
        <v>0</v>
      </c>
      <c r="AS506" s="105" t="n">
        <v>0</v>
      </c>
      <c r="AT506" s="105" t="n">
        <v>0</v>
      </c>
      <c r="AU506" s="105" t="n">
        <v>0</v>
      </c>
      <c r="AV506" s="105" t="n">
        <v>0</v>
      </c>
      <c r="AW506" s="105" t="n">
        <v>0</v>
      </c>
      <c r="AX506" s="105" t="n">
        <v>0</v>
      </c>
      <c r="AY506" s="105" t="n">
        <v>0</v>
      </c>
      <c r="AZ506" s="105" t="n">
        <v>0</v>
      </c>
      <c r="BA506" s="105" t="n">
        <v>0</v>
      </c>
      <c r="BB506" s="105" t="n">
        <v>0</v>
      </c>
      <c r="BC506" s="105" t="n">
        <v>0</v>
      </c>
      <c r="BD506" s="105" t="n">
        <v>0</v>
      </c>
      <c r="BE506" s="105" t="n">
        <v>0</v>
      </c>
      <c r="BF506" s="105" t="n">
        <v>0</v>
      </c>
      <c r="BG506" s="105" t="n">
        <v>0</v>
      </c>
      <c r="BH506" s="105" t="n">
        <v>0</v>
      </c>
      <c r="BI506" s="105" t="n">
        <v>0</v>
      </c>
      <c r="BJ506" s="105" t="n">
        <v>0</v>
      </c>
      <c r="BK506" s="105" t="n">
        <v>0</v>
      </c>
      <c r="BL506" s="105" t="n">
        <v>0</v>
      </c>
      <c r="BM506" s="105" t="n">
        <v>0</v>
      </c>
      <c r="BN506" s="105" t="n">
        <v>0</v>
      </c>
      <c r="BO506" s="105" t="n">
        <v>0</v>
      </c>
      <c r="BP506" s="105" t="n">
        <v>0</v>
      </c>
      <c r="BQ506" s="105" t="n">
        <v>0</v>
      </c>
      <c r="BR506" s="106" t="n">
        <v>0</v>
      </c>
      <c r="BS506" s="106" t="n">
        <v>0</v>
      </c>
      <c r="BT506" s="107"/>
      <c r="BU506" s="107"/>
      <c r="BV506" s="107"/>
      <c r="BW506" s="107"/>
      <c r="BX506" s="107"/>
      <c r="BY506" s="107"/>
      <c r="BZ506" s="107"/>
      <c r="CA506" s="107"/>
      <c r="CB506" s="107"/>
      <c r="CC506" s="107"/>
      <c r="CD506" s="107"/>
      <c r="CE506" s="107"/>
      <c r="CF506" s="107"/>
      <c r="CG506" s="107"/>
      <c r="CH506" s="107"/>
      <c r="CI506" s="107"/>
      <c r="CJ506" s="107"/>
      <c r="CK506" s="107"/>
      <c r="CL506" s="107"/>
      <c r="CM506" s="107"/>
      <c r="CN506" s="107"/>
      <c r="CO506" s="107"/>
      <c r="CP506" s="107"/>
      <c r="CQ506" s="107"/>
      <c r="CR506" s="107"/>
      <c r="CS506" s="107"/>
      <c r="CT506" s="107"/>
      <c r="CU506" s="107"/>
      <c r="CV506" s="107"/>
    </row>
    <row r="507" customFormat="false" ht="14.9" hidden="false" customHeight="false" outlineLevel="0" collapsed="false">
      <c r="A507" s="74" t="n">
        <f aca="false">MONTH(B507)</f>
        <v>9</v>
      </c>
      <c r="B507" s="135" t="n">
        <v>44452</v>
      </c>
      <c r="C507" s="128" t="s">
        <v>152</v>
      </c>
      <c r="D507" s="77" t="str">
        <f aca="false">IFERROR(VLOOKUP(E:E,'Item Data Support Sheet'!A:O,7,0),"")</f>
        <v>BOTTLE MOLDED</v>
      </c>
      <c r="E507" s="80" t="s">
        <v>235</v>
      </c>
      <c r="F507" s="122" t="s">
        <v>216</v>
      </c>
      <c r="G507" s="137" t="s">
        <v>80</v>
      </c>
      <c r="H507" s="79" t="str">
        <f aca="false">IFERROR(VLOOKUP(E:E,'Item Data Support Sheet'!A:O,2,0),"")</f>
        <v>KPP 200 ML BOTTLE MOLDED</v>
      </c>
      <c r="I507" s="80" t="s">
        <v>1079</v>
      </c>
      <c r="J507" s="80" t="s">
        <v>815</v>
      </c>
      <c r="K507" s="81" t="n">
        <v>8</v>
      </c>
      <c r="L507" s="124" t="n">
        <v>2574</v>
      </c>
      <c r="M507" s="83" t="n">
        <f aca="false">IFERROR(L507/K507,0)</f>
        <v>321.75</v>
      </c>
      <c r="N507" s="84" t="n">
        <f aca="false">+O507+Q507+T507+U507</f>
        <v>3174</v>
      </c>
      <c r="O507" s="85" t="n">
        <v>3132</v>
      </c>
      <c r="P507" s="86" t="n">
        <v>0</v>
      </c>
      <c r="Q507" s="86" t="n">
        <v>0</v>
      </c>
      <c r="R507" s="132" t="n">
        <v>0</v>
      </c>
      <c r="S507" s="128" t="n">
        <v>0</v>
      </c>
      <c r="T507" s="132" t="n">
        <v>34</v>
      </c>
      <c r="U507" s="128" t="n">
        <v>8</v>
      </c>
      <c r="V507" s="128" t="n">
        <v>1</v>
      </c>
      <c r="W507" s="90" t="n">
        <f aca="false">IFERROR(O507/V507,0)</f>
        <v>3132</v>
      </c>
      <c r="X507" s="91" t="n">
        <f aca="false">O507/L507</f>
        <v>1.21678321678322</v>
      </c>
      <c r="Y507" s="92" t="str">
        <f aca="false">IFERROR(VLOOKUP(E:E,'Item Data Support Sheet'!A:J,6,0),0)</f>
        <v>HMC</v>
      </c>
      <c r="Z507" s="93" t="n">
        <f aca="false">IFERROR(VLOOKUP(E:E,'Item Data Support Sheet'!A:O,4,0),0)</f>
        <v>28.1</v>
      </c>
      <c r="AA507" s="93" t="n">
        <f aca="false">IFERROR(((N507)*(Z507/1000))+P507,0)</f>
        <v>89.1894</v>
      </c>
      <c r="AB507" s="94" t="n">
        <f aca="false">IFERROR((O507*(Z507/1000)/(AA507))," ")</f>
        <v>0.986767485822306</v>
      </c>
      <c r="AC507" s="95" t="n">
        <f aca="false">IFERROR((T507)/((T507)+O507),0)</f>
        <v>0.0107391029690461</v>
      </c>
      <c r="AD507" s="96" t="n">
        <f aca="false">IFERROR(Q507/(Q507+N507),0)</f>
        <v>0</v>
      </c>
      <c r="AE507" s="91" t="n">
        <f aca="false">(N507-T507)/N507</f>
        <v>0.989287964713295</v>
      </c>
      <c r="AF507" s="97" t="n">
        <f aca="false">BR507</f>
        <v>0</v>
      </c>
      <c r="AG507" s="98" t="n">
        <f aca="false">K507-AF507</f>
        <v>8</v>
      </c>
      <c r="AH507" s="99" t="n">
        <f aca="false">IFERROR(AG507/K507," ")</f>
        <v>1</v>
      </c>
      <c r="AI507" s="100" t="n">
        <f aca="false">IFERROR(O507/K507,0)</f>
        <v>391.5</v>
      </c>
      <c r="AJ507" s="101" t="n">
        <f aca="false">VLOOKUP(D507,'Standard Cycle time'!C:D,2,0)</f>
        <v>9</v>
      </c>
      <c r="AK507" s="101" t="n">
        <f aca="false">AG507*V507*3600/O507</f>
        <v>9.19540229885057</v>
      </c>
      <c r="AL507" s="102" t="n">
        <f aca="false">AJ507/AK507</f>
        <v>0.97875</v>
      </c>
      <c r="AM507" s="99" t="n">
        <f aca="false">AE507*AL507*AH507</f>
        <v>0.968265595463138</v>
      </c>
      <c r="AN507" s="103" t="n">
        <v>3180</v>
      </c>
      <c r="AO507" s="112"/>
      <c r="AP507" s="105" t="n">
        <v>0</v>
      </c>
      <c r="AQ507" s="105" t="n">
        <v>0</v>
      </c>
      <c r="AR507" s="105" t="n">
        <v>0</v>
      </c>
      <c r="AS507" s="105" t="n">
        <v>0</v>
      </c>
      <c r="AT507" s="105" t="n">
        <v>0</v>
      </c>
      <c r="AU507" s="105" t="n">
        <v>0</v>
      </c>
      <c r="AV507" s="105" t="n">
        <v>0</v>
      </c>
      <c r="AW507" s="105" t="n">
        <v>0</v>
      </c>
      <c r="AX507" s="105" t="n">
        <v>0</v>
      </c>
      <c r="AY507" s="105" t="n">
        <v>0</v>
      </c>
      <c r="AZ507" s="105" t="n">
        <v>0</v>
      </c>
      <c r="BA507" s="105" t="n">
        <v>0</v>
      </c>
      <c r="BB507" s="105" t="n">
        <v>0</v>
      </c>
      <c r="BC507" s="105" t="n">
        <v>0</v>
      </c>
      <c r="BD507" s="105" t="n">
        <v>0</v>
      </c>
      <c r="BE507" s="105" t="n">
        <v>0</v>
      </c>
      <c r="BF507" s="105" t="n">
        <v>0</v>
      </c>
      <c r="BG507" s="105" t="n">
        <v>0</v>
      </c>
      <c r="BH507" s="105" t="n">
        <v>0</v>
      </c>
      <c r="BI507" s="105" t="n">
        <v>0</v>
      </c>
      <c r="BJ507" s="105" t="n">
        <v>0</v>
      </c>
      <c r="BK507" s="105" t="n">
        <v>0</v>
      </c>
      <c r="BL507" s="105" t="n">
        <v>0</v>
      </c>
      <c r="BM507" s="105" t="n">
        <v>0</v>
      </c>
      <c r="BN507" s="105" t="n">
        <v>0</v>
      </c>
      <c r="BO507" s="105" t="n">
        <v>0</v>
      </c>
      <c r="BP507" s="105" t="n">
        <v>0</v>
      </c>
      <c r="BQ507" s="105" t="n">
        <v>0</v>
      </c>
      <c r="BR507" s="106" t="n">
        <v>0</v>
      </c>
      <c r="BS507" s="106" t="n">
        <v>0</v>
      </c>
      <c r="BT507" s="107"/>
      <c r="BU507" s="107"/>
      <c r="BV507" s="107"/>
      <c r="BW507" s="107"/>
      <c r="BX507" s="107"/>
      <c r="BY507" s="107"/>
      <c r="BZ507" s="107"/>
      <c r="CA507" s="107"/>
      <c r="CB507" s="107"/>
      <c r="CC507" s="107"/>
      <c r="CD507" s="107"/>
      <c r="CE507" s="107"/>
      <c r="CF507" s="107"/>
      <c r="CG507" s="107"/>
      <c r="CH507" s="107"/>
      <c r="CI507" s="107"/>
      <c r="CJ507" s="107"/>
      <c r="CK507" s="107"/>
      <c r="CL507" s="107"/>
      <c r="CM507" s="107"/>
      <c r="CN507" s="107"/>
      <c r="CO507" s="107"/>
      <c r="CP507" s="107"/>
      <c r="CQ507" s="107"/>
      <c r="CR507" s="107"/>
      <c r="CS507" s="107"/>
      <c r="CT507" s="107"/>
      <c r="CU507" s="107"/>
      <c r="CV507" s="107"/>
    </row>
    <row r="508" customFormat="false" ht="14.9" hidden="false" customHeight="false" outlineLevel="0" collapsed="false">
      <c r="A508" s="74" t="n">
        <f aca="false">MONTH(B508)</f>
        <v>9</v>
      </c>
      <c r="B508" s="135" t="n">
        <v>44452</v>
      </c>
      <c r="C508" s="128" t="s">
        <v>152</v>
      </c>
      <c r="D508" s="77" t="str">
        <f aca="false">IFERROR(VLOOKUP(E:E,'Item Data Support Sheet'!A:O,7,0),"")</f>
        <v>HOOD MOLDED</v>
      </c>
      <c r="E508" s="80" t="s">
        <v>529</v>
      </c>
      <c r="F508" s="122"/>
      <c r="G508" s="137" t="s">
        <v>740</v>
      </c>
      <c r="H508" s="79" t="str">
        <f aca="false">IFERROR(VLOOKUP(E:E,'Item Data Support Sheet'!A:O,2,0),"")</f>
        <v>HOOD S TYPE MOLDED</v>
      </c>
      <c r="I508" s="80" t="s">
        <v>1080</v>
      </c>
      <c r="J508" s="80" t="s">
        <v>815</v>
      </c>
      <c r="K508" s="81" t="n">
        <v>8</v>
      </c>
      <c r="L508" s="124" t="n">
        <v>4137</v>
      </c>
      <c r="M508" s="83" t="n">
        <f aca="false">IFERROR(L508/K508,0)</f>
        <v>517.125</v>
      </c>
      <c r="N508" s="84" t="n">
        <f aca="false">+O508+Q508+T508+U508</f>
        <v>4821</v>
      </c>
      <c r="O508" s="85" t="n">
        <v>4800</v>
      </c>
      <c r="P508" s="86" t="n">
        <v>0</v>
      </c>
      <c r="Q508" s="86" t="n">
        <v>0</v>
      </c>
      <c r="R508" s="132" t="n">
        <v>0</v>
      </c>
      <c r="S508" s="128" t="n">
        <v>0</v>
      </c>
      <c r="T508" s="132" t="n">
        <v>13</v>
      </c>
      <c r="U508" s="128" t="n">
        <v>8</v>
      </c>
      <c r="V508" s="128" t="n">
        <v>1</v>
      </c>
      <c r="W508" s="90" t="n">
        <f aca="false">IFERROR(O508/V508,0)</f>
        <v>4800</v>
      </c>
      <c r="X508" s="91" t="n">
        <f aca="false">O508/L508</f>
        <v>1.16026105873822</v>
      </c>
      <c r="Y508" s="92" t="str">
        <f aca="false">IFERROR(VLOOKUP(E:E,'Item Data Support Sheet'!A:J,6,0),0)</f>
        <v>HMC</v>
      </c>
      <c r="Z508" s="93" t="n">
        <f aca="false">IFERROR(VLOOKUP(E:E,'Item Data Support Sheet'!A:O,4,0),0)</f>
        <v>8.6</v>
      </c>
      <c r="AA508" s="93" t="n">
        <f aca="false">IFERROR(((N508)*(Z508/1000))+P508,0)</f>
        <v>41.4606</v>
      </c>
      <c r="AB508" s="94" t="n">
        <f aca="false">IFERROR((O508*(Z508/1000)/(AA508))," ")</f>
        <v>0.995644057249533</v>
      </c>
      <c r="AC508" s="95" t="n">
        <f aca="false">IFERROR((T508)/((T508)+O508),0)</f>
        <v>0.00270101807604405</v>
      </c>
      <c r="AD508" s="96" t="n">
        <f aca="false">IFERROR(Q508/(Q508+N508),0)</f>
        <v>0</v>
      </c>
      <c r="AE508" s="91" t="n">
        <f aca="false">(N508-T508)/N508</f>
        <v>0.997303464011616</v>
      </c>
      <c r="AF508" s="97" t="n">
        <f aca="false">BR508</f>
        <v>0</v>
      </c>
      <c r="AG508" s="98" t="n">
        <f aca="false">K508-AF508</f>
        <v>8</v>
      </c>
      <c r="AH508" s="99" t="n">
        <f aca="false">IFERROR(AG508/K508," ")</f>
        <v>1</v>
      </c>
      <c r="AI508" s="100" t="n">
        <f aca="false">IFERROR(O508/K508,0)</f>
        <v>600</v>
      </c>
      <c r="AJ508" s="101" t="n">
        <f aca="false">VLOOKUP(D508,'Standard Cycle time'!C:D,2,0)</f>
        <v>6</v>
      </c>
      <c r="AK508" s="101" t="n">
        <f aca="false">AG508*V508*3600/O508</f>
        <v>6</v>
      </c>
      <c r="AL508" s="102" t="n">
        <f aca="false">AJ508/AK508</f>
        <v>1</v>
      </c>
      <c r="AM508" s="99" t="n">
        <f aca="false">AE508*AL508*AH508</f>
        <v>0.997303464011616</v>
      </c>
      <c r="AN508" s="103" t="n">
        <v>3181</v>
      </c>
      <c r="AO508" s="112"/>
      <c r="AP508" s="105" t="n">
        <v>0</v>
      </c>
      <c r="AQ508" s="105" t="n">
        <v>0</v>
      </c>
      <c r="AR508" s="105" t="n">
        <v>0</v>
      </c>
      <c r="AS508" s="105" t="n">
        <v>0</v>
      </c>
      <c r="AT508" s="105" t="n">
        <v>0</v>
      </c>
      <c r="AU508" s="105" t="n">
        <v>0</v>
      </c>
      <c r="AV508" s="105" t="n">
        <v>0</v>
      </c>
      <c r="AW508" s="105" t="n">
        <v>0</v>
      </c>
      <c r="AX508" s="105" t="n">
        <v>0</v>
      </c>
      <c r="AY508" s="105" t="n">
        <v>0</v>
      </c>
      <c r="AZ508" s="105" t="n">
        <v>0</v>
      </c>
      <c r="BA508" s="105" t="n">
        <v>0</v>
      </c>
      <c r="BB508" s="105" t="n">
        <v>0</v>
      </c>
      <c r="BC508" s="105" t="n">
        <v>0</v>
      </c>
      <c r="BD508" s="105" t="n">
        <v>0</v>
      </c>
      <c r="BE508" s="105" t="n">
        <v>0</v>
      </c>
      <c r="BF508" s="105" t="n">
        <v>0</v>
      </c>
      <c r="BG508" s="105" t="n">
        <v>0</v>
      </c>
      <c r="BH508" s="105" t="n">
        <v>0</v>
      </c>
      <c r="BI508" s="105" t="n">
        <v>0</v>
      </c>
      <c r="BJ508" s="105" t="n">
        <v>0</v>
      </c>
      <c r="BK508" s="105" t="n">
        <v>0</v>
      </c>
      <c r="BL508" s="105" t="n">
        <v>0</v>
      </c>
      <c r="BM508" s="105" t="n">
        <v>0</v>
      </c>
      <c r="BN508" s="105" t="n">
        <v>0</v>
      </c>
      <c r="BO508" s="105" t="n">
        <v>0</v>
      </c>
      <c r="BP508" s="105" t="n">
        <v>0</v>
      </c>
      <c r="BQ508" s="105" t="n">
        <v>0</v>
      </c>
      <c r="BR508" s="106" t="n">
        <v>0</v>
      </c>
      <c r="BS508" s="106" t="n">
        <v>0</v>
      </c>
      <c r="BT508" s="107"/>
      <c r="BU508" s="107"/>
      <c r="BV508" s="107"/>
      <c r="BW508" s="107"/>
      <c r="BX508" s="107"/>
      <c r="BY508" s="107"/>
      <c r="BZ508" s="107"/>
      <c r="CA508" s="107"/>
      <c r="CB508" s="107"/>
      <c r="CC508" s="107"/>
      <c r="CD508" s="107"/>
      <c r="CE508" s="107"/>
      <c r="CF508" s="107"/>
      <c r="CG508" s="107"/>
      <c r="CH508" s="107"/>
      <c r="CI508" s="107"/>
      <c r="CJ508" s="107"/>
      <c r="CK508" s="107"/>
      <c r="CL508" s="107"/>
      <c r="CM508" s="107"/>
      <c r="CN508" s="107"/>
      <c r="CO508" s="107"/>
      <c r="CP508" s="107"/>
      <c r="CQ508" s="107"/>
      <c r="CR508" s="107"/>
      <c r="CS508" s="107"/>
      <c r="CT508" s="107"/>
      <c r="CU508" s="107"/>
      <c r="CV508" s="107"/>
    </row>
    <row r="509" customFormat="false" ht="14.9" hidden="false" customHeight="false" outlineLevel="0" collapsed="false">
      <c r="A509" s="74" t="n">
        <f aca="false">MONTH(B509)</f>
        <v>9</v>
      </c>
      <c r="B509" s="135" t="n">
        <v>44453</v>
      </c>
      <c r="C509" s="128" t="s">
        <v>51</v>
      </c>
      <c r="D509" s="77" t="str">
        <f aca="false">IFERROR(VLOOKUP(E:E,'Item Data Support Sheet'!A:O,7,0),"")</f>
        <v>BOTTLE MOLDED</v>
      </c>
      <c r="E509" s="80" t="s">
        <v>235</v>
      </c>
      <c r="F509" s="122" t="s">
        <v>216</v>
      </c>
      <c r="G509" s="137" t="s">
        <v>80</v>
      </c>
      <c r="H509" s="79" t="str">
        <f aca="false">IFERROR(VLOOKUP(E:E,'Item Data Support Sheet'!A:O,2,0),"")</f>
        <v>KPP 200 ML BOTTLE MOLDED</v>
      </c>
      <c r="I509" s="80" t="s">
        <v>1081</v>
      </c>
      <c r="J509" s="80" t="s">
        <v>148</v>
      </c>
      <c r="K509" s="81" t="n">
        <v>8</v>
      </c>
      <c r="L509" s="124" t="n">
        <v>2574</v>
      </c>
      <c r="M509" s="83" t="n">
        <f aca="false">IFERROR(L509/K509,0)</f>
        <v>321.75</v>
      </c>
      <c r="N509" s="84" t="n">
        <f aca="false">+O509+Q509+T509+U509</f>
        <v>2560</v>
      </c>
      <c r="O509" s="85" t="n">
        <v>2496</v>
      </c>
      <c r="P509" s="86" t="n">
        <v>0</v>
      </c>
      <c r="Q509" s="86" t="n">
        <v>18</v>
      </c>
      <c r="R509" s="132" t="n">
        <v>0</v>
      </c>
      <c r="S509" s="128" t="n">
        <v>0</v>
      </c>
      <c r="T509" s="132" t="n">
        <v>38</v>
      </c>
      <c r="U509" s="128" t="n">
        <v>8</v>
      </c>
      <c r="V509" s="128" t="n">
        <v>1</v>
      </c>
      <c r="W509" s="90" t="n">
        <f aca="false">IFERROR(O509/V509,0)</f>
        <v>2496</v>
      </c>
      <c r="X509" s="91" t="n">
        <f aca="false">O509/L509</f>
        <v>0.96969696969697</v>
      </c>
      <c r="Y509" s="92" t="str">
        <f aca="false">IFERROR(VLOOKUP(E:E,'Item Data Support Sheet'!A:J,6,0),0)</f>
        <v>HMC</v>
      </c>
      <c r="Z509" s="93" t="n">
        <f aca="false">IFERROR(VLOOKUP(E:E,'Item Data Support Sheet'!A:O,4,0),0)</f>
        <v>28.1</v>
      </c>
      <c r="AA509" s="93" t="n">
        <f aca="false">IFERROR(((N509)*(Z509/1000))+P509,0)</f>
        <v>71.936</v>
      </c>
      <c r="AB509" s="94" t="n">
        <f aca="false">IFERROR((O509*(Z509/1000)/(AA509))," ")</f>
        <v>0.975</v>
      </c>
      <c r="AC509" s="95" t="n">
        <f aca="false">IFERROR((T509)/((T509)+O509),0)</f>
        <v>0.0149960536700868</v>
      </c>
      <c r="AD509" s="96" t="n">
        <f aca="false">IFERROR(Q509/(Q509+N509),0)</f>
        <v>0.00698215671062839</v>
      </c>
      <c r="AE509" s="91" t="n">
        <f aca="false">(N509-T509)/N509</f>
        <v>0.98515625</v>
      </c>
      <c r="AF509" s="97" t="n">
        <f aca="false">BR509</f>
        <v>0</v>
      </c>
      <c r="AG509" s="98" t="n">
        <f aca="false">K509-AF509</f>
        <v>8</v>
      </c>
      <c r="AH509" s="99" t="n">
        <f aca="false">IFERROR(AG509/K509," ")</f>
        <v>1</v>
      </c>
      <c r="AI509" s="100" t="n">
        <f aca="false">IFERROR(O509/K509,0)</f>
        <v>312</v>
      </c>
      <c r="AJ509" s="101" t="n">
        <f aca="false">VLOOKUP(D509,'Standard Cycle time'!C:D,2,0)</f>
        <v>9</v>
      </c>
      <c r="AK509" s="101" t="n">
        <f aca="false">AG509*V509*3600/O509</f>
        <v>11.5384615384615</v>
      </c>
      <c r="AL509" s="102" t="n">
        <f aca="false">AJ509/AK509</f>
        <v>0.78</v>
      </c>
      <c r="AM509" s="99" t="n">
        <f aca="false">AE509*AL509*AH509</f>
        <v>0.768421875</v>
      </c>
      <c r="AN509" s="103" t="n">
        <v>3236</v>
      </c>
      <c r="AO509" s="112" t="s">
        <v>1082</v>
      </c>
      <c r="AP509" s="105" t="n">
        <v>0</v>
      </c>
      <c r="AQ509" s="105" t="n">
        <v>0</v>
      </c>
      <c r="AR509" s="105" t="n">
        <v>0</v>
      </c>
      <c r="AS509" s="105" t="n">
        <v>0</v>
      </c>
      <c r="AT509" s="105" t="n">
        <v>0</v>
      </c>
      <c r="AU509" s="105" t="n">
        <v>0</v>
      </c>
      <c r="AV509" s="105" t="n">
        <v>0</v>
      </c>
      <c r="AW509" s="105" t="n">
        <v>0</v>
      </c>
      <c r="AX509" s="105" t="n">
        <v>0</v>
      </c>
      <c r="AY509" s="105" t="n">
        <v>0</v>
      </c>
      <c r="AZ509" s="105" t="n">
        <v>0</v>
      </c>
      <c r="BA509" s="105" t="n">
        <v>0</v>
      </c>
      <c r="BB509" s="105" t="n">
        <v>0</v>
      </c>
      <c r="BC509" s="105" t="n">
        <v>0</v>
      </c>
      <c r="BD509" s="105" t="n">
        <v>0</v>
      </c>
      <c r="BE509" s="105" t="n">
        <v>0</v>
      </c>
      <c r="BF509" s="105" t="n">
        <v>0</v>
      </c>
      <c r="BG509" s="105" t="n">
        <v>0</v>
      </c>
      <c r="BH509" s="105" t="n">
        <v>0</v>
      </c>
      <c r="BI509" s="105" t="n">
        <v>0</v>
      </c>
      <c r="BJ509" s="105" t="n">
        <v>0</v>
      </c>
      <c r="BK509" s="105" t="n">
        <v>0</v>
      </c>
      <c r="BL509" s="105" t="n">
        <v>0</v>
      </c>
      <c r="BM509" s="105" t="n">
        <v>0</v>
      </c>
      <c r="BN509" s="105" t="n">
        <v>0</v>
      </c>
      <c r="BO509" s="105" t="n">
        <v>0</v>
      </c>
      <c r="BP509" s="105" t="n">
        <v>0</v>
      </c>
      <c r="BQ509" s="105" t="n">
        <v>0</v>
      </c>
      <c r="BR509" s="106" t="n">
        <v>0</v>
      </c>
      <c r="BS509" s="106" t="n">
        <v>0</v>
      </c>
      <c r="BT509" s="107"/>
      <c r="BU509" s="107"/>
      <c r="BV509" s="107"/>
      <c r="BW509" s="107"/>
      <c r="BX509" s="107"/>
      <c r="BY509" s="107"/>
      <c r="BZ509" s="107"/>
      <c r="CA509" s="107"/>
      <c r="CB509" s="107"/>
      <c r="CC509" s="107"/>
      <c r="CD509" s="107"/>
      <c r="CE509" s="107"/>
      <c r="CF509" s="107"/>
      <c r="CG509" s="107"/>
      <c r="CH509" s="107"/>
      <c r="CI509" s="107"/>
      <c r="CJ509" s="107"/>
      <c r="CK509" s="107"/>
      <c r="CL509" s="107"/>
      <c r="CM509" s="107"/>
      <c r="CN509" s="107"/>
      <c r="CO509" s="107"/>
      <c r="CP509" s="107"/>
      <c r="CQ509" s="107"/>
      <c r="CR509" s="107"/>
      <c r="CS509" s="107"/>
      <c r="CT509" s="107"/>
      <c r="CU509" s="107"/>
      <c r="CV509" s="107"/>
    </row>
    <row r="510" customFormat="false" ht="14.9" hidden="false" customHeight="false" outlineLevel="0" collapsed="false">
      <c r="A510" s="74" t="n">
        <f aca="false">MONTH(B510)</f>
        <v>9</v>
      </c>
      <c r="B510" s="135" t="n">
        <v>44453</v>
      </c>
      <c r="C510" s="128" t="s">
        <v>51</v>
      </c>
      <c r="D510" s="77" t="str">
        <f aca="false">IFERROR(VLOOKUP(E:E,'Item Data Support Sheet'!A:O,7,0),"")</f>
        <v>HOOD MOLDED</v>
      </c>
      <c r="E510" s="80" t="s">
        <v>529</v>
      </c>
      <c r="F510" s="122"/>
      <c r="G510" s="137"/>
      <c r="H510" s="79" t="str">
        <f aca="false">IFERROR(VLOOKUP(E:E,'Item Data Support Sheet'!A:O,2,0),"")</f>
        <v>HOOD S TYPE MOLDED</v>
      </c>
      <c r="I510" s="80" t="s">
        <v>1083</v>
      </c>
      <c r="J510" s="80" t="s">
        <v>148</v>
      </c>
      <c r="K510" s="81" t="n">
        <v>8</v>
      </c>
      <c r="L510" s="124" t="n">
        <v>4137</v>
      </c>
      <c r="M510" s="83" t="n">
        <f aca="false">IFERROR(L510/K510,0)</f>
        <v>517.125</v>
      </c>
      <c r="N510" s="84" t="n">
        <f aca="false">+O510+Q510+T510+U510</f>
        <v>5316</v>
      </c>
      <c r="O510" s="85" t="n">
        <v>5300</v>
      </c>
      <c r="P510" s="86" t="n">
        <v>0</v>
      </c>
      <c r="Q510" s="86" t="n">
        <v>0</v>
      </c>
      <c r="R510" s="132" t="n">
        <v>0</v>
      </c>
      <c r="S510" s="128" t="n">
        <v>0</v>
      </c>
      <c r="T510" s="132" t="n">
        <v>8</v>
      </c>
      <c r="U510" s="128" t="n">
        <v>8</v>
      </c>
      <c r="V510" s="128" t="n">
        <v>1</v>
      </c>
      <c r="W510" s="90" t="n">
        <f aca="false">IFERROR(O510/V510,0)</f>
        <v>5300</v>
      </c>
      <c r="X510" s="91" t="n">
        <f aca="false">O510/L510</f>
        <v>1.28112158569011</v>
      </c>
      <c r="Y510" s="92" t="str">
        <f aca="false">IFERROR(VLOOKUP(E:E,'Item Data Support Sheet'!A:J,6,0),0)</f>
        <v>HMC</v>
      </c>
      <c r="Z510" s="93" t="n">
        <f aca="false">IFERROR(VLOOKUP(E:E,'Item Data Support Sheet'!A:O,4,0),0)</f>
        <v>8.6</v>
      </c>
      <c r="AA510" s="93" t="n">
        <f aca="false">IFERROR(((N510)*(Z510/1000))+P510,0)</f>
        <v>45.7176</v>
      </c>
      <c r="AB510" s="94" t="n">
        <f aca="false">IFERROR((O510*(Z510/1000)/(AA510))," ")</f>
        <v>0.99699021820918</v>
      </c>
      <c r="AC510" s="95" t="n">
        <f aca="false">IFERROR((T510)/((T510)+O510),0)</f>
        <v>0.00150715900527506</v>
      </c>
      <c r="AD510" s="96" t="n">
        <f aca="false">IFERROR(Q510/(Q510+N510),0)</f>
        <v>0</v>
      </c>
      <c r="AE510" s="91" t="n">
        <f aca="false">(N510-T510)/N510</f>
        <v>0.99849510910459</v>
      </c>
      <c r="AF510" s="97" t="n">
        <f aca="false">BR510</f>
        <v>0</v>
      </c>
      <c r="AG510" s="98" t="n">
        <f aca="false">K510-AF510</f>
        <v>8</v>
      </c>
      <c r="AH510" s="99" t="n">
        <f aca="false">IFERROR(AG510/K510," ")</f>
        <v>1</v>
      </c>
      <c r="AI510" s="100" t="n">
        <f aca="false">IFERROR(O510/K510,0)</f>
        <v>662.5</v>
      </c>
      <c r="AJ510" s="101" t="n">
        <f aca="false">VLOOKUP(D510,'Standard Cycle time'!C:D,2,0)</f>
        <v>6</v>
      </c>
      <c r="AK510" s="101" t="n">
        <f aca="false">AG510*V510*3600/O510</f>
        <v>5.43396226415094</v>
      </c>
      <c r="AL510" s="102" t="n">
        <f aca="false">AJ510/AK510</f>
        <v>1.10416666666667</v>
      </c>
      <c r="AM510" s="99" t="n">
        <f aca="false">AE510*AL510*AH510</f>
        <v>1.10250501630298</v>
      </c>
      <c r="AN510" s="103" t="s">
        <v>1084</v>
      </c>
      <c r="AO510" s="112"/>
      <c r="AP510" s="105" t="n">
        <v>0</v>
      </c>
      <c r="AQ510" s="105" t="n">
        <v>0</v>
      </c>
      <c r="AR510" s="105" t="n">
        <v>0</v>
      </c>
      <c r="AS510" s="105" t="n">
        <v>0</v>
      </c>
      <c r="AT510" s="105" t="n">
        <v>0</v>
      </c>
      <c r="AU510" s="105" t="n">
        <v>0</v>
      </c>
      <c r="AV510" s="105" t="n">
        <v>0</v>
      </c>
      <c r="AW510" s="105" t="n">
        <v>0</v>
      </c>
      <c r="AX510" s="105" t="n">
        <v>0</v>
      </c>
      <c r="AY510" s="105" t="n">
        <v>0</v>
      </c>
      <c r="AZ510" s="105" t="n">
        <v>0</v>
      </c>
      <c r="BA510" s="105" t="n">
        <v>0</v>
      </c>
      <c r="BB510" s="105" t="n">
        <v>0</v>
      </c>
      <c r="BC510" s="105" t="n">
        <v>0</v>
      </c>
      <c r="BD510" s="105" t="n">
        <v>0</v>
      </c>
      <c r="BE510" s="105" t="n">
        <v>0</v>
      </c>
      <c r="BF510" s="105" t="n">
        <v>0</v>
      </c>
      <c r="BG510" s="105" t="n">
        <v>0</v>
      </c>
      <c r="BH510" s="105" t="n">
        <v>0</v>
      </c>
      <c r="BI510" s="105" t="n">
        <v>0</v>
      </c>
      <c r="BJ510" s="105" t="n">
        <v>0</v>
      </c>
      <c r="BK510" s="105" t="n">
        <v>0</v>
      </c>
      <c r="BL510" s="105" t="n">
        <v>0</v>
      </c>
      <c r="BM510" s="105" t="n">
        <v>0</v>
      </c>
      <c r="BN510" s="105" t="n">
        <v>0</v>
      </c>
      <c r="BO510" s="105" t="n">
        <v>0</v>
      </c>
      <c r="BP510" s="105" t="n">
        <v>0</v>
      </c>
      <c r="BQ510" s="105" t="n">
        <v>0</v>
      </c>
      <c r="BR510" s="106" t="n">
        <v>0</v>
      </c>
      <c r="BS510" s="106" t="n">
        <v>0</v>
      </c>
      <c r="BT510" s="107"/>
      <c r="BU510" s="107"/>
      <c r="BV510" s="107"/>
      <c r="BW510" s="107"/>
      <c r="BX510" s="107"/>
      <c r="BY510" s="107"/>
      <c r="BZ510" s="107"/>
      <c r="CA510" s="107"/>
      <c r="CB510" s="107"/>
      <c r="CC510" s="107"/>
      <c r="CD510" s="107"/>
      <c r="CE510" s="107"/>
      <c r="CF510" s="107"/>
      <c r="CG510" s="107"/>
      <c r="CH510" s="107"/>
      <c r="CI510" s="107"/>
      <c r="CJ510" s="107"/>
      <c r="CK510" s="107"/>
      <c r="CL510" s="107"/>
      <c r="CM510" s="107"/>
      <c r="CN510" s="107"/>
      <c r="CO510" s="107"/>
      <c r="CP510" s="107"/>
      <c r="CQ510" s="107"/>
      <c r="CR510" s="107"/>
      <c r="CS510" s="107"/>
      <c r="CT510" s="107"/>
      <c r="CU510" s="107"/>
      <c r="CV510" s="107"/>
    </row>
    <row r="511" customFormat="false" ht="14.9" hidden="false" customHeight="false" outlineLevel="0" collapsed="false">
      <c r="A511" s="74" t="n">
        <f aca="false">MONTH(B511)</f>
        <v>9</v>
      </c>
      <c r="B511" s="135" t="n">
        <v>44453</v>
      </c>
      <c r="C511" s="128" t="s">
        <v>51</v>
      </c>
      <c r="D511" s="77" t="str">
        <f aca="false">IFERROR(VLOOKUP(E:E,'Item Data Support Sheet'!A:O,7,0),"")</f>
        <v>NIPPLE MOLDED</v>
      </c>
      <c r="E511" s="80" t="s">
        <v>661</v>
      </c>
      <c r="F511" s="122" t="s">
        <v>137</v>
      </c>
      <c r="G511" s="137" t="s">
        <v>138</v>
      </c>
      <c r="H511" s="79" t="str">
        <f aca="false">IFERROR(VLOOKUP(E:E,'Item Data Support Sheet'!A:O,2,0),"")</f>
        <v>NIPPLE S TYPE L SIZE INJECTION</v>
      </c>
      <c r="I511" s="80" t="s">
        <v>1085</v>
      </c>
      <c r="J511" s="80" t="s">
        <v>148</v>
      </c>
      <c r="K511" s="81" t="n">
        <v>8</v>
      </c>
      <c r="L511" s="124" t="n">
        <v>4815</v>
      </c>
      <c r="M511" s="83" t="n">
        <f aca="false">IFERROR(L511/K511,0)</f>
        <v>601.875</v>
      </c>
      <c r="N511" s="84" t="n">
        <f aca="false">+O511+Q511+T511+U511</f>
        <v>5370</v>
      </c>
      <c r="O511" s="85" t="n">
        <v>5300</v>
      </c>
      <c r="P511" s="86" t="n">
        <v>0</v>
      </c>
      <c r="Q511" s="86" t="n">
        <v>20</v>
      </c>
      <c r="R511" s="132" t="n">
        <v>0</v>
      </c>
      <c r="S511" s="128" t="n">
        <v>0</v>
      </c>
      <c r="T511" s="132" t="n">
        <v>42</v>
      </c>
      <c r="U511" s="128" t="n">
        <v>8</v>
      </c>
      <c r="V511" s="128" t="n">
        <v>1</v>
      </c>
      <c r="W511" s="90" t="n">
        <f aca="false">IFERROR(O511/V511,0)</f>
        <v>5300</v>
      </c>
      <c r="X511" s="91" t="n">
        <f aca="false">O511/L511</f>
        <v>1.10072689511942</v>
      </c>
      <c r="Y511" s="92" t="str">
        <f aca="false">IFERROR(VLOOKUP(E:E,'Item Data Support Sheet'!A:J,6,0),0)</f>
        <v>Silicon</v>
      </c>
      <c r="Z511" s="93" t="n">
        <f aca="false">IFERROR(VLOOKUP(E:E,'Item Data Support Sheet'!A:O,4,0),0)</f>
        <v>6.8</v>
      </c>
      <c r="AA511" s="93" t="n">
        <f aca="false">IFERROR(((N511)*(Z511/1000))+P511,0)</f>
        <v>36.516</v>
      </c>
      <c r="AB511" s="94" t="n">
        <f aca="false">IFERROR((O511*(Z511/1000)/(AA511))," ")</f>
        <v>0.986964618249534</v>
      </c>
      <c r="AC511" s="95" t="n">
        <f aca="false">IFERROR((T511)/((T511)+O511),0)</f>
        <v>0.00786222388618495</v>
      </c>
      <c r="AD511" s="96" t="n">
        <f aca="false">IFERROR(Q511/(Q511+N511),0)</f>
        <v>0.00371057513914657</v>
      </c>
      <c r="AE511" s="91" t="n">
        <f aca="false">(N511-T511)/N511</f>
        <v>0.992178770949721</v>
      </c>
      <c r="AF511" s="97" t="n">
        <f aca="false">BR511</f>
        <v>0</v>
      </c>
      <c r="AG511" s="98" t="n">
        <f aca="false">K511-AF511</f>
        <v>8</v>
      </c>
      <c r="AH511" s="99" t="n">
        <f aca="false">IFERROR(AG511/K511," ")</f>
        <v>1</v>
      </c>
      <c r="AI511" s="100" t="n">
        <f aca="false">IFERROR(O511/K511,0)</f>
        <v>662.5</v>
      </c>
      <c r="AJ511" s="101" t="n">
        <f aca="false">VLOOKUP(D511,'Standard Cycle time'!C:D,2,0)</f>
        <v>5.25</v>
      </c>
      <c r="AK511" s="101" t="n">
        <f aca="false">AG511*V511*3600/O511</f>
        <v>5.43396226415094</v>
      </c>
      <c r="AL511" s="102" t="n">
        <f aca="false">AJ511/AK511</f>
        <v>0.966145833333333</v>
      </c>
      <c r="AM511" s="99" t="n">
        <f aca="false">AE511*AL511*AH511</f>
        <v>0.95858938547486</v>
      </c>
      <c r="AN511" s="103" t="s">
        <v>1086</v>
      </c>
      <c r="AO511" s="112"/>
      <c r="AP511" s="105" t="n">
        <v>0</v>
      </c>
      <c r="AQ511" s="105" t="n">
        <v>0</v>
      </c>
      <c r="AR511" s="105" t="n">
        <v>0</v>
      </c>
      <c r="AS511" s="105" t="n">
        <v>0</v>
      </c>
      <c r="AT511" s="105" t="n">
        <v>0</v>
      </c>
      <c r="AU511" s="105" t="n">
        <v>0</v>
      </c>
      <c r="AV511" s="105" t="n">
        <v>0</v>
      </c>
      <c r="AW511" s="105" t="n">
        <v>0</v>
      </c>
      <c r="AX511" s="105" t="n">
        <v>0</v>
      </c>
      <c r="AY511" s="105" t="n">
        <v>0</v>
      </c>
      <c r="AZ511" s="105" t="n">
        <v>0</v>
      </c>
      <c r="BA511" s="105" t="n">
        <v>0</v>
      </c>
      <c r="BB511" s="105" t="n">
        <v>0</v>
      </c>
      <c r="BC511" s="105" t="n">
        <v>0</v>
      </c>
      <c r="BD511" s="105" t="n">
        <v>0</v>
      </c>
      <c r="BE511" s="105" t="n">
        <v>0</v>
      </c>
      <c r="BF511" s="105" t="n">
        <v>0</v>
      </c>
      <c r="BG511" s="105" t="n">
        <v>0</v>
      </c>
      <c r="BH511" s="105" t="n">
        <v>0</v>
      </c>
      <c r="BI511" s="105" t="n">
        <v>0</v>
      </c>
      <c r="BJ511" s="105" t="n">
        <v>0</v>
      </c>
      <c r="BK511" s="105" t="n">
        <v>0</v>
      </c>
      <c r="BL511" s="105" t="n">
        <v>0</v>
      </c>
      <c r="BM511" s="105" t="n">
        <v>0</v>
      </c>
      <c r="BN511" s="105" t="n">
        <v>0</v>
      </c>
      <c r="BO511" s="105" t="n">
        <v>0</v>
      </c>
      <c r="BP511" s="105" t="n">
        <v>0</v>
      </c>
      <c r="BQ511" s="105" t="n">
        <v>0</v>
      </c>
      <c r="BR511" s="106" t="n">
        <v>0</v>
      </c>
      <c r="BS511" s="106" t="n">
        <v>0</v>
      </c>
      <c r="BT511" s="107"/>
      <c r="BU511" s="107"/>
      <c r="BV511" s="107"/>
      <c r="BW511" s="107"/>
      <c r="BX511" s="107"/>
      <c r="BY511" s="107"/>
      <c r="BZ511" s="107"/>
      <c r="CA511" s="107"/>
      <c r="CB511" s="107"/>
      <c r="CC511" s="107"/>
      <c r="CD511" s="107"/>
      <c r="CE511" s="107"/>
      <c r="CF511" s="107"/>
      <c r="CG511" s="107"/>
      <c r="CH511" s="107"/>
      <c r="CI511" s="107"/>
      <c r="CJ511" s="107"/>
      <c r="CK511" s="107"/>
      <c r="CL511" s="107"/>
      <c r="CM511" s="107"/>
      <c r="CN511" s="107"/>
      <c r="CO511" s="107"/>
      <c r="CP511" s="107"/>
      <c r="CQ511" s="107"/>
      <c r="CR511" s="107"/>
      <c r="CS511" s="107"/>
      <c r="CT511" s="107"/>
      <c r="CU511" s="107"/>
      <c r="CV511" s="107"/>
    </row>
    <row r="512" customFormat="false" ht="14.9" hidden="false" customHeight="false" outlineLevel="0" collapsed="false">
      <c r="A512" s="74" t="n">
        <f aca="false">MONTH(B512)</f>
        <v>9</v>
      </c>
      <c r="B512" s="135" t="n">
        <v>44453</v>
      </c>
      <c r="C512" s="128" t="s">
        <v>51</v>
      </c>
      <c r="D512" s="77" t="str">
        <f aca="false">IFERROR(VLOOKUP(E:E,'Item Data Support Sheet'!A:O,7,0),"")</f>
        <v>NIPPLE PUNCH</v>
      </c>
      <c r="E512" s="80" t="s">
        <v>60</v>
      </c>
      <c r="F512" s="122"/>
      <c r="G512" s="137"/>
      <c r="H512" s="79" t="str">
        <f aca="false">IFERROR(VLOOKUP(E:E,'Item Data Support Sheet'!A:O,2,0),"")</f>
        <v>NIPPLE S TYPE M SIZE PUNCHED</v>
      </c>
      <c r="I512" s="80" t="s">
        <v>1087</v>
      </c>
      <c r="J512" s="80" t="s">
        <v>148</v>
      </c>
      <c r="K512" s="81" t="n">
        <v>8</v>
      </c>
      <c r="L512" s="124" t="n">
        <v>7000</v>
      </c>
      <c r="M512" s="83" t="n">
        <f aca="false">IFERROR(L512/K512,0)</f>
        <v>875</v>
      </c>
      <c r="N512" s="84" t="n">
        <f aca="false">+O512+Q512+T512+U512</f>
        <v>4630</v>
      </c>
      <c r="O512" s="85" t="n">
        <v>4626</v>
      </c>
      <c r="P512" s="86" t="n">
        <v>0</v>
      </c>
      <c r="Q512" s="86" t="n">
        <v>0</v>
      </c>
      <c r="R512" s="132" t="n">
        <v>0</v>
      </c>
      <c r="S512" s="128" t="n">
        <v>0</v>
      </c>
      <c r="T512" s="132" t="n">
        <v>4</v>
      </c>
      <c r="U512" s="128" t="n">
        <v>0</v>
      </c>
      <c r="V512" s="128" t="n">
        <v>1</v>
      </c>
      <c r="W512" s="90" t="n">
        <f aca="false">IFERROR(O512/V512,0)</f>
        <v>4626</v>
      </c>
      <c r="X512" s="91" t="n">
        <f aca="false">O512/L512</f>
        <v>0.660857142857143</v>
      </c>
      <c r="Y512" s="92" t="str">
        <f aca="false">IFERROR(VLOOKUP(E:E,'Item Data Support Sheet'!A:J,6,0),0)</f>
        <v>FO016</v>
      </c>
      <c r="Z512" s="93" t="n">
        <f aca="false">IFERROR(VLOOKUP(E:E,'Item Data Support Sheet'!A:O,4,0),0)</f>
        <v>0</v>
      </c>
      <c r="AA512" s="93" t="n">
        <f aca="false">IFERROR(((N512)*(Z512/1000))+P512,0)</f>
        <v>0</v>
      </c>
      <c r="AB512" s="94" t="str">
        <f aca="false">IFERROR((O512*(Z512/1000)/(AA512))," ")</f>
        <v> </v>
      </c>
      <c r="AC512" s="95" t="n">
        <f aca="false">IFERROR((T512)/((T512)+O512),0)</f>
        <v>0.000863930885529158</v>
      </c>
      <c r="AD512" s="96" t="n">
        <f aca="false">IFERROR(Q512/(Q512+N512),0)</f>
        <v>0</v>
      </c>
      <c r="AE512" s="91" t="n">
        <f aca="false">(N512-T512)/N512</f>
        <v>0.999136069114471</v>
      </c>
      <c r="AF512" s="97" t="n">
        <f aca="false">BR512</f>
        <v>3.33333333333333</v>
      </c>
      <c r="AG512" s="98" t="n">
        <f aca="false">K512-AF512</f>
        <v>4.66666666666667</v>
      </c>
      <c r="AH512" s="99" t="n">
        <f aca="false">IFERROR(AG512/K512," ")</f>
        <v>0.583333333333334</v>
      </c>
      <c r="AI512" s="100" t="n">
        <f aca="false">IFERROR(O512/K512,0)</f>
        <v>578.25</v>
      </c>
      <c r="AJ512" s="101" t="n">
        <f aca="false">VLOOKUP(D512,'Standard Cycle time'!C:D,2,0)</f>
        <v>3.5</v>
      </c>
      <c r="AK512" s="101" t="n">
        <f aca="false">AG512*V512*3600/O512</f>
        <v>3.63164721141375</v>
      </c>
      <c r="AL512" s="102" t="n">
        <f aca="false">AJ512/AK512</f>
        <v>0.963749999999999</v>
      </c>
      <c r="AM512" s="99" t="n">
        <f aca="false">AE512*AL512*AH512</f>
        <v>0.561701808855292</v>
      </c>
      <c r="AN512" s="103" t="s">
        <v>1088</v>
      </c>
      <c r="AO512" s="112" t="s">
        <v>1089</v>
      </c>
      <c r="AP512" s="105" t="n">
        <v>40</v>
      </c>
      <c r="AQ512" s="105" t="n">
        <v>0</v>
      </c>
      <c r="AR512" s="105" t="n">
        <v>0</v>
      </c>
      <c r="AS512" s="105" t="n">
        <v>160</v>
      </c>
      <c r="AT512" s="105" t="n">
        <v>0</v>
      </c>
      <c r="AU512" s="105" t="n">
        <v>0</v>
      </c>
      <c r="AV512" s="105" t="n">
        <v>0</v>
      </c>
      <c r="AW512" s="105" t="n">
        <v>0</v>
      </c>
      <c r="AX512" s="105" t="n">
        <v>0</v>
      </c>
      <c r="AY512" s="105" t="n">
        <v>0</v>
      </c>
      <c r="AZ512" s="105" t="n">
        <v>0</v>
      </c>
      <c r="BA512" s="105" t="n">
        <v>0</v>
      </c>
      <c r="BB512" s="105" t="n">
        <v>0</v>
      </c>
      <c r="BC512" s="105" t="n">
        <v>0</v>
      </c>
      <c r="BD512" s="105" t="n">
        <v>0</v>
      </c>
      <c r="BE512" s="105" t="n">
        <v>0</v>
      </c>
      <c r="BF512" s="105" t="n">
        <v>0</v>
      </c>
      <c r="BG512" s="105" t="n">
        <v>0</v>
      </c>
      <c r="BH512" s="105" t="n">
        <v>0</v>
      </c>
      <c r="BI512" s="105" t="n">
        <v>0</v>
      </c>
      <c r="BJ512" s="105" t="n">
        <v>0</v>
      </c>
      <c r="BK512" s="105" t="n">
        <v>0</v>
      </c>
      <c r="BL512" s="105" t="n">
        <v>0</v>
      </c>
      <c r="BM512" s="105" t="n">
        <v>0</v>
      </c>
      <c r="BN512" s="105" t="n">
        <v>0</v>
      </c>
      <c r="BO512" s="105" t="n">
        <v>0</v>
      </c>
      <c r="BP512" s="105" t="n">
        <v>0</v>
      </c>
      <c r="BQ512" s="105" t="n">
        <v>0</v>
      </c>
      <c r="BR512" s="106" t="n">
        <v>3.33333333333333</v>
      </c>
      <c r="BS512" s="106" t="n">
        <v>3.38888888888889</v>
      </c>
      <c r="BT512" s="107"/>
      <c r="BU512" s="107"/>
      <c r="BV512" s="107"/>
      <c r="BW512" s="107"/>
      <c r="BX512" s="107"/>
      <c r="BY512" s="107"/>
      <c r="BZ512" s="107"/>
      <c r="CA512" s="107"/>
      <c r="CB512" s="107"/>
      <c r="CC512" s="107"/>
      <c r="CD512" s="107"/>
      <c r="CE512" s="107"/>
      <c r="CF512" s="107"/>
      <c r="CG512" s="107"/>
      <c r="CH512" s="107"/>
      <c r="CI512" s="107"/>
      <c r="CJ512" s="107"/>
      <c r="CK512" s="107"/>
      <c r="CL512" s="107"/>
      <c r="CM512" s="107"/>
      <c r="CN512" s="107"/>
      <c r="CO512" s="107"/>
      <c r="CP512" s="107"/>
      <c r="CQ512" s="107"/>
      <c r="CR512" s="107"/>
      <c r="CS512" s="107"/>
      <c r="CT512" s="107"/>
      <c r="CU512" s="107"/>
      <c r="CV512" s="107"/>
    </row>
    <row r="513" customFormat="false" ht="14.9" hidden="false" customHeight="false" outlineLevel="0" collapsed="false">
      <c r="A513" s="74" t="n">
        <f aca="false">MONTH(B513)</f>
        <v>9</v>
      </c>
      <c r="B513" s="135" t="n">
        <v>44453</v>
      </c>
      <c r="C513" s="128" t="s">
        <v>51</v>
      </c>
      <c r="D513" s="77" t="str">
        <f aca="false">IFERROR(VLOOKUP(E:E,'Item Data Support Sheet'!A:O,7,0),"")</f>
        <v>NIPPLE LASER MARKING</v>
      </c>
      <c r="E513" s="80" t="s">
        <v>932</v>
      </c>
      <c r="F513" s="122"/>
      <c r="G513" s="137"/>
      <c r="H513" s="79" t="str">
        <f aca="false">IFERROR(VLOOKUP(E:E,'Item Data Support Sheet'!A:O,2,0),"")</f>
        <v>NIPPLE S TYPE M SIZE PUNCHED LASER MARKED</v>
      </c>
      <c r="I513" s="80" t="s">
        <v>1090</v>
      </c>
      <c r="J513" s="80" t="s">
        <v>148</v>
      </c>
      <c r="K513" s="81" t="n">
        <v>8</v>
      </c>
      <c r="L513" s="124" t="n">
        <v>7000</v>
      </c>
      <c r="M513" s="83" t="n">
        <f aca="false">IFERROR(L513/K513,0)</f>
        <v>875</v>
      </c>
      <c r="N513" s="84" t="n">
        <f aca="false">+O513+Q513+T513+U513</f>
        <v>6700</v>
      </c>
      <c r="O513" s="85" t="n">
        <v>6700</v>
      </c>
      <c r="P513" s="86" t="n">
        <v>0</v>
      </c>
      <c r="Q513" s="86" t="n">
        <v>0</v>
      </c>
      <c r="R513" s="132" t="n">
        <v>0</v>
      </c>
      <c r="S513" s="128" t="n">
        <v>0</v>
      </c>
      <c r="T513" s="132" t="n">
        <v>0</v>
      </c>
      <c r="U513" s="128" t="n">
        <v>0</v>
      </c>
      <c r="V513" s="128" t="n">
        <v>1</v>
      </c>
      <c r="W513" s="90" t="n">
        <f aca="false">IFERROR(O513/V513,0)</f>
        <v>6700</v>
      </c>
      <c r="X513" s="91" t="n">
        <f aca="false">O513/L513</f>
        <v>0.957142857142857</v>
      </c>
      <c r="Y513" s="92" t="str">
        <f aca="false">IFERROR(VLOOKUP(E:E,'Item Data Support Sheet'!A:J,6,0),0)</f>
        <v>FO020</v>
      </c>
      <c r="Z513" s="93" t="n">
        <f aca="false">IFERROR(VLOOKUP(E:E,'Item Data Support Sheet'!A:O,4,0),0)</f>
        <v>0</v>
      </c>
      <c r="AA513" s="93" t="n">
        <f aca="false">IFERROR(((N513)*(Z513/1000))+P513,0)</f>
        <v>0</v>
      </c>
      <c r="AB513" s="94" t="str">
        <f aca="false">IFERROR((O513*(Z513/1000)/(AA513))," ")</f>
        <v> </v>
      </c>
      <c r="AC513" s="95" t="n">
        <f aca="false">IFERROR((T513)/((T513)+O513),0)</f>
        <v>0</v>
      </c>
      <c r="AD513" s="96" t="n">
        <f aca="false">IFERROR(Q513/(Q513+N513),0)</f>
        <v>0</v>
      </c>
      <c r="AE513" s="91" t="n">
        <f aca="false">(N513-T513)/N513</f>
        <v>1</v>
      </c>
      <c r="AF513" s="97" t="n">
        <f aca="false">BR513</f>
        <v>1.41666666666667</v>
      </c>
      <c r="AG513" s="98" t="n">
        <f aca="false">K513-AF513</f>
        <v>6.58333333333333</v>
      </c>
      <c r="AH513" s="99" t="n">
        <f aca="false">IFERROR(AG513/K513," ")</f>
        <v>0.822916666666666</v>
      </c>
      <c r="AI513" s="100" t="n">
        <f aca="false">IFERROR(O513/K513,0)</f>
        <v>837.5</v>
      </c>
      <c r="AJ513" s="101" t="n">
        <f aca="false">VLOOKUP(D513,'Standard Cycle time'!C:D,2,0)</f>
        <v>3.5</v>
      </c>
      <c r="AK513" s="101" t="n">
        <f aca="false">AG513*V513*3600/O513</f>
        <v>3.53731343283582</v>
      </c>
      <c r="AL513" s="102" t="n">
        <f aca="false">AJ513/AK513</f>
        <v>0.989451476793249</v>
      </c>
      <c r="AM513" s="99" t="n">
        <f aca="false">AE513*AL513*AH513</f>
        <v>0.814236111111111</v>
      </c>
      <c r="AN513" s="103" t="s">
        <v>1091</v>
      </c>
      <c r="AO513" s="112"/>
      <c r="AP513" s="105" t="n">
        <v>40</v>
      </c>
      <c r="AQ513" s="105" t="n">
        <v>0</v>
      </c>
      <c r="AR513" s="105" t="n">
        <v>0</v>
      </c>
      <c r="AS513" s="105" t="n">
        <v>45</v>
      </c>
      <c r="AT513" s="105" t="n">
        <v>0</v>
      </c>
      <c r="AU513" s="105" t="n">
        <v>0</v>
      </c>
      <c r="AV513" s="105" t="n">
        <v>0</v>
      </c>
      <c r="AW513" s="105" t="n">
        <v>0</v>
      </c>
      <c r="AX513" s="105" t="n">
        <v>0</v>
      </c>
      <c r="AY513" s="105" t="n">
        <v>0</v>
      </c>
      <c r="AZ513" s="105" t="n">
        <v>0</v>
      </c>
      <c r="BA513" s="105" t="n">
        <v>0</v>
      </c>
      <c r="BB513" s="105" t="n">
        <v>0</v>
      </c>
      <c r="BC513" s="105" t="n">
        <v>0</v>
      </c>
      <c r="BD513" s="105" t="n">
        <v>0</v>
      </c>
      <c r="BE513" s="105" t="n">
        <v>0</v>
      </c>
      <c r="BF513" s="105" t="n">
        <v>0</v>
      </c>
      <c r="BG513" s="105" t="n">
        <v>0</v>
      </c>
      <c r="BH513" s="105" t="n">
        <v>0</v>
      </c>
      <c r="BI513" s="105" t="n">
        <v>0</v>
      </c>
      <c r="BJ513" s="105" t="n">
        <v>0</v>
      </c>
      <c r="BK513" s="105" t="n">
        <v>0</v>
      </c>
      <c r="BL513" s="105" t="n">
        <v>0</v>
      </c>
      <c r="BM513" s="105" t="n">
        <v>0</v>
      </c>
      <c r="BN513" s="105" t="n">
        <v>0</v>
      </c>
      <c r="BO513" s="105" t="n">
        <v>0</v>
      </c>
      <c r="BP513" s="105" t="n">
        <v>0</v>
      </c>
      <c r="BQ513" s="105" t="n">
        <v>0</v>
      </c>
      <c r="BR513" s="106" t="n">
        <v>1.41666666666667</v>
      </c>
      <c r="BS513" s="106" t="n">
        <v>1.44027777777778</v>
      </c>
      <c r="BT513" s="107"/>
      <c r="BU513" s="107"/>
      <c r="BV513" s="107"/>
      <c r="BW513" s="107"/>
      <c r="BX513" s="107"/>
      <c r="BY513" s="107"/>
      <c r="BZ513" s="107"/>
      <c r="CA513" s="107"/>
      <c r="CB513" s="107"/>
      <c r="CC513" s="107"/>
      <c r="CD513" s="107"/>
      <c r="CE513" s="107"/>
      <c r="CF513" s="107"/>
      <c r="CG513" s="107"/>
      <c r="CH513" s="107"/>
      <c r="CI513" s="107"/>
      <c r="CJ513" s="107"/>
      <c r="CK513" s="107"/>
      <c r="CL513" s="107"/>
      <c r="CM513" s="107"/>
      <c r="CN513" s="107"/>
      <c r="CO513" s="107"/>
      <c r="CP513" s="107"/>
      <c r="CQ513" s="107"/>
      <c r="CR513" s="107"/>
      <c r="CS513" s="107"/>
      <c r="CT513" s="107"/>
      <c r="CU513" s="107"/>
      <c r="CV513" s="107"/>
    </row>
    <row r="514" customFormat="false" ht="14.9" hidden="false" customHeight="false" outlineLevel="0" collapsed="false">
      <c r="A514" s="74" t="n">
        <f aca="false">MONTH(B514)</f>
        <v>9</v>
      </c>
      <c r="B514" s="135" t="n">
        <v>44453</v>
      </c>
      <c r="C514" s="128" t="s">
        <v>51</v>
      </c>
      <c r="D514" s="77" t="str">
        <f aca="false">IFERROR(VLOOKUP(E:E,'Item Data Support Sheet'!A:O,7,0),"")</f>
        <v>BOTTLE PRINTED</v>
      </c>
      <c r="E514" s="80" t="s">
        <v>65</v>
      </c>
      <c r="F514" s="122"/>
      <c r="G514" s="137" t="s">
        <v>54</v>
      </c>
      <c r="H514" s="79" t="str">
        <f aca="false">IFERROR(VLOOKUP(E:E,'Item Data Support Sheet'!A:O,2,0),"")</f>
        <v>KPP 240 ML BOTTLE PRINTED</v>
      </c>
      <c r="I514" s="80" t="s">
        <v>1092</v>
      </c>
      <c r="J514" s="80" t="s">
        <v>161</v>
      </c>
      <c r="K514" s="81" t="n">
        <v>8</v>
      </c>
      <c r="L514" s="124" t="n">
        <v>5100</v>
      </c>
      <c r="M514" s="83" t="n">
        <f aca="false">IFERROR(L514/K514,0)</f>
        <v>637.5</v>
      </c>
      <c r="N514" s="84" t="n">
        <f aca="false">+O514+Q514+T514+U514</f>
        <v>3380</v>
      </c>
      <c r="O514" s="85" t="n">
        <v>3348</v>
      </c>
      <c r="P514" s="86" t="n">
        <v>0</v>
      </c>
      <c r="Q514" s="86" t="n">
        <v>0</v>
      </c>
      <c r="R514" s="132" t="n">
        <v>30</v>
      </c>
      <c r="S514" s="128" t="n">
        <v>0</v>
      </c>
      <c r="T514" s="132" t="n">
        <v>32</v>
      </c>
      <c r="U514" s="128" t="n">
        <v>0</v>
      </c>
      <c r="V514" s="128" t="n">
        <v>5</v>
      </c>
      <c r="W514" s="90" t="n">
        <f aca="false">IFERROR(O514/V514,0)</f>
        <v>669.6</v>
      </c>
      <c r="X514" s="91" t="n">
        <f aca="false">O514/L514</f>
        <v>0.656470588235294</v>
      </c>
      <c r="Y514" s="92" t="str">
        <f aca="false">IFERROR(VLOOKUP(E:E,'Item Data Support Sheet'!A:J,6,0),0)</f>
        <v>FO003</v>
      </c>
      <c r="Z514" s="93" t="n">
        <f aca="false">IFERROR(VLOOKUP(E:E,'Item Data Support Sheet'!A:O,4,0),0)</f>
        <v>0</v>
      </c>
      <c r="AA514" s="93" t="n">
        <f aca="false">IFERROR(((N514)*(Z514/1000))+P514,0)</f>
        <v>0</v>
      </c>
      <c r="AB514" s="94" t="str">
        <f aca="false">IFERROR((O514*(Z514/1000)/(AA514))," ")</f>
        <v> </v>
      </c>
      <c r="AC514" s="95" t="n">
        <f aca="false">IFERROR((T514)/((T514)+O514),0)</f>
        <v>0.00946745562130178</v>
      </c>
      <c r="AD514" s="96" t="n">
        <f aca="false">IFERROR(Q514/(Q514+N514),0)</f>
        <v>0</v>
      </c>
      <c r="AE514" s="91" t="n">
        <f aca="false">(N514-T514)/N514</f>
        <v>0.990532544378698</v>
      </c>
      <c r="AF514" s="97" t="n">
        <f aca="false">BR514</f>
        <v>2.33333333333333</v>
      </c>
      <c r="AG514" s="98" t="n">
        <f aca="false">K514-AF514</f>
        <v>5.66666666666667</v>
      </c>
      <c r="AH514" s="99" t="n">
        <f aca="false">IFERROR(AG514/K514," ")</f>
        <v>0.708333333333334</v>
      </c>
      <c r="AI514" s="100" t="n">
        <f aca="false">IFERROR(O514/K514,0)</f>
        <v>418.5</v>
      </c>
      <c r="AJ514" s="101" t="n">
        <f aca="false">VLOOKUP(D514,'Standard Cycle time'!C:D,2,0)</f>
        <v>32.4</v>
      </c>
      <c r="AK514" s="101" t="n">
        <f aca="false">AG514*V514*3600/O514</f>
        <v>30.4659498207885</v>
      </c>
      <c r="AL514" s="102" t="n">
        <f aca="false">AJ514/AK514</f>
        <v>1.06348235294118</v>
      </c>
      <c r="AM514" s="99" t="n">
        <f aca="false">AE514*AL514*AH514</f>
        <v>0.746168165680473</v>
      </c>
      <c r="AN514" s="103" t="s">
        <v>1093</v>
      </c>
      <c r="AO514" s="112" t="s">
        <v>1094</v>
      </c>
      <c r="AP514" s="105" t="n">
        <v>40</v>
      </c>
      <c r="AQ514" s="105" t="n">
        <v>0</v>
      </c>
      <c r="AR514" s="105" t="n">
        <v>0</v>
      </c>
      <c r="AS514" s="105" t="n">
        <v>0</v>
      </c>
      <c r="AT514" s="105" t="n">
        <v>0</v>
      </c>
      <c r="AU514" s="105" t="n">
        <v>0</v>
      </c>
      <c r="AV514" s="105" t="n">
        <v>0</v>
      </c>
      <c r="AW514" s="105" t="n">
        <v>0</v>
      </c>
      <c r="AX514" s="105" t="n">
        <v>0</v>
      </c>
      <c r="AY514" s="105" t="n">
        <v>0</v>
      </c>
      <c r="AZ514" s="105" t="n">
        <v>0</v>
      </c>
      <c r="BA514" s="105" t="n">
        <v>100</v>
      </c>
      <c r="BB514" s="105" t="n">
        <v>0</v>
      </c>
      <c r="BC514" s="105" t="n">
        <v>0</v>
      </c>
      <c r="BD514" s="105" t="n">
        <v>0</v>
      </c>
      <c r="BE514" s="105" t="n">
        <v>0</v>
      </c>
      <c r="BF514" s="105" t="n">
        <v>0</v>
      </c>
      <c r="BG514" s="105" t="n">
        <v>0</v>
      </c>
      <c r="BH514" s="105" t="n">
        <v>0</v>
      </c>
      <c r="BI514" s="105" t="n">
        <v>0</v>
      </c>
      <c r="BJ514" s="105" t="n">
        <v>0</v>
      </c>
      <c r="BK514" s="105" t="n">
        <v>0</v>
      </c>
      <c r="BL514" s="105" t="n">
        <v>0</v>
      </c>
      <c r="BM514" s="105" t="n">
        <v>0</v>
      </c>
      <c r="BN514" s="105" t="n">
        <v>0</v>
      </c>
      <c r="BO514" s="105" t="n">
        <v>0</v>
      </c>
      <c r="BP514" s="105" t="n">
        <v>0</v>
      </c>
      <c r="BQ514" s="105" t="n">
        <v>0</v>
      </c>
      <c r="BR514" s="106" t="n">
        <v>2.33333333333333</v>
      </c>
      <c r="BS514" s="106" t="n">
        <v>2.37222222222222</v>
      </c>
      <c r="BT514" s="107"/>
      <c r="BU514" s="107"/>
      <c r="BV514" s="107"/>
      <c r="BW514" s="107"/>
      <c r="BX514" s="107"/>
      <c r="BY514" s="107"/>
      <c r="BZ514" s="107"/>
      <c r="CA514" s="107"/>
      <c r="CB514" s="107"/>
      <c r="CC514" s="107"/>
      <c r="CD514" s="107"/>
      <c r="CE514" s="107"/>
      <c r="CF514" s="107"/>
      <c r="CG514" s="107"/>
      <c r="CH514" s="107"/>
      <c r="CI514" s="107"/>
      <c r="CJ514" s="107"/>
      <c r="CK514" s="107"/>
      <c r="CL514" s="107"/>
      <c r="CM514" s="107"/>
      <c r="CN514" s="107"/>
      <c r="CO514" s="107"/>
      <c r="CP514" s="107"/>
      <c r="CQ514" s="107"/>
      <c r="CR514" s="107"/>
      <c r="CS514" s="107"/>
      <c r="CT514" s="107"/>
      <c r="CU514" s="107"/>
      <c r="CV514" s="107"/>
    </row>
    <row r="515" customFormat="false" ht="14.9" hidden="false" customHeight="false" outlineLevel="0" collapsed="false">
      <c r="A515" s="74" t="n">
        <f aca="false">MONTH(B515)</f>
        <v>9</v>
      </c>
      <c r="B515" s="135" t="n">
        <v>44453</v>
      </c>
      <c r="C515" s="128" t="s">
        <v>63</v>
      </c>
      <c r="D515" s="77" t="str">
        <f aca="false">IFERROR(VLOOKUP(E:E,'Item Data Support Sheet'!A:O,7,0),"")</f>
        <v>NIPPLE PUNCH INSPECTED</v>
      </c>
      <c r="E515" s="80" t="s">
        <v>182</v>
      </c>
      <c r="F515" s="122"/>
      <c r="G515" s="137"/>
      <c r="H515" s="79" t="str">
        <f aca="false">IFERROR(VLOOKUP(E:E,'Item Data Support Sheet'!A:O,2,0),"")</f>
        <v>NIPPLE S TYPE M SIZE PUNCHED INSPECTED</v>
      </c>
      <c r="I515" s="80" t="s">
        <v>1095</v>
      </c>
      <c r="J515" s="80" t="s">
        <v>155</v>
      </c>
      <c r="K515" s="81" t="n">
        <v>8</v>
      </c>
      <c r="L515" s="124" t="n">
        <v>14182</v>
      </c>
      <c r="M515" s="83" t="n">
        <f aca="false">IFERROR(L515/K515,0)</f>
        <v>1772.75</v>
      </c>
      <c r="N515" s="84" t="n">
        <f aca="false">+O515+Q515+T515+U515</f>
        <v>15100</v>
      </c>
      <c r="O515" s="85" t="n">
        <v>14960</v>
      </c>
      <c r="P515" s="86" t="n">
        <v>0</v>
      </c>
      <c r="Q515" s="86" t="n">
        <v>0</v>
      </c>
      <c r="R515" s="132" t="n">
        <v>0</v>
      </c>
      <c r="S515" s="128" t="n">
        <v>0</v>
      </c>
      <c r="T515" s="132" t="n">
        <v>140</v>
      </c>
      <c r="U515" s="128" t="n">
        <v>0</v>
      </c>
      <c r="V515" s="128" t="n">
        <v>1</v>
      </c>
      <c r="W515" s="90" t="n">
        <f aca="false">IFERROR(O515/V515,0)</f>
        <v>14960</v>
      </c>
      <c r="X515" s="91" t="n">
        <f aca="false">O515/L515</f>
        <v>1.05485827104781</v>
      </c>
      <c r="Y515" s="92" t="str">
        <f aca="false">IFERROR(VLOOKUP(E:E,'Item Data Support Sheet'!A:J,6,0),0)</f>
        <v>FO105</v>
      </c>
      <c r="Z515" s="93" t="n">
        <f aca="false">IFERROR(VLOOKUP(E:E,'Item Data Support Sheet'!A:O,4,0),0)</f>
        <v>0</v>
      </c>
      <c r="AA515" s="93" t="n">
        <f aca="false">IFERROR(((N515)*(Z515/1000))+P515,0)</f>
        <v>0</v>
      </c>
      <c r="AB515" s="94" t="str">
        <f aca="false">IFERROR((O515*(Z515/1000)/(AA515))," ")</f>
        <v> </v>
      </c>
      <c r="AC515" s="95" t="n">
        <f aca="false">IFERROR((T515)/((T515)+O515),0)</f>
        <v>0.00927152317880795</v>
      </c>
      <c r="AD515" s="96" t="n">
        <f aca="false">IFERROR(Q515/(Q515+N515),0)</f>
        <v>0</v>
      </c>
      <c r="AE515" s="91" t="n">
        <f aca="false">(N515-T515)/N515</f>
        <v>0.990728476821192</v>
      </c>
      <c r="AF515" s="97" t="n">
        <f aca="false">BR515</f>
        <v>0</v>
      </c>
      <c r="AG515" s="98" t="n">
        <f aca="false">K515-AF515</f>
        <v>8</v>
      </c>
      <c r="AH515" s="99" t="n">
        <f aca="false">IFERROR(AG515/K515," ")</f>
        <v>1</v>
      </c>
      <c r="AI515" s="100" t="n">
        <f aca="false">IFERROR(O515/K515,0)</f>
        <v>1870</v>
      </c>
      <c r="AJ515" s="101" t="n">
        <f aca="false">VLOOKUP(D515,'Standard Cycle time'!C:D,2,0)</f>
        <v>4</v>
      </c>
      <c r="AK515" s="101" t="n">
        <f aca="false">AG515*V515*3600/O515</f>
        <v>1.92513368983957</v>
      </c>
      <c r="AL515" s="102" t="n">
        <f aca="false">AJ515/AK515</f>
        <v>2.07777777777778</v>
      </c>
      <c r="AM515" s="99" t="n">
        <f aca="false">AE515*AL515*AH515</f>
        <v>2.0585136129507</v>
      </c>
      <c r="AN515" s="103" t="s">
        <v>1096</v>
      </c>
      <c r="AO515" s="112"/>
      <c r="AP515" s="105" t="n">
        <v>0</v>
      </c>
      <c r="AQ515" s="105" t="n">
        <v>0</v>
      </c>
      <c r="AR515" s="105" t="n">
        <v>0</v>
      </c>
      <c r="AS515" s="105" t="n">
        <v>0</v>
      </c>
      <c r="AT515" s="105" t="n">
        <v>0</v>
      </c>
      <c r="AU515" s="105" t="n">
        <v>0</v>
      </c>
      <c r="AV515" s="105" t="n">
        <v>0</v>
      </c>
      <c r="AW515" s="105" t="n">
        <v>0</v>
      </c>
      <c r="AX515" s="105" t="n">
        <v>0</v>
      </c>
      <c r="AY515" s="105" t="n">
        <v>0</v>
      </c>
      <c r="AZ515" s="105" t="n">
        <v>0</v>
      </c>
      <c r="BA515" s="105" t="n">
        <v>0</v>
      </c>
      <c r="BB515" s="105" t="n">
        <v>0</v>
      </c>
      <c r="BC515" s="105" t="n">
        <v>0</v>
      </c>
      <c r="BD515" s="105" t="n">
        <v>0</v>
      </c>
      <c r="BE515" s="105" t="n">
        <v>0</v>
      </c>
      <c r="BF515" s="105" t="n">
        <v>0</v>
      </c>
      <c r="BG515" s="105" t="n">
        <v>0</v>
      </c>
      <c r="BH515" s="105" t="n">
        <v>0</v>
      </c>
      <c r="BI515" s="105" t="n">
        <v>0</v>
      </c>
      <c r="BJ515" s="105" t="n">
        <v>0</v>
      </c>
      <c r="BK515" s="105" t="n">
        <v>0</v>
      </c>
      <c r="BL515" s="105" t="n">
        <v>0</v>
      </c>
      <c r="BM515" s="105" t="n">
        <v>0</v>
      </c>
      <c r="BN515" s="105" t="n">
        <v>0</v>
      </c>
      <c r="BO515" s="105" t="n">
        <v>0</v>
      </c>
      <c r="BP515" s="105" t="n">
        <v>0</v>
      </c>
      <c r="BQ515" s="105" t="n">
        <v>0</v>
      </c>
      <c r="BR515" s="106" t="n">
        <v>0</v>
      </c>
      <c r="BS515" s="106" t="n">
        <v>0</v>
      </c>
      <c r="BT515" s="107"/>
      <c r="BU515" s="107"/>
      <c r="BV515" s="107"/>
      <c r="BW515" s="107"/>
      <c r="BX515" s="107"/>
      <c r="BY515" s="107"/>
      <c r="BZ515" s="107"/>
      <c r="CA515" s="107"/>
      <c r="CB515" s="107"/>
      <c r="CC515" s="107"/>
      <c r="CD515" s="107"/>
      <c r="CE515" s="107"/>
      <c r="CF515" s="107"/>
      <c r="CG515" s="107"/>
      <c r="CH515" s="107"/>
      <c r="CI515" s="107"/>
      <c r="CJ515" s="107"/>
      <c r="CK515" s="107"/>
      <c r="CL515" s="107"/>
      <c r="CM515" s="107"/>
      <c r="CN515" s="107"/>
      <c r="CO515" s="107"/>
      <c r="CP515" s="107"/>
      <c r="CQ515" s="107"/>
      <c r="CR515" s="107"/>
      <c r="CS515" s="107"/>
      <c r="CT515" s="107"/>
      <c r="CU515" s="107"/>
      <c r="CV515" s="107"/>
    </row>
    <row r="516" customFormat="false" ht="14.9" hidden="false" customHeight="false" outlineLevel="0" collapsed="false">
      <c r="A516" s="74" t="n">
        <f aca="false">MONTH(B516)</f>
        <v>9</v>
      </c>
      <c r="B516" s="135" t="n">
        <v>44453</v>
      </c>
      <c r="C516" s="128" t="s">
        <v>70</v>
      </c>
      <c r="D516" s="77" t="str">
        <f aca="false">IFERROR(VLOOKUP(E:E,'Item Data Support Sheet'!A:O,7,0),"")</f>
        <v>NIPPLE PUNCH</v>
      </c>
      <c r="E516" s="80" t="s">
        <v>666</v>
      </c>
      <c r="F516" s="122"/>
      <c r="G516" s="137"/>
      <c r="H516" s="79" t="str">
        <f aca="false">IFERROR(VLOOKUP(E:E,'Item Data Support Sheet'!A:O,2,0),"")</f>
        <v>NIPPLE S TYPE L SIZE PUNCHED</v>
      </c>
      <c r="I516" s="80" t="s">
        <v>1097</v>
      </c>
      <c r="J516" s="80" t="s">
        <v>155</v>
      </c>
      <c r="K516" s="81" t="n">
        <v>8</v>
      </c>
      <c r="L516" s="124" t="n">
        <v>7000</v>
      </c>
      <c r="M516" s="83" t="n">
        <f aca="false">IFERROR(L516/K516,0)</f>
        <v>875</v>
      </c>
      <c r="N516" s="84" t="n">
        <f aca="false">+O516+Q516+T516+U516</f>
        <v>5000</v>
      </c>
      <c r="O516" s="85" t="n">
        <v>5000</v>
      </c>
      <c r="P516" s="86" t="n">
        <v>0</v>
      </c>
      <c r="Q516" s="86" t="n">
        <v>0</v>
      </c>
      <c r="R516" s="132" t="n">
        <v>0</v>
      </c>
      <c r="S516" s="128" t="n">
        <v>0</v>
      </c>
      <c r="T516" s="132" t="n">
        <v>0</v>
      </c>
      <c r="U516" s="128" t="n">
        <v>0</v>
      </c>
      <c r="V516" s="128" t="n">
        <v>1</v>
      </c>
      <c r="W516" s="90" t="n">
        <f aca="false">IFERROR(O516/V516,0)</f>
        <v>5000</v>
      </c>
      <c r="X516" s="91" t="n">
        <f aca="false">O516/L516</f>
        <v>0.714285714285714</v>
      </c>
      <c r="Y516" s="92" t="str">
        <f aca="false">IFERROR(VLOOKUP(E:E,'Item Data Support Sheet'!A:J,6,0),0)</f>
        <v>FO017</v>
      </c>
      <c r="Z516" s="93" t="n">
        <f aca="false">IFERROR(VLOOKUP(E:E,'Item Data Support Sheet'!A:O,4,0),0)</f>
        <v>0</v>
      </c>
      <c r="AA516" s="93" t="n">
        <f aca="false">IFERROR(((N516)*(Z516/1000))+P516,0)</f>
        <v>0</v>
      </c>
      <c r="AB516" s="94" t="str">
        <f aca="false">IFERROR((O516*(Z516/1000)/(AA516))," ")</f>
        <v> </v>
      </c>
      <c r="AC516" s="95" t="n">
        <f aca="false">IFERROR((T516)/((T516)+O516),0)</f>
        <v>0</v>
      </c>
      <c r="AD516" s="96" t="n">
        <f aca="false">IFERROR(Q516/(Q516+N516),0)</f>
        <v>0</v>
      </c>
      <c r="AE516" s="91" t="n">
        <f aca="false">(N516-T516)/N516</f>
        <v>1</v>
      </c>
      <c r="AF516" s="97" t="n">
        <f aca="false">BR516</f>
        <v>2.66666666666667</v>
      </c>
      <c r="AG516" s="98" t="n">
        <f aca="false">K516-AF516</f>
        <v>5.33333333333333</v>
      </c>
      <c r="AH516" s="99" t="n">
        <f aca="false">IFERROR(AG516/K516," ")</f>
        <v>0.666666666666666</v>
      </c>
      <c r="AI516" s="100" t="n">
        <f aca="false">IFERROR(O516/K516,0)</f>
        <v>625</v>
      </c>
      <c r="AJ516" s="101" t="n">
        <f aca="false">VLOOKUP(D516,'Standard Cycle time'!C:D,2,0)</f>
        <v>3.5</v>
      </c>
      <c r="AK516" s="101" t="n">
        <f aca="false">AG516*V516*3600/O516</f>
        <v>3.84</v>
      </c>
      <c r="AL516" s="102" t="n">
        <f aca="false">AJ516/AK516</f>
        <v>0.911458333333334</v>
      </c>
      <c r="AM516" s="99" t="n">
        <f aca="false">AE516*AL516*AH516</f>
        <v>0.607638888888889</v>
      </c>
      <c r="AN516" s="103" t="s">
        <v>1098</v>
      </c>
      <c r="AO516" s="112"/>
      <c r="AP516" s="105" t="n">
        <v>40</v>
      </c>
      <c r="AQ516" s="105" t="n">
        <v>0</v>
      </c>
      <c r="AR516" s="105" t="n">
        <v>0</v>
      </c>
      <c r="AS516" s="105" t="n">
        <v>0</v>
      </c>
      <c r="AT516" s="105" t="n">
        <v>0</v>
      </c>
      <c r="AU516" s="105" t="n">
        <v>0</v>
      </c>
      <c r="AV516" s="105" t="n">
        <v>120</v>
      </c>
      <c r="AW516" s="105" t="n">
        <v>0</v>
      </c>
      <c r="AX516" s="105" t="n">
        <v>0</v>
      </c>
      <c r="AY516" s="105" t="n">
        <v>0</v>
      </c>
      <c r="AZ516" s="105" t="n">
        <v>0</v>
      </c>
      <c r="BA516" s="105" t="n">
        <v>0</v>
      </c>
      <c r="BB516" s="105" t="n">
        <v>0</v>
      </c>
      <c r="BC516" s="105" t="n">
        <v>0</v>
      </c>
      <c r="BD516" s="105" t="n">
        <v>0</v>
      </c>
      <c r="BE516" s="105" t="n">
        <v>0</v>
      </c>
      <c r="BF516" s="105" t="n">
        <v>0</v>
      </c>
      <c r="BG516" s="105" t="n">
        <v>0</v>
      </c>
      <c r="BH516" s="105" t="n">
        <v>0</v>
      </c>
      <c r="BI516" s="105" t="n">
        <v>0</v>
      </c>
      <c r="BJ516" s="105" t="n">
        <v>0</v>
      </c>
      <c r="BK516" s="105" t="n">
        <v>0</v>
      </c>
      <c r="BL516" s="105" t="n">
        <v>0</v>
      </c>
      <c r="BM516" s="105" t="n">
        <v>0</v>
      </c>
      <c r="BN516" s="105" t="n">
        <v>0</v>
      </c>
      <c r="BO516" s="105" t="n">
        <v>0</v>
      </c>
      <c r="BP516" s="105" t="n">
        <v>0</v>
      </c>
      <c r="BQ516" s="105" t="n">
        <v>0</v>
      </c>
      <c r="BR516" s="106" t="n">
        <v>2.66666666666667</v>
      </c>
      <c r="BS516" s="106" t="n">
        <v>2.71111111111111</v>
      </c>
      <c r="BT516" s="107"/>
      <c r="BU516" s="107"/>
      <c r="BV516" s="107"/>
      <c r="BW516" s="107"/>
      <c r="BX516" s="107"/>
      <c r="BY516" s="107"/>
      <c r="BZ516" s="107"/>
      <c r="CA516" s="107"/>
      <c r="CB516" s="107"/>
      <c r="CC516" s="107"/>
      <c r="CD516" s="107"/>
      <c r="CE516" s="107"/>
      <c r="CF516" s="107"/>
      <c r="CG516" s="107"/>
      <c r="CH516" s="107"/>
      <c r="CI516" s="107"/>
      <c r="CJ516" s="107"/>
      <c r="CK516" s="107"/>
      <c r="CL516" s="107"/>
      <c r="CM516" s="107"/>
      <c r="CN516" s="107"/>
      <c r="CO516" s="107"/>
      <c r="CP516" s="107"/>
      <c r="CQ516" s="107"/>
      <c r="CR516" s="107"/>
      <c r="CS516" s="107"/>
      <c r="CT516" s="107"/>
      <c r="CU516" s="107"/>
      <c r="CV516" s="107"/>
    </row>
    <row r="517" customFormat="false" ht="14.9" hidden="false" customHeight="false" outlineLevel="0" collapsed="false">
      <c r="A517" s="74" t="n">
        <f aca="false">MONTH(B517)</f>
        <v>9</v>
      </c>
      <c r="B517" s="135" t="n">
        <v>44453</v>
      </c>
      <c r="C517" s="128" t="s">
        <v>70</v>
      </c>
      <c r="D517" s="77" t="str">
        <f aca="false">IFERROR(VLOOKUP(E:E,'Item Data Support Sheet'!A:O,7,0),"")</f>
        <v>NIPPLE LASER MARKING</v>
      </c>
      <c r="E517" s="80" t="s">
        <v>932</v>
      </c>
      <c r="F517" s="122"/>
      <c r="G517" s="137"/>
      <c r="H517" s="79" t="str">
        <f aca="false">IFERROR(VLOOKUP(E:E,'Item Data Support Sheet'!A:O,2,0),"")</f>
        <v>NIPPLE S TYPE M SIZE PUNCHED LASER MARKED</v>
      </c>
      <c r="I517" s="80" t="s">
        <v>1099</v>
      </c>
      <c r="J517" s="80" t="s">
        <v>155</v>
      </c>
      <c r="K517" s="81" t="n">
        <v>8</v>
      </c>
      <c r="L517" s="124" t="n">
        <v>7000</v>
      </c>
      <c r="M517" s="83" t="n">
        <f aca="false">IFERROR(L517/K517,0)</f>
        <v>875</v>
      </c>
      <c r="N517" s="84" t="n">
        <f aca="false">+O517+Q517+T517+U517</f>
        <v>7200</v>
      </c>
      <c r="O517" s="85" t="n">
        <v>7200</v>
      </c>
      <c r="P517" s="86" t="n">
        <v>0</v>
      </c>
      <c r="Q517" s="86" t="n">
        <v>0</v>
      </c>
      <c r="R517" s="132" t="n">
        <v>0</v>
      </c>
      <c r="S517" s="128" t="n">
        <v>0</v>
      </c>
      <c r="T517" s="132" t="n">
        <v>0</v>
      </c>
      <c r="U517" s="128" t="n">
        <v>0</v>
      </c>
      <c r="V517" s="128" t="n">
        <v>1</v>
      </c>
      <c r="W517" s="90" t="n">
        <f aca="false">IFERROR(O517/V517,0)</f>
        <v>7200</v>
      </c>
      <c r="X517" s="91" t="n">
        <f aca="false">O517/L517</f>
        <v>1.02857142857143</v>
      </c>
      <c r="Y517" s="92" t="str">
        <f aca="false">IFERROR(VLOOKUP(E:E,'Item Data Support Sheet'!A:J,6,0),0)</f>
        <v>FO020</v>
      </c>
      <c r="Z517" s="93" t="n">
        <f aca="false">IFERROR(VLOOKUP(E:E,'Item Data Support Sheet'!A:O,4,0),0)</f>
        <v>0</v>
      </c>
      <c r="AA517" s="93" t="n">
        <f aca="false">IFERROR(((N517)*(Z517/1000))+P517,0)</f>
        <v>0</v>
      </c>
      <c r="AB517" s="94" t="str">
        <f aca="false">IFERROR((O517*(Z517/1000)/(AA517))," ")</f>
        <v> </v>
      </c>
      <c r="AC517" s="95" t="n">
        <f aca="false">IFERROR((T517)/((T517)+O517),0)</f>
        <v>0</v>
      </c>
      <c r="AD517" s="96" t="n">
        <f aca="false">IFERROR(Q517/(Q517+N517),0)</f>
        <v>0</v>
      </c>
      <c r="AE517" s="91" t="n">
        <f aca="false">(N517-T517)/N517</f>
        <v>1</v>
      </c>
      <c r="AF517" s="97" t="n">
        <f aca="false">BR517</f>
        <v>0.666666666666667</v>
      </c>
      <c r="AG517" s="98" t="n">
        <f aca="false">K517-AF517</f>
        <v>7.33333333333333</v>
      </c>
      <c r="AH517" s="99" t="n">
        <f aca="false">IFERROR(AG517/K517," ")</f>
        <v>0.916666666666667</v>
      </c>
      <c r="AI517" s="100" t="n">
        <f aca="false">IFERROR(O517/K517,0)</f>
        <v>900</v>
      </c>
      <c r="AJ517" s="101" t="n">
        <f aca="false">VLOOKUP(D517,'Standard Cycle time'!C:D,2,0)</f>
        <v>3.5</v>
      </c>
      <c r="AK517" s="101" t="n">
        <f aca="false">AG517*V517*3600/O517</f>
        <v>3.66666666666667</v>
      </c>
      <c r="AL517" s="102" t="n">
        <f aca="false">AJ517/AK517</f>
        <v>0.954545454545455</v>
      </c>
      <c r="AM517" s="99" t="n">
        <f aca="false">AE517*AL517*AH517</f>
        <v>0.875</v>
      </c>
      <c r="AN517" s="103" t="s">
        <v>1100</v>
      </c>
      <c r="AO517" s="112"/>
      <c r="AP517" s="105" t="n">
        <v>40</v>
      </c>
      <c r="AQ517" s="105" t="n">
        <v>0</v>
      </c>
      <c r="AR517" s="105" t="n">
        <v>0</v>
      </c>
      <c r="AS517" s="105" t="n">
        <v>0</v>
      </c>
      <c r="AT517" s="105" t="n">
        <v>0</v>
      </c>
      <c r="AU517" s="105" t="n">
        <v>0</v>
      </c>
      <c r="AV517" s="105" t="n">
        <v>0</v>
      </c>
      <c r="AW517" s="105" t="n">
        <v>0</v>
      </c>
      <c r="AX517" s="105" t="n">
        <v>0</v>
      </c>
      <c r="AY517" s="105" t="n">
        <v>0</v>
      </c>
      <c r="AZ517" s="105" t="n">
        <v>0</v>
      </c>
      <c r="BA517" s="105" t="n">
        <v>0</v>
      </c>
      <c r="BB517" s="105" t="n">
        <v>0</v>
      </c>
      <c r="BC517" s="105" t="n">
        <v>0</v>
      </c>
      <c r="BD517" s="105" t="n">
        <v>0</v>
      </c>
      <c r="BE517" s="105" t="n">
        <v>0</v>
      </c>
      <c r="BF517" s="105" t="n">
        <v>0</v>
      </c>
      <c r="BG517" s="105" t="n">
        <v>0</v>
      </c>
      <c r="BH517" s="105" t="n">
        <v>0</v>
      </c>
      <c r="BI517" s="105" t="n">
        <v>0</v>
      </c>
      <c r="BJ517" s="105" t="n">
        <v>0</v>
      </c>
      <c r="BK517" s="105" t="n">
        <v>0</v>
      </c>
      <c r="BL517" s="105" t="n">
        <v>0</v>
      </c>
      <c r="BM517" s="105" t="n">
        <v>0</v>
      </c>
      <c r="BN517" s="105" t="n">
        <v>0</v>
      </c>
      <c r="BO517" s="105" t="n">
        <v>0</v>
      </c>
      <c r="BP517" s="105" t="n">
        <v>0</v>
      </c>
      <c r="BQ517" s="105" t="n">
        <v>0</v>
      </c>
      <c r="BR517" s="106" t="n">
        <v>0.666666666666667</v>
      </c>
      <c r="BS517" s="106" t="n">
        <v>0.677777777777778</v>
      </c>
      <c r="BT517" s="107"/>
      <c r="BU517" s="107"/>
      <c r="BV517" s="107"/>
      <c r="BW517" s="107"/>
      <c r="BX517" s="107"/>
      <c r="BY517" s="107"/>
      <c r="BZ517" s="107"/>
      <c r="CA517" s="107"/>
      <c r="CB517" s="107"/>
      <c r="CC517" s="107"/>
      <c r="CD517" s="107"/>
      <c r="CE517" s="107"/>
      <c r="CF517" s="107"/>
      <c r="CG517" s="107"/>
      <c r="CH517" s="107"/>
      <c r="CI517" s="107"/>
      <c r="CJ517" s="107"/>
      <c r="CK517" s="107"/>
      <c r="CL517" s="107"/>
      <c r="CM517" s="107"/>
      <c r="CN517" s="107"/>
      <c r="CO517" s="107"/>
      <c r="CP517" s="107"/>
      <c r="CQ517" s="107"/>
      <c r="CR517" s="107"/>
      <c r="CS517" s="107"/>
      <c r="CT517" s="107"/>
      <c r="CU517" s="107"/>
      <c r="CV517" s="107"/>
    </row>
    <row r="518" customFormat="false" ht="14.9" hidden="false" customHeight="false" outlineLevel="0" collapsed="false">
      <c r="A518" s="74" t="n">
        <f aca="false">MONTH(B518)</f>
        <v>9</v>
      </c>
      <c r="B518" s="135" t="n">
        <v>44453</v>
      </c>
      <c r="C518" s="128" t="s">
        <v>70</v>
      </c>
      <c r="D518" s="77" t="str">
        <f aca="false">IFERROR(VLOOKUP(E:E,'Item Data Support Sheet'!A:O,7,0),"")</f>
        <v>HOOD MOLDED</v>
      </c>
      <c r="E518" s="80" t="s">
        <v>529</v>
      </c>
      <c r="F518" s="122"/>
      <c r="G518" s="137" t="s">
        <v>740</v>
      </c>
      <c r="H518" s="79" t="str">
        <f aca="false">IFERROR(VLOOKUP(E:E,'Item Data Support Sheet'!A:O,2,0),"")</f>
        <v>HOOD S TYPE MOLDED</v>
      </c>
      <c r="I518" s="80" t="s">
        <v>1101</v>
      </c>
      <c r="J518" s="80" t="s">
        <v>155</v>
      </c>
      <c r="K518" s="81" t="n">
        <v>8</v>
      </c>
      <c r="L518" s="124" t="n">
        <v>4137</v>
      </c>
      <c r="M518" s="83" t="n">
        <f aca="false">IFERROR(L518/K518,0)</f>
        <v>517.125</v>
      </c>
      <c r="N518" s="84" t="n">
        <f aca="false">+O518+Q518+T518+U518</f>
        <v>5204</v>
      </c>
      <c r="O518" s="85" t="n">
        <v>5200</v>
      </c>
      <c r="P518" s="86" t="n">
        <v>0</v>
      </c>
      <c r="Q518" s="86" t="n">
        <v>0</v>
      </c>
      <c r="R518" s="132" t="n">
        <v>0</v>
      </c>
      <c r="S518" s="128" t="n">
        <v>0</v>
      </c>
      <c r="T518" s="132" t="n">
        <v>4</v>
      </c>
      <c r="U518" s="128" t="n">
        <v>0</v>
      </c>
      <c r="V518" s="128" t="n">
        <v>1</v>
      </c>
      <c r="W518" s="90" t="n">
        <f aca="false">IFERROR(O518/V518,0)</f>
        <v>5200</v>
      </c>
      <c r="X518" s="91" t="n">
        <f aca="false">O518/L518</f>
        <v>1.25694948029973</v>
      </c>
      <c r="Y518" s="92" t="str">
        <f aca="false">IFERROR(VLOOKUP(E:E,'Item Data Support Sheet'!A:J,6,0),0)</f>
        <v>HMC</v>
      </c>
      <c r="Z518" s="93" t="n">
        <f aca="false">IFERROR(VLOOKUP(E:E,'Item Data Support Sheet'!A:O,4,0),0)</f>
        <v>8.6</v>
      </c>
      <c r="AA518" s="93" t="n">
        <f aca="false">IFERROR(((N518)*(Z518/1000))+P518,0)</f>
        <v>44.7544</v>
      </c>
      <c r="AB518" s="94" t="n">
        <f aca="false">IFERROR((O518*(Z518/1000)/(AA518))," ")</f>
        <v>0.999231360491929</v>
      </c>
      <c r="AC518" s="95" t="n">
        <f aca="false">IFERROR((T518)/((T518)+O518),0)</f>
        <v>0.000768639508070715</v>
      </c>
      <c r="AD518" s="96" t="n">
        <f aca="false">IFERROR(Q518/(Q518+N518),0)</f>
        <v>0</v>
      </c>
      <c r="AE518" s="91" t="n">
        <f aca="false">(N518-T518)/N518</f>
        <v>0.999231360491929</v>
      </c>
      <c r="AF518" s="97" t="n">
        <f aca="false">BR518</f>
        <v>0.666666666666667</v>
      </c>
      <c r="AG518" s="98" t="n">
        <f aca="false">K518-AF518</f>
        <v>7.33333333333333</v>
      </c>
      <c r="AH518" s="99" t="n">
        <f aca="false">IFERROR(AG518/K518," ")</f>
        <v>0.916666666666667</v>
      </c>
      <c r="AI518" s="100" t="n">
        <f aca="false">IFERROR(O518/K518,0)</f>
        <v>650</v>
      </c>
      <c r="AJ518" s="101" t="n">
        <f aca="false">VLOOKUP(D518,'Standard Cycle time'!C:D,2,0)</f>
        <v>6</v>
      </c>
      <c r="AK518" s="101" t="n">
        <f aca="false">AG518*V518*3600/O518</f>
        <v>5.07692307692308</v>
      </c>
      <c r="AL518" s="102" t="n">
        <f aca="false">AJ518/AK518</f>
        <v>1.18181818181818</v>
      </c>
      <c r="AM518" s="99" t="n">
        <f aca="false">AE518*AL518*AH518</f>
        <v>1.08250064053292</v>
      </c>
      <c r="AN518" s="103" t="n">
        <v>3218</v>
      </c>
      <c r="AO518" s="112"/>
      <c r="AP518" s="105" t="n">
        <v>40</v>
      </c>
      <c r="AQ518" s="105" t="n">
        <v>0</v>
      </c>
      <c r="AR518" s="105" t="n">
        <v>0</v>
      </c>
      <c r="AS518" s="105" t="n">
        <v>0</v>
      </c>
      <c r="AT518" s="105" t="n">
        <v>0</v>
      </c>
      <c r="AU518" s="105" t="n">
        <v>0</v>
      </c>
      <c r="AV518" s="105" t="n">
        <v>0</v>
      </c>
      <c r="AW518" s="105" t="n">
        <v>0</v>
      </c>
      <c r="AX518" s="105" t="n">
        <v>0</v>
      </c>
      <c r="AY518" s="105" t="n">
        <v>0</v>
      </c>
      <c r="AZ518" s="105" t="n">
        <v>0</v>
      </c>
      <c r="BA518" s="105" t="n">
        <v>0</v>
      </c>
      <c r="BB518" s="105" t="n">
        <v>0</v>
      </c>
      <c r="BC518" s="105" t="n">
        <v>0</v>
      </c>
      <c r="BD518" s="105" t="n">
        <v>0</v>
      </c>
      <c r="BE518" s="105" t="n">
        <v>0</v>
      </c>
      <c r="BF518" s="105" t="n">
        <v>0</v>
      </c>
      <c r="BG518" s="105" t="n">
        <v>0</v>
      </c>
      <c r="BH518" s="105" t="n">
        <v>0</v>
      </c>
      <c r="BI518" s="105" t="n">
        <v>0</v>
      </c>
      <c r="BJ518" s="105" t="n">
        <v>0</v>
      </c>
      <c r="BK518" s="105" t="n">
        <v>0</v>
      </c>
      <c r="BL518" s="105" t="n">
        <v>0</v>
      </c>
      <c r="BM518" s="105" t="n">
        <v>0</v>
      </c>
      <c r="BN518" s="105" t="n">
        <v>0</v>
      </c>
      <c r="BO518" s="105" t="n">
        <v>0</v>
      </c>
      <c r="BP518" s="105" t="n">
        <v>0</v>
      </c>
      <c r="BQ518" s="105" t="n">
        <v>0</v>
      </c>
      <c r="BR518" s="106" t="n">
        <v>0.666666666666667</v>
      </c>
      <c r="BS518" s="106" t="n">
        <v>0.677777777777778</v>
      </c>
      <c r="BT518" s="107"/>
      <c r="BU518" s="107"/>
      <c r="BV518" s="107"/>
      <c r="BW518" s="107"/>
      <c r="BX518" s="107"/>
      <c r="BY518" s="107"/>
      <c r="BZ518" s="107"/>
      <c r="CA518" s="107"/>
      <c r="CB518" s="107"/>
      <c r="CC518" s="107"/>
      <c r="CD518" s="107"/>
      <c r="CE518" s="107"/>
      <c r="CF518" s="107"/>
      <c r="CG518" s="107"/>
      <c r="CH518" s="107"/>
      <c r="CI518" s="107"/>
      <c r="CJ518" s="107"/>
      <c r="CK518" s="107"/>
      <c r="CL518" s="107"/>
      <c r="CM518" s="107"/>
      <c r="CN518" s="107"/>
      <c r="CO518" s="107"/>
      <c r="CP518" s="107"/>
      <c r="CQ518" s="107"/>
      <c r="CR518" s="107"/>
      <c r="CS518" s="107"/>
      <c r="CT518" s="107"/>
      <c r="CU518" s="107"/>
      <c r="CV518" s="107"/>
    </row>
    <row r="519" customFormat="false" ht="14.9" hidden="false" customHeight="false" outlineLevel="0" collapsed="false">
      <c r="A519" s="74" t="n">
        <f aca="false">MONTH(B519)</f>
        <v>9</v>
      </c>
      <c r="B519" s="135" t="n">
        <v>44453</v>
      </c>
      <c r="C519" s="128" t="s">
        <v>70</v>
      </c>
      <c r="D519" s="77" t="str">
        <f aca="false">IFERROR(VLOOKUP(E:E,'Item Data Support Sheet'!A:O,7,0),"")</f>
        <v>NIPPLE MOLDED</v>
      </c>
      <c r="E519" s="80" t="s">
        <v>661</v>
      </c>
      <c r="F519" s="122" t="s">
        <v>137</v>
      </c>
      <c r="G519" s="137" t="s">
        <v>138</v>
      </c>
      <c r="H519" s="79" t="str">
        <f aca="false">IFERROR(VLOOKUP(E:E,'Item Data Support Sheet'!A:O,2,0),"")</f>
        <v>NIPPLE S TYPE L SIZE INJECTION</v>
      </c>
      <c r="I519" s="80" t="s">
        <v>1102</v>
      </c>
      <c r="J519" s="80" t="s">
        <v>155</v>
      </c>
      <c r="K519" s="81" t="n">
        <v>8</v>
      </c>
      <c r="L519" s="124" t="n">
        <v>4815</v>
      </c>
      <c r="M519" s="83" t="n">
        <f aca="false">IFERROR(L519/K519,0)</f>
        <v>601.875</v>
      </c>
      <c r="N519" s="84" t="n">
        <f aca="false">+O519+Q519+T519+U519</f>
        <v>5440</v>
      </c>
      <c r="O519" s="85" t="n">
        <v>5350</v>
      </c>
      <c r="P519" s="86" t="n">
        <v>0</v>
      </c>
      <c r="Q519" s="86" t="n">
        <v>40</v>
      </c>
      <c r="R519" s="132" t="n">
        <v>0</v>
      </c>
      <c r="S519" s="128" t="n">
        <v>0</v>
      </c>
      <c r="T519" s="132" t="n">
        <v>50</v>
      </c>
      <c r="U519" s="128" t="n">
        <v>0</v>
      </c>
      <c r="V519" s="128" t="n">
        <v>1</v>
      </c>
      <c r="W519" s="90" t="n">
        <f aca="false">IFERROR(O519/V519,0)</f>
        <v>5350</v>
      </c>
      <c r="X519" s="91" t="n">
        <f aca="false">O519/L519</f>
        <v>1.11111111111111</v>
      </c>
      <c r="Y519" s="92" t="str">
        <f aca="false">IFERROR(VLOOKUP(E:E,'Item Data Support Sheet'!A:J,6,0),0)</f>
        <v>Silicon</v>
      </c>
      <c r="Z519" s="93" t="n">
        <f aca="false">IFERROR(VLOOKUP(E:E,'Item Data Support Sheet'!A:O,4,0),0)</f>
        <v>6.8</v>
      </c>
      <c r="AA519" s="93" t="n">
        <f aca="false">IFERROR(((N519)*(Z519/1000))+P519,0)</f>
        <v>36.992</v>
      </c>
      <c r="AB519" s="94" t="n">
        <f aca="false">IFERROR((O519*(Z519/1000)/(AA519))," ")</f>
        <v>0.983455882352941</v>
      </c>
      <c r="AC519" s="95" t="n">
        <f aca="false">IFERROR((T519)/((T519)+O519),0)</f>
        <v>0.00925925925925926</v>
      </c>
      <c r="AD519" s="96" t="n">
        <f aca="false">IFERROR(Q519/(Q519+N519),0)</f>
        <v>0.0072992700729927</v>
      </c>
      <c r="AE519" s="91" t="n">
        <f aca="false">(N519-T519)/N519</f>
        <v>0.990808823529412</v>
      </c>
      <c r="AF519" s="97" t="n">
        <f aca="false">BR519</f>
        <v>0</v>
      </c>
      <c r="AG519" s="98" t="n">
        <f aca="false">K519-AF519</f>
        <v>8</v>
      </c>
      <c r="AH519" s="99" t="n">
        <f aca="false">IFERROR(AG519/K519," ")</f>
        <v>1</v>
      </c>
      <c r="AI519" s="100" t="n">
        <f aca="false">IFERROR(O519/K519,0)</f>
        <v>668.75</v>
      </c>
      <c r="AJ519" s="101" t="n">
        <f aca="false">VLOOKUP(D519,'Standard Cycle time'!C:D,2,0)</f>
        <v>5.25</v>
      </c>
      <c r="AK519" s="101" t="n">
        <f aca="false">AG519*V519*3600/O519</f>
        <v>5.38317757009346</v>
      </c>
      <c r="AL519" s="102" t="n">
        <f aca="false">AJ519/AK519</f>
        <v>0.975260416666667</v>
      </c>
      <c r="AM519" s="99" t="n">
        <f aca="false">AE519*AL519*AH519</f>
        <v>0.966296626072304</v>
      </c>
      <c r="AN519" s="103" t="n">
        <v>3219</v>
      </c>
      <c r="AO519" s="112"/>
      <c r="AP519" s="105" t="n">
        <v>0</v>
      </c>
      <c r="AQ519" s="105" t="n">
        <v>0</v>
      </c>
      <c r="AR519" s="105" t="n">
        <v>0</v>
      </c>
      <c r="AS519" s="105" t="n">
        <v>0</v>
      </c>
      <c r="AT519" s="105" t="n">
        <v>0</v>
      </c>
      <c r="AU519" s="105" t="n">
        <v>0</v>
      </c>
      <c r="AV519" s="105" t="n">
        <v>0</v>
      </c>
      <c r="AW519" s="105" t="n">
        <v>0</v>
      </c>
      <c r="AX519" s="105" t="n">
        <v>0</v>
      </c>
      <c r="AY519" s="105" t="n">
        <v>0</v>
      </c>
      <c r="AZ519" s="105" t="n">
        <v>0</v>
      </c>
      <c r="BA519" s="105" t="n">
        <v>0</v>
      </c>
      <c r="BB519" s="105" t="n">
        <v>0</v>
      </c>
      <c r="BC519" s="105" t="n">
        <v>0</v>
      </c>
      <c r="BD519" s="105" t="n">
        <v>0</v>
      </c>
      <c r="BE519" s="105" t="n">
        <v>0</v>
      </c>
      <c r="BF519" s="105" t="n">
        <v>0</v>
      </c>
      <c r="BG519" s="105" t="n">
        <v>0</v>
      </c>
      <c r="BH519" s="105" t="n">
        <v>0</v>
      </c>
      <c r="BI519" s="105" t="n">
        <v>0</v>
      </c>
      <c r="BJ519" s="105" t="n">
        <v>0</v>
      </c>
      <c r="BK519" s="105" t="n">
        <v>0</v>
      </c>
      <c r="BL519" s="105" t="n">
        <v>0</v>
      </c>
      <c r="BM519" s="105" t="n">
        <v>0</v>
      </c>
      <c r="BN519" s="105" t="n">
        <v>0</v>
      </c>
      <c r="BO519" s="105" t="n">
        <v>0</v>
      </c>
      <c r="BP519" s="105" t="n">
        <v>0</v>
      </c>
      <c r="BQ519" s="105" t="n">
        <v>0</v>
      </c>
      <c r="BR519" s="106" t="n">
        <v>0</v>
      </c>
      <c r="BS519" s="106" t="n">
        <v>0</v>
      </c>
      <c r="BT519" s="107"/>
      <c r="BU519" s="107"/>
      <c r="BV519" s="107"/>
      <c r="BW519" s="107"/>
      <c r="BX519" s="107"/>
      <c r="BY519" s="107"/>
      <c r="BZ519" s="107"/>
      <c r="CA519" s="107"/>
      <c r="CB519" s="107"/>
      <c r="CC519" s="107"/>
      <c r="CD519" s="107"/>
      <c r="CE519" s="107"/>
      <c r="CF519" s="107"/>
      <c r="CG519" s="107"/>
      <c r="CH519" s="107"/>
      <c r="CI519" s="107"/>
      <c r="CJ519" s="107"/>
      <c r="CK519" s="107"/>
      <c r="CL519" s="107"/>
      <c r="CM519" s="107"/>
      <c r="CN519" s="107"/>
      <c r="CO519" s="107"/>
      <c r="CP519" s="107"/>
      <c r="CQ519" s="107"/>
      <c r="CR519" s="107"/>
      <c r="CS519" s="107"/>
      <c r="CT519" s="107"/>
      <c r="CU519" s="107"/>
      <c r="CV519" s="107"/>
    </row>
    <row r="520" customFormat="false" ht="14.9" hidden="false" customHeight="false" outlineLevel="0" collapsed="false">
      <c r="A520" s="74" t="n">
        <f aca="false">MONTH(B520)</f>
        <v>9</v>
      </c>
      <c r="B520" s="135" t="n">
        <v>44453</v>
      </c>
      <c r="C520" s="128" t="s">
        <v>70</v>
      </c>
      <c r="D520" s="77" t="str">
        <f aca="false">IFERROR(VLOOKUP(E:E,'Item Data Support Sheet'!A:O,7,0),"")</f>
        <v>BOTTLE MOLDED</v>
      </c>
      <c r="E520" s="80" t="s">
        <v>235</v>
      </c>
      <c r="F520" s="122" t="s">
        <v>216</v>
      </c>
      <c r="G520" s="137" t="s">
        <v>80</v>
      </c>
      <c r="H520" s="79" t="str">
        <f aca="false">IFERROR(VLOOKUP(E:E,'Item Data Support Sheet'!A:O,2,0),"")</f>
        <v>KPP 200 ML BOTTLE MOLDED</v>
      </c>
      <c r="I520" s="80" t="s">
        <v>1103</v>
      </c>
      <c r="J520" s="80" t="s">
        <v>155</v>
      </c>
      <c r="K520" s="81" t="n">
        <v>8</v>
      </c>
      <c r="L520" s="124" t="n">
        <v>2574</v>
      </c>
      <c r="M520" s="83" t="n">
        <f aca="false">IFERROR(L520/K520,0)</f>
        <v>321.75</v>
      </c>
      <c r="N520" s="84" t="n">
        <f aca="false">+O520+Q520+T520+U520</f>
        <v>2686</v>
      </c>
      <c r="O520" s="85" t="n">
        <v>2592</v>
      </c>
      <c r="P520" s="86" t="n">
        <v>0</v>
      </c>
      <c r="Q520" s="86" t="n">
        <v>40</v>
      </c>
      <c r="R520" s="132" t="n">
        <v>0</v>
      </c>
      <c r="S520" s="128" t="n">
        <v>0</v>
      </c>
      <c r="T520" s="132" t="n">
        <v>54</v>
      </c>
      <c r="U520" s="128" t="n">
        <v>0</v>
      </c>
      <c r="V520" s="128" t="n">
        <v>1</v>
      </c>
      <c r="W520" s="90" t="n">
        <f aca="false">IFERROR(O520/V520,0)</f>
        <v>2592</v>
      </c>
      <c r="X520" s="91" t="n">
        <f aca="false">O520/L520</f>
        <v>1.00699300699301</v>
      </c>
      <c r="Y520" s="92" t="str">
        <f aca="false">IFERROR(VLOOKUP(E:E,'Item Data Support Sheet'!A:J,6,0),0)</f>
        <v>HMC</v>
      </c>
      <c r="Z520" s="93" t="n">
        <f aca="false">IFERROR(VLOOKUP(E:E,'Item Data Support Sheet'!A:O,4,0),0)</f>
        <v>28.1</v>
      </c>
      <c r="AA520" s="93" t="n">
        <f aca="false">IFERROR(((N520)*(Z520/1000))+P520,0)</f>
        <v>75.4766</v>
      </c>
      <c r="AB520" s="94" t="n">
        <f aca="false">IFERROR((O520*(Z520/1000)/(AA520))," ")</f>
        <v>0.965003723008191</v>
      </c>
      <c r="AC520" s="95" t="n">
        <f aca="false">IFERROR((T520)/((T520)+O520),0)</f>
        <v>0.0204081632653061</v>
      </c>
      <c r="AD520" s="96" t="n">
        <f aca="false">IFERROR(Q520/(Q520+N520),0)</f>
        <v>0.0146735143066764</v>
      </c>
      <c r="AE520" s="91" t="n">
        <f aca="false">(N520-T520)/N520</f>
        <v>0.979895755770663</v>
      </c>
      <c r="AF520" s="97" t="n">
        <f aca="false">BR520</f>
        <v>0</v>
      </c>
      <c r="AG520" s="98" t="n">
        <f aca="false">K520-AF520</f>
        <v>8</v>
      </c>
      <c r="AH520" s="99" t="n">
        <f aca="false">IFERROR(AG520/K520," ")</f>
        <v>1</v>
      </c>
      <c r="AI520" s="100" t="n">
        <f aca="false">IFERROR(O520/K520,0)</f>
        <v>324</v>
      </c>
      <c r="AJ520" s="101" t="n">
        <f aca="false">VLOOKUP(D520,'Standard Cycle time'!C:D,2,0)</f>
        <v>9</v>
      </c>
      <c r="AK520" s="101" t="n">
        <f aca="false">AG520*V520*3600/O520</f>
        <v>11.1111111111111</v>
      </c>
      <c r="AL520" s="102" t="n">
        <f aca="false">AJ520/AK520</f>
        <v>0.81</v>
      </c>
      <c r="AM520" s="99" t="n">
        <f aca="false">AE520*AL520*AH520</f>
        <v>0.793715562174237</v>
      </c>
      <c r="AN520" s="103" t="n">
        <v>3220</v>
      </c>
      <c r="AO520" s="112"/>
      <c r="AP520" s="105" t="n">
        <v>0</v>
      </c>
      <c r="AQ520" s="105" t="n">
        <v>0</v>
      </c>
      <c r="AR520" s="105" t="n">
        <v>0</v>
      </c>
      <c r="AS520" s="105" t="n">
        <v>0</v>
      </c>
      <c r="AT520" s="105" t="n">
        <v>0</v>
      </c>
      <c r="AU520" s="105" t="n">
        <v>0</v>
      </c>
      <c r="AV520" s="105" t="n">
        <v>0</v>
      </c>
      <c r="AW520" s="105" t="n">
        <v>0</v>
      </c>
      <c r="AX520" s="105" t="n">
        <v>0</v>
      </c>
      <c r="AY520" s="105" t="n">
        <v>0</v>
      </c>
      <c r="AZ520" s="105" t="n">
        <v>0</v>
      </c>
      <c r="BA520" s="105" t="n">
        <v>0</v>
      </c>
      <c r="BB520" s="105" t="n">
        <v>0</v>
      </c>
      <c r="BC520" s="105" t="n">
        <v>0</v>
      </c>
      <c r="BD520" s="105" t="n">
        <v>0</v>
      </c>
      <c r="BE520" s="105" t="n">
        <v>0</v>
      </c>
      <c r="BF520" s="105" t="n">
        <v>0</v>
      </c>
      <c r="BG520" s="105" t="n">
        <v>0</v>
      </c>
      <c r="BH520" s="105" t="n">
        <v>0</v>
      </c>
      <c r="BI520" s="105" t="n">
        <v>0</v>
      </c>
      <c r="BJ520" s="105" t="n">
        <v>0</v>
      </c>
      <c r="BK520" s="105" t="n">
        <v>0</v>
      </c>
      <c r="BL520" s="105" t="n">
        <v>0</v>
      </c>
      <c r="BM520" s="105" t="n">
        <v>0</v>
      </c>
      <c r="BN520" s="105" t="n">
        <v>0</v>
      </c>
      <c r="BO520" s="105" t="n">
        <v>0</v>
      </c>
      <c r="BP520" s="105" t="n">
        <v>0</v>
      </c>
      <c r="BQ520" s="105" t="n">
        <v>0</v>
      </c>
      <c r="BR520" s="106" t="n">
        <v>0</v>
      </c>
      <c r="BS520" s="106" t="n">
        <v>0</v>
      </c>
      <c r="BT520" s="107"/>
      <c r="BU520" s="107"/>
      <c r="BV520" s="107"/>
      <c r="BW520" s="107"/>
      <c r="BX520" s="107"/>
      <c r="BY520" s="107"/>
      <c r="BZ520" s="107"/>
      <c r="CA520" s="107"/>
      <c r="CB520" s="107"/>
      <c r="CC520" s="107"/>
      <c r="CD520" s="107"/>
      <c r="CE520" s="107"/>
      <c r="CF520" s="107"/>
      <c r="CG520" s="107"/>
      <c r="CH520" s="107"/>
      <c r="CI520" s="107"/>
      <c r="CJ520" s="107"/>
      <c r="CK520" s="107"/>
      <c r="CL520" s="107"/>
      <c r="CM520" s="107"/>
      <c r="CN520" s="107"/>
      <c r="CO520" s="107"/>
      <c r="CP520" s="107"/>
      <c r="CQ520" s="107"/>
      <c r="CR520" s="107"/>
      <c r="CS520" s="107"/>
      <c r="CT520" s="107"/>
      <c r="CU520" s="107"/>
      <c r="CV520" s="107"/>
    </row>
    <row r="521" customFormat="false" ht="14.9" hidden="false" customHeight="false" outlineLevel="0" collapsed="false">
      <c r="A521" s="74" t="n">
        <f aca="false">MONTH(B521)</f>
        <v>9</v>
      </c>
      <c r="B521" s="135" t="n">
        <v>44453</v>
      </c>
      <c r="C521" s="128" t="s">
        <v>70</v>
      </c>
      <c r="D521" s="77" t="str">
        <f aca="false">IFERROR(VLOOKUP(E:E,'Item Data Support Sheet'!A:O,7,0),"")</f>
        <v>BOTTLE PRINTED</v>
      </c>
      <c r="E521" s="80" t="s">
        <v>320</v>
      </c>
      <c r="F521" s="122"/>
      <c r="G521" s="137"/>
      <c r="H521" s="79" t="str">
        <f aca="false">IFERROR(VLOOKUP(E:E,'Item Data Support Sheet'!A:O,2,0),"")</f>
        <v>KPP 200 ML BOTTLE PRINTED</v>
      </c>
      <c r="I521" s="80" t="s">
        <v>1104</v>
      </c>
      <c r="J521" s="80" t="s">
        <v>155</v>
      </c>
      <c r="K521" s="81" t="n">
        <v>8</v>
      </c>
      <c r="L521" s="124" t="n">
        <v>5100</v>
      </c>
      <c r="M521" s="83" t="n">
        <f aca="false">IFERROR(L521/K521,0)</f>
        <v>637.5</v>
      </c>
      <c r="N521" s="84" t="n">
        <f aca="false">+O521+Q521+T521+U521</f>
        <v>4024</v>
      </c>
      <c r="O521" s="85" t="n">
        <v>3996</v>
      </c>
      <c r="P521" s="86" t="n">
        <v>0</v>
      </c>
      <c r="Q521" s="86" t="n">
        <v>0</v>
      </c>
      <c r="R521" s="132" t="n">
        <v>32</v>
      </c>
      <c r="S521" s="128" t="n">
        <v>0</v>
      </c>
      <c r="T521" s="132" t="n">
        <v>28</v>
      </c>
      <c r="U521" s="128" t="n">
        <v>0</v>
      </c>
      <c r="V521" s="128" t="n">
        <v>5</v>
      </c>
      <c r="W521" s="90" t="n">
        <f aca="false">IFERROR(O521/V521,0)</f>
        <v>799.2</v>
      </c>
      <c r="X521" s="91" t="n">
        <f aca="false">O521/L521</f>
        <v>0.783529411764706</v>
      </c>
      <c r="Y521" s="92" t="str">
        <f aca="false">IFERROR(VLOOKUP(E:E,'Item Data Support Sheet'!A:J,6,0),0)</f>
        <v>FO002</v>
      </c>
      <c r="Z521" s="93" t="n">
        <f aca="false">IFERROR(VLOOKUP(E:E,'Item Data Support Sheet'!A:O,4,0),0)</f>
        <v>0</v>
      </c>
      <c r="AA521" s="93" t="n">
        <f aca="false">IFERROR(((N521)*(Z521/1000))+P521,0)</f>
        <v>0</v>
      </c>
      <c r="AB521" s="94" t="str">
        <f aca="false">IFERROR((O521*(Z521/1000)/(AA521))," ")</f>
        <v> </v>
      </c>
      <c r="AC521" s="95" t="n">
        <f aca="false">IFERROR((T521)/((T521)+O521),0)</f>
        <v>0.00695825049701789</v>
      </c>
      <c r="AD521" s="96" t="n">
        <f aca="false">IFERROR(Q521/(Q521+N521),0)</f>
        <v>0</v>
      </c>
      <c r="AE521" s="91" t="n">
        <f aca="false">(N521-T521)/N521</f>
        <v>0.993041749502982</v>
      </c>
      <c r="AF521" s="97" t="n">
        <f aca="false">BR521</f>
        <v>0.666666666666667</v>
      </c>
      <c r="AG521" s="98" t="n">
        <f aca="false">K521-AF521</f>
        <v>7.33333333333333</v>
      </c>
      <c r="AH521" s="99" t="n">
        <f aca="false">IFERROR(AG521/K521," ")</f>
        <v>0.916666666666667</v>
      </c>
      <c r="AI521" s="100" t="n">
        <f aca="false">IFERROR(O521/K521,0)</f>
        <v>499.5</v>
      </c>
      <c r="AJ521" s="101" t="n">
        <f aca="false">VLOOKUP(D521,'Standard Cycle time'!C:D,2,0)</f>
        <v>32.4</v>
      </c>
      <c r="AK521" s="101" t="n">
        <f aca="false">AG521*V521*3600/O521</f>
        <v>33.033033033033</v>
      </c>
      <c r="AL521" s="102" t="n">
        <f aca="false">AJ521/AK521</f>
        <v>0.980836363636363</v>
      </c>
      <c r="AM521" s="99" t="n">
        <f aca="false">AE521*AL521*AH521</f>
        <v>0.892843836978131</v>
      </c>
      <c r="AN521" s="103" t="s">
        <v>869</v>
      </c>
      <c r="AO521" s="112" t="s">
        <v>1105</v>
      </c>
      <c r="AP521" s="105" t="n">
        <v>40</v>
      </c>
      <c r="AQ521" s="105" t="n">
        <v>0</v>
      </c>
      <c r="AR521" s="105" t="n">
        <v>0</v>
      </c>
      <c r="AS521" s="105" t="n">
        <v>0</v>
      </c>
      <c r="AT521" s="105" t="n">
        <v>0</v>
      </c>
      <c r="AU521" s="105" t="n">
        <v>0</v>
      </c>
      <c r="AV521" s="105" t="n">
        <v>0</v>
      </c>
      <c r="AW521" s="105" t="n">
        <v>0</v>
      </c>
      <c r="AX521" s="105" t="n">
        <v>0</v>
      </c>
      <c r="AY521" s="105" t="n">
        <v>0</v>
      </c>
      <c r="AZ521" s="105" t="n">
        <v>0</v>
      </c>
      <c r="BA521" s="105" t="n">
        <v>0</v>
      </c>
      <c r="BB521" s="105" t="n">
        <v>0</v>
      </c>
      <c r="BC521" s="105" t="n">
        <v>0</v>
      </c>
      <c r="BD521" s="105" t="n">
        <v>0</v>
      </c>
      <c r="BE521" s="105" t="n">
        <v>0</v>
      </c>
      <c r="BF521" s="105" t="n">
        <v>0</v>
      </c>
      <c r="BG521" s="105" t="n">
        <v>0</v>
      </c>
      <c r="BH521" s="105" t="n">
        <v>0</v>
      </c>
      <c r="BI521" s="105" t="n">
        <v>0</v>
      </c>
      <c r="BJ521" s="105" t="n">
        <v>0</v>
      </c>
      <c r="BK521" s="105" t="n">
        <v>0</v>
      </c>
      <c r="BL521" s="105" t="n">
        <v>0</v>
      </c>
      <c r="BM521" s="105" t="n">
        <v>0</v>
      </c>
      <c r="BN521" s="105" t="n">
        <v>0</v>
      </c>
      <c r="BO521" s="105" t="n">
        <v>0</v>
      </c>
      <c r="BP521" s="105" t="n">
        <v>0</v>
      </c>
      <c r="BQ521" s="105" t="n">
        <v>0</v>
      </c>
      <c r="BR521" s="106" t="n">
        <v>0.666666666666667</v>
      </c>
      <c r="BS521" s="106" t="n">
        <v>0.677777777777778</v>
      </c>
      <c r="BT521" s="107"/>
      <c r="BU521" s="107"/>
      <c r="BV521" s="107"/>
      <c r="BW521" s="107"/>
      <c r="BX521" s="107"/>
      <c r="BY521" s="107"/>
      <c r="BZ521" s="107"/>
      <c r="CA521" s="107"/>
      <c r="CB521" s="107"/>
      <c r="CC521" s="107"/>
      <c r="CD521" s="107"/>
      <c r="CE521" s="107"/>
      <c r="CF521" s="107"/>
      <c r="CG521" s="107"/>
      <c r="CH521" s="107"/>
      <c r="CI521" s="107"/>
      <c r="CJ521" s="107"/>
      <c r="CK521" s="107"/>
      <c r="CL521" s="107"/>
      <c r="CM521" s="107"/>
      <c r="CN521" s="107"/>
      <c r="CO521" s="107"/>
      <c r="CP521" s="107"/>
      <c r="CQ521" s="107"/>
      <c r="CR521" s="107"/>
      <c r="CS521" s="107"/>
      <c r="CT521" s="107"/>
      <c r="CU521" s="107"/>
      <c r="CV521" s="107"/>
    </row>
    <row r="522" customFormat="false" ht="14.9" hidden="false" customHeight="false" outlineLevel="0" collapsed="false">
      <c r="A522" s="74" t="n">
        <f aca="false">MONTH(B522)</f>
        <v>9</v>
      </c>
      <c r="B522" s="135" t="n">
        <v>44453</v>
      </c>
      <c r="C522" s="128" t="s">
        <v>152</v>
      </c>
      <c r="D522" s="77" t="str">
        <f aca="false">IFERROR(VLOOKUP(E:E,'Item Data Support Sheet'!A:O,7,0),"")</f>
        <v>BOTTLE MOLDED</v>
      </c>
      <c r="E522" s="80" t="s">
        <v>235</v>
      </c>
      <c r="F522" s="122" t="s">
        <v>216</v>
      </c>
      <c r="G522" s="137" t="s">
        <v>80</v>
      </c>
      <c r="H522" s="79" t="str">
        <f aca="false">IFERROR(VLOOKUP(E:E,'Item Data Support Sheet'!A:O,2,0),"")</f>
        <v>KPP 200 ML BOTTLE MOLDED</v>
      </c>
      <c r="I522" s="80" t="s">
        <v>1106</v>
      </c>
      <c r="J522" s="80" t="s">
        <v>815</v>
      </c>
      <c r="K522" s="81" t="n">
        <v>8</v>
      </c>
      <c r="L522" s="124" t="n">
        <v>2574</v>
      </c>
      <c r="M522" s="83" t="n">
        <f aca="false">IFERROR(L522/K522,0)</f>
        <v>321.75</v>
      </c>
      <c r="N522" s="84" t="n">
        <f aca="false">+O522+Q522+T522+U522</f>
        <v>2762</v>
      </c>
      <c r="O522" s="85" t="n">
        <v>2700</v>
      </c>
      <c r="P522" s="86" t="n">
        <v>0.18</v>
      </c>
      <c r="Q522" s="86" t="n">
        <v>18</v>
      </c>
      <c r="R522" s="132" t="n">
        <v>0</v>
      </c>
      <c r="S522" s="128" t="n">
        <v>0</v>
      </c>
      <c r="T522" s="132" t="n">
        <v>36</v>
      </c>
      <c r="U522" s="128" t="n">
        <v>8</v>
      </c>
      <c r="V522" s="128" t="n">
        <v>1</v>
      </c>
      <c r="W522" s="90" t="n">
        <f aca="false">IFERROR(O522/V522,0)</f>
        <v>2700</v>
      </c>
      <c r="X522" s="91" t="n">
        <f aca="false">O522/L522</f>
        <v>1.04895104895105</v>
      </c>
      <c r="Y522" s="92" t="str">
        <f aca="false">IFERROR(VLOOKUP(E:E,'Item Data Support Sheet'!A:J,6,0),0)</f>
        <v>HMC</v>
      </c>
      <c r="Z522" s="93" t="n">
        <f aca="false">IFERROR(VLOOKUP(E:E,'Item Data Support Sheet'!A:O,4,0),0)</f>
        <v>28.1</v>
      </c>
      <c r="AA522" s="93" t="n">
        <f aca="false">IFERROR(((N522)*(Z522/1000))+P522,0)</f>
        <v>77.7922</v>
      </c>
      <c r="AB522" s="94" t="n">
        <f aca="false">IFERROR((O522*(Z522/1000)/(AA522))," ")</f>
        <v>0.975290581832112</v>
      </c>
      <c r="AC522" s="95" t="n">
        <f aca="false">IFERROR((T522)/((T522)+O522),0)</f>
        <v>0.0131578947368421</v>
      </c>
      <c r="AD522" s="96" t="n">
        <f aca="false">IFERROR(Q522/(Q522+N522),0)</f>
        <v>0.00647482014388489</v>
      </c>
      <c r="AE522" s="91" t="n">
        <f aca="false">(N522-T522)/N522</f>
        <v>0.986965966690804</v>
      </c>
      <c r="AF522" s="97" t="n">
        <f aca="false">BR522</f>
        <v>0</v>
      </c>
      <c r="AG522" s="98" t="n">
        <f aca="false">K522-AF522</f>
        <v>8</v>
      </c>
      <c r="AH522" s="99" t="n">
        <f aca="false">IFERROR(AG522/K522," ")</f>
        <v>1</v>
      </c>
      <c r="AI522" s="100" t="n">
        <f aca="false">IFERROR(O522/K522,0)</f>
        <v>337.5</v>
      </c>
      <c r="AJ522" s="101" t="n">
        <f aca="false">VLOOKUP(D522,'Standard Cycle time'!C:D,2,0)</f>
        <v>9</v>
      </c>
      <c r="AK522" s="101" t="n">
        <f aca="false">AG522*V522*3600/O522</f>
        <v>10.6666666666667</v>
      </c>
      <c r="AL522" s="102" t="n">
        <f aca="false">AJ522/AK522</f>
        <v>0.84375</v>
      </c>
      <c r="AM522" s="99" t="n">
        <f aca="false">AE522*AL522*AH522</f>
        <v>0.832752534395366</v>
      </c>
      <c r="AN522" s="103" t="n">
        <v>3224</v>
      </c>
      <c r="AO522" s="112"/>
      <c r="AP522" s="105" t="n">
        <v>0</v>
      </c>
      <c r="AQ522" s="105" t="n">
        <v>0</v>
      </c>
      <c r="AR522" s="105" t="n">
        <v>0</v>
      </c>
      <c r="AS522" s="105" t="n">
        <v>0</v>
      </c>
      <c r="AT522" s="105" t="n">
        <v>0</v>
      </c>
      <c r="AU522" s="105" t="n">
        <v>0</v>
      </c>
      <c r="AV522" s="105" t="n">
        <v>0</v>
      </c>
      <c r="AW522" s="105" t="n">
        <v>0</v>
      </c>
      <c r="AX522" s="105" t="n">
        <v>0</v>
      </c>
      <c r="AY522" s="105" t="n">
        <v>0</v>
      </c>
      <c r="AZ522" s="105" t="n">
        <v>0</v>
      </c>
      <c r="BA522" s="105" t="n">
        <v>0</v>
      </c>
      <c r="BB522" s="105" t="n">
        <v>0</v>
      </c>
      <c r="BC522" s="105" t="n">
        <v>0</v>
      </c>
      <c r="BD522" s="105" t="n">
        <v>0</v>
      </c>
      <c r="BE522" s="105" t="n">
        <v>0</v>
      </c>
      <c r="BF522" s="105" t="n">
        <v>0</v>
      </c>
      <c r="BG522" s="105" t="n">
        <v>0</v>
      </c>
      <c r="BH522" s="105" t="n">
        <v>0</v>
      </c>
      <c r="BI522" s="105" t="n">
        <v>0</v>
      </c>
      <c r="BJ522" s="105" t="n">
        <v>0</v>
      </c>
      <c r="BK522" s="105" t="n">
        <v>0</v>
      </c>
      <c r="BL522" s="105" t="n">
        <v>0</v>
      </c>
      <c r="BM522" s="105" t="n">
        <v>0</v>
      </c>
      <c r="BN522" s="105" t="n">
        <v>0</v>
      </c>
      <c r="BO522" s="105" t="n">
        <v>0</v>
      </c>
      <c r="BP522" s="105" t="n">
        <v>0</v>
      </c>
      <c r="BQ522" s="105" t="n">
        <v>0</v>
      </c>
      <c r="BR522" s="106" t="n">
        <v>0</v>
      </c>
      <c r="BS522" s="106" t="n">
        <v>0</v>
      </c>
      <c r="BT522" s="107"/>
      <c r="BU522" s="107"/>
      <c r="BV522" s="107"/>
      <c r="BW522" s="107"/>
      <c r="BX522" s="107"/>
      <c r="BY522" s="107"/>
      <c r="BZ522" s="107"/>
      <c r="CA522" s="107"/>
      <c r="CB522" s="107"/>
      <c r="CC522" s="107"/>
      <c r="CD522" s="107"/>
      <c r="CE522" s="107"/>
      <c r="CF522" s="107"/>
      <c r="CG522" s="107"/>
      <c r="CH522" s="107"/>
      <c r="CI522" s="107"/>
      <c r="CJ522" s="107"/>
      <c r="CK522" s="107"/>
      <c r="CL522" s="107"/>
      <c r="CM522" s="107"/>
      <c r="CN522" s="107"/>
      <c r="CO522" s="107"/>
      <c r="CP522" s="107"/>
      <c r="CQ522" s="107"/>
      <c r="CR522" s="107"/>
      <c r="CS522" s="107"/>
      <c r="CT522" s="107"/>
      <c r="CU522" s="107"/>
      <c r="CV522" s="107"/>
    </row>
    <row r="523" customFormat="false" ht="14.9" hidden="false" customHeight="false" outlineLevel="0" collapsed="false">
      <c r="A523" s="74" t="n">
        <f aca="false">MONTH(B523)</f>
        <v>9</v>
      </c>
      <c r="B523" s="135" t="n">
        <v>44453</v>
      </c>
      <c r="C523" s="128" t="s">
        <v>152</v>
      </c>
      <c r="D523" s="77" t="str">
        <f aca="false">IFERROR(VLOOKUP(E:E,'Item Data Support Sheet'!A:O,7,0),"")</f>
        <v>HOOD MOLDED</v>
      </c>
      <c r="E523" s="80" t="s">
        <v>529</v>
      </c>
      <c r="F523" s="122"/>
      <c r="G523" s="137" t="s">
        <v>740</v>
      </c>
      <c r="H523" s="79" t="str">
        <f aca="false">IFERROR(VLOOKUP(E:E,'Item Data Support Sheet'!A:O,2,0),"")</f>
        <v>HOOD S TYPE MOLDED</v>
      </c>
      <c r="I523" s="80" t="s">
        <v>1107</v>
      </c>
      <c r="J523" s="80" t="s">
        <v>815</v>
      </c>
      <c r="K523" s="81" t="n">
        <v>8</v>
      </c>
      <c r="L523" s="124" t="n">
        <v>4137</v>
      </c>
      <c r="M523" s="83" t="n">
        <f aca="false">IFERROR(L523/K523,0)</f>
        <v>517.125</v>
      </c>
      <c r="N523" s="84" t="n">
        <f aca="false">+O523+Q523+T523+U523</f>
        <v>5312</v>
      </c>
      <c r="O523" s="85" t="n">
        <v>5300</v>
      </c>
      <c r="P523" s="86" t="n">
        <v>0</v>
      </c>
      <c r="Q523" s="86" t="n">
        <v>0</v>
      </c>
      <c r="R523" s="132" t="n">
        <v>0</v>
      </c>
      <c r="S523" s="128" t="n">
        <v>0</v>
      </c>
      <c r="T523" s="132" t="n">
        <v>4</v>
      </c>
      <c r="U523" s="128" t="n">
        <v>8</v>
      </c>
      <c r="V523" s="128" t="n">
        <v>1</v>
      </c>
      <c r="W523" s="90" t="n">
        <f aca="false">IFERROR(O523/V523,0)</f>
        <v>5300</v>
      </c>
      <c r="X523" s="91" t="n">
        <f aca="false">O523/L523</f>
        <v>1.28112158569011</v>
      </c>
      <c r="Y523" s="92" t="str">
        <f aca="false">IFERROR(VLOOKUP(E:E,'Item Data Support Sheet'!A:J,6,0),0)</f>
        <v>HMC</v>
      </c>
      <c r="Z523" s="93" t="n">
        <f aca="false">IFERROR(VLOOKUP(E:E,'Item Data Support Sheet'!A:O,4,0),0)</f>
        <v>8.6</v>
      </c>
      <c r="AA523" s="93" t="n">
        <f aca="false">IFERROR(((N523)*(Z523/1000))+P523,0)</f>
        <v>45.6832</v>
      </c>
      <c r="AB523" s="94" t="n">
        <f aca="false">IFERROR((O523*(Z523/1000)/(AA523))," ")</f>
        <v>0.997740963855422</v>
      </c>
      <c r="AC523" s="95" t="n">
        <f aca="false">IFERROR((T523)/((T523)+O523),0)</f>
        <v>0.000754147812971342</v>
      </c>
      <c r="AD523" s="96" t="n">
        <f aca="false">IFERROR(Q523/(Q523+N523),0)</f>
        <v>0</v>
      </c>
      <c r="AE523" s="91" t="n">
        <f aca="false">(N523-T523)/N523</f>
        <v>0.999246987951807</v>
      </c>
      <c r="AF523" s="97" t="n">
        <f aca="false">BR523</f>
        <v>0</v>
      </c>
      <c r="AG523" s="98" t="n">
        <f aca="false">K523-AF523</f>
        <v>8</v>
      </c>
      <c r="AH523" s="99" t="n">
        <f aca="false">IFERROR(AG523/K523," ")</f>
        <v>1</v>
      </c>
      <c r="AI523" s="100" t="n">
        <f aca="false">IFERROR(O523/K523,0)</f>
        <v>662.5</v>
      </c>
      <c r="AJ523" s="101" t="n">
        <f aca="false">VLOOKUP(D523,'Standard Cycle time'!C:D,2,0)</f>
        <v>6</v>
      </c>
      <c r="AK523" s="101" t="n">
        <f aca="false">AG523*V523*3600/O523</f>
        <v>5.43396226415094</v>
      </c>
      <c r="AL523" s="102" t="n">
        <f aca="false">AJ523/AK523</f>
        <v>1.10416666666667</v>
      </c>
      <c r="AM523" s="99" t="n">
        <f aca="false">AE523*AL523*AH523</f>
        <v>1.10333521586345</v>
      </c>
      <c r="AN523" s="103" t="n">
        <v>3225</v>
      </c>
      <c r="AO523" s="112"/>
      <c r="AP523" s="105" t="n">
        <v>0</v>
      </c>
      <c r="AQ523" s="105" t="n">
        <v>0</v>
      </c>
      <c r="AR523" s="105" t="n">
        <v>0</v>
      </c>
      <c r="AS523" s="105" t="n">
        <v>0</v>
      </c>
      <c r="AT523" s="105" t="n">
        <v>0</v>
      </c>
      <c r="AU523" s="105" t="n">
        <v>0</v>
      </c>
      <c r="AV523" s="105" t="n">
        <v>0</v>
      </c>
      <c r="AW523" s="105" t="n">
        <v>0</v>
      </c>
      <c r="AX523" s="105" t="n">
        <v>0</v>
      </c>
      <c r="AY523" s="105" t="n">
        <v>0</v>
      </c>
      <c r="AZ523" s="105" t="n">
        <v>0</v>
      </c>
      <c r="BA523" s="105" t="n">
        <v>0</v>
      </c>
      <c r="BB523" s="105" t="n">
        <v>0</v>
      </c>
      <c r="BC523" s="105" t="n">
        <v>0</v>
      </c>
      <c r="BD523" s="105" t="n">
        <v>0</v>
      </c>
      <c r="BE523" s="105" t="n">
        <v>0</v>
      </c>
      <c r="BF523" s="105" t="n">
        <v>0</v>
      </c>
      <c r="BG523" s="105" t="n">
        <v>0</v>
      </c>
      <c r="BH523" s="105" t="n">
        <v>0</v>
      </c>
      <c r="BI523" s="105" t="n">
        <v>0</v>
      </c>
      <c r="BJ523" s="105" t="n">
        <v>0</v>
      </c>
      <c r="BK523" s="105" t="n">
        <v>0</v>
      </c>
      <c r="BL523" s="105" t="n">
        <v>0</v>
      </c>
      <c r="BM523" s="105" t="n">
        <v>0</v>
      </c>
      <c r="BN523" s="105" t="n">
        <v>0</v>
      </c>
      <c r="BO523" s="105" t="n">
        <v>0</v>
      </c>
      <c r="BP523" s="105" t="n">
        <v>0</v>
      </c>
      <c r="BQ523" s="105" t="n">
        <v>0</v>
      </c>
      <c r="BR523" s="106" t="n">
        <v>0</v>
      </c>
      <c r="BS523" s="106" t="n">
        <v>0</v>
      </c>
      <c r="BT523" s="107"/>
      <c r="BU523" s="107"/>
      <c r="BV523" s="107"/>
      <c r="BW523" s="107"/>
      <c r="BX523" s="107"/>
      <c r="BY523" s="107"/>
      <c r="BZ523" s="107"/>
      <c r="CA523" s="107"/>
      <c r="CB523" s="107"/>
      <c r="CC523" s="107"/>
      <c r="CD523" s="107"/>
      <c r="CE523" s="107"/>
      <c r="CF523" s="107"/>
      <c r="CG523" s="107"/>
      <c r="CH523" s="107"/>
      <c r="CI523" s="107"/>
      <c r="CJ523" s="107"/>
      <c r="CK523" s="107"/>
      <c r="CL523" s="107"/>
      <c r="CM523" s="107"/>
      <c r="CN523" s="107"/>
      <c r="CO523" s="107"/>
      <c r="CP523" s="107"/>
      <c r="CQ523" s="107"/>
      <c r="CR523" s="107"/>
      <c r="CS523" s="107"/>
      <c r="CT523" s="107"/>
      <c r="CU523" s="107"/>
      <c r="CV523" s="107"/>
    </row>
    <row r="524" customFormat="false" ht="14.9" hidden="false" customHeight="false" outlineLevel="0" collapsed="false">
      <c r="A524" s="74" t="n">
        <f aca="false">MONTH(B524)</f>
        <v>9</v>
      </c>
      <c r="B524" s="135" t="n">
        <v>44453</v>
      </c>
      <c r="C524" s="128" t="s">
        <v>152</v>
      </c>
      <c r="D524" s="77" t="str">
        <f aca="false">IFERROR(VLOOKUP(E:E,'Item Data Support Sheet'!A:O,7,0),"")</f>
        <v>NIPPLE MOLDED</v>
      </c>
      <c r="E524" s="80" t="s">
        <v>661</v>
      </c>
      <c r="F524" s="122" t="s">
        <v>137</v>
      </c>
      <c r="G524" s="137" t="s">
        <v>138</v>
      </c>
      <c r="H524" s="79" t="str">
        <f aca="false">IFERROR(VLOOKUP(E:E,'Item Data Support Sheet'!A:O,2,0),"")</f>
        <v>NIPPLE S TYPE L SIZE INJECTION</v>
      </c>
      <c r="I524" s="80" t="s">
        <v>1108</v>
      </c>
      <c r="J524" s="80" t="s">
        <v>815</v>
      </c>
      <c r="K524" s="81" t="n">
        <v>8</v>
      </c>
      <c r="L524" s="124" t="n">
        <v>4815</v>
      </c>
      <c r="M524" s="83" t="n">
        <f aca="false">IFERROR(L524/K524,0)</f>
        <v>601.875</v>
      </c>
      <c r="N524" s="84" t="n">
        <f aca="false">+O524+Q524+T524+U524</f>
        <v>5402</v>
      </c>
      <c r="O524" s="85" t="n">
        <v>5300</v>
      </c>
      <c r="P524" s="86" t="n">
        <v>0</v>
      </c>
      <c r="Q524" s="86" t="n">
        <v>38</v>
      </c>
      <c r="R524" s="132" t="n">
        <v>0</v>
      </c>
      <c r="S524" s="128" t="n">
        <v>0</v>
      </c>
      <c r="T524" s="132" t="n">
        <v>56</v>
      </c>
      <c r="U524" s="128" t="n">
        <v>8</v>
      </c>
      <c r="V524" s="128" t="n">
        <v>1</v>
      </c>
      <c r="W524" s="90" t="n">
        <f aca="false">IFERROR(O524/V524,0)</f>
        <v>5300</v>
      </c>
      <c r="X524" s="91" t="n">
        <f aca="false">O524/L524</f>
        <v>1.10072689511942</v>
      </c>
      <c r="Y524" s="92" t="str">
        <f aca="false">IFERROR(VLOOKUP(E:E,'Item Data Support Sheet'!A:J,6,0),0)</f>
        <v>Silicon</v>
      </c>
      <c r="Z524" s="93" t="n">
        <f aca="false">IFERROR(VLOOKUP(E:E,'Item Data Support Sheet'!A:O,4,0),0)</f>
        <v>6.8</v>
      </c>
      <c r="AA524" s="93" t="n">
        <f aca="false">IFERROR(((N524)*(Z524/1000))+P524,0)</f>
        <v>36.7336</v>
      </c>
      <c r="AB524" s="94" t="n">
        <f aca="false">IFERROR((O524*(Z524/1000)/(AA524))," ")</f>
        <v>0.981118104405776</v>
      </c>
      <c r="AC524" s="95" t="n">
        <f aca="false">IFERROR((T524)/((T524)+O524),0)</f>
        <v>0.0104555638536221</v>
      </c>
      <c r="AD524" s="96" t="n">
        <f aca="false">IFERROR(Q524/(Q524+N524),0)</f>
        <v>0.00698529411764706</v>
      </c>
      <c r="AE524" s="91" t="n">
        <f aca="false">(N524-T524)/N524</f>
        <v>0.989633469085524</v>
      </c>
      <c r="AF524" s="97" t="n">
        <f aca="false">BR524</f>
        <v>0</v>
      </c>
      <c r="AG524" s="98" t="n">
        <f aca="false">K524-AF524</f>
        <v>8</v>
      </c>
      <c r="AH524" s="99" t="n">
        <f aca="false">IFERROR(AG524/K524," ")</f>
        <v>1</v>
      </c>
      <c r="AI524" s="100" t="n">
        <f aca="false">IFERROR(O524/K524,0)</f>
        <v>662.5</v>
      </c>
      <c r="AJ524" s="101" t="n">
        <f aca="false">VLOOKUP(D524,'Standard Cycle time'!C:D,2,0)</f>
        <v>5.25</v>
      </c>
      <c r="AK524" s="101" t="n">
        <f aca="false">AG524*V524*3600/O524</f>
        <v>5.43396226415094</v>
      </c>
      <c r="AL524" s="102" t="n">
        <f aca="false">AJ524/AK524</f>
        <v>0.966145833333333</v>
      </c>
      <c r="AM524" s="99" t="n">
        <f aca="false">AE524*AL524*AH524</f>
        <v>0.956130252684191</v>
      </c>
      <c r="AN524" s="103" t="n">
        <v>3226</v>
      </c>
      <c r="AO524" s="112"/>
      <c r="AP524" s="105" t="n">
        <v>0</v>
      </c>
      <c r="AQ524" s="105" t="n">
        <v>0</v>
      </c>
      <c r="AR524" s="105" t="n">
        <v>0</v>
      </c>
      <c r="AS524" s="105" t="n">
        <v>0</v>
      </c>
      <c r="AT524" s="105" t="n">
        <v>0</v>
      </c>
      <c r="AU524" s="105" t="n">
        <v>0</v>
      </c>
      <c r="AV524" s="105" t="n">
        <v>0</v>
      </c>
      <c r="AW524" s="105" t="n">
        <v>0</v>
      </c>
      <c r="AX524" s="105" t="n">
        <v>0</v>
      </c>
      <c r="AY524" s="105" t="n">
        <v>0</v>
      </c>
      <c r="AZ524" s="105" t="n">
        <v>0</v>
      </c>
      <c r="BA524" s="105" t="n">
        <v>0</v>
      </c>
      <c r="BB524" s="105" t="n">
        <v>0</v>
      </c>
      <c r="BC524" s="105" t="n">
        <v>0</v>
      </c>
      <c r="BD524" s="105" t="n">
        <v>0</v>
      </c>
      <c r="BE524" s="105" t="n">
        <v>0</v>
      </c>
      <c r="BF524" s="105" t="n">
        <v>0</v>
      </c>
      <c r="BG524" s="105" t="n">
        <v>0</v>
      </c>
      <c r="BH524" s="105" t="n">
        <v>0</v>
      </c>
      <c r="BI524" s="105" t="n">
        <v>0</v>
      </c>
      <c r="BJ524" s="105" t="n">
        <v>0</v>
      </c>
      <c r="BK524" s="105" t="n">
        <v>0</v>
      </c>
      <c r="BL524" s="105" t="n">
        <v>0</v>
      </c>
      <c r="BM524" s="105" t="n">
        <v>0</v>
      </c>
      <c r="BN524" s="105" t="n">
        <v>0</v>
      </c>
      <c r="BO524" s="105" t="n">
        <v>0</v>
      </c>
      <c r="BP524" s="105" t="n">
        <v>0</v>
      </c>
      <c r="BQ524" s="105" t="n">
        <v>0</v>
      </c>
      <c r="BR524" s="106" t="n">
        <v>0</v>
      </c>
      <c r="BS524" s="106" t="n">
        <v>0</v>
      </c>
      <c r="BT524" s="107"/>
      <c r="BU524" s="107"/>
      <c r="BV524" s="107"/>
      <c r="BW524" s="107"/>
      <c r="BX524" s="107"/>
      <c r="BY524" s="107"/>
      <c r="BZ524" s="107"/>
      <c r="CA524" s="107"/>
      <c r="CB524" s="107"/>
      <c r="CC524" s="107"/>
      <c r="CD524" s="107"/>
      <c r="CE524" s="107"/>
      <c r="CF524" s="107"/>
      <c r="CG524" s="107"/>
      <c r="CH524" s="107"/>
      <c r="CI524" s="107"/>
      <c r="CJ524" s="107"/>
      <c r="CK524" s="107"/>
      <c r="CL524" s="107"/>
      <c r="CM524" s="107"/>
      <c r="CN524" s="107"/>
      <c r="CO524" s="107"/>
      <c r="CP524" s="107"/>
      <c r="CQ524" s="107"/>
      <c r="CR524" s="107"/>
      <c r="CS524" s="107"/>
      <c r="CT524" s="107"/>
      <c r="CU524" s="107"/>
      <c r="CV524" s="107"/>
    </row>
    <row r="525" customFormat="false" ht="14.9" hidden="false" customHeight="false" outlineLevel="0" collapsed="false">
      <c r="A525" s="74" t="n">
        <f aca="false">MONTH(B525)</f>
        <v>9</v>
      </c>
      <c r="B525" s="135" t="n">
        <v>44454</v>
      </c>
      <c r="C525" s="128" t="s">
        <v>51</v>
      </c>
      <c r="D525" s="77" t="str">
        <f aca="false">IFERROR(VLOOKUP(E:E,'Item Data Support Sheet'!A:O,7,0),"")</f>
        <v>NIPPLE MOLDED</v>
      </c>
      <c r="E525" s="80" t="s">
        <v>661</v>
      </c>
      <c r="F525" s="122" t="s">
        <v>137</v>
      </c>
      <c r="G525" s="137" t="s">
        <v>138</v>
      </c>
      <c r="H525" s="79" t="str">
        <f aca="false">IFERROR(VLOOKUP(E:E,'Item Data Support Sheet'!A:O,2,0),"")</f>
        <v>NIPPLE S TYPE L SIZE INJECTION</v>
      </c>
      <c r="I525" s="80" t="s">
        <v>1109</v>
      </c>
      <c r="J525" s="80" t="s">
        <v>148</v>
      </c>
      <c r="K525" s="81" t="n">
        <v>8</v>
      </c>
      <c r="L525" s="124" t="n">
        <v>4815</v>
      </c>
      <c r="M525" s="83" t="n">
        <f aca="false">IFERROR(L525/K525,0)</f>
        <v>601.875</v>
      </c>
      <c r="N525" s="84" t="n">
        <f aca="false">+O525+Q525+T525+U525</f>
        <v>5296</v>
      </c>
      <c r="O525" s="85" t="n">
        <v>5200</v>
      </c>
      <c r="P525" s="86" t="n">
        <v>0</v>
      </c>
      <c r="Q525" s="86" t="n">
        <v>40</v>
      </c>
      <c r="R525" s="132" t="n">
        <v>0</v>
      </c>
      <c r="S525" s="128" t="n">
        <v>0</v>
      </c>
      <c r="T525" s="132" t="n">
        <v>48</v>
      </c>
      <c r="U525" s="128" t="n">
        <v>8</v>
      </c>
      <c r="V525" s="128" t="n">
        <v>1</v>
      </c>
      <c r="W525" s="90" t="n">
        <f aca="false">IFERROR(O525/V525,0)</f>
        <v>5200</v>
      </c>
      <c r="X525" s="91" t="n">
        <f aca="false">O525/L525</f>
        <v>1.07995846313603</v>
      </c>
      <c r="Y525" s="92" t="str">
        <f aca="false">IFERROR(VLOOKUP(E:E,'Item Data Support Sheet'!A:J,6,0),0)</f>
        <v>Silicon</v>
      </c>
      <c r="Z525" s="93" t="n">
        <f aca="false">IFERROR(VLOOKUP(E:E,'Item Data Support Sheet'!A:O,4,0),0)</f>
        <v>6.8</v>
      </c>
      <c r="AA525" s="93" t="n">
        <f aca="false">IFERROR(((N525)*(Z525/1000))+P525,0)</f>
        <v>36.0128</v>
      </c>
      <c r="AB525" s="94" t="n">
        <f aca="false">IFERROR((O525*(Z525/1000)/(AA525))," ")</f>
        <v>0.981873111782477</v>
      </c>
      <c r="AC525" s="95" t="n">
        <f aca="false">IFERROR((T525)/((T525)+O525),0)</f>
        <v>0.00914634146341463</v>
      </c>
      <c r="AD525" s="96" t="n">
        <f aca="false">IFERROR(Q525/(Q525+N525),0)</f>
        <v>0.00749625187406297</v>
      </c>
      <c r="AE525" s="91" t="n">
        <f aca="false">(N525-T525)/N525</f>
        <v>0.990936555891239</v>
      </c>
      <c r="AF525" s="97" t="n">
        <f aca="false">BR525</f>
        <v>0</v>
      </c>
      <c r="AG525" s="98" t="n">
        <f aca="false">K525-AF525</f>
        <v>8</v>
      </c>
      <c r="AH525" s="99" t="n">
        <f aca="false">IFERROR(AG525/K525," ")</f>
        <v>1</v>
      </c>
      <c r="AI525" s="100" t="n">
        <f aca="false">IFERROR(O525/K525,0)</f>
        <v>650</v>
      </c>
      <c r="AJ525" s="101" t="n">
        <f aca="false">VLOOKUP(D525,'Standard Cycle time'!C:D,2,0)</f>
        <v>5.25</v>
      </c>
      <c r="AK525" s="101" t="n">
        <f aca="false">AG525*V525*3600/O525</f>
        <v>5.53846153846154</v>
      </c>
      <c r="AL525" s="102" t="n">
        <f aca="false">AJ525/AK525</f>
        <v>0.947916666666667</v>
      </c>
      <c r="AM525" s="99" t="n">
        <f aca="false">AE525*AL525*AH525</f>
        <v>0.93932527693857</v>
      </c>
      <c r="AN525" s="103" t="s">
        <v>1110</v>
      </c>
      <c r="AO525" s="112"/>
      <c r="AP525" s="105" t="n">
        <v>0</v>
      </c>
      <c r="AQ525" s="105" t="n">
        <v>0</v>
      </c>
      <c r="AR525" s="105" t="n">
        <v>0</v>
      </c>
      <c r="AS525" s="105" t="n">
        <v>0</v>
      </c>
      <c r="AT525" s="105" t="n">
        <v>0</v>
      </c>
      <c r="AU525" s="105" t="n">
        <v>0</v>
      </c>
      <c r="AV525" s="105" t="n">
        <v>0</v>
      </c>
      <c r="AW525" s="105" t="n">
        <v>0</v>
      </c>
      <c r="AX525" s="105" t="n">
        <v>0</v>
      </c>
      <c r="AY525" s="105" t="n">
        <v>0</v>
      </c>
      <c r="AZ525" s="105" t="n">
        <v>0</v>
      </c>
      <c r="BA525" s="105" t="n">
        <v>0</v>
      </c>
      <c r="BB525" s="105" t="n">
        <v>0</v>
      </c>
      <c r="BC525" s="105" t="n">
        <v>0</v>
      </c>
      <c r="BD525" s="105" t="n">
        <v>0</v>
      </c>
      <c r="BE525" s="105" t="n">
        <v>0</v>
      </c>
      <c r="BF525" s="105" t="n">
        <v>0</v>
      </c>
      <c r="BG525" s="105" t="n">
        <v>0</v>
      </c>
      <c r="BH525" s="105" t="n">
        <v>0</v>
      </c>
      <c r="BI525" s="105" t="n">
        <v>0</v>
      </c>
      <c r="BJ525" s="105" t="n">
        <v>0</v>
      </c>
      <c r="BK525" s="105" t="n">
        <v>0</v>
      </c>
      <c r="BL525" s="105" t="n">
        <v>0</v>
      </c>
      <c r="BM525" s="105" t="n">
        <v>0</v>
      </c>
      <c r="BN525" s="105" t="n">
        <v>0</v>
      </c>
      <c r="BO525" s="105" t="n">
        <v>0</v>
      </c>
      <c r="BP525" s="105" t="n">
        <v>0</v>
      </c>
      <c r="BQ525" s="105" t="n">
        <v>0</v>
      </c>
      <c r="BR525" s="106" t="n">
        <v>0</v>
      </c>
      <c r="BS525" s="106" t="n">
        <v>0</v>
      </c>
      <c r="BT525" s="107"/>
      <c r="BU525" s="107"/>
      <c r="BV525" s="107"/>
      <c r="BW525" s="107"/>
      <c r="BX525" s="107"/>
      <c r="BY525" s="107"/>
      <c r="BZ525" s="107"/>
      <c r="CA525" s="107"/>
      <c r="CB525" s="107"/>
      <c r="CC525" s="107"/>
      <c r="CD525" s="107"/>
      <c r="CE525" s="107"/>
      <c r="CF525" s="107"/>
      <c r="CG525" s="107"/>
      <c r="CH525" s="107"/>
      <c r="CI525" s="107"/>
      <c r="CJ525" s="107"/>
      <c r="CK525" s="107"/>
      <c r="CL525" s="107"/>
      <c r="CM525" s="107"/>
      <c r="CN525" s="107"/>
      <c r="CO525" s="107"/>
      <c r="CP525" s="107"/>
      <c r="CQ525" s="107"/>
      <c r="CR525" s="107"/>
      <c r="CS525" s="107"/>
      <c r="CT525" s="107"/>
      <c r="CU525" s="107"/>
      <c r="CV525" s="107"/>
    </row>
    <row r="526" customFormat="false" ht="14.9" hidden="false" customHeight="false" outlineLevel="0" collapsed="false">
      <c r="A526" s="74" t="n">
        <f aca="false">MONTH(B526)</f>
        <v>9</v>
      </c>
      <c r="B526" s="135" t="n">
        <v>44454</v>
      </c>
      <c r="C526" s="128" t="s">
        <v>51</v>
      </c>
      <c r="D526" s="77" t="str">
        <f aca="false">IFERROR(VLOOKUP(E:E,'Item Data Support Sheet'!A:O,7,0),"")</f>
        <v>HOOD MOLDED</v>
      </c>
      <c r="E526" s="80" t="s">
        <v>529</v>
      </c>
      <c r="F526" s="122"/>
      <c r="G526" s="137" t="s">
        <v>740</v>
      </c>
      <c r="H526" s="79" t="str">
        <f aca="false">IFERROR(VLOOKUP(E:E,'Item Data Support Sheet'!A:O,2,0),"")</f>
        <v>HOOD S TYPE MOLDED</v>
      </c>
      <c r="I526" s="80" t="s">
        <v>1111</v>
      </c>
      <c r="J526" s="80" t="s">
        <v>148</v>
      </c>
      <c r="K526" s="81" t="n">
        <v>8</v>
      </c>
      <c r="L526" s="124" t="n">
        <v>4137</v>
      </c>
      <c r="M526" s="83" t="n">
        <f aca="false">IFERROR(L526/K526,0)</f>
        <v>517.125</v>
      </c>
      <c r="N526" s="84" t="n">
        <f aca="false">+O526+Q526+T526+U526</f>
        <v>5312</v>
      </c>
      <c r="O526" s="85" t="n">
        <v>5300</v>
      </c>
      <c r="P526" s="86" t="n">
        <v>0</v>
      </c>
      <c r="Q526" s="86" t="n">
        <v>0</v>
      </c>
      <c r="R526" s="132" t="n">
        <v>0</v>
      </c>
      <c r="S526" s="128" t="n">
        <v>0</v>
      </c>
      <c r="T526" s="132" t="n">
        <v>4</v>
      </c>
      <c r="U526" s="128" t="n">
        <v>8</v>
      </c>
      <c r="V526" s="128" t="n">
        <v>1</v>
      </c>
      <c r="W526" s="90" t="n">
        <f aca="false">IFERROR(O526/V526,0)</f>
        <v>5300</v>
      </c>
      <c r="X526" s="91" t="n">
        <f aca="false">O526/L526</f>
        <v>1.28112158569011</v>
      </c>
      <c r="Y526" s="92" t="str">
        <f aca="false">IFERROR(VLOOKUP(E:E,'Item Data Support Sheet'!A:J,6,0),0)</f>
        <v>HMC</v>
      </c>
      <c r="Z526" s="93" t="n">
        <f aca="false">IFERROR(VLOOKUP(E:E,'Item Data Support Sheet'!A:O,4,0),0)</f>
        <v>8.6</v>
      </c>
      <c r="AA526" s="93" t="n">
        <f aca="false">IFERROR(((N526)*(Z526/1000))+P526,0)</f>
        <v>45.6832</v>
      </c>
      <c r="AB526" s="94" t="n">
        <f aca="false">IFERROR((O526*(Z526/1000)/(AA526))," ")</f>
        <v>0.997740963855422</v>
      </c>
      <c r="AC526" s="95" t="n">
        <f aca="false">IFERROR((T526)/((T526)+O526),0)</f>
        <v>0.000754147812971342</v>
      </c>
      <c r="AD526" s="96" t="n">
        <f aca="false">IFERROR(Q526/(Q526+N526),0)</f>
        <v>0</v>
      </c>
      <c r="AE526" s="91" t="n">
        <f aca="false">(N526-T526)/N526</f>
        <v>0.999246987951807</v>
      </c>
      <c r="AF526" s="97" t="n">
        <f aca="false">BR526</f>
        <v>0</v>
      </c>
      <c r="AG526" s="98" t="n">
        <f aca="false">K526-AF526</f>
        <v>8</v>
      </c>
      <c r="AH526" s="99" t="n">
        <f aca="false">IFERROR(AG526/K526," ")</f>
        <v>1</v>
      </c>
      <c r="AI526" s="100" t="n">
        <f aca="false">IFERROR(O526/K526,0)</f>
        <v>662.5</v>
      </c>
      <c r="AJ526" s="101" t="n">
        <f aca="false">VLOOKUP(D526,'Standard Cycle time'!C:D,2,0)</f>
        <v>6</v>
      </c>
      <c r="AK526" s="101" t="n">
        <f aca="false">AG526*V526*3600/O526</f>
        <v>5.43396226415094</v>
      </c>
      <c r="AL526" s="102" t="n">
        <f aca="false">AJ526/AK526</f>
        <v>1.10416666666667</v>
      </c>
      <c r="AM526" s="99" t="n">
        <f aca="false">AE526*AL526*AH526</f>
        <v>1.10333521586345</v>
      </c>
      <c r="AN526" s="103" t="s">
        <v>1112</v>
      </c>
      <c r="AO526" s="112"/>
      <c r="AP526" s="105" t="n">
        <v>0</v>
      </c>
      <c r="AQ526" s="105" t="n">
        <v>0</v>
      </c>
      <c r="AR526" s="105" t="n">
        <v>0</v>
      </c>
      <c r="AS526" s="105" t="n">
        <v>0</v>
      </c>
      <c r="AT526" s="105" t="n">
        <v>0</v>
      </c>
      <c r="AU526" s="105" t="n">
        <v>0</v>
      </c>
      <c r="AV526" s="105" t="n">
        <v>0</v>
      </c>
      <c r="AW526" s="105" t="n">
        <v>0</v>
      </c>
      <c r="AX526" s="105" t="n">
        <v>0</v>
      </c>
      <c r="AY526" s="105" t="n">
        <v>0</v>
      </c>
      <c r="AZ526" s="105" t="n">
        <v>0</v>
      </c>
      <c r="BA526" s="105" t="n">
        <v>0</v>
      </c>
      <c r="BB526" s="105" t="n">
        <v>0</v>
      </c>
      <c r="BC526" s="105" t="n">
        <v>0</v>
      </c>
      <c r="BD526" s="105" t="n">
        <v>0</v>
      </c>
      <c r="BE526" s="105" t="n">
        <v>0</v>
      </c>
      <c r="BF526" s="105" t="n">
        <v>0</v>
      </c>
      <c r="BG526" s="105" t="n">
        <v>0</v>
      </c>
      <c r="BH526" s="105" t="n">
        <v>0</v>
      </c>
      <c r="BI526" s="105" t="n">
        <v>0</v>
      </c>
      <c r="BJ526" s="105" t="n">
        <v>0</v>
      </c>
      <c r="BK526" s="105" t="n">
        <v>0</v>
      </c>
      <c r="BL526" s="105" t="n">
        <v>0</v>
      </c>
      <c r="BM526" s="105" t="n">
        <v>0</v>
      </c>
      <c r="BN526" s="105" t="n">
        <v>0</v>
      </c>
      <c r="BO526" s="105" t="n">
        <v>0</v>
      </c>
      <c r="BP526" s="105" t="n">
        <v>0</v>
      </c>
      <c r="BQ526" s="105" t="n">
        <v>0</v>
      </c>
      <c r="BR526" s="106" t="n">
        <v>0</v>
      </c>
      <c r="BS526" s="106" t="n">
        <v>0</v>
      </c>
      <c r="BT526" s="107"/>
      <c r="BU526" s="107"/>
      <c r="BV526" s="107"/>
      <c r="BW526" s="107"/>
      <c r="BX526" s="107"/>
      <c r="BY526" s="107"/>
      <c r="BZ526" s="107"/>
      <c r="CA526" s="107"/>
      <c r="CB526" s="107"/>
      <c r="CC526" s="107"/>
      <c r="CD526" s="107"/>
      <c r="CE526" s="107"/>
      <c r="CF526" s="107"/>
      <c r="CG526" s="107"/>
      <c r="CH526" s="107"/>
      <c r="CI526" s="107"/>
      <c r="CJ526" s="107"/>
      <c r="CK526" s="107"/>
      <c r="CL526" s="107"/>
      <c r="CM526" s="107"/>
      <c r="CN526" s="107"/>
      <c r="CO526" s="107"/>
      <c r="CP526" s="107"/>
      <c r="CQ526" s="107"/>
      <c r="CR526" s="107"/>
      <c r="CS526" s="107"/>
      <c r="CT526" s="107"/>
      <c r="CU526" s="107"/>
      <c r="CV526" s="107"/>
    </row>
    <row r="527" customFormat="false" ht="14.9" hidden="false" customHeight="false" outlineLevel="0" collapsed="false">
      <c r="A527" s="74" t="n">
        <f aca="false">MONTH(B527)</f>
        <v>9</v>
      </c>
      <c r="B527" s="135" t="n">
        <v>44454</v>
      </c>
      <c r="C527" s="128" t="s">
        <v>51</v>
      </c>
      <c r="D527" s="77" t="str">
        <f aca="false">IFERROR(VLOOKUP(E:E,'Item Data Support Sheet'!A:O,7,0),"")</f>
        <v>BOTTLE PRINTED</v>
      </c>
      <c r="E527" s="80" t="s">
        <v>320</v>
      </c>
      <c r="F527" s="122"/>
      <c r="G527" s="137" t="s">
        <v>66</v>
      </c>
      <c r="H527" s="79" t="str">
        <f aca="false">IFERROR(VLOOKUP(E:E,'Item Data Support Sheet'!A:O,2,0),"")</f>
        <v>KPP 200 ML BOTTLE PRINTED</v>
      </c>
      <c r="I527" s="80" t="s">
        <v>1113</v>
      </c>
      <c r="J527" s="80" t="s">
        <v>148</v>
      </c>
      <c r="K527" s="81" t="n">
        <v>8</v>
      </c>
      <c r="L527" s="124" t="n">
        <v>5100</v>
      </c>
      <c r="M527" s="83" t="n">
        <f aca="false">IFERROR(L527/K527,0)</f>
        <v>637.5</v>
      </c>
      <c r="N527" s="84" t="n">
        <f aca="false">+O527+Q527+T527+U527</f>
        <v>4664</v>
      </c>
      <c r="O527" s="85" t="n">
        <v>4644</v>
      </c>
      <c r="P527" s="86" t="n">
        <v>0</v>
      </c>
      <c r="Q527" s="86" t="n">
        <v>0</v>
      </c>
      <c r="R527" s="132" t="n">
        <v>49</v>
      </c>
      <c r="S527" s="128" t="n">
        <v>0</v>
      </c>
      <c r="T527" s="132" t="n">
        <v>20</v>
      </c>
      <c r="U527" s="128" t="n">
        <v>0</v>
      </c>
      <c r="V527" s="128" t="n">
        <v>6</v>
      </c>
      <c r="W527" s="90" t="n">
        <f aca="false">IFERROR(O527/V527,0)</f>
        <v>774</v>
      </c>
      <c r="X527" s="91" t="n">
        <f aca="false">O527/L527</f>
        <v>0.910588235294118</v>
      </c>
      <c r="Y527" s="92" t="str">
        <f aca="false">IFERROR(VLOOKUP(E:E,'Item Data Support Sheet'!A:J,6,0),0)</f>
        <v>FO002</v>
      </c>
      <c r="Z527" s="93" t="n">
        <f aca="false">IFERROR(VLOOKUP(E:E,'Item Data Support Sheet'!A:O,4,0),0)</f>
        <v>0</v>
      </c>
      <c r="AA527" s="93" t="n">
        <f aca="false">IFERROR(((N527)*(Z527/1000))+P527,0)</f>
        <v>0</v>
      </c>
      <c r="AB527" s="94" t="str">
        <f aca="false">IFERROR((O527*(Z527/1000)/(AA527))," ")</f>
        <v> </v>
      </c>
      <c r="AC527" s="95" t="n">
        <f aca="false">IFERROR((T527)/((T527)+O527),0)</f>
        <v>0.00428816466552316</v>
      </c>
      <c r="AD527" s="96" t="n">
        <f aca="false">IFERROR(Q527/(Q527+N527),0)</f>
        <v>0</v>
      </c>
      <c r="AE527" s="91" t="n">
        <f aca="false">(N527-T527)/N527</f>
        <v>0.995711835334477</v>
      </c>
      <c r="AF527" s="97" t="n">
        <f aca="false">BR527</f>
        <v>0</v>
      </c>
      <c r="AG527" s="98" t="n">
        <f aca="false">K527-AF527</f>
        <v>8</v>
      </c>
      <c r="AH527" s="99" t="n">
        <f aca="false">IFERROR(AG527/K527," ")</f>
        <v>1</v>
      </c>
      <c r="AI527" s="100" t="n">
        <f aca="false">IFERROR(O527/K527,0)</f>
        <v>580.5</v>
      </c>
      <c r="AJ527" s="101" t="n">
        <f aca="false">VLOOKUP(D527,'Standard Cycle time'!C:D,2,0)</f>
        <v>32.4</v>
      </c>
      <c r="AK527" s="101" t="n">
        <f aca="false">AG527*V527*3600/O527</f>
        <v>37.2093023255814</v>
      </c>
      <c r="AL527" s="102" t="n">
        <f aca="false">AJ527/AK527</f>
        <v>0.87075</v>
      </c>
      <c r="AM527" s="99" t="n">
        <f aca="false">AE527*AL527*AH527</f>
        <v>0.867016080617496</v>
      </c>
      <c r="AN527" s="103" t="s">
        <v>869</v>
      </c>
      <c r="AO527" s="112" t="s">
        <v>1114</v>
      </c>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6"/>
      <c r="BS527" s="106"/>
      <c r="BT527" s="107"/>
      <c r="BU527" s="107"/>
      <c r="BV527" s="107"/>
      <c r="BW527" s="107"/>
      <c r="BX527" s="107"/>
      <c r="BY527" s="107"/>
      <c r="BZ527" s="107"/>
      <c r="CA527" s="107"/>
      <c r="CB527" s="107"/>
      <c r="CC527" s="107"/>
      <c r="CD527" s="107"/>
      <c r="CE527" s="107"/>
      <c r="CF527" s="107"/>
      <c r="CG527" s="107"/>
      <c r="CH527" s="107"/>
      <c r="CI527" s="107"/>
      <c r="CJ527" s="107"/>
      <c r="CK527" s="107"/>
      <c r="CL527" s="107"/>
      <c r="CM527" s="107"/>
      <c r="CN527" s="107"/>
      <c r="CO527" s="107"/>
      <c r="CP527" s="107"/>
      <c r="CQ527" s="107"/>
      <c r="CR527" s="107"/>
      <c r="CS527" s="107"/>
      <c r="CT527" s="107"/>
      <c r="CU527" s="107"/>
      <c r="CV527" s="107"/>
    </row>
    <row r="528" customFormat="false" ht="14.9" hidden="false" customHeight="false" outlineLevel="0" collapsed="false">
      <c r="A528" s="74" t="n">
        <f aca="false">MONTH(B528)</f>
        <v>9</v>
      </c>
      <c r="B528" s="135" t="n">
        <v>44454</v>
      </c>
      <c r="C528" s="128" t="s">
        <v>51</v>
      </c>
      <c r="D528" s="77" t="str">
        <f aca="false">IFERROR(VLOOKUP(E:E,'Item Data Support Sheet'!A:O,7,0),"")</f>
        <v>NIPPLE PUNCH</v>
      </c>
      <c r="E528" s="80" t="s">
        <v>666</v>
      </c>
      <c r="F528" s="122"/>
      <c r="G528" s="137" t="s">
        <v>54</v>
      </c>
      <c r="H528" s="79" t="str">
        <f aca="false">IFERROR(VLOOKUP(E:E,'Item Data Support Sheet'!A:O,2,0),"")</f>
        <v>NIPPLE S TYPE L SIZE PUNCHED</v>
      </c>
      <c r="I528" s="80" t="s">
        <v>1115</v>
      </c>
      <c r="J528" s="80" t="s">
        <v>148</v>
      </c>
      <c r="K528" s="81" t="n">
        <v>8</v>
      </c>
      <c r="L528" s="124" t="n">
        <v>7000</v>
      </c>
      <c r="M528" s="83" t="n">
        <f aca="false">IFERROR(L528/K528,0)</f>
        <v>875</v>
      </c>
      <c r="N528" s="84" t="n">
        <f aca="false">+O528+Q528+T528+U528</f>
        <v>6600</v>
      </c>
      <c r="O528" s="85" t="n">
        <v>6600</v>
      </c>
      <c r="P528" s="86" t="n">
        <v>0</v>
      </c>
      <c r="Q528" s="86" t="n">
        <v>0</v>
      </c>
      <c r="R528" s="132" t="n">
        <v>0</v>
      </c>
      <c r="S528" s="128" t="n">
        <v>0</v>
      </c>
      <c r="T528" s="132" t="n">
        <v>0</v>
      </c>
      <c r="U528" s="128" t="n">
        <v>0</v>
      </c>
      <c r="V528" s="128" t="n">
        <v>1</v>
      </c>
      <c r="W528" s="90" t="n">
        <f aca="false">IFERROR(O528/V528,0)</f>
        <v>6600</v>
      </c>
      <c r="X528" s="91" t="n">
        <f aca="false">O528/L528</f>
        <v>0.942857142857143</v>
      </c>
      <c r="Y528" s="92" t="str">
        <f aca="false">IFERROR(VLOOKUP(E:E,'Item Data Support Sheet'!A:J,6,0),0)</f>
        <v>FO017</v>
      </c>
      <c r="Z528" s="93" t="n">
        <f aca="false">IFERROR(VLOOKUP(E:E,'Item Data Support Sheet'!A:O,4,0),0)</f>
        <v>0</v>
      </c>
      <c r="AA528" s="93" t="n">
        <f aca="false">IFERROR(((N528)*(Z528/1000))+P528,0)</f>
        <v>0</v>
      </c>
      <c r="AB528" s="94" t="str">
        <f aca="false">IFERROR((O528*(Z528/1000)/(AA528))," ")</f>
        <v> </v>
      </c>
      <c r="AC528" s="95" t="n">
        <f aca="false">IFERROR((T528)/((T528)+O528),0)</f>
        <v>0</v>
      </c>
      <c r="AD528" s="96" t="n">
        <f aca="false">IFERROR(Q528/(Q528+N528),0)</f>
        <v>0</v>
      </c>
      <c r="AE528" s="91" t="n">
        <f aca="false">(N528-T528)/N528</f>
        <v>1</v>
      </c>
      <c r="AF528" s="97" t="n">
        <f aca="false">BR528</f>
        <v>1.41666666666667</v>
      </c>
      <c r="AG528" s="98" t="n">
        <f aca="false">K528-AF528</f>
        <v>6.58333333333333</v>
      </c>
      <c r="AH528" s="99" t="n">
        <f aca="false">IFERROR(AG528/K528," ")</f>
        <v>0.822916666666666</v>
      </c>
      <c r="AI528" s="100" t="n">
        <f aca="false">IFERROR(O528/K528,0)</f>
        <v>825</v>
      </c>
      <c r="AJ528" s="101" t="n">
        <f aca="false">VLOOKUP(D528,'Standard Cycle time'!C:D,2,0)</f>
        <v>3.5</v>
      </c>
      <c r="AK528" s="101" t="n">
        <f aca="false">AG528*V528*3600/O528</f>
        <v>3.59090909090909</v>
      </c>
      <c r="AL528" s="102" t="n">
        <f aca="false">AJ528/AK528</f>
        <v>0.974683544303798</v>
      </c>
      <c r="AM528" s="99" t="n">
        <f aca="false">AE528*AL528*AH528</f>
        <v>0.802083333333333</v>
      </c>
      <c r="AN528" s="103" t="s">
        <v>1116</v>
      </c>
      <c r="AO528" s="112"/>
      <c r="AP528" s="105" t="n">
        <v>40</v>
      </c>
      <c r="AQ528" s="105" t="n">
        <v>0</v>
      </c>
      <c r="AR528" s="105" t="n">
        <v>0</v>
      </c>
      <c r="AS528" s="105" t="n">
        <v>0</v>
      </c>
      <c r="AT528" s="105" t="n">
        <v>0</v>
      </c>
      <c r="AU528" s="105" t="n">
        <v>0</v>
      </c>
      <c r="AV528" s="105" t="n">
        <v>0</v>
      </c>
      <c r="AW528" s="105" t="n">
        <v>45</v>
      </c>
      <c r="AX528" s="105" t="n">
        <v>0</v>
      </c>
      <c r="AY528" s="105" t="n">
        <v>0</v>
      </c>
      <c r="AZ528" s="105" t="n">
        <v>0</v>
      </c>
      <c r="BA528" s="105" t="n">
        <v>0</v>
      </c>
      <c r="BB528" s="105" t="n">
        <v>0</v>
      </c>
      <c r="BC528" s="105" t="n">
        <v>0</v>
      </c>
      <c r="BD528" s="105" t="n">
        <v>0</v>
      </c>
      <c r="BE528" s="105" t="n">
        <v>0</v>
      </c>
      <c r="BF528" s="105" t="n">
        <v>0</v>
      </c>
      <c r="BG528" s="105" t="n">
        <v>0</v>
      </c>
      <c r="BH528" s="105" t="n">
        <v>0</v>
      </c>
      <c r="BI528" s="105" t="n">
        <v>0</v>
      </c>
      <c r="BJ528" s="105" t="n">
        <v>0</v>
      </c>
      <c r="BK528" s="105" t="n">
        <v>0</v>
      </c>
      <c r="BL528" s="105" t="n">
        <v>0</v>
      </c>
      <c r="BM528" s="105" t="n">
        <v>0</v>
      </c>
      <c r="BN528" s="105" t="n">
        <v>0</v>
      </c>
      <c r="BO528" s="105" t="n">
        <v>0</v>
      </c>
      <c r="BP528" s="105" t="n">
        <v>0</v>
      </c>
      <c r="BQ528" s="105" t="n">
        <v>0</v>
      </c>
      <c r="BR528" s="106" t="n">
        <v>1.41666666666667</v>
      </c>
      <c r="BS528" s="106" t="n">
        <v>1.44027777777778</v>
      </c>
      <c r="BT528" s="107"/>
      <c r="BU528" s="107"/>
      <c r="BV528" s="107"/>
      <c r="BW528" s="107"/>
      <c r="BX528" s="107"/>
      <c r="BY528" s="107"/>
      <c r="BZ528" s="107"/>
      <c r="CA528" s="107"/>
      <c r="CB528" s="107"/>
      <c r="CC528" s="107"/>
      <c r="CD528" s="107"/>
      <c r="CE528" s="107"/>
      <c r="CF528" s="107"/>
      <c r="CG528" s="107"/>
      <c r="CH528" s="107"/>
      <c r="CI528" s="107"/>
      <c r="CJ528" s="107"/>
      <c r="CK528" s="107"/>
      <c r="CL528" s="107"/>
      <c r="CM528" s="107"/>
      <c r="CN528" s="107"/>
      <c r="CO528" s="107"/>
      <c r="CP528" s="107"/>
      <c r="CQ528" s="107"/>
      <c r="CR528" s="107"/>
      <c r="CS528" s="107"/>
      <c r="CT528" s="107"/>
      <c r="CU528" s="107"/>
      <c r="CV528" s="107"/>
    </row>
    <row r="529" customFormat="false" ht="14.9" hidden="false" customHeight="false" outlineLevel="0" collapsed="false">
      <c r="A529" s="74" t="n">
        <f aca="false">MONTH(B529)</f>
        <v>9</v>
      </c>
      <c r="B529" s="135" t="n">
        <v>44454</v>
      </c>
      <c r="C529" s="128" t="s">
        <v>51</v>
      </c>
      <c r="D529" s="77" t="str">
        <f aca="false">IFERROR(VLOOKUP(E:E,'Item Data Support Sheet'!A:O,7,0),"")</f>
        <v>NIPPLE LASER MARKING</v>
      </c>
      <c r="E529" s="80" t="s">
        <v>932</v>
      </c>
      <c r="F529" s="122"/>
      <c r="G529" s="137" t="s">
        <v>517</v>
      </c>
      <c r="H529" s="79" t="str">
        <f aca="false">IFERROR(VLOOKUP(E:E,'Item Data Support Sheet'!A:O,2,0),"")</f>
        <v>NIPPLE S TYPE M SIZE PUNCHED LASER MARKED</v>
      </c>
      <c r="I529" s="80" t="s">
        <v>1117</v>
      </c>
      <c r="J529" s="80" t="s">
        <v>148</v>
      </c>
      <c r="K529" s="81" t="n">
        <v>8</v>
      </c>
      <c r="L529" s="124" t="n">
        <v>7000</v>
      </c>
      <c r="M529" s="83" t="n">
        <f aca="false">IFERROR(L529/K529,0)</f>
        <v>875</v>
      </c>
      <c r="N529" s="84" t="n">
        <f aca="false">+O529+Q529+T529+U529</f>
        <v>7000</v>
      </c>
      <c r="O529" s="85" t="n">
        <v>7000</v>
      </c>
      <c r="P529" s="86" t="n">
        <v>0</v>
      </c>
      <c r="Q529" s="86" t="n">
        <v>0</v>
      </c>
      <c r="R529" s="132" t="n">
        <v>0</v>
      </c>
      <c r="S529" s="128" t="n">
        <v>0</v>
      </c>
      <c r="T529" s="132" t="n">
        <v>0</v>
      </c>
      <c r="U529" s="128" t="n">
        <v>0</v>
      </c>
      <c r="V529" s="128" t="n">
        <v>1</v>
      </c>
      <c r="W529" s="90" t="n">
        <f aca="false">IFERROR(O529/V529,0)</f>
        <v>7000</v>
      </c>
      <c r="X529" s="91" t="n">
        <f aca="false">O529/L529</f>
        <v>1</v>
      </c>
      <c r="Y529" s="92" t="str">
        <f aca="false">IFERROR(VLOOKUP(E:E,'Item Data Support Sheet'!A:J,6,0),0)</f>
        <v>FO020</v>
      </c>
      <c r="Z529" s="93" t="n">
        <f aca="false">IFERROR(VLOOKUP(E:E,'Item Data Support Sheet'!A:O,4,0),0)</f>
        <v>0</v>
      </c>
      <c r="AA529" s="93" t="n">
        <f aca="false">IFERROR(((N529)*(Z529/1000))+P529,0)</f>
        <v>0</v>
      </c>
      <c r="AB529" s="94" t="str">
        <f aca="false">IFERROR((O529*(Z529/1000)/(AA529))," ")</f>
        <v> </v>
      </c>
      <c r="AC529" s="95" t="n">
        <f aca="false">IFERROR((T529)/((T529)+O529),0)</f>
        <v>0</v>
      </c>
      <c r="AD529" s="96" t="n">
        <f aca="false">IFERROR(Q529/(Q529+N529),0)</f>
        <v>0</v>
      </c>
      <c r="AE529" s="91" t="n">
        <f aca="false">(N529-T529)/N529</f>
        <v>1</v>
      </c>
      <c r="AF529" s="97" t="n">
        <f aca="false">BR529</f>
        <v>0.916666666666667</v>
      </c>
      <c r="AG529" s="98" t="n">
        <f aca="false">K529-AF529</f>
        <v>7.08333333333333</v>
      </c>
      <c r="AH529" s="99" t="n">
        <f aca="false">IFERROR(AG529/K529," ")</f>
        <v>0.885416666666667</v>
      </c>
      <c r="AI529" s="100" t="n">
        <f aca="false">IFERROR(O529/K529,0)</f>
        <v>875</v>
      </c>
      <c r="AJ529" s="101" t="n">
        <f aca="false">VLOOKUP(D529,'Standard Cycle time'!C:D,2,0)</f>
        <v>3.5</v>
      </c>
      <c r="AK529" s="101" t="n">
        <f aca="false">AG529*V529*3600/O529</f>
        <v>3.64285714285714</v>
      </c>
      <c r="AL529" s="102" t="n">
        <f aca="false">AJ529/AK529</f>
        <v>0.96078431372549</v>
      </c>
      <c r="AM529" s="99" t="n">
        <f aca="false">AE529*AL529*AH529</f>
        <v>0.850694444444444</v>
      </c>
      <c r="AN529" s="103" t="s">
        <v>1118</v>
      </c>
      <c r="AO529" s="112"/>
      <c r="AP529" s="105" t="n">
        <v>40</v>
      </c>
      <c r="AQ529" s="105" t="n">
        <v>0</v>
      </c>
      <c r="AR529" s="105" t="n">
        <v>0</v>
      </c>
      <c r="AS529" s="105" t="n">
        <v>0</v>
      </c>
      <c r="AT529" s="105" t="n">
        <v>0</v>
      </c>
      <c r="AU529" s="105" t="n">
        <v>0</v>
      </c>
      <c r="AV529" s="105" t="n">
        <v>0</v>
      </c>
      <c r="AW529" s="105" t="n">
        <v>15</v>
      </c>
      <c r="AX529" s="105" t="n">
        <v>0</v>
      </c>
      <c r="AY529" s="105" t="n">
        <v>0</v>
      </c>
      <c r="AZ529" s="105" t="n">
        <v>0</v>
      </c>
      <c r="BA529" s="105" t="n">
        <v>0</v>
      </c>
      <c r="BB529" s="105" t="n">
        <v>0</v>
      </c>
      <c r="BC529" s="105" t="n">
        <v>0</v>
      </c>
      <c r="BD529" s="105" t="n">
        <v>0</v>
      </c>
      <c r="BE529" s="105" t="n">
        <v>0</v>
      </c>
      <c r="BF529" s="105" t="n">
        <v>0</v>
      </c>
      <c r="BG529" s="105" t="n">
        <v>0</v>
      </c>
      <c r="BH529" s="105" t="n">
        <v>0</v>
      </c>
      <c r="BI529" s="105" t="n">
        <v>0</v>
      </c>
      <c r="BJ529" s="105" t="n">
        <v>0</v>
      </c>
      <c r="BK529" s="105" t="n">
        <v>0</v>
      </c>
      <c r="BL529" s="105" t="n">
        <v>0</v>
      </c>
      <c r="BM529" s="105" t="n">
        <v>0</v>
      </c>
      <c r="BN529" s="105" t="n">
        <v>0</v>
      </c>
      <c r="BO529" s="105" t="n">
        <v>0</v>
      </c>
      <c r="BP529" s="105" t="n">
        <v>0</v>
      </c>
      <c r="BQ529" s="105" t="n">
        <v>0</v>
      </c>
      <c r="BR529" s="106" t="n">
        <v>0.916666666666667</v>
      </c>
      <c r="BS529" s="106" t="n">
        <v>0.931944444444444</v>
      </c>
      <c r="BT529" s="107"/>
      <c r="BU529" s="107"/>
      <c r="BV529" s="107"/>
      <c r="BW529" s="107"/>
      <c r="BX529" s="107"/>
      <c r="BY529" s="107"/>
      <c r="BZ529" s="107"/>
      <c r="CA529" s="107"/>
      <c r="CB529" s="107"/>
      <c r="CC529" s="107"/>
      <c r="CD529" s="107"/>
      <c r="CE529" s="107"/>
      <c r="CF529" s="107"/>
      <c r="CG529" s="107"/>
      <c r="CH529" s="107"/>
      <c r="CI529" s="107"/>
      <c r="CJ529" s="107"/>
      <c r="CK529" s="107"/>
      <c r="CL529" s="107"/>
      <c r="CM529" s="107"/>
      <c r="CN529" s="107"/>
      <c r="CO529" s="107"/>
      <c r="CP529" s="107"/>
      <c r="CQ529" s="107"/>
      <c r="CR529" s="107"/>
      <c r="CS529" s="107"/>
      <c r="CT529" s="107"/>
      <c r="CU529" s="107"/>
      <c r="CV529" s="107"/>
    </row>
    <row r="530" customFormat="false" ht="14.9" hidden="false" customHeight="false" outlineLevel="0" collapsed="false">
      <c r="A530" s="74" t="n">
        <f aca="false">MONTH(B530)</f>
        <v>9</v>
      </c>
      <c r="B530" s="135" t="n">
        <v>44454</v>
      </c>
      <c r="C530" s="128" t="s">
        <v>70</v>
      </c>
      <c r="D530" s="77" t="str">
        <f aca="false">IFERROR(VLOOKUP(E:E,'Item Data Support Sheet'!A:O,7,0),"")</f>
        <v>NIPPLE PUNCH</v>
      </c>
      <c r="E530" s="80" t="s">
        <v>666</v>
      </c>
      <c r="F530" s="122"/>
      <c r="G530" s="137"/>
      <c r="H530" s="79" t="str">
        <f aca="false">IFERROR(VLOOKUP(E:E,'Item Data Support Sheet'!A:O,2,0),"")</f>
        <v>NIPPLE S TYPE L SIZE PUNCHED</v>
      </c>
      <c r="I530" s="80" t="s">
        <v>1119</v>
      </c>
      <c r="J530" s="80" t="s">
        <v>155</v>
      </c>
      <c r="K530" s="81" t="n">
        <v>8</v>
      </c>
      <c r="L530" s="124" t="n">
        <v>7000</v>
      </c>
      <c r="M530" s="83" t="n">
        <f aca="false">IFERROR(L530/K530,0)</f>
        <v>875</v>
      </c>
      <c r="N530" s="84" t="n">
        <f aca="false">+O530+Q530+T530+U530</f>
        <v>7350</v>
      </c>
      <c r="O530" s="85" t="n">
        <v>7350</v>
      </c>
      <c r="P530" s="86" t="n">
        <v>0</v>
      </c>
      <c r="Q530" s="86" t="n">
        <v>0</v>
      </c>
      <c r="R530" s="132" t="n">
        <v>0</v>
      </c>
      <c r="S530" s="128" t="n">
        <v>0</v>
      </c>
      <c r="T530" s="132" t="n">
        <v>0</v>
      </c>
      <c r="U530" s="128" t="n">
        <v>0</v>
      </c>
      <c r="V530" s="128" t="n">
        <v>1</v>
      </c>
      <c r="W530" s="90" t="n">
        <f aca="false">IFERROR(O530/V530,0)</f>
        <v>7350</v>
      </c>
      <c r="X530" s="91" t="n">
        <f aca="false">O530/L530</f>
        <v>1.05</v>
      </c>
      <c r="Y530" s="92" t="str">
        <f aca="false">IFERROR(VLOOKUP(E:E,'Item Data Support Sheet'!A:J,6,0),0)</f>
        <v>FO017</v>
      </c>
      <c r="Z530" s="93" t="n">
        <f aca="false">IFERROR(VLOOKUP(E:E,'Item Data Support Sheet'!A:O,4,0),0)</f>
        <v>0</v>
      </c>
      <c r="AA530" s="93" t="n">
        <f aca="false">IFERROR(((N530)*(Z530/1000))+P530,0)</f>
        <v>0</v>
      </c>
      <c r="AB530" s="94" t="str">
        <f aca="false">IFERROR((O530*(Z530/1000)/(AA530))," ")</f>
        <v> </v>
      </c>
      <c r="AC530" s="95" t="n">
        <f aca="false">IFERROR((T530)/((T530)+O530),0)</f>
        <v>0</v>
      </c>
      <c r="AD530" s="96" t="n">
        <f aca="false">IFERROR(Q530/(Q530+N530),0)</f>
        <v>0</v>
      </c>
      <c r="AE530" s="91" t="n">
        <f aca="false">(N530-T530)/N530</f>
        <v>1</v>
      </c>
      <c r="AF530" s="97" t="n">
        <f aca="false">BR530</f>
        <v>0.666666666666667</v>
      </c>
      <c r="AG530" s="98" t="n">
        <f aca="false">K530-AF530</f>
        <v>7.33333333333333</v>
      </c>
      <c r="AH530" s="99" t="n">
        <f aca="false">IFERROR(AG530/K530," ")</f>
        <v>0.916666666666667</v>
      </c>
      <c r="AI530" s="100" t="n">
        <f aca="false">IFERROR(O530/K530,0)</f>
        <v>918.75</v>
      </c>
      <c r="AJ530" s="101" t="n">
        <f aca="false">VLOOKUP(D530,'Standard Cycle time'!C:D,2,0)</f>
        <v>3.5</v>
      </c>
      <c r="AK530" s="101" t="n">
        <f aca="false">AG530*V530*3600/O530</f>
        <v>3.59183673469388</v>
      </c>
      <c r="AL530" s="102" t="n">
        <f aca="false">AJ530/AK530</f>
        <v>0.974431818181818</v>
      </c>
      <c r="AM530" s="99" t="n">
        <f aca="false">AE530*AL530*AH530</f>
        <v>0.893229166666667</v>
      </c>
      <c r="AN530" s="103" t="s">
        <v>1120</v>
      </c>
      <c r="AO530" s="112"/>
      <c r="AP530" s="105" t="n">
        <v>40</v>
      </c>
      <c r="AQ530" s="105" t="n">
        <v>0</v>
      </c>
      <c r="AR530" s="105" t="n">
        <v>0</v>
      </c>
      <c r="AS530" s="105" t="n">
        <v>0</v>
      </c>
      <c r="AT530" s="105" t="n">
        <v>0</v>
      </c>
      <c r="AU530" s="105" t="n">
        <v>0</v>
      </c>
      <c r="AV530" s="105" t="n">
        <v>0</v>
      </c>
      <c r="AW530" s="105" t="n">
        <v>0</v>
      </c>
      <c r="AX530" s="105" t="n">
        <v>0</v>
      </c>
      <c r="AY530" s="105" t="n">
        <v>0</v>
      </c>
      <c r="AZ530" s="105" t="n">
        <v>0</v>
      </c>
      <c r="BA530" s="105" t="n">
        <v>0</v>
      </c>
      <c r="BB530" s="105" t="n">
        <v>0</v>
      </c>
      <c r="BC530" s="105" t="n">
        <v>0</v>
      </c>
      <c r="BD530" s="105" t="n">
        <v>0</v>
      </c>
      <c r="BE530" s="105" t="n">
        <v>0</v>
      </c>
      <c r="BF530" s="105" t="n">
        <v>0</v>
      </c>
      <c r="BG530" s="105" t="n">
        <v>0</v>
      </c>
      <c r="BH530" s="105" t="n">
        <v>0</v>
      </c>
      <c r="BI530" s="105" t="n">
        <v>0</v>
      </c>
      <c r="BJ530" s="105" t="n">
        <v>0</v>
      </c>
      <c r="BK530" s="105" t="n">
        <v>0</v>
      </c>
      <c r="BL530" s="105" t="n">
        <v>0</v>
      </c>
      <c r="BM530" s="105" t="n">
        <v>0</v>
      </c>
      <c r="BN530" s="105" t="n">
        <v>0</v>
      </c>
      <c r="BO530" s="105" t="n">
        <v>0</v>
      </c>
      <c r="BP530" s="105" t="n">
        <v>0</v>
      </c>
      <c r="BQ530" s="105" t="n">
        <v>0</v>
      </c>
      <c r="BR530" s="106" t="n">
        <v>0.666666666666667</v>
      </c>
      <c r="BS530" s="106" t="n">
        <v>0.677777777777778</v>
      </c>
      <c r="BT530" s="107"/>
      <c r="BU530" s="107"/>
      <c r="BV530" s="107"/>
      <c r="BW530" s="107"/>
      <c r="BX530" s="107"/>
      <c r="BY530" s="107"/>
      <c r="BZ530" s="107"/>
      <c r="CA530" s="107"/>
      <c r="CB530" s="107"/>
      <c r="CC530" s="107"/>
      <c r="CD530" s="107"/>
      <c r="CE530" s="107"/>
      <c r="CF530" s="107"/>
      <c r="CG530" s="107"/>
      <c r="CH530" s="107"/>
      <c r="CI530" s="107"/>
      <c r="CJ530" s="107"/>
      <c r="CK530" s="107"/>
      <c r="CL530" s="107"/>
      <c r="CM530" s="107"/>
      <c r="CN530" s="107"/>
      <c r="CO530" s="107"/>
      <c r="CP530" s="107"/>
      <c r="CQ530" s="107"/>
      <c r="CR530" s="107"/>
      <c r="CS530" s="107"/>
      <c r="CT530" s="107"/>
      <c r="CU530" s="107"/>
      <c r="CV530" s="107"/>
    </row>
    <row r="531" customFormat="false" ht="14.9" hidden="false" customHeight="false" outlineLevel="0" collapsed="false">
      <c r="A531" s="74" t="n">
        <f aca="false">MONTH(B531)</f>
        <v>9</v>
      </c>
      <c r="B531" s="135" t="n">
        <v>44454</v>
      </c>
      <c r="C531" s="128" t="s">
        <v>70</v>
      </c>
      <c r="D531" s="77" t="str">
        <f aca="false">IFERROR(VLOOKUP(E:E,'Item Data Support Sheet'!A:O,7,0),"")</f>
        <v>HOOD MOLDED</v>
      </c>
      <c r="E531" s="80" t="s">
        <v>529</v>
      </c>
      <c r="F531" s="122"/>
      <c r="G531" s="137"/>
      <c r="H531" s="79" t="str">
        <f aca="false">IFERROR(VLOOKUP(E:E,'Item Data Support Sheet'!A:O,2,0),"")</f>
        <v>HOOD S TYPE MOLDED</v>
      </c>
      <c r="I531" s="80" t="s">
        <v>1121</v>
      </c>
      <c r="J531" s="80" t="s">
        <v>155</v>
      </c>
      <c r="K531" s="81" t="n">
        <v>8</v>
      </c>
      <c r="L531" s="124" t="n">
        <v>4137</v>
      </c>
      <c r="M531" s="83" t="n">
        <f aca="false">IFERROR(L531/K531,0)</f>
        <v>517.125</v>
      </c>
      <c r="N531" s="84" t="n">
        <f aca="false">+O531+Q531+T531+U531</f>
        <v>5203</v>
      </c>
      <c r="O531" s="85" t="n">
        <v>5200</v>
      </c>
      <c r="P531" s="86" t="n">
        <v>0</v>
      </c>
      <c r="Q531" s="86" t="n">
        <v>0</v>
      </c>
      <c r="R531" s="132" t="n">
        <v>0</v>
      </c>
      <c r="S531" s="128" t="n">
        <v>0</v>
      </c>
      <c r="T531" s="132" t="n">
        <v>3</v>
      </c>
      <c r="U531" s="128" t="n">
        <v>0</v>
      </c>
      <c r="V531" s="128" t="n">
        <v>1</v>
      </c>
      <c r="W531" s="90" t="n">
        <f aca="false">IFERROR(O531/V531,0)</f>
        <v>5200</v>
      </c>
      <c r="X531" s="91" t="n">
        <f aca="false">O531/L531</f>
        <v>1.25694948029973</v>
      </c>
      <c r="Y531" s="92" t="str">
        <f aca="false">IFERROR(VLOOKUP(E:E,'Item Data Support Sheet'!A:J,6,0),0)</f>
        <v>HMC</v>
      </c>
      <c r="Z531" s="93" t="n">
        <f aca="false">IFERROR(VLOOKUP(E:E,'Item Data Support Sheet'!A:O,4,0),0)</f>
        <v>8.6</v>
      </c>
      <c r="AA531" s="93" t="n">
        <f aca="false">IFERROR(((N531)*(Z531/1000))+P531,0)</f>
        <v>44.7458</v>
      </c>
      <c r="AB531" s="94" t="n">
        <f aca="false">IFERROR((O531*(Z531/1000)/(AA531))," ")</f>
        <v>0.999423409571401</v>
      </c>
      <c r="AC531" s="95" t="n">
        <f aca="false">IFERROR((T531)/((T531)+O531),0)</f>
        <v>0.000576590428598885</v>
      </c>
      <c r="AD531" s="96" t="n">
        <f aca="false">IFERROR(Q531/(Q531+N531),0)</f>
        <v>0</v>
      </c>
      <c r="AE531" s="91" t="n">
        <f aca="false">(N531-T531)/N531</f>
        <v>0.999423409571401</v>
      </c>
      <c r="AF531" s="97" t="n">
        <f aca="false">BR531</f>
        <v>0</v>
      </c>
      <c r="AG531" s="98" t="n">
        <f aca="false">K531-AF531</f>
        <v>8</v>
      </c>
      <c r="AH531" s="99" t="n">
        <f aca="false">IFERROR(AG531/K531," ")</f>
        <v>1</v>
      </c>
      <c r="AI531" s="100" t="n">
        <f aca="false">IFERROR(O531/K531,0)</f>
        <v>650</v>
      </c>
      <c r="AJ531" s="101" t="n">
        <f aca="false">VLOOKUP(D531,'Standard Cycle time'!C:D,2,0)</f>
        <v>6</v>
      </c>
      <c r="AK531" s="101" t="n">
        <f aca="false">AG531*V531*3600/O531</f>
        <v>5.53846153846154</v>
      </c>
      <c r="AL531" s="102" t="n">
        <f aca="false">AJ531/AK531</f>
        <v>1.08333333333333</v>
      </c>
      <c r="AM531" s="99" t="n">
        <f aca="false">AE531*AL531*AH531</f>
        <v>1.08270869370235</v>
      </c>
      <c r="AN531" s="103" t="n">
        <v>3244</v>
      </c>
      <c r="AO531" s="112"/>
      <c r="AP531" s="105" t="n">
        <v>0</v>
      </c>
      <c r="AQ531" s="105" t="n">
        <v>0</v>
      </c>
      <c r="AR531" s="105" t="n">
        <v>0</v>
      </c>
      <c r="AS531" s="105" t="n">
        <v>0</v>
      </c>
      <c r="AT531" s="105" t="n">
        <v>0</v>
      </c>
      <c r="AU531" s="105" t="n">
        <v>0</v>
      </c>
      <c r="AV531" s="105" t="n">
        <v>0</v>
      </c>
      <c r="AW531" s="105" t="n">
        <v>0</v>
      </c>
      <c r="AX531" s="105" t="n">
        <v>0</v>
      </c>
      <c r="AY531" s="105" t="n">
        <v>0</v>
      </c>
      <c r="AZ531" s="105" t="n">
        <v>0</v>
      </c>
      <c r="BA531" s="105" t="n">
        <v>0</v>
      </c>
      <c r="BB531" s="105" t="n">
        <v>0</v>
      </c>
      <c r="BC531" s="105" t="n">
        <v>0</v>
      </c>
      <c r="BD531" s="105" t="n">
        <v>0</v>
      </c>
      <c r="BE531" s="105" t="n">
        <v>0</v>
      </c>
      <c r="BF531" s="105" t="n">
        <v>0</v>
      </c>
      <c r="BG531" s="105" t="n">
        <v>0</v>
      </c>
      <c r="BH531" s="105" t="n">
        <v>0</v>
      </c>
      <c r="BI531" s="105" t="n">
        <v>0</v>
      </c>
      <c r="BJ531" s="105" t="n">
        <v>0</v>
      </c>
      <c r="BK531" s="105" t="n">
        <v>0</v>
      </c>
      <c r="BL531" s="105" t="n">
        <v>0</v>
      </c>
      <c r="BM531" s="105" t="n">
        <v>0</v>
      </c>
      <c r="BN531" s="105" t="n">
        <v>0</v>
      </c>
      <c r="BO531" s="105" t="n">
        <v>0</v>
      </c>
      <c r="BP531" s="105" t="n">
        <v>0</v>
      </c>
      <c r="BQ531" s="105" t="n">
        <v>0</v>
      </c>
      <c r="BR531" s="106" t="n">
        <v>0</v>
      </c>
      <c r="BS531" s="106" t="n">
        <v>0</v>
      </c>
      <c r="BT531" s="107"/>
      <c r="BU531" s="107"/>
      <c r="BV531" s="107"/>
      <c r="BW531" s="107"/>
      <c r="BX531" s="107"/>
      <c r="BY531" s="107"/>
      <c r="BZ531" s="107"/>
      <c r="CA531" s="107"/>
      <c r="CB531" s="107"/>
      <c r="CC531" s="107"/>
      <c r="CD531" s="107"/>
      <c r="CE531" s="107"/>
      <c r="CF531" s="107"/>
      <c r="CG531" s="107"/>
      <c r="CH531" s="107"/>
      <c r="CI531" s="107"/>
      <c r="CJ531" s="107"/>
      <c r="CK531" s="107"/>
      <c r="CL531" s="107"/>
      <c r="CM531" s="107"/>
      <c r="CN531" s="107"/>
      <c r="CO531" s="107"/>
      <c r="CP531" s="107"/>
      <c r="CQ531" s="107"/>
      <c r="CR531" s="107"/>
      <c r="CS531" s="107"/>
      <c r="CT531" s="107"/>
      <c r="CU531" s="107"/>
      <c r="CV531" s="107"/>
    </row>
    <row r="532" customFormat="false" ht="14.9" hidden="false" customHeight="false" outlineLevel="0" collapsed="false">
      <c r="A532" s="74" t="n">
        <f aca="false">MONTH(B532)</f>
        <v>9</v>
      </c>
      <c r="B532" s="135" t="n">
        <v>44454</v>
      </c>
      <c r="C532" s="128" t="s">
        <v>70</v>
      </c>
      <c r="D532" s="77" t="str">
        <f aca="false">IFERROR(VLOOKUP(E:E,'Item Data Support Sheet'!A:O,7,0),"")</f>
        <v>NIPPLE MOLDED</v>
      </c>
      <c r="E532" s="80" t="s">
        <v>661</v>
      </c>
      <c r="F532" s="122" t="s">
        <v>137</v>
      </c>
      <c r="G532" s="137" t="s">
        <v>138</v>
      </c>
      <c r="H532" s="79" t="str">
        <f aca="false">IFERROR(VLOOKUP(E:E,'Item Data Support Sheet'!A:O,2,0),"")</f>
        <v>NIPPLE S TYPE L SIZE INJECTION</v>
      </c>
      <c r="I532" s="80" t="s">
        <v>1122</v>
      </c>
      <c r="J532" s="80" t="s">
        <v>155</v>
      </c>
      <c r="K532" s="81" t="n">
        <v>8</v>
      </c>
      <c r="L532" s="124" t="n">
        <v>4815</v>
      </c>
      <c r="M532" s="83" t="n">
        <f aca="false">IFERROR(L532/K532,0)</f>
        <v>601.875</v>
      </c>
      <c r="N532" s="84" t="n">
        <f aca="false">+O532+Q532+T532+U532</f>
        <v>5090</v>
      </c>
      <c r="O532" s="85" t="n">
        <v>5000</v>
      </c>
      <c r="P532" s="86" t="n">
        <v>0</v>
      </c>
      <c r="Q532" s="86" t="n">
        <v>40</v>
      </c>
      <c r="R532" s="132" t="n">
        <v>0</v>
      </c>
      <c r="S532" s="128" t="n">
        <v>0</v>
      </c>
      <c r="T532" s="132" t="n">
        <v>50</v>
      </c>
      <c r="U532" s="128" t="n">
        <v>0</v>
      </c>
      <c r="V532" s="128" t="n">
        <v>1</v>
      </c>
      <c r="W532" s="90" t="n">
        <f aca="false">IFERROR(O532/V532,0)</f>
        <v>5000</v>
      </c>
      <c r="X532" s="91" t="n">
        <f aca="false">O532/L532</f>
        <v>1.03842159916926</v>
      </c>
      <c r="Y532" s="92" t="str">
        <f aca="false">IFERROR(VLOOKUP(E:E,'Item Data Support Sheet'!A:J,6,0),0)</f>
        <v>Silicon</v>
      </c>
      <c r="Z532" s="93" t="n">
        <f aca="false">IFERROR(VLOOKUP(E:E,'Item Data Support Sheet'!A:O,4,0),0)</f>
        <v>6.8</v>
      </c>
      <c r="AA532" s="93" t="n">
        <f aca="false">IFERROR(((N532)*(Z532/1000))+P532,0)</f>
        <v>34.612</v>
      </c>
      <c r="AB532" s="94" t="n">
        <f aca="false">IFERROR((O532*(Z532/1000)/(AA532))," ")</f>
        <v>0.982318271119843</v>
      </c>
      <c r="AC532" s="95" t="n">
        <f aca="false">IFERROR((T532)/((T532)+O532),0)</f>
        <v>0.0099009900990099</v>
      </c>
      <c r="AD532" s="96" t="n">
        <f aca="false">IFERROR(Q532/(Q532+N532),0)</f>
        <v>0.00779727095516569</v>
      </c>
      <c r="AE532" s="91" t="n">
        <f aca="false">(N532-T532)/N532</f>
        <v>0.990176817288802</v>
      </c>
      <c r="AF532" s="97" t="n">
        <f aca="false">BR532</f>
        <v>0</v>
      </c>
      <c r="AG532" s="98" t="n">
        <f aca="false">K532-AF532</f>
        <v>8</v>
      </c>
      <c r="AH532" s="99" t="n">
        <f aca="false">IFERROR(AG532/K532," ")</f>
        <v>1</v>
      </c>
      <c r="AI532" s="100" t="n">
        <f aca="false">IFERROR(O532/K532,0)</f>
        <v>625</v>
      </c>
      <c r="AJ532" s="101" t="n">
        <f aca="false">VLOOKUP(D532,'Standard Cycle time'!C:D,2,0)</f>
        <v>5.25</v>
      </c>
      <c r="AK532" s="101" t="n">
        <f aca="false">AG532*V532*3600/O532</f>
        <v>5.76</v>
      </c>
      <c r="AL532" s="102" t="n">
        <f aca="false">AJ532/AK532</f>
        <v>0.911458333333333</v>
      </c>
      <c r="AM532" s="99" t="n">
        <f aca="false">AE532*AL532*AH532</f>
        <v>0.902504911591356</v>
      </c>
      <c r="AN532" s="103" t="n">
        <v>3243</v>
      </c>
      <c r="AO532" s="112"/>
      <c r="AP532" s="105" t="n">
        <v>0</v>
      </c>
      <c r="AQ532" s="105" t="n">
        <v>0</v>
      </c>
      <c r="AR532" s="105" t="n">
        <v>0</v>
      </c>
      <c r="AS532" s="105" t="n">
        <v>0</v>
      </c>
      <c r="AT532" s="105" t="n">
        <v>0</v>
      </c>
      <c r="AU532" s="105" t="n">
        <v>0</v>
      </c>
      <c r="AV532" s="105" t="n">
        <v>0</v>
      </c>
      <c r="AW532" s="105" t="n">
        <v>0</v>
      </c>
      <c r="AX532" s="105" t="n">
        <v>0</v>
      </c>
      <c r="AY532" s="105" t="n">
        <v>0</v>
      </c>
      <c r="AZ532" s="105" t="n">
        <v>0</v>
      </c>
      <c r="BA532" s="105" t="n">
        <v>0</v>
      </c>
      <c r="BB532" s="105" t="n">
        <v>0</v>
      </c>
      <c r="BC532" s="105" t="n">
        <v>0</v>
      </c>
      <c r="BD532" s="105" t="n">
        <v>0</v>
      </c>
      <c r="BE532" s="105" t="n">
        <v>0</v>
      </c>
      <c r="BF532" s="105" t="n">
        <v>0</v>
      </c>
      <c r="BG532" s="105" t="n">
        <v>0</v>
      </c>
      <c r="BH532" s="105" t="n">
        <v>0</v>
      </c>
      <c r="BI532" s="105" t="n">
        <v>0</v>
      </c>
      <c r="BJ532" s="105" t="n">
        <v>0</v>
      </c>
      <c r="BK532" s="105" t="n">
        <v>0</v>
      </c>
      <c r="BL532" s="105" t="n">
        <v>0</v>
      </c>
      <c r="BM532" s="105" t="n">
        <v>0</v>
      </c>
      <c r="BN532" s="105" t="n">
        <v>0</v>
      </c>
      <c r="BO532" s="105" t="n">
        <v>0</v>
      </c>
      <c r="BP532" s="105" t="n">
        <v>0</v>
      </c>
      <c r="BQ532" s="105" t="n">
        <v>0</v>
      </c>
      <c r="BR532" s="106" t="n">
        <v>0</v>
      </c>
      <c r="BS532" s="106" t="n">
        <v>0</v>
      </c>
      <c r="BT532" s="107"/>
      <c r="BU532" s="107"/>
      <c r="BV532" s="107"/>
      <c r="BW532" s="107"/>
      <c r="BX532" s="107"/>
      <c r="BY532" s="107"/>
      <c r="BZ532" s="107"/>
      <c r="CA532" s="107"/>
      <c r="CB532" s="107"/>
      <c r="CC532" s="107"/>
      <c r="CD532" s="107"/>
      <c r="CE532" s="107"/>
      <c r="CF532" s="107"/>
      <c r="CG532" s="107"/>
      <c r="CH532" s="107"/>
      <c r="CI532" s="107"/>
      <c r="CJ532" s="107"/>
      <c r="CK532" s="107"/>
      <c r="CL532" s="107"/>
      <c r="CM532" s="107"/>
      <c r="CN532" s="107"/>
      <c r="CO532" s="107"/>
      <c r="CP532" s="107"/>
      <c r="CQ532" s="107"/>
      <c r="CR532" s="107"/>
      <c r="CS532" s="107"/>
      <c r="CT532" s="107"/>
      <c r="CU532" s="107"/>
      <c r="CV532" s="107"/>
    </row>
    <row r="533" customFormat="false" ht="14.9" hidden="false" customHeight="false" outlineLevel="0" collapsed="false">
      <c r="A533" s="74" t="n">
        <f aca="false">MONTH(B533)</f>
        <v>9</v>
      </c>
      <c r="B533" s="135" t="n">
        <v>44454</v>
      </c>
      <c r="C533" s="128" t="s">
        <v>70</v>
      </c>
      <c r="D533" s="77" t="str">
        <f aca="false">IFERROR(VLOOKUP(E:E,'Item Data Support Sheet'!A:O,7,0),"")</f>
        <v>NIPPLE LASER MARKING</v>
      </c>
      <c r="E533" s="80" t="s">
        <v>932</v>
      </c>
      <c r="F533" s="122"/>
      <c r="G533" s="137"/>
      <c r="H533" s="79" t="str">
        <f aca="false">IFERROR(VLOOKUP(E:E,'Item Data Support Sheet'!A:O,2,0),"")</f>
        <v>NIPPLE S TYPE M SIZE PUNCHED LASER MARKED</v>
      </c>
      <c r="I533" s="80" t="s">
        <v>1123</v>
      </c>
      <c r="J533" s="80" t="s">
        <v>155</v>
      </c>
      <c r="K533" s="81" t="n">
        <v>4</v>
      </c>
      <c r="L533" s="124" t="n">
        <v>3626</v>
      </c>
      <c r="M533" s="83" t="n">
        <f aca="false">IFERROR(L533/K533,0)</f>
        <v>906.5</v>
      </c>
      <c r="N533" s="84" t="n">
        <f aca="false">+O533+Q533+T533+U533</f>
        <v>3626</v>
      </c>
      <c r="O533" s="85" t="n">
        <v>3626</v>
      </c>
      <c r="P533" s="86" t="n">
        <v>0</v>
      </c>
      <c r="Q533" s="86" t="n">
        <v>0</v>
      </c>
      <c r="R533" s="132" t="n">
        <v>0</v>
      </c>
      <c r="S533" s="128" t="n">
        <v>0</v>
      </c>
      <c r="T533" s="132" t="n">
        <v>0</v>
      </c>
      <c r="U533" s="128" t="n">
        <v>0</v>
      </c>
      <c r="V533" s="128" t="n">
        <v>1</v>
      </c>
      <c r="W533" s="90" t="n">
        <f aca="false">IFERROR(O533/V533,0)</f>
        <v>3626</v>
      </c>
      <c r="X533" s="91" t="n">
        <f aca="false">O533/L533</f>
        <v>1</v>
      </c>
      <c r="Y533" s="92" t="str">
        <f aca="false">IFERROR(VLOOKUP(E:E,'Item Data Support Sheet'!A:J,6,0),0)</f>
        <v>FO020</v>
      </c>
      <c r="Z533" s="93" t="n">
        <f aca="false">IFERROR(VLOOKUP(E:E,'Item Data Support Sheet'!A:O,4,0),0)</f>
        <v>0</v>
      </c>
      <c r="AA533" s="93" t="n">
        <f aca="false">IFERROR(((N533)*(Z533/1000))+P533,0)</f>
        <v>0</v>
      </c>
      <c r="AB533" s="94" t="str">
        <f aca="false">IFERROR((O533*(Z533/1000)/(AA533))," ")</f>
        <v> </v>
      </c>
      <c r="AC533" s="95" t="n">
        <f aca="false">IFERROR((T533)/((T533)+O533),0)</f>
        <v>0</v>
      </c>
      <c r="AD533" s="96" t="n">
        <f aca="false">IFERROR(Q533/(Q533+N533),0)</f>
        <v>0</v>
      </c>
      <c r="AE533" s="91" t="n">
        <f aca="false">(N533-T533)/N533</f>
        <v>1</v>
      </c>
      <c r="AF533" s="97" t="n">
        <f aca="false">BR533</f>
        <v>0.666666666666667</v>
      </c>
      <c r="AG533" s="98" t="n">
        <f aca="false">K533-AF533</f>
        <v>3.33333333333333</v>
      </c>
      <c r="AH533" s="99" t="n">
        <f aca="false">IFERROR(AG533/K533," ")</f>
        <v>0.833333333333333</v>
      </c>
      <c r="AI533" s="100" t="n">
        <f aca="false">IFERROR(O533/K533,0)</f>
        <v>906.5</v>
      </c>
      <c r="AJ533" s="101" t="n">
        <f aca="false">VLOOKUP(D533,'Standard Cycle time'!C:D,2,0)</f>
        <v>3.5</v>
      </c>
      <c r="AK533" s="101" t="n">
        <f aca="false">AG533*V533*3600/O533</f>
        <v>3.30943188086045</v>
      </c>
      <c r="AL533" s="102" t="n">
        <f aca="false">AJ533/AK533</f>
        <v>1.05758333333333</v>
      </c>
      <c r="AM533" s="99" t="n">
        <f aca="false">AE533*AL533*AH533</f>
        <v>0.881319444444445</v>
      </c>
      <c r="AN533" s="103" t="s">
        <v>1124</v>
      </c>
      <c r="AO533" s="112"/>
      <c r="AP533" s="105" t="n">
        <v>40</v>
      </c>
      <c r="AQ533" s="105" t="n">
        <v>0</v>
      </c>
      <c r="AR533" s="105" t="n">
        <v>0</v>
      </c>
      <c r="AS533" s="105" t="n">
        <v>0</v>
      </c>
      <c r="AT533" s="105" t="n">
        <v>0</v>
      </c>
      <c r="AU533" s="105" t="n">
        <v>0</v>
      </c>
      <c r="AV533" s="105" t="n">
        <v>0</v>
      </c>
      <c r="AW533" s="105" t="n">
        <v>0</v>
      </c>
      <c r="AX533" s="105" t="n">
        <v>0</v>
      </c>
      <c r="AY533" s="105" t="n">
        <v>0</v>
      </c>
      <c r="AZ533" s="105" t="n">
        <v>0</v>
      </c>
      <c r="BA533" s="105" t="n">
        <v>0</v>
      </c>
      <c r="BB533" s="105" t="n">
        <v>0</v>
      </c>
      <c r="BC533" s="105" t="n">
        <v>0</v>
      </c>
      <c r="BD533" s="105" t="n">
        <v>0</v>
      </c>
      <c r="BE533" s="105" t="n">
        <v>0</v>
      </c>
      <c r="BF533" s="105" t="n">
        <v>0</v>
      </c>
      <c r="BG533" s="105" t="n">
        <v>0</v>
      </c>
      <c r="BH533" s="105" t="n">
        <v>0</v>
      </c>
      <c r="BI533" s="105" t="n">
        <v>0</v>
      </c>
      <c r="BJ533" s="105" t="n">
        <v>0</v>
      </c>
      <c r="BK533" s="105" t="n">
        <v>0</v>
      </c>
      <c r="BL533" s="105" t="n">
        <v>0</v>
      </c>
      <c r="BM533" s="105" t="n">
        <v>0</v>
      </c>
      <c r="BN533" s="105" t="n">
        <v>0</v>
      </c>
      <c r="BO533" s="105" t="n">
        <v>0</v>
      </c>
      <c r="BP533" s="105" t="n">
        <v>0</v>
      </c>
      <c r="BQ533" s="105" t="n">
        <v>0</v>
      </c>
      <c r="BR533" s="106" t="n">
        <v>0.666666666666667</v>
      </c>
      <c r="BS533" s="106" t="n">
        <v>0.677777777777778</v>
      </c>
      <c r="BT533" s="107"/>
      <c r="BU533" s="107"/>
      <c r="BV533" s="107"/>
      <c r="BW533" s="107"/>
      <c r="BX533" s="107"/>
      <c r="BY533" s="107"/>
      <c r="BZ533" s="107"/>
      <c r="CA533" s="107"/>
      <c r="CB533" s="107"/>
      <c r="CC533" s="107"/>
      <c r="CD533" s="107"/>
      <c r="CE533" s="107"/>
      <c r="CF533" s="107"/>
      <c r="CG533" s="107"/>
      <c r="CH533" s="107"/>
      <c r="CI533" s="107"/>
      <c r="CJ533" s="107"/>
      <c r="CK533" s="107"/>
      <c r="CL533" s="107"/>
      <c r="CM533" s="107"/>
      <c r="CN533" s="107"/>
      <c r="CO533" s="107"/>
      <c r="CP533" s="107"/>
      <c r="CQ533" s="107"/>
      <c r="CR533" s="107"/>
      <c r="CS533" s="107"/>
      <c r="CT533" s="107"/>
      <c r="CU533" s="107"/>
      <c r="CV533" s="107"/>
    </row>
    <row r="534" customFormat="false" ht="14.9" hidden="false" customHeight="false" outlineLevel="0" collapsed="false">
      <c r="A534" s="74" t="n">
        <f aca="false">MONTH(B534)</f>
        <v>9</v>
      </c>
      <c r="B534" s="135" t="n">
        <v>44454</v>
      </c>
      <c r="C534" s="128" t="s">
        <v>70</v>
      </c>
      <c r="D534" s="77" t="str">
        <f aca="false">IFERROR(VLOOKUP(E:E,'Item Data Support Sheet'!A:O,7,0),"")</f>
        <v>NIPPLE LASER MARKING</v>
      </c>
      <c r="E534" s="80" t="s">
        <v>681</v>
      </c>
      <c r="F534" s="122"/>
      <c r="G534" s="137"/>
      <c r="H534" s="79" t="str">
        <f aca="false">IFERROR(VLOOKUP(E:E,'Item Data Support Sheet'!A:O,2,0),"")</f>
        <v>NIPPLE S TYPE L SIZE PUNCHED LASER MARKED</v>
      </c>
      <c r="I534" s="80" t="s">
        <v>1125</v>
      </c>
      <c r="J534" s="80" t="s">
        <v>155</v>
      </c>
      <c r="K534" s="81" t="n">
        <v>4</v>
      </c>
      <c r="L534" s="124" t="n">
        <v>3374</v>
      </c>
      <c r="M534" s="83" t="n">
        <f aca="false">IFERROR(L534/K534,0)</f>
        <v>843.5</v>
      </c>
      <c r="N534" s="84" t="n">
        <f aca="false">+O534+Q534+T534+U534</f>
        <v>3000</v>
      </c>
      <c r="O534" s="85" t="n">
        <v>3000</v>
      </c>
      <c r="P534" s="86" t="n">
        <v>0</v>
      </c>
      <c r="Q534" s="86" t="n">
        <v>0</v>
      </c>
      <c r="R534" s="132" t="n">
        <v>0</v>
      </c>
      <c r="S534" s="128" t="n">
        <v>0</v>
      </c>
      <c r="T534" s="132" t="n">
        <v>0</v>
      </c>
      <c r="U534" s="128" t="n">
        <v>0</v>
      </c>
      <c r="V534" s="128" t="n">
        <v>1</v>
      </c>
      <c r="W534" s="90" t="n">
        <f aca="false">IFERROR(O534/V534,0)</f>
        <v>3000</v>
      </c>
      <c r="X534" s="91" t="n">
        <f aca="false">O534/L534</f>
        <v>0.889152341434499</v>
      </c>
      <c r="Y534" s="92" t="str">
        <f aca="false">IFERROR(VLOOKUP(E:E,'Item Data Support Sheet'!A:J,6,0),0)</f>
        <v>FO021</v>
      </c>
      <c r="Z534" s="93" t="n">
        <f aca="false">IFERROR(VLOOKUP(E:E,'Item Data Support Sheet'!A:O,4,0),0)</f>
        <v>0</v>
      </c>
      <c r="AA534" s="93" t="n">
        <f aca="false">IFERROR(((N534)*(Z534/1000))+P534,0)</f>
        <v>0</v>
      </c>
      <c r="AB534" s="94" t="str">
        <f aca="false">IFERROR((O534*(Z534/1000)/(AA534))," ")</f>
        <v> </v>
      </c>
      <c r="AC534" s="95" t="n">
        <f aca="false">IFERROR((T534)/((T534)+O534),0)</f>
        <v>0</v>
      </c>
      <c r="AD534" s="96" t="n">
        <f aca="false">IFERROR(Q534/(Q534+N534),0)</f>
        <v>0</v>
      </c>
      <c r="AE534" s="91" t="n">
        <f aca="false">(N534-T534)/N534</f>
        <v>1</v>
      </c>
      <c r="AF534" s="97" t="n">
        <f aca="false">BR534</f>
        <v>0.666666666666667</v>
      </c>
      <c r="AG534" s="98" t="n">
        <f aca="false">K534-AF534</f>
        <v>3.33333333333333</v>
      </c>
      <c r="AH534" s="99" t="n">
        <f aca="false">IFERROR(AG534/K534," ")</f>
        <v>0.833333333333333</v>
      </c>
      <c r="AI534" s="100" t="n">
        <f aca="false">IFERROR(O534/K534,0)</f>
        <v>750</v>
      </c>
      <c r="AJ534" s="101" t="n">
        <f aca="false">VLOOKUP(D534,'Standard Cycle time'!C:D,2,0)</f>
        <v>3.5</v>
      </c>
      <c r="AK534" s="101" t="n">
        <f aca="false">AG534*V534*3600/O534</f>
        <v>4</v>
      </c>
      <c r="AL534" s="102" t="n">
        <f aca="false">AJ534/AK534</f>
        <v>0.875</v>
      </c>
      <c r="AM534" s="99" t="n">
        <f aca="false">AE534*AL534*AH534</f>
        <v>0.729166666666667</v>
      </c>
      <c r="AN534" s="103" t="n">
        <v>3248</v>
      </c>
      <c r="AO534" s="112"/>
      <c r="AP534" s="105" t="n">
        <v>40</v>
      </c>
      <c r="AQ534" s="105" t="n">
        <v>0</v>
      </c>
      <c r="AR534" s="105" t="n">
        <v>0</v>
      </c>
      <c r="AS534" s="105" t="n">
        <v>0</v>
      </c>
      <c r="AT534" s="105" t="n">
        <v>0</v>
      </c>
      <c r="AU534" s="105" t="n">
        <v>0</v>
      </c>
      <c r="AV534" s="105" t="n">
        <v>0</v>
      </c>
      <c r="AW534" s="105" t="n">
        <v>0</v>
      </c>
      <c r="AX534" s="105" t="n">
        <v>0</v>
      </c>
      <c r="AY534" s="105" t="n">
        <v>0</v>
      </c>
      <c r="AZ534" s="105" t="n">
        <v>0</v>
      </c>
      <c r="BA534" s="105" t="n">
        <v>0</v>
      </c>
      <c r="BB534" s="105" t="n">
        <v>0</v>
      </c>
      <c r="BC534" s="105" t="n">
        <v>0</v>
      </c>
      <c r="BD534" s="105" t="n">
        <v>0</v>
      </c>
      <c r="BE534" s="105" t="n">
        <v>0</v>
      </c>
      <c r="BF534" s="105" t="n">
        <v>0</v>
      </c>
      <c r="BG534" s="105" t="n">
        <v>0</v>
      </c>
      <c r="BH534" s="105" t="n">
        <v>0</v>
      </c>
      <c r="BI534" s="105" t="n">
        <v>0</v>
      </c>
      <c r="BJ534" s="105" t="n">
        <v>0</v>
      </c>
      <c r="BK534" s="105" t="n">
        <v>0</v>
      </c>
      <c r="BL534" s="105" t="n">
        <v>0</v>
      </c>
      <c r="BM534" s="105" t="n">
        <v>0</v>
      </c>
      <c r="BN534" s="105" t="n">
        <v>0</v>
      </c>
      <c r="BO534" s="105" t="n">
        <v>0</v>
      </c>
      <c r="BP534" s="105" t="n">
        <v>0</v>
      </c>
      <c r="BQ534" s="105" t="n">
        <v>0</v>
      </c>
      <c r="BR534" s="106" t="n">
        <v>0.666666666666667</v>
      </c>
      <c r="BS534" s="106" t="n">
        <v>0.677777777777778</v>
      </c>
      <c r="BT534" s="107"/>
      <c r="BU534" s="107"/>
      <c r="BV534" s="107"/>
      <c r="BW534" s="107"/>
      <c r="BX534" s="107"/>
      <c r="BY534" s="107"/>
      <c r="BZ534" s="107"/>
      <c r="CA534" s="107"/>
      <c r="CB534" s="107"/>
      <c r="CC534" s="107"/>
      <c r="CD534" s="107"/>
      <c r="CE534" s="107"/>
      <c r="CF534" s="107"/>
      <c r="CG534" s="107"/>
      <c r="CH534" s="107"/>
      <c r="CI534" s="107"/>
      <c r="CJ534" s="107"/>
      <c r="CK534" s="107"/>
      <c r="CL534" s="107"/>
      <c r="CM534" s="107"/>
      <c r="CN534" s="107"/>
      <c r="CO534" s="107"/>
      <c r="CP534" s="107"/>
      <c r="CQ534" s="107"/>
      <c r="CR534" s="107"/>
      <c r="CS534" s="107"/>
      <c r="CT534" s="107"/>
      <c r="CU534" s="107"/>
      <c r="CV534" s="107"/>
    </row>
    <row r="535" customFormat="false" ht="14.9" hidden="false" customHeight="false" outlineLevel="0" collapsed="false">
      <c r="A535" s="74" t="n">
        <f aca="false">MONTH(B535)</f>
        <v>9</v>
      </c>
      <c r="B535" s="135" t="n">
        <v>44454</v>
      </c>
      <c r="C535" s="128" t="s">
        <v>63</v>
      </c>
      <c r="D535" s="77" t="str">
        <f aca="false">IFERROR(VLOOKUP(E:E,'Item Data Support Sheet'!A:O,7,0),"")</f>
        <v>NIPPLE PUNCH INSPECTED</v>
      </c>
      <c r="E535" s="80" t="s">
        <v>182</v>
      </c>
      <c r="F535" s="122"/>
      <c r="G535" s="137"/>
      <c r="H535" s="79" t="str">
        <f aca="false">IFERROR(VLOOKUP(E:E,'Item Data Support Sheet'!A:O,2,0),"")</f>
        <v>NIPPLE S TYPE M SIZE PUNCHED INSPECTED</v>
      </c>
      <c r="I535" s="80" t="s">
        <v>1099</v>
      </c>
      <c r="J535" s="80" t="s">
        <v>155</v>
      </c>
      <c r="K535" s="81" t="n">
        <v>8</v>
      </c>
      <c r="L535" s="124" t="n">
        <v>14182</v>
      </c>
      <c r="M535" s="83" t="n">
        <f aca="false">IFERROR(L535/K535,0)</f>
        <v>1772.75</v>
      </c>
      <c r="N535" s="84" t="n">
        <f aca="false">+O535+Q535+T535+U535</f>
        <v>12900</v>
      </c>
      <c r="O535" s="85" t="n">
        <v>12856</v>
      </c>
      <c r="P535" s="86" t="n">
        <v>0</v>
      </c>
      <c r="Q535" s="86" t="n">
        <v>0</v>
      </c>
      <c r="R535" s="132" t="n">
        <v>0</v>
      </c>
      <c r="S535" s="128" t="n">
        <v>0</v>
      </c>
      <c r="T535" s="132" t="n">
        <v>44</v>
      </c>
      <c r="U535" s="128" t="n">
        <v>0</v>
      </c>
      <c r="V535" s="128" t="n">
        <v>1</v>
      </c>
      <c r="W535" s="90" t="n">
        <f aca="false">IFERROR(O535/V535,0)</f>
        <v>12856</v>
      </c>
      <c r="X535" s="91" t="n">
        <f aca="false">O535/L535</f>
        <v>0.906501198702581</v>
      </c>
      <c r="Y535" s="92" t="str">
        <f aca="false">IFERROR(VLOOKUP(E:E,'Item Data Support Sheet'!A:J,6,0),0)</f>
        <v>FO105</v>
      </c>
      <c r="Z535" s="93" t="n">
        <f aca="false">IFERROR(VLOOKUP(E:E,'Item Data Support Sheet'!A:O,4,0),0)</f>
        <v>0</v>
      </c>
      <c r="AA535" s="93" t="n">
        <f aca="false">IFERROR(((N535)*(Z535/1000))+P535,0)</f>
        <v>0</v>
      </c>
      <c r="AB535" s="94" t="str">
        <f aca="false">IFERROR((O535*(Z535/1000)/(AA535))," ")</f>
        <v> </v>
      </c>
      <c r="AC535" s="95" t="n">
        <f aca="false">IFERROR((T535)/((T535)+O535),0)</f>
        <v>0.00341085271317829</v>
      </c>
      <c r="AD535" s="96" t="n">
        <f aca="false">IFERROR(Q535/(Q535+N535),0)</f>
        <v>0</v>
      </c>
      <c r="AE535" s="91" t="n">
        <f aca="false">(N535-T535)/N535</f>
        <v>0.996589147286822</v>
      </c>
      <c r="AF535" s="97" t="n">
        <f aca="false">BR535</f>
        <v>0.666666666666667</v>
      </c>
      <c r="AG535" s="98" t="n">
        <f aca="false">K535-AF535</f>
        <v>7.33333333333333</v>
      </c>
      <c r="AH535" s="99" t="n">
        <f aca="false">IFERROR(AG535/K535," ")</f>
        <v>0.916666666666667</v>
      </c>
      <c r="AI535" s="100" t="n">
        <f aca="false">IFERROR(O535/K535,0)</f>
        <v>1607</v>
      </c>
      <c r="AJ535" s="101" t="n">
        <f aca="false">VLOOKUP(D535,'Standard Cycle time'!C:D,2,0)</f>
        <v>4</v>
      </c>
      <c r="AK535" s="101" t="n">
        <f aca="false">AG535*V535*3600/O535</f>
        <v>2.05351586807716</v>
      </c>
      <c r="AL535" s="102" t="n">
        <f aca="false">AJ535/AK535</f>
        <v>1.94787878787879</v>
      </c>
      <c r="AM535" s="99" t="n">
        <f aca="false">AE535*AL535*AH535</f>
        <v>1.77946528854436</v>
      </c>
      <c r="AN535" s="103" t="s">
        <v>1126</v>
      </c>
      <c r="AO535" s="112"/>
      <c r="AP535" s="105" t="n">
        <v>40</v>
      </c>
      <c r="AQ535" s="105" t="n">
        <v>0</v>
      </c>
      <c r="AR535" s="105" t="n">
        <v>0</v>
      </c>
      <c r="AS535" s="105" t="n">
        <v>0</v>
      </c>
      <c r="AT535" s="105" t="n">
        <v>0</v>
      </c>
      <c r="AU535" s="105" t="n">
        <v>0</v>
      </c>
      <c r="AV535" s="105" t="n">
        <v>0</v>
      </c>
      <c r="AW535" s="105" t="n">
        <v>0</v>
      </c>
      <c r="AX535" s="105" t="n">
        <v>0</v>
      </c>
      <c r="AY535" s="105" t="n">
        <v>0</v>
      </c>
      <c r="AZ535" s="105" t="n">
        <v>0</v>
      </c>
      <c r="BA535" s="105" t="n">
        <v>0</v>
      </c>
      <c r="BB535" s="105" t="n">
        <v>0</v>
      </c>
      <c r="BC535" s="105" t="n">
        <v>0</v>
      </c>
      <c r="BD535" s="105" t="n">
        <v>0</v>
      </c>
      <c r="BE535" s="105" t="n">
        <v>0</v>
      </c>
      <c r="BF535" s="105" t="n">
        <v>0</v>
      </c>
      <c r="BG535" s="105" t="n">
        <v>0</v>
      </c>
      <c r="BH535" s="105" t="n">
        <v>0</v>
      </c>
      <c r="BI535" s="105" t="n">
        <v>0</v>
      </c>
      <c r="BJ535" s="105" t="n">
        <v>0</v>
      </c>
      <c r="BK535" s="105" t="n">
        <v>0</v>
      </c>
      <c r="BL535" s="105" t="n">
        <v>0</v>
      </c>
      <c r="BM535" s="105" t="n">
        <v>0</v>
      </c>
      <c r="BN535" s="105" t="n">
        <v>0</v>
      </c>
      <c r="BO535" s="105" t="n">
        <v>0</v>
      </c>
      <c r="BP535" s="105" t="n">
        <v>0</v>
      </c>
      <c r="BQ535" s="105" t="n">
        <v>0</v>
      </c>
      <c r="BR535" s="106" t="n">
        <v>0.666666666666667</v>
      </c>
      <c r="BS535" s="106" t="n">
        <v>0.677777777777778</v>
      </c>
      <c r="BT535" s="107"/>
      <c r="BU535" s="107"/>
      <c r="BV535" s="107"/>
      <c r="BW535" s="107"/>
      <c r="BX535" s="107"/>
      <c r="BY535" s="107"/>
      <c r="BZ535" s="107"/>
      <c r="CA535" s="107"/>
      <c r="CB535" s="107"/>
      <c r="CC535" s="107"/>
      <c r="CD535" s="107"/>
      <c r="CE535" s="107"/>
      <c r="CF535" s="107"/>
      <c r="CG535" s="107"/>
      <c r="CH535" s="107"/>
      <c r="CI535" s="107"/>
      <c r="CJ535" s="107"/>
      <c r="CK535" s="107"/>
      <c r="CL535" s="107"/>
      <c r="CM535" s="107"/>
      <c r="CN535" s="107"/>
      <c r="CO535" s="107"/>
      <c r="CP535" s="107"/>
      <c r="CQ535" s="107"/>
      <c r="CR535" s="107"/>
      <c r="CS535" s="107"/>
      <c r="CT535" s="107"/>
      <c r="CU535" s="107"/>
      <c r="CV535" s="107"/>
    </row>
    <row r="536" customFormat="false" ht="14.9" hidden="false" customHeight="false" outlineLevel="0" collapsed="false">
      <c r="A536" s="74" t="n">
        <f aca="false">MONTH(B536)</f>
        <v>9</v>
      </c>
      <c r="B536" s="135" t="n">
        <v>44454</v>
      </c>
      <c r="C536" s="128" t="s">
        <v>70</v>
      </c>
      <c r="D536" s="77" t="str">
        <f aca="false">IFERROR(VLOOKUP(E:E,'Item Data Support Sheet'!A:O,7,0),"")</f>
        <v>BOTTLE PRINTED</v>
      </c>
      <c r="E536" s="80" t="s">
        <v>320</v>
      </c>
      <c r="F536" s="122"/>
      <c r="G536" s="137"/>
      <c r="H536" s="79" t="str">
        <f aca="false">IFERROR(VLOOKUP(E:E,'Item Data Support Sheet'!A:O,2,0),"")</f>
        <v>KPP 200 ML BOTTLE PRINTED</v>
      </c>
      <c r="I536" s="80" t="s">
        <v>1127</v>
      </c>
      <c r="J536" s="80" t="s">
        <v>155</v>
      </c>
      <c r="K536" s="81" t="n">
        <v>8</v>
      </c>
      <c r="L536" s="124" t="n">
        <v>5100</v>
      </c>
      <c r="M536" s="83" t="n">
        <f aca="false">IFERROR(L536/K536,0)</f>
        <v>637.5</v>
      </c>
      <c r="N536" s="84" t="n">
        <f aca="false">+O536+Q536+T536+U536</f>
        <v>4765</v>
      </c>
      <c r="O536" s="85" t="n">
        <v>4752</v>
      </c>
      <c r="P536" s="86" t="n">
        <v>0</v>
      </c>
      <c r="Q536" s="86" t="n">
        <v>0</v>
      </c>
      <c r="R536" s="132" t="n">
        <v>20</v>
      </c>
      <c r="S536" s="128" t="n">
        <v>0</v>
      </c>
      <c r="T536" s="132" t="n">
        <v>13</v>
      </c>
      <c r="U536" s="128" t="n">
        <v>0</v>
      </c>
      <c r="V536" s="128" t="n">
        <v>5</v>
      </c>
      <c r="W536" s="90" t="n">
        <f aca="false">IFERROR(O536/V536,0)</f>
        <v>950.4</v>
      </c>
      <c r="X536" s="91" t="n">
        <f aca="false">O536/L536</f>
        <v>0.931764705882353</v>
      </c>
      <c r="Y536" s="92" t="str">
        <f aca="false">IFERROR(VLOOKUP(E:E,'Item Data Support Sheet'!A:J,6,0),0)</f>
        <v>FO002</v>
      </c>
      <c r="Z536" s="93" t="n">
        <f aca="false">IFERROR(VLOOKUP(E:E,'Item Data Support Sheet'!A:O,4,0),0)</f>
        <v>0</v>
      </c>
      <c r="AA536" s="93" t="n">
        <f aca="false">IFERROR(((N536)*(Z536/1000))+P536,0)</f>
        <v>0</v>
      </c>
      <c r="AB536" s="94" t="str">
        <f aca="false">IFERROR((O536*(Z536/1000)/(AA536))," ")</f>
        <v> </v>
      </c>
      <c r="AC536" s="95" t="n">
        <f aca="false">IFERROR((T536)/((T536)+O536),0)</f>
        <v>0.00272822665267576</v>
      </c>
      <c r="AD536" s="96" t="n">
        <f aca="false">IFERROR(Q536/(Q536+N536),0)</f>
        <v>0</v>
      </c>
      <c r="AE536" s="91" t="n">
        <f aca="false">(N536-T536)/N536</f>
        <v>0.997271773347324</v>
      </c>
      <c r="AF536" s="97" t="n">
        <f aca="false">BR536</f>
        <v>0.666666666666667</v>
      </c>
      <c r="AG536" s="98" t="n">
        <f aca="false">K536-AF536</f>
        <v>7.33333333333333</v>
      </c>
      <c r="AH536" s="99" t="n">
        <f aca="false">IFERROR(AG536/K536," ")</f>
        <v>0.916666666666667</v>
      </c>
      <c r="AI536" s="100" t="n">
        <f aca="false">IFERROR(O536/K536,0)</f>
        <v>594</v>
      </c>
      <c r="AJ536" s="101" t="n">
        <f aca="false">VLOOKUP(D536,'Standard Cycle time'!C:D,2,0)</f>
        <v>32.4</v>
      </c>
      <c r="AK536" s="101" t="n">
        <f aca="false">AG536*V536*3600/O536</f>
        <v>27.7777777777778</v>
      </c>
      <c r="AL536" s="102" t="n">
        <f aca="false">AJ536/AK536</f>
        <v>1.1664</v>
      </c>
      <c r="AM536" s="99" t="n">
        <f aca="false">AE536*AL536*AH536</f>
        <v>1.06628298006296</v>
      </c>
      <c r="AN536" s="103" t="s">
        <v>869</v>
      </c>
      <c r="AO536" s="112"/>
      <c r="AP536" s="105" t="n">
        <v>40</v>
      </c>
      <c r="AQ536" s="105" t="n">
        <v>0</v>
      </c>
      <c r="AR536" s="105" t="n">
        <v>0</v>
      </c>
      <c r="AS536" s="105" t="n">
        <v>0</v>
      </c>
      <c r="AT536" s="105" t="n">
        <v>0</v>
      </c>
      <c r="AU536" s="105" t="n">
        <v>0</v>
      </c>
      <c r="AV536" s="105" t="n">
        <v>0</v>
      </c>
      <c r="AW536" s="105" t="n">
        <v>0</v>
      </c>
      <c r="AX536" s="105" t="n">
        <v>0</v>
      </c>
      <c r="AY536" s="105" t="n">
        <v>0</v>
      </c>
      <c r="AZ536" s="105" t="n">
        <v>0</v>
      </c>
      <c r="BA536" s="105" t="n">
        <v>0</v>
      </c>
      <c r="BB536" s="105" t="n">
        <v>0</v>
      </c>
      <c r="BC536" s="105" t="n">
        <v>0</v>
      </c>
      <c r="BD536" s="105" t="n">
        <v>0</v>
      </c>
      <c r="BE536" s="105" t="n">
        <v>0</v>
      </c>
      <c r="BF536" s="105" t="n">
        <v>0</v>
      </c>
      <c r="BG536" s="105" t="n">
        <v>0</v>
      </c>
      <c r="BH536" s="105" t="n">
        <v>0</v>
      </c>
      <c r="BI536" s="105" t="n">
        <v>0</v>
      </c>
      <c r="BJ536" s="105" t="n">
        <v>0</v>
      </c>
      <c r="BK536" s="105" t="n">
        <v>0</v>
      </c>
      <c r="BL536" s="105" t="n">
        <v>0</v>
      </c>
      <c r="BM536" s="105" t="n">
        <v>0</v>
      </c>
      <c r="BN536" s="105" t="n">
        <v>0</v>
      </c>
      <c r="BO536" s="105" t="n">
        <v>0</v>
      </c>
      <c r="BP536" s="105" t="n">
        <v>0</v>
      </c>
      <c r="BQ536" s="105" t="n">
        <v>0</v>
      </c>
      <c r="BR536" s="106" t="n">
        <v>0.666666666666667</v>
      </c>
      <c r="BS536" s="106" t="n">
        <v>0.677777777777778</v>
      </c>
      <c r="BT536" s="107"/>
      <c r="BU536" s="107"/>
      <c r="BV536" s="107"/>
      <c r="BW536" s="107"/>
      <c r="BX536" s="107"/>
      <c r="BY536" s="107"/>
      <c r="BZ536" s="107"/>
      <c r="CA536" s="107"/>
      <c r="CB536" s="107"/>
      <c r="CC536" s="107"/>
      <c r="CD536" s="107"/>
      <c r="CE536" s="107"/>
      <c r="CF536" s="107"/>
      <c r="CG536" s="107"/>
      <c r="CH536" s="107"/>
      <c r="CI536" s="107"/>
      <c r="CJ536" s="107"/>
      <c r="CK536" s="107"/>
      <c r="CL536" s="107"/>
      <c r="CM536" s="107"/>
      <c r="CN536" s="107"/>
      <c r="CO536" s="107"/>
      <c r="CP536" s="107"/>
      <c r="CQ536" s="107"/>
      <c r="CR536" s="107"/>
      <c r="CS536" s="107"/>
      <c r="CT536" s="107"/>
      <c r="CU536" s="107"/>
      <c r="CV536" s="107"/>
    </row>
    <row r="537" customFormat="false" ht="14.9" hidden="false" customHeight="false" outlineLevel="0" collapsed="false">
      <c r="A537" s="74" t="n">
        <f aca="false">MONTH(B537)</f>
        <v>9</v>
      </c>
      <c r="B537" s="135" t="n">
        <v>44454</v>
      </c>
      <c r="C537" s="128" t="s">
        <v>152</v>
      </c>
      <c r="D537" s="77" t="str">
        <f aca="false">IFERROR(VLOOKUP(E:E,'Item Data Support Sheet'!A:O,7,0),"")</f>
        <v>NIPPLE MOLDED</v>
      </c>
      <c r="E537" s="80" t="s">
        <v>661</v>
      </c>
      <c r="F537" s="122" t="s">
        <v>137</v>
      </c>
      <c r="G537" s="137" t="s">
        <v>138</v>
      </c>
      <c r="H537" s="79" t="str">
        <f aca="false">IFERROR(VLOOKUP(E:E,'Item Data Support Sheet'!A:O,2,0),"")</f>
        <v>NIPPLE S TYPE L SIZE INJECTION</v>
      </c>
      <c r="I537" s="80" t="s">
        <v>1128</v>
      </c>
      <c r="J537" s="80" t="s">
        <v>815</v>
      </c>
      <c r="K537" s="81" t="n">
        <v>8</v>
      </c>
      <c r="L537" s="124" t="n">
        <v>4815</v>
      </c>
      <c r="M537" s="83" t="n">
        <f aca="false">IFERROR(L537/K537,0)</f>
        <v>601.875</v>
      </c>
      <c r="N537" s="84" t="n">
        <f aca="false">+O537+Q537+T537+U537</f>
        <v>5353</v>
      </c>
      <c r="O537" s="85" t="n">
        <v>5300</v>
      </c>
      <c r="P537" s="86" t="n">
        <v>0</v>
      </c>
      <c r="Q537" s="86" t="n">
        <v>0</v>
      </c>
      <c r="R537" s="132" t="n">
        <v>0</v>
      </c>
      <c r="S537" s="128" t="n">
        <v>0</v>
      </c>
      <c r="T537" s="132" t="n">
        <v>45</v>
      </c>
      <c r="U537" s="128" t="n">
        <v>8</v>
      </c>
      <c r="V537" s="128" t="n">
        <v>1</v>
      </c>
      <c r="W537" s="90" t="n">
        <f aca="false">IFERROR(O537/V537,0)</f>
        <v>5300</v>
      </c>
      <c r="X537" s="91" t="n">
        <f aca="false">O537/L537</f>
        <v>1.10072689511942</v>
      </c>
      <c r="Y537" s="92" t="str">
        <f aca="false">IFERROR(VLOOKUP(E:E,'Item Data Support Sheet'!A:J,6,0),0)</f>
        <v>Silicon</v>
      </c>
      <c r="Z537" s="93" t="n">
        <f aca="false">IFERROR(VLOOKUP(E:E,'Item Data Support Sheet'!A:O,4,0),0)</f>
        <v>6.8</v>
      </c>
      <c r="AA537" s="93" t="n">
        <f aca="false">IFERROR(((N537)*(Z537/1000))+P537,0)</f>
        <v>36.4004</v>
      </c>
      <c r="AB537" s="94" t="n">
        <f aca="false">IFERROR((O537*(Z537/1000)/(AA537))," ")</f>
        <v>0.99009900990099</v>
      </c>
      <c r="AC537" s="95" t="n">
        <f aca="false">IFERROR((T537)/((T537)+O537),0)</f>
        <v>0.00841908325537886</v>
      </c>
      <c r="AD537" s="96" t="n">
        <f aca="false">IFERROR(Q537/(Q537+N537),0)</f>
        <v>0</v>
      </c>
      <c r="AE537" s="91" t="n">
        <f aca="false">(N537-T537)/N537</f>
        <v>0.991593498972539</v>
      </c>
      <c r="AF537" s="97" t="n">
        <f aca="false">BR537</f>
        <v>0</v>
      </c>
      <c r="AG537" s="98" t="n">
        <f aca="false">K537-AF537</f>
        <v>8</v>
      </c>
      <c r="AH537" s="99" t="n">
        <f aca="false">IFERROR(AG537/K537," ")</f>
        <v>1</v>
      </c>
      <c r="AI537" s="100" t="n">
        <f aca="false">IFERROR(O537/K537,0)</f>
        <v>662.5</v>
      </c>
      <c r="AJ537" s="101" t="n">
        <f aca="false">VLOOKUP(D537,'Standard Cycle time'!C:D,2,0)</f>
        <v>5.25</v>
      </c>
      <c r="AK537" s="101" t="n">
        <f aca="false">AG537*V537*3600/O537</f>
        <v>5.43396226415094</v>
      </c>
      <c r="AL537" s="102" t="n">
        <f aca="false">AJ537/AK537</f>
        <v>0.966145833333333</v>
      </c>
      <c r="AM537" s="99" t="n">
        <f aca="false">AE537*AL537*AH537</f>
        <v>0.958023927392739</v>
      </c>
      <c r="AN537" s="103" t="n">
        <v>3249</v>
      </c>
      <c r="AO537" s="112"/>
      <c r="AP537" s="105" t="n">
        <v>0</v>
      </c>
      <c r="AQ537" s="105" t="n">
        <v>0</v>
      </c>
      <c r="AR537" s="105" t="n">
        <v>0</v>
      </c>
      <c r="AS537" s="105" t="n">
        <v>0</v>
      </c>
      <c r="AT537" s="105" t="n">
        <v>0</v>
      </c>
      <c r="AU537" s="105" t="n">
        <v>0</v>
      </c>
      <c r="AV537" s="105" t="n">
        <v>0</v>
      </c>
      <c r="AW537" s="105" t="n">
        <v>0</v>
      </c>
      <c r="AX537" s="105" t="n">
        <v>0</v>
      </c>
      <c r="AY537" s="105" t="n">
        <v>0</v>
      </c>
      <c r="AZ537" s="105" t="n">
        <v>0</v>
      </c>
      <c r="BA537" s="105" t="n">
        <v>0</v>
      </c>
      <c r="BB537" s="105" t="n">
        <v>0</v>
      </c>
      <c r="BC537" s="105" t="n">
        <v>0</v>
      </c>
      <c r="BD537" s="105" t="n">
        <v>0</v>
      </c>
      <c r="BE537" s="105" t="n">
        <v>0</v>
      </c>
      <c r="BF537" s="105" t="n">
        <v>0</v>
      </c>
      <c r="BG537" s="105" t="n">
        <v>0</v>
      </c>
      <c r="BH537" s="105" t="n">
        <v>0</v>
      </c>
      <c r="BI537" s="105" t="n">
        <v>0</v>
      </c>
      <c r="BJ537" s="105" t="n">
        <v>0</v>
      </c>
      <c r="BK537" s="105" t="n">
        <v>0</v>
      </c>
      <c r="BL537" s="105" t="n">
        <v>0</v>
      </c>
      <c r="BM537" s="105" t="n">
        <v>0</v>
      </c>
      <c r="BN537" s="105" t="n">
        <v>0</v>
      </c>
      <c r="BO537" s="105" t="n">
        <v>0</v>
      </c>
      <c r="BP537" s="105" t="n">
        <v>0</v>
      </c>
      <c r="BQ537" s="105" t="n">
        <v>0</v>
      </c>
      <c r="BR537" s="106" t="n">
        <v>0</v>
      </c>
      <c r="BS537" s="106" t="n">
        <v>0</v>
      </c>
      <c r="BT537" s="107"/>
      <c r="BU537" s="107"/>
      <c r="BV537" s="107"/>
      <c r="BW537" s="107"/>
      <c r="BX537" s="107"/>
      <c r="BY537" s="107"/>
      <c r="BZ537" s="107"/>
      <c r="CA537" s="107"/>
      <c r="CB537" s="107"/>
      <c r="CC537" s="107"/>
      <c r="CD537" s="107"/>
      <c r="CE537" s="107"/>
      <c r="CF537" s="107"/>
      <c r="CG537" s="107"/>
      <c r="CH537" s="107"/>
      <c r="CI537" s="107"/>
      <c r="CJ537" s="107"/>
      <c r="CK537" s="107"/>
      <c r="CL537" s="107"/>
      <c r="CM537" s="107"/>
      <c r="CN537" s="107"/>
      <c r="CO537" s="107"/>
      <c r="CP537" s="107"/>
      <c r="CQ537" s="107"/>
      <c r="CR537" s="107"/>
      <c r="CS537" s="107"/>
      <c r="CT537" s="107"/>
      <c r="CU537" s="107"/>
      <c r="CV537" s="107"/>
    </row>
    <row r="538" customFormat="false" ht="14.9" hidden="false" customHeight="false" outlineLevel="0" collapsed="false">
      <c r="A538" s="74" t="n">
        <f aca="false">MONTH(B538)</f>
        <v>9</v>
      </c>
      <c r="B538" s="135" t="n">
        <v>44454</v>
      </c>
      <c r="C538" s="128" t="s">
        <v>152</v>
      </c>
      <c r="D538" s="77" t="str">
        <f aca="false">IFERROR(VLOOKUP(E:E,'Item Data Support Sheet'!A:O,7,0),"")</f>
        <v>HOOD MOLDED</v>
      </c>
      <c r="E538" s="80" t="s">
        <v>529</v>
      </c>
      <c r="F538" s="122"/>
      <c r="G538" s="137" t="s">
        <v>740</v>
      </c>
      <c r="H538" s="79" t="str">
        <f aca="false">IFERROR(VLOOKUP(E:E,'Item Data Support Sheet'!A:O,2,0),"")</f>
        <v>HOOD S TYPE MOLDED</v>
      </c>
      <c r="I538" s="80" t="s">
        <v>1129</v>
      </c>
      <c r="J538" s="80" t="s">
        <v>815</v>
      </c>
      <c r="K538" s="81" t="n">
        <v>8</v>
      </c>
      <c r="L538" s="124" t="n">
        <v>4137</v>
      </c>
      <c r="M538" s="83" t="n">
        <f aca="false">IFERROR(L538/K538,0)</f>
        <v>517.125</v>
      </c>
      <c r="N538" s="84" t="n">
        <f aca="false">+O538+Q538+T538+U538</f>
        <v>5513</v>
      </c>
      <c r="O538" s="85" t="n">
        <v>5500</v>
      </c>
      <c r="P538" s="86" t="n">
        <v>0</v>
      </c>
      <c r="Q538" s="86" t="n">
        <v>0</v>
      </c>
      <c r="R538" s="132" t="n">
        <v>0</v>
      </c>
      <c r="S538" s="128" t="n">
        <v>0</v>
      </c>
      <c r="T538" s="132" t="n">
        <v>5</v>
      </c>
      <c r="U538" s="128" t="n">
        <v>8</v>
      </c>
      <c r="V538" s="128" t="n">
        <v>1</v>
      </c>
      <c r="W538" s="90" t="n">
        <f aca="false">IFERROR(O538/V538,0)</f>
        <v>5500</v>
      </c>
      <c r="X538" s="91" t="n">
        <f aca="false">O538/L538</f>
        <v>1.32946579647087</v>
      </c>
      <c r="Y538" s="92" t="str">
        <f aca="false">IFERROR(VLOOKUP(E:E,'Item Data Support Sheet'!A:J,6,0),0)</f>
        <v>HMC</v>
      </c>
      <c r="Z538" s="93" t="n">
        <f aca="false">IFERROR(VLOOKUP(E:E,'Item Data Support Sheet'!A:O,4,0),0)</f>
        <v>8.6</v>
      </c>
      <c r="AA538" s="93" t="n">
        <f aca="false">IFERROR(((N538)*(Z538/1000))+P538,0)</f>
        <v>47.4118</v>
      </c>
      <c r="AB538" s="94" t="n">
        <f aca="false">IFERROR((O538*(Z538/1000)/(AA538))," ")</f>
        <v>0.997641937239253</v>
      </c>
      <c r="AC538" s="95" t="n">
        <f aca="false">IFERROR((T538)/((T538)+O538),0)</f>
        <v>0.000908265213442325</v>
      </c>
      <c r="AD538" s="96" t="n">
        <f aca="false">IFERROR(Q538/(Q538+N538),0)</f>
        <v>0</v>
      </c>
      <c r="AE538" s="91" t="n">
        <f aca="false">(N538-T538)/N538</f>
        <v>0.999093052784328</v>
      </c>
      <c r="AF538" s="97" t="n">
        <f aca="false">BR538</f>
        <v>0</v>
      </c>
      <c r="AG538" s="98" t="n">
        <f aca="false">K538-AF538</f>
        <v>8</v>
      </c>
      <c r="AH538" s="99" t="n">
        <f aca="false">IFERROR(AG538/K538," ")</f>
        <v>1</v>
      </c>
      <c r="AI538" s="100" t="n">
        <f aca="false">IFERROR(O538/K538,0)</f>
        <v>687.5</v>
      </c>
      <c r="AJ538" s="101" t="n">
        <f aca="false">VLOOKUP(D538,'Standard Cycle time'!C:D,2,0)</f>
        <v>6</v>
      </c>
      <c r="AK538" s="101" t="n">
        <f aca="false">AG538*V538*3600/O538</f>
        <v>5.23636363636364</v>
      </c>
      <c r="AL538" s="102" t="n">
        <f aca="false">AJ538/AK538</f>
        <v>1.14583333333333</v>
      </c>
      <c r="AM538" s="99" t="n">
        <f aca="false">AE538*AL538*AH538</f>
        <v>1.14479412298204</v>
      </c>
      <c r="AN538" s="103" t="n">
        <v>3250</v>
      </c>
      <c r="AO538" s="112"/>
      <c r="AP538" s="105" t="n">
        <v>0</v>
      </c>
      <c r="AQ538" s="105" t="n">
        <v>0</v>
      </c>
      <c r="AR538" s="105" t="n">
        <v>0</v>
      </c>
      <c r="AS538" s="105" t="n">
        <v>0</v>
      </c>
      <c r="AT538" s="105" t="n">
        <v>0</v>
      </c>
      <c r="AU538" s="105" t="n">
        <v>0</v>
      </c>
      <c r="AV538" s="105" t="n">
        <v>0</v>
      </c>
      <c r="AW538" s="105" t="n">
        <v>0</v>
      </c>
      <c r="AX538" s="105" t="n">
        <v>0</v>
      </c>
      <c r="AY538" s="105" t="n">
        <v>0</v>
      </c>
      <c r="AZ538" s="105" t="n">
        <v>0</v>
      </c>
      <c r="BA538" s="105" t="n">
        <v>0</v>
      </c>
      <c r="BB538" s="105" t="n">
        <v>0</v>
      </c>
      <c r="BC538" s="105" t="n">
        <v>0</v>
      </c>
      <c r="BD538" s="105" t="n">
        <v>0</v>
      </c>
      <c r="BE538" s="105" t="n">
        <v>0</v>
      </c>
      <c r="BF538" s="105" t="n">
        <v>0</v>
      </c>
      <c r="BG538" s="105" t="n">
        <v>0</v>
      </c>
      <c r="BH538" s="105" t="n">
        <v>0</v>
      </c>
      <c r="BI538" s="105" t="n">
        <v>0</v>
      </c>
      <c r="BJ538" s="105" t="n">
        <v>0</v>
      </c>
      <c r="BK538" s="105" t="n">
        <v>0</v>
      </c>
      <c r="BL538" s="105" t="n">
        <v>0</v>
      </c>
      <c r="BM538" s="105" t="n">
        <v>0</v>
      </c>
      <c r="BN538" s="105" t="n">
        <v>0</v>
      </c>
      <c r="BO538" s="105" t="n">
        <v>0</v>
      </c>
      <c r="BP538" s="105" t="n">
        <v>0</v>
      </c>
      <c r="BQ538" s="105" t="n">
        <v>0</v>
      </c>
      <c r="BR538" s="106" t="n">
        <v>0</v>
      </c>
      <c r="BS538" s="106" t="n">
        <v>0</v>
      </c>
      <c r="BT538" s="107"/>
      <c r="BU538" s="107"/>
      <c r="BV538" s="107"/>
      <c r="BW538" s="107"/>
      <c r="BX538" s="107"/>
      <c r="BY538" s="107"/>
      <c r="BZ538" s="107"/>
      <c r="CA538" s="107"/>
      <c r="CB538" s="107"/>
      <c r="CC538" s="107"/>
      <c r="CD538" s="107"/>
      <c r="CE538" s="107"/>
      <c r="CF538" s="107"/>
      <c r="CG538" s="107"/>
      <c r="CH538" s="107"/>
      <c r="CI538" s="107"/>
      <c r="CJ538" s="107"/>
      <c r="CK538" s="107"/>
      <c r="CL538" s="107"/>
      <c r="CM538" s="107"/>
      <c r="CN538" s="107"/>
      <c r="CO538" s="107"/>
      <c r="CP538" s="107"/>
      <c r="CQ538" s="107"/>
      <c r="CR538" s="107"/>
      <c r="CS538" s="107"/>
      <c r="CT538" s="107"/>
      <c r="CU538" s="107"/>
      <c r="CV538" s="107"/>
    </row>
    <row r="539" customFormat="false" ht="14.9" hidden="false" customHeight="false" outlineLevel="0" collapsed="false">
      <c r="A539" s="74" t="n">
        <f aca="false">MONTH(B539)</f>
        <v>9</v>
      </c>
      <c r="B539" s="135" t="n">
        <v>44455</v>
      </c>
      <c r="C539" s="128" t="s">
        <v>51</v>
      </c>
      <c r="D539" s="77" t="str">
        <f aca="false">IFERROR(VLOOKUP(E:E,'Item Data Support Sheet'!A:O,7,0),"")</f>
        <v>NIPPLE LASER MARKING</v>
      </c>
      <c r="E539" s="80" t="s">
        <v>681</v>
      </c>
      <c r="F539" s="122"/>
      <c r="G539" s="137" t="s">
        <v>517</v>
      </c>
      <c r="H539" s="79" t="str">
        <f aca="false">IFERROR(VLOOKUP(E:E,'Item Data Support Sheet'!A:O,2,0),"")</f>
        <v>NIPPLE S TYPE L SIZE PUNCHED LASER MARKED</v>
      </c>
      <c r="I539" s="80" t="s">
        <v>1125</v>
      </c>
      <c r="J539" s="80" t="s">
        <v>148</v>
      </c>
      <c r="K539" s="81" t="n">
        <v>8</v>
      </c>
      <c r="L539" s="124" t="n">
        <v>7000</v>
      </c>
      <c r="M539" s="83" t="n">
        <f aca="false">IFERROR(L539/K539,0)</f>
        <v>875</v>
      </c>
      <c r="N539" s="84" t="n">
        <f aca="false">+O539+Q539+T539+U539</f>
        <v>7300</v>
      </c>
      <c r="O539" s="85" t="n">
        <v>7300</v>
      </c>
      <c r="P539" s="86" t="n">
        <v>0</v>
      </c>
      <c r="Q539" s="86" t="n">
        <v>0</v>
      </c>
      <c r="R539" s="132" t="n">
        <v>0</v>
      </c>
      <c r="S539" s="128" t="n">
        <v>0</v>
      </c>
      <c r="T539" s="132" t="n">
        <v>0</v>
      </c>
      <c r="U539" s="128" t="n">
        <v>0</v>
      </c>
      <c r="V539" s="128" t="n">
        <v>1</v>
      </c>
      <c r="W539" s="90" t="n">
        <f aca="false">IFERROR(O539/V539,0)</f>
        <v>7300</v>
      </c>
      <c r="X539" s="91" t="n">
        <f aca="false">O539/L539</f>
        <v>1.04285714285714</v>
      </c>
      <c r="Y539" s="92" t="str">
        <f aca="false">IFERROR(VLOOKUP(E:E,'Item Data Support Sheet'!A:J,6,0),0)</f>
        <v>FO021</v>
      </c>
      <c r="Z539" s="93" t="n">
        <f aca="false">IFERROR(VLOOKUP(E:E,'Item Data Support Sheet'!A:O,4,0),0)</f>
        <v>0</v>
      </c>
      <c r="AA539" s="93" t="n">
        <f aca="false">IFERROR(((N539)*(Z539/1000))+P539,0)</f>
        <v>0</v>
      </c>
      <c r="AB539" s="94" t="str">
        <f aca="false">IFERROR((O539*(Z539/1000)/(AA539))," ")</f>
        <v> </v>
      </c>
      <c r="AC539" s="95" t="n">
        <f aca="false">IFERROR((T539)/((T539)+O539),0)</f>
        <v>0</v>
      </c>
      <c r="AD539" s="96" t="n">
        <f aca="false">IFERROR(Q539/(Q539+N539),0)</f>
        <v>0</v>
      </c>
      <c r="AE539" s="91" t="n">
        <f aca="false">(N539-T539)/N539</f>
        <v>1</v>
      </c>
      <c r="AF539" s="97" t="n">
        <f aca="false">BR539</f>
        <v>0.666666666666667</v>
      </c>
      <c r="AG539" s="98" t="n">
        <f aca="false">K539-AF539</f>
        <v>7.33333333333333</v>
      </c>
      <c r="AH539" s="99" t="n">
        <f aca="false">IFERROR(AG539/K539," ")</f>
        <v>0.916666666666667</v>
      </c>
      <c r="AI539" s="100" t="n">
        <f aca="false">IFERROR(O539/K539,0)</f>
        <v>912.5</v>
      </c>
      <c r="AJ539" s="101" t="n">
        <f aca="false">VLOOKUP(D539,'Standard Cycle time'!C:D,2,0)</f>
        <v>3.5</v>
      </c>
      <c r="AK539" s="101" t="n">
        <f aca="false">AG539*V539*3600/O539</f>
        <v>3.61643835616438</v>
      </c>
      <c r="AL539" s="102" t="n">
        <f aca="false">AJ539/AK539</f>
        <v>0.96780303030303</v>
      </c>
      <c r="AM539" s="99" t="n">
        <f aca="false">AE539*AL539*AH539</f>
        <v>0.887152777777778</v>
      </c>
      <c r="AN539" s="103" t="s">
        <v>1130</v>
      </c>
      <c r="AO539" s="112"/>
      <c r="AP539" s="105" t="n">
        <v>40</v>
      </c>
      <c r="AQ539" s="105" t="n">
        <v>0</v>
      </c>
      <c r="AR539" s="105" t="n">
        <v>0</v>
      </c>
      <c r="AS539" s="105" t="n">
        <v>0</v>
      </c>
      <c r="AT539" s="105" t="n">
        <v>0</v>
      </c>
      <c r="AU539" s="105" t="n">
        <v>0</v>
      </c>
      <c r="AV539" s="105" t="n">
        <v>0</v>
      </c>
      <c r="AW539" s="105" t="n">
        <v>0</v>
      </c>
      <c r="AX539" s="105" t="n">
        <v>0</v>
      </c>
      <c r="AY539" s="105" t="n">
        <v>0</v>
      </c>
      <c r="AZ539" s="105" t="n">
        <v>0</v>
      </c>
      <c r="BA539" s="105" t="n">
        <v>0</v>
      </c>
      <c r="BB539" s="105" t="n">
        <v>0</v>
      </c>
      <c r="BC539" s="105" t="n">
        <v>0</v>
      </c>
      <c r="BD539" s="105" t="n">
        <v>0</v>
      </c>
      <c r="BE539" s="105" t="n">
        <v>0</v>
      </c>
      <c r="BF539" s="105" t="n">
        <v>0</v>
      </c>
      <c r="BG539" s="105" t="n">
        <v>0</v>
      </c>
      <c r="BH539" s="105" t="n">
        <v>0</v>
      </c>
      <c r="BI539" s="105" t="n">
        <v>0</v>
      </c>
      <c r="BJ539" s="105" t="n">
        <v>0</v>
      </c>
      <c r="BK539" s="105" t="n">
        <v>0</v>
      </c>
      <c r="BL539" s="105" t="n">
        <v>0</v>
      </c>
      <c r="BM539" s="105" t="n">
        <v>0</v>
      </c>
      <c r="BN539" s="105" t="n">
        <v>0</v>
      </c>
      <c r="BO539" s="105" t="n">
        <v>0</v>
      </c>
      <c r="BP539" s="105" t="n">
        <v>0</v>
      </c>
      <c r="BQ539" s="105" t="n">
        <v>0</v>
      </c>
      <c r="BR539" s="106" t="n">
        <v>0.666666666666667</v>
      </c>
      <c r="BS539" s="106" t="n">
        <v>0.677777777777778</v>
      </c>
      <c r="BT539" s="107"/>
      <c r="BU539" s="107"/>
      <c r="BV539" s="107"/>
      <c r="BW539" s="107"/>
      <c r="BX539" s="107"/>
      <c r="BY539" s="107"/>
      <c r="BZ539" s="107"/>
      <c r="CA539" s="107"/>
      <c r="CB539" s="107"/>
      <c r="CC539" s="107"/>
      <c r="CD539" s="107"/>
      <c r="CE539" s="107"/>
      <c r="CF539" s="107"/>
      <c r="CG539" s="107"/>
      <c r="CH539" s="107"/>
      <c r="CI539" s="107"/>
      <c r="CJ539" s="107"/>
      <c r="CK539" s="107"/>
      <c r="CL539" s="107"/>
      <c r="CM539" s="107"/>
      <c r="CN539" s="107"/>
      <c r="CO539" s="107"/>
      <c r="CP539" s="107"/>
      <c r="CQ539" s="107"/>
      <c r="CR539" s="107"/>
      <c r="CS539" s="107"/>
      <c r="CT539" s="107"/>
      <c r="CU539" s="107"/>
      <c r="CV539" s="107"/>
    </row>
    <row r="540" customFormat="false" ht="14.9" hidden="false" customHeight="false" outlineLevel="0" collapsed="false">
      <c r="A540" s="74" t="n">
        <f aca="false">MONTH(B540)</f>
        <v>9</v>
      </c>
      <c r="B540" s="135" t="n">
        <v>44455</v>
      </c>
      <c r="C540" s="128" t="s">
        <v>51</v>
      </c>
      <c r="D540" s="77" t="str">
        <f aca="false">IFERROR(VLOOKUP(E:E,'Item Data Support Sheet'!A:O,7,0),"")</f>
        <v>NIPPLE PUNCH</v>
      </c>
      <c r="E540" s="80" t="s">
        <v>666</v>
      </c>
      <c r="F540" s="122"/>
      <c r="G540" s="137" t="s">
        <v>54</v>
      </c>
      <c r="H540" s="79" t="str">
        <f aca="false">IFERROR(VLOOKUP(E:E,'Item Data Support Sheet'!A:O,2,0),"")</f>
        <v>NIPPLE S TYPE L SIZE PUNCHED</v>
      </c>
      <c r="I540" s="80" t="s">
        <v>1131</v>
      </c>
      <c r="J540" s="80" t="s">
        <v>148</v>
      </c>
      <c r="K540" s="81" t="n">
        <v>8</v>
      </c>
      <c r="L540" s="124" t="n">
        <v>7000</v>
      </c>
      <c r="M540" s="83" t="n">
        <f aca="false">IFERROR(L540/K540,0)</f>
        <v>875</v>
      </c>
      <c r="N540" s="84" t="n">
        <f aca="false">+O540+Q540+T540+U540</f>
        <v>7300</v>
      </c>
      <c r="O540" s="85" t="n">
        <v>7300</v>
      </c>
      <c r="P540" s="86" t="n">
        <v>0</v>
      </c>
      <c r="Q540" s="86" t="n">
        <v>0</v>
      </c>
      <c r="R540" s="132" t="n">
        <v>0</v>
      </c>
      <c r="S540" s="128" t="n">
        <v>0</v>
      </c>
      <c r="T540" s="132" t="n">
        <v>0</v>
      </c>
      <c r="U540" s="128" t="n">
        <v>0</v>
      </c>
      <c r="V540" s="128" t="n">
        <v>1</v>
      </c>
      <c r="W540" s="90" t="n">
        <f aca="false">IFERROR(O540/V540,0)</f>
        <v>7300</v>
      </c>
      <c r="X540" s="91" t="n">
        <f aca="false">O540/L540</f>
        <v>1.04285714285714</v>
      </c>
      <c r="Y540" s="92" t="str">
        <f aca="false">IFERROR(VLOOKUP(E:E,'Item Data Support Sheet'!A:J,6,0),0)</f>
        <v>FO017</v>
      </c>
      <c r="Z540" s="93" t="n">
        <f aca="false">IFERROR(VLOOKUP(E:E,'Item Data Support Sheet'!A:O,4,0),0)</f>
        <v>0</v>
      </c>
      <c r="AA540" s="93" t="n">
        <f aca="false">IFERROR(((N540)*(Z540/1000))+P540,0)</f>
        <v>0</v>
      </c>
      <c r="AB540" s="94" t="str">
        <f aca="false">IFERROR((O540*(Z540/1000)/(AA540))," ")</f>
        <v> </v>
      </c>
      <c r="AC540" s="95" t="n">
        <f aca="false">IFERROR((T540)/((T540)+O540),0)</f>
        <v>0</v>
      </c>
      <c r="AD540" s="96" t="n">
        <f aca="false">IFERROR(Q540/(Q540+N540),0)</f>
        <v>0</v>
      </c>
      <c r="AE540" s="91" t="n">
        <f aca="false">(N540-T540)/N540</f>
        <v>1</v>
      </c>
      <c r="AF540" s="97" t="n">
        <f aca="false">BR540</f>
        <v>0.666666666666667</v>
      </c>
      <c r="AG540" s="98" t="n">
        <f aca="false">K540-AF540</f>
        <v>7.33333333333333</v>
      </c>
      <c r="AH540" s="99" t="n">
        <f aca="false">IFERROR(AG540/K540," ")</f>
        <v>0.916666666666667</v>
      </c>
      <c r="AI540" s="100" t="n">
        <f aca="false">IFERROR(O540/K540,0)</f>
        <v>912.5</v>
      </c>
      <c r="AJ540" s="101" t="n">
        <f aca="false">VLOOKUP(D540,'Standard Cycle time'!C:D,2,0)</f>
        <v>3.5</v>
      </c>
      <c r="AK540" s="101" t="n">
        <f aca="false">AG540*V540*3600/O540</f>
        <v>3.61643835616438</v>
      </c>
      <c r="AL540" s="102" t="n">
        <f aca="false">AJ540/AK540</f>
        <v>0.96780303030303</v>
      </c>
      <c r="AM540" s="99" t="n">
        <f aca="false">AE540*AL540*AH540</f>
        <v>0.887152777777778</v>
      </c>
      <c r="AN540" s="103" t="s">
        <v>1132</v>
      </c>
      <c r="AO540" s="112"/>
      <c r="AP540" s="105" t="n">
        <v>40</v>
      </c>
      <c r="AQ540" s="105" t="n">
        <v>0</v>
      </c>
      <c r="AR540" s="105" t="n">
        <v>0</v>
      </c>
      <c r="AS540" s="105" t="n">
        <v>0</v>
      </c>
      <c r="AT540" s="105" t="n">
        <v>0</v>
      </c>
      <c r="AU540" s="105" t="n">
        <v>0</v>
      </c>
      <c r="AV540" s="105" t="n">
        <v>0</v>
      </c>
      <c r="AW540" s="105" t="n">
        <v>0</v>
      </c>
      <c r="AX540" s="105" t="n">
        <v>0</v>
      </c>
      <c r="AY540" s="105" t="n">
        <v>0</v>
      </c>
      <c r="AZ540" s="105" t="n">
        <v>0</v>
      </c>
      <c r="BA540" s="105" t="n">
        <v>0</v>
      </c>
      <c r="BB540" s="105" t="n">
        <v>0</v>
      </c>
      <c r="BC540" s="105" t="n">
        <v>0</v>
      </c>
      <c r="BD540" s="105" t="n">
        <v>0</v>
      </c>
      <c r="BE540" s="105" t="n">
        <v>0</v>
      </c>
      <c r="BF540" s="105" t="n">
        <v>0</v>
      </c>
      <c r="BG540" s="105" t="n">
        <v>0</v>
      </c>
      <c r="BH540" s="105" t="n">
        <v>0</v>
      </c>
      <c r="BI540" s="105" t="n">
        <v>0</v>
      </c>
      <c r="BJ540" s="105" t="n">
        <v>0</v>
      </c>
      <c r="BK540" s="105" t="n">
        <v>0</v>
      </c>
      <c r="BL540" s="105" t="n">
        <v>0</v>
      </c>
      <c r="BM540" s="105" t="n">
        <v>0</v>
      </c>
      <c r="BN540" s="105" t="n">
        <v>0</v>
      </c>
      <c r="BO540" s="105" t="n">
        <v>0</v>
      </c>
      <c r="BP540" s="105" t="n">
        <v>0</v>
      </c>
      <c r="BQ540" s="105" t="n">
        <v>0</v>
      </c>
      <c r="BR540" s="106" t="n">
        <v>0.666666666666667</v>
      </c>
      <c r="BS540" s="106" t="n">
        <v>0.677777777777778</v>
      </c>
      <c r="BT540" s="107"/>
      <c r="BU540" s="107"/>
      <c r="BV540" s="107"/>
      <c r="BW540" s="107"/>
      <c r="BX540" s="107"/>
      <c r="BY540" s="107"/>
      <c r="BZ540" s="107"/>
      <c r="CA540" s="107"/>
      <c r="CB540" s="107"/>
      <c r="CC540" s="107"/>
      <c r="CD540" s="107"/>
      <c r="CE540" s="107"/>
      <c r="CF540" s="107"/>
      <c r="CG540" s="107"/>
      <c r="CH540" s="107"/>
      <c r="CI540" s="107"/>
      <c r="CJ540" s="107"/>
      <c r="CK540" s="107"/>
      <c r="CL540" s="107"/>
      <c r="CM540" s="107"/>
      <c r="CN540" s="107"/>
      <c r="CO540" s="107"/>
      <c r="CP540" s="107"/>
      <c r="CQ540" s="107"/>
      <c r="CR540" s="107"/>
      <c r="CS540" s="107"/>
      <c r="CT540" s="107"/>
      <c r="CU540" s="107"/>
      <c r="CV540" s="107"/>
    </row>
    <row r="541" customFormat="false" ht="14.9" hidden="false" customHeight="false" outlineLevel="0" collapsed="false">
      <c r="A541" s="74" t="n">
        <f aca="false">MONTH(B541)</f>
        <v>9</v>
      </c>
      <c r="B541" s="135" t="n">
        <v>44455</v>
      </c>
      <c r="C541" s="128" t="s">
        <v>51</v>
      </c>
      <c r="D541" s="77" t="str">
        <f aca="false">IFERROR(VLOOKUP(E:E,'Item Data Support Sheet'!A:O,7,0),"")</f>
        <v>NIPPLE MOLDED</v>
      </c>
      <c r="E541" s="80" t="s">
        <v>661</v>
      </c>
      <c r="F541" s="122" t="s">
        <v>137</v>
      </c>
      <c r="G541" s="137" t="s">
        <v>138</v>
      </c>
      <c r="H541" s="79" t="str">
        <f aca="false">IFERROR(VLOOKUP(E:E,'Item Data Support Sheet'!A:O,2,0),"")</f>
        <v>NIPPLE S TYPE L SIZE INJECTION</v>
      </c>
      <c r="I541" s="80" t="s">
        <v>1133</v>
      </c>
      <c r="J541" s="80" t="s">
        <v>148</v>
      </c>
      <c r="K541" s="81" t="n">
        <v>8</v>
      </c>
      <c r="L541" s="124" t="n">
        <v>4815</v>
      </c>
      <c r="M541" s="83" t="n">
        <f aca="false">IFERROR(L541/K541,0)</f>
        <v>601.875</v>
      </c>
      <c r="N541" s="84" t="n">
        <f aca="false">+O541+Q541+T541+U541</f>
        <v>5404</v>
      </c>
      <c r="O541" s="85" t="n">
        <v>5300</v>
      </c>
      <c r="P541" s="86" t="n">
        <v>0</v>
      </c>
      <c r="Q541" s="86" t="n">
        <v>51</v>
      </c>
      <c r="R541" s="132" t="n">
        <v>0</v>
      </c>
      <c r="S541" s="128" t="n">
        <v>0</v>
      </c>
      <c r="T541" s="132" t="n">
        <v>45</v>
      </c>
      <c r="U541" s="128" t="n">
        <v>8</v>
      </c>
      <c r="V541" s="128" t="n">
        <v>1</v>
      </c>
      <c r="W541" s="90" t="n">
        <f aca="false">IFERROR(O541/V541,0)</f>
        <v>5300</v>
      </c>
      <c r="X541" s="91" t="n">
        <f aca="false">O541/L541</f>
        <v>1.10072689511942</v>
      </c>
      <c r="Y541" s="92" t="str">
        <f aca="false">IFERROR(VLOOKUP(E:E,'Item Data Support Sheet'!A:J,6,0),0)</f>
        <v>Silicon</v>
      </c>
      <c r="Z541" s="93" t="n">
        <f aca="false">IFERROR(VLOOKUP(E:E,'Item Data Support Sheet'!A:O,4,0),0)</f>
        <v>6.8</v>
      </c>
      <c r="AA541" s="93" t="n">
        <f aca="false">IFERROR(((N541)*(Z541/1000))+P541,0)</f>
        <v>36.7472</v>
      </c>
      <c r="AB541" s="94" t="n">
        <f aca="false">IFERROR((O541*(Z541/1000)/(AA541))," ")</f>
        <v>0.980754996299038</v>
      </c>
      <c r="AC541" s="95" t="n">
        <f aca="false">IFERROR((T541)/((T541)+O541),0)</f>
        <v>0.00841908325537886</v>
      </c>
      <c r="AD541" s="96" t="n">
        <f aca="false">IFERROR(Q541/(Q541+N541),0)</f>
        <v>0.00934922089825848</v>
      </c>
      <c r="AE541" s="91" t="n">
        <f aca="false">(N541-T541)/N541</f>
        <v>0.991672834937084</v>
      </c>
      <c r="AF541" s="97" t="n">
        <f aca="false">BR541</f>
        <v>0</v>
      </c>
      <c r="AG541" s="98" t="n">
        <f aca="false">K541-AF541</f>
        <v>8</v>
      </c>
      <c r="AH541" s="99" t="n">
        <f aca="false">IFERROR(AG541/K541," ")</f>
        <v>1</v>
      </c>
      <c r="AI541" s="100" t="n">
        <f aca="false">IFERROR(O541/K541,0)</f>
        <v>662.5</v>
      </c>
      <c r="AJ541" s="101" t="n">
        <f aca="false">VLOOKUP(D541,'Standard Cycle time'!C:D,2,0)</f>
        <v>5.25</v>
      </c>
      <c r="AK541" s="101" t="n">
        <f aca="false">AG541*V541*3600/O541</f>
        <v>5.43396226415094</v>
      </c>
      <c r="AL541" s="102" t="n">
        <f aca="false">AJ541/AK541</f>
        <v>0.966145833333333</v>
      </c>
      <c r="AM541" s="99" t="n">
        <f aca="false">AE541*AL541*AH541</f>
        <v>0.958100577504318</v>
      </c>
      <c r="AN541" s="103" t="s">
        <v>1134</v>
      </c>
      <c r="AO541" s="112"/>
      <c r="AP541" s="105" t="n">
        <v>0</v>
      </c>
      <c r="AQ541" s="105" t="n">
        <v>0</v>
      </c>
      <c r="AR541" s="105" t="n">
        <v>0</v>
      </c>
      <c r="AS541" s="105" t="n">
        <v>0</v>
      </c>
      <c r="AT541" s="105" t="n">
        <v>0</v>
      </c>
      <c r="AU541" s="105" t="n">
        <v>0</v>
      </c>
      <c r="AV541" s="105" t="n">
        <v>0</v>
      </c>
      <c r="AW541" s="105" t="n">
        <v>0</v>
      </c>
      <c r="AX541" s="105" t="n">
        <v>0</v>
      </c>
      <c r="AY541" s="105" t="n">
        <v>0</v>
      </c>
      <c r="AZ541" s="105" t="n">
        <v>0</v>
      </c>
      <c r="BA541" s="105" t="n">
        <v>0</v>
      </c>
      <c r="BB541" s="105" t="n">
        <v>0</v>
      </c>
      <c r="BC541" s="105" t="n">
        <v>0</v>
      </c>
      <c r="BD541" s="105" t="n">
        <v>0</v>
      </c>
      <c r="BE541" s="105" t="n">
        <v>0</v>
      </c>
      <c r="BF541" s="105" t="n">
        <v>0</v>
      </c>
      <c r="BG541" s="105" t="n">
        <v>0</v>
      </c>
      <c r="BH541" s="105" t="n">
        <v>0</v>
      </c>
      <c r="BI541" s="105" t="n">
        <v>0</v>
      </c>
      <c r="BJ541" s="105" t="n">
        <v>0</v>
      </c>
      <c r="BK541" s="105" t="n">
        <v>0</v>
      </c>
      <c r="BL541" s="105" t="n">
        <v>0</v>
      </c>
      <c r="BM541" s="105" t="n">
        <v>0</v>
      </c>
      <c r="BN541" s="105" t="n">
        <v>0</v>
      </c>
      <c r="BO541" s="105" t="n">
        <v>0</v>
      </c>
      <c r="BP541" s="105" t="n">
        <v>0</v>
      </c>
      <c r="BQ541" s="105" t="n">
        <v>0</v>
      </c>
      <c r="BR541" s="106" t="n">
        <v>0</v>
      </c>
      <c r="BS541" s="106" t="n">
        <v>0</v>
      </c>
      <c r="BT541" s="107"/>
      <c r="BU541" s="107"/>
      <c r="BV541" s="107"/>
      <c r="BW541" s="107"/>
      <c r="BX541" s="107"/>
      <c r="BY541" s="107"/>
      <c r="BZ541" s="107"/>
      <c r="CA541" s="107"/>
      <c r="CB541" s="107"/>
      <c r="CC541" s="107"/>
      <c r="CD541" s="107"/>
      <c r="CE541" s="107"/>
      <c r="CF541" s="107"/>
      <c r="CG541" s="107"/>
      <c r="CH541" s="107"/>
      <c r="CI541" s="107"/>
      <c r="CJ541" s="107"/>
      <c r="CK541" s="107"/>
      <c r="CL541" s="107"/>
      <c r="CM541" s="107"/>
      <c r="CN541" s="107"/>
      <c r="CO541" s="107"/>
      <c r="CP541" s="107"/>
      <c r="CQ541" s="107"/>
      <c r="CR541" s="107"/>
      <c r="CS541" s="107"/>
      <c r="CT541" s="107"/>
      <c r="CU541" s="107"/>
      <c r="CV541" s="107"/>
    </row>
    <row r="542" customFormat="false" ht="14.9" hidden="false" customHeight="false" outlineLevel="0" collapsed="false">
      <c r="A542" s="74" t="n">
        <f aca="false">MONTH(B542)</f>
        <v>9</v>
      </c>
      <c r="B542" s="135" t="n">
        <v>44455</v>
      </c>
      <c r="C542" s="128" t="s">
        <v>51</v>
      </c>
      <c r="D542" s="77" t="str">
        <f aca="false">IFERROR(VLOOKUP(E:E,'Item Data Support Sheet'!A:O,7,0),"")</f>
        <v>HOOD MOLDED</v>
      </c>
      <c r="E542" s="80" t="s">
        <v>529</v>
      </c>
      <c r="F542" s="122"/>
      <c r="G542" s="137" t="s">
        <v>740</v>
      </c>
      <c r="H542" s="79" t="str">
        <f aca="false">IFERROR(VLOOKUP(E:E,'Item Data Support Sheet'!A:O,2,0),"")</f>
        <v>HOOD S TYPE MOLDED</v>
      </c>
      <c r="I542" s="80" t="s">
        <v>1135</v>
      </c>
      <c r="J542" s="80" t="s">
        <v>148</v>
      </c>
      <c r="K542" s="81" t="n">
        <v>8</v>
      </c>
      <c r="L542" s="124" t="n">
        <v>4137</v>
      </c>
      <c r="M542" s="83" t="n">
        <f aca="false">IFERROR(L542/K542,0)</f>
        <v>517.125</v>
      </c>
      <c r="N542" s="84" t="n">
        <f aca="false">+O542+Q542+T542+U542</f>
        <v>2485</v>
      </c>
      <c r="O542" s="85" t="n">
        <v>2475</v>
      </c>
      <c r="P542" s="86" t="n">
        <v>0</v>
      </c>
      <c r="Q542" s="86" t="n">
        <v>0</v>
      </c>
      <c r="R542" s="132" t="n">
        <v>0</v>
      </c>
      <c r="S542" s="128" t="n">
        <v>0</v>
      </c>
      <c r="T542" s="132" t="n">
        <v>2</v>
      </c>
      <c r="U542" s="128" t="n">
        <v>8</v>
      </c>
      <c r="V542" s="128" t="n">
        <v>1</v>
      </c>
      <c r="W542" s="90" t="n">
        <f aca="false">IFERROR(O542/V542,0)</f>
        <v>2475</v>
      </c>
      <c r="X542" s="91" t="n">
        <f aca="false">O542/L542</f>
        <v>0.598259608411893</v>
      </c>
      <c r="Y542" s="92" t="str">
        <f aca="false">IFERROR(VLOOKUP(E:E,'Item Data Support Sheet'!A:J,6,0),0)</f>
        <v>HMC</v>
      </c>
      <c r="Z542" s="93" t="n">
        <f aca="false">IFERROR(VLOOKUP(E:E,'Item Data Support Sheet'!A:O,4,0),0)</f>
        <v>8.6</v>
      </c>
      <c r="AA542" s="93" t="n">
        <f aca="false">IFERROR(((N542)*(Z542/1000))+P542,0)</f>
        <v>21.371</v>
      </c>
      <c r="AB542" s="94" t="n">
        <f aca="false">IFERROR((O542*(Z542/1000)/(AA542))," ")</f>
        <v>0.995975855130785</v>
      </c>
      <c r="AC542" s="95" t="n">
        <f aca="false">IFERROR((T542)/((T542)+O542),0)</f>
        <v>0.00080742834073476</v>
      </c>
      <c r="AD542" s="96" t="n">
        <f aca="false">IFERROR(Q542/(Q542+N542),0)</f>
        <v>0</v>
      </c>
      <c r="AE542" s="91" t="n">
        <f aca="false">(N542-T542)/N542</f>
        <v>0.999195171026157</v>
      </c>
      <c r="AF542" s="97" t="n">
        <f aca="false">BR542</f>
        <v>3.83333333333333</v>
      </c>
      <c r="AG542" s="98" t="n">
        <f aca="false">K542-AF542</f>
        <v>4.16666666666667</v>
      </c>
      <c r="AH542" s="99" t="n">
        <f aca="false">IFERROR(AG542/K542," ")</f>
        <v>0.520833333333334</v>
      </c>
      <c r="AI542" s="100" t="n">
        <f aca="false">IFERROR(O542/K542,0)</f>
        <v>309.375</v>
      </c>
      <c r="AJ542" s="101" t="n">
        <f aca="false">VLOOKUP(D542,'Standard Cycle time'!C:D,2,0)</f>
        <v>6</v>
      </c>
      <c r="AK542" s="101" t="n">
        <f aca="false">AG542*V542*3600/O542</f>
        <v>6.06060606060607</v>
      </c>
      <c r="AL542" s="102" t="n">
        <f aca="false">AJ542/AK542</f>
        <v>0.989999999999999</v>
      </c>
      <c r="AM542" s="99" t="n">
        <f aca="false">AE542*AL542*AH542</f>
        <v>0.515210010060362</v>
      </c>
      <c r="AN542" s="103" t="s">
        <v>1136</v>
      </c>
      <c r="AO542" s="112" t="s">
        <v>1137</v>
      </c>
      <c r="AP542" s="105" t="n">
        <v>0</v>
      </c>
      <c r="AQ542" s="105" t="n">
        <v>0</v>
      </c>
      <c r="AR542" s="105" t="n">
        <v>0</v>
      </c>
      <c r="AS542" s="105" t="n">
        <v>0</v>
      </c>
      <c r="AT542" s="105" t="n">
        <v>0</v>
      </c>
      <c r="AU542" s="105" t="n">
        <v>0</v>
      </c>
      <c r="AV542" s="105" t="n">
        <v>0</v>
      </c>
      <c r="AW542" s="105" t="n">
        <v>0</v>
      </c>
      <c r="AX542" s="105" t="n">
        <v>0</v>
      </c>
      <c r="AY542" s="105" t="n">
        <v>0</v>
      </c>
      <c r="AZ542" s="105" t="n">
        <v>0</v>
      </c>
      <c r="BA542" s="105" t="n">
        <v>0</v>
      </c>
      <c r="BB542" s="105" t="n">
        <v>0</v>
      </c>
      <c r="BC542" s="105" t="n">
        <v>0</v>
      </c>
      <c r="BD542" s="105" t="n">
        <v>0</v>
      </c>
      <c r="BE542" s="105" t="n">
        <v>0</v>
      </c>
      <c r="BF542" s="105" t="n">
        <v>0</v>
      </c>
      <c r="BG542" s="105" t="n">
        <v>0</v>
      </c>
      <c r="BH542" s="105" t="n">
        <v>0</v>
      </c>
      <c r="BI542" s="105" t="n">
        <v>0</v>
      </c>
      <c r="BJ542" s="105" t="n">
        <v>0</v>
      </c>
      <c r="BK542" s="105" t="n">
        <v>230</v>
      </c>
      <c r="BL542" s="105" t="n">
        <v>0</v>
      </c>
      <c r="BM542" s="105" t="n">
        <v>0</v>
      </c>
      <c r="BN542" s="105" t="n">
        <v>0</v>
      </c>
      <c r="BO542" s="105" t="n">
        <v>0</v>
      </c>
      <c r="BP542" s="105" t="n">
        <v>0</v>
      </c>
      <c r="BQ542" s="105" t="n">
        <v>0</v>
      </c>
      <c r="BR542" s="106" t="n">
        <v>3.83333333333333</v>
      </c>
      <c r="BS542" s="106" t="n">
        <v>3.89722222222222</v>
      </c>
      <c r="BT542" s="107"/>
      <c r="BU542" s="107"/>
      <c r="BV542" s="107"/>
      <c r="BW542" s="107"/>
      <c r="BX542" s="107"/>
      <c r="BY542" s="107"/>
      <c r="BZ542" s="107"/>
      <c r="CA542" s="107"/>
      <c r="CB542" s="107"/>
      <c r="CC542" s="107"/>
      <c r="CD542" s="107"/>
      <c r="CE542" s="107"/>
      <c r="CF542" s="107"/>
      <c r="CG542" s="107"/>
      <c r="CH542" s="107"/>
      <c r="CI542" s="107"/>
      <c r="CJ542" s="107"/>
      <c r="CK542" s="107"/>
      <c r="CL542" s="107"/>
      <c r="CM542" s="107"/>
      <c r="CN542" s="107"/>
      <c r="CO542" s="107"/>
      <c r="CP542" s="107"/>
      <c r="CQ542" s="107"/>
      <c r="CR542" s="107"/>
      <c r="CS542" s="107"/>
      <c r="CT542" s="107"/>
      <c r="CU542" s="107"/>
      <c r="CV542" s="107"/>
    </row>
    <row r="543" customFormat="false" ht="14.9" hidden="false" customHeight="false" outlineLevel="0" collapsed="false">
      <c r="A543" s="74" t="n">
        <f aca="false">MONTH(B543)</f>
        <v>9</v>
      </c>
      <c r="B543" s="135" t="n">
        <v>44455</v>
      </c>
      <c r="C543" s="128" t="s">
        <v>51</v>
      </c>
      <c r="D543" s="77" t="str">
        <f aca="false">IFERROR(VLOOKUP(E:E,'Item Data Support Sheet'!A:O,7,0),"")</f>
        <v>BOTTLE PRINTED</v>
      </c>
      <c r="E543" s="80" t="s">
        <v>229</v>
      </c>
      <c r="F543" s="122"/>
      <c r="G543" s="137"/>
      <c r="H543" s="79" t="str">
        <f aca="false">IFERROR(VLOOKUP(E:E,'Item Data Support Sheet'!A:O,2,0),"")</f>
        <v>KPP BOTTLE 200 ML PRINTED-WMG3B</v>
      </c>
      <c r="I543" s="80" t="s">
        <v>993</v>
      </c>
      <c r="J543" s="80" t="s">
        <v>161</v>
      </c>
      <c r="K543" s="81" t="n">
        <v>0.1</v>
      </c>
      <c r="L543" s="124" t="n">
        <v>5</v>
      </c>
      <c r="M543" s="83" t="n">
        <f aca="false">IFERROR(L543/K543,0)</f>
        <v>50</v>
      </c>
      <c r="N543" s="84" t="n">
        <f aca="false">+O543+Q543+T543+U543</f>
        <v>5</v>
      </c>
      <c r="O543" s="85" t="n">
        <v>5</v>
      </c>
      <c r="P543" s="86" t="n">
        <v>0</v>
      </c>
      <c r="Q543" s="86" t="n">
        <v>0</v>
      </c>
      <c r="R543" s="132" t="n">
        <v>0</v>
      </c>
      <c r="S543" s="128" t="n">
        <v>0</v>
      </c>
      <c r="T543" s="132" t="n">
        <v>0</v>
      </c>
      <c r="U543" s="128" t="n">
        <v>0</v>
      </c>
      <c r="V543" s="128" t="n">
        <v>5</v>
      </c>
      <c r="W543" s="90" t="n">
        <f aca="false">IFERROR(O543/V543,0)</f>
        <v>1</v>
      </c>
      <c r="X543" s="91" t="n">
        <f aca="false">O543/L543</f>
        <v>1</v>
      </c>
      <c r="Y543" s="92" t="str">
        <f aca="false">IFERROR(VLOOKUP(E:E,'Item Data Support Sheet'!A:J,6,0),0)</f>
        <v>FO043</v>
      </c>
      <c r="Z543" s="93" t="n">
        <f aca="false">IFERROR(VLOOKUP(E:E,'Item Data Support Sheet'!A:O,4,0),0)</f>
        <v>0</v>
      </c>
      <c r="AA543" s="93" t="n">
        <f aca="false">IFERROR(((N543)*(Z543/1000))+P543,0)</f>
        <v>0</v>
      </c>
      <c r="AB543" s="94" t="str">
        <f aca="false">IFERROR((O543*(Z543/1000)/(AA543))," ")</f>
        <v> </v>
      </c>
      <c r="AC543" s="95" t="n">
        <f aca="false">IFERROR((T543)/((T543)+O543),0)</f>
        <v>0</v>
      </c>
      <c r="AD543" s="96" t="n">
        <f aca="false">IFERROR(Q543/(Q543+N543),0)</f>
        <v>0</v>
      </c>
      <c r="AE543" s="91" t="n">
        <f aca="false">(N543-T543)/N543</f>
        <v>1</v>
      </c>
      <c r="AF543" s="97" t="n">
        <f aca="false">BR543</f>
        <v>0</v>
      </c>
      <c r="AG543" s="98" t="n">
        <f aca="false">K543-AF543</f>
        <v>0.1</v>
      </c>
      <c r="AH543" s="99" t="n">
        <f aca="false">IFERROR(AG543/K543," ")</f>
        <v>1</v>
      </c>
      <c r="AI543" s="100" t="n">
        <f aca="false">IFERROR(O543/K543,0)</f>
        <v>50</v>
      </c>
      <c r="AJ543" s="101" t="n">
        <f aca="false">VLOOKUP(D543,'Standard Cycle time'!C:D,2,0)</f>
        <v>32.4</v>
      </c>
      <c r="AK543" s="101" t="n">
        <f aca="false">AG543*V543*3600/O543</f>
        <v>360</v>
      </c>
      <c r="AL543" s="102" t="n">
        <f aca="false">AJ543/AK543</f>
        <v>0.09</v>
      </c>
      <c r="AM543" s="99" t="n">
        <f aca="false">AE543*AL543*AH543</f>
        <v>0.09</v>
      </c>
      <c r="AN543" s="103" t="s">
        <v>1138</v>
      </c>
      <c r="AO543" s="112"/>
      <c r="AP543" s="105" t="n">
        <v>0</v>
      </c>
      <c r="AQ543" s="105" t="n">
        <v>0</v>
      </c>
      <c r="AR543" s="105" t="n">
        <v>0</v>
      </c>
      <c r="AS543" s="105" t="n">
        <v>0</v>
      </c>
      <c r="AT543" s="105" t="n">
        <v>0</v>
      </c>
      <c r="AU543" s="105" t="n">
        <v>0</v>
      </c>
      <c r="AV543" s="105" t="n">
        <v>0</v>
      </c>
      <c r="AW543" s="105" t="n">
        <v>0</v>
      </c>
      <c r="AX543" s="105" t="n">
        <v>0</v>
      </c>
      <c r="AY543" s="105" t="n">
        <v>0</v>
      </c>
      <c r="AZ543" s="105" t="n">
        <v>0</v>
      </c>
      <c r="BA543" s="105" t="n">
        <v>0</v>
      </c>
      <c r="BB543" s="105" t="n">
        <v>0</v>
      </c>
      <c r="BC543" s="105" t="n">
        <v>0</v>
      </c>
      <c r="BD543" s="105" t="n">
        <v>0</v>
      </c>
      <c r="BE543" s="105" t="n">
        <v>0</v>
      </c>
      <c r="BF543" s="105" t="n">
        <v>0</v>
      </c>
      <c r="BG543" s="105" t="n">
        <v>0</v>
      </c>
      <c r="BH543" s="105" t="n">
        <v>0</v>
      </c>
      <c r="BI543" s="105" t="n">
        <v>0</v>
      </c>
      <c r="BJ543" s="105" t="n">
        <v>0</v>
      </c>
      <c r="BK543" s="105" t="n">
        <v>0</v>
      </c>
      <c r="BL543" s="105" t="n">
        <v>0</v>
      </c>
      <c r="BM543" s="105" t="n">
        <v>0</v>
      </c>
      <c r="BN543" s="105" t="n">
        <v>0</v>
      </c>
      <c r="BO543" s="105" t="n">
        <v>0</v>
      </c>
      <c r="BP543" s="105" t="n">
        <v>0</v>
      </c>
      <c r="BQ543" s="105" t="n">
        <v>0</v>
      </c>
      <c r="BR543" s="106" t="n">
        <v>0</v>
      </c>
      <c r="BS543" s="106" t="n">
        <v>0</v>
      </c>
      <c r="BT543" s="107"/>
      <c r="BU543" s="107"/>
      <c r="BV543" s="107"/>
      <c r="BW543" s="107"/>
      <c r="BX543" s="107"/>
      <c r="BY543" s="107"/>
      <c r="BZ543" s="107"/>
      <c r="CA543" s="107"/>
      <c r="CB543" s="107"/>
      <c r="CC543" s="107"/>
      <c r="CD543" s="107"/>
      <c r="CE543" s="107"/>
      <c r="CF543" s="107"/>
      <c r="CG543" s="107"/>
      <c r="CH543" s="107"/>
      <c r="CI543" s="107"/>
      <c r="CJ543" s="107"/>
      <c r="CK543" s="107"/>
      <c r="CL543" s="107"/>
      <c r="CM543" s="107"/>
      <c r="CN543" s="107"/>
      <c r="CO543" s="107"/>
      <c r="CP543" s="107"/>
      <c r="CQ543" s="107"/>
      <c r="CR543" s="107"/>
      <c r="CS543" s="107"/>
      <c r="CT543" s="107"/>
      <c r="CU543" s="107"/>
      <c r="CV543" s="107"/>
    </row>
    <row r="544" customFormat="false" ht="14.9" hidden="false" customHeight="false" outlineLevel="0" collapsed="false">
      <c r="A544" s="74" t="n">
        <f aca="false">MONTH(B544)</f>
        <v>9</v>
      </c>
      <c r="B544" s="135" t="n">
        <v>44455</v>
      </c>
      <c r="C544" s="128" t="s">
        <v>51</v>
      </c>
      <c r="D544" s="77" t="str">
        <f aca="false">IFERROR(VLOOKUP(E:E,'Item Data Support Sheet'!A:O,7,0),"")</f>
        <v>BOTTLE PRINTED</v>
      </c>
      <c r="E544" s="80" t="s">
        <v>981</v>
      </c>
      <c r="F544" s="122"/>
      <c r="G544" s="137"/>
      <c r="H544" s="79" t="str">
        <f aca="false">IFERROR(VLOOKUP(E:E,'Item Data Support Sheet'!A:O,2,0),"")</f>
        <v>KPP BOTTLE 240 ML PRINTED-WMG3B</v>
      </c>
      <c r="I544" s="80" t="s">
        <v>969</v>
      </c>
      <c r="J544" s="80" t="s">
        <v>161</v>
      </c>
      <c r="K544" s="81" t="n">
        <v>0.1</v>
      </c>
      <c r="L544" s="124" t="n">
        <v>10</v>
      </c>
      <c r="M544" s="83" t="n">
        <f aca="false">IFERROR(L544/K544,0)</f>
        <v>100</v>
      </c>
      <c r="N544" s="84" t="n">
        <f aca="false">+O544+Q544+T544+U544</f>
        <v>10</v>
      </c>
      <c r="O544" s="85" t="n">
        <v>10</v>
      </c>
      <c r="P544" s="86" t="n">
        <v>0</v>
      </c>
      <c r="Q544" s="86" t="n">
        <v>0</v>
      </c>
      <c r="R544" s="132" t="n">
        <v>0</v>
      </c>
      <c r="S544" s="128" t="n">
        <v>0</v>
      </c>
      <c r="T544" s="132" t="n">
        <v>0</v>
      </c>
      <c r="U544" s="128" t="n">
        <v>0</v>
      </c>
      <c r="V544" s="128" t="n">
        <v>5</v>
      </c>
      <c r="W544" s="90" t="n">
        <f aca="false">IFERROR(O544/V544,0)</f>
        <v>2</v>
      </c>
      <c r="X544" s="91" t="n">
        <f aca="false">O544/L544</f>
        <v>1</v>
      </c>
      <c r="Y544" s="92" t="str">
        <f aca="false">IFERROR(VLOOKUP(E:E,'Item Data Support Sheet'!A:J,6,0),0)</f>
        <v>FO044</v>
      </c>
      <c r="Z544" s="93" t="n">
        <f aca="false">IFERROR(VLOOKUP(E:E,'Item Data Support Sheet'!A:O,4,0),0)</f>
        <v>0</v>
      </c>
      <c r="AA544" s="93" t="n">
        <f aca="false">IFERROR(((N544)*(Z544/1000))+P544,0)</f>
        <v>0</v>
      </c>
      <c r="AB544" s="94" t="str">
        <f aca="false">IFERROR((O544*(Z544/1000)/(AA544))," ")</f>
        <v> </v>
      </c>
      <c r="AC544" s="95" t="n">
        <f aca="false">IFERROR((T544)/((T544)+O544),0)</f>
        <v>0</v>
      </c>
      <c r="AD544" s="96" t="n">
        <f aca="false">IFERROR(Q544/(Q544+N544),0)</f>
        <v>0</v>
      </c>
      <c r="AE544" s="91" t="n">
        <f aca="false">(N544-T544)/N544</f>
        <v>1</v>
      </c>
      <c r="AF544" s="97" t="n">
        <f aca="false">BR544</f>
        <v>0</v>
      </c>
      <c r="AG544" s="98" t="n">
        <f aca="false">K544-AF544</f>
        <v>0.1</v>
      </c>
      <c r="AH544" s="99" t="n">
        <f aca="false">IFERROR(AG544/K544," ")</f>
        <v>1</v>
      </c>
      <c r="AI544" s="100" t="n">
        <f aca="false">IFERROR(O544/K544,0)</f>
        <v>100</v>
      </c>
      <c r="AJ544" s="101" t="n">
        <f aca="false">VLOOKUP(D544,'Standard Cycle time'!C:D,2,0)</f>
        <v>32.4</v>
      </c>
      <c r="AK544" s="101" t="n">
        <f aca="false">AG544*V544*3600/O544</f>
        <v>180</v>
      </c>
      <c r="AL544" s="102" t="n">
        <f aca="false">AJ544/AK544</f>
        <v>0.18</v>
      </c>
      <c r="AM544" s="99" t="n">
        <f aca="false">AE544*AL544*AH544</f>
        <v>0.18</v>
      </c>
      <c r="AN544" s="103" t="s">
        <v>1139</v>
      </c>
      <c r="AO544" s="112"/>
      <c r="AP544" s="105" t="n">
        <v>0</v>
      </c>
      <c r="AQ544" s="105" t="n">
        <v>0</v>
      </c>
      <c r="AR544" s="105" t="n">
        <v>0</v>
      </c>
      <c r="AS544" s="105" t="n">
        <v>0</v>
      </c>
      <c r="AT544" s="105" t="n">
        <v>0</v>
      </c>
      <c r="AU544" s="105" t="n">
        <v>0</v>
      </c>
      <c r="AV544" s="105" t="n">
        <v>0</v>
      </c>
      <c r="AW544" s="105" t="n">
        <v>0</v>
      </c>
      <c r="AX544" s="105" t="n">
        <v>0</v>
      </c>
      <c r="AY544" s="105" t="n">
        <v>0</v>
      </c>
      <c r="AZ544" s="105" t="n">
        <v>0</v>
      </c>
      <c r="BA544" s="105" t="n">
        <v>0</v>
      </c>
      <c r="BB544" s="105" t="n">
        <v>0</v>
      </c>
      <c r="BC544" s="105" t="n">
        <v>0</v>
      </c>
      <c r="BD544" s="105" t="n">
        <v>0</v>
      </c>
      <c r="BE544" s="105" t="n">
        <v>0</v>
      </c>
      <c r="BF544" s="105" t="n">
        <v>0</v>
      </c>
      <c r="BG544" s="105" t="n">
        <v>0</v>
      </c>
      <c r="BH544" s="105" t="n">
        <v>0</v>
      </c>
      <c r="BI544" s="105" t="n">
        <v>0</v>
      </c>
      <c r="BJ544" s="105" t="n">
        <v>0</v>
      </c>
      <c r="BK544" s="105" t="n">
        <v>0</v>
      </c>
      <c r="BL544" s="105" t="n">
        <v>0</v>
      </c>
      <c r="BM544" s="105" t="n">
        <v>0</v>
      </c>
      <c r="BN544" s="105" t="n">
        <v>0</v>
      </c>
      <c r="BO544" s="105" t="n">
        <v>0</v>
      </c>
      <c r="BP544" s="105" t="n">
        <v>0</v>
      </c>
      <c r="BQ544" s="105" t="n">
        <v>0</v>
      </c>
      <c r="BR544" s="106" t="n">
        <v>0</v>
      </c>
      <c r="BS544" s="106" t="n">
        <v>0</v>
      </c>
      <c r="BT544" s="107"/>
      <c r="BU544" s="107"/>
      <c r="BV544" s="107"/>
      <c r="BW544" s="107"/>
      <c r="BX544" s="107"/>
      <c r="BY544" s="107"/>
      <c r="BZ544" s="107"/>
      <c r="CA544" s="107"/>
      <c r="CB544" s="107"/>
      <c r="CC544" s="107"/>
      <c r="CD544" s="107"/>
      <c r="CE544" s="107"/>
      <c r="CF544" s="107"/>
      <c r="CG544" s="107"/>
      <c r="CH544" s="107"/>
      <c r="CI544" s="107"/>
      <c r="CJ544" s="107"/>
      <c r="CK544" s="107"/>
      <c r="CL544" s="107"/>
      <c r="CM544" s="107"/>
      <c r="CN544" s="107"/>
      <c r="CO544" s="107"/>
      <c r="CP544" s="107"/>
      <c r="CQ544" s="107"/>
      <c r="CR544" s="107"/>
      <c r="CS544" s="107"/>
      <c r="CT544" s="107"/>
      <c r="CU544" s="107"/>
      <c r="CV544" s="107"/>
    </row>
    <row r="545" customFormat="false" ht="14.9" hidden="false" customHeight="false" outlineLevel="0" collapsed="false">
      <c r="A545" s="74" t="n">
        <f aca="false">MONTH(B545)</f>
        <v>9</v>
      </c>
      <c r="B545" s="135" t="n">
        <v>44455</v>
      </c>
      <c r="C545" s="128" t="s">
        <v>51</v>
      </c>
      <c r="D545" s="77" t="str">
        <f aca="false">IFERROR(VLOOKUP(E:E,'Item Data Support Sheet'!A:O,7,0),"")</f>
        <v>BOTTLE PRINTED</v>
      </c>
      <c r="E545" s="80" t="s">
        <v>320</v>
      </c>
      <c r="F545" s="122"/>
      <c r="G545" s="137"/>
      <c r="H545" s="79" t="str">
        <f aca="false">IFERROR(VLOOKUP(E:E,'Item Data Support Sheet'!A:O,2,0),"")</f>
        <v>KPP 200 ML BOTTLE PRINTED</v>
      </c>
      <c r="I545" s="80" t="s">
        <v>1140</v>
      </c>
      <c r="J545" s="80" t="s">
        <v>161</v>
      </c>
      <c r="K545" s="81" t="n">
        <v>7.8</v>
      </c>
      <c r="L545" s="124" t="n">
        <v>4900</v>
      </c>
      <c r="M545" s="83" t="n">
        <f aca="false">IFERROR(L545/K545,0)</f>
        <v>628.205128205128</v>
      </c>
      <c r="N545" s="84" t="n">
        <f aca="false">+O545+Q545+T545+U545</f>
        <v>4994</v>
      </c>
      <c r="O545" s="85" t="n">
        <v>4968</v>
      </c>
      <c r="P545" s="86" t="n">
        <v>0</v>
      </c>
      <c r="Q545" s="86" t="n">
        <v>0</v>
      </c>
      <c r="R545" s="132" t="n">
        <v>46</v>
      </c>
      <c r="S545" s="128" t="n">
        <v>0</v>
      </c>
      <c r="T545" s="132" t="n">
        <v>26</v>
      </c>
      <c r="U545" s="128" t="n">
        <v>0</v>
      </c>
      <c r="V545" s="128" t="n">
        <v>5</v>
      </c>
      <c r="W545" s="90" t="n">
        <f aca="false">IFERROR(O545/V545,0)</f>
        <v>993.6</v>
      </c>
      <c r="X545" s="91" t="n">
        <f aca="false">O545/L545</f>
        <v>1.01387755102041</v>
      </c>
      <c r="Y545" s="92" t="str">
        <f aca="false">IFERROR(VLOOKUP(E:E,'Item Data Support Sheet'!A:J,6,0),0)</f>
        <v>FO002</v>
      </c>
      <c r="Z545" s="93" t="n">
        <f aca="false">IFERROR(VLOOKUP(E:E,'Item Data Support Sheet'!A:O,4,0),0)</f>
        <v>0</v>
      </c>
      <c r="AA545" s="93" t="n">
        <f aca="false">IFERROR(((N545)*(Z545/1000))+P545,0)</f>
        <v>0</v>
      </c>
      <c r="AB545" s="94" t="str">
        <f aca="false">IFERROR((O545*(Z545/1000)/(AA545))," ")</f>
        <v> </v>
      </c>
      <c r="AC545" s="95" t="n">
        <f aca="false">IFERROR((T545)/((T545)+O545),0)</f>
        <v>0.0052062474969964</v>
      </c>
      <c r="AD545" s="96" t="n">
        <f aca="false">IFERROR(Q545/(Q545+N545),0)</f>
        <v>0</v>
      </c>
      <c r="AE545" s="91" t="n">
        <f aca="false">(N545-T545)/N545</f>
        <v>0.994793752503004</v>
      </c>
      <c r="AF545" s="97" t="n">
        <f aca="false">BR545</f>
        <v>0.666666666666667</v>
      </c>
      <c r="AG545" s="98" t="n">
        <f aca="false">K545-AF545</f>
        <v>7.13333333333333</v>
      </c>
      <c r="AH545" s="99" t="n">
        <f aca="false">IFERROR(AG545/K545," ")</f>
        <v>0.914529914529915</v>
      </c>
      <c r="AI545" s="100" t="n">
        <f aca="false">IFERROR(O545/K545,0)</f>
        <v>636.923076923077</v>
      </c>
      <c r="AJ545" s="101" t="n">
        <f aca="false">VLOOKUP(D545,'Standard Cycle time'!C:D,2,0)</f>
        <v>32.4</v>
      </c>
      <c r="AK545" s="101" t="n">
        <f aca="false">AG545*V545*3600/O545</f>
        <v>25.8454106280193</v>
      </c>
      <c r="AL545" s="102" t="n">
        <f aca="false">AJ545/AK545</f>
        <v>1.25360747663551</v>
      </c>
      <c r="AM545" s="99" t="n">
        <f aca="false">AE545*AL545*AH545</f>
        <v>1.14049277594652</v>
      </c>
      <c r="AN545" s="103" t="s">
        <v>1141</v>
      </c>
      <c r="AO545" s="112"/>
      <c r="AP545" s="105" t="n">
        <v>40</v>
      </c>
      <c r="AQ545" s="105" t="n">
        <v>0</v>
      </c>
      <c r="AR545" s="105" t="n">
        <v>0</v>
      </c>
      <c r="AS545" s="105" t="n">
        <v>0</v>
      </c>
      <c r="AT545" s="105" t="n">
        <v>0</v>
      </c>
      <c r="AU545" s="105" t="n">
        <v>0</v>
      </c>
      <c r="AV545" s="105" t="n">
        <v>0</v>
      </c>
      <c r="AW545" s="105" t="n">
        <v>0</v>
      </c>
      <c r="AX545" s="105" t="n">
        <v>0</v>
      </c>
      <c r="AY545" s="105" t="n">
        <v>0</v>
      </c>
      <c r="AZ545" s="105" t="n">
        <v>0</v>
      </c>
      <c r="BA545" s="105" t="n">
        <v>0</v>
      </c>
      <c r="BB545" s="105" t="n">
        <v>0</v>
      </c>
      <c r="BC545" s="105" t="n">
        <v>0</v>
      </c>
      <c r="BD545" s="105" t="n">
        <v>0</v>
      </c>
      <c r="BE545" s="105" t="n">
        <v>0</v>
      </c>
      <c r="BF545" s="105" t="n">
        <v>0</v>
      </c>
      <c r="BG545" s="105" t="n">
        <v>0</v>
      </c>
      <c r="BH545" s="105" t="n">
        <v>0</v>
      </c>
      <c r="BI545" s="105" t="n">
        <v>0</v>
      </c>
      <c r="BJ545" s="105" t="n">
        <v>0</v>
      </c>
      <c r="BK545" s="105" t="n">
        <v>0</v>
      </c>
      <c r="BL545" s="105" t="n">
        <v>0</v>
      </c>
      <c r="BM545" s="105" t="n">
        <v>0</v>
      </c>
      <c r="BN545" s="105" t="n">
        <v>0</v>
      </c>
      <c r="BO545" s="105" t="n">
        <v>0</v>
      </c>
      <c r="BP545" s="105" t="n">
        <v>0</v>
      </c>
      <c r="BQ545" s="105" t="n">
        <v>0</v>
      </c>
      <c r="BR545" s="106" t="n">
        <v>0.666666666666667</v>
      </c>
      <c r="BS545" s="106" t="n">
        <v>0.677777777777778</v>
      </c>
      <c r="BT545" s="107"/>
      <c r="BU545" s="107"/>
      <c r="BV545" s="107"/>
      <c r="BW545" s="107"/>
      <c r="BX545" s="107"/>
      <c r="BY545" s="107"/>
      <c r="BZ545" s="107"/>
      <c r="CA545" s="107"/>
      <c r="CB545" s="107"/>
      <c r="CC545" s="107"/>
      <c r="CD545" s="107"/>
      <c r="CE545" s="107"/>
      <c r="CF545" s="107"/>
      <c r="CG545" s="107"/>
      <c r="CH545" s="107"/>
      <c r="CI545" s="107"/>
      <c r="CJ545" s="107"/>
      <c r="CK545" s="107"/>
      <c r="CL545" s="107"/>
      <c r="CM545" s="107"/>
      <c r="CN545" s="107"/>
      <c r="CO545" s="107"/>
      <c r="CP545" s="107"/>
      <c r="CQ545" s="107"/>
      <c r="CR545" s="107"/>
      <c r="CS545" s="107"/>
      <c r="CT545" s="107"/>
      <c r="CU545" s="107"/>
      <c r="CV545" s="107"/>
    </row>
    <row r="546" customFormat="false" ht="14.9" hidden="false" customHeight="false" outlineLevel="0" collapsed="false">
      <c r="A546" s="74" t="n">
        <f aca="false">MONTH(B546)</f>
        <v>9</v>
      </c>
      <c r="B546" s="135" t="n">
        <v>44455</v>
      </c>
      <c r="C546" s="128" t="s">
        <v>51</v>
      </c>
      <c r="D546" s="77" t="str">
        <f aca="false">IFERROR(VLOOKUP(E:E,'Item Data Support Sheet'!A:O,7,0),"")</f>
        <v>BOTTLE MOLDED</v>
      </c>
      <c r="E546" s="80" t="s">
        <v>69</v>
      </c>
      <c r="F546" s="122" t="s">
        <v>73</v>
      </c>
      <c r="G546" s="137" t="s">
        <v>80</v>
      </c>
      <c r="H546" s="79" t="str">
        <f aca="false">IFERROR(VLOOKUP(E:E,'Item Data Support Sheet'!A:O,2,0),"")</f>
        <v>KPP 240 ML BOTTLE MOLDED</v>
      </c>
      <c r="I546" s="80" t="s">
        <v>1142</v>
      </c>
      <c r="J546" s="80" t="s">
        <v>148</v>
      </c>
      <c r="K546" s="81" t="n">
        <v>8</v>
      </c>
      <c r="L546" s="124" t="n">
        <v>2574</v>
      </c>
      <c r="M546" s="83" t="n">
        <f aca="false">IFERROR(L546/K546,0)</f>
        <v>321.75</v>
      </c>
      <c r="N546" s="84" t="n">
        <f aca="false">+O546+Q546+T546+U546</f>
        <v>821</v>
      </c>
      <c r="O546" s="85" t="n">
        <v>756</v>
      </c>
      <c r="P546" s="86" t="n">
        <v>0.18</v>
      </c>
      <c r="Q546" s="86" t="n">
        <v>36</v>
      </c>
      <c r="R546" s="132" t="n">
        <v>0</v>
      </c>
      <c r="S546" s="128" t="n">
        <v>0</v>
      </c>
      <c r="T546" s="132" t="n">
        <v>21</v>
      </c>
      <c r="U546" s="128" t="n">
        <v>8</v>
      </c>
      <c r="V546" s="128" t="n">
        <v>1</v>
      </c>
      <c r="W546" s="90" t="n">
        <f aca="false">IFERROR(O546/V546,0)</f>
        <v>756</v>
      </c>
      <c r="X546" s="91" t="n">
        <f aca="false">O546/L546</f>
        <v>0.293706293706294</v>
      </c>
      <c r="Y546" s="92" t="str">
        <f aca="false">IFERROR(VLOOKUP(E:E,'Item Data Support Sheet'!A:J,6,0),0)</f>
        <v>HMC</v>
      </c>
      <c r="Z546" s="93" t="n">
        <f aca="false">IFERROR(VLOOKUP(E:E,'Item Data Support Sheet'!A:O,4,0),0)</f>
        <v>32.1</v>
      </c>
      <c r="AA546" s="93" t="n">
        <f aca="false">IFERROR(((N546)*(Z546/1000))+P546,0)</f>
        <v>26.5341</v>
      </c>
      <c r="AB546" s="94" t="n">
        <f aca="false">IFERROR((O546*(Z546/1000)/(AA546))," ")</f>
        <v>0.914581613847841</v>
      </c>
      <c r="AC546" s="95" t="n">
        <f aca="false">IFERROR((T546)/((T546)+O546),0)</f>
        <v>0.027027027027027</v>
      </c>
      <c r="AD546" s="96" t="n">
        <f aca="false">IFERROR(Q546/(Q546+N546),0)</f>
        <v>0.0420070011668611</v>
      </c>
      <c r="AE546" s="91" t="n">
        <f aca="false">(N546-T546)/N546</f>
        <v>0.97442143727162</v>
      </c>
      <c r="AF546" s="97" t="n">
        <f aca="false">BR546</f>
        <v>6.08333333333333</v>
      </c>
      <c r="AG546" s="98" t="n">
        <f aca="false">K546-AF546</f>
        <v>1.91666666666667</v>
      </c>
      <c r="AH546" s="99" t="n">
        <f aca="false">IFERROR(AG546/K546," ")</f>
        <v>0.239583333333334</v>
      </c>
      <c r="AI546" s="100" t="n">
        <f aca="false">IFERROR(O546/K546,0)</f>
        <v>94.5</v>
      </c>
      <c r="AJ546" s="101" t="n">
        <f aca="false">VLOOKUP(D546,'Standard Cycle time'!C:D,2,0)</f>
        <v>9</v>
      </c>
      <c r="AK546" s="101" t="n">
        <f aca="false">AG546*V546*3600/O546</f>
        <v>9.12698412698414</v>
      </c>
      <c r="AL546" s="102" t="n">
        <f aca="false">AJ546/AK546</f>
        <v>0.986086956521738</v>
      </c>
      <c r="AM546" s="99" t="n">
        <f aca="false">AE546*AL546*AH546</f>
        <v>0.23020706455542</v>
      </c>
      <c r="AN546" s="103" t="n">
        <v>3282</v>
      </c>
      <c r="AO546" s="112" t="s">
        <v>1143</v>
      </c>
      <c r="AP546" s="105" t="n">
        <v>0</v>
      </c>
      <c r="AQ546" s="105" t="n">
        <v>215</v>
      </c>
      <c r="AR546" s="105" t="n">
        <v>70</v>
      </c>
      <c r="AS546" s="105" t="n">
        <v>0</v>
      </c>
      <c r="AT546" s="105" t="n">
        <v>0</v>
      </c>
      <c r="AU546" s="105" t="n">
        <v>0</v>
      </c>
      <c r="AV546" s="105" t="n">
        <v>30</v>
      </c>
      <c r="AW546" s="105" t="n">
        <v>50</v>
      </c>
      <c r="AX546" s="105" t="n">
        <v>0</v>
      </c>
      <c r="AY546" s="105" t="n">
        <v>0</v>
      </c>
      <c r="AZ546" s="105" t="n">
        <v>0</v>
      </c>
      <c r="BA546" s="105" t="n">
        <v>0</v>
      </c>
      <c r="BB546" s="105" t="n">
        <v>0</v>
      </c>
      <c r="BC546" s="105" t="n">
        <v>0</v>
      </c>
      <c r="BD546" s="105" t="n">
        <v>0</v>
      </c>
      <c r="BE546" s="105" t="n">
        <v>0</v>
      </c>
      <c r="BF546" s="105" t="n">
        <v>0</v>
      </c>
      <c r="BG546" s="105" t="n">
        <v>0</v>
      </c>
      <c r="BH546" s="105" t="n">
        <v>0</v>
      </c>
      <c r="BI546" s="105" t="n">
        <v>0</v>
      </c>
      <c r="BJ546" s="105" t="n">
        <v>0</v>
      </c>
      <c r="BK546" s="105" t="n">
        <v>0</v>
      </c>
      <c r="BL546" s="105" t="n">
        <v>0</v>
      </c>
      <c r="BM546" s="105" t="n">
        <v>0</v>
      </c>
      <c r="BN546" s="105" t="n">
        <v>0</v>
      </c>
      <c r="BO546" s="105" t="n">
        <v>0</v>
      </c>
      <c r="BP546" s="105" t="n">
        <v>0</v>
      </c>
      <c r="BQ546" s="105" t="n">
        <v>0</v>
      </c>
      <c r="BR546" s="106" t="n">
        <v>6.08333333333333</v>
      </c>
      <c r="BS546" s="106" t="n">
        <v>6.18472222222222</v>
      </c>
      <c r="BT546" s="107"/>
      <c r="BU546" s="107"/>
      <c r="BV546" s="107"/>
      <c r="BW546" s="107"/>
      <c r="BX546" s="107"/>
      <c r="BY546" s="107"/>
      <c r="BZ546" s="107"/>
      <c r="CA546" s="107"/>
      <c r="CB546" s="107"/>
      <c r="CC546" s="107"/>
      <c r="CD546" s="107"/>
      <c r="CE546" s="107"/>
      <c r="CF546" s="107"/>
      <c r="CG546" s="107"/>
      <c r="CH546" s="107"/>
      <c r="CI546" s="107"/>
      <c r="CJ546" s="107"/>
      <c r="CK546" s="107"/>
      <c r="CL546" s="107"/>
      <c r="CM546" s="107"/>
      <c r="CN546" s="107"/>
      <c r="CO546" s="107"/>
      <c r="CP546" s="107"/>
      <c r="CQ546" s="107"/>
      <c r="CR546" s="107"/>
      <c r="CS546" s="107"/>
      <c r="CT546" s="107"/>
      <c r="CU546" s="107"/>
      <c r="CV546" s="107"/>
    </row>
    <row r="547" customFormat="false" ht="14.9" hidden="false" customHeight="false" outlineLevel="0" collapsed="false">
      <c r="A547" s="74" t="n">
        <f aca="false">MONTH(B547)</f>
        <v>9</v>
      </c>
      <c r="B547" s="135" t="n">
        <v>44455</v>
      </c>
      <c r="C547" s="128" t="s">
        <v>63</v>
      </c>
      <c r="D547" s="77" t="str">
        <f aca="false">IFERROR(VLOOKUP(E:E,'Item Data Support Sheet'!A:O,7,0),"")</f>
        <v>NIPPLE PUNCH INSPECTED</v>
      </c>
      <c r="E547" s="80" t="s">
        <v>182</v>
      </c>
      <c r="F547" s="122"/>
      <c r="G547" s="137"/>
      <c r="H547" s="79" t="str">
        <f aca="false">IFERROR(VLOOKUP(E:E,'Item Data Support Sheet'!A:O,2,0),"")</f>
        <v>NIPPLE S TYPE M SIZE PUNCHED INSPECTED</v>
      </c>
      <c r="I547" s="80" t="s">
        <v>1144</v>
      </c>
      <c r="J547" s="80" t="s">
        <v>155</v>
      </c>
      <c r="K547" s="81" t="n">
        <v>2.5</v>
      </c>
      <c r="L547" s="124" t="n">
        <v>2500</v>
      </c>
      <c r="M547" s="83" t="n">
        <f aca="false">IFERROR(L547/K547,0)</f>
        <v>1000</v>
      </c>
      <c r="N547" s="84" t="n">
        <f aca="false">+O547+Q547+T547+U547</f>
        <v>2228</v>
      </c>
      <c r="O547" s="85" t="n">
        <v>2217</v>
      </c>
      <c r="P547" s="86" t="n">
        <v>0</v>
      </c>
      <c r="Q547" s="86" t="n">
        <v>0</v>
      </c>
      <c r="R547" s="132" t="n">
        <v>0</v>
      </c>
      <c r="S547" s="128" t="n">
        <v>0</v>
      </c>
      <c r="T547" s="132" t="n">
        <v>11</v>
      </c>
      <c r="U547" s="128" t="n">
        <v>0</v>
      </c>
      <c r="V547" s="128" t="n">
        <v>1</v>
      </c>
      <c r="W547" s="90" t="n">
        <f aca="false">IFERROR(O547/V547,0)</f>
        <v>2217</v>
      </c>
      <c r="X547" s="91" t="n">
        <f aca="false">O547/L547</f>
        <v>0.8868</v>
      </c>
      <c r="Y547" s="92" t="str">
        <f aca="false">IFERROR(VLOOKUP(E:E,'Item Data Support Sheet'!A:J,6,0),0)</f>
        <v>FO105</v>
      </c>
      <c r="Z547" s="93" t="n">
        <f aca="false">IFERROR(VLOOKUP(E:E,'Item Data Support Sheet'!A:O,4,0),0)</f>
        <v>0</v>
      </c>
      <c r="AA547" s="93" t="n">
        <f aca="false">IFERROR(((N547)*(Z547/1000))+P547,0)</f>
        <v>0</v>
      </c>
      <c r="AB547" s="94" t="str">
        <f aca="false">IFERROR((O547*(Z547/1000)/(AA547))," ")</f>
        <v> </v>
      </c>
      <c r="AC547" s="95" t="n">
        <f aca="false">IFERROR((T547)/((T547)+O547),0)</f>
        <v>0.00493716337522442</v>
      </c>
      <c r="AD547" s="96" t="n">
        <f aca="false">IFERROR(Q547/(Q547+N547),0)</f>
        <v>0</v>
      </c>
      <c r="AE547" s="91" t="n">
        <f aca="false">(N547-T547)/N547</f>
        <v>0.995062836624776</v>
      </c>
      <c r="AF547" s="97" t="n">
        <f aca="false">BR547</f>
        <v>0.666666666666667</v>
      </c>
      <c r="AG547" s="98" t="n">
        <f aca="false">K547-AF547</f>
        <v>1.83333333333333</v>
      </c>
      <c r="AH547" s="99" t="n">
        <f aca="false">IFERROR(AG547/K547," ")</f>
        <v>0.733333333333333</v>
      </c>
      <c r="AI547" s="100" t="n">
        <f aca="false">IFERROR(O547/K547,0)</f>
        <v>886.8</v>
      </c>
      <c r="AJ547" s="101" t="n">
        <f aca="false">VLOOKUP(D547,'Standard Cycle time'!C:D,2,0)</f>
        <v>4</v>
      </c>
      <c r="AK547" s="101" t="n">
        <f aca="false">AG547*V547*3600/O547</f>
        <v>2.97699594046008</v>
      </c>
      <c r="AL547" s="102" t="n">
        <f aca="false">AJ547/AK547</f>
        <v>1.34363636363636</v>
      </c>
      <c r="AM547" s="99" t="n">
        <f aca="false">AE547*AL547*AH547</f>
        <v>0.980468581687612</v>
      </c>
      <c r="AN547" s="103" t="n">
        <v>3285</v>
      </c>
      <c r="AO547" s="112" t="s">
        <v>824</v>
      </c>
      <c r="AP547" s="105" t="n">
        <v>40</v>
      </c>
      <c r="AQ547" s="105" t="n">
        <v>0</v>
      </c>
      <c r="AR547" s="105" t="n">
        <v>0</v>
      </c>
      <c r="AS547" s="105" t="n">
        <v>0</v>
      </c>
      <c r="AT547" s="105" t="n">
        <v>0</v>
      </c>
      <c r="AU547" s="105" t="n">
        <v>0</v>
      </c>
      <c r="AV547" s="105" t="n">
        <v>0</v>
      </c>
      <c r="AW547" s="105" t="n">
        <v>0</v>
      </c>
      <c r="AX547" s="105" t="n">
        <v>0</v>
      </c>
      <c r="AY547" s="105" t="n">
        <v>0</v>
      </c>
      <c r="AZ547" s="105" t="n">
        <v>0</v>
      </c>
      <c r="BA547" s="105" t="n">
        <v>0</v>
      </c>
      <c r="BB547" s="105" t="n">
        <v>0</v>
      </c>
      <c r="BC547" s="105" t="n">
        <v>0</v>
      </c>
      <c r="BD547" s="105" t="n">
        <v>0</v>
      </c>
      <c r="BE547" s="105" t="n">
        <v>0</v>
      </c>
      <c r="BF547" s="105" t="n">
        <v>0</v>
      </c>
      <c r="BG547" s="105" t="n">
        <v>0</v>
      </c>
      <c r="BH547" s="105" t="n">
        <v>0</v>
      </c>
      <c r="BI547" s="105" t="n">
        <v>0</v>
      </c>
      <c r="BJ547" s="105" t="n">
        <v>0</v>
      </c>
      <c r="BK547" s="105" t="n">
        <v>0</v>
      </c>
      <c r="BL547" s="105" t="n">
        <v>0</v>
      </c>
      <c r="BM547" s="105" t="n">
        <v>0</v>
      </c>
      <c r="BN547" s="105" t="n">
        <v>0</v>
      </c>
      <c r="BO547" s="105" t="n">
        <v>0</v>
      </c>
      <c r="BP547" s="105" t="n">
        <v>0</v>
      </c>
      <c r="BQ547" s="105" t="n">
        <v>0</v>
      </c>
      <c r="BR547" s="106" t="n">
        <v>0.666666666666667</v>
      </c>
      <c r="BS547" s="106" t="n">
        <v>0.677777777777778</v>
      </c>
      <c r="BT547" s="107"/>
      <c r="BU547" s="107"/>
      <c r="BV547" s="107"/>
      <c r="BW547" s="107"/>
      <c r="BX547" s="107"/>
      <c r="BY547" s="107"/>
      <c r="BZ547" s="107"/>
      <c r="CA547" s="107"/>
      <c r="CB547" s="107"/>
      <c r="CC547" s="107"/>
      <c r="CD547" s="107"/>
      <c r="CE547" s="107"/>
      <c r="CF547" s="107"/>
      <c r="CG547" s="107"/>
      <c r="CH547" s="107"/>
      <c r="CI547" s="107"/>
      <c r="CJ547" s="107"/>
      <c r="CK547" s="107"/>
      <c r="CL547" s="107"/>
      <c r="CM547" s="107"/>
      <c r="CN547" s="107"/>
      <c r="CO547" s="107"/>
      <c r="CP547" s="107"/>
      <c r="CQ547" s="107"/>
      <c r="CR547" s="107"/>
      <c r="CS547" s="107"/>
      <c r="CT547" s="107"/>
      <c r="CU547" s="107"/>
      <c r="CV547" s="107"/>
    </row>
    <row r="548" customFormat="false" ht="14.9" hidden="false" customHeight="false" outlineLevel="0" collapsed="false">
      <c r="A548" s="74" t="n">
        <f aca="false">MONTH(B548)</f>
        <v>9</v>
      </c>
      <c r="B548" s="135" t="n">
        <v>44455</v>
      </c>
      <c r="C548" s="128" t="s">
        <v>63</v>
      </c>
      <c r="D548" s="77" t="str">
        <f aca="false">IFERROR(VLOOKUP(E:E,'Item Data Support Sheet'!A:O,7,0),"")</f>
        <v>NIPPLE PUNCH INSPECTED</v>
      </c>
      <c r="E548" s="80" t="s">
        <v>688</v>
      </c>
      <c r="F548" s="122"/>
      <c r="G548" s="137"/>
      <c r="H548" s="79" t="str">
        <f aca="false">IFERROR(VLOOKUP(E:E,'Item Data Support Sheet'!A:O,2,0),"")</f>
        <v>NIPPLE S TYPE L SIZE PUNCHED INSPECTED</v>
      </c>
      <c r="I548" s="80" t="s">
        <v>1145</v>
      </c>
      <c r="J548" s="80" t="s">
        <v>155</v>
      </c>
      <c r="K548" s="81" t="n">
        <v>6</v>
      </c>
      <c r="L548" s="124" t="n">
        <v>11500</v>
      </c>
      <c r="M548" s="83" t="n">
        <f aca="false">IFERROR(L548/K548,0)</f>
        <v>1916.66666666667</v>
      </c>
      <c r="N548" s="84" t="n">
        <f aca="false">+O548+Q548+T548+U548</f>
        <v>9300</v>
      </c>
      <c r="O548" s="85" t="n">
        <v>9188</v>
      </c>
      <c r="P548" s="86" t="n">
        <v>0</v>
      </c>
      <c r="Q548" s="86" t="n">
        <v>0</v>
      </c>
      <c r="R548" s="132" t="n">
        <v>0</v>
      </c>
      <c r="S548" s="128" t="n">
        <v>0</v>
      </c>
      <c r="T548" s="132" t="n">
        <v>112</v>
      </c>
      <c r="U548" s="128" t="n">
        <v>0</v>
      </c>
      <c r="V548" s="128" t="n">
        <v>1</v>
      </c>
      <c r="W548" s="90" t="n">
        <f aca="false">IFERROR(O548/V548,0)</f>
        <v>9188</v>
      </c>
      <c r="X548" s="91" t="n">
        <f aca="false">O548/L548</f>
        <v>0.79895652173913</v>
      </c>
      <c r="Y548" s="92" t="str">
        <f aca="false">IFERROR(VLOOKUP(E:E,'Item Data Support Sheet'!A:J,6,0),0)</f>
        <v>FO106</v>
      </c>
      <c r="Z548" s="93" t="n">
        <f aca="false">IFERROR(VLOOKUP(E:E,'Item Data Support Sheet'!A:O,4,0),0)</f>
        <v>0</v>
      </c>
      <c r="AA548" s="93" t="n">
        <f aca="false">IFERROR(((N548)*(Z548/1000))+P548,0)</f>
        <v>0</v>
      </c>
      <c r="AB548" s="94" t="str">
        <f aca="false">IFERROR((O548*(Z548/1000)/(AA548))," ")</f>
        <v> </v>
      </c>
      <c r="AC548" s="95" t="n">
        <f aca="false">IFERROR((T548)/((T548)+O548),0)</f>
        <v>0.0120430107526882</v>
      </c>
      <c r="AD548" s="96" t="n">
        <f aca="false">IFERROR(Q548/(Q548+N548),0)</f>
        <v>0</v>
      </c>
      <c r="AE548" s="91" t="n">
        <f aca="false">(N548-T548)/N548</f>
        <v>0.987956989247312</v>
      </c>
      <c r="AF548" s="97" t="n">
        <f aca="false">BR548</f>
        <v>0</v>
      </c>
      <c r="AG548" s="98" t="n">
        <f aca="false">K548-AF548</f>
        <v>6</v>
      </c>
      <c r="AH548" s="99" t="n">
        <f aca="false">IFERROR(AG548/K548," ")</f>
        <v>1</v>
      </c>
      <c r="AI548" s="100" t="n">
        <f aca="false">IFERROR(O548/K548,0)</f>
        <v>1531.33333333333</v>
      </c>
      <c r="AJ548" s="101" t="n">
        <f aca="false">VLOOKUP(D548,'Standard Cycle time'!C:D,2,0)</f>
        <v>4</v>
      </c>
      <c r="AK548" s="101" t="n">
        <f aca="false">AG548*V548*3600/O548</f>
        <v>2.35089246843709</v>
      </c>
      <c r="AL548" s="102" t="n">
        <f aca="false">AJ548/AK548</f>
        <v>1.70148148148148</v>
      </c>
      <c r="AM548" s="99" t="n">
        <f aca="false">AE548*AL548*AH548</f>
        <v>1.6809905217045</v>
      </c>
      <c r="AN548" s="103" t="s">
        <v>1146</v>
      </c>
      <c r="AO548" s="112"/>
      <c r="AP548" s="105" t="n">
        <v>0</v>
      </c>
      <c r="AQ548" s="105" t="n">
        <v>0</v>
      </c>
      <c r="AR548" s="105" t="n">
        <v>0</v>
      </c>
      <c r="AS548" s="105" t="n">
        <v>0</v>
      </c>
      <c r="AT548" s="105" t="n">
        <v>0</v>
      </c>
      <c r="AU548" s="105" t="n">
        <v>0</v>
      </c>
      <c r="AV548" s="105" t="n">
        <v>0</v>
      </c>
      <c r="AW548" s="105" t="n">
        <v>0</v>
      </c>
      <c r="AX548" s="105" t="n">
        <v>0</v>
      </c>
      <c r="AY548" s="105" t="n">
        <v>0</v>
      </c>
      <c r="AZ548" s="105" t="n">
        <v>0</v>
      </c>
      <c r="BA548" s="105" t="n">
        <v>0</v>
      </c>
      <c r="BB548" s="105" t="n">
        <v>0</v>
      </c>
      <c r="BC548" s="105" t="n">
        <v>0</v>
      </c>
      <c r="BD548" s="105" t="n">
        <v>0</v>
      </c>
      <c r="BE548" s="105" t="n">
        <v>0</v>
      </c>
      <c r="BF548" s="105" t="n">
        <v>0</v>
      </c>
      <c r="BG548" s="105" t="n">
        <v>0</v>
      </c>
      <c r="BH548" s="105" t="n">
        <v>0</v>
      </c>
      <c r="BI548" s="105" t="n">
        <v>0</v>
      </c>
      <c r="BJ548" s="105" t="n">
        <v>0</v>
      </c>
      <c r="BK548" s="105" t="n">
        <v>0</v>
      </c>
      <c r="BL548" s="105" t="n">
        <v>0</v>
      </c>
      <c r="BM548" s="105" t="n">
        <v>0</v>
      </c>
      <c r="BN548" s="105" t="n">
        <v>0</v>
      </c>
      <c r="BO548" s="105" t="n">
        <v>0</v>
      </c>
      <c r="BP548" s="105" t="n">
        <v>0</v>
      </c>
      <c r="BQ548" s="105" t="n">
        <v>0</v>
      </c>
      <c r="BR548" s="106" t="n">
        <v>0</v>
      </c>
      <c r="BS548" s="106" t="n">
        <v>0</v>
      </c>
      <c r="BT548" s="107"/>
      <c r="BU548" s="107"/>
      <c r="BV548" s="107"/>
      <c r="BW548" s="107"/>
      <c r="BX548" s="107"/>
      <c r="BY548" s="107"/>
      <c r="BZ548" s="107"/>
      <c r="CA548" s="107"/>
      <c r="CB548" s="107"/>
      <c r="CC548" s="107"/>
      <c r="CD548" s="107"/>
      <c r="CE548" s="107"/>
      <c r="CF548" s="107"/>
      <c r="CG548" s="107"/>
      <c r="CH548" s="107"/>
      <c r="CI548" s="107"/>
      <c r="CJ548" s="107"/>
      <c r="CK548" s="107"/>
      <c r="CL548" s="107"/>
      <c r="CM548" s="107"/>
      <c r="CN548" s="107"/>
      <c r="CO548" s="107"/>
      <c r="CP548" s="107"/>
      <c r="CQ548" s="107"/>
      <c r="CR548" s="107"/>
      <c r="CS548" s="107"/>
      <c r="CT548" s="107"/>
      <c r="CU548" s="107"/>
      <c r="CV548" s="107"/>
    </row>
    <row r="549" customFormat="false" ht="14.9" hidden="false" customHeight="false" outlineLevel="0" collapsed="false">
      <c r="A549" s="74" t="n">
        <f aca="false">MONTH(B549)</f>
        <v>9</v>
      </c>
      <c r="B549" s="135" t="n">
        <v>44455</v>
      </c>
      <c r="C549" s="128" t="s">
        <v>63</v>
      </c>
      <c r="D549" s="77" t="str">
        <f aca="false">IFERROR(VLOOKUP(E:E,'Item Data Support Sheet'!A:O,7,0),"")</f>
        <v>NIPPLE WRAP PRINTED</v>
      </c>
      <c r="E549" s="80" t="s">
        <v>431</v>
      </c>
      <c r="F549" s="122"/>
      <c r="G549" s="137"/>
      <c r="H549" s="79" t="str">
        <f aca="false">IFERROR(VLOOKUP(E:E,'Item Data Support Sheet'!A:O,2,0),"")</f>
        <v>NIPPLE S TYPE M SIZE WITH PRINTED WRAP</v>
      </c>
      <c r="I549" s="80" t="s">
        <v>1147</v>
      </c>
      <c r="J549" s="80" t="s">
        <v>155</v>
      </c>
      <c r="K549" s="81" t="n">
        <v>8</v>
      </c>
      <c r="L549" s="124" t="n">
        <v>16132</v>
      </c>
      <c r="M549" s="83" t="n">
        <f aca="false">IFERROR(L549/K549,0)</f>
        <v>2016.5</v>
      </c>
      <c r="N549" s="84" t="n">
        <f aca="false">+O549+Q549+T549+U549</f>
        <v>16925</v>
      </c>
      <c r="O549" s="85" t="n">
        <v>16890</v>
      </c>
      <c r="P549" s="86" t="n">
        <v>0</v>
      </c>
      <c r="Q549" s="86" t="n">
        <v>0</v>
      </c>
      <c r="R549" s="132" t="n">
        <v>0</v>
      </c>
      <c r="S549" s="128" t="n">
        <v>0</v>
      </c>
      <c r="T549" s="132" t="n">
        <v>35</v>
      </c>
      <c r="U549" s="128" t="n">
        <v>0</v>
      </c>
      <c r="V549" s="128" t="n">
        <v>2</v>
      </c>
      <c r="W549" s="90" t="n">
        <f aca="false">IFERROR(O549/V549,0)</f>
        <v>8445</v>
      </c>
      <c r="X549" s="91" t="n">
        <f aca="false">O549/L549</f>
        <v>1.0469873543268</v>
      </c>
      <c r="Y549" s="92" t="str">
        <f aca="false">IFERROR(VLOOKUP(E:E,'Item Data Support Sheet'!A:J,6,0),0)</f>
        <v>FO020</v>
      </c>
      <c r="Z549" s="93" t="n">
        <f aca="false">IFERROR(VLOOKUP(E:E,'Item Data Support Sheet'!A:O,4,0),0)</f>
        <v>0</v>
      </c>
      <c r="AA549" s="93" t="n">
        <f aca="false">IFERROR(((N549)*(Z549/1000))+P549,0)</f>
        <v>0</v>
      </c>
      <c r="AB549" s="94" t="str">
        <f aca="false">IFERROR((O549*(Z549/1000)/(AA549))," ")</f>
        <v> </v>
      </c>
      <c r="AC549" s="95" t="n">
        <f aca="false">IFERROR((T549)/((T549)+O549),0)</f>
        <v>0.00206794682422452</v>
      </c>
      <c r="AD549" s="96" t="n">
        <f aca="false">IFERROR(Q549/(Q549+N549),0)</f>
        <v>0</v>
      </c>
      <c r="AE549" s="91" t="n">
        <f aca="false">(N549-T549)/N549</f>
        <v>0.997932053175775</v>
      </c>
      <c r="AF549" s="97" t="n">
        <f aca="false">BR549</f>
        <v>0.666666666666667</v>
      </c>
      <c r="AG549" s="98" t="n">
        <f aca="false">K549-AF549</f>
        <v>7.33333333333333</v>
      </c>
      <c r="AH549" s="99" t="n">
        <f aca="false">IFERROR(AG549/K549," ")</f>
        <v>0.916666666666667</v>
      </c>
      <c r="AI549" s="100" t="n">
        <f aca="false">IFERROR(O549/K549,0)</f>
        <v>2111.25</v>
      </c>
      <c r="AJ549" s="101" t="n">
        <f aca="false">VLOOKUP(D549,'Standard Cycle time'!C:D,2,0)</f>
        <v>2.5</v>
      </c>
      <c r="AK549" s="101" t="n">
        <f aca="false">AG549*V549*3600/O549</f>
        <v>3.12611012433393</v>
      </c>
      <c r="AL549" s="102" t="n">
        <f aca="false">AJ549/AK549</f>
        <v>0.799715909090909</v>
      </c>
      <c r="AM549" s="99" t="n">
        <f aca="false">AE549*AL549*AH549</f>
        <v>0.731556960856721</v>
      </c>
      <c r="AN549" s="103" t="s">
        <v>1148</v>
      </c>
      <c r="AO549" s="112" t="s">
        <v>1149</v>
      </c>
      <c r="AP549" s="105" t="n">
        <v>40</v>
      </c>
      <c r="AQ549" s="105" t="n">
        <v>0</v>
      </c>
      <c r="AR549" s="105" t="n">
        <v>0</v>
      </c>
      <c r="AS549" s="105" t="n">
        <v>0</v>
      </c>
      <c r="AT549" s="105" t="n">
        <v>0</v>
      </c>
      <c r="AU549" s="105" t="n">
        <v>0</v>
      </c>
      <c r="AV549" s="105" t="n">
        <v>0</v>
      </c>
      <c r="AW549" s="105" t="n">
        <v>0</v>
      </c>
      <c r="AX549" s="105" t="n">
        <v>0</v>
      </c>
      <c r="AY549" s="105" t="n">
        <v>0</v>
      </c>
      <c r="AZ549" s="105" t="n">
        <v>0</v>
      </c>
      <c r="BA549" s="105" t="n">
        <v>0</v>
      </c>
      <c r="BB549" s="105" t="n">
        <v>0</v>
      </c>
      <c r="BC549" s="105" t="n">
        <v>0</v>
      </c>
      <c r="BD549" s="105" t="n">
        <v>0</v>
      </c>
      <c r="BE549" s="105" t="n">
        <v>0</v>
      </c>
      <c r="BF549" s="105" t="n">
        <v>0</v>
      </c>
      <c r="BG549" s="105" t="n">
        <v>0</v>
      </c>
      <c r="BH549" s="105" t="n">
        <v>0</v>
      </c>
      <c r="BI549" s="105" t="n">
        <v>0</v>
      </c>
      <c r="BJ549" s="105" t="n">
        <v>0</v>
      </c>
      <c r="BK549" s="105" t="n">
        <v>0</v>
      </c>
      <c r="BL549" s="105" t="n">
        <v>0</v>
      </c>
      <c r="BM549" s="105" t="n">
        <v>0</v>
      </c>
      <c r="BN549" s="105" t="n">
        <v>0</v>
      </c>
      <c r="BO549" s="105" t="n">
        <v>0</v>
      </c>
      <c r="BP549" s="105" t="n">
        <v>0</v>
      </c>
      <c r="BQ549" s="105" t="n">
        <v>0</v>
      </c>
      <c r="BR549" s="106" t="n">
        <v>0.666666666666667</v>
      </c>
      <c r="BS549" s="106" t="n">
        <v>0.677777777777778</v>
      </c>
      <c r="BT549" s="107"/>
      <c r="BU549" s="107"/>
      <c r="BV549" s="107"/>
      <c r="BW549" s="107"/>
      <c r="BX549" s="107"/>
      <c r="BY549" s="107"/>
      <c r="BZ549" s="107"/>
      <c r="CA549" s="107"/>
      <c r="CB549" s="107"/>
      <c r="CC549" s="107"/>
      <c r="CD549" s="107"/>
      <c r="CE549" s="107"/>
      <c r="CF549" s="107"/>
      <c r="CG549" s="107"/>
      <c r="CH549" s="107"/>
      <c r="CI549" s="107"/>
      <c r="CJ549" s="107"/>
      <c r="CK549" s="107"/>
      <c r="CL549" s="107"/>
      <c r="CM549" s="107"/>
      <c r="CN549" s="107"/>
      <c r="CO549" s="107"/>
      <c r="CP549" s="107"/>
      <c r="CQ549" s="107"/>
      <c r="CR549" s="107"/>
      <c r="CS549" s="107"/>
      <c r="CT549" s="107"/>
      <c r="CU549" s="107"/>
      <c r="CV549" s="107"/>
    </row>
    <row r="550" customFormat="false" ht="14.9" hidden="false" customHeight="false" outlineLevel="0" collapsed="false">
      <c r="A550" s="74" t="n">
        <f aca="false">MONTH(B550)</f>
        <v>9</v>
      </c>
      <c r="B550" s="135" t="n">
        <v>44455</v>
      </c>
      <c r="C550" s="128" t="s">
        <v>70</v>
      </c>
      <c r="D550" s="77" t="str">
        <f aca="false">IFERROR(VLOOKUP(E:E,'Item Data Support Sheet'!A:O,7,0),"")</f>
        <v>NIPPLE LASER MARKING</v>
      </c>
      <c r="E550" s="80" t="s">
        <v>681</v>
      </c>
      <c r="F550" s="122"/>
      <c r="G550" s="137" t="s">
        <v>517</v>
      </c>
      <c r="H550" s="79" t="str">
        <f aca="false">IFERROR(VLOOKUP(E:E,'Item Data Support Sheet'!A:O,2,0),"")</f>
        <v>NIPPLE S TYPE L SIZE PUNCHED LASER MARKED</v>
      </c>
      <c r="I550" s="80" t="s">
        <v>1150</v>
      </c>
      <c r="J550" s="80" t="s">
        <v>155</v>
      </c>
      <c r="K550" s="81" t="n">
        <v>8</v>
      </c>
      <c r="L550" s="124" t="n">
        <v>7000</v>
      </c>
      <c r="M550" s="83" t="n">
        <f aca="false">IFERROR(L550/K550,0)</f>
        <v>875</v>
      </c>
      <c r="N550" s="84" t="n">
        <f aca="false">+O550+Q550+T550+U550</f>
        <v>1300</v>
      </c>
      <c r="O550" s="85" t="n">
        <v>1300</v>
      </c>
      <c r="P550" s="86" t="n">
        <v>0</v>
      </c>
      <c r="Q550" s="86" t="n">
        <v>0</v>
      </c>
      <c r="R550" s="132" t="n">
        <v>0</v>
      </c>
      <c r="S550" s="128" t="n">
        <v>0</v>
      </c>
      <c r="T550" s="132" t="n">
        <v>0</v>
      </c>
      <c r="U550" s="128" t="n">
        <v>0</v>
      </c>
      <c r="V550" s="128" t="n">
        <v>1</v>
      </c>
      <c r="W550" s="90" t="n">
        <f aca="false">IFERROR(O550/V550,0)</f>
        <v>1300</v>
      </c>
      <c r="X550" s="91" t="n">
        <f aca="false">O550/L550</f>
        <v>0.185714285714286</v>
      </c>
      <c r="Y550" s="92" t="str">
        <f aca="false">IFERROR(VLOOKUP(E:E,'Item Data Support Sheet'!A:J,6,0),0)</f>
        <v>FO021</v>
      </c>
      <c r="Z550" s="93" t="n">
        <f aca="false">IFERROR(VLOOKUP(E:E,'Item Data Support Sheet'!A:O,4,0),0)</f>
        <v>0</v>
      </c>
      <c r="AA550" s="93" t="n">
        <f aca="false">IFERROR(((N550)*(Z550/1000))+P550,0)</f>
        <v>0</v>
      </c>
      <c r="AB550" s="94" t="str">
        <f aca="false">IFERROR((O550*(Z550/1000)/(AA550))," ")</f>
        <v> </v>
      </c>
      <c r="AC550" s="95" t="n">
        <f aca="false">IFERROR((T550)/((T550)+O550),0)</f>
        <v>0</v>
      </c>
      <c r="AD550" s="96" t="n">
        <f aca="false">IFERROR(Q550/(Q550+N550),0)</f>
        <v>0</v>
      </c>
      <c r="AE550" s="91" t="n">
        <f aca="false">(N550-T550)/N550</f>
        <v>1</v>
      </c>
      <c r="AF550" s="97" t="n">
        <f aca="false">BR550</f>
        <v>6.33333333333333</v>
      </c>
      <c r="AG550" s="98" t="n">
        <f aca="false">K550-AF550</f>
        <v>1.66666666666667</v>
      </c>
      <c r="AH550" s="99" t="n">
        <f aca="false">IFERROR(AG550/K550," ")</f>
        <v>0.208333333333334</v>
      </c>
      <c r="AI550" s="100" t="n">
        <f aca="false">IFERROR(O550/K550,0)</f>
        <v>162.5</v>
      </c>
      <c r="AJ550" s="101" t="n">
        <f aca="false">VLOOKUP(D550,'Standard Cycle time'!C:D,2,0)</f>
        <v>3.5</v>
      </c>
      <c r="AK550" s="101" t="n">
        <f aca="false">AG550*V550*3600/O550</f>
        <v>4.61538461538462</v>
      </c>
      <c r="AL550" s="102" t="n">
        <f aca="false">AJ550/AK550</f>
        <v>0.758333333333332</v>
      </c>
      <c r="AM550" s="99" t="n">
        <f aca="false">AE550*AL550*AH550</f>
        <v>0.157986111111111</v>
      </c>
      <c r="AN550" s="103" t="n">
        <v>3281</v>
      </c>
      <c r="AO550" s="112" t="s">
        <v>1151</v>
      </c>
      <c r="AP550" s="105" t="n">
        <v>40</v>
      </c>
      <c r="AQ550" s="105" t="n">
        <v>0</v>
      </c>
      <c r="AR550" s="105" t="n">
        <v>0</v>
      </c>
      <c r="AS550" s="105" t="n">
        <v>0</v>
      </c>
      <c r="AT550" s="105" t="n">
        <v>0</v>
      </c>
      <c r="AU550" s="105" t="n">
        <v>0</v>
      </c>
      <c r="AV550" s="105" t="n">
        <v>0</v>
      </c>
      <c r="AW550" s="105" t="n">
        <v>0</v>
      </c>
      <c r="AX550" s="105" t="n">
        <v>0</v>
      </c>
      <c r="AY550" s="105" t="n">
        <v>0</v>
      </c>
      <c r="AZ550" s="105" t="n">
        <v>0</v>
      </c>
      <c r="BA550" s="105" t="n">
        <v>0</v>
      </c>
      <c r="BB550" s="105" t="n">
        <v>0</v>
      </c>
      <c r="BC550" s="105" t="n">
        <v>0</v>
      </c>
      <c r="BD550" s="105" t="n">
        <v>0</v>
      </c>
      <c r="BE550" s="105" t="n">
        <v>0</v>
      </c>
      <c r="BF550" s="105" t="n">
        <v>0</v>
      </c>
      <c r="BG550" s="105" t="n">
        <v>0</v>
      </c>
      <c r="BH550" s="105" t="n">
        <v>0</v>
      </c>
      <c r="BI550" s="105" t="n">
        <v>0</v>
      </c>
      <c r="BJ550" s="105" t="n">
        <v>0</v>
      </c>
      <c r="BK550" s="105" t="n">
        <v>340</v>
      </c>
      <c r="BL550" s="105" t="n">
        <v>0</v>
      </c>
      <c r="BM550" s="105" t="n">
        <v>0</v>
      </c>
      <c r="BN550" s="105" t="n">
        <v>0</v>
      </c>
      <c r="BO550" s="105" t="n">
        <v>0</v>
      </c>
      <c r="BP550" s="105" t="n">
        <v>0</v>
      </c>
      <c r="BQ550" s="105" t="n">
        <v>0</v>
      </c>
      <c r="BR550" s="106" t="n">
        <v>6.33333333333333</v>
      </c>
      <c r="BS550" s="106" t="n">
        <v>6.43888888888889</v>
      </c>
      <c r="BT550" s="107"/>
      <c r="BU550" s="107"/>
      <c r="BV550" s="107"/>
      <c r="BW550" s="107"/>
      <c r="BX550" s="107"/>
      <c r="BY550" s="107"/>
      <c r="BZ550" s="107"/>
      <c r="CA550" s="107"/>
      <c r="CB550" s="107"/>
      <c r="CC550" s="107"/>
      <c r="CD550" s="107"/>
      <c r="CE550" s="107"/>
      <c r="CF550" s="107"/>
      <c r="CG550" s="107"/>
      <c r="CH550" s="107"/>
      <c r="CI550" s="107"/>
      <c r="CJ550" s="107"/>
      <c r="CK550" s="107"/>
      <c r="CL550" s="107"/>
      <c r="CM550" s="107"/>
      <c r="CN550" s="107"/>
      <c r="CO550" s="107"/>
      <c r="CP550" s="107"/>
      <c r="CQ550" s="107"/>
      <c r="CR550" s="107"/>
      <c r="CS550" s="107"/>
      <c r="CT550" s="107"/>
      <c r="CU550" s="107"/>
      <c r="CV550" s="107"/>
    </row>
    <row r="551" customFormat="false" ht="14.9" hidden="false" customHeight="false" outlineLevel="0" collapsed="false">
      <c r="A551" s="74" t="n">
        <f aca="false">MONTH(B551)</f>
        <v>9</v>
      </c>
      <c r="B551" s="135" t="n">
        <v>44455</v>
      </c>
      <c r="C551" s="128" t="s">
        <v>70</v>
      </c>
      <c r="D551" s="77" t="str">
        <f aca="false">IFERROR(VLOOKUP(E:E,'Item Data Support Sheet'!A:O,7,0),"")</f>
        <v>NIPPLE PUNCH</v>
      </c>
      <c r="E551" s="80" t="s">
        <v>666</v>
      </c>
      <c r="F551" s="122"/>
      <c r="G551" s="137" t="s">
        <v>54</v>
      </c>
      <c r="H551" s="79" t="str">
        <f aca="false">IFERROR(VLOOKUP(E:E,'Item Data Support Sheet'!A:O,2,0),"")</f>
        <v>NIPPLE S TYPE L SIZE PUNCHED</v>
      </c>
      <c r="I551" s="80" t="s">
        <v>1152</v>
      </c>
      <c r="J551" s="80" t="s">
        <v>143</v>
      </c>
      <c r="K551" s="81" t="n">
        <v>8</v>
      </c>
      <c r="L551" s="124" t="n">
        <v>7000</v>
      </c>
      <c r="M551" s="83" t="n">
        <f aca="false">IFERROR(L551/K551,0)</f>
        <v>875</v>
      </c>
      <c r="N551" s="84" t="n">
        <f aca="false">+O551+Q551+T551+U551</f>
        <v>7200</v>
      </c>
      <c r="O551" s="85" t="n">
        <v>7200</v>
      </c>
      <c r="P551" s="86" t="n">
        <v>0</v>
      </c>
      <c r="Q551" s="86" t="n">
        <v>0</v>
      </c>
      <c r="R551" s="132" t="n">
        <v>0</v>
      </c>
      <c r="S551" s="128" t="n">
        <v>0</v>
      </c>
      <c r="T551" s="132" t="n">
        <v>0</v>
      </c>
      <c r="U551" s="128" t="n">
        <v>0</v>
      </c>
      <c r="V551" s="128" t="n">
        <v>1</v>
      </c>
      <c r="W551" s="90" t="n">
        <f aca="false">IFERROR(O551/V551,0)</f>
        <v>7200</v>
      </c>
      <c r="X551" s="91" t="n">
        <f aca="false">O551/L551</f>
        <v>1.02857142857143</v>
      </c>
      <c r="Y551" s="92" t="str">
        <f aca="false">IFERROR(VLOOKUP(E:E,'Item Data Support Sheet'!A:J,6,0),0)</f>
        <v>FO017</v>
      </c>
      <c r="Z551" s="93" t="n">
        <f aca="false">IFERROR(VLOOKUP(E:E,'Item Data Support Sheet'!A:O,4,0),0)</f>
        <v>0</v>
      </c>
      <c r="AA551" s="93" t="n">
        <f aca="false">IFERROR(((N551)*(Z551/1000))+P551,0)</f>
        <v>0</v>
      </c>
      <c r="AB551" s="94" t="str">
        <f aca="false">IFERROR((O551*(Z551/1000)/(AA551))," ")</f>
        <v> </v>
      </c>
      <c r="AC551" s="95" t="n">
        <f aca="false">IFERROR((T551)/((T551)+O551),0)</f>
        <v>0</v>
      </c>
      <c r="AD551" s="96" t="n">
        <f aca="false">IFERROR(Q551/(Q551+N551),0)</f>
        <v>0</v>
      </c>
      <c r="AE551" s="91" t="n">
        <f aca="false">(N551-T551)/N551</f>
        <v>1</v>
      </c>
      <c r="AF551" s="97" t="n">
        <f aca="false">BR551</f>
        <v>0.666666666666667</v>
      </c>
      <c r="AG551" s="98" t="n">
        <f aca="false">K551-AF551</f>
        <v>7.33333333333333</v>
      </c>
      <c r="AH551" s="99" t="n">
        <f aca="false">IFERROR(AG551/K551," ")</f>
        <v>0.916666666666667</v>
      </c>
      <c r="AI551" s="100" t="n">
        <f aca="false">IFERROR(O551/K551,0)</f>
        <v>900</v>
      </c>
      <c r="AJ551" s="101" t="n">
        <f aca="false">VLOOKUP(D551,'Standard Cycle time'!C:D,2,0)</f>
        <v>3.5</v>
      </c>
      <c r="AK551" s="101" t="n">
        <f aca="false">AG551*V551*3600/O551</f>
        <v>3.66666666666667</v>
      </c>
      <c r="AL551" s="102" t="n">
        <f aca="false">AJ551/AK551</f>
        <v>0.954545454545455</v>
      </c>
      <c r="AM551" s="99" t="n">
        <f aca="false">AE551*AL551*AH551</f>
        <v>0.875</v>
      </c>
      <c r="AN551" s="103" t="s">
        <v>1153</v>
      </c>
      <c r="AO551" s="112" t="s">
        <v>1149</v>
      </c>
      <c r="AP551" s="105" t="n">
        <v>40</v>
      </c>
      <c r="AQ551" s="105" t="n">
        <v>0</v>
      </c>
      <c r="AR551" s="105" t="n">
        <v>0</v>
      </c>
      <c r="AS551" s="105" t="n">
        <v>0</v>
      </c>
      <c r="AT551" s="105" t="n">
        <v>0</v>
      </c>
      <c r="AU551" s="105" t="n">
        <v>0</v>
      </c>
      <c r="AV551" s="105" t="n">
        <v>0</v>
      </c>
      <c r="AW551" s="105" t="n">
        <v>0</v>
      </c>
      <c r="AX551" s="105" t="n">
        <v>0</v>
      </c>
      <c r="AY551" s="105" t="n">
        <v>0</v>
      </c>
      <c r="AZ551" s="105" t="n">
        <v>0</v>
      </c>
      <c r="BA551" s="105" t="n">
        <v>0</v>
      </c>
      <c r="BB551" s="105" t="n">
        <v>0</v>
      </c>
      <c r="BC551" s="105" t="n">
        <v>0</v>
      </c>
      <c r="BD551" s="105" t="n">
        <v>0</v>
      </c>
      <c r="BE551" s="105" t="n">
        <v>0</v>
      </c>
      <c r="BF551" s="105" t="n">
        <v>0</v>
      </c>
      <c r="BG551" s="105" t="n">
        <v>0</v>
      </c>
      <c r="BH551" s="105" t="n">
        <v>0</v>
      </c>
      <c r="BI551" s="105" t="n">
        <v>0</v>
      </c>
      <c r="BJ551" s="105" t="n">
        <v>0</v>
      </c>
      <c r="BK551" s="105" t="n">
        <v>0</v>
      </c>
      <c r="BL551" s="105" t="n">
        <v>0</v>
      </c>
      <c r="BM551" s="105" t="n">
        <v>0</v>
      </c>
      <c r="BN551" s="105" t="n">
        <v>0</v>
      </c>
      <c r="BO551" s="105" t="n">
        <v>0</v>
      </c>
      <c r="BP551" s="105" t="n">
        <v>0</v>
      </c>
      <c r="BQ551" s="105" t="n">
        <v>0</v>
      </c>
      <c r="BR551" s="106" t="n">
        <v>0.666666666666667</v>
      </c>
      <c r="BS551" s="106" t="n">
        <v>0.677777777777778</v>
      </c>
      <c r="BT551" s="107"/>
      <c r="BU551" s="107"/>
      <c r="BV551" s="107"/>
      <c r="BW551" s="107"/>
      <c r="BX551" s="107"/>
      <c r="BY551" s="107"/>
      <c r="BZ551" s="107"/>
      <c r="CA551" s="107"/>
      <c r="CB551" s="107"/>
      <c r="CC551" s="107"/>
      <c r="CD551" s="107"/>
      <c r="CE551" s="107"/>
      <c r="CF551" s="107"/>
      <c r="CG551" s="107"/>
      <c r="CH551" s="107"/>
      <c r="CI551" s="107"/>
      <c r="CJ551" s="107"/>
      <c r="CK551" s="107"/>
      <c r="CL551" s="107"/>
      <c r="CM551" s="107"/>
      <c r="CN551" s="107"/>
      <c r="CO551" s="107"/>
      <c r="CP551" s="107"/>
      <c r="CQ551" s="107"/>
      <c r="CR551" s="107"/>
      <c r="CS551" s="107"/>
      <c r="CT551" s="107"/>
      <c r="CU551" s="107"/>
      <c r="CV551" s="107"/>
    </row>
    <row r="552" customFormat="false" ht="14.9" hidden="false" customHeight="false" outlineLevel="0" collapsed="false">
      <c r="A552" s="74" t="n">
        <f aca="false">MONTH(B552)</f>
        <v>9</v>
      </c>
      <c r="B552" s="135" t="n">
        <v>44455</v>
      </c>
      <c r="C552" s="128" t="s">
        <v>70</v>
      </c>
      <c r="D552" s="77" t="str">
        <f aca="false">IFERROR(VLOOKUP(E:E,'Item Data Support Sheet'!A:O,7,0),"")</f>
        <v>BOTTLE MOLDED</v>
      </c>
      <c r="E552" s="80" t="s">
        <v>69</v>
      </c>
      <c r="F552" s="122" t="s">
        <v>73</v>
      </c>
      <c r="G552" s="137" t="s">
        <v>80</v>
      </c>
      <c r="H552" s="79" t="str">
        <f aca="false">IFERROR(VLOOKUP(E:E,'Item Data Support Sheet'!A:O,2,0),"")</f>
        <v>KPP 240 ML BOTTLE MOLDED</v>
      </c>
      <c r="I552" s="80" t="s">
        <v>1154</v>
      </c>
      <c r="J552" s="80" t="s">
        <v>143</v>
      </c>
      <c r="K552" s="81" t="n">
        <v>8</v>
      </c>
      <c r="L552" s="124" t="n">
        <v>2574</v>
      </c>
      <c r="M552" s="83" t="n">
        <f aca="false">IFERROR(L552/K552,0)</f>
        <v>321.75</v>
      </c>
      <c r="N552" s="84" t="n">
        <f aca="false">+O552+Q552+T552+U552</f>
        <v>3242</v>
      </c>
      <c r="O552" s="85" t="n">
        <v>3132</v>
      </c>
      <c r="P552" s="86" t="n">
        <v>0.18</v>
      </c>
      <c r="Q552" s="86" t="n">
        <v>40</v>
      </c>
      <c r="R552" s="132" t="n">
        <v>0</v>
      </c>
      <c r="S552" s="128" t="n">
        <v>0</v>
      </c>
      <c r="T552" s="132" t="n">
        <v>70</v>
      </c>
      <c r="U552" s="128" t="n">
        <v>0</v>
      </c>
      <c r="V552" s="128" t="n">
        <v>1</v>
      </c>
      <c r="W552" s="90" t="n">
        <f aca="false">IFERROR(O552/V552,0)</f>
        <v>3132</v>
      </c>
      <c r="X552" s="91" t="n">
        <f aca="false">O552/L552</f>
        <v>1.21678321678322</v>
      </c>
      <c r="Y552" s="92" t="str">
        <f aca="false">IFERROR(VLOOKUP(E:E,'Item Data Support Sheet'!A:J,6,0),0)</f>
        <v>HMC</v>
      </c>
      <c r="Z552" s="93" t="n">
        <f aca="false">IFERROR(VLOOKUP(E:E,'Item Data Support Sheet'!A:O,4,0),0)</f>
        <v>32.1</v>
      </c>
      <c r="AA552" s="93" t="n">
        <f aca="false">IFERROR(((N552)*(Z552/1000))+P552,0)</f>
        <v>104.2482</v>
      </c>
      <c r="AB552" s="94" t="n">
        <f aca="false">IFERROR((O552*(Z552/1000)/(AA552))," ")</f>
        <v>0.964402263060657</v>
      </c>
      <c r="AC552" s="95" t="n">
        <f aca="false">IFERROR((T552)/((T552)+O552),0)</f>
        <v>0.0218613366645846</v>
      </c>
      <c r="AD552" s="96" t="n">
        <f aca="false">IFERROR(Q552/(Q552+N552),0)</f>
        <v>0.012187690432663</v>
      </c>
      <c r="AE552" s="91" t="n">
        <f aca="false">(N552-T552)/N552</f>
        <v>0.978408389882788</v>
      </c>
      <c r="AF552" s="97" t="n">
        <f aca="false">BR552</f>
        <v>0</v>
      </c>
      <c r="AG552" s="98" t="n">
        <f aca="false">K552-AF552</f>
        <v>8</v>
      </c>
      <c r="AH552" s="99" t="n">
        <f aca="false">IFERROR(AG552/K552," ")</f>
        <v>1</v>
      </c>
      <c r="AI552" s="100" t="n">
        <f aca="false">IFERROR(O552/K552,0)</f>
        <v>391.5</v>
      </c>
      <c r="AJ552" s="101" t="n">
        <f aca="false">VLOOKUP(D552,'Standard Cycle time'!C:D,2,0)</f>
        <v>9</v>
      </c>
      <c r="AK552" s="101" t="n">
        <f aca="false">AG552*V552*3600/O552</f>
        <v>9.19540229885057</v>
      </c>
      <c r="AL552" s="102" t="n">
        <f aca="false">AJ552/AK552</f>
        <v>0.97875</v>
      </c>
      <c r="AM552" s="99" t="n">
        <f aca="false">AE552*AL552*AH552</f>
        <v>0.957617211597779</v>
      </c>
      <c r="AN552" s="103" t="n">
        <v>3293</v>
      </c>
      <c r="AO552" s="112" t="s">
        <v>1149</v>
      </c>
      <c r="AP552" s="105" t="n">
        <v>0</v>
      </c>
      <c r="AQ552" s="105" t="n">
        <v>0</v>
      </c>
      <c r="AR552" s="105" t="n">
        <v>0</v>
      </c>
      <c r="AS552" s="105" t="n">
        <v>0</v>
      </c>
      <c r="AT552" s="105" t="n">
        <v>0</v>
      </c>
      <c r="AU552" s="105" t="n">
        <v>0</v>
      </c>
      <c r="AV552" s="105" t="n">
        <v>0</v>
      </c>
      <c r="AW552" s="105" t="n">
        <v>0</v>
      </c>
      <c r="AX552" s="105" t="n">
        <v>0</v>
      </c>
      <c r="AY552" s="105" t="n">
        <v>0</v>
      </c>
      <c r="AZ552" s="105" t="n">
        <v>0</v>
      </c>
      <c r="BA552" s="105" t="n">
        <v>0</v>
      </c>
      <c r="BB552" s="105" t="n">
        <v>0</v>
      </c>
      <c r="BC552" s="105" t="n">
        <v>0</v>
      </c>
      <c r="BD552" s="105" t="n">
        <v>0</v>
      </c>
      <c r="BE552" s="105" t="n">
        <v>0</v>
      </c>
      <c r="BF552" s="105" t="n">
        <v>0</v>
      </c>
      <c r="BG552" s="105" t="n">
        <v>0</v>
      </c>
      <c r="BH552" s="105" t="n">
        <v>0</v>
      </c>
      <c r="BI552" s="105" t="n">
        <v>0</v>
      </c>
      <c r="BJ552" s="105" t="n">
        <v>0</v>
      </c>
      <c r="BK552" s="105" t="n">
        <v>0</v>
      </c>
      <c r="BL552" s="105" t="n">
        <v>0</v>
      </c>
      <c r="BM552" s="105" t="n">
        <v>0</v>
      </c>
      <c r="BN552" s="105" t="n">
        <v>0</v>
      </c>
      <c r="BO552" s="105" t="n">
        <v>0</v>
      </c>
      <c r="BP552" s="105" t="n">
        <v>0</v>
      </c>
      <c r="BQ552" s="105" t="n">
        <v>0</v>
      </c>
      <c r="BR552" s="106" t="n">
        <v>0</v>
      </c>
      <c r="BS552" s="106" t="n">
        <v>0</v>
      </c>
      <c r="BT552" s="107"/>
      <c r="BU552" s="107"/>
      <c r="BV552" s="107"/>
      <c r="BW552" s="107"/>
      <c r="BX552" s="107"/>
      <c r="BY552" s="107"/>
      <c r="BZ552" s="107"/>
      <c r="CA552" s="107"/>
      <c r="CB552" s="107"/>
      <c r="CC552" s="107"/>
      <c r="CD552" s="107"/>
      <c r="CE552" s="107"/>
      <c r="CF552" s="107"/>
      <c r="CG552" s="107"/>
      <c r="CH552" s="107"/>
      <c r="CI552" s="107"/>
      <c r="CJ552" s="107"/>
      <c r="CK552" s="107"/>
      <c r="CL552" s="107"/>
      <c r="CM552" s="107"/>
      <c r="CN552" s="107"/>
      <c r="CO552" s="107"/>
      <c r="CP552" s="107"/>
      <c r="CQ552" s="107"/>
      <c r="CR552" s="107"/>
      <c r="CS552" s="107"/>
      <c r="CT552" s="107"/>
      <c r="CU552" s="107"/>
      <c r="CV552" s="107"/>
    </row>
    <row r="553" customFormat="false" ht="14.9" hidden="false" customHeight="false" outlineLevel="0" collapsed="false">
      <c r="A553" s="74" t="n">
        <f aca="false">MONTH(B553)</f>
        <v>9</v>
      </c>
      <c r="B553" s="135" t="n">
        <v>44455</v>
      </c>
      <c r="C553" s="128" t="s">
        <v>70</v>
      </c>
      <c r="D553" s="77" t="str">
        <f aca="false">IFERROR(VLOOKUP(E:E,'Item Data Support Sheet'!A:O,7,0),"")</f>
        <v>NIPPLE MOLDED</v>
      </c>
      <c r="E553" s="80" t="s">
        <v>661</v>
      </c>
      <c r="F553" s="122" t="s">
        <v>137</v>
      </c>
      <c r="G553" s="137" t="s">
        <v>138</v>
      </c>
      <c r="H553" s="79" t="str">
        <f aca="false">IFERROR(VLOOKUP(E:E,'Item Data Support Sheet'!A:O,2,0),"")</f>
        <v>NIPPLE S TYPE L SIZE INJECTION</v>
      </c>
      <c r="I553" s="80" t="s">
        <v>1155</v>
      </c>
      <c r="J553" s="80" t="s">
        <v>143</v>
      </c>
      <c r="K553" s="81" t="n">
        <v>8</v>
      </c>
      <c r="L553" s="124" t="n">
        <v>4815</v>
      </c>
      <c r="M553" s="83" t="n">
        <f aca="false">IFERROR(L553/K553,0)</f>
        <v>601.875</v>
      </c>
      <c r="N553" s="84" t="n">
        <f aca="false">+O553+Q553+T553+U553</f>
        <v>5112</v>
      </c>
      <c r="O553" s="85" t="n">
        <v>5000</v>
      </c>
      <c r="P553" s="86" t="n">
        <v>0</v>
      </c>
      <c r="Q553" s="86" t="n">
        <v>48</v>
      </c>
      <c r="R553" s="132" t="n">
        <v>0</v>
      </c>
      <c r="S553" s="128" t="n">
        <v>0</v>
      </c>
      <c r="T553" s="132" t="n">
        <v>64</v>
      </c>
      <c r="U553" s="128" t="n">
        <v>0</v>
      </c>
      <c r="V553" s="128" t="n">
        <v>1</v>
      </c>
      <c r="W553" s="90" t="n">
        <f aca="false">IFERROR(O553/V553,0)</f>
        <v>5000</v>
      </c>
      <c r="X553" s="91" t="n">
        <f aca="false">O553/L553</f>
        <v>1.03842159916926</v>
      </c>
      <c r="Y553" s="92" t="str">
        <f aca="false">IFERROR(VLOOKUP(E:E,'Item Data Support Sheet'!A:J,6,0),0)</f>
        <v>Silicon</v>
      </c>
      <c r="Z553" s="93" t="n">
        <f aca="false">IFERROR(VLOOKUP(E:E,'Item Data Support Sheet'!A:O,4,0),0)</f>
        <v>6.8</v>
      </c>
      <c r="AA553" s="93" t="n">
        <f aca="false">IFERROR(((N553)*(Z553/1000))+P553,0)</f>
        <v>34.7616</v>
      </c>
      <c r="AB553" s="94" t="n">
        <f aca="false">IFERROR((O553*(Z553/1000)/(AA553))," ")</f>
        <v>0.978090766823161</v>
      </c>
      <c r="AC553" s="95" t="n">
        <f aca="false">IFERROR((T553)/((T553)+O553),0)</f>
        <v>0.0126382306477093</v>
      </c>
      <c r="AD553" s="96" t="n">
        <f aca="false">IFERROR(Q553/(Q553+N553),0)</f>
        <v>0.00930232558139535</v>
      </c>
      <c r="AE553" s="91" t="n">
        <f aca="false">(N553-T553)/N553</f>
        <v>0.987480438184664</v>
      </c>
      <c r="AF553" s="97" t="n">
        <f aca="false">BR553</f>
        <v>0</v>
      </c>
      <c r="AG553" s="98" t="n">
        <f aca="false">K553-AF553</f>
        <v>8</v>
      </c>
      <c r="AH553" s="99" t="n">
        <f aca="false">IFERROR(AG553/K553," ")</f>
        <v>1</v>
      </c>
      <c r="AI553" s="100" t="n">
        <f aca="false">IFERROR(O553/K553,0)</f>
        <v>625</v>
      </c>
      <c r="AJ553" s="101" t="n">
        <f aca="false">VLOOKUP(D553,'Standard Cycle time'!C:D,2,0)</f>
        <v>5.25</v>
      </c>
      <c r="AK553" s="101" t="n">
        <f aca="false">AG553*V553*3600/O553</f>
        <v>5.76</v>
      </c>
      <c r="AL553" s="102" t="n">
        <f aca="false">AJ553/AK553</f>
        <v>0.911458333333333</v>
      </c>
      <c r="AM553" s="99" t="n">
        <f aca="false">AE553*AL553*AH553</f>
        <v>0.900047274387063</v>
      </c>
      <c r="AN553" s="103" t="n">
        <v>3294</v>
      </c>
      <c r="AO553" s="112" t="s">
        <v>1149</v>
      </c>
      <c r="AP553" s="105" t="n">
        <v>0</v>
      </c>
      <c r="AQ553" s="105" t="n">
        <v>0</v>
      </c>
      <c r="AR553" s="105" t="n">
        <v>0</v>
      </c>
      <c r="AS553" s="105" t="n">
        <v>0</v>
      </c>
      <c r="AT553" s="105" t="n">
        <v>0</v>
      </c>
      <c r="AU553" s="105" t="n">
        <v>0</v>
      </c>
      <c r="AV553" s="105" t="n">
        <v>0</v>
      </c>
      <c r="AW553" s="105" t="n">
        <v>0</v>
      </c>
      <c r="AX553" s="105" t="n">
        <v>0</v>
      </c>
      <c r="AY553" s="105" t="n">
        <v>0</v>
      </c>
      <c r="AZ553" s="105" t="n">
        <v>0</v>
      </c>
      <c r="BA553" s="105" t="n">
        <v>0</v>
      </c>
      <c r="BB553" s="105" t="n">
        <v>0</v>
      </c>
      <c r="BC553" s="105" t="n">
        <v>0</v>
      </c>
      <c r="BD553" s="105" t="n">
        <v>0</v>
      </c>
      <c r="BE553" s="105" t="n">
        <v>0</v>
      </c>
      <c r="BF553" s="105" t="n">
        <v>0</v>
      </c>
      <c r="BG553" s="105" t="n">
        <v>0</v>
      </c>
      <c r="BH553" s="105" t="n">
        <v>0</v>
      </c>
      <c r="BI553" s="105" t="n">
        <v>0</v>
      </c>
      <c r="BJ553" s="105" t="n">
        <v>0</v>
      </c>
      <c r="BK553" s="105" t="n">
        <v>0</v>
      </c>
      <c r="BL553" s="105" t="n">
        <v>0</v>
      </c>
      <c r="BM553" s="105" t="n">
        <v>0</v>
      </c>
      <c r="BN553" s="105" t="n">
        <v>0</v>
      </c>
      <c r="BO553" s="105" t="n">
        <v>0</v>
      </c>
      <c r="BP553" s="105" t="n">
        <v>0</v>
      </c>
      <c r="BQ553" s="105" t="n">
        <v>0</v>
      </c>
      <c r="BR553" s="106" t="n">
        <v>0</v>
      </c>
      <c r="BS553" s="106" t="n">
        <v>0</v>
      </c>
      <c r="BT553" s="107"/>
      <c r="BU553" s="107"/>
      <c r="BV553" s="107"/>
      <c r="BW553" s="107"/>
      <c r="BX553" s="107"/>
      <c r="BY553" s="107"/>
      <c r="BZ553" s="107"/>
      <c r="CA553" s="107"/>
      <c r="CB553" s="107"/>
      <c r="CC553" s="107"/>
      <c r="CD553" s="107"/>
      <c r="CE553" s="107"/>
      <c r="CF553" s="107"/>
      <c r="CG553" s="107"/>
      <c r="CH553" s="107"/>
      <c r="CI553" s="107"/>
      <c r="CJ553" s="107"/>
      <c r="CK553" s="107"/>
      <c r="CL553" s="107"/>
      <c r="CM553" s="107"/>
      <c r="CN553" s="107"/>
      <c r="CO553" s="107"/>
      <c r="CP553" s="107"/>
      <c r="CQ553" s="107"/>
      <c r="CR553" s="107"/>
      <c r="CS553" s="107"/>
      <c r="CT553" s="107"/>
      <c r="CU553" s="107"/>
      <c r="CV553" s="107"/>
    </row>
    <row r="554" customFormat="false" ht="14.9" hidden="false" customHeight="false" outlineLevel="0" collapsed="false">
      <c r="A554" s="74" t="n">
        <f aca="false">MONTH(B554)</f>
        <v>9</v>
      </c>
      <c r="B554" s="135" t="n">
        <v>44455</v>
      </c>
      <c r="C554" s="128" t="s">
        <v>70</v>
      </c>
      <c r="D554" s="77" t="str">
        <f aca="false">IFERROR(VLOOKUP(E:E,'Item Data Support Sheet'!A:O,7,0),"")</f>
        <v>BOTTLE PRINTED</v>
      </c>
      <c r="E554" s="80" t="s">
        <v>320</v>
      </c>
      <c r="F554" s="122"/>
      <c r="G554" s="137" t="s">
        <v>66</v>
      </c>
      <c r="H554" s="79" t="str">
        <f aca="false">IFERROR(VLOOKUP(E:E,'Item Data Support Sheet'!A:O,2,0),"")</f>
        <v>KPP 200 ML BOTTLE PRINTED</v>
      </c>
      <c r="I554" s="80" t="s">
        <v>1156</v>
      </c>
      <c r="J554" s="80" t="s">
        <v>143</v>
      </c>
      <c r="K554" s="81" t="n">
        <v>8</v>
      </c>
      <c r="L554" s="124" t="n">
        <v>5100</v>
      </c>
      <c r="M554" s="83" t="n">
        <f aca="false">IFERROR(L554/K554,0)</f>
        <v>637.5</v>
      </c>
      <c r="N554" s="84" t="n">
        <f aca="false">+O554+Q554+T554+U554</f>
        <v>6089</v>
      </c>
      <c r="O554" s="85" t="n">
        <v>6060</v>
      </c>
      <c r="P554" s="86" t="n">
        <v>0</v>
      </c>
      <c r="Q554" s="86" t="n">
        <v>0</v>
      </c>
      <c r="R554" s="132" t="n">
        <v>39</v>
      </c>
      <c r="S554" s="128" t="n">
        <v>0</v>
      </c>
      <c r="T554" s="132" t="n">
        <v>29</v>
      </c>
      <c r="U554" s="128" t="n">
        <v>0</v>
      </c>
      <c r="V554" s="128" t="n">
        <v>6</v>
      </c>
      <c r="W554" s="90" t="n">
        <f aca="false">IFERROR(O554/V554,0)</f>
        <v>1010</v>
      </c>
      <c r="X554" s="91" t="n">
        <f aca="false">O554/L554</f>
        <v>1.18823529411765</v>
      </c>
      <c r="Y554" s="92" t="str">
        <f aca="false">IFERROR(VLOOKUP(E:E,'Item Data Support Sheet'!A:J,6,0),0)</f>
        <v>FO002</v>
      </c>
      <c r="Z554" s="93" t="n">
        <f aca="false">IFERROR(VLOOKUP(E:E,'Item Data Support Sheet'!A:O,4,0),0)</f>
        <v>0</v>
      </c>
      <c r="AA554" s="93" t="n">
        <f aca="false">IFERROR(((N554)*(Z554/1000))+P554,0)</f>
        <v>0</v>
      </c>
      <c r="AB554" s="94" t="str">
        <f aca="false">IFERROR((O554*(Z554/1000)/(AA554))," ")</f>
        <v> </v>
      </c>
      <c r="AC554" s="95" t="n">
        <f aca="false">IFERROR((T554)/((T554)+O554),0)</f>
        <v>0.00476268681228445</v>
      </c>
      <c r="AD554" s="96" t="n">
        <f aca="false">IFERROR(Q554/(Q554+N554),0)</f>
        <v>0</v>
      </c>
      <c r="AE554" s="91" t="n">
        <f aca="false">(N554-T554)/N554</f>
        <v>0.995237313187716</v>
      </c>
      <c r="AF554" s="97" t="n">
        <f aca="false">BR554</f>
        <v>0.666666666666667</v>
      </c>
      <c r="AG554" s="98" t="n">
        <f aca="false">K554-AF554</f>
        <v>7.33333333333333</v>
      </c>
      <c r="AH554" s="99" t="n">
        <f aca="false">IFERROR(AG554/K554," ")</f>
        <v>0.916666666666667</v>
      </c>
      <c r="AI554" s="100" t="n">
        <f aca="false">IFERROR(O554/K554,0)</f>
        <v>757.5</v>
      </c>
      <c r="AJ554" s="101" t="n">
        <f aca="false">VLOOKUP(D554,'Standard Cycle time'!C:D,2,0)</f>
        <v>32.4</v>
      </c>
      <c r="AK554" s="101" t="n">
        <f aca="false">AG554*V554*3600/O554</f>
        <v>26.1386138613861</v>
      </c>
      <c r="AL554" s="102" t="n">
        <f aca="false">AJ554/AK554</f>
        <v>1.23954545454545</v>
      </c>
      <c r="AM554" s="99" t="n">
        <f aca="false">AE554*AL554*AH554</f>
        <v>1.13083839710954</v>
      </c>
      <c r="AN554" s="103" t="s">
        <v>869</v>
      </c>
      <c r="AO554" s="112"/>
      <c r="AP554" s="105" t="n">
        <v>40</v>
      </c>
      <c r="AQ554" s="105" t="n">
        <v>0</v>
      </c>
      <c r="AR554" s="105" t="n">
        <v>0</v>
      </c>
      <c r="AS554" s="105" t="n">
        <v>0</v>
      </c>
      <c r="AT554" s="105" t="n">
        <v>0</v>
      </c>
      <c r="AU554" s="105" t="n">
        <v>0</v>
      </c>
      <c r="AV554" s="105" t="n">
        <v>0</v>
      </c>
      <c r="AW554" s="105" t="n">
        <v>0</v>
      </c>
      <c r="AX554" s="105" t="n">
        <v>0</v>
      </c>
      <c r="AY554" s="105" t="n">
        <v>0</v>
      </c>
      <c r="AZ554" s="105" t="n">
        <v>0</v>
      </c>
      <c r="BA554" s="105" t="n">
        <v>0</v>
      </c>
      <c r="BB554" s="105" t="n">
        <v>0</v>
      </c>
      <c r="BC554" s="105" t="n">
        <v>0</v>
      </c>
      <c r="BD554" s="105" t="n">
        <v>0</v>
      </c>
      <c r="BE554" s="105" t="n">
        <v>0</v>
      </c>
      <c r="BF554" s="105" t="n">
        <v>0</v>
      </c>
      <c r="BG554" s="105" t="n">
        <v>0</v>
      </c>
      <c r="BH554" s="105" t="n">
        <v>0</v>
      </c>
      <c r="BI554" s="105" t="n">
        <v>0</v>
      </c>
      <c r="BJ554" s="105" t="n">
        <v>0</v>
      </c>
      <c r="BK554" s="105" t="n">
        <v>0</v>
      </c>
      <c r="BL554" s="105" t="n">
        <v>0</v>
      </c>
      <c r="BM554" s="105" t="n">
        <v>0</v>
      </c>
      <c r="BN554" s="105" t="n">
        <v>0</v>
      </c>
      <c r="BO554" s="105" t="n">
        <v>0</v>
      </c>
      <c r="BP554" s="105" t="n">
        <v>0</v>
      </c>
      <c r="BQ554" s="105" t="n">
        <v>0</v>
      </c>
      <c r="BR554" s="106" t="n">
        <v>0.666666666666667</v>
      </c>
      <c r="BS554" s="106" t="n">
        <v>0.677777777777778</v>
      </c>
      <c r="BT554" s="107"/>
      <c r="BU554" s="107"/>
      <c r="BV554" s="107"/>
      <c r="BW554" s="107"/>
      <c r="BX554" s="107"/>
      <c r="BY554" s="107"/>
      <c r="BZ554" s="107"/>
      <c r="CA554" s="107"/>
      <c r="CB554" s="107"/>
      <c r="CC554" s="107"/>
      <c r="CD554" s="107"/>
      <c r="CE554" s="107"/>
      <c r="CF554" s="107"/>
      <c r="CG554" s="107"/>
      <c r="CH554" s="107"/>
      <c r="CI554" s="107"/>
      <c r="CJ554" s="107"/>
      <c r="CK554" s="107"/>
      <c r="CL554" s="107"/>
      <c r="CM554" s="107"/>
      <c r="CN554" s="107"/>
      <c r="CO554" s="107"/>
      <c r="CP554" s="107"/>
      <c r="CQ554" s="107"/>
      <c r="CR554" s="107"/>
      <c r="CS554" s="107"/>
      <c r="CT554" s="107"/>
      <c r="CU554" s="107"/>
      <c r="CV554" s="107"/>
      <c r="DA554" s="0" t="s">
        <v>58</v>
      </c>
    </row>
    <row r="555" customFormat="false" ht="14.9" hidden="false" customHeight="false" outlineLevel="0" collapsed="false">
      <c r="A555" s="74" t="n">
        <f aca="false">MONTH(B555)</f>
        <v>9</v>
      </c>
      <c r="B555" s="135" t="n">
        <v>44455</v>
      </c>
      <c r="C555" s="128" t="s">
        <v>152</v>
      </c>
      <c r="D555" s="77" t="str">
        <f aca="false">IFERROR(VLOOKUP(E:E,'Item Data Support Sheet'!A:O,7,0),"")</f>
        <v>BOTTLE MOLDED</v>
      </c>
      <c r="E555" s="80" t="s">
        <v>69</v>
      </c>
      <c r="F555" s="122" t="s">
        <v>73</v>
      </c>
      <c r="G555" s="137" t="s">
        <v>80</v>
      </c>
      <c r="H555" s="79" t="str">
        <f aca="false">IFERROR(VLOOKUP(E:E,'Item Data Support Sheet'!A:O,2,0),"")</f>
        <v>KPP 240 ML BOTTLE MOLDED</v>
      </c>
      <c r="I555" s="80" t="s">
        <v>1157</v>
      </c>
      <c r="J555" s="80" t="s">
        <v>815</v>
      </c>
      <c r="K555" s="81" t="n">
        <v>8</v>
      </c>
      <c r="L555" s="124" t="n">
        <v>2574</v>
      </c>
      <c r="M555" s="83" t="n">
        <f aca="false">IFERROR(L555/K555,0)</f>
        <v>321.75</v>
      </c>
      <c r="N555" s="84" t="n">
        <f aca="false">+O555+Q555+T555+U555</f>
        <v>3158</v>
      </c>
      <c r="O555" s="85" t="n">
        <v>3024</v>
      </c>
      <c r="P555" s="86" t="n">
        <v>0.32</v>
      </c>
      <c r="Q555" s="86" t="n">
        <v>56</v>
      </c>
      <c r="R555" s="132" t="n">
        <v>0</v>
      </c>
      <c r="S555" s="128" t="n">
        <v>0</v>
      </c>
      <c r="T555" s="132" t="n">
        <v>70</v>
      </c>
      <c r="U555" s="128" t="n">
        <v>8</v>
      </c>
      <c r="V555" s="128" t="n">
        <v>1</v>
      </c>
      <c r="W555" s="90" t="n">
        <f aca="false">IFERROR(O555/V555,0)</f>
        <v>3024</v>
      </c>
      <c r="X555" s="91" t="n">
        <f aca="false">O555/L555</f>
        <v>1.17482517482517</v>
      </c>
      <c r="Y555" s="92" t="str">
        <f aca="false">IFERROR(VLOOKUP(E:E,'Item Data Support Sheet'!A:J,6,0),0)</f>
        <v>HMC</v>
      </c>
      <c r="Z555" s="93" t="n">
        <f aca="false">IFERROR(VLOOKUP(E:E,'Item Data Support Sheet'!A:O,4,0),0)</f>
        <v>32.1</v>
      </c>
      <c r="AA555" s="93" t="n">
        <f aca="false">IFERROR(((N555)*(Z555/1000))+P555,0)</f>
        <v>101.6918</v>
      </c>
      <c r="AB555" s="94" t="n">
        <f aca="false">IFERROR((O555*(Z555/1000)/(AA555))," ")</f>
        <v>0.954554841196635</v>
      </c>
      <c r="AC555" s="95" t="n">
        <f aca="false">IFERROR((T555)/((T555)+O555),0)</f>
        <v>0.0226244343891403</v>
      </c>
      <c r="AD555" s="96" t="n">
        <f aca="false">IFERROR(Q555/(Q555+N555),0)</f>
        <v>0.0174237710018668</v>
      </c>
      <c r="AE555" s="91" t="n">
        <f aca="false">(N555-T555)/N555</f>
        <v>0.977834072197593</v>
      </c>
      <c r="AF555" s="97" t="n">
        <f aca="false">BR555</f>
        <v>0</v>
      </c>
      <c r="AG555" s="98" t="n">
        <f aca="false">K555-AF555</f>
        <v>8</v>
      </c>
      <c r="AH555" s="99" t="n">
        <f aca="false">IFERROR(AG555/K555," ")</f>
        <v>1</v>
      </c>
      <c r="AI555" s="100" t="n">
        <f aca="false">IFERROR(O555/K555,0)</f>
        <v>378</v>
      </c>
      <c r="AJ555" s="101" t="n">
        <f aca="false">VLOOKUP(D555,'Standard Cycle time'!C:D,2,0)</f>
        <v>9</v>
      </c>
      <c r="AK555" s="101" t="n">
        <f aca="false">AG555*V555*3600/O555</f>
        <v>9.52380952380952</v>
      </c>
      <c r="AL555" s="102" t="n">
        <f aca="false">AJ555/AK555</f>
        <v>0.945</v>
      </c>
      <c r="AM555" s="99" t="n">
        <f aca="false">AE555*AL555*AH555</f>
        <v>0.924053198226726</v>
      </c>
      <c r="AN555" s="103" t="n">
        <v>3295</v>
      </c>
      <c r="AO555" s="112"/>
      <c r="AP555" s="105" t="n">
        <v>0</v>
      </c>
      <c r="AQ555" s="105" t="n">
        <v>0</v>
      </c>
      <c r="AR555" s="105" t="n">
        <v>0</v>
      </c>
      <c r="AS555" s="105" t="n">
        <v>0</v>
      </c>
      <c r="AT555" s="105" t="n">
        <v>0</v>
      </c>
      <c r="AU555" s="105" t="n">
        <v>0</v>
      </c>
      <c r="AV555" s="105" t="n">
        <v>0</v>
      </c>
      <c r="AW555" s="105" t="n">
        <v>0</v>
      </c>
      <c r="AX555" s="105" t="n">
        <v>0</v>
      </c>
      <c r="AY555" s="105" t="n">
        <v>0</v>
      </c>
      <c r="AZ555" s="105" t="n">
        <v>0</v>
      </c>
      <c r="BA555" s="105" t="n">
        <v>0</v>
      </c>
      <c r="BB555" s="105" t="n">
        <v>0</v>
      </c>
      <c r="BC555" s="105" t="n">
        <v>0</v>
      </c>
      <c r="BD555" s="105" t="n">
        <v>0</v>
      </c>
      <c r="BE555" s="105" t="n">
        <v>0</v>
      </c>
      <c r="BF555" s="105" t="n">
        <v>0</v>
      </c>
      <c r="BG555" s="105" t="n">
        <v>0</v>
      </c>
      <c r="BH555" s="105" t="n">
        <v>0</v>
      </c>
      <c r="BI555" s="105" t="n">
        <v>0</v>
      </c>
      <c r="BJ555" s="105" t="n">
        <v>0</v>
      </c>
      <c r="BK555" s="105" t="n">
        <v>0</v>
      </c>
      <c r="BL555" s="105" t="n">
        <v>0</v>
      </c>
      <c r="BM555" s="105" t="n">
        <v>0</v>
      </c>
      <c r="BN555" s="105" t="n">
        <v>0</v>
      </c>
      <c r="BO555" s="105" t="n">
        <v>0</v>
      </c>
      <c r="BP555" s="105" t="n">
        <v>0</v>
      </c>
      <c r="BQ555" s="105" t="n">
        <v>0</v>
      </c>
      <c r="BR555" s="106" t="n">
        <v>0</v>
      </c>
      <c r="BS555" s="106" t="n">
        <v>0</v>
      </c>
      <c r="BT555" s="107"/>
      <c r="BU555" s="107"/>
      <c r="BV555" s="107"/>
      <c r="BW555" s="107"/>
      <c r="BX555" s="107"/>
      <c r="BY555" s="107"/>
      <c r="BZ555" s="107"/>
      <c r="CA555" s="107"/>
      <c r="CB555" s="107"/>
      <c r="CC555" s="107"/>
      <c r="CD555" s="107"/>
      <c r="CE555" s="107"/>
      <c r="CF555" s="107"/>
      <c r="CG555" s="107"/>
      <c r="CH555" s="107"/>
      <c r="CI555" s="107"/>
      <c r="CJ555" s="107"/>
      <c r="CK555" s="107"/>
      <c r="CL555" s="107"/>
      <c r="CM555" s="107"/>
      <c r="CN555" s="107"/>
      <c r="CO555" s="107"/>
      <c r="CP555" s="107"/>
      <c r="CQ555" s="107"/>
      <c r="CR555" s="107"/>
      <c r="CS555" s="107"/>
      <c r="CT555" s="107"/>
      <c r="CU555" s="107"/>
      <c r="CV555" s="107"/>
    </row>
    <row r="556" customFormat="false" ht="14.9" hidden="false" customHeight="false" outlineLevel="0" collapsed="false">
      <c r="A556" s="74" t="n">
        <f aca="false">MONTH(B556)</f>
        <v>9</v>
      </c>
      <c r="B556" s="135" t="n">
        <v>44455</v>
      </c>
      <c r="C556" s="128" t="s">
        <v>152</v>
      </c>
      <c r="D556" s="77" t="str">
        <f aca="false">IFERROR(VLOOKUP(E:E,'Item Data Support Sheet'!A:O,7,0),"")</f>
        <v>NIPPLE MOLDED</v>
      </c>
      <c r="E556" s="80" t="s">
        <v>661</v>
      </c>
      <c r="F556" s="122" t="s">
        <v>137</v>
      </c>
      <c r="G556" s="137" t="s">
        <v>138</v>
      </c>
      <c r="H556" s="79" t="str">
        <f aca="false">IFERROR(VLOOKUP(E:E,'Item Data Support Sheet'!A:O,2,0),"")</f>
        <v>NIPPLE S TYPE L SIZE INJECTION</v>
      </c>
      <c r="I556" s="80" t="s">
        <v>1158</v>
      </c>
      <c r="J556" s="80" t="s">
        <v>815</v>
      </c>
      <c r="K556" s="81" t="n">
        <v>8</v>
      </c>
      <c r="L556" s="124" t="n">
        <v>4815</v>
      </c>
      <c r="M556" s="83" t="n">
        <f aca="false">IFERROR(L556/K556,0)</f>
        <v>601.875</v>
      </c>
      <c r="N556" s="84" t="n">
        <f aca="false">+O556+Q556+T556+U556</f>
        <v>5070</v>
      </c>
      <c r="O556" s="85" t="n">
        <v>5000</v>
      </c>
      <c r="P556" s="86" t="n">
        <v>0</v>
      </c>
      <c r="Q556" s="86" t="n">
        <v>22</v>
      </c>
      <c r="R556" s="132" t="n">
        <v>0</v>
      </c>
      <c r="S556" s="128" t="n">
        <v>0</v>
      </c>
      <c r="T556" s="132" t="n">
        <v>40</v>
      </c>
      <c r="U556" s="128" t="n">
        <v>8</v>
      </c>
      <c r="V556" s="128" t="n">
        <v>1</v>
      </c>
      <c r="W556" s="90" t="n">
        <f aca="false">IFERROR(O556/V556,0)</f>
        <v>5000</v>
      </c>
      <c r="X556" s="91" t="n">
        <f aca="false">O556/L556</f>
        <v>1.03842159916926</v>
      </c>
      <c r="Y556" s="92" t="str">
        <f aca="false">IFERROR(VLOOKUP(E:E,'Item Data Support Sheet'!A:J,6,0),0)</f>
        <v>Silicon</v>
      </c>
      <c r="Z556" s="93" t="n">
        <f aca="false">IFERROR(VLOOKUP(E:E,'Item Data Support Sheet'!A:O,4,0),0)</f>
        <v>6.8</v>
      </c>
      <c r="AA556" s="93" t="n">
        <f aca="false">IFERROR(((N556)*(Z556/1000))+P556,0)</f>
        <v>34.476</v>
      </c>
      <c r="AB556" s="94" t="n">
        <f aca="false">IFERROR((O556*(Z556/1000)/(AA556))," ")</f>
        <v>0.986193293885602</v>
      </c>
      <c r="AC556" s="95" t="n">
        <f aca="false">IFERROR((T556)/((T556)+O556),0)</f>
        <v>0.00793650793650794</v>
      </c>
      <c r="AD556" s="96" t="n">
        <f aca="false">IFERROR(Q556/(Q556+N556),0)</f>
        <v>0.00432050274941084</v>
      </c>
      <c r="AE556" s="91" t="n">
        <f aca="false">(N556-T556)/N556</f>
        <v>0.992110453648915</v>
      </c>
      <c r="AF556" s="97" t="n">
        <f aca="false">BR556</f>
        <v>0</v>
      </c>
      <c r="AG556" s="98" t="n">
        <f aca="false">K556-AF556</f>
        <v>8</v>
      </c>
      <c r="AH556" s="99" t="n">
        <f aca="false">IFERROR(AG556/K556," ")</f>
        <v>1</v>
      </c>
      <c r="AI556" s="100" t="n">
        <f aca="false">IFERROR(O556/K556,0)</f>
        <v>625</v>
      </c>
      <c r="AJ556" s="101" t="n">
        <f aca="false">VLOOKUP(D556,'Standard Cycle time'!C:D,2,0)</f>
        <v>5.25</v>
      </c>
      <c r="AK556" s="101" t="n">
        <f aca="false">AG556*V556*3600/O556</f>
        <v>5.76</v>
      </c>
      <c r="AL556" s="102" t="n">
        <f aca="false">AJ556/AK556</f>
        <v>0.911458333333333</v>
      </c>
      <c r="AM556" s="99" t="n">
        <f aca="false">AE556*AL556*AH556</f>
        <v>0.904267340565417</v>
      </c>
      <c r="AN556" s="103" t="n">
        <v>3296</v>
      </c>
      <c r="AO556" s="112"/>
      <c r="AP556" s="105" t="n">
        <v>0</v>
      </c>
      <c r="AQ556" s="105" t="n">
        <v>0</v>
      </c>
      <c r="AR556" s="105" t="n">
        <v>0</v>
      </c>
      <c r="AS556" s="105" t="n">
        <v>0</v>
      </c>
      <c r="AT556" s="105" t="n">
        <v>0</v>
      </c>
      <c r="AU556" s="105" t="n">
        <v>0</v>
      </c>
      <c r="AV556" s="105" t="n">
        <v>0</v>
      </c>
      <c r="AW556" s="105" t="n">
        <v>0</v>
      </c>
      <c r="AX556" s="105"/>
      <c r="AY556" s="105" t="n">
        <v>0</v>
      </c>
      <c r="AZ556" s="105" t="n">
        <v>0</v>
      </c>
      <c r="BA556" s="105" t="n">
        <v>0</v>
      </c>
      <c r="BB556" s="105" t="n">
        <v>0</v>
      </c>
      <c r="BC556" s="105" t="n">
        <v>0</v>
      </c>
      <c r="BD556" s="105" t="n">
        <v>0</v>
      </c>
      <c r="BE556" s="105" t="n">
        <v>0</v>
      </c>
      <c r="BF556" s="105" t="n">
        <v>0</v>
      </c>
      <c r="BG556" s="105" t="n">
        <v>0</v>
      </c>
      <c r="BH556" s="105" t="n">
        <v>0</v>
      </c>
      <c r="BI556" s="105" t="n">
        <v>0</v>
      </c>
      <c r="BJ556" s="105" t="n">
        <v>0</v>
      </c>
      <c r="BK556" s="105" t="n">
        <v>0</v>
      </c>
      <c r="BL556" s="105" t="n">
        <v>0</v>
      </c>
      <c r="BM556" s="105" t="n">
        <v>0</v>
      </c>
      <c r="BN556" s="105" t="n">
        <v>0</v>
      </c>
      <c r="BO556" s="105" t="n">
        <v>0</v>
      </c>
      <c r="BP556" s="105" t="n">
        <v>0</v>
      </c>
      <c r="BQ556" s="105" t="n">
        <v>0</v>
      </c>
      <c r="BR556" s="106" t="n">
        <v>0</v>
      </c>
      <c r="BS556" s="106" t="n">
        <v>0</v>
      </c>
      <c r="BT556" s="107"/>
      <c r="BU556" s="107"/>
      <c r="BV556" s="107"/>
      <c r="BW556" s="107"/>
      <c r="BX556" s="107"/>
      <c r="BY556" s="107"/>
      <c r="BZ556" s="107"/>
      <c r="CA556" s="107"/>
      <c r="CB556" s="107"/>
      <c r="CC556" s="107"/>
      <c r="CD556" s="107"/>
      <c r="CE556" s="107"/>
      <c r="CF556" s="107"/>
      <c r="CG556" s="107"/>
      <c r="CH556" s="107"/>
      <c r="CI556" s="107"/>
      <c r="CJ556" s="107"/>
      <c r="CK556" s="107"/>
      <c r="CL556" s="107"/>
      <c r="CM556" s="107"/>
      <c r="CN556" s="107"/>
      <c r="CO556" s="107"/>
      <c r="CP556" s="107"/>
      <c r="CQ556" s="107"/>
      <c r="CR556" s="107"/>
      <c r="CS556" s="107"/>
      <c r="CT556" s="107"/>
      <c r="CU556" s="107"/>
      <c r="CV556" s="107"/>
    </row>
    <row r="557" customFormat="false" ht="14.9" hidden="false" customHeight="false" outlineLevel="0" collapsed="false">
      <c r="A557" s="74" t="n">
        <f aca="false">MONTH(B557)</f>
        <v>9</v>
      </c>
      <c r="B557" s="135" t="n">
        <v>44456</v>
      </c>
      <c r="C557" s="128" t="s">
        <v>51</v>
      </c>
      <c r="D557" s="77" t="str">
        <f aca="false">IFERROR(VLOOKUP(E:E,'Item Data Support Sheet'!A:O,7,0),"")</f>
        <v>BOTTLE MOLDED</v>
      </c>
      <c r="E557" s="80" t="s">
        <v>69</v>
      </c>
      <c r="F557" s="122" t="s">
        <v>73</v>
      </c>
      <c r="G557" s="137" t="s">
        <v>80</v>
      </c>
      <c r="H557" s="79" t="str">
        <f aca="false">IFERROR(VLOOKUP(E:E,'Item Data Support Sheet'!A:O,2,0),"")</f>
        <v>KPP 240 ML BOTTLE MOLDED</v>
      </c>
      <c r="I557" s="80" t="s">
        <v>1159</v>
      </c>
      <c r="J557" s="80" t="s">
        <v>143</v>
      </c>
      <c r="K557" s="81" t="n">
        <v>8</v>
      </c>
      <c r="L557" s="124" t="n">
        <v>2574</v>
      </c>
      <c r="M557" s="83" t="n">
        <f aca="false">IFERROR(L557/K557,0)</f>
        <v>321.75</v>
      </c>
      <c r="N557" s="84" t="n">
        <f aca="false">+O557+Q557+T557+U557</f>
        <v>3136</v>
      </c>
      <c r="O557" s="85" t="n">
        <v>3024</v>
      </c>
      <c r="P557" s="86" t="n">
        <v>0</v>
      </c>
      <c r="Q557" s="86" t="n">
        <v>38</v>
      </c>
      <c r="R557" s="132" t="n">
        <v>0</v>
      </c>
      <c r="S557" s="128" t="n">
        <v>0</v>
      </c>
      <c r="T557" s="132" t="n">
        <v>66</v>
      </c>
      <c r="U557" s="128" t="n">
        <v>8</v>
      </c>
      <c r="V557" s="128" t="n">
        <v>1</v>
      </c>
      <c r="W557" s="90" t="n">
        <f aca="false">IFERROR(O557/V557,0)</f>
        <v>3024</v>
      </c>
      <c r="X557" s="91" t="n">
        <f aca="false">O557/L557</f>
        <v>1.17482517482517</v>
      </c>
      <c r="Y557" s="92" t="str">
        <f aca="false">IFERROR(VLOOKUP(E:E,'Item Data Support Sheet'!A:J,6,0),0)</f>
        <v>HMC</v>
      </c>
      <c r="Z557" s="93" t="n">
        <f aca="false">IFERROR(VLOOKUP(E:E,'Item Data Support Sheet'!A:O,4,0),0)</f>
        <v>32.1</v>
      </c>
      <c r="AA557" s="93" t="n">
        <f aca="false">IFERROR(((N557)*(Z557/1000))+P557,0)</f>
        <v>100.6656</v>
      </c>
      <c r="AB557" s="94" t="n">
        <f aca="false">IFERROR((O557*(Z557/1000)/(AA557))," ")</f>
        <v>0.964285714285714</v>
      </c>
      <c r="AC557" s="95" t="n">
        <f aca="false">IFERROR((T557)/((T557)+O557),0)</f>
        <v>0.0213592233009709</v>
      </c>
      <c r="AD557" s="96" t="n">
        <f aca="false">IFERROR(Q557/(Q557+N557),0)</f>
        <v>0.0119722747321991</v>
      </c>
      <c r="AE557" s="91" t="n">
        <f aca="false">(N557-T557)/N557</f>
        <v>0.978954081632653</v>
      </c>
      <c r="AF557" s="97" t="n">
        <f aca="false">BR557</f>
        <v>0.5</v>
      </c>
      <c r="AG557" s="98" t="n">
        <f aca="false">K557-AF557</f>
        <v>7.5</v>
      </c>
      <c r="AH557" s="99" t="n">
        <f aca="false">IFERROR(AG557/K557," ")</f>
        <v>0.9375</v>
      </c>
      <c r="AI557" s="100" t="n">
        <f aca="false">IFERROR(O557/K557,0)</f>
        <v>378</v>
      </c>
      <c r="AJ557" s="101" t="n">
        <f aca="false">VLOOKUP(D557,'Standard Cycle time'!C:D,2,0)</f>
        <v>9</v>
      </c>
      <c r="AK557" s="101" t="n">
        <f aca="false">AG557*V557*3600/O557</f>
        <v>8.92857142857143</v>
      </c>
      <c r="AL557" s="102" t="n">
        <f aca="false">AJ557/AK557</f>
        <v>1.008</v>
      </c>
      <c r="AM557" s="99" t="n">
        <f aca="false">AE557*AL557*AH557</f>
        <v>0.925111607142857</v>
      </c>
      <c r="AN557" s="103" t="n">
        <v>3313</v>
      </c>
      <c r="AO557" s="112" t="s">
        <v>1149</v>
      </c>
      <c r="AP557" s="105" t="n">
        <v>0</v>
      </c>
      <c r="AQ557" s="105" t="n">
        <v>0</v>
      </c>
      <c r="AR557" s="105" t="n">
        <v>0</v>
      </c>
      <c r="AS557" s="105" t="n">
        <v>0</v>
      </c>
      <c r="AT557" s="105" t="n">
        <v>0</v>
      </c>
      <c r="AU557" s="105" t="n">
        <v>0</v>
      </c>
      <c r="AV557" s="105" t="n">
        <v>0</v>
      </c>
      <c r="AW557" s="105" t="n">
        <v>0</v>
      </c>
      <c r="AX557" s="105" t="n">
        <v>0</v>
      </c>
      <c r="AY557" s="105" t="n">
        <v>30</v>
      </c>
      <c r="AZ557" s="105" t="n">
        <v>0</v>
      </c>
      <c r="BA557" s="105" t="n">
        <v>0</v>
      </c>
      <c r="BB557" s="105" t="n">
        <v>0</v>
      </c>
      <c r="BC557" s="105" t="n">
        <v>0</v>
      </c>
      <c r="BD557" s="105" t="n">
        <v>0</v>
      </c>
      <c r="BE557" s="105" t="n">
        <v>0</v>
      </c>
      <c r="BF557" s="105" t="n">
        <v>0</v>
      </c>
      <c r="BG557" s="105" t="n">
        <v>0</v>
      </c>
      <c r="BH557" s="105" t="n">
        <v>0</v>
      </c>
      <c r="BI557" s="105" t="n">
        <v>0</v>
      </c>
      <c r="BJ557" s="105" t="n">
        <v>0</v>
      </c>
      <c r="BK557" s="105" t="n">
        <v>0</v>
      </c>
      <c r="BL557" s="105" t="n">
        <v>0</v>
      </c>
      <c r="BM557" s="105" t="n">
        <v>0</v>
      </c>
      <c r="BN557" s="105" t="n">
        <v>0</v>
      </c>
      <c r="BO557" s="105" t="n">
        <v>0</v>
      </c>
      <c r="BP557" s="105" t="n">
        <v>0</v>
      </c>
      <c r="BQ557" s="105" t="n">
        <v>0</v>
      </c>
      <c r="BR557" s="106" t="n">
        <v>0.5</v>
      </c>
      <c r="BS557" s="106" t="n">
        <v>0.508333333333333</v>
      </c>
      <c r="BT557" s="107"/>
      <c r="BU557" s="107"/>
      <c r="BV557" s="107"/>
      <c r="BW557" s="107"/>
      <c r="BX557" s="107"/>
      <c r="BY557" s="107"/>
      <c r="BZ557" s="107"/>
      <c r="CA557" s="107"/>
      <c r="CB557" s="107"/>
      <c r="CC557" s="107"/>
      <c r="CD557" s="107"/>
      <c r="CE557" s="107"/>
      <c r="CF557" s="107"/>
      <c r="CG557" s="107"/>
      <c r="CH557" s="107"/>
      <c r="CI557" s="107"/>
      <c r="CJ557" s="107"/>
      <c r="CK557" s="107"/>
      <c r="CL557" s="107"/>
      <c r="CM557" s="107"/>
      <c r="CN557" s="107"/>
      <c r="CO557" s="107"/>
      <c r="CP557" s="107"/>
      <c r="CQ557" s="107"/>
      <c r="CR557" s="107"/>
      <c r="CS557" s="107"/>
      <c r="CT557" s="107"/>
      <c r="CU557" s="107"/>
      <c r="CV557" s="107"/>
    </row>
    <row r="558" customFormat="false" ht="14.9" hidden="false" customHeight="false" outlineLevel="0" collapsed="false">
      <c r="A558" s="74" t="n">
        <f aca="false">MONTH(B558)</f>
        <v>9</v>
      </c>
      <c r="B558" s="135" t="n">
        <v>44456</v>
      </c>
      <c r="C558" s="128" t="s">
        <v>51</v>
      </c>
      <c r="D558" s="77" t="str">
        <f aca="false">IFERROR(VLOOKUP(E:E,'Item Data Support Sheet'!A:O,7,0),"")</f>
        <v>BOTTLE MOLDED</v>
      </c>
      <c r="E558" s="80" t="s">
        <v>357</v>
      </c>
      <c r="F558" s="122" t="s">
        <v>79</v>
      </c>
      <c r="G558" s="137" t="s">
        <v>74</v>
      </c>
      <c r="H558" s="79" t="str">
        <f aca="false">IFERROR(VLOOKUP(E:E,'Item Data Support Sheet'!A:O,2,0),"")</f>
        <v>KPP 120 ML BOTTLE MOLDED</v>
      </c>
      <c r="I558" s="80" t="s">
        <v>1160</v>
      </c>
      <c r="J558" s="80" t="s">
        <v>143</v>
      </c>
      <c r="K558" s="81" t="n">
        <v>4</v>
      </c>
      <c r="L558" s="124" t="n">
        <v>1200</v>
      </c>
      <c r="M558" s="83" t="n">
        <f aca="false">IFERROR(L558/K558,0)</f>
        <v>300</v>
      </c>
      <c r="N558" s="84" t="n">
        <f aca="false">+O558+Q558+T558+U558</f>
        <v>1802</v>
      </c>
      <c r="O558" s="85" t="n">
        <v>1728</v>
      </c>
      <c r="P558" s="86" t="n">
        <v>0.15</v>
      </c>
      <c r="Q558" s="86" t="n">
        <v>24</v>
      </c>
      <c r="R558" s="132" t="n">
        <v>0</v>
      </c>
      <c r="S558" s="128" t="n">
        <v>0</v>
      </c>
      <c r="T558" s="132" t="n">
        <v>42</v>
      </c>
      <c r="U558" s="128" t="n">
        <v>8</v>
      </c>
      <c r="V558" s="128" t="n">
        <v>1</v>
      </c>
      <c r="W558" s="90" t="n">
        <f aca="false">IFERROR(O558/V558,0)</f>
        <v>1728</v>
      </c>
      <c r="X558" s="91" t="n">
        <f aca="false">O558/L558</f>
        <v>1.44</v>
      </c>
      <c r="Y558" s="92" t="str">
        <f aca="false">IFERROR(VLOOKUP(E:E,'Item Data Support Sheet'!A:J,6,0),0)</f>
        <v>HMC</v>
      </c>
      <c r="Z558" s="93" t="n">
        <f aca="false">IFERROR(VLOOKUP(E:E,'Item Data Support Sheet'!A:O,4,0),0)</f>
        <v>21.3</v>
      </c>
      <c r="AA558" s="93" t="n">
        <f aca="false">IFERROR(((N558)*(Z558/1000))+P558,0)</f>
        <v>38.5326</v>
      </c>
      <c r="AB558" s="94" t="n">
        <f aca="false">IFERROR((O558*(Z558/1000)/(AA558))," ")</f>
        <v>0.955201569580044</v>
      </c>
      <c r="AC558" s="95" t="n">
        <f aca="false">IFERROR((T558)/((T558)+O558),0)</f>
        <v>0.023728813559322</v>
      </c>
      <c r="AD558" s="96" t="n">
        <f aca="false">IFERROR(Q558/(Q558+N558),0)</f>
        <v>0.0131434830230011</v>
      </c>
      <c r="AE558" s="91" t="n">
        <f aca="false">(N558-T558)/N558</f>
        <v>0.97669256381798</v>
      </c>
      <c r="AF558" s="97" t="n">
        <f aca="false">BR558</f>
        <v>1.16666666666667</v>
      </c>
      <c r="AG558" s="98" t="n">
        <f aca="false">K558-AF558</f>
        <v>2.83333333333333</v>
      </c>
      <c r="AH558" s="99" t="n">
        <f aca="false">IFERROR(AG558/K558," ")</f>
        <v>0.708333333333332</v>
      </c>
      <c r="AI558" s="100" t="n">
        <f aca="false">IFERROR(O558/K558,0)</f>
        <v>432</v>
      </c>
      <c r="AJ558" s="101" t="n">
        <f aca="false">VLOOKUP(D558,'Standard Cycle time'!C:D,2,0)</f>
        <v>9</v>
      </c>
      <c r="AK558" s="101" t="n">
        <f aca="false">AG558*V558*3600/O558</f>
        <v>5.90277777777777</v>
      </c>
      <c r="AL558" s="102" t="n">
        <f aca="false">AJ558/AK558</f>
        <v>1.52470588235294</v>
      </c>
      <c r="AM558" s="99" t="n">
        <f aca="false">AE558*AL558*AH558</f>
        <v>1.05482796892342</v>
      </c>
      <c r="AN558" s="103" t="s">
        <v>1161</v>
      </c>
      <c r="AO558" s="112" t="s">
        <v>1162</v>
      </c>
      <c r="AP558" s="105" t="n">
        <v>0</v>
      </c>
      <c r="AQ558" s="105" t="n">
        <v>0</v>
      </c>
      <c r="AR558" s="105" t="n">
        <v>70</v>
      </c>
      <c r="AS558" s="105" t="n">
        <v>0</v>
      </c>
      <c r="AT558" s="105" t="n">
        <v>0</v>
      </c>
      <c r="AU558" s="105" t="n">
        <v>0</v>
      </c>
      <c r="AV558" s="105" t="n">
        <v>0</v>
      </c>
      <c r="AW558" s="105" t="n">
        <v>0</v>
      </c>
      <c r="AX558" s="105" t="n">
        <v>0</v>
      </c>
      <c r="AY558" s="105" t="n">
        <v>0</v>
      </c>
      <c r="AZ558" s="105" t="n">
        <v>0</v>
      </c>
      <c r="BA558" s="105" t="n">
        <v>0</v>
      </c>
      <c r="BB558" s="105" t="n">
        <v>0</v>
      </c>
      <c r="BC558" s="105" t="n">
        <v>0</v>
      </c>
      <c r="BD558" s="105" t="n">
        <v>0</v>
      </c>
      <c r="BE558" s="105" t="n">
        <v>0</v>
      </c>
      <c r="BF558" s="105" t="n">
        <v>0</v>
      </c>
      <c r="BG558" s="105" t="n">
        <v>0</v>
      </c>
      <c r="BH558" s="105" t="n">
        <v>0</v>
      </c>
      <c r="BI558" s="105" t="n">
        <v>0</v>
      </c>
      <c r="BJ558" s="105" t="n">
        <v>0</v>
      </c>
      <c r="BK558" s="105" t="n">
        <v>0</v>
      </c>
      <c r="BL558" s="105" t="n">
        <v>0</v>
      </c>
      <c r="BM558" s="105" t="n">
        <v>0</v>
      </c>
      <c r="BN558" s="105" t="n">
        <v>0</v>
      </c>
      <c r="BO558" s="105" t="n">
        <v>0</v>
      </c>
      <c r="BP558" s="105" t="n">
        <v>0</v>
      </c>
      <c r="BQ558" s="105" t="n">
        <v>0</v>
      </c>
      <c r="BR558" s="106" t="n">
        <v>1.16666666666667</v>
      </c>
      <c r="BS558" s="106" t="n">
        <v>1.18611111111111</v>
      </c>
      <c r="BT558" s="107"/>
      <c r="BU558" s="107"/>
      <c r="BV558" s="107"/>
      <c r="BW558" s="107"/>
      <c r="BX558" s="107"/>
      <c r="BY558" s="107"/>
      <c r="BZ558" s="107"/>
      <c r="CA558" s="107"/>
      <c r="CB558" s="107"/>
      <c r="CC558" s="107"/>
      <c r="CD558" s="107"/>
      <c r="CE558" s="107"/>
      <c r="CF558" s="107"/>
      <c r="CG558" s="107"/>
      <c r="CH558" s="107"/>
      <c r="CI558" s="107"/>
      <c r="CJ558" s="107"/>
      <c r="CK558" s="107"/>
      <c r="CL558" s="107"/>
      <c r="CM558" s="107"/>
      <c r="CN558" s="107"/>
      <c r="CO558" s="107"/>
      <c r="CP558" s="107"/>
      <c r="CQ558" s="107"/>
      <c r="CR558" s="107"/>
      <c r="CS558" s="107"/>
      <c r="CT558" s="107"/>
      <c r="CU558" s="107"/>
      <c r="CV558" s="107"/>
    </row>
    <row r="559" customFormat="false" ht="14.9" hidden="false" customHeight="false" outlineLevel="0" collapsed="false">
      <c r="A559" s="74" t="n">
        <f aca="false">MONTH(B559)</f>
        <v>9</v>
      </c>
      <c r="B559" s="135" t="n">
        <v>44456</v>
      </c>
      <c r="C559" s="128" t="s">
        <v>51</v>
      </c>
      <c r="D559" s="77" t="str">
        <f aca="false">IFERROR(VLOOKUP(E:E,'Item Data Support Sheet'!A:O,7,0),"")</f>
        <v>NIPPLE MOLDED</v>
      </c>
      <c r="E559" s="80" t="s">
        <v>661</v>
      </c>
      <c r="F559" s="122" t="s">
        <v>137</v>
      </c>
      <c r="G559" s="137" t="s">
        <v>138</v>
      </c>
      <c r="H559" s="79" t="str">
        <f aca="false">IFERROR(VLOOKUP(E:E,'Item Data Support Sheet'!A:O,2,0),"")</f>
        <v>NIPPLE S TYPE L SIZE INJECTION</v>
      </c>
      <c r="I559" s="80" t="s">
        <v>1163</v>
      </c>
      <c r="J559" s="80" t="s">
        <v>143</v>
      </c>
      <c r="K559" s="81" t="n">
        <v>8</v>
      </c>
      <c r="L559" s="124" t="n">
        <v>4815</v>
      </c>
      <c r="M559" s="83" t="n">
        <f aca="false">IFERROR(L559/K559,0)</f>
        <v>601.875</v>
      </c>
      <c r="N559" s="84" t="n">
        <f aca="false">+O559+Q559+T559+U559</f>
        <v>4305</v>
      </c>
      <c r="O559" s="85" t="n">
        <v>4200</v>
      </c>
      <c r="P559" s="86" t="n">
        <v>4.267</v>
      </c>
      <c r="Q559" s="86" t="n">
        <v>46</v>
      </c>
      <c r="R559" s="132" t="n">
        <v>0</v>
      </c>
      <c r="S559" s="128" t="n">
        <v>0</v>
      </c>
      <c r="T559" s="132" t="n">
        <v>51</v>
      </c>
      <c r="U559" s="128" t="n">
        <v>8</v>
      </c>
      <c r="V559" s="128" t="n">
        <v>1</v>
      </c>
      <c r="W559" s="90" t="n">
        <f aca="false">IFERROR(O559/V559,0)</f>
        <v>4200</v>
      </c>
      <c r="X559" s="91" t="n">
        <f aca="false">O559/L559</f>
        <v>0.872274143302181</v>
      </c>
      <c r="Y559" s="92" t="str">
        <f aca="false">IFERROR(VLOOKUP(E:E,'Item Data Support Sheet'!A:J,6,0),0)</f>
        <v>Silicon</v>
      </c>
      <c r="Z559" s="93" t="n">
        <f aca="false">IFERROR(VLOOKUP(E:E,'Item Data Support Sheet'!A:O,4,0),0)</f>
        <v>6.8</v>
      </c>
      <c r="AA559" s="93" t="n">
        <f aca="false">IFERROR(((N559)*(Z559/1000))+P559,0)</f>
        <v>33.541</v>
      </c>
      <c r="AB559" s="94" t="n">
        <f aca="false">IFERROR((O559*(Z559/1000)/(AA559))," ")</f>
        <v>0.851495184997466</v>
      </c>
      <c r="AC559" s="95" t="n">
        <f aca="false">IFERROR((T559)/((T559)+O559),0)</f>
        <v>0.0119971771347918</v>
      </c>
      <c r="AD559" s="96" t="n">
        <f aca="false">IFERROR(Q559/(Q559+N559),0)</f>
        <v>0.0105722822339692</v>
      </c>
      <c r="AE559" s="91" t="n">
        <f aca="false">(N559-T559)/N559</f>
        <v>0.98815331010453</v>
      </c>
      <c r="AF559" s="97" t="n">
        <f aca="false">BR559</f>
        <v>1.16666666666667</v>
      </c>
      <c r="AG559" s="98" t="n">
        <f aca="false">K559-AF559</f>
        <v>6.83333333333333</v>
      </c>
      <c r="AH559" s="99" t="n">
        <f aca="false">IFERROR(AG559/K559," ")</f>
        <v>0.854166666666666</v>
      </c>
      <c r="AI559" s="100" t="n">
        <f aca="false">IFERROR(O559/K559,0)</f>
        <v>525</v>
      </c>
      <c r="AJ559" s="101" t="n">
        <f aca="false">VLOOKUP(D559,'Standard Cycle time'!C:D,2,0)</f>
        <v>5.25</v>
      </c>
      <c r="AK559" s="101" t="n">
        <f aca="false">AG559*V559*3600/O559</f>
        <v>5.85714285714286</v>
      </c>
      <c r="AL559" s="102" t="n">
        <f aca="false">AJ559/AK559</f>
        <v>0.896341463414634</v>
      </c>
      <c r="AM559" s="99" t="n">
        <f aca="false">AE559*AL559*AH559</f>
        <v>0.756554878048781</v>
      </c>
      <c r="AN559" s="103" t="n">
        <v>3315</v>
      </c>
      <c r="AO559" s="112" t="s">
        <v>1164</v>
      </c>
      <c r="AP559" s="105" t="n">
        <v>0</v>
      </c>
      <c r="AQ559" s="105" t="n">
        <v>0</v>
      </c>
      <c r="AR559" s="105" t="n">
        <v>0</v>
      </c>
      <c r="AS559" s="105" t="n">
        <v>0</v>
      </c>
      <c r="AT559" s="105" t="n">
        <v>0</v>
      </c>
      <c r="AU559" s="105" t="n">
        <v>30</v>
      </c>
      <c r="AV559" s="105" t="n">
        <v>0</v>
      </c>
      <c r="AW559" s="105" t="n">
        <v>0</v>
      </c>
      <c r="AX559" s="105" t="n">
        <v>40</v>
      </c>
      <c r="AY559" s="105" t="n">
        <v>0</v>
      </c>
      <c r="AZ559" s="105" t="n">
        <v>0</v>
      </c>
      <c r="BA559" s="105" t="n">
        <v>0</v>
      </c>
      <c r="BB559" s="105" t="n">
        <v>0</v>
      </c>
      <c r="BC559" s="105" t="n">
        <v>0</v>
      </c>
      <c r="BD559" s="105" t="n">
        <v>0</v>
      </c>
      <c r="BE559" s="105" t="n">
        <v>0</v>
      </c>
      <c r="BF559" s="105" t="n">
        <v>0</v>
      </c>
      <c r="BG559" s="105" t="n">
        <v>0</v>
      </c>
      <c r="BH559" s="105" t="n">
        <v>0</v>
      </c>
      <c r="BI559" s="105" t="n">
        <v>0</v>
      </c>
      <c r="BJ559" s="105" t="n">
        <v>0</v>
      </c>
      <c r="BK559" s="105" t="n">
        <v>0</v>
      </c>
      <c r="BL559" s="105" t="n">
        <v>0</v>
      </c>
      <c r="BM559" s="105" t="n">
        <v>0</v>
      </c>
      <c r="BN559" s="105" t="n">
        <v>0</v>
      </c>
      <c r="BO559" s="105" t="n">
        <v>0</v>
      </c>
      <c r="BP559" s="105" t="n">
        <v>0</v>
      </c>
      <c r="BQ559" s="105" t="n">
        <v>0</v>
      </c>
      <c r="BR559" s="106" t="n">
        <v>1.16666666666667</v>
      </c>
      <c r="BS559" s="106" t="n">
        <v>1.18611111111111</v>
      </c>
      <c r="BT559" s="107"/>
      <c r="BU559" s="107"/>
      <c r="BV559" s="107"/>
      <c r="BW559" s="107"/>
      <c r="BX559" s="107"/>
      <c r="BY559" s="107"/>
      <c r="BZ559" s="107"/>
      <c r="CA559" s="107"/>
      <c r="CB559" s="107"/>
      <c r="CC559" s="107"/>
      <c r="CD559" s="107"/>
      <c r="CE559" s="107"/>
      <c r="CF559" s="107"/>
      <c r="CG559" s="107"/>
      <c r="CH559" s="107"/>
      <c r="CI559" s="107"/>
      <c r="CJ559" s="107"/>
      <c r="CK559" s="107"/>
      <c r="CL559" s="107"/>
      <c r="CM559" s="107"/>
      <c r="CN559" s="107"/>
      <c r="CO559" s="107"/>
      <c r="CP559" s="107"/>
      <c r="CQ559" s="107"/>
      <c r="CR559" s="107"/>
      <c r="CS559" s="107"/>
      <c r="CT559" s="107"/>
      <c r="CU559" s="107"/>
      <c r="CV559" s="107"/>
    </row>
    <row r="560" customFormat="false" ht="14.9" hidden="false" customHeight="false" outlineLevel="0" collapsed="false">
      <c r="A560" s="74" t="n">
        <f aca="false">MONTH(B560)</f>
        <v>9</v>
      </c>
      <c r="B560" s="135" t="n">
        <v>44456</v>
      </c>
      <c r="C560" s="128" t="s">
        <v>51</v>
      </c>
      <c r="D560" s="77" t="str">
        <f aca="false">IFERROR(VLOOKUP(E:E,'Item Data Support Sheet'!A:O,7,0),"")</f>
        <v>NIPPLE PUNCH</v>
      </c>
      <c r="E560" s="80" t="s">
        <v>666</v>
      </c>
      <c r="F560" s="122"/>
      <c r="G560" s="137" t="s">
        <v>54</v>
      </c>
      <c r="H560" s="79" t="str">
        <f aca="false">IFERROR(VLOOKUP(E:E,'Item Data Support Sheet'!A:O,2,0),"")</f>
        <v>NIPPLE S TYPE L SIZE PUNCHED</v>
      </c>
      <c r="I560" s="80" t="s">
        <v>1165</v>
      </c>
      <c r="J560" s="80" t="s">
        <v>143</v>
      </c>
      <c r="K560" s="81" t="n">
        <v>8</v>
      </c>
      <c r="L560" s="124" t="n">
        <v>7000</v>
      </c>
      <c r="M560" s="83" t="n">
        <f aca="false">IFERROR(L560/K560,0)</f>
        <v>875</v>
      </c>
      <c r="N560" s="84" t="n">
        <f aca="false">+O560+Q560+T560+U560</f>
        <v>5300</v>
      </c>
      <c r="O560" s="85" t="n">
        <v>5300</v>
      </c>
      <c r="P560" s="86" t="n">
        <v>0</v>
      </c>
      <c r="Q560" s="86" t="n">
        <v>0</v>
      </c>
      <c r="R560" s="132" t="n">
        <v>0</v>
      </c>
      <c r="S560" s="128" t="n">
        <v>0</v>
      </c>
      <c r="T560" s="132" t="n">
        <v>0</v>
      </c>
      <c r="U560" s="128" t="n">
        <v>0</v>
      </c>
      <c r="V560" s="128" t="n">
        <v>1</v>
      </c>
      <c r="W560" s="90" t="n">
        <f aca="false">IFERROR(O560/V560,0)</f>
        <v>5300</v>
      </c>
      <c r="X560" s="91" t="n">
        <f aca="false">O560/L560</f>
        <v>0.757142857142857</v>
      </c>
      <c r="Y560" s="92" t="str">
        <f aca="false">IFERROR(VLOOKUP(E:E,'Item Data Support Sheet'!A:J,6,0),0)</f>
        <v>FO017</v>
      </c>
      <c r="Z560" s="93" t="n">
        <f aca="false">IFERROR(VLOOKUP(E:E,'Item Data Support Sheet'!A:O,4,0),0)</f>
        <v>0</v>
      </c>
      <c r="AA560" s="93" t="n">
        <f aca="false">IFERROR(((N560)*(Z560/1000))+P560,0)</f>
        <v>0</v>
      </c>
      <c r="AB560" s="94" t="str">
        <f aca="false">IFERROR((O560*(Z560/1000)/(AA560))," ")</f>
        <v> </v>
      </c>
      <c r="AC560" s="95" t="n">
        <f aca="false">IFERROR((T560)/((T560)+O560),0)</f>
        <v>0</v>
      </c>
      <c r="AD560" s="96" t="n">
        <f aca="false">IFERROR(Q560/(Q560+N560),0)</f>
        <v>0</v>
      </c>
      <c r="AE560" s="91" t="n">
        <f aca="false">(N560-T560)/N560</f>
        <v>1</v>
      </c>
      <c r="AF560" s="97" t="n">
        <f aca="false">BR560</f>
        <v>2.16666666666667</v>
      </c>
      <c r="AG560" s="98" t="n">
        <f aca="false">K560-AF560</f>
        <v>5.83333333333333</v>
      </c>
      <c r="AH560" s="99" t="n">
        <f aca="false">IFERROR(AG560/K560," ")</f>
        <v>0.729166666666666</v>
      </c>
      <c r="AI560" s="100" t="n">
        <f aca="false">IFERROR(O560/K560,0)</f>
        <v>662.5</v>
      </c>
      <c r="AJ560" s="101" t="n">
        <f aca="false">VLOOKUP(D560,'Standard Cycle time'!C:D,2,0)</f>
        <v>3.5</v>
      </c>
      <c r="AK560" s="101" t="n">
        <f aca="false">AG560*V560*3600/O560</f>
        <v>3.96226415094339</v>
      </c>
      <c r="AL560" s="102" t="n">
        <f aca="false">AJ560/AK560</f>
        <v>0.883333333333334</v>
      </c>
      <c r="AM560" s="99" t="n">
        <f aca="false">AE560*AL560*AH560</f>
        <v>0.644097222222222</v>
      </c>
      <c r="AN560" s="103" t="s">
        <v>1166</v>
      </c>
      <c r="AO560" s="112" t="s">
        <v>814</v>
      </c>
      <c r="AP560" s="105" t="n">
        <v>40</v>
      </c>
      <c r="AQ560" s="105" t="n">
        <v>0</v>
      </c>
      <c r="AR560" s="105" t="n">
        <v>0</v>
      </c>
      <c r="AS560" s="105" t="n">
        <v>0</v>
      </c>
      <c r="AT560" s="105" t="n">
        <v>0</v>
      </c>
      <c r="AU560" s="105" t="n">
        <v>0</v>
      </c>
      <c r="AV560" s="105" t="n">
        <v>0</v>
      </c>
      <c r="AW560" s="105" t="n">
        <v>0</v>
      </c>
      <c r="AX560" s="105" t="n">
        <v>0</v>
      </c>
      <c r="AY560" s="105" t="n">
        <v>0</v>
      </c>
      <c r="AZ560" s="105" t="n">
        <v>0</v>
      </c>
      <c r="BA560" s="105" t="n">
        <v>0</v>
      </c>
      <c r="BB560" s="105" t="n">
        <v>0</v>
      </c>
      <c r="BC560" s="105" t="n">
        <v>0</v>
      </c>
      <c r="BD560" s="105" t="n">
        <v>0</v>
      </c>
      <c r="BE560" s="105" t="n">
        <v>0</v>
      </c>
      <c r="BF560" s="105" t="n">
        <v>0</v>
      </c>
      <c r="BG560" s="105" t="n">
        <v>0</v>
      </c>
      <c r="BH560" s="105" t="n">
        <v>0</v>
      </c>
      <c r="BI560" s="105" t="n">
        <v>0</v>
      </c>
      <c r="BJ560" s="105" t="n">
        <v>60</v>
      </c>
      <c r="BK560" s="105" t="n">
        <v>0</v>
      </c>
      <c r="BL560" s="105" t="n">
        <v>0</v>
      </c>
      <c r="BM560" s="105" t="n">
        <v>0</v>
      </c>
      <c r="BN560" s="105" t="n">
        <v>0</v>
      </c>
      <c r="BO560" s="105" t="n">
        <v>0</v>
      </c>
      <c r="BP560" s="105" t="n">
        <v>0</v>
      </c>
      <c r="BQ560" s="105" t="n">
        <v>30</v>
      </c>
      <c r="BR560" s="106" t="n">
        <v>2.16666666666667</v>
      </c>
      <c r="BS560" s="106" t="n">
        <v>2.20277777777778</v>
      </c>
      <c r="BT560" s="107"/>
      <c r="BU560" s="107"/>
      <c r="BV560" s="107"/>
      <c r="BW560" s="107"/>
      <c r="BX560" s="107"/>
      <c r="BY560" s="107"/>
      <c r="BZ560" s="107"/>
      <c r="CA560" s="107"/>
      <c r="CB560" s="107"/>
      <c r="CC560" s="107"/>
      <c r="CD560" s="107"/>
      <c r="CE560" s="107"/>
      <c r="CF560" s="107"/>
      <c r="CG560" s="107"/>
      <c r="CH560" s="107"/>
      <c r="CI560" s="107"/>
      <c r="CJ560" s="107"/>
      <c r="CK560" s="107"/>
      <c r="CL560" s="107"/>
      <c r="CM560" s="107"/>
      <c r="CN560" s="107"/>
      <c r="CO560" s="107"/>
      <c r="CP560" s="107"/>
      <c r="CQ560" s="107"/>
      <c r="CR560" s="107"/>
      <c r="CS560" s="107"/>
      <c r="CT560" s="107"/>
      <c r="CU560" s="107"/>
      <c r="CV560" s="107"/>
    </row>
    <row r="561" customFormat="false" ht="14.9" hidden="false" customHeight="false" outlineLevel="0" collapsed="false">
      <c r="A561" s="74" t="n">
        <f aca="false">MONTH(B561)</f>
        <v>9</v>
      </c>
      <c r="B561" s="135" t="n">
        <v>44456</v>
      </c>
      <c r="C561" s="128" t="s">
        <v>51</v>
      </c>
      <c r="D561" s="77" t="str">
        <f aca="false">IFERROR(VLOOKUP(E:E,'Item Data Support Sheet'!A:O,7,0),"")</f>
        <v>BOTTLE PRINTED</v>
      </c>
      <c r="E561" s="80" t="s">
        <v>320</v>
      </c>
      <c r="F561" s="122"/>
      <c r="G561" s="137"/>
      <c r="H561" s="79" t="str">
        <f aca="false">IFERROR(VLOOKUP(E:E,'Item Data Support Sheet'!A:O,2,0),"")</f>
        <v>KPP 200 ML BOTTLE PRINTED</v>
      </c>
      <c r="I561" s="80" t="s">
        <v>1167</v>
      </c>
      <c r="J561" s="80" t="s">
        <v>161</v>
      </c>
      <c r="K561" s="81" t="n">
        <v>4.5</v>
      </c>
      <c r="L561" s="124" t="n">
        <v>2900</v>
      </c>
      <c r="M561" s="83" t="n">
        <f aca="false">IFERROR(L561/K561,0)</f>
        <v>644.444444444444</v>
      </c>
      <c r="N561" s="84" t="n">
        <f aca="false">+O561+Q561+T561+U561</f>
        <v>1801</v>
      </c>
      <c r="O561" s="85" t="n">
        <v>1786</v>
      </c>
      <c r="P561" s="86" t="n">
        <v>0</v>
      </c>
      <c r="Q561" s="86" t="n">
        <v>0</v>
      </c>
      <c r="R561" s="132" t="n">
        <v>12</v>
      </c>
      <c r="S561" s="128" t="n">
        <v>0</v>
      </c>
      <c r="T561" s="132" t="n">
        <v>15</v>
      </c>
      <c r="U561" s="128" t="n">
        <v>0</v>
      </c>
      <c r="V561" s="128" t="n">
        <v>5</v>
      </c>
      <c r="W561" s="90" t="n">
        <f aca="false">IFERROR(O561/V561,0)</f>
        <v>357.2</v>
      </c>
      <c r="X561" s="91" t="n">
        <f aca="false">O561/L561</f>
        <v>0.615862068965517</v>
      </c>
      <c r="Y561" s="92" t="str">
        <f aca="false">IFERROR(VLOOKUP(E:E,'Item Data Support Sheet'!A:J,6,0),0)</f>
        <v>FO002</v>
      </c>
      <c r="Z561" s="93" t="n">
        <f aca="false">IFERROR(VLOOKUP(E:E,'Item Data Support Sheet'!A:O,4,0),0)</f>
        <v>0</v>
      </c>
      <c r="AA561" s="93" t="n">
        <f aca="false">IFERROR(((N561)*(Z561/1000))+P561,0)</f>
        <v>0</v>
      </c>
      <c r="AB561" s="94" t="str">
        <f aca="false">IFERROR((O561*(Z561/1000)/(AA561))," ")</f>
        <v> </v>
      </c>
      <c r="AC561" s="95" t="n">
        <f aca="false">IFERROR((T561)/((T561)+O561),0)</f>
        <v>0.00832870627429206</v>
      </c>
      <c r="AD561" s="96" t="n">
        <f aca="false">IFERROR(Q561/(Q561+N561),0)</f>
        <v>0</v>
      </c>
      <c r="AE561" s="91" t="n">
        <f aca="false">(N561-T561)/N561</f>
        <v>0.991671293725708</v>
      </c>
      <c r="AF561" s="97" t="n">
        <f aca="false">BR561</f>
        <v>1.33333333333333</v>
      </c>
      <c r="AG561" s="98" t="n">
        <f aca="false">K561-AF561</f>
        <v>3.16666666666667</v>
      </c>
      <c r="AH561" s="99" t="n">
        <f aca="false">IFERROR(AG561/K561," ")</f>
        <v>0.703703703703704</v>
      </c>
      <c r="AI561" s="100" t="n">
        <f aca="false">IFERROR(O561/K561,0)</f>
        <v>396.888888888889</v>
      </c>
      <c r="AJ561" s="101" t="n">
        <f aca="false">VLOOKUP(D561,'Standard Cycle time'!C:D,2,0)</f>
        <v>32.4</v>
      </c>
      <c r="AK561" s="101" t="n">
        <f aca="false">AG561*V561*3600/O561</f>
        <v>31.9148936170213</v>
      </c>
      <c r="AL561" s="102" t="n">
        <f aca="false">AJ561/AK561</f>
        <v>1.0152</v>
      </c>
      <c r="AM561" s="99" t="n">
        <f aca="false">AE561*AL561*AH561</f>
        <v>0.708449972237646</v>
      </c>
      <c r="AN561" s="103" t="n">
        <v>3312</v>
      </c>
      <c r="AO561" s="112" t="s">
        <v>1168</v>
      </c>
      <c r="AP561" s="105" t="n">
        <v>40</v>
      </c>
      <c r="AQ561" s="105" t="n">
        <v>40</v>
      </c>
      <c r="AR561" s="105" t="n">
        <v>0</v>
      </c>
      <c r="AS561" s="105" t="n">
        <v>0</v>
      </c>
      <c r="AT561" s="105" t="n">
        <v>0</v>
      </c>
      <c r="AU561" s="105" t="n">
        <v>0</v>
      </c>
      <c r="AV561" s="105" t="n">
        <v>0</v>
      </c>
      <c r="AW561" s="105" t="n">
        <v>0</v>
      </c>
      <c r="AX561" s="105" t="n">
        <v>0</v>
      </c>
      <c r="AY561" s="105" t="n">
        <v>0</v>
      </c>
      <c r="AZ561" s="105" t="n">
        <v>0</v>
      </c>
      <c r="BA561" s="105" t="n">
        <v>0</v>
      </c>
      <c r="BB561" s="105" t="n">
        <v>0</v>
      </c>
      <c r="BC561" s="105" t="n">
        <v>0</v>
      </c>
      <c r="BD561" s="105" t="n">
        <v>0</v>
      </c>
      <c r="BE561" s="105" t="n">
        <v>0</v>
      </c>
      <c r="BF561" s="105" t="n">
        <v>0</v>
      </c>
      <c r="BG561" s="105" t="n">
        <v>0</v>
      </c>
      <c r="BH561" s="105" t="n">
        <v>0</v>
      </c>
      <c r="BI561" s="105" t="n">
        <v>0</v>
      </c>
      <c r="BJ561" s="105" t="n">
        <v>0</v>
      </c>
      <c r="BK561" s="105" t="n">
        <v>0</v>
      </c>
      <c r="BL561" s="105" t="n">
        <v>0</v>
      </c>
      <c r="BM561" s="105" t="n">
        <v>0</v>
      </c>
      <c r="BN561" s="105" t="n">
        <v>0</v>
      </c>
      <c r="BO561" s="105" t="n">
        <v>0</v>
      </c>
      <c r="BP561" s="105" t="n">
        <v>0</v>
      </c>
      <c r="BQ561" s="105" t="n">
        <v>0</v>
      </c>
      <c r="BR561" s="106" t="n">
        <v>1.33333333333333</v>
      </c>
      <c r="BS561" s="106" t="n">
        <v>1.35555555555556</v>
      </c>
      <c r="BT561" s="107"/>
      <c r="BU561" s="107"/>
      <c r="BV561" s="107"/>
      <c r="BW561" s="107"/>
      <c r="BX561" s="107"/>
      <c r="BY561" s="107"/>
      <c r="BZ561" s="107"/>
      <c r="CA561" s="107"/>
      <c r="CB561" s="107"/>
      <c r="CC561" s="107"/>
      <c r="CD561" s="107"/>
      <c r="CE561" s="107"/>
      <c r="CF561" s="107"/>
      <c r="CG561" s="107"/>
      <c r="CH561" s="107"/>
      <c r="CI561" s="107"/>
      <c r="CJ561" s="107"/>
      <c r="CK561" s="107"/>
      <c r="CL561" s="107"/>
      <c r="CM561" s="107"/>
      <c r="CN561" s="107"/>
      <c r="CO561" s="107"/>
      <c r="CP561" s="107"/>
      <c r="CQ561" s="107"/>
      <c r="CR561" s="107"/>
      <c r="CS561" s="107"/>
      <c r="CT561" s="107"/>
      <c r="CU561" s="107"/>
      <c r="CV561" s="107"/>
    </row>
    <row r="562" customFormat="false" ht="14.9" hidden="false" customHeight="false" outlineLevel="0" collapsed="false">
      <c r="A562" s="74" t="n">
        <f aca="false">MONTH(B562)</f>
        <v>9</v>
      </c>
      <c r="B562" s="135" t="n">
        <v>44456</v>
      </c>
      <c r="C562" s="128" t="s">
        <v>51</v>
      </c>
      <c r="D562" s="77" t="str">
        <f aca="false">IFERROR(VLOOKUP(E:E,'Item Data Support Sheet'!A:O,7,0),"")</f>
        <v>BOTTLE PRINTED</v>
      </c>
      <c r="E562" s="80" t="s">
        <v>270</v>
      </c>
      <c r="F562" s="122"/>
      <c r="G562" s="137"/>
      <c r="H562" s="79" t="str">
        <f aca="false">IFERROR(VLOOKUP(E:E,'Item Data Support Sheet'!A:O,2,0),"")</f>
        <v>RPP 120 ML BOTTLE PRINTED</v>
      </c>
      <c r="I562" s="80" t="s">
        <v>1169</v>
      </c>
      <c r="J562" s="80" t="s">
        <v>161</v>
      </c>
      <c r="K562" s="81" t="n">
        <v>3.5</v>
      </c>
      <c r="L562" s="124" t="n">
        <v>2600</v>
      </c>
      <c r="M562" s="83" t="n">
        <f aca="false">IFERROR(L562/K562,0)</f>
        <v>742.857142857143</v>
      </c>
      <c r="N562" s="84" t="n">
        <f aca="false">+O562+Q562+T562+U562</f>
        <v>3075</v>
      </c>
      <c r="O562" s="85" t="n">
        <v>3060</v>
      </c>
      <c r="P562" s="86" t="n">
        <v>0</v>
      </c>
      <c r="Q562" s="86" t="n">
        <v>0</v>
      </c>
      <c r="R562" s="132" t="n">
        <v>12</v>
      </c>
      <c r="S562" s="128" t="n">
        <v>0</v>
      </c>
      <c r="T562" s="132" t="n">
        <v>15</v>
      </c>
      <c r="U562" s="128" t="n">
        <v>0</v>
      </c>
      <c r="V562" s="128" t="n">
        <v>5</v>
      </c>
      <c r="W562" s="90" t="n">
        <f aca="false">IFERROR(O562/V562,0)</f>
        <v>612</v>
      </c>
      <c r="X562" s="91" t="n">
        <f aca="false">O562/L562</f>
        <v>1.17692307692308</v>
      </c>
      <c r="Y562" s="92" t="str">
        <f aca="false">IFERROR(VLOOKUP(E:E,'Item Data Support Sheet'!A:J,6,0),0)</f>
        <v>FO004</v>
      </c>
      <c r="Z562" s="93" t="n">
        <f aca="false">IFERROR(VLOOKUP(E:E,'Item Data Support Sheet'!A:O,4,0),0)</f>
        <v>0</v>
      </c>
      <c r="AA562" s="93" t="n">
        <f aca="false">IFERROR(((N562)*(Z562/1000))+P562,0)</f>
        <v>0</v>
      </c>
      <c r="AB562" s="94" t="str">
        <f aca="false">IFERROR((O562*(Z562/1000)/(AA562))," ")</f>
        <v> </v>
      </c>
      <c r="AC562" s="95" t="n">
        <f aca="false">IFERROR((T562)/((T562)+O562),0)</f>
        <v>0.00487804878048781</v>
      </c>
      <c r="AD562" s="96" t="n">
        <f aca="false">IFERROR(Q562/(Q562+N562),0)</f>
        <v>0</v>
      </c>
      <c r="AE562" s="91" t="n">
        <f aca="false">(N562-T562)/N562</f>
        <v>0.995121951219512</v>
      </c>
      <c r="AF562" s="97" t="n">
        <f aca="false">BR562</f>
        <v>0</v>
      </c>
      <c r="AG562" s="98" t="n">
        <f aca="false">K562-AF562</f>
        <v>3.5</v>
      </c>
      <c r="AH562" s="99" t="n">
        <f aca="false">IFERROR(AG562/K562," ")</f>
        <v>1</v>
      </c>
      <c r="AI562" s="100" t="n">
        <f aca="false">IFERROR(O562/K562,0)</f>
        <v>874.285714285714</v>
      </c>
      <c r="AJ562" s="101" t="n">
        <f aca="false">VLOOKUP(D562,'Standard Cycle time'!C:D,2,0)</f>
        <v>32.4</v>
      </c>
      <c r="AK562" s="101" t="n">
        <f aca="false">AG562*V562*3600/O562</f>
        <v>20.5882352941176</v>
      </c>
      <c r="AL562" s="102" t="n">
        <f aca="false">AJ562/AK562</f>
        <v>1.57371428571429</v>
      </c>
      <c r="AM562" s="99" t="n">
        <f aca="false">AE562*AL562*AH562</f>
        <v>1.56603763066202</v>
      </c>
      <c r="AN562" s="103" t="s">
        <v>1170</v>
      </c>
      <c r="AO562" s="112"/>
      <c r="AP562" s="105" t="n">
        <v>0</v>
      </c>
      <c r="AQ562" s="105" t="n">
        <v>0</v>
      </c>
      <c r="AR562" s="105" t="n">
        <v>0</v>
      </c>
      <c r="AS562" s="105" t="n">
        <v>0</v>
      </c>
      <c r="AT562" s="105" t="n">
        <v>0</v>
      </c>
      <c r="AU562" s="105" t="n">
        <v>0</v>
      </c>
      <c r="AV562" s="105" t="n">
        <v>0</v>
      </c>
      <c r="AW562" s="105" t="n">
        <v>0</v>
      </c>
      <c r="AX562" s="105" t="n">
        <v>0</v>
      </c>
      <c r="AY562" s="105" t="n">
        <v>0</v>
      </c>
      <c r="AZ562" s="105" t="n">
        <v>0</v>
      </c>
      <c r="BA562" s="105" t="n">
        <v>0</v>
      </c>
      <c r="BB562" s="105" t="n">
        <v>0</v>
      </c>
      <c r="BC562" s="105" t="n">
        <v>0</v>
      </c>
      <c r="BD562" s="105" t="n">
        <v>0</v>
      </c>
      <c r="BE562" s="105" t="n">
        <v>0</v>
      </c>
      <c r="BF562" s="105" t="n">
        <v>0</v>
      </c>
      <c r="BG562" s="105" t="n">
        <v>0</v>
      </c>
      <c r="BH562" s="105" t="n">
        <v>0</v>
      </c>
      <c r="BI562" s="105" t="n">
        <v>0</v>
      </c>
      <c r="BJ562" s="105" t="n">
        <v>0</v>
      </c>
      <c r="BK562" s="105" t="n">
        <v>0</v>
      </c>
      <c r="BL562" s="105" t="n">
        <v>0</v>
      </c>
      <c r="BM562" s="105" t="n">
        <v>0</v>
      </c>
      <c r="BN562" s="105" t="n">
        <v>0</v>
      </c>
      <c r="BO562" s="105" t="n">
        <v>0</v>
      </c>
      <c r="BP562" s="105" t="n">
        <v>0</v>
      </c>
      <c r="BQ562" s="105" t="n">
        <v>0</v>
      </c>
      <c r="BR562" s="106" t="n">
        <v>0</v>
      </c>
      <c r="BS562" s="106" t="n">
        <v>0</v>
      </c>
      <c r="BT562" s="107"/>
      <c r="BU562" s="107"/>
      <c r="BV562" s="107"/>
      <c r="BW562" s="107"/>
      <c r="BX562" s="107"/>
      <c r="BY562" s="107"/>
      <c r="BZ562" s="107"/>
      <c r="CA562" s="107"/>
      <c r="CB562" s="107"/>
      <c r="CC562" s="107"/>
      <c r="CD562" s="107"/>
      <c r="CE562" s="107"/>
      <c r="CF562" s="107"/>
      <c r="CG562" s="107"/>
      <c r="CH562" s="107"/>
      <c r="CI562" s="107"/>
      <c r="CJ562" s="107"/>
      <c r="CK562" s="107"/>
      <c r="CL562" s="107"/>
      <c r="CM562" s="107"/>
      <c r="CN562" s="107"/>
      <c r="CO562" s="107"/>
      <c r="CP562" s="107"/>
      <c r="CQ562" s="107"/>
      <c r="CR562" s="107"/>
      <c r="CS562" s="107"/>
      <c r="CT562" s="107"/>
      <c r="CU562" s="107"/>
      <c r="CV562" s="107"/>
    </row>
    <row r="563" customFormat="false" ht="14.9" hidden="false" customHeight="false" outlineLevel="0" collapsed="false">
      <c r="A563" s="74" t="n">
        <f aca="false">MONTH(B563)</f>
        <v>9</v>
      </c>
      <c r="B563" s="135" t="n">
        <v>44456</v>
      </c>
      <c r="C563" s="128" t="s">
        <v>63</v>
      </c>
      <c r="D563" s="77" t="str">
        <f aca="false">IFERROR(VLOOKUP(E:E,'Item Data Support Sheet'!A:O,7,0),"")</f>
        <v>NIPPLE PUNCH INSPECTED</v>
      </c>
      <c r="E563" s="80" t="s">
        <v>688</v>
      </c>
      <c r="F563" s="122"/>
      <c r="G563" s="137"/>
      <c r="H563" s="79" t="str">
        <f aca="false">IFERROR(VLOOKUP(E:E,'Item Data Support Sheet'!A:O,2,0),"")</f>
        <v>NIPPLE S TYPE L SIZE PUNCHED INSPECTED</v>
      </c>
      <c r="I563" s="80" t="s">
        <v>1171</v>
      </c>
      <c r="J563" s="80" t="s">
        <v>155</v>
      </c>
      <c r="K563" s="81" t="n">
        <v>2</v>
      </c>
      <c r="L563" s="124" t="n">
        <v>2800</v>
      </c>
      <c r="M563" s="83" t="n">
        <f aca="false">IFERROR(L563/K563,0)</f>
        <v>1400</v>
      </c>
      <c r="N563" s="84" t="n">
        <f aca="false">+O563+Q563+T563+U563</f>
        <v>2300</v>
      </c>
      <c r="O563" s="85" t="n">
        <v>2249</v>
      </c>
      <c r="P563" s="86" t="n">
        <v>0</v>
      </c>
      <c r="Q563" s="86" t="n">
        <v>0</v>
      </c>
      <c r="R563" s="132" t="n">
        <v>0</v>
      </c>
      <c r="S563" s="128" t="n">
        <v>0</v>
      </c>
      <c r="T563" s="132" t="n">
        <v>51</v>
      </c>
      <c r="U563" s="128" t="n">
        <v>0</v>
      </c>
      <c r="V563" s="128" t="n">
        <v>1</v>
      </c>
      <c r="W563" s="90" t="n">
        <f aca="false">IFERROR(O563/V563,0)</f>
        <v>2249</v>
      </c>
      <c r="X563" s="91" t="n">
        <f aca="false">O563/L563</f>
        <v>0.803214285714286</v>
      </c>
      <c r="Y563" s="92" t="str">
        <f aca="false">IFERROR(VLOOKUP(E:E,'Item Data Support Sheet'!A:J,6,0),0)</f>
        <v>FO106</v>
      </c>
      <c r="Z563" s="93" t="n">
        <f aca="false">IFERROR(VLOOKUP(E:E,'Item Data Support Sheet'!A:O,4,0),0)</f>
        <v>0</v>
      </c>
      <c r="AA563" s="93" t="n">
        <f aca="false">IFERROR(((N563)*(Z563/1000))+P563,0)</f>
        <v>0</v>
      </c>
      <c r="AB563" s="94" t="str">
        <f aca="false">IFERROR((O563*(Z563/1000)/(AA563))," ")</f>
        <v> </v>
      </c>
      <c r="AC563" s="95" t="n">
        <f aca="false">IFERROR((T563)/((T563)+O563),0)</f>
        <v>0.0221739130434783</v>
      </c>
      <c r="AD563" s="96" t="n">
        <f aca="false">IFERROR(Q563/(Q563+N563),0)</f>
        <v>0</v>
      </c>
      <c r="AE563" s="91" t="n">
        <f aca="false">(N563-T563)/N563</f>
        <v>0.977826086956522</v>
      </c>
      <c r="AF563" s="97" t="n">
        <f aca="false">BR563</f>
        <v>0.666666666666667</v>
      </c>
      <c r="AG563" s="98" t="n">
        <f aca="false">K563-AF563</f>
        <v>1.33333333333333</v>
      </c>
      <c r="AH563" s="99" t="n">
        <f aca="false">IFERROR(AG563/K563," ")</f>
        <v>0.666666666666667</v>
      </c>
      <c r="AI563" s="100" t="n">
        <f aca="false">IFERROR(O563/K563,0)</f>
        <v>1124.5</v>
      </c>
      <c r="AJ563" s="101" t="n">
        <f aca="false">VLOOKUP(D563,'Standard Cycle time'!C:D,2,0)</f>
        <v>4</v>
      </c>
      <c r="AK563" s="101" t="n">
        <f aca="false">AG563*V563*3600/O563</f>
        <v>2.13428190306803</v>
      </c>
      <c r="AL563" s="102" t="n">
        <f aca="false">AJ563/AK563</f>
        <v>1.87416666666667</v>
      </c>
      <c r="AM563" s="99" t="n">
        <f aca="false">AE563*AL563*AH563</f>
        <v>1.22173937198068</v>
      </c>
      <c r="AN563" s="103" t="n">
        <v>3331</v>
      </c>
      <c r="AO563" s="112" t="s">
        <v>1172</v>
      </c>
      <c r="AP563" s="105" t="n">
        <v>40</v>
      </c>
      <c r="AQ563" s="105" t="n">
        <v>0</v>
      </c>
      <c r="AR563" s="105" t="n">
        <v>0</v>
      </c>
      <c r="AS563" s="105" t="n">
        <v>0</v>
      </c>
      <c r="AT563" s="105" t="n">
        <v>0</v>
      </c>
      <c r="AU563" s="105" t="n">
        <v>0</v>
      </c>
      <c r="AV563" s="105" t="n">
        <v>0</v>
      </c>
      <c r="AW563" s="105" t="n">
        <v>0</v>
      </c>
      <c r="AX563" s="105" t="n">
        <v>0</v>
      </c>
      <c r="AY563" s="105" t="n">
        <v>0</v>
      </c>
      <c r="AZ563" s="105" t="n">
        <v>0</v>
      </c>
      <c r="BA563" s="105" t="n">
        <v>0</v>
      </c>
      <c r="BB563" s="105" t="n">
        <v>0</v>
      </c>
      <c r="BC563" s="105" t="n">
        <v>0</v>
      </c>
      <c r="BD563" s="105" t="n">
        <v>0</v>
      </c>
      <c r="BE563" s="105" t="n">
        <v>0</v>
      </c>
      <c r="BF563" s="105" t="n">
        <v>0</v>
      </c>
      <c r="BG563" s="105" t="n">
        <v>0</v>
      </c>
      <c r="BH563" s="105" t="n">
        <v>0</v>
      </c>
      <c r="BI563" s="105" t="n">
        <v>0</v>
      </c>
      <c r="BJ563" s="105" t="n">
        <v>0</v>
      </c>
      <c r="BK563" s="105" t="n">
        <v>0</v>
      </c>
      <c r="BL563" s="105" t="n">
        <v>0</v>
      </c>
      <c r="BM563" s="105" t="n">
        <v>0</v>
      </c>
      <c r="BN563" s="105" t="n">
        <v>0</v>
      </c>
      <c r="BO563" s="105" t="n">
        <v>0</v>
      </c>
      <c r="BP563" s="105" t="n">
        <v>0</v>
      </c>
      <c r="BQ563" s="105" t="n">
        <v>0</v>
      </c>
      <c r="BR563" s="106" t="n">
        <v>0.666666666666667</v>
      </c>
      <c r="BS563" s="106" t="n">
        <v>0.677777777777778</v>
      </c>
      <c r="BT563" s="107"/>
      <c r="BU563" s="107"/>
      <c r="BV563" s="107"/>
      <c r="BW563" s="107"/>
      <c r="BX563" s="107"/>
      <c r="BY563" s="107"/>
      <c r="BZ563" s="107"/>
      <c r="CA563" s="107"/>
      <c r="CB563" s="107"/>
      <c r="CC563" s="107"/>
      <c r="CD563" s="107"/>
      <c r="CE563" s="107"/>
      <c r="CF563" s="107"/>
      <c r="CG563" s="107"/>
      <c r="CH563" s="107"/>
      <c r="CI563" s="107"/>
      <c r="CJ563" s="107"/>
      <c r="CK563" s="107"/>
      <c r="CL563" s="107"/>
      <c r="CM563" s="107"/>
      <c r="CN563" s="107"/>
      <c r="CO563" s="107"/>
      <c r="CP563" s="107"/>
      <c r="CQ563" s="107"/>
      <c r="CR563" s="107"/>
      <c r="CS563" s="107"/>
      <c r="CT563" s="107"/>
      <c r="CU563" s="107"/>
      <c r="CV563" s="107"/>
    </row>
    <row r="564" customFormat="false" ht="14.9" hidden="false" customHeight="false" outlineLevel="0" collapsed="false">
      <c r="A564" s="74" t="n">
        <f aca="false">MONTH(B564)</f>
        <v>9</v>
      </c>
      <c r="B564" s="135" t="n">
        <v>44456</v>
      </c>
      <c r="C564" s="128" t="s">
        <v>63</v>
      </c>
      <c r="D564" s="77" t="str">
        <f aca="false">IFERROR(VLOOKUP(E:E,'Item Data Support Sheet'!A:O,7,0),"")</f>
        <v>NIPPLE WRAP PRINTED</v>
      </c>
      <c r="E564" s="80" t="s">
        <v>551</v>
      </c>
      <c r="F564" s="122"/>
      <c r="G564" s="137" t="s">
        <v>432</v>
      </c>
      <c r="H564" s="79" t="str">
        <f aca="false">IFERROR(VLOOKUP(E:E,'Item Data Support Sheet'!A:O,2,0),"")</f>
        <v>NIPPLE S TYPE S SIZE WITH PRINTED WRAP</v>
      </c>
      <c r="I564" s="80" t="s">
        <v>1173</v>
      </c>
      <c r="J564" s="80" t="s">
        <v>155</v>
      </c>
      <c r="K564" s="81" t="n">
        <v>8</v>
      </c>
      <c r="L564" s="124" t="n">
        <v>16132</v>
      </c>
      <c r="M564" s="83" t="n">
        <f aca="false">IFERROR(L564/K564,0)</f>
        <v>2016.5</v>
      </c>
      <c r="N564" s="84" t="n">
        <f aca="false">+O564+Q564+T564+U564</f>
        <v>16329</v>
      </c>
      <c r="O564" s="85" t="n">
        <v>16325</v>
      </c>
      <c r="P564" s="86" t="n">
        <v>0</v>
      </c>
      <c r="Q564" s="86" t="n">
        <v>0</v>
      </c>
      <c r="R564" s="132" t="n">
        <v>0</v>
      </c>
      <c r="S564" s="128" t="n">
        <v>0</v>
      </c>
      <c r="T564" s="132" t="n">
        <v>4</v>
      </c>
      <c r="U564" s="128" t="n">
        <v>0</v>
      </c>
      <c r="V564" s="128" t="n">
        <v>2</v>
      </c>
      <c r="W564" s="90" t="n">
        <f aca="false">IFERROR(O564/V564,0)</f>
        <v>8162.5</v>
      </c>
      <c r="X564" s="91" t="n">
        <f aca="false">O564/L564</f>
        <v>1.01196379866105</v>
      </c>
      <c r="Y564" s="92" t="str">
        <f aca="false">IFERROR(VLOOKUP(E:E,'Item Data Support Sheet'!A:J,6,0),0)</f>
        <v>FO108</v>
      </c>
      <c r="Z564" s="93" t="n">
        <f aca="false">IFERROR(VLOOKUP(E:E,'Item Data Support Sheet'!A:O,4,0),0)</f>
        <v>0</v>
      </c>
      <c r="AA564" s="93" t="n">
        <f aca="false">IFERROR(((N564)*(Z564/1000))+P564,0)</f>
        <v>0</v>
      </c>
      <c r="AB564" s="94" t="str">
        <f aca="false">IFERROR((O564*(Z564/1000)/(AA564))," ")</f>
        <v> </v>
      </c>
      <c r="AC564" s="95" t="n">
        <f aca="false">IFERROR((T564)/((T564)+O564),0)</f>
        <v>0.00024496294935391</v>
      </c>
      <c r="AD564" s="96" t="n">
        <f aca="false">IFERROR(Q564/(Q564+N564),0)</f>
        <v>0</v>
      </c>
      <c r="AE564" s="91" t="n">
        <f aca="false">(N564-T564)/N564</f>
        <v>0.999755037050646</v>
      </c>
      <c r="AF564" s="97" t="n">
        <f aca="false">BR564</f>
        <v>0.666666666666667</v>
      </c>
      <c r="AG564" s="98" t="n">
        <f aca="false">K564-AF564</f>
        <v>7.33333333333333</v>
      </c>
      <c r="AH564" s="99" t="n">
        <f aca="false">IFERROR(AG564/K564," ")</f>
        <v>0.916666666666667</v>
      </c>
      <c r="AI564" s="100" t="n">
        <f aca="false">IFERROR(O564/K564,0)</f>
        <v>2040.625</v>
      </c>
      <c r="AJ564" s="101" t="n">
        <f aca="false">VLOOKUP(D564,'Standard Cycle time'!C:D,2,0)</f>
        <v>2.5</v>
      </c>
      <c r="AK564" s="101" t="n">
        <f aca="false">AG564*V564*3600/O564</f>
        <v>3.23430321592649</v>
      </c>
      <c r="AL564" s="102" t="n">
        <f aca="false">AJ564/AK564</f>
        <v>0.772964015151515</v>
      </c>
      <c r="AM564" s="99" t="n">
        <f aca="false">AE564*AL564*AH564</f>
        <v>0.708376778639401</v>
      </c>
      <c r="AN564" s="103" t="s">
        <v>1174</v>
      </c>
      <c r="AO564" s="112"/>
      <c r="AP564" s="105" t="n">
        <v>40</v>
      </c>
      <c r="AQ564" s="105" t="n">
        <v>0</v>
      </c>
      <c r="AR564" s="105" t="n">
        <v>0</v>
      </c>
      <c r="AS564" s="105" t="n">
        <v>0</v>
      </c>
      <c r="AT564" s="105" t="n">
        <v>0</v>
      </c>
      <c r="AU564" s="105" t="n">
        <v>0</v>
      </c>
      <c r="AV564" s="105" t="n">
        <v>0</v>
      </c>
      <c r="AW564" s="105" t="n">
        <v>0</v>
      </c>
      <c r="AX564" s="105" t="n">
        <v>0</v>
      </c>
      <c r="AY564" s="105" t="n">
        <v>0</v>
      </c>
      <c r="AZ564" s="105" t="n">
        <v>0</v>
      </c>
      <c r="BA564" s="105" t="n">
        <v>0</v>
      </c>
      <c r="BB564" s="105" t="n">
        <v>0</v>
      </c>
      <c r="BC564" s="105" t="n">
        <v>0</v>
      </c>
      <c r="BD564" s="105" t="n">
        <v>0</v>
      </c>
      <c r="BE564" s="105" t="n">
        <v>0</v>
      </c>
      <c r="BF564" s="105" t="n">
        <v>0</v>
      </c>
      <c r="BG564" s="105" t="n">
        <v>0</v>
      </c>
      <c r="BH564" s="105" t="n">
        <v>0</v>
      </c>
      <c r="BI564" s="105" t="n">
        <v>0</v>
      </c>
      <c r="BJ564" s="105" t="n">
        <v>0</v>
      </c>
      <c r="BK564" s="105" t="n">
        <v>0</v>
      </c>
      <c r="BL564" s="105" t="n">
        <v>0</v>
      </c>
      <c r="BM564" s="105" t="n">
        <v>0</v>
      </c>
      <c r="BN564" s="105" t="n">
        <v>0</v>
      </c>
      <c r="BO564" s="105" t="n">
        <v>0</v>
      </c>
      <c r="BP564" s="105" t="n">
        <v>0</v>
      </c>
      <c r="BQ564" s="105" t="n">
        <v>0</v>
      </c>
      <c r="BR564" s="106" t="n">
        <v>0.666666666666667</v>
      </c>
      <c r="BS564" s="106" t="n">
        <v>0.677777777777778</v>
      </c>
      <c r="BT564" s="107"/>
      <c r="BU564" s="107"/>
      <c r="BV564" s="107"/>
      <c r="BW564" s="107"/>
      <c r="BX564" s="107"/>
      <c r="BY564" s="107"/>
      <c r="BZ564" s="107"/>
      <c r="CA564" s="107"/>
      <c r="CB564" s="107"/>
      <c r="CC564" s="107"/>
      <c r="CD564" s="107"/>
      <c r="CE564" s="107"/>
      <c r="CF564" s="107"/>
      <c r="CG564" s="107"/>
      <c r="CH564" s="107"/>
      <c r="CI564" s="107"/>
      <c r="CJ564" s="107"/>
      <c r="CK564" s="107"/>
      <c r="CL564" s="107"/>
      <c r="CM564" s="107"/>
      <c r="CN564" s="107"/>
      <c r="CO564" s="107"/>
      <c r="CP564" s="107"/>
      <c r="CQ564" s="107"/>
      <c r="CR564" s="107"/>
      <c r="CS564" s="107"/>
      <c r="CT564" s="107"/>
      <c r="CU564" s="107"/>
      <c r="CV564" s="107"/>
    </row>
    <row r="565" customFormat="false" ht="14.9" hidden="false" customHeight="false" outlineLevel="0" collapsed="false">
      <c r="A565" s="74" t="n">
        <f aca="false">MONTH(B565)</f>
        <v>9</v>
      </c>
      <c r="B565" s="135" t="n">
        <v>44456</v>
      </c>
      <c r="C565" s="128" t="s">
        <v>70</v>
      </c>
      <c r="D565" s="77" t="str">
        <f aca="false">IFERROR(VLOOKUP(E:E,'Item Data Support Sheet'!A:O,7,0),"")</f>
        <v>NIPPLE PUNCH</v>
      </c>
      <c r="E565" s="80" t="s">
        <v>666</v>
      </c>
      <c r="F565" s="122"/>
      <c r="G565" s="137"/>
      <c r="H565" s="79" t="str">
        <f aca="false">IFERROR(VLOOKUP(E:E,'Item Data Support Sheet'!A:O,2,0),"")</f>
        <v>NIPPLE S TYPE L SIZE PUNCHED</v>
      </c>
      <c r="I565" s="80" t="s">
        <v>1175</v>
      </c>
      <c r="J565" s="80" t="s">
        <v>155</v>
      </c>
      <c r="K565" s="81" t="n">
        <v>8</v>
      </c>
      <c r="L565" s="124" t="n">
        <v>7000</v>
      </c>
      <c r="M565" s="83" t="n">
        <f aca="false">IFERROR(L565/K565,0)</f>
        <v>875</v>
      </c>
      <c r="N565" s="84" t="n">
        <f aca="false">+O565+Q565+T565+U565</f>
        <v>7000</v>
      </c>
      <c r="O565" s="85" t="n">
        <v>7000</v>
      </c>
      <c r="P565" s="86" t="n">
        <v>0</v>
      </c>
      <c r="Q565" s="86" t="n">
        <v>0</v>
      </c>
      <c r="R565" s="132" t="n">
        <v>0</v>
      </c>
      <c r="S565" s="128" t="n">
        <v>0</v>
      </c>
      <c r="T565" s="132" t="n">
        <v>0</v>
      </c>
      <c r="U565" s="128" t="n">
        <v>0</v>
      </c>
      <c r="V565" s="128" t="n">
        <v>1</v>
      </c>
      <c r="W565" s="90" t="n">
        <f aca="false">IFERROR(O565/V565,0)</f>
        <v>7000</v>
      </c>
      <c r="X565" s="91" t="n">
        <f aca="false">O565/L565</f>
        <v>1</v>
      </c>
      <c r="Y565" s="92" t="str">
        <f aca="false">IFERROR(VLOOKUP(E:E,'Item Data Support Sheet'!A:J,6,0),0)</f>
        <v>FO017</v>
      </c>
      <c r="Z565" s="93" t="n">
        <f aca="false">IFERROR(VLOOKUP(E:E,'Item Data Support Sheet'!A:O,4,0),0)</f>
        <v>0</v>
      </c>
      <c r="AA565" s="93" t="n">
        <f aca="false">IFERROR(((N565)*(Z565/1000))+P565,0)</f>
        <v>0</v>
      </c>
      <c r="AB565" s="94" t="str">
        <f aca="false">IFERROR((O565*(Z565/1000)/(AA565))," ")</f>
        <v> </v>
      </c>
      <c r="AC565" s="95" t="n">
        <f aca="false">IFERROR((T565)/((T565)+O565),0)</f>
        <v>0</v>
      </c>
      <c r="AD565" s="96" t="n">
        <f aca="false">IFERROR(Q565/(Q565+N565),0)</f>
        <v>0</v>
      </c>
      <c r="AE565" s="91" t="n">
        <f aca="false">(N565-T565)/N565</f>
        <v>1</v>
      </c>
      <c r="AF565" s="97" t="n">
        <f aca="false">BR565</f>
        <v>0.666666666666667</v>
      </c>
      <c r="AG565" s="98" t="n">
        <f aca="false">K565-AF565</f>
        <v>7.33333333333333</v>
      </c>
      <c r="AH565" s="99" t="n">
        <f aca="false">IFERROR(AG565/K565," ")</f>
        <v>0.916666666666667</v>
      </c>
      <c r="AI565" s="100" t="n">
        <f aca="false">IFERROR(O565/K565,0)</f>
        <v>875</v>
      </c>
      <c r="AJ565" s="101" t="n">
        <f aca="false">VLOOKUP(D565,'Standard Cycle time'!C:D,2,0)</f>
        <v>3.5</v>
      </c>
      <c r="AK565" s="101" t="n">
        <f aca="false">AG565*V565*3600/O565</f>
        <v>3.77142857142857</v>
      </c>
      <c r="AL565" s="102" t="n">
        <f aca="false">AJ565/AK565</f>
        <v>0.928030303030303</v>
      </c>
      <c r="AM565" s="99" t="n">
        <f aca="false">AE565*AL565*AH565</f>
        <v>0.850694444444444</v>
      </c>
      <c r="AN565" s="103" t="s">
        <v>1176</v>
      </c>
      <c r="AO565" s="112"/>
      <c r="AP565" s="105" t="n">
        <v>40</v>
      </c>
      <c r="AQ565" s="105" t="n">
        <v>0</v>
      </c>
      <c r="AR565" s="105" t="n">
        <v>0</v>
      </c>
      <c r="AS565" s="105" t="n">
        <v>0</v>
      </c>
      <c r="AT565" s="105" t="n">
        <v>0</v>
      </c>
      <c r="AU565" s="105" t="n">
        <v>0</v>
      </c>
      <c r="AV565" s="105" t="n">
        <v>0</v>
      </c>
      <c r="AW565" s="105" t="n">
        <v>0</v>
      </c>
      <c r="AX565" s="105" t="n">
        <v>0</v>
      </c>
      <c r="AY565" s="105" t="n">
        <v>0</v>
      </c>
      <c r="AZ565" s="105" t="n">
        <v>0</v>
      </c>
      <c r="BA565" s="105" t="n">
        <v>0</v>
      </c>
      <c r="BB565" s="105" t="n">
        <v>0</v>
      </c>
      <c r="BC565" s="105" t="n">
        <v>0</v>
      </c>
      <c r="BD565" s="105" t="n">
        <v>0</v>
      </c>
      <c r="BE565" s="105" t="n">
        <v>0</v>
      </c>
      <c r="BF565" s="105" t="n">
        <v>0</v>
      </c>
      <c r="BG565" s="105" t="n">
        <v>0</v>
      </c>
      <c r="BH565" s="105" t="n">
        <v>0</v>
      </c>
      <c r="BI565" s="105" t="n">
        <v>0</v>
      </c>
      <c r="BJ565" s="105" t="n">
        <v>0</v>
      </c>
      <c r="BK565" s="105" t="n">
        <v>0</v>
      </c>
      <c r="BL565" s="105" t="n">
        <v>0</v>
      </c>
      <c r="BM565" s="105" t="n">
        <v>0</v>
      </c>
      <c r="BN565" s="105" t="n">
        <v>0</v>
      </c>
      <c r="BO565" s="105" t="n">
        <v>0</v>
      </c>
      <c r="BP565" s="105" t="n">
        <v>0</v>
      </c>
      <c r="BQ565" s="105" t="n">
        <v>0</v>
      </c>
      <c r="BR565" s="106" t="n">
        <v>0.666666666666667</v>
      </c>
      <c r="BS565" s="106" t="n">
        <v>0.677777777777778</v>
      </c>
      <c r="BT565" s="107"/>
      <c r="BU565" s="107"/>
      <c r="BV565" s="107"/>
      <c r="BW565" s="107"/>
      <c r="BX565" s="107"/>
      <c r="BY565" s="107"/>
      <c r="BZ565" s="107"/>
      <c r="CA565" s="107"/>
      <c r="CB565" s="107"/>
      <c r="CC565" s="107"/>
      <c r="CD565" s="107"/>
      <c r="CE565" s="107"/>
      <c r="CF565" s="107"/>
      <c r="CG565" s="107"/>
      <c r="CH565" s="107"/>
      <c r="CI565" s="107"/>
      <c r="CJ565" s="107"/>
      <c r="CK565" s="107"/>
      <c r="CL565" s="107"/>
      <c r="CM565" s="107"/>
      <c r="CN565" s="107"/>
      <c r="CO565" s="107"/>
      <c r="CP565" s="107"/>
      <c r="CQ565" s="107"/>
      <c r="CR565" s="107"/>
      <c r="CS565" s="107"/>
      <c r="CT565" s="107"/>
      <c r="CU565" s="107"/>
      <c r="CV565" s="107"/>
    </row>
    <row r="566" customFormat="false" ht="14.9" hidden="false" customHeight="false" outlineLevel="0" collapsed="false">
      <c r="A566" s="74" t="n">
        <f aca="false">MONTH(B566)</f>
        <v>9</v>
      </c>
      <c r="B566" s="135" t="n">
        <v>44456</v>
      </c>
      <c r="C566" s="128" t="s">
        <v>70</v>
      </c>
      <c r="D566" s="77" t="str">
        <f aca="false">IFERROR(VLOOKUP(E:E,'Item Data Support Sheet'!A:O,7,0),"")</f>
        <v>HOOD MOLDED</v>
      </c>
      <c r="E566" s="80" t="s">
        <v>529</v>
      </c>
      <c r="F566" s="122"/>
      <c r="G566" s="137" t="s">
        <v>740</v>
      </c>
      <c r="H566" s="79" t="str">
        <f aca="false">IFERROR(VLOOKUP(E:E,'Item Data Support Sheet'!A:O,2,0),"")</f>
        <v>HOOD S TYPE MOLDED</v>
      </c>
      <c r="I566" s="80" t="s">
        <v>1177</v>
      </c>
      <c r="J566" s="80" t="s">
        <v>155</v>
      </c>
      <c r="K566" s="81" t="n">
        <v>8</v>
      </c>
      <c r="L566" s="124" t="n">
        <v>4137</v>
      </c>
      <c r="M566" s="83" t="n">
        <f aca="false">IFERROR(L566/K566,0)</f>
        <v>517.125</v>
      </c>
      <c r="N566" s="84" t="n">
        <f aca="false">+O566+Q566+T566+U566</f>
        <v>6034</v>
      </c>
      <c r="O566" s="85" t="n">
        <v>6000</v>
      </c>
      <c r="P566" s="86" t="n">
        <v>0.1</v>
      </c>
      <c r="Q566" s="86" t="n">
        <v>20</v>
      </c>
      <c r="R566" s="132" t="n">
        <v>0</v>
      </c>
      <c r="S566" s="128" t="n">
        <v>0</v>
      </c>
      <c r="T566" s="132" t="n">
        <v>6</v>
      </c>
      <c r="U566" s="128" t="n">
        <v>8</v>
      </c>
      <c r="V566" s="128" t="n">
        <v>1</v>
      </c>
      <c r="W566" s="90" t="n">
        <f aca="false">IFERROR(O566/V566,0)</f>
        <v>6000</v>
      </c>
      <c r="X566" s="91" t="n">
        <f aca="false">O566/L566</f>
        <v>1.45032632342277</v>
      </c>
      <c r="Y566" s="92" t="str">
        <f aca="false">IFERROR(VLOOKUP(E:E,'Item Data Support Sheet'!A:J,6,0),0)</f>
        <v>HMC</v>
      </c>
      <c r="Z566" s="93" t="n">
        <f aca="false">IFERROR(VLOOKUP(E:E,'Item Data Support Sheet'!A:O,4,0),0)</f>
        <v>8.6</v>
      </c>
      <c r="AA566" s="93" t="n">
        <f aca="false">IFERROR(((N566)*(Z566/1000))+P566,0)</f>
        <v>51.9924</v>
      </c>
      <c r="AB566" s="94" t="n">
        <f aca="false">IFERROR((O566*(Z566/1000)/(AA566))," ")</f>
        <v>0.992452743093221</v>
      </c>
      <c r="AC566" s="95" t="n">
        <f aca="false">IFERROR((T566)/((T566)+O566),0)</f>
        <v>0.000999000999000999</v>
      </c>
      <c r="AD566" s="96" t="n">
        <f aca="false">IFERROR(Q566/(Q566+N566),0)</f>
        <v>0.00330360092500826</v>
      </c>
      <c r="AE566" s="91" t="n">
        <f aca="false">(N566-T566)/N566</f>
        <v>0.999005634736493</v>
      </c>
      <c r="AF566" s="97" t="n">
        <f aca="false">BR566</f>
        <v>0</v>
      </c>
      <c r="AG566" s="98" t="n">
        <f aca="false">K566-AF566</f>
        <v>8</v>
      </c>
      <c r="AH566" s="99" t="n">
        <f aca="false">IFERROR(AG566/K566," ")</f>
        <v>1</v>
      </c>
      <c r="AI566" s="100" t="n">
        <f aca="false">IFERROR(O566/K566,0)</f>
        <v>750</v>
      </c>
      <c r="AJ566" s="101" t="n">
        <f aca="false">VLOOKUP(D566,'Standard Cycle time'!C:D,2,0)</f>
        <v>6</v>
      </c>
      <c r="AK566" s="101" t="n">
        <f aca="false">AG566*V566*3600/O566</f>
        <v>4.8</v>
      </c>
      <c r="AL566" s="102" t="n">
        <f aca="false">AJ566/AK566</f>
        <v>1.25</v>
      </c>
      <c r="AM566" s="99" t="n">
        <f aca="false">AE566*AL566*AH566</f>
        <v>1.24875704342062</v>
      </c>
      <c r="AN566" s="103" t="n">
        <v>3334</v>
      </c>
      <c r="AO566" s="112"/>
      <c r="AP566" s="105" t="n">
        <v>0</v>
      </c>
      <c r="AQ566" s="105" t="n">
        <v>0</v>
      </c>
      <c r="AR566" s="105" t="n">
        <v>0</v>
      </c>
      <c r="AS566" s="105" t="n">
        <v>0</v>
      </c>
      <c r="AT566" s="105" t="n">
        <v>0</v>
      </c>
      <c r="AU566" s="105" t="n">
        <v>0</v>
      </c>
      <c r="AV566" s="105" t="n">
        <v>0</v>
      </c>
      <c r="AW566" s="105" t="n">
        <v>0</v>
      </c>
      <c r="AX566" s="105" t="n">
        <v>0</v>
      </c>
      <c r="AY566" s="105" t="n">
        <v>0</v>
      </c>
      <c r="AZ566" s="105" t="n">
        <v>0</v>
      </c>
      <c r="BA566" s="105" t="n">
        <v>0</v>
      </c>
      <c r="BB566" s="105" t="n">
        <v>0</v>
      </c>
      <c r="BC566" s="105" t="n">
        <v>0</v>
      </c>
      <c r="BD566" s="105" t="n">
        <v>0</v>
      </c>
      <c r="BE566" s="105" t="n">
        <v>0</v>
      </c>
      <c r="BF566" s="105" t="n">
        <v>0</v>
      </c>
      <c r="BG566" s="105" t="n">
        <v>0</v>
      </c>
      <c r="BH566" s="105" t="n">
        <v>0</v>
      </c>
      <c r="BI566" s="105" t="n">
        <v>0</v>
      </c>
      <c r="BJ566" s="105" t="n">
        <v>0</v>
      </c>
      <c r="BK566" s="105" t="n">
        <v>0</v>
      </c>
      <c r="BL566" s="105" t="n">
        <v>0</v>
      </c>
      <c r="BM566" s="105" t="n">
        <v>0</v>
      </c>
      <c r="BN566" s="105" t="n">
        <v>0</v>
      </c>
      <c r="BO566" s="105" t="n">
        <v>0</v>
      </c>
      <c r="BP566" s="105" t="n">
        <v>0</v>
      </c>
      <c r="BQ566" s="105" t="n">
        <v>0</v>
      </c>
      <c r="BR566" s="106" t="n">
        <v>0</v>
      </c>
      <c r="BS566" s="106" t="n">
        <v>0</v>
      </c>
      <c r="BT566" s="107"/>
      <c r="BU566" s="107"/>
      <c r="BV566" s="107"/>
      <c r="BW566" s="107"/>
      <c r="BX566" s="107"/>
      <c r="BY566" s="107"/>
      <c r="BZ566" s="107"/>
      <c r="CA566" s="107"/>
      <c r="CB566" s="107"/>
      <c r="CC566" s="107"/>
      <c r="CD566" s="107"/>
      <c r="CE566" s="107"/>
      <c r="CF566" s="107"/>
      <c r="CG566" s="107"/>
      <c r="CH566" s="107"/>
      <c r="CI566" s="107"/>
      <c r="CJ566" s="107"/>
      <c r="CK566" s="107"/>
      <c r="CL566" s="107"/>
      <c r="CM566" s="107"/>
      <c r="CN566" s="107"/>
      <c r="CO566" s="107"/>
      <c r="CP566" s="107"/>
      <c r="CQ566" s="107"/>
      <c r="CR566" s="107"/>
      <c r="CS566" s="107"/>
      <c r="CT566" s="107"/>
      <c r="CU566" s="107"/>
      <c r="CV566" s="107"/>
    </row>
    <row r="567" customFormat="false" ht="14.9" hidden="false" customHeight="false" outlineLevel="0" collapsed="false">
      <c r="A567" s="74" t="n">
        <f aca="false">MONTH(B567)</f>
        <v>9</v>
      </c>
      <c r="B567" s="135" t="n">
        <v>44456</v>
      </c>
      <c r="C567" s="128" t="s">
        <v>70</v>
      </c>
      <c r="D567" s="77" t="str">
        <f aca="false">IFERROR(VLOOKUP(E:E,'Item Data Support Sheet'!A:O,7,0),"")</f>
        <v>NIPPLE MOLDED</v>
      </c>
      <c r="E567" s="80" t="s">
        <v>661</v>
      </c>
      <c r="F567" s="122" t="s">
        <v>137</v>
      </c>
      <c r="G567" s="137" t="s">
        <v>138</v>
      </c>
      <c r="H567" s="79" t="str">
        <f aca="false">IFERROR(VLOOKUP(E:E,'Item Data Support Sheet'!A:O,2,0),"")</f>
        <v>NIPPLE S TYPE L SIZE INJECTION</v>
      </c>
      <c r="I567" s="80" t="s">
        <v>1178</v>
      </c>
      <c r="J567" s="80" t="s">
        <v>155</v>
      </c>
      <c r="K567" s="81" t="n">
        <v>8</v>
      </c>
      <c r="L567" s="124" t="n">
        <v>4815</v>
      </c>
      <c r="M567" s="83" t="n">
        <f aca="false">IFERROR(L567/K567,0)</f>
        <v>601.875</v>
      </c>
      <c r="N567" s="84" t="n">
        <f aca="false">+O567+Q567+T567+U567</f>
        <v>5430</v>
      </c>
      <c r="O567" s="85" t="n">
        <v>5300</v>
      </c>
      <c r="P567" s="86" t="n">
        <v>0</v>
      </c>
      <c r="Q567" s="86" t="n">
        <v>60</v>
      </c>
      <c r="R567" s="132" t="n">
        <v>0</v>
      </c>
      <c r="S567" s="128" t="n">
        <v>0</v>
      </c>
      <c r="T567" s="132" t="n">
        <v>70</v>
      </c>
      <c r="U567" s="128" t="n">
        <v>0</v>
      </c>
      <c r="V567" s="128" t="n">
        <v>1</v>
      </c>
      <c r="W567" s="90" t="n">
        <f aca="false">IFERROR(O567/V567,0)</f>
        <v>5300</v>
      </c>
      <c r="X567" s="91" t="n">
        <f aca="false">O567/L567</f>
        <v>1.10072689511942</v>
      </c>
      <c r="Y567" s="92" t="str">
        <f aca="false">IFERROR(VLOOKUP(E:E,'Item Data Support Sheet'!A:J,6,0),0)</f>
        <v>Silicon</v>
      </c>
      <c r="Z567" s="93" t="n">
        <f aca="false">IFERROR(VLOOKUP(E:E,'Item Data Support Sheet'!A:O,4,0),0)</f>
        <v>6.8</v>
      </c>
      <c r="AA567" s="93" t="n">
        <f aca="false">IFERROR(((N567)*(Z567/1000))+P567,0)</f>
        <v>36.924</v>
      </c>
      <c r="AB567" s="94" t="n">
        <f aca="false">IFERROR((O567*(Z567/1000)/(AA567))," ")</f>
        <v>0.976058931860037</v>
      </c>
      <c r="AC567" s="95" t="n">
        <f aca="false">IFERROR((T567)/((T567)+O567),0)</f>
        <v>0.0130353817504655</v>
      </c>
      <c r="AD567" s="96" t="n">
        <f aca="false">IFERROR(Q567/(Q567+N567),0)</f>
        <v>0.0109289617486339</v>
      </c>
      <c r="AE567" s="91" t="n">
        <f aca="false">(N567-T567)/N567</f>
        <v>0.987108655616943</v>
      </c>
      <c r="AF567" s="97" t="n">
        <f aca="false">BR567</f>
        <v>0</v>
      </c>
      <c r="AG567" s="98" t="n">
        <f aca="false">K567-AF567</f>
        <v>8</v>
      </c>
      <c r="AH567" s="99" t="n">
        <f aca="false">IFERROR(AG567/K567," ")</f>
        <v>1</v>
      </c>
      <c r="AI567" s="100" t="n">
        <f aca="false">IFERROR(O567/K567,0)</f>
        <v>662.5</v>
      </c>
      <c r="AJ567" s="101" t="n">
        <f aca="false">VLOOKUP(D567,'Standard Cycle time'!C:D,2,0)</f>
        <v>5.25</v>
      </c>
      <c r="AK567" s="101" t="n">
        <f aca="false">AG567*V567*3600/O567</f>
        <v>5.43396226415094</v>
      </c>
      <c r="AL567" s="102" t="n">
        <f aca="false">AJ567/AK567</f>
        <v>0.966145833333333</v>
      </c>
      <c r="AM567" s="99" t="n">
        <f aca="false">AE567*AL567*AH567</f>
        <v>0.953690914671578</v>
      </c>
      <c r="AN567" s="103" t="n">
        <v>3335</v>
      </c>
      <c r="AO567" s="112"/>
      <c r="AP567" s="105" t="n">
        <v>0</v>
      </c>
      <c r="AQ567" s="105" t="n">
        <v>0</v>
      </c>
      <c r="AR567" s="105" t="n">
        <v>0</v>
      </c>
      <c r="AS567" s="105" t="n">
        <v>0</v>
      </c>
      <c r="AT567" s="105" t="n">
        <v>0</v>
      </c>
      <c r="AU567" s="105" t="n">
        <v>0</v>
      </c>
      <c r="AV567" s="105" t="n">
        <v>0</v>
      </c>
      <c r="AW567" s="105" t="n">
        <v>0</v>
      </c>
      <c r="AX567" s="105" t="n">
        <v>0</v>
      </c>
      <c r="AY567" s="105" t="n">
        <v>0</v>
      </c>
      <c r="AZ567" s="105" t="n">
        <v>0</v>
      </c>
      <c r="BA567" s="105" t="n">
        <v>0</v>
      </c>
      <c r="BB567" s="105" t="n">
        <v>0</v>
      </c>
      <c r="BC567" s="105" t="n">
        <v>0</v>
      </c>
      <c r="BD567" s="105" t="n">
        <v>0</v>
      </c>
      <c r="BE567" s="105" t="n">
        <v>0</v>
      </c>
      <c r="BF567" s="105" t="n">
        <v>0</v>
      </c>
      <c r="BG567" s="105" t="n">
        <v>0</v>
      </c>
      <c r="BH567" s="105" t="n">
        <v>0</v>
      </c>
      <c r="BI567" s="105" t="n">
        <v>0</v>
      </c>
      <c r="BJ567" s="105" t="n">
        <v>0</v>
      </c>
      <c r="BK567" s="105" t="n">
        <v>0</v>
      </c>
      <c r="BL567" s="105" t="n">
        <v>0</v>
      </c>
      <c r="BM567" s="105" t="n">
        <v>0</v>
      </c>
      <c r="BN567" s="105" t="n">
        <v>0</v>
      </c>
      <c r="BO567" s="105" t="n">
        <v>0</v>
      </c>
      <c r="BP567" s="105" t="n">
        <v>0</v>
      </c>
      <c r="BQ567" s="105" t="n">
        <v>0</v>
      </c>
      <c r="BR567" s="106" t="n">
        <v>0</v>
      </c>
      <c r="BS567" s="106" t="n">
        <v>0</v>
      </c>
      <c r="BT567" s="107"/>
      <c r="BU567" s="107"/>
      <c r="BV567" s="107"/>
      <c r="BW567" s="107"/>
      <c r="BX567" s="107"/>
      <c r="BY567" s="107"/>
      <c r="BZ567" s="107"/>
      <c r="CA567" s="107"/>
      <c r="CB567" s="107"/>
      <c r="CC567" s="107"/>
      <c r="CD567" s="107"/>
      <c r="CE567" s="107"/>
      <c r="CF567" s="107"/>
      <c r="CG567" s="107"/>
      <c r="CH567" s="107"/>
      <c r="CI567" s="107"/>
      <c r="CJ567" s="107"/>
      <c r="CK567" s="107"/>
      <c r="CL567" s="107"/>
      <c r="CM567" s="107"/>
      <c r="CN567" s="107"/>
      <c r="CO567" s="107"/>
      <c r="CP567" s="107"/>
      <c r="CQ567" s="107"/>
      <c r="CR567" s="107"/>
      <c r="CS567" s="107"/>
      <c r="CT567" s="107"/>
      <c r="CU567" s="107"/>
      <c r="CV567" s="107"/>
    </row>
    <row r="568" customFormat="false" ht="14.9" hidden="false" customHeight="false" outlineLevel="0" collapsed="false">
      <c r="A568" s="74" t="n">
        <f aca="false">MONTH(B568)</f>
        <v>9</v>
      </c>
      <c r="B568" s="135" t="n">
        <v>44456</v>
      </c>
      <c r="C568" s="128" t="s">
        <v>70</v>
      </c>
      <c r="D568" s="77" t="str">
        <f aca="false">IFERROR(VLOOKUP(E:E,'Item Data Support Sheet'!A:O,7,0),"")</f>
        <v>BOTTLE MOLDED</v>
      </c>
      <c r="E568" s="80" t="s">
        <v>69</v>
      </c>
      <c r="F568" s="122"/>
      <c r="G568" s="137" t="s">
        <v>80</v>
      </c>
      <c r="H568" s="79" t="str">
        <f aca="false">IFERROR(VLOOKUP(E:E,'Item Data Support Sheet'!A:O,2,0),"")</f>
        <v>KPP 240 ML BOTTLE MOLDED</v>
      </c>
      <c r="I568" s="80" t="s">
        <v>1179</v>
      </c>
      <c r="J568" s="80" t="s">
        <v>155</v>
      </c>
      <c r="K568" s="81" t="n">
        <v>8</v>
      </c>
      <c r="L568" s="124" t="n">
        <v>2574</v>
      </c>
      <c r="M568" s="83" t="n">
        <f aca="false">IFERROR(L568/K568,0)</f>
        <v>321.75</v>
      </c>
      <c r="N568" s="84" t="n">
        <f aca="false">+O568+Q568+T568+U568</f>
        <v>3458</v>
      </c>
      <c r="O568" s="85" t="n">
        <v>3405</v>
      </c>
      <c r="P568" s="86" t="n">
        <v>0</v>
      </c>
      <c r="Q568" s="86" t="n">
        <v>0</v>
      </c>
      <c r="R568" s="132" t="n">
        <v>0</v>
      </c>
      <c r="S568" s="128" t="n">
        <v>0</v>
      </c>
      <c r="T568" s="132" t="n">
        <v>53</v>
      </c>
      <c r="U568" s="128" t="n">
        <v>0</v>
      </c>
      <c r="V568" s="128" t="n">
        <v>1</v>
      </c>
      <c r="W568" s="90" t="n">
        <f aca="false">IFERROR(O568/V568,0)</f>
        <v>3405</v>
      </c>
      <c r="X568" s="91" t="n">
        <f aca="false">O568/L568</f>
        <v>1.32284382284382</v>
      </c>
      <c r="Y568" s="92" t="str">
        <f aca="false">IFERROR(VLOOKUP(E:E,'Item Data Support Sheet'!A:J,6,0),0)</f>
        <v>HMC</v>
      </c>
      <c r="Z568" s="93" t="n">
        <f aca="false">IFERROR(VLOOKUP(E:E,'Item Data Support Sheet'!A:O,4,0),0)</f>
        <v>32.1</v>
      </c>
      <c r="AA568" s="93" t="n">
        <f aca="false">IFERROR(((N568)*(Z568/1000))+P568,0)</f>
        <v>111.0018</v>
      </c>
      <c r="AB568" s="94" t="n">
        <f aca="false">IFERROR((O568*(Z568/1000)/(AA568))," ")</f>
        <v>0.984673221515327</v>
      </c>
      <c r="AC568" s="95" t="n">
        <f aca="false">IFERROR((T568)/((T568)+O568),0)</f>
        <v>0.0153267784846732</v>
      </c>
      <c r="AD568" s="96" t="n">
        <f aca="false">IFERROR(Q568/(Q568+N568),0)</f>
        <v>0</v>
      </c>
      <c r="AE568" s="91" t="n">
        <f aca="false">(N568-T568)/N568</f>
        <v>0.984673221515327</v>
      </c>
      <c r="AF568" s="97" t="n">
        <f aca="false">BR568</f>
        <v>0</v>
      </c>
      <c r="AG568" s="98" t="n">
        <f aca="false">K568-AF568</f>
        <v>8</v>
      </c>
      <c r="AH568" s="99" t="n">
        <f aca="false">IFERROR(AG568/K568," ")</f>
        <v>1</v>
      </c>
      <c r="AI568" s="100" t="n">
        <f aca="false">IFERROR(O568/K568,0)</f>
        <v>425.625</v>
      </c>
      <c r="AJ568" s="101" t="n">
        <f aca="false">VLOOKUP(D568,'Standard Cycle time'!C:D,2,0)</f>
        <v>9</v>
      </c>
      <c r="AK568" s="101" t="n">
        <f aca="false">AG568*V568*3600/O568</f>
        <v>8.45814977973568</v>
      </c>
      <c r="AL568" s="102" t="n">
        <f aca="false">AJ568/AK568</f>
        <v>1.0640625</v>
      </c>
      <c r="AM568" s="99" t="n">
        <f aca="false">AE568*AL568*AH568</f>
        <v>1.04775384976865</v>
      </c>
      <c r="AN568" s="103" t="s">
        <v>1180</v>
      </c>
      <c r="AO568" s="112"/>
      <c r="AP568" s="105" t="n">
        <v>0</v>
      </c>
      <c r="AQ568" s="105" t="n">
        <v>0</v>
      </c>
      <c r="AR568" s="105" t="n">
        <v>0</v>
      </c>
      <c r="AS568" s="105" t="n">
        <v>0</v>
      </c>
      <c r="AT568" s="105" t="n">
        <v>0</v>
      </c>
      <c r="AU568" s="105" t="n">
        <v>0</v>
      </c>
      <c r="AV568" s="105" t="n">
        <v>0</v>
      </c>
      <c r="AW568" s="105" t="n">
        <v>0</v>
      </c>
      <c r="AX568" s="105" t="n">
        <v>0</v>
      </c>
      <c r="AY568" s="105" t="n">
        <v>0</v>
      </c>
      <c r="AZ568" s="105" t="n">
        <v>0</v>
      </c>
      <c r="BA568" s="105" t="n">
        <v>0</v>
      </c>
      <c r="BB568" s="105" t="n">
        <v>0</v>
      </c>
      <c r="BC568" s="105" t="n">
        <v>0</v>
      </c>
      <c r="BD568" s="105" t="n">
        <v>0</v>
      </c>
      <c r="BE568" s="105" t="n">
        <v>0</v>
      </c>
      <c r="BF568" s="105" t="n">
        <v>0</v>
      </c>
      <c r="BG568" s="105" t="n">
        <v>0</v>
      </c>
      <c r="BH568" s="105" t="n">
        <v>0</v>
      </c>
      <c r="BI568" s="105" t="n">
        <v>0</v>
      </c>
      <c r="BJ568" s="105" t="n">
        <v>0</v>
      </c>
      <c r="BK568" s="105" t="n">
        <v>0</v>
      </c>
      <c r="BL568" s="105" t="n">
        <v>0</v>
      </c>
      <c r="BM568" s="105" t="n">
        <v>0</v>
      </c>
      <c r="BN568" s="105" t="n">
        <v>0</v>
      </c>
      <c r="BO568" s="105" t="n">
        <v>0</v>
      </c>
      <c r="BP568" s="105" t="n">
        <v>0</v>
      </c>
      <c r="BQ568" s="105" t="n">
        <v>0</v>
      </c>
      <c r="BR568" s="106" t="n">
        <v>0</v>
      </c>
      <c r="BS568" s="106" t="n">
        <v>0</v>
      </c>
      <c r="BT568" s="107"/>
      <c r="BU568" s="107"/>
      <c r="BV568" s="107"/>
      <c r="BW568" s="107"/>
      <c r="BX568" s="107"/>
      <c r="BY568" s="107"/>
      <c r="BZ568" s="107"/>
      <c r="CA568" s="107"/>
      <c r="CB568" s="107"/>
      <c r="CC568" s="107"/>
      <c r="CD568" s="107"/>
      <c r="CE568" s="107"/>
      <c r="CF568" s="107"/>
      <c r="CG568" s="107"/>
      <c r="CH568" s="107"/>
      <c r="CI568" s="107"/>
      <c r="CJ568" s="107"/>
      <c r="CK568" s="107"/>
      <c r="CL568" s="107"/>
      <c r="CM568" s="107"/>
      <c r="CN568" s="107"/>
      <c r="CO568" s="107"/>
      <c r="CP568" s="107"/>
      <c r="CQ568" s="107"/>
      <c r="CR568" s="107"/>
      <c r="CS568" s="107"/>
      <c r="CT568" s="107"/>
      <c r="CU568" s="107"/>
      <c r="CV568" s="107"/>
    </row>
    <row r="569" customFormat="false" ht="14.9" hidden="false" customHeight="false" outlineLevel="0" collapsed="false">
      <c r="A569" s="74" t="n">
        <f aca="false">MONTH(B569)</f>
        <v>9</v>
      </c>
      <c r="B569" s="135" t="n">
        <v>44456</v>
      </c>
      <c r="C569" s="128" t="s">
        <v>70</v>
      </c>
      <c r="D569" s="77" t="str">
        <f aca="false">IFERROR(VLOOKUP(E:E,'Item Data Support Sheet'!A:O,7,0),"")</f>
        <v>BOTTLE MOLDED</v>
      </c>
      <c r="E569" s="80" t="s">
        <v>357</v>
      </c>
      <c r="F569" s="122"/>
      <c r="G569" s="137" t="s">
        <v>74</v>
      </c>
      <c r="H569" s="79" t="str">
        <f aca="false">IFERROR(VLOOKUP(E:E,'Item Data Support Sheet'!A:O,2,0),"")</f>
        <v>KPP 120 ML BOTTLE MOLDED</v>
      </c>
      <c r="I569" s="80" t="s">
        <v>1181</v>
      </c>
      <c r="J569" s="80" t="s">
        <v>155</v>
      </c>
      <c r="K569" s="81" t="n">
        <v>8</v>
      </c>
      <c r="L569" s="124" t="n">
        <v>2574</v>
      </c>
      <c r="M569" s="83" t="n">
        <f aca="false">IFERROR(L569/K569,0)</f>
        <v>321.75</v>
      </c>
      <c r="N569" s="84" t="n">
        <f aca="false">+O569+Q569+T569+U569</f>
        <v>3172</v>
      </c>
      <c r="O569" s="85" t="n">
        <v>3060</v>
      </c>
      <c r="P569" s="86" t="n">
        <v>0.21</v>
      </c>
      <c r="Q569" s="86" t="n">
        <v>29</v>
      </c>
      <c r="R569" s="132" t="n">
        <v>0</v>
      </c>
      <c r="S569" s="128" t="n">
        <v>0</v>
      </c>
      <c r="T569" s="132" t="n">
        <v>83</v>
      </c>
      <c r="U569" s="128" t="n">
        <v>0</v>
      </c>
      <c r="V569" s="128" t="n">
        <v>1</v>
      </c>
      <c r="W569" s="90" t="n">
        <f aca="false">IFERROR(O569/V569,0)</f>
        <v>3060</v>
      </c>
      <c r="X569" s="91" t="n">
        <f aca="false">O569/L569</f>
        <v>1.18881118881119</v>
      </c>
      <c r="Y569" s="92" t="str">
        <f aca="false">IFERROR(VLOOKUP(E:E,'Item Data Support Sheet'!A:J,6,0),0)</f>
        <v>HMC</v>
      </c>
      <c r="Z569" s="93" t="n">
        <f aca="false">IFERROR(VLOOKUP(E:E,'Item Data Support Sheet'!A:O,4,0),0)</f>
        <v>21.3</v>
      </c>
      <c r="AA569" s="93" t="n">
        <f aca="false">IFERROR(((N569)*(Z569/1000))+P569,0)</f>
        <v>67.7736</v>
      </c>
      <c r="AB569" s="94" t="n">
        <f aca="false">IFERROR((O569*(Z569/1000)/(AA569))," ")</f>
        <v>0.961701901625412</v>
      </c>
      <c r="AC569" s="95" t="n">
        <f aca="false">IFERROR((T569)/((T569)+O569),0)</f>
        <v>0.0264078905504295</v>
      </c>
      <c r="AD569" s="96" t="n">
        <f aca="false">IFERROR(Q569/(Q569+N569),0)</f>
        <v>0.00905966885348329</v>
      </c>
      <c r="AE569" s="91" t="n">
        <f aca="false">(N569-T569)/N569</f>
        <v>0.973833543505675</v>
      </c>
      <c r="AF569" s="97" t="n">
        <f aca="false">BR569</f>
        <v>0</v>
      </c>
      <c r="AG569" s="98" t="n">
        <f aca="false">K569-AF569</f>
        <v>8</v>
      </c>
      <c r="AH569" s="99" t="n">
        <f aca="false">IFERROR(AG569/K569," ")</f>
        <v>1</v>
      </c>
      <c r="AI569" s="100" t="n">
        <f aca="false">IFERROR(O569/K569,0)</f>
        <v>382.5</v>
      </c>
      <c r="AJ569" s="101" t="n">
        <f aca="false">VLOOKUP(D569,'Standard Cycle time'!C:D,2,0)</f>
        <v>9</v>
      </c>
      <c r="AK569" s="101" t="n">
        <f aca="false">AG569*V569*3600/O569</f>
        <v>9.41176470588235</v>
      </c>
      <c r="AL569" s="102" t="n">
        <f aca="false">AJ569/AK569</f>
        <v>0.95625</v>
      </c>
      <c r="AM569" s="99" t="n">
        <f aca="false">AE569*AL569*AH569</f>
        <v>0.931228325977301</v>
      </c>
      <c r="AN569" s="103" t="n">
        <v>3337</v>
      </c>
      <c r="AO569" s="112"/>
      <c r="AP569" s="105" t="n">
        <v>0</v>
      </c>
      <c r="AQ569" s="105" t="n">
        <v>0</v>
      </c>
      <c r="AR569" s="105" t="n">
        <v>0</v>
      </c>
      <c r="AS569" s="105" t="n">
        <v>0</v>
      </c>
      <c r="AT569" s="105" t="n">
        <v>0</v>
      </c>
      <c r="AU569" s="105" t="n">
        <v>0</v>
      </c>
      <c r="AV569" s="105" t="n">
        <v>0</v>
      </c>
      <c r="AW569" s="105" t="n">
        <v>0</v>
      </c>
      <c r="AX569" s="105" t="n">
        <v>0</v>
      </c>
      <c r="AY569" s="105" t="n">
        <v>0</v>
      </c>
      <c r="AZ569" s="105" t="n">
        <v>0</v>
      </c>
      <c r="BA569" s="105" t="n">
        <v>0</v>
      </c>
      <c r="BB569" s="105" t="n">
        <v>0</v>
      </c>
      <c r="BC569" s="105" t="n">
        <v>0</v>
      </c>
      <c r="BD569" s="105" t="n">
        <v>0</v>
      </c>
      <c r="BE569" s="105" t="n">
        <v>0</v>
      </c>
      <c r="BF569" s="105" t="n">
        <v>0</v>
      </c>
      <c r="BG569" s="105" t="n">
        <v>0</v>
      </c>
      <c r="BH569" s="105" t="n">
        <v>0</v>
      </c>
      <c r="BI569" s="105" t="n">
        <v>0</v>
      </c>
      <c r="BJ569" s="105" t="n">
        <v>0</v>
      </c>
      <c r="BK569" s="105" t="n">
        <v>0</v>
      </c>
      <c r="BL569" s="105" t="n">
        <v>0</v>
      </c>
      <c r="BM569" s="105" t="n">
        <v>0</v>
      </c>
      <c r="BN569" s="105" t="n">
        <v>0</v>
      </c>
      <c r="BO569" s="105" t="n">
        <v>0</v>
      </c>
      <c r="BP569" s="105" t="n">
        <v>0</v>
      </c>
      <c r="BQ569" s="105" t="n">
        <v>0</v>
      </c>
      <c r="BR569" s="106" t="n">
        <v>0</v>
      </c>
      <c r="BS569" s="106" t="n">
        <v>0</v>
      </c>
      <c r="BT569" s="107"/>
      <c r="BU569" s="107"/>
      <c r="BV569" s="107"/>
      <c r="BW569" s="107"/>
      <c r="BX569" s="107"/>
      <c r="BY569" s="107"/>
      <c r="BZ569" s="107"/>
      <c r="CA569" s="107"/>
      <c r="CB569" s="107"/>
      <c r="CC569" s="107"/>
      <c r="CD569" s="107"/>
      <c r="CE569" s="107"/>
      <c r="CF569" s="107"/>
      <c r="CG569" s="107"/>
      <c r="CH569" s="107"/>
      <c r="CI569" s="107"/>
      <c r="CJ569" s="107"/>
      <c r="CK569" s="107"/>
      <c r="CL569" s="107"/>
      <c r="CM569" s="107"/>
      <c r="CN569" s="107"/>
      <c r="CO569" s="107"/>
      <c r="CP569" s="107"/>
      <c r="CQ569" s="107"/>
      <c r="CR569" s="107"/>
      <c r="CS569" s="107"/>
      <c r="CT569" s="107"/>
      <c r="CU569" s="107"/>
      <c r="CV569" s="107"/>
    </row>
    <row r="570" customFormat="false" ht="14.9" hidden="false" customHeight="false" outlineLevel="0" collapsed="false">
      <c r="A570" s="74" t="n">
        <f aca="false">MONTH(B570)</f>
        <v>9</v>
      </c>
      <c r="B570" s="135" t="n">
        <v>44456</v>
      </c>
      <c r="C570" s="128" t="s">
        <v>70</v>
      </c>
      <c r="D570" s="77" t="str">
        <f aca="false">IFERROR(VLOOKUP(E:E,'Item Data Support Sheet'!A:O,7,0),"")</f>
        <v>BOTTLE PRINTED</v>
      </c>
      <c r="E570" s="80" t="s">
        <v>270</v>
      </c>
      <c r="F570" s="122"/>
      <c r="G570" s="137"/>
      <c r="H570" s="79" t="str">
        <f aca="false">IFERROR(VLOOKUP(E:E,'Item Data Support Sheet'!A:O,2,0),"")</f>
        <v>RPP 120 ML BOTTLE PRINTED</v>
      </c>
      <c r="I570" s="80" t="s">
        <v>1182</v>
      </c>
      <c r="J570" s="80" t="s">
        <v>155</v>
      </c>
      <c r="K570" s="81" t="n">
        <v>8</v>
      </c>
      <c r="L570" s="124" t="n">
        <v>5800</v>
      </c>
      <c r="M570" s="83" t="n">
        <f aca="false">IFERROR(L570/K570,0)</f>
        <v>725</v>
      </c>
      <c r="N570" s="84" t="n">
        <f aca="false">+O570+Q570+T570+U570</f>
        <v>6884</v>
      </c>
      <c r="O570" s="85" t="n">
        <v>6840</v>
      </c>
      <c r="P570" s="86" t="n">
        <v>0</v>
      </c>
      <c r="Q570" s="86" t="n">
        <v>0</v>
      </c>
      <c r="R570" s="132" t="n">
        <v>50</v>
      </c>
      <c r="S570" s="128" t="n">
        <v>0</v>
      </c>
      <c r="T570" s="132" t="n">
        <v>44</v>
      </c>
      <c r="U570" s="128" t="n">
        <v>0</v>
      </c>
      <c r="V570" s="128" t="n">
        <v>5</v>
      </c>
      <c r="W570" s="90" t="n">
        <f aca="false">IFERROR(O570/V570,0)</f>
        <v>1368</v>
      </c>
      <c r="X570" s="91" t="n">
        <f aca="false">O570/L570</f>
        <v>1.17931034482759</v>
      </c>
      <c r="Y570" s="92" t="str">
        <f aca="false">IFERROR(VLOOKUP(E:E,'Item Data Support Sheet'!A:J,6,0),0)</f>
        <v>FO004</v>
      </c>
      <c r="Z570" s="93" t="n">
        <f aca="false">IFERROR(VLOOKUP(E:E,'Item Data Support Sheet'!A:O,4,0),0)</f>
        <v>0</v>
      </c>
      <c r="AA570" s="93" t="n">
        <f aca="false">IFERROR(((N570)*(Z570/1000))+P570,0)</f>
        <v>0</v>
      </c>
      <c r="AB570" s="94" t="str">
        <f aca="false">IFERROR((O570*(Z570/1000)/(AA570))," ")</f>
        <v> </v>
      </c>
      <c r="AC570" s="95" t="n">
        <f aca="false">IFERROR((T570)/((T570)+O570),0)</f>
        <v>0.00639163277164439</v>
      </c>
      <c r="AD570" s="96" t="n">
        <f aca="false">IFERROR(Q570/(Q570+N570),0)</f>
        <v>0</v>
      </c>
      <c r="AE570" s="91" t="n">
        <f aca="false">(N570-T570)/N570</f>
        <v>0.993608367228356</v>
      </c>
      <c r="AF570" s="97" t="n">
        <f aca="false">BR570</f>
        <v>0.666666666666667</v>
      </c>
      <c r="AG570" s="98" t="n">
        <f aca="false">K570-AF570</f>
        <v>7.33333333333333</v>
      </c>
      <c r="AH570" s="99" t="n">
        <f aca="false">IFERROR(AG570/K570," ")</f>
        <v>0.916666666666667</v>
      </c>
      <c r="AI570" s="100" t="n">
        <f aca="false">IFERROR(O570/K570,0)</f>
        <v>855</v>
      </c>
      <c r="AJ570" s="101" t="n">
        <f aca="false">VLOOKUP(D570,'Standard Cycle time'!C:D,2,0)</f>
        <v>32.4</v>
      </c>
      <c r="AK570" s="101" t="n">
        <f aca="false">AG570*V570*3600/O570</f>
        <v>19.2982456140351</v>
      </c>
      <c r="AL570" s="102" t="n">
        <f aca="false">AJ570/AK570</f>
        <v>1.67890909090909</v>
      </c>
      <c r="AM570" s="99" t="n">
        <f aca="false">AE570*AL570*AH570</f>
        <v>1.52916327716444</v>
      </c>
      <c r="AN570" s="103" t="s">
        <v>869</v>
      </c>
      <c r="AO570" s="112"/>
      <c r="AP570" s="105" t="n">
        <v>40</v>
      </c>
      <c r="AQ570" s="105" t="n">
        <v>0</v>
      </c>
      <c r="AR570" s="105" t="n">
        <v>0</v>
      </c>
      <c r="AS570" s="105" t="n">
        <v>0</v>
      </c>
      <c r="AT570" s="105" t="n">
        <v>0</v>
      </c>
      <c r="AU570" s="105" t="n">
        <v>0</v>
      </c>
      <c r="AV570" s="105" t="n">
        <v>0</v>
      </c>
      <c r="AW570" s="105" t="n">
        <v>0</v>
      </c>
      <c r="AX570" s="105" t="n">
        <v>0</v>
      </c>
      <c r="AY570" s="105" t="n">
        <v>0</v>
      </c>
      <c r="AZ570" s="105" t="n">
        <v>0</v>
      </c>
      <c r="BA570" s="105" t="n">
        <v>0</v>
      </c>
      <c r="BB570" s="105" t="n">
        <v>0</v>
      </c>
      <c r="BC570" s="105" t="n">
        <v>0</v>
      </c>
      <c r="BD570" s="105" t="n">
        <v>0</v>
      </c>
      <c r="BE570" s="105" t="n">
        <v>0</v>
      </c>
      <c r="BF570" s="105" t="n">
        <v>0</v>
      </c>
      <c r="BG570" s="105" t="n">
        <v>0</v>
      </c>
      <c r="BH570" s="105" t="n">
        <v>0</v>
      </c>
      <c r="BI570" s="105" t="n">
        <v>0</v>
      </c>
      <c r="BJ570" s="105" t="n">
        <v>0</v>
      </c>
      <c r="BK570" s="105" t="n">
        <v>0</v>
      </c>
      <c r="BL570" s="105" t="n">
        <v>0</v>
      </c>
      <c r="BM570" s="105" t="n">
        <v>0</v>
      </c>
      <c r="BN570" s="105" t="n">
        <v>0</v>
      </c>
      <c r="BO570" s="105" t="n">
        <v>0</v>
      </c>
      <c r="BP570" s="105" t="n">
        <v>0</v>
      </c>
      <c r="BQ570" s="105" t="n">
        <v>0</v>
      </c>
      <c r="BR570" s="106" t="n">
        <v>0.666666666666667</v>
      </c>
      <c r="BS570" s="106" t="n">
        <v>0.677777777777778</v>
      </c>
      <c r="BT570" s="107"/>
      <c r="BU570" s="107"/>
      <c r="BV570" s="107"/>
      <c r="BW570" s="107"/>
      <c r="BX570" s="107"/>
      <c r="BY570" s="107"/>
      <c r="BZ570" s="107"/>
      <c r="CA570" s="107"/>
      <c r="CB570" s="107"/>
      <c r="CC570" s="107"/>
      <c r="CD570" s="107"/>
      <c r="CE570" s="107"/>
      <c r="CF570" s="107"/>
      <c r="CG570" s="107"/>
      <c r="CH570" s="107"/>
      <c r="CI570" s="107"/>
      <c r="CJ570" s="107"/>
      <c r="CK570" s="107"/>
      <c r="CL570" s="107"/>
      <c r="CM570" s="107"/>
      <c r="CN570" s="107"/>
      <c r="CO570" s="107"/>
      <c r="CP570" s="107"/>
      <c r="CQ570" s="107"/>
      <c r="CR570" s="107"/>
      <c r="CS570" s="107"/>
      <c r="CT570" s="107"/>
      <c r="CU570" s="107"/>
      <c r="CV570" s="107"/>
    </row>
    <row r="571" customFormat="false" ht="14.9" hidden="false" customHeight="false" outlineLevel="0" collapsed="false">
      <c r="A571" s="74" t="n">
        <f aca="false">MONTH(B571)</f>
        <v>9</v>
      </c>
      <c r="B571" s="135" t="n">
        <v>44456</v>
      </c>
      <c r="C571" s="128" t="s">
        <v>152</v>
      </c>
      <c r="D571" s="77" t="str">
        <f aca="false">IFERROR(VLOOKUP(E:E,'Item Data Support Sheet'!A:O,7,0),"")</f>
        <v>BOTTLE MOLDED</v>
      </c>
      <c r="E571" s="80" t="s">
        <v>357</v>
      </c>
      <c r="F571" s="122" t="s">
        <v>144</v>
      </c>
      <c r="G571" s="137" t="s">
        <v>74</v>
      </c>
      <c r="H571" s="79" t="str">
        <f aca="false">IFERROR(VLOOKUP(E:E,'Item Data Support Sheet'!A:O,2,0),"")</f>
        <v>KPP 120 ML BOTTLE MOLDED</v>
      </c>
      <c r="I571" s="80" t="s">
        <v>1183</v>
      </c>
      <c r="J571" s="80" t="s">
        <v>815</v>
      </c>
      <c r="K571" s="81" t="n">
        <v>8</v>
      </c>
      <c r="L571" s="124" t="n">
        <v>2574</v>
      </c>
      <c r="M571" s="83" t="n">
        <f aca="false">IFERROR(L571/K571,0)</f>
        <v>321.75</v>
      </c>
      <c r="N571" s="84" t="n">
        <f aca="false">+O571+Q571+T571+U571</f>
        <v>3175</v>
      </c>
      <c r="O571" s="85" t="n">
        <v>3060</v>
      </c>
      <c r="P571" s="86" t="n">
        <v>0.32</v>
      </c>
      <c r="Q571" s="86" t="n">
        <v>42</v>
      </c>
      <c r="R571" s="132" t="n">
        <v>0</v>
      </c>
      <c r="S571" s="128" t="n">
        <v>0</v>
      </c>
      <c r="T571" s="132" t="n">
        <v>65</v>
      </c>
      <c r="U571" s="128" t="n">
        <v>8</v>
      </c>
      <c r="V571" s="128" t="n">
        <v>1</v>
      </c>
      <c r="W571" s="90" t="n">
        <f aca="false">IFERROR(O571/V571,0)</f>
        <v>3060</v>
      </c>
      <c r="X571" s="91" t="n">
        <f aca="false">O571/L571</f>
        <v>1.18881118881119</v>
      </c>
      <c r="Y571" s="92" t="str">
        <f aca="false">IFERROR(VLOOKUP(E:E,'Item Data Support Sheet'!A:J,6,0),0)</f>
        <v>HMC</v>
      </c>
      <c r="Z571" s="93" t="n">
        <f aca="false">IFERROR(VLOOKUP(E:E,'Item Data Support Sheet'!A:O,4,0),0)</f>
        <v>21.3</v>
      </c>
      <c r="AA571" s="93" t="n">
        <f aca="false">IFERROR(((N571)*(Z571/1000))+P571,0)</f>
        <v>67.9475</v>
      </c>
      <c r="AB571" s="94" t="n">
        <f aca="false">IFERROR((O571*(Z571/1000)/(AA571))," ")</f>
        <v>0.959240590161522</v>
      </c>
      <c r="AC571" s="95" t="n">
        <f aca="false">IFERROR((T571)/((T571)+O571),0)</f>
        <v>0.0208</v>
      </c>
      <c r="AD571" s="96" t="n">
        <f aca="false">IFERROR(Q571/(Q571+N571),0)</f>
        <v>0.0130556419023935</v>
      </c>
      <c r="AE571" s="91" t="n">
        <f aca="false">(N571-T571)/N571</f>
        <v>0.979527559055118</v>
      </c>
      <c r="AF571" s="97" t="n">
        <f aca="false">BR571</f>
        <v>0</v>
      </c>
      <c r="AG571" s="98" t="n">
        <f aca="false">K571-AF571</f>
        <v>8</v>
      </c>
      <c r="AH571" s="99" t="n">
        <f aca="false">IFERROR(AG571/K571," ")</f>
        <v>1</v>
      </c>
      <c r="AI571" s="100" t="n">
        <f aca="false">IFERROR(O571/K571,0)</f>
        <v>382.5</v>
      </c>
      <c r="AJ571" s="101" t="n">
        <f aca="false">VLOOKUP(D571,'Standard Cycle time'!C:D,2,0)</f>
        <v>9</v>
      </c>
      <c r="AK571" s="101" t="n">
        <f aca="false">AG571*V571*3600/O571</f>
        <v>9.41176470588235</v>
      </c>
      <c r="AL571" s="102" t="n">
        <f aca="false">AJ571/AK571</f>
        <v>0.95625</v>
      </c>
      <c r="AM571" s="99" t="n">
        <f aca="false">AE571*AL571*AH571</f>
        <v>0.936673228346457</v>
      </c>
      <c r="AN571" s="103" t="n">
        <v>3338</v>
      </c>
      <c r="AO571" s="112"/>
      <c r="AP571" s="105" t="n">
        <v>0</v>
      </c>
      <c r="AQ571" s="105" t="n">
        <v>0</v>
      </c>
      <c r="AR571" s="105" t="n">
        <v>0</v>
      </c>
      <c r="AS571" s="105" t="n">
        <v>0</v>
      </c>
      <c r="AT571" s="105" t="n">
        <v>0</v>
      </c>
      <c r="AU571" s="105" t="n">
        <v>0</v>
      </c>
      <c r="AV571" s="105" t="n">
        <v>0</v>
      </c>
      <c r="AW571" s="105" t="n">
        <v>0</v>
      </c>
      <c r="AX571" s="105" t="n">
        <v>0</v>
      </c>
      <c r="AY571" s="105" t="n">
        <v>0</v>
      </c>
      <c r="AZ571" s="105" t="n">
        <v>0</v>
      </c>
      <c r="BA571" s="105" t="n">
        <v>0</v>
      </c>
      <c r="BB571" s="105" t="n">
        <v>0</v>
      </c>
      <c r="BC571" s="105" t="n">
        <v>0</v>
      </c>
      <c r="BD571" s="105" t="n">
        <v>0</v>
      </c>
      <c r="BE571" s="105" t="n">
        <v>0</v>
      </c>
      <c r="BF571" s="105" t="n">
        <v>0</v>
      </c>
      <c r="BG571" s="105" t="n">
        <v>0</v>
      </c>
      <c r="BH571" s="105" t="n">
        <v>0</v>
      </c>
      <c r="BI571" s="105" t="n">
        <v>0</v>
      </c>
      <c r="BJ571" s="105" t="n">
        <v>0</v>
      </c>
      <c r="BK571" s="105" t="n">
        <v>0</v>
      </c>
      <c r="BL571" s="105" t="n">
        <v>0</v>
      </c>
      <c r="BM571" s="105" t="n">
        <v>0</v>
      </c>
      <c r="BN571" s="105" t="n">
        <v>0</v>
      </c>
      <c r="BO571" s="105" t="n">
        <v>0</v>
      </c>
      <c r="BP571" s="105" t="n">
        <v>0</v>
      </c>
      <c r="BQ571" s="105" t="n">
        <v>0</v>
      </c>
      <c r="BR571" s="106" t="n">
        <v>0</v>
      </c>
      <c r="BS571" s="106" t="n">
        <v>0</v>
      </c>
      <c r="BT571" s="107"/>
      <c r="BU571" s="107"/>
      <c r="BV571" s="107"/>
      <c r="BW571" s="107"/>
      <c r="BX571" s="107"/>
      <c r="BY571" s="107"/>
      <c r="BZ571" s="107"/>
      <c r="CA571" s="107"/>
      <c r="CB571" s="107"/>
      <c r="CC571" s="107"/>
      <c r="CD571" s="107"/>
      <c r="CE571" s="107"/>
      <c r="CF571" s="107"/>
      <c r="CG571" s="107"/>
      <c r="CH571" s="107"/>
      <c r="CI571" s="107"/>
      <c r="CJ571" s="107"/>
      <c r="CK571" s="107"/>
      <c r="CL571" s="107"/>
      <c r="CM571" s="107"/>
      <c r="CN571" s="107"/>
      <c r="CO571" s="107"/>
      <c r="CP571" s="107"/>
      <c r="CQ571" s="107"/>
      <c r="CR571" s="107"/>
      <c r="CS571" s="107"/>
      <c r="CT571" s="107"/>
      <c r="CU571" s="107"/>
      <c r="CV571" s="107"/>
    </row>
    <row r="572" customFormat="false" ht="14.9" hidden="false" customHeight="false" outlineLevel="0" collapsed="false">
      <c r="A572" s="74" t="n">
        <f aca="false">MONTH(B572)</f>
        <v>9</v>
      </c>
      <c r="B572" s="135" t="n">
        <v>44456</v>
      </c>
      <c r="C572" s="128" t="s">
        <v>152</v>
      </c>
      <c r="D572" s="77" t="str">
        <f aca="false">IFERROR(VLOOKUP(E:E,'Item Data Support Sheet'!A:O,7,0),"")</f>
        <v>NIPPLE MOLDED</v>
      </c>
      <c r="E572" s="80" t="s">
        <v>661</v>
      </c>
      <c r="F572" s="122" t="s">
        <v>137</v>
      </c>
      <c r="G572" s="137" t="s">
        <v>138</v>
      </c>
      <c r="H572" s="79" t="str">
        <f aca="false">IFERROR(VLOOKUP(E:E,'Item Data Support Sheet'!A:O,2,0),"")</f>
        <v>NIPPLE S TYPE L SIZE INJECTION</v>
      </c>
      <c r="I572" s="80" t="s">
        <v>1184</v>
      </c>
      <c r="J572" s="80" t="s">
        <v>815</v>
      </c>
      <c r="K572" s="81" t="n">
        <v>8</v>
      </c>
      <c r="L572" s="124" t="n">
        <v>4815</v>
      </c>
      <c r="M572" s="83" t="n">
        <f aca="false">IFERROR(L572/K572,0)</f>
        <v>601.875</v>
      </c>
      <c r="N572" s="84" t="n">
        <f aca="false">+O572+Q572+T572+U572</f>
        <v>4583</v>
      </c>
      <c r="O572" s="85" t="n">
        <v>4500</v>
      </c>
      <c r="P572" s="86" t="n">
        <v>0</v>
      </c>
      <c r="Q572" s="86" t="n">
        <v>35</v>
      </c>
      <c r="R572" s="132" t="n">
        <v>0</v>
      </c>
      <c r="S572" s="128" t="n">
        <v>0</v>
      </c>
      <c r="T572" s="132" t="n">
        <v>40</v>
      </c>
      <c r="U572" s="128" t="n">
        <v>8</v>
      </c>
      <c r="V572" s="128" t="n">
        <v>1</v>
      </c>
      <c r="W572" s="90" t="n">
        <f aca="false">IFERROR(O572/V572,0)</f>
        <v>4500</v>
      </c>
      <c r="X572" s="91" t="n">
        <f aca="false">O572/L572</f>
        <v>0.934579439252336</v>
      </c>
      <c r="Y572" s="92" t="str">
        <f aca="false">IFERROR(VLOOKUP(E:E,'Item Data Support Sheet'!A:J,6,0),0)</f>
        <v>Silicon</v>
      </c>
      <c r="Z572" s="93" t="n">
        <f aca="false">IFERROR(VLOOKUP(E:E,'Item Data Support Sheet'!A:O,4,0),0)</f>
        <v>6.8</v>
      </c>
      <c r="AA572" s="93" t="n">
        <f aca="false">IFERROR(((N572)*(Z572/1000))+P572,0)</f>
        <v>31.1644</v>
      </c>
      <c r="AB572" s="94" t="n">
        <f aca="false">IFERROR((O572*(Z572/1000)/(AA572))," ")</f>
        <v>0.981889591970325</v>
      </c>
      <c r="AC572" s="95" t="n">
        <f aca="false">IFERROR((T572)/((T572)+O572),0)</f>
        <v>0.00881057268722467</v>
      </c>
      <c r="AD572" s="96" t="n">
        <f aca="false">IFERROR(Q572/(Q572+N572),0)</f>
        <v>0.0075790385448246</v>
      </c>
      <c r="AE572" s="91" t="n">
        <f aca="false">(N572-T572)/N572</f>
        <v>0.991272092515819</v>
      </c>
      <c r="AF572" s="97" t="n">
        <f aca="false">BR572</f>
        <v>1</v>
      </c>
      <c r="AG572" s="98" t="n">
        <f aca="false">K572-AF572</f>
        <v>7</v>
      </c>
      <c r="AH572" s="99" t="n">
        <f aca="false">IFERROR(AG572/K572," ")</f>
        <v>0.875</v>
      </c>
      <c r="AI572" s="100" t="n">
        <f aca="false">IFERROR(O572/K572,0)</f>
        <v>562.5</v>
      </c>
      <c r="AJ572" s="101" t="n">
        <f aca="false">VLOOKUP(D572,'Standard Cycle time'!C:D,2,0)</f>
        <v>5.25</v>
      </c>
      <c r="AK572" s="101" t="n">
        <f aca="false">AG572*V572*3600/O572</f>
        <v>5.6</v>
      </c>
      <c r="AL572" s="102" t="n">
        <f aca="false">AJ572/AK572</f>
        <v>0.9375</v>
      </c>
      <c r="AM572" s="99" t="n">
        <f aca="false">AE572*AL572*AH572</f>
        <v>0.813152888391883</v>
      </c>
      <c r="AN572" s="103" t="n">
        <v>3339</v>
      </c>
      <c r="AO572" s="112" t="s">
        <v>1185</v>
      </c>
      <c r="AP572" s="105" t="n">
        <v>0</v>
      </c>
      <c r="AQ572" s="105" t="n">
        <v>0</v>
      </c>
      <c r="AR572" s="105" t="n">
        <v>0</v>
      </c>
      <c r="AS572" s="105" t="n">
        <v>0</v>
      </c>
      <c r="AT572" s="105" t="n">
        <v>0</v>
      </c>
      <c r="AU572" s="105" t="n">
        <v>60</v>
      </c>
      <c r="AV572" s="105" t="n">
        <v>0</v>
      </c>
      <c r="AW572" s="105" t="n">
        <v>0</v>
      </c>
      <c r="AX572" s="105" t="n">
        <v>0</v>
      </c>
      <c r="AY572" s="105" t="n">
        <v>0</v>
      </c>
      <c r="AZ572" s="105" t="n">
        <v>0</v>
      </c>
      <c r="BA572" s="105" t="n">
        <v>0</v>
      </c>
      <c r="BB572" s="105" t="n">
        <v>0</v>
      </c>
      <c r="BC572" s="105" t="n">
        <v>0</v>
      </c>
      <c r="BD572" s="105" t="n">
        <v>0</v>
      </c>
      <c r="BE572" s="105" t="n">
        <v>0</v>
      </c>
      <c r="BF572" s="105" t="n">
        <v>0</v>
      </c>
      <c r="BG572" s="105" t="n">
        <v>0</v>
      </c>
      <c r="BH572" s="105" t="n">
        <v>0</v>
      </c>
      <c r="BI572" s="105" t="n">
        <v>0</v>
      </c>
      <c r="BJ572" s="105" t="n">
        <v>0</v>
      </c>
      <c r="BK572" s="105" t="n">
        <v>0</v>
      </c>
      <c r="BL572" s="105" t="n">
        <v>0</v>
      </c>
      <c r="BM572" s="105" t="n">
        <v>0</v>
      </c>
      <c r="BN572" s="105" t="n">
        <v>0</v>
      </c>
      <c r="BO572" s="105" t="n">
        <v>0</v>
      </c>
      <c r="BP572" s="105" t="n">
        <v>0</v>
      </c>
      <c r="BQ572" s="105" t="n">
        <v>0</v>
      </c>
      <c r="BR572" s="106" t="n">
        <v>1</v>
      </c>
      <c r="BS572" s="106" t="n">
        <v>1.01666666666667</v>
      </c>
      <c r="BT572" s="107"/>
      <c r="BU572" s="107"/>
      <c r="BV572" s="107"/>
      <c r="BW572" s="107"/>
      <c r="BX572" s="107"/>
      <c r="BY572" s="107"/>
      <c r="BZ572" s="107"/>
      <c r="CA572" s="107"/>
      <c r="CB572" s="107"/>
      <c r="CC572" s="107"/>
      <c r="CD572" s="107"/>
      <c r="CE572" s="107"/>
      <c r="CF572" s="107"/>
      <c r="CG572" s="107"/>
      <c r="CH572" s="107"/>
      <c r="CI572" s="107"/>
      <c r="CJ572" s="107"/>
      <c r="CK572" s="107"/>
      <c r="CL572" s="107"/>
      <c r="CM572" s="107"/>
      <c r="CN572" s="107"/>
      <c r="CO572" s="107"/>
      <c r="CP572" s="107"/>
      <c r="CQ572" s="107"/>
      <c r="CR572" s="107"/>
      <c r="CS572" s="107"/>
      <c r="CT572" s="107"/>
      <c r="CU572" s="107"/>
      <c r="CV572" s="107"/>
    </row>
    <row r="573" customFormat="false" ht="14.9" hidden="false" customHeight="false" outlineLevel="0" collapsed="false">
      <c r="A573" s="74" t="n">
        <f aca="false">MONTH(B573)</f>
        <v>9</v>
      </c>
      <c r="B573" s="135" t="n">
        <v>44456</v>
      </c>
      <c r="C573" s="128" t="s">
        <v>152</v>
      </c>
      <c r="D573" s="77" t="str">
        <f aca="false">IFERROR(VLOOKUP(E:E,'Item Data Support Sheet'!A:O,7,0),"")</f>
        <v>HOOD MOLDED</v>
      </c>
      <c r="E573" s="80" t="s">
        <v>529</v>
      </c>
      <c r="F573" s="122"/>
      <c r="G573" s="137" t="s">
        <v>740</v>
      </c>
      <c r="H573" s="79" t="str">
        <f aca="false">IFERROR(VLOOKUP(E:E,'Item Data Support Sheet'!A:O,2,0),"")</f>
        <v>HOOD S TYPE MOLDED</v>
      </c>
      <c r="I573" s="80" t="s">
        <v>1186</v>
      </c>
      <c r="J573" s="80" t="s">
        <v>815</v>
      </c>
      <c r="K573" s="81" t="n">
        <v>8</v>
      </c>
      <c r="L573" s="124" t="n">
        <v>4137</v>
      </c>
      <c r="M573" s="83" t="n">
        <f aca="false">IFERROR(L573/K573,0)</f>
        <v>517.125</v>
      </c>
      <c r="N573" s="84" t="n">
        <f aca="false">+O573+Q573+T573+U573</f>
        <v>5020</v>
      </c>
      <c r="O573" s="85" t="n">
        <v>5000</v>
      </c>
      <c r="P573" s="86" t="n">
        <v>0.2</v>
      </c>
      <c r="Q573" s="86" t="n">
        <v>0</v>
      </c>
      <c r="R573" s="132" t="n">
        <v>0</v>
      </c>
      <c r="S573" s="128" t="n">
        <v>0</v>
      </c>
      <c r="T573" s="132" t="n">
        <v>12</v>
      </c>
      <c r="U573" s="128" t="n">
        <v>8</v>
      </c>
      <c r="V573" s="128" t="n">
        <v>1</v>
      </c>
      <c r="W573" s="90" t="n">
        <f aca="false">IFERROR(O573/V573,0)</f>
        <v>5000</v>
      </c>
      <c r="X573" s="91" t="n">
        <f aca="false">O573/L573</f>
        <v>1.20860526951898</v>
      </c>
      <c r="Y573" s="92" t="str">
        <f aca="false">IFERROR(VLOOKUP(E:E,'Item Data Support Sheet'!A:J,6,0),0)</f>
        <v>HMC</v>
      </c>
      <c r="Z573" s="93" t="n">
        <f aca="false">IFERROR(VLOOKUP(E:E,'Item Data Support Sheet'!A:O,4,0),0)</f>
        <v>8.6</v>
      </c>
      <c r="AA573" s="93" t="n">
        <f aca="false">IFERROR(((N573)*(Z573/1000))+P573,0)</f>
        <v>43.372</v>
      </c>
      <c r="AB573" s="94" t="n">
        <f aca="false">IFERROR((O573*(Z573/1000)/(AA573))," ")</f>
        <v>0.991423037904639</v>
      </c>
      <c r="AC573" s="95" t="n">
        <f aca="false">IFERROR((T573)/((T573)+O573),0)</f>
        <v>0.00239425379090184</v>
      </c>
      <c r="AD573" s="96" t="n">
        <f aca="false">IFERROR(Q573/(Q573+N573),0)</f>
        <v>0</v>
      </c>
      <c r="AE573" s="91" t="n">
        <f aca="false">(N573-T573)/N573</f>
        <v>0.997609561752988</v>
      </c>
      <c r="AF573" s="97" t="n">
        <f aca="false">BR573</f>
        <v>0</v>
      </c>
      <c r="AG573" s="98" t="n">
        <f aca="false">K573-AF573</f>
        <v>8</v>
      </c>
      <c r="AH573" s="99" t="n">
        <f aca="false">IFERROR(AG573/K573," ")</f>
        <v>1</v>
      </c>
      <c r="AI573" s="100" t="n">
        <f aca="false">IFERROR(O573/K573,0)</f>
        <v>625</v>
      </c>
      <c r="AJ573" s="101" t="n">
        <f aca="false">VLOOKUP(D573,'Standard Cycle time'!C:D,2,0)</f>
        <v>6</v>
      </c>
      <c r="AK573" s="101" t="n">
        <f aca="false">AG573*V573*3600/O573</f>
        <v>5.76</v>
      </c>
      <c r="AL573" s="102" t="n">
        <f aca="false">AJ573/AK573</f>
        <v>1.04166666666667</v>
      </c>
      <c r="AM573" s="99" t="n">
        <f aca="false">AE573*AL573*AH573</f>
        <v>1.03917662682603</v>
      </c>
      <c r="AN573" s="103" t="n">
        <v>3340</v>
      </c>
      <c r="AO573" s="112"/>
      <c r="AP573" s="105" t="n">
        <v>0</v>
      </c>
      <c r="AQ573" s="105" t="n">
        <v>0</v>
      </c>
      <c r="AR573" s="105" t="n">
        <v>0</v>
      </c>
      <c r="AS573" s="105" t="n">
        <v>0</v>
      </c>
      <c r="AT573" s="105" t="n">
        <v>0</v>
      </c>
      <c r="AU573" s="105" t="n">
        <v>0</v>
      </c>
      <c r="AV573" s="105" t="n">
        <v>0</v>
      </c>
      <c r="AW573" s="105" t="n">
        <v>0</v>
      </c>
      <c r="AX573" s="105" t="n">
        <v>0</v>
      </c>
      <c r="AY573" s="105" t="n">
        <v>0</v>
      </c>
      <c r="AZ573" s="105" t="n">
        <v>0</v>
      </c>
      <c r="BA573" s="105" t="n">
        <v>0</v>
      </c>
      <c r="BB573" s="105" t="n">
        <v>0</v>
      </c>
      <c r="BC573" s="105" t="n">
        <v>0</v>
      </c>
      <c r="BD573" s="105" t="n">
        <v>0</v>
      </c>
      <c r="BE573" s="105" t="n">
        <v>0</v>
      </c>
      <c r="BF573" s="105" t="n">
        <v>0</v>
      </c>
      <c r="BG573" s="105" t="n">
        <v>0</v>
      </c>
      <c r="BH573" s="105" t="n">
        <v>0</v>
      </c>
      <c r="BI573" s="105" t="n">
        <v>0</v>
      </c>
      <c r="BJ573" s="105" t="n">
        <v>0</v>
      </c>
      <c r="BK573" s="105" t="n">
        <v>0</v>
      </c>
      <c r="BL573" s="105" t="n">
        <v>0</v>
      </c>
      <c r="BM573" s="105" t="n">
        <v>0</v>
      </c>
      <c r="BN573" s="105" t="n">
        <v>0</v>
      </c>
      <c r="BO573" s="105" t="n">
        <v>0</v>
      </c>
      <c r="BP573" s="105" t="n">
        <v>0</v>
      </c>
      <c r="BQ573" s="105" t="n">
        <v>0</v>
      </c>
      <c r="BR573" s="106" t="n">
        <v>0</v>
      </c>
      <c r="BS573" s="106" t="n">
        <v>0</v>
      </c>
      <c r="BT573" s="107"/>
      <c r="BU573" s="107"/>
      <c r="BV573" s="107"/>
      <c r="BW573" s="107"/>
      <c r="BX573" s="107"/>
      <c r="BY573" s="107"/>
      <c r="BZ573" s="107"/>
      <c r="CA573" s="107"/>
      <c r="CB573" s="107"/>
      <c r="CC573" s="107"/>
      <c r="CD573" s="107"/>
      <c r="CE573" s="107"/>
      <c r="CF573" s="107"/>
      <c r="CG573" s="107"/>
      <c r="CH573" s="107"/>
      <c r="CI573" s="107"/>
      <c r="CJ573" s="107"/>
      <c r="CK573" s="107"/>
      <c r="CL573" s="107"/>
      <c r="CM573" s="107"/>
      <c r="CN573" s="107"/>
      <c r="CO573" s="107"/>
      <c r="CP573" s="107"/>
      <c r="CQ573" s="107"/>
      <c r="CR573" s="107"/>
      <c r="CS573" s="107"/>
      <c r="CT573" s="107"/>
      <c r="CU573" s="107"/>
      <c r="CV573" s="107"/>
    </row>
    <row r="574" customFormat="false" ht="14.9" hidden="false" customHeight="false" outlineLevel="0" collapsed="false">
      <c r="A574" s="74" t="n">
        <f aca="false">MONTH(B574)</f>
        <v>9</v>
      </c>
      <c r="B574" s="135" t="n">
        <v>44457</v>
      </c>
      <c r="C574" s="128" t="s">
        <v>51</v>
      </c>
      <c r="D574" s="77" t="str">
        <f aca="false">IFERROR(VLOOKUP(E:E,'Item Data Support Sheet'!A:O,7,0),"")</f>
        <v>BOTTLE MOLDED</v>
      </c>
      <c r="E574" s="80" t="s">
        <v>357</v>
      </c>
      <c r="F574" s="122" t="s">
        <v>144</v>
      </c>
      <c r="G574" s="137" t="s">
        <v>74</v>
      </c>
      <c r="H574" s="79" t="str">
        <f aca="false">IFERROR(VLOOKUP(E:E,'Item Data Support Sheet'!A:O,2,0),"")</f>
        <v>KPP 120 ML BOTTLE MOLDED</v>
      </c>
      <c r="I574" s="80" t="s">
        <v>1187</v>
      </c>
      <c r="J574" s="80" t="s">
        <v>143</v>
      </c>
      <c r="K574" s="81" t="n">
        <v>6</v>
      </c>
      <c r="L574" s="124" t="n">
        <v>1932</v>
      </c>
      <c r="M574" s="83" t="n">
        <f aca="false">IFERROR(L574/K574,0)</f>
        <v>322</v>
      </c>
      <c r="N574" s="84" t="n">
        <f aca="false">+O574+Q574+T574+U574</f>
        <v>2217</v>
      </c>
      <c r="O574" s="85" t="n">
        <v>2160</v>
      </c>
      <c r="P574" s="86" t="n">
        <v>0.12</v>
      </c>
      <c r="Q574" s="86" t="n">
        <v>21</v>
      </c>
      <c r="R574" s="132" t="n">
        <v>0</v>
      </c>
      <c r="S574" s="128" t="n">
        <v>0</v>
      </c>
      <c r="T574" s="132" t="n">
        <v>28</v>
      </c>
      <c r="U574" s="128" t="n">
        <v>8</v>
      </c>
      <c r="V574" s="128" t="n">
        <v>1</v>
      </c>
      <c r="W574" s="90" t="n">
        <f aca="false">IFERROR(O574/V574,0)</f>
        <v>2160</v>
      </c>
      <c r="X574" s="91" t="n">
        <f aca="false">O574/L574</f>
        <v>1.11801242236025</v>
      </c>
      <c r="Y574" s="92" t="str">
        <f aca="false">IFERROR(VLOOKUP(E:E,'Item Data Support Sheet'!A:J,6,0),0)</f>
        <v>HMC</v>
      </c>
      <c r="Z574" s="93" t="n">
        <f aca="false">IFERROR(VLOOKUP(E:E,'Item Data Support Sheet'!A:O,4,0),0)</f>
        <v>21.3</v>
      </c>
      <c r="AA574" s="93" t="n">
        <f aca="false">IFERROR(((N574)*(Z574/1000))+P574,0)</f>
        <v>47.3421</v>
      </c>
      <c r="AB574" s="94" t="n">
        <f aca="false">IFERROR((O574*(Z574/1000)/(AA574))," ")</f>
        <v>0.971820007984437</v>
      </c>
      <c r="AC574" s="95" t="n">
        <f aca="false">IFERROR((T574)/((T574)+O574),0)</f>
        <v>0.0127970749542962</v>
      </c>
      <c r="AD574" s="96" t="n">
        <f aca="false">IFERROR(Q574/(Q574+N574),0)</f>
        <v>0.00938337801608579</v>
      </c>
      <c r="AE574" s="91" t="n">
        <f aca="false">(N574-T574)/N574</f>
        <v>0.987370320252594</v>
      </c>
      <c r="AF574" s="97" t="n">
        <f aca="false">BR574</f>
        <v>0</v>
      </c>
      <c r="AG574" s="98" t="n">
        <f aca="false">K574-AF574</f>
        <v>6</v>
      </c>
      <c r="AH574" s="99" t="n">
        <f aca="false">IFERROR(AG574/K574," ")</f>
        <v>1</v>
      </c>
      <c r="AI574" s="100" t="n">
        <f aca="false">IFERROR(O574/K574,0)</f>
        <v>360</v>
      </c>
      <c r="AJ574" s="101" t="n">
        <f aca="false">VLOOKUP(D574,'Standard Cycle time'!C:D,2,0)</f>
        <v>9</v>
      </c>
      <c r="AK574" s="101" t="n">
        <f aca="false">AG574*V574*3600/O574</f>
        <v>10</v>
      </c>
      <c r="AL574" s="102" t="n">
        <f aca="false">AJ574/AK574</f>
        <v>0.9</v>
      </c>
      <c r="AM574" s="99" t="n">
        <f aca="false">AE574*AL574*AH574</f>
        <v>0.888633288227334</v>
      </c>
      <c r="AN574" s="103" t="n">
        <v>3361</v>
      </c>
      <c r="AO574" s="112"/>
      <c r="AP574" s="105" t="n">
        <v>0</v>
      </c>
      <c r="AQ574" s="105" t="n">
        <v>0</v>
      </c>
      <c r="AR574" s="105" t="n">
        <v>0</v>
      </c>
      <c r="AS574" s="105" t="n">
        <v>0</v>
      </c>
      <c r="AT574" s="105" t="n">
        <v>0</v>
      </c>
      <c r="AU574" s="105" t="n">
        <v>0</v>
      </c>
      <c r="AV574" s="105" t="n">
        <v>0</v>
      </c>
      <c r="AW574" s="105" t="n">
        <v>0</v>
      </c>
      <c r="AX574" s="105" t="n">
        <v>0</v>
      </c>
      <c r="AY574" s="105" t="n">
        <v>0</v>
      </c>
      <c r="AZ574" s="105" t="n">
        <v>0</v>
      </c>
      <c r="BA574" s="105" t="n">
        <v>0</v>
      </c>
      <c r="BB574" s="105" t="n">
        <v>0</v>
      </c>
      <c r="BC574" s="105" t="n">
        <v>0</v>
      </c>
      <c r="BD574" s="105" t="n">
        <v>0</v>
      </c>
      <c r="BE574" s="105" t="n">
        <v>0</v>
      </c>
      <c r="BF574" s="105" t="n">
        <v>0</v>
      </c>
      <c r="BG574" s="105" t="n">
        <v>0</v>
      </c>
      <c r="BH574" s="105" t="n">
        <v>0</v>
      </c>
      <c r="BI574" s="105" t="n">
        <v>0</v>
      </c>
      <c r="BJ574" s="105" t="n">
        <v>0</v>
      </c>
      <c r="BK574" s="105" t="n">
        <v>0</v>
      </c>
      <c r="BL574" s="105" t="n">
        <v>0</v>
      </c>
      <c r="BM574" s="105" t="n">
        <v>0</v>
      </c>
      <c r="BN574" s="105" t="n">
        <v>0</v>
      </c>
      <c r="BO574" s="105" t="n">
        <v>0</v>
      </c>
      <c r="BP574" s="105" t="n">
        <v>0</v>
      </c>
      <c r="BQ574" s="105" t="n">
        <v>0</v>
      </c>
      <c r="BR574" s="106" t="n">
        <v>0</v>
      </c>
      <c r="BS574" s="106" t="n">
        <v>0</v>
      </c>
      <c r="BT574" s="107"/>
      <c r="BU574" s="107"/>
      <c r="BV574" s="107"/>
      <c r="BW574" s="107"/>
      <c r="BX574" s="107"/>
      <c r="BY574" s="107"/>
      <c r="BZ574" s="107"/>
      <c r="CA574" s="107"/>
      <c r="CB574" s="107"/>
      <c r="CC574" s="107"/>
      <c r="CD574" s="107"/>
      <c r="CE574" s="107"/>
      <c r="CF574" s="107"/>
      <c r="CG574" s="107"/>
      <c r="CH574" s="107"/>
      <c r="CI574" s="107"/>
      <c r="CJ574" s="107"/>
      <c r="CK574" s="107"/>
      <c r="CL574" s="107"/>
      <c r="CM574" s="107"/>
      <c r="CN574" s="107"/>
      <c r="CO574" s="107"/>
      <c r="CP574" s="107"/>
      <c r="CQ574" s="107"/>
      <c r="CR574" s="107"/>
      <c r="CS574" s="107"/>
      <c r="CT574" s="107"/>
      <c r="CU574" s="107"/>
      <c r="CV574" s="107"/>
    </row>
    <row r="575" customFormat="false" ht="14.9" hidden="false" customHeight="false" outlineLevel="0" collapsed="false">
      <c r="A575" s="74" t="n">
        <f aca="false">MONTH(B575)</f>
        <v>9</v>
      </c>
      <c r="B575" s="135" t="n">
        <v>44457</v>
      </c>
      <c r="C575" s="128" t="s">
        <v>51</v>
      </c>
      <c r="D575" s="77" t="str">
        <f aca="false">IFERROR(VLOOKUP(E:E,'Item Data Support Sheet'!A:O,7,0),"")</f>
        <v>NIPPLE MOLDED</v>
      </c>
      <c r="E575" s="80" t="s">
        <v>661</v>
      </c>
      <c r="F575" s="122" t="s">
        <v>137</v>
      </c>
      <c r="G575" s="137" t="s">
        <v>138</v>
      </c>
      <c r="H575" s="79" t="str">
        <f aca="false">IFERROR(VLOOKUP(E:E,'Item Data Support Sheet'!A:O,2,0),"")</f>
        <v>NIPPLE S TYPE L SIZE INJECTION</v>
      </c>
      <c r="I575" s="80" t="s">
        <v>1188</v>
      </c>
      <c r="J575" s="80" t="s">
        <v>143</v>
      </c>
      <c r="K575" s="81" t="n">
        <v>6</v>
      </c>
      <c r="L575" s="124" t="n">
        <v>3612</v>
      </c>
      <c r="M575" s="83" t="n">
        <f aca="false">IFERROR(L575/K575,0)</f>
        <v>602</v>
      </c>
      <c r="N575" s="84" t="n">
        <f aca="false">+O575+Q575+T575+U575</f>
        <v>3429</v>
      </c>
      <c r="O575" s="85" t="n">
        <v>3365</v>
      </c>
      <c r="P575" s="86" t="n">
        <v>0.38</v>
      </c>
      <c r="Q575" s="86" t="n">
        <v>24</v>
      </c>
      <c r="R575" s="132" t="n">
        <v>0</v>
      </c>
      <c r="S575" s="128" t="n">
        <v>0</v>
      </c>
      <c r="T575" s="132" t="n">
        <v>32</v>
      </c>
      <c r="U575" s="128" t="n">
        <v>8</v>
      </c>
      <c r="V575" s="128" t="n">
        <v>1</v>
      </c>
      <c r="W575" s="90" t="n">
        <f aca="false">IFERROR(O575/V575,0)</f>
        <v>3365</v>
      </c>
      <c r="X575" s="91" t="n">
        <f aca="false">O575/L575</f>
        <v>0.931616832779623</v>
      </c>
      <c r="Y575" s="92" t="str">
        <f aca="false">IFERROR(VLOOKUP(E:E,'Item Data Support Sheet'!A:J,6,0),0)</f>
        <v>Silicon</v>
      </c>
      <c r="Z575" s="93" t="n">
        <f aca="false">IFERROR(VLOOKUP(E:E,'Item Data Support Sheet'!A:O,4,0),0)</f>
        <v>6.8</v>
      </c>
      <c r="AA575" s="93" t="n">
        <f aca="false">IFERROR(((N575)*(Z575/1000))+P575,0)</f>
        <v>23.6972</v>
      </c>
      <c r="AB575" s="94" t="n">
        <f aca="false">IFERROR((O575*(Z575/1000)/(AA575))," ")</f>
        <v>0.965599311311041</v>
      </c>
      <c r="AC575" s="95" t="n">
        <f aca="false">IFERROR((T575)/((T575)+O575),0)</f>
        <v>0.00942007653812187</v>
      </c>
      <c r="AD575" s="96" t="n">
        <f aca="false">IFERROR(Q575/(Q575+N575),0)</f>
        <v>0.00695047784535187</v>
      </c>
      <c r="AE575" s="91" t="n">
        <f aca="false">(N575-T575)/N575</f>
        <v>0.990667833187518</v>
      </c>
      <c r="AF575" s="97" t="n">
        <f aca="false">BR575</f>
        <v>0</v>
      </c>
      <c r="AG575" s="98" t="n">
        <f aca="false">K575-AF575</f>
        <v>6</v>
      </c>
      <c r="AH575" s="99" t="n">
        <f aca="false">IFERROR(AG575/K575," ")</f>
        <v>1</v>
      </c>
      <c r="AI575" s="100" t="n">
        <f aca="false">IFERROR(O575/K575,0)</f>
        <v>560.833333333333</v>
      </c>
      <c r="AJ575" s="101" t="n">
        <f aca="false">VLOOKUP(D575,'Standard Cycle time'!C:D,2,0)</f>
        <v>5.25</v>
      </c>
      <c r="AK575" s="101" t="n">
        <f aca="false">AG575*V575*3600/O575</f>
        <v>6.41901931649331</v>
      </c>
      <c r="AL575" s="102" t="n">
        <f aca="false">AJ575/AK575</f>
        <v>0.817881944444444</v>
      </c>
      <c r="AM575" s="99" t="n">
        <f aca="false">AE575*AL575*AH575</f>
        <v>0.810249333705972</v>
      </c>
      <c r="AN575" s="103" t="n">
        <v>3358</v>
      </c>
      <c r="AO575" s="112"/>
      <c r="AP575" s="105" t="n">
        <v>0</v>
      </c>
      <c r="AQ575" s="105" t="n">
        <v>0</v>
      </c>
      <c r="AR575" s="105" t="n">
        <v>0</v>
      </c>
      <c r="AS575" s="105" t="n">
        <v>0</v>
      </c>
      <c r="AT575" s="105" t="n">
        <v>0</v>
      </c>
      <c r="AU575" s="105" t="n">
        <v>0</v>
      </c>
      <c r="AV575" s="105" t="n">
        <v>0</v>
      </c>
      <c r="AW575" s="105" t="n">
        <v>0</v>
      </c>
      <c r="AX575" s="105" t="n">
        <v>0</v>
      </c>
      <c r="AY575" s="105" t="n">
        <v>0</v>
      </c>
      <c r="AZ575" s="105" t="n">
        <v>0</v>
      </c>
      <c r="BA575" s="105" t="n">
        <v>0</v>
      </c>
      <c r="BB575" s="105" t="n">
        <v>0</v>
      </c>
      <c r="BC575" s="105" t="n">
        <v>0</v>
      </c>
      <c r="BD575" s="105" t="n">
        <v>0</v>
      </c>
      <c r="BE575" s="105" t="n">
        <v>0</v>
      </c>
      <c r="BF575" s="105" t="n">
        <v>0</v>
      </c>
      <c r="BG575" s="105" t="n">
        <v>0</v>
      </c>
      <c r="BH575" s="105" t="n">
        <v>0</v>
      </c>
      <c r="BI575" s="105" t="n">
        <v>0</v>
      </c>
      <c r="BJ575" s="105" t="n">
        <v>0</v>
      </c>
      <c r="BK575" s="105" t="n">
        <v>0</v>
      </c>
      <c r="BL575" s="105" t="n">
        <v>0</v>
      </c>
      <c r="BM575" s="105" t="n">
        <v>0</v>
      </c>
      <c r="BN575" s="105" t="n">
        <v>0</v>
      </c>
      <c r="BO575" s="105" t="n">
        <v>0</v>
      </c>
      <c r="BP575" s="105" t="n">
        <v>0</v>
      </c>
      <c r="BQ575" s="105" t="n">
        <v>0</v>
      </c>
      <c r="BR575" s="106" t="n">
        <v>0</v>
      </c>
      <c r="BS575" s="106" t="n">
        <v>0</v>
      </c>
      <c r="BT575" s="107"/>
      <c r="BU575" s="107"/>
      <c r="BV575" s="107"/>
      <c r="BW575" s="107"/>
      <c r="BX575" s="107"/>
      <c r="BY575" s="107"/>
      <c r="BZ575" s="107"/>
      <c r="CA575" s="107"/>
      <c r="CB575" s="107"/>
      <c r="CC575" s="107"/>
      <c r="CD575" s="107"/>
      <c r="CE575" s="107"/>
      <c r="CF575" s="107"/>
      <c r="CG575" s="107"/>
      <c r="CH575" s="107"/>
      <c r="CI575" s="107"/>
      <c r="CJ575" s="107"/>
      <c r="CK575" s="107"/>
      <c r="CL575" s="107"/>
      <c r="CM575" s="107"/>
      <c r="CN575" s="107"/>
      <c r="CO575" s="107"/>
      <c r="CP575" s="107"/>
      <c r="CQ575" s="107"/>
      <c r="CR575" s="107"/>
      <c r="CS575" s="107"/>
      <c r="CT575" s="107"/>
      <c r="CU575" s="107"/>
      <c r="CV575" s="107"/>
    </row>
    <row r="576" customFormat="false" ht="14.9" hidden="false" customHeight="false" outlineLevel="0" collapsed="false">
      <c r="A576" s="74" t="n">
        <f aca="false">MONTH(B576)</f>
        <v>9</v>
      </c>
      <c r="B576" s="135" t="n">
        <v>44457</v>
      </c>
      <c r="C576" s="128" t="s">
        <v>51</v>
      </c>
      <c r="D576" s="77" t="str">
        <f aca="false">IFERROR(VLOOKUP(E:E,'Item Data Support Sheet'!A:O,7,0),"")</f>
        <v>HOOD MOLDED</v>
      </c>
      <c r="E576" s="80" t="s">
        <v>529</v>
      </c>
      <c r="F576" s="122"/>
      <c r="G576" s="137" t="s">
        <v>740</v>
      </c>
      <c r="H576" s="79" t="str">
        <f aca="false">IFERROR(VLOOKUP(E:E,'Item Data Support Sheet'!A:O,2,0),"")</f>
        <v>HOOD S TYPE MOLDED</v>
      </c>
      <c r="I576" s="80" t="s">
        <v>1189</v>
      </c>
      <c r="J576" s="80" t="s">
        <v>143</v>
      </c>
      <c r="K576" s="81" t="n">
        <v>4</v>
      </c>
      <c r="L576" s="124" t="n">
        <v>2068.5</v>
      </c>
      <c r="M576" s="83" t="n">
        <f aca="false">IFERROR(L576/K576,0)</f>
        <v>517.125</v>
      </c>
      <c r="N576" s="84" t="n">
        <f aca="false">+O576+Q576+T576+U576</f>
        <v>2546</v>
      </c>
      <c r="O576" s="85" t="n">
        <v>2523</v>
      </c>
      <c r="P576" s="86" t="n">
        <v>0</v>
      </c>
      <c r="Q576" s="86" t="n">
        <v>0</v>
      </c>
      <c r="R576" s="132" t="n">
        <v>0</v>
      </c>
      <c r="S576" s="128" t="n">
        <v>0</v>
      </c>
      <c r="T576" s="132" t="n">
        <v>15</v>
      </c>
      <c r="U576" s="128" t="n">
        <v>8</v>
      </c>
      <c r="V576" s="128" t="n">
        <v>1</v>
      </c>
      <c r="W576" s="90" t="n">
        <f aca="false">IFERROR(O576/V576,0)</f>
        <v>2523</v>
      </c>
      <c r="X576" s="91" t="n">
        <f aca="false">O576/L576</f>
        <v>1.21972443799855</v>
      </c>
      <c r="Y576" s="92" t="str">
        <f aca="false">IFERROR(VLOOKUP(E:E,'Item Data Support Sheet'!A:J,6,0),0)</f>
        <v>HMC</v>
      </c>
      <c r="Z576" s="93" t="n">
        <f aca="false">IFERROR(VLOOKUP(E:E,'Item Data Support Sheet'!A:O,4,0),0)</f>
        <v>8.6</v>
      </c>
      <c r="AA576" s="93" t="n">
        <f aca="false">IFERROR(((N576)*(Z576/1000))+P576,0)</f>
        <v>21.8956</v>
      </c>
      <c r="AB576" s="94" t="n">
        <f aca="false">IFERROR((O576*(Z576/1000)/(AA576))," ")</f>
        <v>0.990966221523959</v>
      </c>
      <c r="AC576" s="95" t="n">
        <f aca="false">IFERROR((T576)/((T576)+O576),0)</f>
        <v>0.00591016548463357</v>
      </c>
      <c r="AD576" s="96" t="n">
        <f aca="false">IFERROR(Q576/(Q576+N576),0)</f>
        <v>0</v>
      </c>
      <c r="AE576" s="91" t="n">
        <f aca="false">(N576-T576)/N576</f>
        <v>0.994108405341713</v>
      </c>
      <c r="AF576" s="97" t="n">
        <f aca="false">BR576</f>
        <v>0</v>
      </c>
      <c r="AG576" s="98" t="n">
        <f aca="false">K576-AF576</f>
        <v>4</v>
      </c>
      <c r="AH576" s="99" t="n">
        <f aca="false">IFERROR(AG576/K576," ")</f>
        <v>1</v>
      </c>
      <c r="AI576" s="100" t="n">
        <f aca="false">IFERROR(O576/K576,0)</f>
        <v>630.75</v>
      </c>
      <c r="AJ576" s="101" t="n">
        <f aca="false">VLOOKUP(D576,'Standard Cycle time'!C:D,2,0)</f>
        <v>6</v>
      </c>
      <c r="AK576" s="101" t="n">
        <f aca="false">AG576*V576*3600/O576</f>
        <v>5.70749108204518</v>
      </c>
      <c r="AL576" s="102" t="n">
        <f aca="false">AJ576/AK576</f>
        <v>1.05125</v>
      </c>
      <c r="AM576" s="99" t="n">
        <f aca="false">AE576*AL576*AH576</f>
        <v>1.04505646111548</v>
      </c>
      <c r="AN576" s="103" t="n">
        <v>3359</v>
      </c>
      <c r="AO576" s="112"/>
      <c r="AP576" s="105" t="n">
        <v>0</v>
      </c>
      <c r="AQ576" s="105" t="n">
        <v>0</v>
      </c>
      <c r="AR576" s="105" t="n">
        <v>0</v>
      </c>
      <c r="AS576" s="105" t="n">
        <v>0</v>
      </c>
      <c r="AT576" s="105" t="n">
        <v>0</v>
      </c>
      <c r="AU576" s="105" t="n">
        <v>0</v>
      </c>
      <c r="AV576" s="105" t="n">
        <v>0</v>
      </c>
      <c r="AW576" s="105" t="n">
        <v>0</v>
      </c>
      <c r="AX576" s="105" t="n">
        <v>0</v>
      </c>
      <c r="AY576" s="105" t="n">
        <v>0</v>
      </c>
      <c r="AZ576" s="105" t="n">
        <v>0</v>
      </c>
      <c r="BA576" s="105" t="n">
        <v>0</v>
      </c>
      <c r="BB576" s="105" t="n">
        <v>0</v>
      </c>
      <c r="BC576" s="105" t="n">
        <v>0</v>
      </c>
      <c r="BD576" s="105" t="n">
        <v>0</v>
      </c>
      <c r="BE576" s="105" t="n">
        <v>0</v>
      </c>
      <c r="BF576" s="105" t="n">
        <v>0</v>
      </c>
      <c r="BG576" s="105" t="n">
        <v>0</v>
      </c>
      <c r="BH576" s="105" t="n">
        <v>0</v>
      </c>
      <c r="BI576" s="105" t="n">
        <v>0</v>
      </c>
      <c r="BJ576" s="105" t="n">
        <v>0</v>
      </c>
      <c r="BK576" s="105" t="n">
        <v>0</v>
      </c>
      <c r="BL576" s="105" t="n">
        <v>0</v>
      </c>
      <c r="BM576" s="105" t="n">
        <v>0</v>
      </c>
      <c r="BN576" s="105" t="n">
        <v>0</v>
      </c>
      <c r="BO576" s="105" t="n">
        <v>0</v>
      </c>
      <c r="BP576" s="105" t="n">
        <v>0</v>
      </c>
      <c r="BQ576" s="105" t="n">
        <v>0</v>
      </c>
      <c r="BR576" s="106" t="n">
        <v>0</v>
      </c>
      <c r="BS576" s="106" t="n">
        <v>0</v>
      </c>
      <c r="BT576" s="107"/>
      <c r="BU576" s="107"/>
      <c r="BV576" s="107"/>
      <c r="BW576" s="107"/>
      <c r="BX576" s="107"/>
      <c r="BY576" s="107"/>
      <c r="BZ576" s="107"/>
      <c r="CA576" s="107"/>
      <c r="CB576" s="107"/>
      <c r="CC576" s="107"/>
      <c r="CD576" s="107"/>
      <c r="CE576" s="107"/>
      <c r="CF576" s="107"/>
      <c r="CG576" s="107"/>
      <c r="CH576" s="107"/>
      <c r="CI576" s="107"/>
      <c r="CJ576" s="107"/>
      <c r="CK576" s="107"/>
      <c r="CL576" s="107"/>
      <c r="CM576" s="107"/>
      <c r="CN576" s="107"/>
      <c r="CO576" s="107"/>
      <c r="CP576" s="107"/>
      <c r="CQ576" s="107"/>
      <c r="CR576" s="107"/>
      <c r="CS576" s="107"/>
      <c r="CT576" s="107"/>
      <c r="CU576" s="107"/>
      <c r="CV576" s="107"/>
    </row>
    <row r="577" customFormat="false" ht="14.9" hidden="false" customHeight="false" outlineLevel="0" collapsed="false">
      <c r="A577" s="74" t="n">
        <f aca="false">MONTH(B577)</f>
        <v>9</v>
      </c>
      <c r="B577" s="135" t="n">
        <v>44457</v>
      </c>
      <c r="C577" s="128" t="s">
        <v>51</v>
      </c>
      <c r="D577" s="77" t="str">
        <f aca="false">IFERROR(VLOOKUP(E:E,'Item Data Support Sheet'!A:O,7,0),"")</f>
        <v>NIPPLE PUNCH</v>
      </c>
      <c r="E577" s="80" t="s">
        <v>666</v>
      </c>
      <c r="F577" s="122"/>
      <c r="G577" s="137" t="s">
        <v>54</v>
      </c>
      <c r="H577" s="79" t="str">
        <f aca="false">IFERROR(VLOOKUP(E:E,'Item Data Support Sheet'!A:O,2,0),"")</f>
        <v>NIPPLE S TYPE L SIZE PUNCHED</v>
      </c>
      <c r="I577" s="80" t="s">
        <v>1190</v>
      </c>
      <c r="J577" s="80" t="s">
        <v>143</v>
      </c>
      <c r="K577" s="81" t="n">
        <v>6</v>
      </c>
      <c r="L577" s="124" t="n">
        <v>5250</v>
      </c>
      <c r="M577" s="83" t="n">
        <f aca="false">IFERROR(L577/K577,0)</f>
        <v>875</v>
      </c>
      <c r="N577" s="84" t="n">
        <f aca="false">+O577+Q577+T577+U577</f>
        <v>5300</v>
      </c>
      <c r="O577" s="85" t="n">
        <v>5288</v>
      </c>
      <c r="P577" s="86" t="n">
        <v>0</v>
      </c>
      <c r="Q577" s="86" t="n">
        <v>0</v>
      </c>
      <c r="R577" s="132" t="n">
        <v>0</v>
      </c>
      <c r="S577" s="128" t="n">
        <v>0</v>
      </c>
      <c r="T577" s="132" t="n">
        <v>12</v>
      </c>
      <c r="U577" s="128" t="n">
        <v>0</v>
      </c>
      <c r="V577" s="128" t="n">
        <v>1</v>
      </c>
      <c r="W577" s="90" t="n">
        <f aca="false">IFERROR(O577/V577,0)</f>
        <v>5288</v>
      </c>
      <c r="X577" s="91" t="n">
        <f aca="false">O577/L577</f>
        <v>1.0072380952381</v>
      </c>
      <c r="Y577" s="92" t="str">
        <f aca="false">IFERROR(VLOOKUP(E:E,'Item Data Support Sheet'!A:J,6,0),0)</f>
        <v>FO017</v>
      </c>
      <c r="Z577" s="93" t="n">
        <f aca="false">IFERROR(VLOOKUP(E:E,'Item Data Support Sheet'!A:O,4,0),0)</f>
        <v>0</v>
      </c>
      <c r="AA577" s="93" t="n">
        <f aca="false">IFERROR(((N577)*(Z577/1000))+P577,0)</f>
        <v>0</v>
      </c>
      <c r="AB577" s="94" t="str">
        <f aca="false">IFERROR((O577*(Z577/1000)/(AA577))," ")</f>
        <v> </v>
      </c>
      <c r="AC577" s="95" t="n">
        <f aca="false">IFERROR((T577)/((T577)+O577),0)</f>
        <v>0.00226415094339623</v>
      </c>
      <c r="AD577" s="96" t="n">
        <f aca="false">IFERROR(Q577/(Q577+N577),0)</f>
        <v>0</v>
      </c>
      <c r="AE577" s="91" t="n">
        <f aca="false">(N577-T577)/N577</f>
        <v>0.997735849056604</v>
      </c>
      <c r="AF577" s="97" t="n">
        <f aca="false">BR577</f>
        <v>0</v>
      </c>
      <c r="AG577" s="98" t="n">
        <f aca="false">K577-AF577</f>
        <v>6</v>
      </c>
      <c r="AH577" s="99" t="n">
        <f aca="false">IFERROR(AG577/K577," ")</f>
        <v>1</v>
      </c>
      <c r="AI577" s="100" t="n">
        <f aca="false">IFERROR(O577/K577,0)</f>
        <v>881.333333333333</v>
      </c>
      <c r="AJ577" s="101" t="n">
        <f aca="false">VLOOKUP(D577,'Standard Cycle time'!C:D,2,0)</f>
        <v>3.5</v>
      </c>
      <c r="AK577" s="101" t="n">
        <f aca="false">AG577*V577*3600/O577</f>
        <v>4.08472012102874</v>
      </c>
      <c r="AL577" s="102" t="n">
        <f aca="false">AJ577/AK577</f>
        <v>0.856851851851852</v>
      </c>
      <c r="AM577" s="99" t="n">
        <f aca="false">AE577*AL577*AH577</f>
        <v>0.854911809923131</v>
      </c>
      <c r="AN577" s="103" t="n">
        <v>3360</v>
      </c>
      <c r="AO577" s="112"/>
      <c r="AP577" s="105" t="n">
        <v>0</v>
      </c>
      <c r="AQ577" s="105" t="n">
        <v>0</v>
      </c>
      <c r="AR577" s="105" t="n">
        <v>0</v>
      </c>
      <c r="AS577" s="105" t="n">
        <v>0</v>
      </c>
      <c r="AT577" s="105" t="n">
        <v>0</v>
      </c>
      <c r="AU577" s="105" t="n">
        <v>0</v>
      </c>
      <c r="AV577" s="105" t="n">
        <v>0</v>
      </c>
      <c r="AW577" s="105" t="n">
        <v>0</v>
      </c>
      <c r="AX577" s="105" t="n">
        <v>0</v>
      </c>
      <c r="AY577" s="105" t="n">
        <v>0</v>
      </c>
      <c r="AZ577" s="105" t="n">
        <v>0</v>
      </c>
      <c r="BA577" s="105" t="n">
        <v>0</v>
      </c>
      <c r="BB577" s="105" t="n">
        <v>0</v>
      </c>
      <c r="BC577" s="105" t="n">
        <v>0</v>
      </c>
      <c r="BD577" s="105" t="n">
        <v>0</v>
      </c>
      <c r="BE577" s="105" t="n">
        <v>0</v>
      </c>
      <c r="BF577" s="105" t="n">
        <v>0</v>
      </c>
      <c r="BG577" s="105" t="n">
        <v>0</v>
      </c>
      <c r="BH577" s="105" t="n">
        <v>0</v>
      </c>
      <c r="BI577" s="105" t="n">
        <v>0</v>
      </c>
      <c r="BJ577" s="105" t="n">
        <v>0</v>
      </c>
      <c r="BK577" s="105" t="n">
        <v>0</v>
      </c>
      <c r="BL577" s="105" t="n">
        <v>0</v>
      </c>
      <c r="BM577" s="105" t="n">
        <v>0</v>
      </c>
      <c r="BN577" s="105" t="n">
        <v>0</v>
      </c>
      <c r="BO577" s="105" t="n">
        <v>0</v>
      </c>
      <c r="BP577" s="105" t="n">
        <v>0</v>
      </c>
      <c r="BQ577" s="105" t="n">
        <v>0</v>
      </c>
      <c r="BR577" s="106" t="n">
        <v>0</v>
      </c>
      <c r="BS577" s="106" t="n">
        <v>0</v>
      </c>
      <c r="BT577" s="107"/>
      <c r="BU577" s="107"/>
      <c r="BV577" s="107"/>
      <c r="BW577" s="107"/>
      <c r="BX577" s="107"/>
      <c r="BY577" s="107"/>
      <c r="BZ577" s="107"/>
      <c r="CA577" s="107"/>
      <c r="CB577" s="107"/>
      <c r="CC577" s="107"/>
      <c r="CD577" s="107"/>
      <c r="CE577" s="107"/>
      <c r="CF577" s="107"/>
      <c r="CG577" s="107"/>
      <c r="CH577" s="107"/>
      <c r="CI577" s="107"/>
      <c r="CJ577" s="107"/>
      <c r="CK577" s="107"/>
      <c r="CL577" s="107"/>
      <c r="CM577" s="107"/>
      <c r="CN577" s="107"/>
      <c r="CO577" s="107"/>
      <c r="CP577" s="107"/>
      <c r="CQ577" s="107"/>
      <c r="CR577" s="107"/>
      <c r="CS577" s="107"/>
      <c r="CT577" s="107"/>
      <c r="CU577" s="107"/>
      <c r="CV577" s="107"/>
    </row>
    <row r="578" customFormat="false" ht="14.9" hidden="false" customHeight="false" outlineLevel="0" collapsed="false">
      <c r="A578" s="74" t="n">
        <f aca="false">MONTH(B578)</f>
        <v>9</v>
      </c>
      <c r="B578" s="135" t="n">
        <v>44457</v>
      </c>
      <c r="C578" s="128" t="s">
        <v>51</v>
      </c>
      <c r="D578" s="77" t="str">
        <f aca="false">IFERROR(VLOOKUP(E:E,'Item Data Support Sheet'!A:O,7,0),"")</f>
        <v>BOTTLE PRINTED</v>
      </c>
      <c r="E578" s="80" t="s">
        <v>270</v>
      </c>
      <c r="F578" s="122"/>
      <c r="G578" s="137"/>
      <c r="H578" s="79" t="str">
        <f aca="false">IFERROR(VLOOKUP(E:E,'Item Data Support Sheet'!A:O,2,0),"")</f>
        <v>RPP 120 ML BOTTLE PRINTED</v>
      </c>
      <c r="I578" s="80" t="s">
        <v>1191</v>
      </c>
      <c r="J578" s="80" t="s">
        <v>161</v>
      </c>
      <c r="K578" s="81" t="n">
        <v>5</v>
      </c>
      <c r="L578" s="124" t="n">
        <v>3300</v>
      </c>
      <c r="M578" s="83" t="n">
        <f aca="false">IFERROR(L578/K578,0)</f>
        <v>660</v>
      </c>
      <c r="N578" s="84" t="n">
        <f aca="false">+O578+Q578+T578+U578</f>
        <v>2466</v>
      </c>
      <c r="O578" s="85" t="n">
        <v>2384</v>
      </c>
      <c r="P578" s="86" t="n">
        <v>0</v>
      </c>
      <c r="Q578" s="86" t="n">
        <v>0</v>
      </c>
      <c r="R578" s="132" t="n">
        <v>18</v>
      </c>
      <c r="S578" s="128" t="n">
        <v>0</v>
      </c>
      <c r="T578" s="132" t="n">
        <v>82</v>
      </c>
      <c r="U578" s="128" t="n">
        <v>0</v>
      </c>
      <c r="V578" s="128" t="n">
        <v>5</v>
      </c>
      <c r="W578" s="90" t="n">
        <f aca="false">IFERROR(O578/V578,0)</f>
        <v>476.8</v>
      </c>
      <c r="X578" s="91" t="n">
        <f aca="false">O578/L578</f>
        <v>0.722424242424242</v>
      </c>
      <c r="Y578" s="92" t="str">
        <f aca="false">IFERROR(VLOOKUP(E:E,'Item Data Support Sheet'!A:J,6,0),0)</f>
        <v>FO004</v>
      </c>
      <c r="Z578" s="93" t="n">
        <f aca="false">IFERROR(VLOOKUP(E:E,'Item Data Support Sheet'!A:O,4,0),0)</f>
        <v>0</v>
      </c>
      <c r="AA578" s="93" t="n">
        <f aca="false">IFERROR(((N578)*(Z578/1000))+P578,0)</f>
        <v>0</v>
      </c>
      <c r="AB578" s="94" t="str">
        <f aca="false">IFERROR((O578*(Z578/1000)/(AA578))," ")</f>
        <v> </v>
      </c>
      <c r="AC578" s="95" t="n">
        <f aca="false">IFERROR((T578)/((T578)+O578),0)</f>
        <v>0.0332522303325223</v>
      </c>
      <c r="AD578" s="96" t="n">
        <f aca="false">IFERROR(Q578/(Q578+N578),0)</f>
        <v>0</v>
      </c>
      <c r="AE578" s="91" t="n">
        <f aca="false">(N578-T578)/N578</f>
        <v>0.966747769667478</v>
      </c>
      <c r="AF578" s="97" t="n">
        <f aca="false">BR578</f>
        <v>1.16666666666667</v>
      </c>
      <c r="AG578" s="98" t="n">
        <f aca="false">K578-AF578</f>
        <v>3.83333333333333</v>
      </c>
      <c r="AH578" s="99" t="n">
        <f aca="false">IFERROR(AG578/K578," ")</f>
        <v>0.766666666666666</v>
      </c>
      <c r="AI578" s="100" t="n">
        <f aca="false">IFERROR(O578/K578,0)</f>
        <v>476.8</v>
      </c>
      <c r="AJ578" s="101" t="n">
        <f aca="false">VLOOKUP(D578,'Standard Cycle time'!C:D,2,0)</f>
        <v>32.4</v>
      </c>
      <c r="AK578" s="101" t="n">
        <f aca="false">AG578*V578*3600/O578</f>
        <v>28.9429530201342</v>
      </c>
      <c r="AL578" s="102" t="n">
        <f aca="false">AJ578/AK578</f>
        <v>1.11944347826087</v>
      </c>
      <c r="AM578" s="99" t="n">
        <f aca="false">AE578*AL578*AH578</f>
        <v>0.829701605839416</v>
      </c>
      <c r="AN578" s="103" t="s">
        <v>1192</v>
      </c>
      <c r="AO578" s="112" t="s">
        <v>1193</v>
      </c>
      <c r="AP578" s="105" t="n">
        <v>0</v>
      </c>
      <c r="AQ578" s="105" t="n">
        <v>70</v>
      </c>
      <c r="AR578" s="105" t="n">
        <v>0</v>
      </c>
      <c r="AS578" s="105" t="n">
        <v>0</v>
      </c>
      <c r="AT578" s="105" t="n">
        <v>0</v>
      </c>
      <c r="AU578" s="105" t="n">
        <v>0</v>
      </c>
      <c r="AV578" s="105" t="n">
        <v>0</v>
      </c>
      <c r="AW578" s="105" t="n">
        <v>0</v>
      </c>
      <c r="AX578" s="105" t="n">
        <v>0</v>
      </c>
      <c r="AY578" s="105" t="n">
        <v>0</v>
      </c>
      <c r="AZ578" s="105" t="n">
        <v>0</v>
      </c>
      <c r="BA578" s="105" t="n">
        <v>0</v>
      </c>
      <c r="BB578" s="105" t="n">
        <v>0</v>
      </c>
      <c r="BC578" s="105" t="n">
        <v>0</v>
      </c>
      <c r="BD578" s="105" t="n">
        <v>0</v>
      </c>
      <c r="BE578" s="105" t="n">
        <v>0</v>
      </c>
      <c r="BF578" s="105" t="n">
        <v>0</v>
      </c>
      <c r="BG578" s="105" t="n">
        <v>0</v>
      </c>
      <c r="BH578" s="105" t="n">
        <v>0</v>
      </c>
      <c r="BI578" s="105" t="n">
        <v>0</v>
      </c>
      <c r="BJ578" s="105" t="n">
        <v>0</v>
      </c>
      <c r="BK578" s="105" t="n">
        <v>0</v>
      </c>
      <c r="BL578" s="105" t="n">
        <v>0</v>
      </c>
      <c r="BM578" s="105" t="n">
        <v>0</v>
      </c>
      <c r="BN578" s="105" t="n">
        <v>0</v>
      </c>
      <c r="BO578" s="105" t="n">
        <v>0</v>
      </c>
      <c r="BP578" s="105" t="n">
        <v>0</v>
      </c>
      <c r="BQ578" s="105" t="n">
        <v>0</v>
      </c>
      <c r="BR578" s="106" t="n">
        <v>1.16666666666667</v>
      </c>
      <c r="BS578" s="106" t="n">
        <v>1.18611111111111</v>
      </c>
      <c r="BT578" s="107"/>
      <c r="BU578" s="107"/>
      <c r="BV578" s="107"/>
      <c r="BW578" s="107"/>
      <c r="BX578" s="107"/>
      <c r="BY578" s="107"/>
      <c r="BZ578" s="107"/>
      <c r="CA578" s="107"/>
      <c r="CB578" s="107"/>
      <c r="CC578" s="107"/>
      <c r="CD578" s="107"/>
      <c r="CE578" s="107"/>
      <c r="CF578" s="107"/>
      <c r="CG578" s="107"/>
      <c r="CH578" s="107"/>
      <c r="CI578" s="107"/>
      <c r="CJ578" s="107"/>
      <c r="CK578" s="107"/>
      <c r="CL578" s="107"/>
      <c r="CM578" s="107"/>
      <c r="CN578" s="107"/>
      <c r="CO578" s="107"/>
      <c r="CP578" s="107"/>
      <c r="CQ578" s="107"/>
      <c r="CR578" s="107"/>
      <c r="CS578" s="107"/>
      <c r="CT578" s="107"/>
      <c r="CU578" s="107"/>
      <c r="CV578" s="107"/>
    </row>
    <row r="579" customFormat="false" ht="14.9" hidden="false" customHeight="false" outlineLevel="0" collapsed="false">
      <c r="A579" s="74" t="n">
        <f aca="false">MONTH(B579)</f>
        <v>9</v>
      </c>
      <c r="B579" s="135" t="n">
        <v>44457</v>
      </c>
      <c r="C579" s="128" t="s">
        <v>51</v>
      </c>
      <c r="D579" s="77" t="str">
        <f aca="false">IFERROR(VLOOKUP(E:E,'Item Data Support Sheet'!A:O,7,0),"")</f>
        <v>BOTTLE PRINTED</v>
      </c>
      <c r="E579" s="80" t="s">
        <v>691</v>
      </c>
      <c r="F579" s="122"/>
      <c r="G579" s="137"/>
      <c r="H579" s="79" t="str">
        <f aca="false">IFERROR(VLOOKUP(E:E,'Item Data Support Sheet'!A:O,2,0),"")</f>
        <v>KPP 120 ML BOTTLE PRINTED</v>
      </c>
      <c r="I579" s="80" t="s">
        <v>1194</v>
      </c>
      <c r="J579" s="80" t="s">
        <v>143</v>
      </c>
      <c r="K579" s="81" t="n">
        <v>2</v>
      </c>
      <c r="L579" s="124" t="n">
        <v>1200</v>
      </c>
      <c r="M579" s="83" t="n">
        <f aca="false">IFERROR(L579/K579,0)</f>
        <v>600</v>
      </c>
      <c r="N579" s="84" t="n">
        <f aca="false">+O579+Q579+T579+U579</f>
        <v>1250</v>
      </c>
      <c r="O579" s="85" t="n">
        <v>1237</v>
      </c>
      <c r="P579" s="86" t="n">
        <v>0</v>
      </c>
      <c r="Q579" s="86" t="n">
        <v>0</v>
      </c>
      <c r="R579" s="132" t="n">
        <v>10</v>
      </c>
      <c r="S579" s="128" t="n">
        <v>0</v>
      </c>
      <c r="T579" s="132" t="n">
        <v>13</v>
      </c>
      <c r="U579" s="128" t="n">
        <v>0</v>
      </c>
      <c r="V579" s="128" t="n">
        <v>5</v>
      </c>
      <c r="W579" s="90" t="n">
        <f aca="false">IFERROR(O579/V579,0)</f>
        <v>247.4</v>
      </c>
      <c r="X579" s="91" t="n">
        <f aca="false">O579/L579</f>
        <v>1.03083333333333</v>
      </c>
      <c r="Y579" s="92" t="str">
        <f aca="false">IFERROR(VLOOKUP(E:E,'Item Data Support Sheet'!A:J,6,0),0)</f>
        <v>FO001</v>
      </c>
      <c r="Z579" s="93" t="n">
        <f aca="false">IFERROR(VLOOKUP(E:E,'Item Data Support Sheet'!A:O,4,0),0)</f>
        <v>0</v>
      </c>
      <c r="AA579" s="93" t="n">
        <f aca="false">IFERROR(((N579)*(Z579/1000))+P579,0)</f>
        <v>0</v>
      </c>
      <c r="AB579" s="94" t="str">
        <f aca="false">IFERROR((O579*(Z579/1000)/(AA579))," ")</f>
        <v> </v>
      </c>
      <c r="AC579" s="95" t="n">
        <f aca="false">IFERROR((T579)/((T579)+O579),0)</f>
        <v>0.0104</v>
      </c>
      <c r="AD579" s="96" t="n">
        <f aca="false">IFERROR(Q579/(Q579+N579),0)</f>
        <v>0</v>
      </c>
      <c r="AE579" s="91" t="n">
        <f aca="false">(N579-T579)/N579</f>
        <v>0.9896</v>
      </c>
      <c r="AF579" s="97" t="n">
        <f aca="false">BR579</f>
        <v>0</v>
      </c>
      <c r="AG579" s="98" t="n">
        <f aca="false">K579-AF579</f>
        <v>2</v>
      </c>
      <c r="AH579" s="99" t="n">
        <f aca="false">IFERROR(AG579/K579," ")</f>
        <v>1</v>
      </c>
      <c r="AI579" s="100" t="n">
        <f aca="false">IFERROR(O579/K579,0)</f>
        <v>618.5</v>
      </c>
      <c r="AJ579" s="101" t="n">
        <f aca="false">VLOOKUP(D579,'Standard Cycle time'!C:D,2,0)</f>
        <v>32.4</v>
      </c>
      <c r="AK579" s="101" t="n">
        <f aca="false">AG579*V579*3600/O579</f>
        <v>29.1026677445433</v>
      </c>
      <c r="AL579" s="102" t="n">
        <f aca="false">AJ579/AK579</f>
        <v>1.1133</v>
      </c>
      <c r="AM579" s="99" t="n">
        <f aca="false">AE579*AL579*AH579</f>
        <v>1.10172168</v>
      </c>
      <c r="AN579" s="103" t="s">
        <v>869</v>
      </c>
      <c r="AO579" s="112"/>
      <c r="AP579" s="105" t="n">
        <v>0</v>
      </c>
      <c r="AQ579" s="105" t="n">
        <v>0</v>
      </c>
      <c r="AR579" s="105" t="n">
        <v>0</v>
      </c>
      <c r="AS579" s="105" t="n">
        <v>0</v>
      </c>
      <c r="AT579" s="105" t="n">
        <v>0</v>
      </c>
      <c r="AU579" s="105" t="n">
        <v>0</v>
      </c>
      <c r="AV579" s="105" t="n">
        <v>0</v>
      </c>
      <c r="AW579" s="105" t="n">
        <v>0</v>
      </c>
      <c r="AX579" s="105" t="n">
        <v>0</v>
      </c>
      <c r="AY579" s="105" t="n">
        <v>0</v>
      </c>
      <c r="AZ579" s="105" t="n">
        <v>0</v>
      </c>
      <c r="BA579" s="105" t="n">
        <v>0</v>
      </c>
      <c r="BB579" s="105" t="n">
        <v>0</v>
      </c>
      <c r="BC579" s="105" t="n">
        <v>0</v>
      </c>
      <c r="BD579" s="105" t="n">
        <v>0</v>
      </c>
      <c r="BE579" s="105" t="n">
        <v>0</v>
      </c>
      <c r="BF579" s="105" t="n">
        <v>0</v>
      </c>
      <c r="BG579" s="105" t="n">
        <v>0</v>
      </c>
      <c r="BH579" s="105" t="n">
        <v>0</v>
      </c>
      <c r="BI579" s="105" t="n">
        <v>0</v>
      </c>
      <c r="BJ579" s="105" t="n">
        <v>0</v>
      </c>
      <c r="BK579" s="105" t="n">
        <v>0</v>
      </c>
      <c r="BL579" s="105" t="n">
        <v>0</v>
      </c>
      <c r="BM579" s="105" t="n">
        <v>0</v>
      </c>
      <c r="BN579" s="105" t="n">
        <v>0</v>
      </c>
      <c r="BO579" s="105" t="n">
        <v>0</v>
      </c>
      <c r="BP579" s="105" t="n">
        <v>0</v>
      </c>
      <c r="BQ579" s="105" t="n">
        <v>0</v>
      </c>
      <c r="BR579" s="106" t="n">
        <v>0</v>
      </c>
      <c r="BS579" s="106" t="n">
        <v>0</v>
      </c>
      <c r="BT579" s="107"/>
      <c r="BU579" s="107"/>
      <c r="BV579" s="107"/>
      <c r="BW579" s="107"/>
      <c r="BX579" s="107"/>
      <c r="BY579" s="107"/>
      <c r="BZ579" s="107"/>
      <c r="CA579" s="107"/>
      <c r="CB579" s="107"/>
      <c r="CC579" s="107"/>
      <c r="CD579" s="107"/>
      <c r="CE579" s="107"/>
      <c r="CF579" s="107"/>
      <c r="CG579" s="107"/>
      <c r="CH579" s="107"/>
      <c r="CI579" s="107"/>
      <c r="CJ579" s="107"/>
      <c r="CK579" s="107"/>
      <c r="CL579" s="107"/>
      <c r="CM579" s="107"/>
      <c r="CN579" s="107"/>
      <c r="CO579" s="107"/>
      <c r="CP579" s="107"/>
      <c r="CQ579" s="107"/>
      <c r="CR579" s="107"/>
      <c r="CS579" s="107"/>
      <c r="CT579" s="107"/>
      <c r="CU579" s="107"/>
      <c r="CV579" s="107"/>
    </row>
    <row r="580" customFormat="false" ht="14.9" hidden="false" customHeight="false" outlineLevel="0" collapsed="false">
      <c r="A580" s="74" t="n">
        <f aca="false">MONTH(B580)</f>
        <v>9</v>
      </c>
      <c r="B580" s="135" t="n">
        <v>44459</v>
      </c>
      <c r="C580" s="128" t="s">
        <v>51</v>
      </c>
      <c r="D580" s="77" t="str">
        <f aca="false">IFERROR(VLOOKUP(E:E,'Item Data Support Sheet'!A:O,7,0),"")</f>
        <v>BOTTLE MOLDED</v>
      </c>
      <c r="E580" s="80" t="s">
        <v>357</v>
      </c>
      <c r="F580" s="122" t="s">
        <v>144</v>
      </c>
      <c r="G580" s="137" t="s">
        <v>74</v>
      </c>
      <c r="H580" s="79" t="str">
        <f aca="false">IFERROR(VLOOKUP(E:E,'Item Data Support Sheet'!A:O,2,0),"")</f>
        <v>KPP 120 ML BOTTLE MOLDED</v>
      </c>
      <c r="I580" s="80" t="s">
        <v>1195</v>
      </c>
      <c r="J580" s="80" t="s">
        <v>143</v>
      </c>
      <c r="K580" s="81" t="n">
        <v>8</v>
      </c>
      <c r="L580" s="124" t="n">
        <v>2574</v>
      </c>
      <c r="M580" s="83" t="n">
        <f aca="false">IFERROR(L580/K580,0)</f>
        <v>321.75</v>
      </c>
      <c r="N580" s="84" t="n">
        <f aca="false">+O580+Q580+T580+U580</f>
        <v>2242</v>
      </c>
      <c r="O580" s="85" t="n">
        <v>2160</v>
      </c>
      <c r="P580" s="86" t="n">
        <v>0.12</v>
      </c>
      <c r="Q580" s="86" t="n">
        <v>42</v>
      </c>
      <c r="R580" s="132" t="n">
        <v>0</v>
      </c>
      <c r="S580" s="128" t="n">
        <v>0</v>
      </c>
      <c r="T580" s="132" t="n">
        <v>32</v>
      </c>
      <c r="U580" s="128" t="n">
        <v>8</v>
      </c>
      <c r="V580" s="128" t="n">
        <v>1</v>
      </c>
      <c r="W580" s="90" t="n">
        <f aca="false">IFERROR(O580/V580,0)</f>
        <v>2160</v>
      </c>
      <c r="X580" s="91" t="n">
        <f aca="false">O580/L580</f>
        <v>0.839160839160839</v>
      </c>
      <c r="Y580" s="92" t="str">
        <f aca="false">IFERROR(VLOOKUP(E:E,'Item Data Support Sheet'!A:J,6,0),0)</f>
        <v>HMC</v>
      </c>
      <c r="Z580" s="93" t="n">
        <f aca="false">IFERROR(VLOOKUP(E:E,'Item Data Support Sheet'!A:O,4,0),0)</f>
        <v>21.3</v>
      </c>
      <c r="AA580" s="93" t="n">
        <f aca="false">IFERROR(((N580)*(Z580/1000))+P580,0)</f>
        <v>47.8746</v>
      </c>
      <c r="AB580" s="94" t="n">
        <f aca="false">IFERROR((O580*(Z580/1000)/(AA580))," ")</f>
        <v>0.961010640297778</v>
      </c>
      <c r="AC580" s="95" t="n">
        <f aca="false">IFERROR((T580)/((T580)+O580),0)</f>
        <v>0.0145985401459854</v>
      </c>
      <c r="AD580" s="96" t="n">
        <f aca="false">IFERROR(Q580/(Q580+N580),0)</f>
        <v>0.0183887915936953</v>
      </c>
      <c r="AE580" s="91" t="n">
        <f aca="false">(N580-T580)/N580</f>
        <v>0.985727029438002</v>
      </c>
      <c r="AF580" s="97" t="n">
        <f aca="false">BR580</f>
        <v>1.75</v>
      </c>
      <c r="AG580" s="98" t="n">
        <f aca="false">K580-AF580</f>
        <v>6.25</v>
      </c>
      <c r="AH580" s="99" t="n">
        <f aca="false">IFERROR(AG580/K580," ")</f>
        <v>0.78125</v>
      </c>
      <c r="AI580" s="100" t="n">
        <f aca="false">IFERROR(O580/K580,0)</f>
        <v>270</v>
      </c>
      <c r="AJ580" s="101" t="n">
        <f aca="false">VLOOKUP(D580,'Standard Cycle time'!C:D,2,0)</f>
        <v>9</v>
      </c>
      <c r="AK580" s="101" t="n">
        <f aca="false">AG580*V580*3600/O580</f>
        <v>10.4166666666667</v>
      </c>
      <c r="AL580" s="102" t="n">
        <f aca="false">AJ580/AK580</f>
        <v>0.864</v>
      </c>
      <c r="AM580" s="99" t="n">
        <f aca="false">AE580*AL580*AH580</f>
        <v>0.665365744870651</v>
      </c>
      <c r="AN580" s="103" t="n">
        <v>3369</v>
      </c>
      <c r="AO580" s="112" t="s">
        <v>1196</v>
      </c>
      <c r="AP580" s="105" t="n">
        <v>0</v>
      </c>
      <c r="AQ580" s="105" t="n">
        <v>0</v>
      </c>
      <c r="AR580" s="105" t="n">
        <v>70</v>
      </c>
      <c r="AS580" s="105" t="n">
        <v>0</v>
      </c>
      <c r="AT580" s="105" t="n">
        <v>0</v>
      </c>
      <c r="AU580" s="105" t="n">
        <v>0</v>
      </c>
      <c r="AV580" s="105" t="n">
        <v>0</v>
      </c>
      <c r="AW580" s="105" t="n">
        <v>0</v>
      </c>
      <c r="AX580" s="105" t="n">
        <v>0</v>
      </c>
      <c r="AY580" s="105" t="n">
        <v>0</v>
      </c>
      <c r="AZ580" s="105" t="n">
        <v>15</v>
      </c>
      <c r="BA580" s="105" t="n">
        <v>0</v>
      </c>
      <c r="BB580" s="105" t="n">
        <v>20</v>
      </c>
      <c r="BC580" s="105" t="n">
        <v>0</v>
      </c>
      <c r="BD580" s="105" t="n">
        <v>0</v>
      </c>
      <c r="BE580" s="105" t="n">
        <v>0</v>
      </c>
      <c r="BF580" s="105" t="n">
        <v>0</v>
      </c>
      <c r="BG580" s="105" t="n">
        <v>0</v>
      </c>
      <c r="BH580" s="105" t="n">
        <v>0</v>
      </c>
      <c r="BI580" s="105" t="n">
        <v>0</v>
      </c>
      <c r="BJ580" s="105" t="n">
        <v>0</v>
      </c>
      <c r="BK580" s="105" t="n">
        <v>0</v>
      </c>
      <c r="BL580" s="105" t="n">
        <v>0</v>
      </c>
      <c r="BM580" s="105" t="n">
        <v>0</v>
      </c>
      <c r="BN580" s="105" t="n">
        <v>0</v>
      </c>
      <c r="BO580" s="105" t="n">
        <v>0</v>
      </c>
      <c r="BP580" s="105" t="n">
        <v>0</v>
      </c>
      <c r="BQ580" s="105" t="n">
        <v>0</v>
      </c>
      <c r="BR580" s="106" t="n">
        <v>1.75</v>
      </c>
      <c r="BS580" s="106" t="n">
        <v>1.77916666666667</v>
      </c>
      <c r="BT580" s="107"/>
      <c r="BU580" s="107"/>
      <c r="BV580" s="107"/>
      <c r="BW580" s="107"/>
      <c r="BX580" s="107"/>
      <c r="BY580" s="107"/>
      <c r="BZ580" s="107"/>
      <c r="CA580" s="107"/>
      <c r="CB580" s="107"/>
      <c r="CC580" s="107"/>
      <c r="CD580" s="107"/>
      <c r="CE580" s="107"/>
      <c r="CF580" s="107"/>
      <c r="CG580" s="107"/>
      <c r="CH580" s="107"/>
      <c r="CI580" s="107"/>
      <c r="CJ580" s="107"/>
      <c r="CK580" s="107"/>
      <c r="CL580" s="107"/>
      <c r="CM580" s="107"/>
      <c r="CN580" s="107"/>
      <c r="CO580" s="107"/>
      <c r="CP580" s="107"/>
      <c r="CQ580" s="107"/>
      <c r="CR580" s="107"/>
      <c r="CS580" s="107"/>
      <c r="CT580" s="107"/>
      <c r="CU580" s="107"/>
      <c r="CV580" s="107"/>
    </row>
    <row r="581" customFormat="false" ht="14.9" hidden="false" customHeight="false" outlineLevel="0" collapsed="false">
      <c r="A581" s="74" t="n">
        <f aca="false">MONTH(B581)</f>
        <v>9</v>
      </c>
      <c r="B581" s="135" t="n">
        <v>44459</v>
      </c>
      <c r="C581" s="128" t="s">
        <v>51</v>
      </c>
      <c r="D581" s="77" t="str">
        <f aca="false">IFERROR(VLOOKUP(E:E,'Item Data Support Sheet'!A:O,7,0),"")</f>
        <v>NIPPLE MOLDED</v>
      </c>
      <c r="E581" s="80" t="s">
        <v>661</v>
      </c>
      <c r="F581" s="122" t="s">
        <v>137</v>
      </c>
      <c r="G581" s="137" t="s">
        <v>138</v>
      </c>
      <c r="H581" s="79" t="str">
        <f aca="false">IFERROR(VLOOKUP(E:E,'Item Data Support Sheet'!A:O,2,0),"")</f>
        <v>NIPPLE S TYPE L SIZE INJECTION</v>
      </c>
      <c r="I581" s="80" t="s">
        <v>1197</v>
      </c>
      <c r="J581" s="80" t="s">
        <v>143</v>
      </c>
      <c r="K581" s="81" t="n">
        <v>8</v>
      </c>
      <c r="L581" s="124" t="n">
        <v>3600</v>
      </c>
      <c r="M581" s="83" t="n">
        <f aca="false">IFERROR(L581/K581,0)</f>
        <v>450</v>
      </c>
      <c r="N581" s="84" t="n">
        <f aca="false">+O581+Q581+T581+U581</f>
        <v>3940</v>
      </c>
      <c r="O581" s="85" t="n">
        <v>3800</v>
      </c>
      <c r="P581" s="86" t="n">
        <v>1.2</v>
      </c>
      <c r="Q581" s="86" t="n">
        <v>78</v>
      </c>
      <c r="R581" s="132" t="n">
        <v>0</v>
      </c>
      <c r="S581" s="128" t="n">
        <v>0</v>
      </c>
      <c r="T581" s="132" t="n">
        <v>54</v>
      </c>
      <c r="U581" s="128" t="n">
        <v>8</v>
      </c>
      <c r="V581" s="128" t="n">
        <v>1</v>
      </c>
      <c r="W581" s="90" t="n">
        <f aca="false">IFERROR(O581/V581,0)</f>
        <v>3800</v>
      </c>
      <c r="X581" s="91" t="n">
        <f aca="false">O581/L581</f>
        <v>1.05555555555556</v>
      </c>
      <c r="Y581" s="92" t="str">
        <f aca="false">IFERROR(VLOOKUP(E:E,'Item Data Support Sheet'!A:J,6,0),0)</f>
        <v>Silicon</v>
      </c>
      <c r="Z581" s="93" t="n">
        <f aca="false">IFERROR(VLOOKUP(E:E,'Item Data Support Sheet'!A:O,4,0),0)</f>
        <v>6.8</v>
      </c>
      <c r="AA581" s="93" t="n">
        <f aca="false">IFERROR(((N581)*(Z581/1000))+P581,0)</f>
        <v>27.992</v>
      </c>
      <c r="AB581" s="94" t="n">
        <f aca="false">IFERROR((O581*(Z581/1000)/(AA581))," ")</f>
        <v>0.923120891683338</v>
      </c>
      <c r="AC581" s="95" t="n">
        <f aca="false">IFERROR((T581)/((T581)+O581),0)</f>
        <v>0.0140114167099118</v>
      </c>
      <c r="AD581" s="96" t="n">
        <f aca="false">IFERROR(Q581/(Q581+N581),0)</f>
        <v>0.0194126431060229</v>
      </c>
      <c r="AE581" s="91" t="n">
        <f aca="false">(N581-T581)/N581</f>
        <v>0.986294416243655</v>
      </c>
      <c r="AF581" s="97" t="n">
        <f aca="false">BR581</f>
        <v>2</v>
      </c>
      <c r="AG581" s="98" t="n">
        <f aca="false">K581-AF581</f>
        <v>6</v>
      </c>
      <c r="AH581" s="99" t="n">
        <f aca="false">IFERROR(AG581/K581," ")</f>
        <v>0.75</v>
      </c>
      <c r="AI581" s="100" t="n">
        <f aca="false">IFERROR(O581/K581,0)</f>
        <v>475</v>
      </c>
      <c r="AJ581" s="101" t="n">
        <f aca="false">VLOOKUP(D581,'Standard Cycle time'!C:D,2,0)</f>
        <v>5.25</v>
      </c>
      <c r="AK581" s="101" t="n">
        <f aca="false">AG581*V581*3600/O581</f>
        <v>5.68421052631579</v>
      </c>
      <c r="AL581" s="102" t="n">
        <f aca="false">AJ581/AK581</f>
        <v>0.923611111111111</v>
      </c>
      <c r="AM581" s="99" t="n">
        <f aca="false">AE581*AL581*AH581</f>
        <v>0.683214361252115</v>
      </c>
      <c r="AN581" s="103" t="n">
        <v>3370</v>
      </c>
      <c r="AO581" s="112" t="s">
        <v>1198</v>
      </c>
      <c r="AP581" s="105" t="n">
        <v>0</v>
      </c>
      <c r="AQ581" s="105" t="n">
        <v>0</v>
      </c>
      <c r="AR581" s="105" t="n">
        <v>0</v>
      </c>
      <c r="AS581" s="105" t="n">
        <v>0</v>
      </c>
      <c r="AT581" s="105" t="n">
        <v>0</v>
      </c>
      <c r="AU581" s="105" t="n">
        <v>30</v>
      </c>
      <c r="AV581" s="105" t="n">
        <v>0</v>
      </c>
      <c r="AW581" s="105" t="n">
        <v>0</v>
      </c>
      <c r="AX581" s="105" t="n">
        <v>0</v>
      </c>
      <c r="AY581" s="105" t="n">
        <v>0</v>
      </c>
      <c r="AZ581" s="105" t="n">
        <v>0</v>
      </c>
      <c r="BA581" s="105" t="n">
        <v>0</v>
      </c>
      <c r="BB581" s="105" t="n">
        <v>90</v>
      </c>
      <c r="BC581" s="105" t="n">
        <v>0</v>
      </c>
      <c r="BD581" s="105" t="n">
        <v>0</v>
      </c>
      <c r="BE581" s="105" t="n">
        <v>0</v>
      </c>
      <c r="BF581" s="105" t="n">
        <v>0</v>
      </c>
      <c r="BG581" s="105" t="n">
        <v>0</v>
      </c>
      <c r="BH581" s="105" t="n">
        <v>0</v>
      </c>
      <c r="BI581" s="105" t="n">
        <v>0</v>
      </c>
      <c r="BJ581" s="105" t="n">
        <v>0</v>
      </c>
      <c r="BK581" s="105" t="n">
        <v>0</v>
      </c>
      <c r="BL581" s="105" t="n">
        <v>0</v>
      </c>
      <c r="BM581" s="105" t="n">
        <v>0</v>
      </c>
      <c r="BN581" s="105" t="n">
        <v>0</v>
      </c>
      <c r="BO581" s="105" t="n">
        <v>0</v>
      </c>
      <c r="BP581" s="105" t="n">
        <v>0</v>
      </c>
      <c r="BQ581" s="105" t="n">
        <v>0</v>
      </c>
      <c r="BR581" s="106" t="n">
        <v>2</v>
      </c>
      <c r="BS581" s="106" t="n">
        <v>2.03333333333333</v>
      </c>
      <c r="BT581" s="107"/>
      <c r="BU581" s="107"/>
      <c r="BV581" s="107"/>
      <c r="BW581" s="107"/>
      <c r="BX581" s="107"/>
      <c r="BY581" s="107"/>
      <c r="BZ581" s="107"/>
      <c r="CA581" s="107"/>
      <c r="CB581" s="107"/>
      <c r="CC581" s="107"/>
      <c r="CD581" s="107"/>
      <c r="CE581" s="107"/>
      <c r="CF581" s="107"/>
      <c r="CG581" s="107"/>
      <c r="CH581" s="107"/>
      <c r="CI581" s="107"/>
      <c r="CJ581" s="107"/>
      <c r="CK581" s="107"/>
      <c r="CL581" s="107"/>
      <c r="CM581" s="107"/>
      <c r="CN581" s="107"/>
      <c r="CO581" s="107"/>
      <c r="CP581" s="107"/>
      <c r="CQ581" s="107"/>
      <c r="CR581" s="107"/>
      <c r="CS581" s="107"/>
      <c r="CT581" s="107"/>
      <c r="CU581" s="107"/>
      <c r="CV581" s="107"/>
    </row>
    <row r="582" customFormat="false" ht="14.9" hidden="false" customHeight="false" outlineLevel="0" collapsed="false">
      <c r="A582" s="74" t="n">
        <f aca="false">MONTH(B582)</f>
        <v>9</v>
      </c>
      <c r="B582" s="135" t="n">
        <v>44459</v>
      </c>
      <c r="C582" s="128" t="s">
        <v>51</v>
      </c>
      <c r="D582" s="77" t="str">
        <f aca="false">IFERROR(VLOOKUP(E:E,'Item Data Support Sheet'!A:O,7,0),"")</f>
        <v>NIPPLE PUNCH</v>
      </c>
      <c r="E582" s="80" t="s">
        <v>666</v>
      </c>
      <c r="F582" s="122" t="s">
        <v>144</v>
      </c>
      <c r="G582" s="137" t="s">
        <v>74</v>
      </c>
      <c r="H582" s="79" t="str">
        <f aca="false">IFERROR(VLOOKUP(E:E,'Item Data Support Sheet'!A:O,2,0),"")</f>
        <v>NIPPLE S TYPE L SIZE PUNCHED</v>
      </c>
      <c r="I582" s="80" t="s">
        <v>1199</v>
      </c>
      <c r="J582" s="80" t="s">
        <v>143</v>
      </c>
      <c r="K582" s="81" t="n">
        <v>8</v>
      </c>
      <c r="L582" s="124" t="n">
        <v>7000</v>
      </c>
      <c r="M582" s="83" t="n">
        <f aca="false">IFERROR(L582/K582,0)</f>
        <v>875</v>
      </c>
      <c r="N582" s="84" t="n">
        <f aca="false">+O582+Q582+T582+U582</f>
        <v>6200</v>
      </c>
      <c r="O582" s="85" t="n">
        <v>6200</v>
      </c>
      <c r="P582" s="86" t="n">
        <v>0</v>
      </c>
      <c r="Q582" s="86" t="n">
        <v>0</v>
      </c>
      <c r="R582" s="132" t="n">
        <v>0</v>
      </c>
      <c r="S582" s="128" t="n">
        <v>0</v>
      </c>
      <c r="T582" s="132" t="n">
        <v>0</v>
      </c>
      <c r="U582" s="128" t="n">
        <v>0</v>
      </c>
      <c r="V582" s="128" t="n">
        <v>1</v>
      </c>
      <c r="W582" s="90" t="n">
        <f aca="false">IFERROR(O582/V582,0)</f>
        <v>6200</v>
      </c>
      <c r="X582" s="91" t="n">
        <f aca="false">O582/L582</f>
        <v>0.885714285714286</v>
      </c>
      <c r="Y582" s="92" t="str">
        <f aca="false">IFERROR(VLOOKUP(E:E,'Item Data Support Sheet'!A:J,6,0),0)</f>
        <v>FO017</v>
      </c>
      <c r="Z582" s="93" t="n">
        <f aca="false">IFERROR(VLOOKUP(E:E,'Item Data Support Sheet'!A:O,4,0),0)</f>
        <v>0</v>
      </c>
      <c r="AA582" s="93" t="n">
        <f aca="false">IFERROR(((N582)*(Z582/1000))+P582,0)</f>
        <v>0</v>
      </c>
      <c r="AB582" s="94" t="str">
        <f aca="false">IFERROR((O582*(Z582/1000)/(AA582))," ")</f>
        <v> </v>
      </c>
      <c r="AC582" s="95" t="n">
        <f aca="false">IFERROR((T582)/((T582)+O582),0)</f>
        <v>0</v>
      </c>
      <c r="AD582" s="96" t="n">
        <f aca="false">IFERROR(Q582/(Q582+N582),0)</f>
        <v>0</v>
      </c>
      <c r="AE582" s="91" t="n">
        <f aca="false">(N582-T582)/N582</f>
        <v>1</v>
      </c>
      <c r="AF582" s="97" t="n">
        <f aca="false">BR582</f>
        <v>0.75</v>
      </c>
      <c r="AG582" s="98" t="n">
        <f aca="false">K582-AF582</f>
        <v>7.25</v>
      </c>
      <c r="AH582" s="99" t="n">
        <f aca="false">IFERROR(AG582/K582," ")</f>
        <v>0.90625</v>
      </c>
      <c r="AI582" s="100" t="n">
        <f aca="false">IFERROR(O582/K582,0)</f>
        <v>775</v>
      </c>
      <c r="AJ582" s="101" t="n">
        <f aca="false">VLOOKUP(D582,'Standard Cycle time'!C:D,2,0)</f>
        <v>3.5</v>
      </c>
      <c r="AK582" s="101" t="n">
        <f aca="false">AG582*V582*3600/O582</f>
        <v>4.20967741935484</v>
      </c>
      <c r="AL582" s="102" t="n">
        <f aca="false">AJ582/AK582</f>
        <v>0.831417624521073</v>
      </c>
      <c r="AM582" s="99" t="n">
        <f aca="false">AE582*AL582*AH582</f>
        <v>0.753472222222222</v>
      </c>
      <c r="AN582" s="103" t="s">
        <v>1200</v>
      </c>
      <c r="AO582" s="112" t="s">
        <v>1201</v>
      </c>
      <c r="AP582" s="105" t="n">
        <v>0</v>
      </c>
      <c r="AQ582" s="105" t="n">
        <v>0</v>
      </c>
      <c r="AR582" s="105" t="n">
        <v>0</v>
      </c>
      <c r="AS582" s="105" t="n">
        <v>0</v>
      </c>
      <c r="AT582" s="105" t="n">
        <v>0</v>
      </c>
      <c r="AU582" s="105" t="n">
        <v>0</v>
      </c>
      <c r="AV582" s="105" t="n">
        <v>0</v>
      </c>
      <c r="AW582" s="105" t="n">
        <v>0</v>
      </c>
      <c r="AX582" s="105" t="n">
        <v>0</v>
      </c>
      <c r="AY582" s="105" t="n">
        <v>0</v>
      </c>
      <c r="AZ582" s="105" t="n">
        <v>0</v>
      </c>
      <c r="BA582" s="105" t="n">
        <v>0</v>
      </c>
      <c r="BB582" s="105" t="n">
        <v>0</v>
      </c>
      <c r="BC582" s="105" t="n">
        <v>0</v>
      </c>
      <c r="BD582" s="105" t="n">
        <v>0</v>
      </c>
      <c r="BE582" s="105" t="n">
        <v>0</v>
      </c>
      <c r="BF582" s="105" t="n">
        <v>30</v>
      </c>
      <c r="BG582" s="105" t="n">
        <v>0</v>
      </c>
      <c r="BH582" s="105" t="n">
        <v>0</v>
      </c>
      <c r="BI582" s="105" t="n">
        <v>0</v>
      </c>
      <c r="BJ582" s="105" t="n">
        <v>0</v>
      </c>
      <c r="BK582" s="105" t="n">
        <v>0</v>
      </c>
      <c r="BL582" s="105" t="n">
        <v>15</v>
      </c>
      <c r="BM582" s="105" t="n">
        <v>0</v>
      </c>
      <c r="BN582" s="105" t="n">
        <v>0</v>
      </c>
      <c r="BO582" s="105" t="n">
        <v>0</v>
      </c>
      <c r="BP582" s="105" t="n">
        <v>0</v>
      </c>
      <c r="BQ582" s="105" t="n">
        <v>0</v>
      </c>
      <c r="BR582" s="106" t="n">
        <v>0.75</v>
      </c>
      <c r="BS582" s="106" t="n">
        <v>0.7625</v>
      </c>
      <c r="BT582" s="107"/>
      <c r="BU582" s="107"/>
      <c r="BV582" s="107"/>
      <c r="BW582" s="107"/>
      <c r="BX582" s="107"/>
      <c r="BY582" s="107"/>
      <c r="BZ582" s="107"/>
      <c r="CA582" s="107"/>
      <c r="CB582" s="107"/>
      <c r="CC582" s="107"/>
      <c r="CD582" s="107"/>
      <c r="CE582" s="107"/>
      <c r="CF582" s="107"/>
      <c r="CG582" s="107"/>
      <c r="CH582" s="107"/>
      <c r="CI582" s="107"/>
      <c r="CJ582" s="107"/>
      <c r="CK582" s="107"/>
      <c r="CL582" s="107"/>
      <c r="CM582" s="107"/>
      <c r="CN582" s="107"/>
      <c r="CO582" s="107"/>
      <c r="CP582" s="107"/>
      <c r="CQ582" s="107"/>
      <c r="CR582" s="107"/>
      <c r="CS582" s="107"/>
      <c r="CT582" s="107"/>
      <c r="CU582" s="107"/>
      <c r="CV582" s="107"/>
    </row>
    <row r="583" customFormat="false" ht="14.9" hidden="false" customHeight="false" outlineLevel="0" collapsed="false">
      <c r="A583" s="74" t="n">
        <f aca="false">MONTH(B583)</f>
        <v>9</v>
      </c>
      <c r="B583" s="135" t="n">
        <v>44459</v>
      </c>
      <c r="C583" s="128" t="s">
        <v>51</v>
      </c>
      <c r="D583" s="77" t="str">
        <f aca="false">IFERROR(VLOOKUP(E:E,'Item Data Support Sheet'!A:O,7,0),"")</f>
        <v>BOTTLE PRINTED</v>
      </c>
      <c r="E583" s="80" t="s">
        <v>691</v>
      </c>
      <c r="F583" s="122"/>
      <c r="G583" s="137"/>
      <c r="H583" s="79" t="str">
        <f aca="false">IFERROR(VLOOKUP(E:E,'Item Data Support Sheet'!A:O,2,0),"")</f>
        <v>KPP 120 ML BOTTLE PRINTED</v>
      </c>
      <c r="I583" s="80" t="s">
        <v>1202</v>
      </c>
      <c r="J583" s="80" t="s">
        <v>161</v>
      </c>
      <c r="K583" s="81" t="n">
        <v>8</v>
      </c>
      <c r="L583" s="124" t="n">
        <v>5100</v>
      </c>
      <c r="M583" s="83" t="n">
        <f aca="false">IFERROR(L583/K583,0)</f>
        <v>637.5</v>
      </c>
      <c r="N583" s="84" t="n">
        <f aca="false">+O583+Q583+T583+U583</f>
        <v>4897</v>
      </c>
      <c r="O583" s="85" t="n">
        <v>4860</v>
      </c>
      <c r="P583" s="86" t="n">
        <v>0</v>
      </c>
      <c r="Q583" s="86" t="n">
        <v>0</v>
      </c>
      <c r="R583" s="132" t="n">
        <v>34</v>
      </c>
      <c r="S583" s="128" t="n">
        <v>0</v>
      </c>
      <c r="T583" s="132" t="n">
        <v>37</v>
      </c>
      <c r="U583" s="128" t="n">
        <v>0</v>
      </c>
      <c r="V583" s="128" t="n">
        <v>5</v>
      </c>
      <c r="W583" s="90" t="n">
        <f aca="false">IFERROR(O583/V583,0)</f>
        <v>972</v>
      </c>
      <c r="X583" s="91" t="n">
        <f aca="false">O583/L583</f>
        <v>0.952941176470588</v>
      </c>
      <c r="Y583" s="92" t="str">
        <f aca="false">IFERROR(VLOOKUP(E:E,'Item Data Support Sheet'!A:J,6,0),0)</f>
        <v>FO001</v>
      </c>
      <c r="Z583" s="93" t="n">
        <f aca="false">IFERROR(VLOOKUP(E:E,'Item Data Support Sheet'!A:O,4,0),0)</f>
        <v>0</v>
      </c>
      <c r="AA583" s="93" t="n">
        <f aca="false">IFERROR(((N583)*(Z583/1000))+P583,0)</f>
        <v>0</v>
      </c>
      <c r="AB583" s="94" t="str">
        <f aca="false">IFERROR((O583*(Z583/1000)/(AA583))," ")</f>
        <v> </v>
      </c>
      <c r="AC583" s="95" t="n">
        <f aca="false">IFERROR((T583)/((T583)+O583),0)</f>
        <v>0.00755564631406984</v>
      </c>
      <c r="AD583" s="96" t="n">
        <f aca="false">IFERROR(Q583/(Q583+N583),0)</f>
        <v>0</v>
      </c>
      <c r="AE583" s="91" t="n">
        <f aca="false">(N583-T583)/N583</f>
        <v>0.99244435368593</v>
      </c>
      <c r="AF583" s="97" t="n">
        <f aca="false">BR583</f>
        <v>1</v>
      </c>
      <c r="AG583" s="98" t="n">
        <f aca="false">K583-AF583</f>
        <v>7</v>
      </c>
      <c r="AH583" s="99" t="n">
        <f aca="false">IFERROR(AG583/K583," ")</f>
        <v>0.875</v>
      </c>
      <c r="AI583" s="100" t="n">
        <f aca="false">IFERROR(O583/K583,0)</f>
        <v>607.5</v>
      </c>
      <c r="AJ583" s="101" t="n">
        <f aca="false">VLOOKUP(D583,'Standard Cycle time'!C:D,2,0)</f>
        <v>32.4</v>
      </c>
      <c r="AK583" s="101" t="n">
        <f aca="false">AG583*V583*3600/O583</f>
        <v>25.9259259259259</v>
      </c>
      <c r="AL583" s="102" t="n">
        <f aca="false">AJ583/AK583</f>
        <v>1.24971428571429</v>
      </c>
      <c r="AM583" s="99" t="n">
        <f aca="false">AE583*AL583*AH583</f>
        <v>1.08523790075556</v>
      </c>
      <c r="AN583" s="103" t="s">
        <v>869</v>
      </c>
      <c r="AO583" s="112" t="s">
        <v>1203</v>
      </c>
      <c r="AP583" s="105" t="n">
        <v>40</v>
      </c>
      <c r="AQ583" s="105" t="n">
        <v>0</v>
      </c>
      <c r="AR583" s="105" t="n">
        <v>0</v>
      </c>
      <c r="AS583" s="105" t="n">
        <v>0</v>
      </c>
      <c r="AT583" s="105" t="n">
        <v>0</v>
      </c>
      <c r="AU583" s="105" t="n">
        <v>0</v>
      </c>
      <c r="AV583" s="105" t="n">
        <v>20</v>
      </c>
      <c r="AW583" s="105" t="n">
        <v>0</v>
      </c>
      <c r="AX583" s="105" t="n">
        <v>0</v>
      </c>
      <c r="AY583" s="105" t="n">
        <v>0</v>
      </c>
      <c r="AZ583" s="105" t="n">
        <v>0</v>
      </c>
      <c r="BA583" s="105" t="n">
        <v>0</v>
      </c>
      <c r="BB583" s="105" t="n">
        <v>0</v>
      </c>
      <c r="BC583" s="105" t="n">
        <v>0</v>
      </c>
      <c r="BD583" s="105" t="n">
        <v>0</v>
      </c>
      <c r="BE583" s="105" t="n">
        <v>0</v>
      </c>
      <c r="BF583" s="105" t="n">
        <v>0</v>
      </c>
      <c r="BG583" s="105" t="n">
        <v>0</v>
      </c>
      <c r="BH583" s="105" t="n">
        <v>0</v>
      </c>
      <c r="BI583" s="105" t="n">
        <v>0</v>
      </c>
      <c r="BJ583" s="105" t="n">
        <v>0</v>
      </c>
      <c r="BK583" s="105" t="n">
        <v>0</v>
      </c>
      <c r="BL583" s="105" t="n">
        <v>0</v>
      </c>
      <c r="BM583" s="105" t="n">
        <v>0</v>
      </c>
      <c r="BN583" s="105" t="n">
        <v>0</v>
      </c>
      <c r="BO583" s="105" t="n">
        <v>0</v>
      </c>
      <c r="BP583" s="105" t="n">
        <v>0</v>
      </c>
      <c r="BQ583" s="105" t="n">
        <v>0</v>
      </c>
      <c r="BR583" s="106" t="n">
        <v>1</v>
      </c>
      <c r="BS583" s="106" t="n">
        <v>1.01666666666667</v>
      </c>
      <c r="BT583" s="107"/>
      <c r="BU583" s="107"/>
      <c r="BV583" s="107"/>
      <c r="BW583" s="107"/>
      <c r="BX583" s="107"/>
      <c r="BY583" s="107"/>
      <c r="BZ583" s="107"/>
      <c r="CA583" s="107"/>
      <c r="CB583" s="107"/>
      <c r="CC583" s="107"/>
      <c r="CD583" s="107"/>
      <c r="CE583" s="107"/>
      <c r="CF583" s="107"/>
      <c r="CG583" s="107"/>
      <c r="CH583" s="107"/>
      <c r="CI583" s="107"/>
      <c r="CJ583" s="107"/>
      <c r="CK583" s="107"/>
      <c r="CL583" s="107"/>
      <c r="CM583" s="107"/>
      <c r="CN583" s="107"/>
      <c r="CO583" s="107"/>
      <c r="CP583" s="107"/>
      <c r="CQ583" s="107"/>
      <c r="CR583" s="107"/>
      <c r="CS583" s="107"/>
      <c r="CT583" s="107"/>
      <c r="CU583" s="107"/>
      <c r="CV583" s="107"/>
    </row>
    <row r="584" customFormat="false" ht="14.9" hidden="false" customHeight="false" outlineLevel="0" collapsed="false">
      <c r="A584" s="74" t="n">
        <f aca="false">MONTH(B584)</f>
        <v>9</v>
      </c>
      <c r="B584" s="135" t="n">
        <v>44459</v>
      </c>
      <c r="C584" s="128" t="s">
        <v>63</v>
      </c>
      <c r="D584" s="77" t="str">
        <f aca="false">IFERROR(VLOOKUP(E:E,'Item Data Support Sheet'!A:O,7,0),"")</f>
        <v>NIPPLE WRAP PRINTED</v>
      </c>
      <c r="E584" s="80" t="s">
        <v>431</v>
      </c>
      <c r="F584" s="122"/>
      <c r="G584" s="137"/>
      <c r="H584" s="79" t="str">
        <f aca="false">IFERROR(VLOOKUP(E:E,'Item Data Support Sheet'!A:O,2,0),"")</f>
        <v>NIPPLE S TYPE M SIZE WITH PRINTED WRAP</v>
      </c>
      <c r="I584" s="80"/>
      <c r="J584" s="80" t="s">
        <v>155</v>
      </c>
      <c r="K584" s="81" t="n">
        <v>8</v>
      </c>
      <c r="L584" s="124" t="n">
        <v>16132</v>
      </c>
      <c r="M584" s="83" t="n">
        <f aca="false">IFERROR(L584/K584,0)</f>
        <v>2016.5</v>
      </c>
      <c r="N584" s="84" t="n">
        <f aca="false">+O584+Q584+T584+U584</f>
        <v>16188</v>
      </c>
      <c r="O584" s="85" t="n">
        <v>16186</v>
      </c>
      <c r="P584" s="86" t="n">
        <v>0</v>
      </c>
      <c r="Q584" s="86" t="n">
        <v>0</v>
      </c>
      <c r="R584" s="132" t="n">
        <v>0</v>
      </c>
      <c r="S584" s="128" t="n">
        <v>0</v>
      </c>
      <c r="T584" s="132" t="n">
        <v>2</v>
      </c>
      <c r="U584" s="128" t="n">
        <v>0</v>
      </c>
      <c r="V584" s="128" t="n">
        <v>2</v>
      </c>
      <c r="W584" s="90" t="n">
        <f aca="false">IFERROR(O584/V584,0)</f>
        <v>8093</v>
      </c>
      <c r="X584" s="91" t="n">
        <f aca="false">O584/L584</f>
        <v>1.00334738408133</v>
      </c>
      <c r="Y584" s="92" t="str">
        <f aca="false">IFERROR(VLOOKUP(E:E,'Item Data Support Sheet'!A:J,6,0),0)</f>
        <v>FO020</v>
      </c>
      <c r="Z584" s="93" t="n">
        <f aca="false">IFERROR(VLOOKUP(E:E,'Item Data Support Sheet'!A:O,4,0),0)</f>
        <v>0</v>
      </c>
      <c r="AA584" s="93" t="n">
        <f aca="false">IFERROR(((N584)*(Z584/1000))+P584,0)</f>
        <v>0</v>
      </c>
      <c r="AB584" s="94" t="str">
        <f aca="false">IFERROR((O584*(Z584/1000)/(AA584))," ")</f>
        <v> </v>
      </c>
      <c r="AC584" s="95" t="n">
        <f aca="false">IFERROR((T584)/((T584)+O584),0)</f>
        <v>0.000123548307388189</v>
      </c>
      <c r="AD584" s="96" t="n">
        <f aca="false">IFERROR(Q584/(Q584+N584),0)</f>
        <v>0</v>
      </c>
      <c r="AE584" s="91" t="n">
        <f aca="false">(N584-T584)/N584</f>
        <v>0.999876451692612</v>
      </c>
      <c r="AF584" s="97" t="n">
        <f aca="false">BR584</f>
        <v>0.666666666666667</v>
      </c>
      <c r="AG584" s="98" t="n">
        <f aca="false">K584-AF584</f>
        <v>7.33333333333333</v>
      </c>
      <c r="AH584" s="99" t="n">
        <f aca="false">IFERROR(AG584/K584," ")</f>
        <v>0.916666666666667</v>
      </c>
      <c r="AI584" s="100" t="n">
        <f aca="false">IFERROR(O584/K584,0)</f>
        <v>2023.25</v>
      </c>
      <c r="AJ584" s="101" t="n">
        <f aca="false">VLOOKUP(D584,'Standard Cycle time'!C:D,2,0)</f>
        <v>2.5</v>
      </c>
      <c r="AK584" s="101" t="n">
        <f aca="false">AG584*V584*3600/O584</f>
        <v>3.26207833930557</v>
      </c>
      <c r="AL584" s="102" t="n">
        <f aca="false">AJ584/AK584</f>
        <v>0.766382575757576</v>
      </c>
      <c r="AM584" s="99" t="n">
        <f aca="false">AE584*AL584*AH584</f>
        <v>0.702430566280235</v>
      </c>
      <c r="AN584" s="103" t="s">
        <v>1204</v>
      </c>
      <c r="AO584" s="112"/>
      <c r="AP584" s="105" t="n">
        <v>40</v>
      </c>
      <c r="AQ584" s="105" t="n">
        <v>0</v>
      </c>
      <c r="AR584" s="105" t="n">
        <v>0</v>
      </c>
      <c r="AS584" s="105" t="n">
        <v>0</v>
      </c>
      <c r="AT584" s="105" t="n">
        <v>0</v>
      </c>
      <c r="AU584" s="105" t="n">
        <v>0</v>
      </c>
      <c r="AV584" s="105" t="n">
        <v>0</v>
      </c>
      <c r="AW584" s="105" t="n">
        <v>0</v>
      </c>
      <c r="AX584" s="105" t="n">
        <v>0</v>
      </c>
      <c r="AY584" s="105" t="n">
        <v>0</v>
      </c>
      <c r="AZ584" s="105" t="n">
        <v>0</v>
      </c>
      <c r="BA584" s="105" t="n">
        <v>0</v>
      </c>
      <c r="BB584" s="105" t="n">
        <v>0</v>
      </c>
      <c r="BC584" s="105" t="n">
        <v>0</v>
      </c>
      <c r="BD584" s="105" t="n">
        <v>0</v>
      </c>
      <c r="BE584" s="105" t="n">
        <v>0</v>
      </c>
      <c r="BF584" s="105" t="n">
        <v>0</v>
      </c>
      <c r="BG584" s="105" t="n">
        <v>0</v>
      </c>
      <c r="BH584" s="105" t="n">
        <v>0</v>
      </c>
      <c r="BI584" s="105" t="n">
        <v>0</v>
      </c>
      <c r="BJ584" s="105" t="n">
        <v>0</v>
      </c>
      <c r="BK584" s="105" t="n">
        <v>0</v>
      </c>
      <c r="BL584" s="105" t="n">
        <v>0</v>
      </c>
      <c r="BM584" s="105" t="n">
        <v>0</v>
      </c>
      <c r="BN584" s="105" t="n">
        <v>0</v>
      </c>
      <c r="BO584" s="105" t="n">
        <v>0</v>
      </c>
      <c r="BP584" s="105" t="n">
        <v>0</v>
      </c>
      <c r="BQ584" s="105" t="n">
        <v>0</v>
      </c>
      <c r="BR584" s="106" t="n">
        <v>0.666666666666667</v>
      </c>
      <c r="BS584" s="106" t="n">
        <v>0.677777777777778</v>
      </c>
      <c r="BT584" s="107"/>
      <c r="BU584" s="107"/>
      <c r="BV584" s="107"/>
      <c r="BW584" s="107"/>
      <c r="BX584" s="107"/>
      <c r="BY584" s="107"/>
      <c r="BZ584" s="107"/>
      <c r="CA584" s="107"/>
      <c r="CB584" s="107"/>
      <c r="CC584" s="107"/>
      <c r="CD584" s="107"/>
      <c r="CE584" s="107"/>
      <c r="CF584" s="107"/>
      <c r="CG584" s="107"/>
      <c r="CH584" s="107"/>
      <c r="CI584" s="107"/>
      <c r="CJ584" s="107"/>
      <c r="CK584" s="107"/>
      <c r="CL584" s="107"/>
      <c r="CM584" s="107"/>
      <c r="CN584" s="107"/>
      <c r="CO584" s="107"/>
      <c r="CP584" s="107"/>
      <c r="CQ584" s="107"/>
      <c r="CR584" s="107"/>
      <c r="CS584" s="107"/>
      <c r="CT584" s="107"/>
      <c r="CU584" s="107"/>
      <c r="CV584" s="107"/>
    </row>
    <row r="585" customFormat="false" ht="14.9" hidden="false" customHeight="false" outlineLevel="0" collapsed="false">
      <c r="A585" s="74" t="n">
        <f aca="false">MONTH(B585)</f>
        <v>9</v>
      </c>
      <c r="B585" s="135" t="n">
        <v>44459</v>
      </c>
      <c r="C585" s="128" t="s">
        <v>70</v>
      </c>
      <c r="D585" s="77" t="str">
        <f aca="false">IFERROR(VLOOKUP(E:E,'Item Data Support Sheet'!A:O,7,0),"")</f>
        <v>NIPPLE PUNCH</v>
      </c>
      <c r="E585" s="80" t="s">
        <v>666</v>
      </c>
      <c r="F585" s="122"/>
      <c r="G585" s="137"/>
      <c r="H585" s="79" t="str">
        <f aca="false">IFERROR(VLOOKUP(E:E,'Item Data Support Sheet'!A:O,2,0),"")</f>
        <v>NIPPLE S TYPE L SIZE PUNCHED</v>
      </c>
      <c r="I585" s="80" t="s">
        <v>1205</v>
      </c>
      <c r="J585" s="80" t="s">
        <v>155</v>
      </c>
      <c r="K585" s="81" t="n">
        <v>8</v>
      </c>
      <c r="L585" s="124" t="n">
        <v>7000</v>
      </c>
      <c r="M585" s="83" t="n">
        <f aca="false">IFERROR(L585/K585,0)</f>
        <v>875</v>
      </c>
      <c r="N585" s="84" t="n">
        <f aca="false">+O585+Q585+T585+U585</f>
        <v>6300</v>
      </c>
      <c r="O585" s="85" t="n">
        <v>6300</v>
      </c>
      <c r="P585" s="86" t="n">
        <v>0</v>
      </c>
      <c r="Q585" s="86" t="n">
        <v>0</v>
      </c>
      <c r="R585" s="132" t="n">
        <v>0</v>
      </c>
      <c r="S585" s="128" t="n">
        <v>0</v>
      </c>
      <c r="T585" s="132" t="n">
        <v>0</v>
      </c>
      <c r="U585" s="128" t="n">
        <v>0</v>
      </c>
      <c r="V585" s="128" t="n">
        <v>1</v>
      </c>
      <c r="W585" s="90" t="n">
        <f aca="false">IFERROR(O585/V585,0)</f>
        <v>6300</v>
      </c>
      <c r="X585" s="91" t="n">
        <f aca="false">O585/L585</f>
        <v>0.9</v>
      </c>
      <c r="Y585" s="92" t="str">
        <f aca="false">IFERROR(VLOOKUP(E:E,'Item Data Support Sheet'!A:J,6,0),0)</f>
        <v>FO017</v>
      </c>
      <c r="Z585" s="93" t="n">
        <f aca="false">IFERROR(VLOOKUP(E:E,'Item Data Support Sheet'!A:O,4,0),0)</f>
        <v>0</v>
      </c>
      <c r="AA585" s="93" t="n">
        <f aca="false">IFERROR(((N585)*(Z585/1000))+P585,0)</f>
        <v>0</v>
      </c>
      <c r="AB585" s="94" t="str">
        <f aca="false">IFERROR((O585*(Z585/1000)/(AA585))," ")</f>
        <v> </v>
      </c>
      <c r="AC585" s="95" t="n">
        <f aca="false">IFERROR((T585)/((T585)+O585),0)</f>
        <v>0</v>
      </c>
      <c r="AD585" s="96" t="n">
        <f aca="false">IFERROR(Q585/(Q585+N585),0)</f>
        <v>0</v>
      </c>
      <c r="AE585" s="91" t="n">
        <f aca="false">(N585-T585)/N585</f>
        <v>1</v>
      </c>
      <c r="AF585" s="97" t="n">
        <f aca="false">BR585</f>
        <v>0.666666666666667</v>
      </c>
      <c r="AG585" s="98" t="n">
        <f aca="false">K585-AF585</f>
        <v>7.33333333333333</v>
      </c>
      <c r="AH585" s="99" t="n">
        <f aca="false">IFERROR(AG585/K585," ")</f>
        <v>0.916666666666667</v>
      </c>
      <c r="AI585" s="100" t="n">
        <f aca="false">IFERROR(O585/K585,0)</f>
        <v>787.5</v>
      </c>
      <c r="AJ585" s="101" t="n">
        <f aca="false">VLOOKUP(D585,'Standard Cycle time'!C:D,2,0)</f>
        <v>3.5</v>
      </c>
      <c r="AK585" s="101" t="n">
        <f aca="false">AG585*V585*3600/O585</f>
        <v>4.19047619047619</v>
      </c>
      <c r="AL585" s="102" t="n">
        <f aca="false">AJ585/AK585</f>
        <v>0.835227272727273</v>
      </c>
      <c r="AM585" s="99" t="n">
        <f aca="false">AE585*AL585*AH585</f>
        <v>0.765625</v>
      </c>
      <c r="AN585" s="103" t="s">
        <v>1206</v>
      </c>
      <c r="AO585" s="112" t="s">
        <v>1207</v>
      </c>
      <c r="AP585" s="105" t="n">
        <v>40</v>
      </c>
      <c r="AQ585" s="105" t="n">
        <v>0</v>
      </c>
      <c r="AR585" s="105" t="n">
        <v>0</v>
      </c>
      <c r="AS585" s="105" t="n">
        <v>0</v>
      </c>
      <c r="AT585" s="105" t="n">
        <v>0</v>
      </c>
      <c r="AU585" s="105" t="n">
        <v>0</v>
      </c>
      <c r="AV585" s="105" t="n">
        <v>0</v>
      </c>
      <c r="AW585" s="105" t="n">
        <v>0</v>
      </c>
      <c r="AX585" s="105" t="n">
        <v>0</v>
      </c>
      <c r="AY585" s="105" t="n">
        <v>0</v>
      </c>
      <c r="AZ585" s="105" t="n">
        <v>0</v>
      </c>
      <c r="BA585" s="105" t="n">
        <v>0</v>
      </c>
      <c r="BB585" s="105" t="n">
        <v>0</v>
      </c>
      <c r="BC585" s="105" t="n">
        <v>0</v>
      </c>
      <c r="BD585" s="105" t="n">
        <v>0</v>
      </c>
      <c r="BE585" s="105" t="n">
        <v>0</v>
      </c>
      <c r="BF585" s="105" t="n">
        <v>0</v>
      </c>
      <c r="BG585" s="105" t="n">
        <v>0</v>
      </c>
      <c r="BH585" s="105" t="n">
        <v>0</v>
      </c>
      <c r="BI585" s="105" t="n">
        <v>0</v>
      </c>
      <c r="BJ585" s="105" t="n">
        <v>0</v>
      </c>
      <c r="BK585" s="105" t="n">
        <v>0</v>
      </c>
      <c r="BL585" s="105" t="n">
        <v>0</v>
      </c>
      <c r="BM585" s="105" t="n">
        <v>0</v>
      </c>
      <c r="BN585" s="105" t="n">
        <v>0</v>
      </c>
      <c r="BO585" s="105" t="n">
        <v>0</v>
      </c>
      <c r="BP585" s="105" t="n">
        <v>0</v>
      </c>
      <c r="BQ585" s="105" t="n">
        <v>0</v>
      </c>
      <c r="BR585" s="106" t="n">
        <v>0.666666666666667</v>
      </c>
      <c r="BS585" s="106" t="n">
        <v>0.677777777777778</v>
      </c>
      <c r="BT585" s="107"/>
      <c r="BU585" s="107"/>
      <c r="BV585" s="107"/>
      <c r="BW585" s="107"/>
      <c r="BX585" s="107"/>
      <c r="BY585" s="107"/>
      <c r="BZ585" s="107"/>
      <c r="CA585" s="107"/>
      <c r="CB585" s="107"/>
      <c r="CC585" s="107"/>
      <c r="CD585" s="107"/>
      <c r="CE585" s="107"/>
      <c r="CF585" s="107"/>
      <c r="CG585" s="107"/>
      <c r="CH585" s="107"/>
      <c r="CI585" s="107"/>
      <c r="CJ585" s="107"/>
      <c r="CK585" s="107"/>
      <c r="CL585" s="107"/>
      <c r="CM585" s="107"/>
      <c r="CN585" s="107"/>
      <c r="CO585" s="107"/>
      <c r="CP585" s="107"/>
      <c r="CQ585" s="107"/>
      <c r="CR585" s="107"/>
      <c r="CS585" s="107"/>
      <c r="CT585" s="107"/>
      <c r="CU585" s="107"/>
      <c r="CV585" s="107"/>
    </row>
    <row r="586" customFormat="false" ht="14.9" hidden="false" customHeight="false" outlineLevel="0" collapsed="false">
      <c r="A586" s="74" t="n">
        <f aca="false">MONTH(B586)</f>
        <v>9</v>
      </c>
      <c r="B586" s="135" t="n">
        <v>44459</v>
      </c>
      <c r="C586" s="128" t="s">
        <v>70</v>
      </c>
      <c r="D586" s="77" t="str">
        <f aca="false">IFERROR(VLOOKUP(E:E,'Item Data Support Sheet'!A:O,7,0),"")</f>
        <v>NIPPLE LASER MARKING</v>
      </c>
      <c r="E586" s="80" t="s">
        <v>681</v>
      </c>
      <c r="F586" s="122"/>
      <c r="G586" s="137"/>
      <c r="H586" s="79" t="str">
        <f aca="false">IFERROR(VLOOKUP(E:E,'Item Data Support Sheet'!A:O,2,0),"")</f>
        <v>NIPPLE S TYPE L SIZE PUNCHED LASER MARKED</v>
      </c>
      <c r="I586" s="80" t="s">
        <v>1150</v>
      </c>
      <c r="J586" s="80" t="s">
        <v>155</v>
      </c>
      <c r="K586" s="81" t="n">
        <v>8</v>
      </c>
      <c r="L586" s="124" t="n">
        <v>7000</v>
      </c>
      <c r="M586" s="83" t="n">
        <f aca="false">IFERROR(L586/K586,0)</f>
        <v>875</v>
      </c>
      <c r="N586" s="84" t="n">
        <f aca="false">+O586+Q586+T586+U586</f>
        <v>7000</v>
      </c>
      <c r="O586" s="85" t="n">
        <v>7000</v>
      </c>
      <c r="P586" s="86" t="n">
        <v>0</v>
      </c>
      <c r="Q586" s="86" t="n">
        <v>0</v>
      </c>
      <c r="R586" s="132" t="n">
        <v>0</v>
      </c>
      <c r="S586" s="128" t="n">
        <v>0</v>
      </c>
      <c r="T586" s="132" t="n">
        <v>0</v>
      </c>
      <c r="U586" s="128" t="n">
        <v>0</v>
      </c>
      <c r="V586" s="128" t="n">
        <v>1</v>
      </c>
      <c r="W586" s="90" t="n">
        <f aca="false">IFERROR(O586/V586,0)</f>
        <v>7000</v>
      </c>
      <c r="X586" s="91" t="n">
        <f aca="false">O586/L586</f>
        <v>1</v>
      </c>
      <c r="Y586" s="92" t="str">
        <f aca="false">IFERROR(VLOOKUP(E:E,'Item Data Support Sheet'!A:J,6,0),0)</f>
        <v>FO021</v>
      </c>
      <c r="Z586" s="93" t="n">
        <f aca="false">IFERROR(VLOOKUP(E:E,'Item Data Support Sheet'!A:O,4,0),0)</f>
        <v>0</v>
      </c>
      <c r="AA586" s="93" t="n">
        <f aca="false">IFERROR(((N586)*(Z586/1000))+P586,0)</f>
        <v>0</v>
      </c>
      <c r="AB586" s="94" t="str">
        <f aca="false">IFERROR((O586*(Z586/1000)/(AA586))," ")</f>
        <v> </v>
      </c>
      <c r="AC586" s="95" t="n">
        <f aca="false">IFERROR((T586)/((T586)+O586),0)</f>
        <v>0</v>
      </c>
      <c r="AD586" s="96" t="n">
        <f aca="false">IFERROR(Q586/(Q586+N586),0)</f>
        <v>0</v>
      </c>
      <c r="AE586" s="91" t="n">
        <f aca="false">(N586-T586)/N586</f>
        <v>1</v>
      </c>
      <c r="AF586" s="97" t="n">
        <f aca="false">BR586</f>
        <v>0.666666666666667</v>
      </c>
      <c r="AG586" s="98" t="n">
        <f aca="false">K586-AF586</f>
        <v>7.33333333333333</v>
      </c>
      <c r="AH586" s="99" t="n">
        <f aca="false">IFERROR(AG586/K586," ")</f>
        <v>0.916666666666667</v>
      </c>
      <c r="AI586" s="100" t="n">
        <f aca="false">IFERROR(O586/K586,0)</f>
        <v>875</v>
      </c>
      <c r="AJ586" s="101" t="n">
        <f aca="false">VLOOKUP(D586,'Standard Cycle time'!C:D,2,0)</f>
        <v>3.5</v>
      </c>
      <c r="AK586" s="101" t="n">
        <f aca="false">AG586*V586*3600/O586</f>
        <v>3.77142857142857</v>
      </c>
      <c r="AL586" s="102" t="n">
        <f aca="false">AJ586/AK586</f>
        <v>0.928030303030303</v>
      </c>
      <c r="AM586" s="99" t="n">
        <f aca="false">AE586*AL586*AH586</f>
        <v>0.850694444444444</v>
      </c>
      <c r="AN586" s="103" t="s">
        <v>1208</v>
      </c>
      <c r="AO586" s="112"/>
      <c r="AP586" s="105" t="n">
        <v>40</v>
      </c>
      <c r="AQ586" s="105" t="n">
        <v>0</v>
      </c>
      <c r="AR586" s="105" t="n">
        <v>0</v>
      </c>
      <c r="AS586" s="105" t="n">
        <v>0</v>
      </c>
      <c r="AT586" s="105" t="n">
        <v>0</v>
      </c>
      <c r="AU586" s="105" t="n">
        <v>0</v>
      </c>
      <c r="AV586" s="105" t="n">
        <v>0</v>
      </c>
      <c r="AW586" s="105" t="n">
        <v>0</v>
      </c>
      <c r="AX586" s="105" t="n">
        <v>0</v>
      </c>
      <c r="AY586" s="105" t="n">
        <v>0</v>
      </c>
      <c r="AZ586" s="105" t="n">
        <v>0</v>
      </c>
      <c r="BA586" s="105" t="n">
        <v>0</v>
      </c>
      <c r="BB586" s="105" t="n">
        <v>0</v>
      </c>
      <c r="BC586" s="105" t="n">
        <v>0</v>
      </c>
      <c r="BD586" s="105" t="n">
        <v>0</v>
      </c>
      <c r="BE586" s="105" t="n">
        <v>0</v>
      </c>
      <c r="BF586" s="105" t="n">
        <v>0</v>
      </c>
      <c r="BG586" s="105" t="n">
        <v>0</v>
      </c>
      <c r="BH586" s="105" t="n">
        <v>0</v>
      </c>
      <c r="BI586" s="105" t="n">
        <v>0</v>
      </c>
      <c r="BJ586" s="105" t="n">
        <v>0</v>
      </c>
      <c r="BK586" s="105" t="n">
        <v>0</v>
      </c>
      <c r="BL586" s="105" t="n">
        <v>0</v>
      </c>
      <c r="BM586" s="105" t="n">
        <v>0</v>
      </c>
      <c r="BN586" s="105" t="n">
        <v>0</v>
      </c>
      <c r="BO586" s="105" t="n">
        <v>0</v>
      </c>
      <c r="BP586" s="105" t="n">
        <v>0</v>
      </c>
      <c r="BQ586" s="105" t="n">
        <v>0</v>
      </c>
      <c r="BR586" s="106" t="n">
        <v>0.666666666666667</v>
      </c>
      <c r="BS586" s="106" t="n">
        <v>0.677777777777778</v>
      </c>
      <c r="BT586" s="107"/>
      <c r="BU586" s="107"/>
      <c r="BV586" s="107"/>
      <c r="BW586" s="107"/>
      <c r="BX586" s="107"/>
      <c r="BY586" s="107"/>
      <c r="BZ586" s="107"/>
      <c r="CA586" s="107"/>
      <c r="CB586" s="107"/>
      <c r="CC586" s="107"/>
      <c r="CD586" s="107"/>
      <c r="CE586" s="107"/>
      <c r="CF586" s="107"/>
      <c r="CG586" s="107"/>
      <c r="CH586" s="107"/>
      <c r="CI586" s="107"/>
      <c r="CJ586" s="107"/>
      <c r="CK586" s="107"/>
      <c r="CL586" s="107"/>
      <c r="CM586" s="107"/>
      <c r="CN586" s="107"/>
      <c r="CO586" s="107"/>
      <c r="CP586" s="107"/>
      <c r="CQ586" s="107"/>
      <c r="CR586" s="107"/>
      <c r="CS586" s="107"/>
      <c r="CT586" s="107"/>
      <c r="CU586" s="107"/>
      <c r="CV586" s="107"/>
    </row>
    <row r="587" customFormat="false" ht="14.9" hidden="false" customHeight="false" outlineLevel="0" collapsed="false">
      <c r="A587" s="74" t="n">
        <f aca="false">MONTH(B587)</f>
        <v>9</v>
      </c>
      <c r="B587" s="135" t="n">
        <v>44459</v>
      </c>
      <c r="C587" s="128" t="s">
        <v>70</v>
      </c>
      <c r="D587" s="77" t="str">
        <f aca="false">IFERROR(VLOOKUP(E:E,'Item Data Support Sheet'!A:O,7,0),"")</f>
        <v>BOTTLE MOLDED</v>
      </c>
      <c r="E587" s="80" t="s">
        <v>357</v>
      </c>
      <c r="F587" s="122"/>
      <c r="G587" s="137" t="s">
        <v>74</v>
      </c>
      <c r="H587" s="79" t="str">
        <f aca="false">IFERROR(VLOOKUP(E:E,'Item Data Support Sheet'!A:O,2,0),"")</f>
        <v>KPP 120 ML BOTTLE MOLDED</v>
      </c>
      <c r="I587" s="80" t="s">
        <v>1209</v>
      </c>
      <c r="J587" s="80" t="s">
        <v>155</v>
      </c>
      <c r="K587" s="81" t="n">
        <v>8</v>
      </c>
      <c r="L587" s="124" t="n">
        <v>2574</v>
      </c>
      <c r="M587" s="83" t="n">
        <f aca="false">IFERROR(L587/K587,0)</f>
        <v>321.75</v>
      </c>
      <c r="N587" s="84" t="n">
        <f aca="false">+O587+Q587+T587+U587</f>
        <v>3141</v>
      </c>
      <c r="O587" s="85" t="n">
        <v>3060</v>
      </c>
      <c r="P587" s="86" t="n">
        <v>0</v>
      </c>
      <c r="Q587" s="86" t="n">
        <v>30</v>
      </c>
      <c r="R587" s="132" t="n">
        <v>0</v>
      </c>
      <c r="S587" s="128" t="n">
        <v>0</v>
      </c>
      <c r="T587" s="132" t="n">
        <v>51</v>
      </c>
      <c r="U587" s="128" t="n">
        <v>0</v>
      </c>
      <c r="V587" s="128" t="n">
        <v>1</v>
      </c>
      <c r="W587" s="90" t="n">
        <f aca="false">IFERROR(O587/V587,0)</f>
        <v>3060</v>
      </c>
      <c r="X587" s="91" t="n">
        <f aca="false">O587/L587</f>
        <v>1.18881118881119</v>
      </c>
      <c r="Y587" s="92" t="str">
        <f aca="false">IFERROR(VLOOKUP(E:E,'Item Data Support Sheet'!A:J,6,0),0)</f>
        <v>HMC</v>
      </c>
      <c r="Z587" s="93" t="n">
        <f aca="false">IFERROR(VLOOKUP(E:E,'Item Data Support Sheet'!A:O,4,0),0)</f>
        <v>21.3</v>
      </c>
      <c r="AA587" s="93" t="n">
        <f aca="false">IFERROR(((N587)*(Z587/1000))+P587,0)</f>
        <v>66.9033</v>
      </c>
      <c r="AB587" s="94" t="n">
        <f aca="false">IFERROR((O587*(Z587/1000)/(AA587))," ")</f>
        <v>0.974212034383954</v>
      </c>
      <c r="AC587" s="95" t="n">
        <f aca="false">IFERROR((T587)/((T587)+O587),0)</f>
        <v>0.0163934426229508</v>
      </c>
      <c r="AD587" s="96" t="n">
        <f aca="false">IFERROR(Q587/(Q587+N587),0)</f>
        <v>0.00946073793755913</v>
      </c>
      <c r="AE587" s="91" t="n">
        <f aca="false">(N587-T587)/N587</f>
        <v>0.983763132760267</v>
      </c>
      <c r="AF587" s="97" t="n">
        <f aca="false">BR587</f>
        <v>0</v>
      </c>
      <c r="AG587" s="98" t="n">
        <f aca="false">K587-AF587</f>
        <v>8</v>
      </c>
      <c r="AH587" s="99" t="n">
        <f aca="false">IFERROR(AG587/K587," ")</f>
        <v>1</v>
      </c>
      <c r="AI587" s="100" t="n">
        <f aca="false">IFERROR(O587/K587,0)</f>
        <v>382.5</v>
      </c>
      <c r="AJ587" s="101" t="n">
        <f aca="false">VLOOKUP(D587,'Standard Cycle time'!C:D,2,0)</f>
        <v>9</v>
      </c>
      <c r="AK587" s="101" t="n">
        <f aca="false">AG587*V587*3600/O587</f>
        <v>9.41176470588235</v>
      </c>
      <c r="AL587" s="102" t="n">
        <f aca="false">AJ587/AK587</f>
        <v>0.95625</v>
      </c>
      <c r="AM587" s="99" t="n">
        <f aca="false">AE587*AL587*AH587</f>
        <v>0.940723495702006</v>
      </c>
      <c r="AN587" s="103" t="n">
        <v>3388</v>
      </c>
      <c r="AO587" s="112"/>
      <c r="AP587" s="105" t="n">
        <v>0</v>
      </c>
      <c r="AQ587" s="105" t="n">
        <v>0</v>
      </c>
      <c r="AR587" s="105" t="n">
        <v>0</v>
      </c>
      <c r="AS587" s="105" t="n">
        <v>0</v>
      </c>
      <c r="AT587" s="105" t="n">
        <v>0</v>
      </c>
      <c r="AU587" s="105" t="n">
        <v>0</v>
      </c>
      <c r="AV587" s="105" t="n">
        <v>0</v>
      </c>
      <c r="AW587" s="105" t="n">
        <v>0</v>
      </c>
      <c r="AX587" s="105" t="n">
        <v>0</v>
      </c>
      <c r="AY587" s="105" t="n">
        <v>0</v>
      </c>
      <c r="AZ587" s="105" t="n">
        <v>0</v>
      </c>
      <c r="BA587" s="105" t="n">
        <v>0</v>
      </c>
      <c r="BB587" s="105" t="n">
        <v>0</v>
      </c>
      <c r="BC587" s="105" t="n">
        <v>0</v>
      </c>
      <c r="BD587" s="105" t="n">
        <v>0</v>
      </c>
      <c r="BE587" s="105" t="n">
        <v>0</v>
      </c>
      <c r="BF587" s="105" t="n">
        <v>0</v>
      </c>
      <c r="BG587" s="105" t="n">
        <v>0</v>
      </c>
      <c r="BH587" s="105" t="n">
        <v>0</v>
      </c>
      <c r="BI587" s="105" t="n">
        <v>0</v>
      </c>
      <c r="BJ587" s="105" t="n">
        <v>0</v>
      </c>
      <c r="BK587" s="105" t="n">
        <v>0</v>
      </c>
      <c r="BL587" s="105" t="n">
        <v>0</v>
      </c>
      <c r="BM587" s="105" t="n">
        <v>0</v>
      </c>
      <c r="BN587" s="105" t="n">
        <v>0</v>
      </c>
      <c r="BO587" s="105" t="n">
        <v>0</v>
      </c>
      <c r="BP587" s="105" t="n">
        <v>0</v>
      </c>
      <c r="BQ587" s="105" t="n">
        <v>0</v>
      </c>
      <c r="BR587" s="106" t="n">
        <v>0</v>
      </c>
      <c r="BS587" s="106" t="n">
        <v>0</v>
      </c>
      <c r="BT587" s="107"/>
      <c r="BU587" s="107"/>
      <c r="BV587" s="107"/>
      <c r="BW587" s="107"/>
      <c r="BX587" s="107"/>
      <c r="BY587" s="107"/>
      <c r="BZ587" s="107"/>
      <c r="CA587" s="107"/>
      <c r="CB587" s="107"/>
      <c r="CC587" s="107"/>
      <c r="CD587" s="107"/>
      <c r="CE587" s="107"/>
      <c r="CF587" s="107"/>
      <c r="CG587" s="107"/>
      <c r="CH587" s="107"/>
      <c r="CI587" s="107"/>
      <c r="CJ587" s="107"/>
      <c r="CK587" s="107"/>
      <c r="CL587" s="107"/>
      <c r="CM587" s="107"/>
      <c r="CN587" s="107"/>
      <c r="CO587" s="107"/>
      <c r="CP587" s="107"/>
      <c r="CQ587" s="107"/>
      <c r="CR587" s="107"/>
      <c r="CS587" s="107"/>
      <c r="CT587" s="107"/>
      <c r="CU587" s="107"/>
      <c r="CV587" s="107"/>
    </row>
    <row r="588" customFormat="false" ht="14.9" hidden="false" customHeight="false" outlineLevel="0" collapsed="false">
      <c r="A588" s="74" t="n">
        <f aca="false">MONTH(B588)</f>
        <v>9</v>
      </c>
      <c r="B588" s="135" t="n">
        <v>44459</v>
      </c>
      <c r="C588" s="128" t="s">
        <v>70</v>
      </c>
      <c r="D588" s="77" t="str">
        <f aca="false">IFERROR(VLOOKUP(E:E,'Item Data Support Sheet'!A:O,7,0),"")</f>
        <v>NIPPLE MOLDED</v>
      </c>
      <c r="E588" s="80" t="s">
        <v>661</v>
      </c>
      <c r="F588" s="122" t="s">
        <v>137</v>
      </c>
      <c r="G588" s="137" t="s">
        <v>138</v>
      </c>
      <c r="H588" s="79" t="str">
        <f aca="false">IFERROR(VLOOKUP(E:E,'Item Data Support Sheet'!A:O,2,0),"")</f>
        <v>NIPPLE S TYPE L SIZE INJECTION</v>
      </c>
      <c r="I588" s="80" t="s">
        <v>1210</v>
      </c>
      <c r="J588" s="80" t="s">
        <v>155</v>
      </c>
      <c r="K588" s="81" t="n">
        <v>8</v>
      </c>
      <c r="L588" s="124" t="n">
        <v>4815</v>
      </c>
      <c r="M588" s="83" t="n">
        <f aca="false">IFERROR(L588/K588,0)</f>
        <v>601.875</v>
      </c>
      <c r="N588" s="84" t="n">
        <f aca="false">+O588+Q588+T588+U588</f>
        <v>5580</v>
      </c>
      <c r="O588" s="85" t="n">
        <v>5500</v>
      </c>
      <c r="P588" s="86" t="n">
        <v>0</v>
      </c>
      <c r="Q588" s="86" t="n">
        <v>33</v>
      </c>
      <c r="R588" s="132" t="n">
        <v>0</v>
      </c>
      <c r="S588" s="128" t="n">
        <v>0</v>
      </c>
      <c r="T588" s="132" t="n">
        <v>47</v>
      </c>
      <c r="U588" s="128" t="n">
        <v>0</v>
      </c>
      <c r="V588" s="128" t="n">
        <v>1</v>
      </c>
      <c r="W588" s="90" t="n">
        <f aca="false">IFERROR(O588/V588,0)</f>
        <v>5500</v>
      </c>
      <c r="X588" s="91" t="n">
        <f aca="false">O588/L588</f>
        <v>1.14226375908619</v>
      </c>
      <c r="Y588" s="92" t="str">
        <f aca="false">IFERROR(VLOOKUP(E:E,'Item Data Support Sheet'!A:J,6,0),0)</f>
        <v>Silicon</v>
      </c>
      <c r="Z588" s="93" t="n">
        <f aca="false">IFERROR(VLOOKUP(E:E,'Item Data Support Sheet'!A:O,4,0),0)</f>
        <v>6.8</v>
      </c>
      <c r="AA588" s="93" t="n">
        <f aca="false">IFERROR(((N588)*(Z588/1000))+P588,0)</f>
        <v>37.944</v>
      </c>
      <c r="AB588" s="94" t="n">
        <f aca="false">IFERROR((O588*(Z588/1000)/(AA588))," ")</f>
        <v>0.985663082437276</v>
      </c>
      <c r="AC588" s="95" t="n">
        <f aca="false">IFERROR((T588)/((T588)+O588),0)</f>
        <v>0.00847304849468181</v>
      </c>
      <c r="AD588" s="96" t="n">
        <f aca="false">IFERROR(Q588/(Q588+N588),0)</f>
        <v>0.00587920897915553</v>
      </c>
      <c r="AE588" s="91" t="n">
        <f aca="false">(N588-T588)/N588</f>
        <v>0.9915770609319</v>
      </c>
      <c r="AF588" s="97" t="n">
        <f aca="false">BR588</f>
        <v>0</v>
      </c>
      <c r="AG588" s="98" t="n">
        <f aca="false">K588-AF588</f>
        <v>8</v>
      </c>
      <c r="AH588" s="99" t="n">
        <f aca="false">IFERROR(AG588/K588," ")</f>
        <v>1</v>
      </c>
      <c r="AI588" s="100" t="n">
        <f aca="false">IFERROR(O588/K588,0)</f>
        <v>687.5</v>
      </c>
      <c r="AJ588" s="101" t="n">
        <f aca="false">VLOOKUP(D588,'Standard Cycle time'!C:D,2,0)</f>
        <v>5.25</v>
      </c>
      <c r="AK588" s="101" t="n">
        <f aca="false">AG588*V588*3600/O588</f>
        <v>5.23636363636364</v>
      </c>
      <c r="AL588" s="102" t="n">
        <f aca="false">AJ588/AK588</f>
        <v>1.00260416666667</v>
      </c>
      <c r="AM588" s="99" t="n">
        <f aca="false">AE588*AL588*AH588</f>
        <v>0.99415929286141</v>
      </c>
      <c r="AN588" s="103" t="n">
        <v>3389</v>
      </c>
      <c r="AO588" s="112"/>
      <c r="AP588" s="105" t="n">
        <v>0</v>
      </c>
      <c r="AQ588" s="105" t="n">
        <v>0</v>
      </c>
      <c r="AR588" s="105" t="n">
        <v>0</v>
      </c>
      <c r="AS588" s="105" t="n">
        <v>0</v>
      </c>
      <c r="AT588" s="105" t="n">
        <v>0</v>
      </c>
      <c r="AU588" s="105" t="n">
        <v>0</v>
      </c>
      <c r="AV588" s="105" t="n">
        <v>0</v>
      </c>
      <c r="AW588" s="105" t="n">
        <v>0</v>
      </c>
      <c r="AX588" s="105" t="n">
        <v>0</v>
      </c>
      <c r="AY588" s="105" t="n">
        <v>0</v>
      </c>
      <c r="AZ588" s="105" t="n">
        <v>0</v>
      </c>
      <c r="BA588" s="105" t="n">
        <v>0</v>
      </c>
      <c r="BB588" s="105" t="n">
        <v>0</v>
      </c>
      <c r="BC588" s="105" t="n">
        <v>0</v>
      </c>
      <c r="BD588" s="105" t="n">
        <v>0</v>
      </c>
      <c r="BE588" s="105" t="n">
        <v>0</v>
      </c>
      <c r="BF588" s="105" t="n">
        <v>0</v>
      </c>
      <c r="BG588" s="105" t="n">
        <v>0</v>
      </c>
      <c r="BH588" s="105" t="n">
        <v>0</v>
      </c>
      <c r="BI588" s="105" t="n">
        <v>0</v>
      </c>
      <c r="BJ588" s="105" t="n">
        <v>0</v>
      </c>
      <c r="BK588" s="105" t="n">
        <v>0</v>
      </c>
      <c r="BL588" s="105" t="n">
        <v>0</v>
      </c>
      <c r="BM588" s="105" t="n">
        <v>0</v>
      </c>
      <c r="BN588" s="105" t="n">
        <v>0</v>
      </c>
      <c r="BO588" s="105" t="n">
        <v>0</v>
      </c>
      <c r="BP588" s="105" t="n">
        <v>0</v>
      </c>
      <c r="BQ588" s="105" t="n">
        <v>0</v>
      </c>
      <c r="BR588" s="106" t="n">
        <v>0</v>
      </c>
      <c r="BS588" s="106" t="n">
        <v>0</v>
      </c>
      <c r="BT588" s="107"/>
      <c r="BU588" s="107"/>
      <c r="BV588" s="107"/>
      <c r="BW588" s="107"/>
      <c r="BX588" s="107"/>
      <c r="BY588" s="107"/>
      <c r="BZ588" s="107"/>
      <c r="CA588" s="107"/>
      <c r="CB588" s="107"/>
      <c r="CC588" s="107"/>
      <c r="CD588" s="107"/>
      <c r="CE588" s="107"/>
      <c r="CF588" s="107"/>
      <c r="CG588" s="107"/>
      <c r="CH588" s="107"/>
      <c r="CI588" s="107"/>
      <c r="CJ588" s="107"/>
      <c r="CK588" s="107"/>
      <c r="CL588" s="107"/>
      <c r="CM588" s="107"/>
      <c r="CN588" s="107"/>
      <c r="CO588" s="107"/>
      <c r="CP588" s="107"/>
      <c r="CQ588" s="107"/>
      <c r="CR588" s="107"/>
      <c r="CS588" s="107"/>
      <c r="CT588" s="107"/>
      <c r="CU588" s="107"/>
      <c r="CV588" s="107"/>
    </row>
    <row r="589" customFormat="false" ht="14.9" hidden="false" customHeight="false" outlineLevel="0" collapsed="false">
      <c r="A589" s="74" t="n">
        <f aca="false">MONTH(B589)</f>
        <v>9</v>
      </c>
      <c r="B589" s="135" t="n">
        <v>44459</v>
      </c>
      <c r="C589" s="128" t="s">
        <v>70</v>
      </c>
      <c r="D589" s="77" t="str">
        <f aca="false">IFERROR(VLOOKUP(E:E,'Item Data Support Sheet'!A:O,7,0),"")</f>
        <v>CAP MOLDED</v>
      </c>
      <c r="E589" s="80" t="s">
        <v>261</v>
      </c>
      <c r="F589" s="122"/>
      <c r="G589" s="137" t="s">
        <v>1211</v>
      </c>
      <c r="H589" s="79" t="str">
        <f aca="false">IFERROR(VLOOKUP(E:E,'Item Data Support Sheet'!A:O,2,0),"")</f>
        <v>CAP S TYPE MOLDED PINK</v>
      </c>
      <c r="I589" s="80" t="s">
        <v>1212</v>
      </c>
      <c r="J589" s="80" t="s">
        <v>155</v>
      </c>
      <c r="K589" s="81" t="n">
        <v>8</v>
      </c>
      <c r="L589" s="124" t="n">
        <v>4137</v>
      </c>
      <c r="M589" s="83" t="n">
        <f aca="false">IFERROR(L589/K589,0)</f>
        <v>517.125</v>
      </c>
      <c r="N589" s="84" t="n">
        <f aca="false">+O589+Q589+T589+U589</f>
        <v>5004</v>
      </c>
      <c r="O589" s="85" t="n">
        <v>5000</v>
      </c>
      <c r="P589" s="86" t="n">
        <v>0.5</v>
      </c>
      <c r="Q589" s="86" t="n">
        <v>0</v>
      </c>
      <c r="R589" s="132" t="n">
        <v>0</v>
      </c>
      <c r="S589" s="128" t="n">
        <v>0</v>
      </c>
      <c r="T589" s="132" t="n">
        <v>4</v>
      </c>
      <c r="U589" s="128" t="n">
        <v>0</v>
      </c>
      <c r="V589" s="128" t="n">
        <v>1</v>
      </c>
      <c r="W589" s="90" t="n">
        <f aca="false">IFERROR(O589/V589,0)</f>
        <v>5000</v>
      </c>
      <c r="X589" s="91" t="n">
        <f aca="false">O589/L589</f>
        <v>1.20860526951898</v>
      </c>
      <c r="Y589" s="92" t="str">
        <f aca="false">IFERROR(VLOOKUP(E:E,'Item Data Support Sheet'!A:J,6,0),0)</f>
        <v>RM000123</v>
      </c>
      <c r="Z589" s="93" t="n">
        <f aca="false">IFERROR(VLOOKUP(E:E,'Item Data Support Sheet'!A:O,4,0),0)</f>
        <v>7.3</v>
      </c>
      <c r="AA589" s="93" t="n">
        <f aca="false">IFERROR(((N589)*(Z589/1000))+P589,0)</f>
        <v>37.0292</v>
      </c>
      <c r="AB589" s="94" t="n">
        <f aca="false">IFERROR((O589*(Z589/1000)/(AA589))," ")</f>
        <v>0.985708575934668</v>
      </c>
      <c r="AC589" s="95" t="n">
        <f aca="false">IFERROR((T589)/((T589)+O589),0)</f>
        <v>0.000799360511590727</v>
      </c>
      <c r="AD589" s="96" t="n">
        <f aca="false">IFERROR(Q589/(Q589+N589),0)</f>
        <v>0</v>
      </c>
      <c r="AE589" s="91" t="n">
        <f aca="false">(N589-T589)/N589</f>
        <v>0.999200639488409</v>
      </c>
      <c r="AF589" s="97" t="n">
        <f aca="false">BR589</f>
        <v>0</v>
      </c>
      <c r="AG589" s="98" t="n">
        <f aca="false">K589-AF589</f>
        <v>8</v>
      </c>
      <c r="AH589" s="99" t="n">
        <f aca="false">IFERROR(AG589/K589," ")</f>
        <v>1</v>
      </c>
      <c r="AI589" s="100" t="n">
        <f aca="false">IFERROR(O589/K589,0)</f>
        <v>625</v>
      </c>
      <c r="AJ589" s="101" t="n">
        <f aca="false">VLOOKUP(D589,'Standard Cycle time'!C:D,2,0)</f>
        <v>6</v>
      </c>
      <c r="AK589" s="101" t="n">
        <f aca="false">AG589*V589*3600/O589</f>
        <v>5.76</v>
      </c>
      <c r="AL589" s="102" t="n">
        <f aca="false">AJ589/AK589</f>
        <v>1.04166666666667</v>
      </c>
      <c r="AM589" s="99" t="n">
        <f aca="false">AE589*AL589*AH589</f>
        <v>1.04083399946709</v>
      </c>
      <c r="AN589" s="103" t="n">
        <v>3402</v>
      </c>
      <c r="AO589" s="112"/>
      <c r="AP589" s="105" t="n">
        <v>0</v>
      </c>
      <c r="AQ589" s="105" t="n">
        <v>0</v>
      </c>
      <c r="AR589" s="105" t="n">
        <v>0</v>
      </c>
      <c r="AS589" s="105" t="n">
        <v>0</v>
      </c>
      <c r="AT589" s="105" t="n">
        <v>0</v>
      </c>
      <c r="AU589" s="105" t="n">
        <v>0</v>
      </c>
      <c r="AV589" s="105" t="n">
        <v>0</v>
      </c>
      <c r="AW589" s="105" t="n">
        <v>0</v>
      </c>
      <c r="AX589" s="105" t="n">
        <v>0</v>
      </c>
      <c r="AY589" s="105" t="n">
        <v>0</v>
      </c>
      <c r="AZ589" s="105" t="n">
        <v>0</v>
      </c>
      <c r="BA589" s="105" t="n">
        <v>0</v>
      </c>
      <c r="BB589" s="105" t="n">
        <v>0</v>
      </c>
      <c r="BC589" s="105" t="n">
        <v>0</v>
      </c>
      <c r="BD589" s="105" t="n">
        <v>0</v>
      </c>
      <c r="BE589" s="105" t="n">
        <v>0</v>
      </c>
      <c r="BF589" s="105" t="n">
        <v>0</v>
      </c>
      <c r="BG589" s="105" t="n">
        <v>0</v>
      </c>
      <c r="BH589" s="105" t="n">
        <v>0</v>
      </c>
      <c r="BI589" s="105" t="n">
        <v>0</v>
      </c>
      <c r="BJ589" s="105" t="n">
        <v>0</v>
      </c>
      <c r="BK589" s="105" t="n">
        <v>0</v>
      </c>
      <c r="BL589" s="105" t="n">
        <v>0</v>
      </c>
      <c r="BM589" s="105" t="n">
        <v>0</v>
      </c>
      <c r="BN589" s="105" t="n">
        <v>0</v>
      </c>
      <c r="BO589" s="105" t="n">
        <v>0</v>
      </c>
      <c r="BP589" s="105" t="n">
        <v>0</v>
      </c>
      <c r="BQ589" s="105" t="n">
        <v>0</v>
      </c>
      <c r="BR589" s="106" t="n">
        <v>0</v>
      </c>
      <c r="BS589" s="106" t="n">
        <v>0</v>
      </c>
      <c r="BT589" s="107"/>
      <c r="BU589" s="107"/>
      <c r="BV589" s="107"/>
      <c r="BW589" s="107"/>
      <c r="BX589" s="107"/>
      <c r="BY589" s="107"/>
      <c r="BZ589" s="107"/>
      <c r="CA589" s="107"/>
      <c r="CB589" s="107"/>
      <c r="CC589" s="107"/>
      <c r="CD589" s="107"/>
      <c r="CE589" s="107"/>
      <c r="CF589" s="107"/>
      <c r="CG589" s="107"/>
      <c r="CH589" s="107"/>
      <c r="CI589" s="107"/>
      <c r="CJ589" s="107"/>
      <c r="CK589" s="107"/>
      <c r="CL589" s="107"/>
      <c r="CM589" s="107"/>
      <c r="CN589" s="107"/>
      <c r="CO589" s="107"/>
      <c r="CP589" s="107"/>
      <c r="CQ589" s="107"/>
      <c r="CR589" s="107"/>
      <c r="CS589" s="107"/>
      <c r="CT589" s="107"/>
      <c r="CU589" s="107"/>
      <c r="CV589" s="107"/>
    </row>
    <row r="590" customFormat="false" ht="14.9" hidden="false" customHeight="false" outlineLevel="0" collapsed="false">
      <c r="A590" s="74" t="n">
        <f aca="false">MONTH(B590)</f>
        <v>9</v>
      </c>
      <c r="B590" s="135" t="n">
        <v>44459</v>
      </c>
      <c r="C590" s="128" t="s">
        <v>70</v>
      </c>
      <c r="D590" s="77" t="str">
        <f aca="false">IFERROR(VLOOKUP(E:E,'Item Data Support Sheet'!A:O,7,0),"")</f>
        <v>BOTTLE PRINTED</v>
      </c>
      <c r="E590" s="80" t="s">
        <v>691</v>
      </c>
      <c r="F590" s="122"/>
      <c r="G590" s="137"/>
      <c r="H590" s="79" t="str">
        <f aca="false">IFERROR(VLOOKUP(E:E,'Item Data Support Sheet'!A:O,2,0),"")</f>
        <v>KPP 120 ML BOTTLE PRINTED</v>
      </c>
      <c r="I590" s="80" t="s">
        <v>1213</v>
      </c>
      <c r="J590" s="80" t="s">
        <v>155</v>
      </c>
      <c r="K590" s="81" t="n">
        <v>8</v>
      </c>
      <c r="L590" s="124" t="n">
        <v>5100</v>
      </c>
      <c r="M590" s="83" t="n">
        <f aca="false">IFERROR(L590/K590,0)</f>
        <v>637.5</v>
      </c>
      <c r="N590" s="84" t="n">
        <f aca="false">+O590+Q590+T590+U590</f>
        <v>5524</v>
      </c>
      <c r="O590" s="85" t="n">
        <v>5484</v>
      </c>
      <c r="P590" s="86" t="n">
        <v>0</v>
      </c>
      <c r="Q590" s="86" t="n">
        <v>0</v>
      </c>
      <c r="R590" s="132" t="n">
        <v>40</v>
      </c>
      <c r="S590" s="128" t="n">
        <v>0</v>
      </c>
      <c r="T590" s="132" t="n">
        <v>40</v>
      </c>
      <c r="U590" s="128" t="n">
        <v>0</v>
      </c>
      <c r="V590" s="128" t="n">
        <v>5</v>
      </c>
      <c r="W590" s="90" t="n">
        <f aca="false">IFERROR(O590/V590,0)</f>
        <v>1096.8</v>
      </c>
      <c r="X590" s="91" t="n">
        <f aca="false">O590/L590</f>
        <v>1.07529411764706</v>
      </c>
      <c r="Y590" s="92" t="str">
        <f aca="false">IFERROR(VLOOKUP(E:E,'Item Data Support Sheet'!A:J,6,0),0)</f>
        <v>FO001</v>
      </c>
      <c r="Z590" s="93" t="n">
        <f aca="false">IFERROR(VLOOKUP(E:E,'Item Data Support Sheet'!A:O,4,0),0)</f>
        <v>0</v>
      </c>
      <c r="AA590" s="93" t="n">
        <f aca="false">IFERROR(((N590)*(Z590/1000))+P590,0)</f>
        <v>0</v>
      </c>
      <c r="AB590" s="94" t="str">
        <f aca="false">IFERROR((O590*(Z590/1000)/(AA590))," ")</f>
        <v> </v>
      </c>
      <c r="AC590" s="95" t="n">
        <f aca="false">IFERROR((T590)/((T590)+O590),0)</f>
        <v>0.00724112961622013</v>
      </c>
      <c r="AD590" s="96" t="n">
        <f aca="false">IFERROR(Q590/(Q590+N590),0)</f>
        <v>0</v>
      </c>
      <c r="AE590" s="91" t="n">
        <f aca="false">(N590-T590)/N590</f>
        <v>0.99275887038378</v>
      </c>
      <c r="AF590" s="97" t="n">
        <f aca="false">BR590</f>
        <v>0.666666666666667</v>
      </c>
      <c r="AG590" s="98" t="n">
        <f aca="false">K590-AF590</f>
        <v>7.33333333333333</v>
      </c>
      <c r="AH590" s="99" t="n">
        <f aca="false">IFERROR(AG590/K590," ")</f>
        <v>0.916666666666667</v>
      </c>
      <c r="AI590" s="100" t="n">
        <f aca="false">IFERROR(O590/K590,0)</f>
        <v>685.5</v>
      </c>
      <c r="AJ590" s="101" t="n">
        <f aca="false">VLOOKUP(D590,'Standard Cycle time'!C:D,2,0)</f>
        <v>32.4</v>
      </c>
      <c r="AK590" s="101" t="n">
        <f aca="false">AG590*V590*3600/O590</f>
        <v>24.0700218818381</v>
      </c>
      <c r="AL590" s="102" t="n">
        <f aca="false">AJ590/AK590</f>
        <v>1.34607272727273</v>
      </c>
      <c r="AM590" s="99" t="n">
        <f aca="false">AE590*AL590*AH590</f>
        <v>1.22496517016655</v>
      </c>
      <c r="AN590" s="103" t="s">
        <v>1141</v>
      </c>
      <c r="AO590" s="112"/>
      <c r="AP590" s="105" t="n">
        <v>40</v>
      </c>
      <c r="AQ590" s="105" t="n">
        <v>0</v>
      </c>
      <c r="AR590" s="105" t="n">
        <v>0</v>
      </c>
      <c r="AS590" s="105" t="n">
        <v>0</v>
      </c>
      <c r="AT590" s="105" t="n">
        <v>0</v>
      </c>
      <c r="AU590" s="105" t="n">
        <v>0</v>
      </c>
      <c r="AV590" s="105" t="n">
        <v>0</v>
      </c>
      <c r="AW590" s="105" t="n">
        <v>0</v>
      </c>
      <c r="AX590" s="105" t="n">
        <v>0</v>
      </c>
      <c r="AY590" s="105" t="n">
        <v>0</v>
      </c>
      <c r="AZ590" s="105" t="n">
        <v>0</v>
      </c>
      <c r="BA590" s="105" t="n">
        <v>0</v>
      </c>
      <c r="BB590" s="105" t="n">
        <v>0</v>
      </c>
      <c r="BC590" s="105" t="n">
        <v>0</v>
      </c>
      <c r="BD590" s="105" t="n">
        <v>0</v>
      </c>
      <c r="BE590" s="105" t="n">
        <v>0</v>
      </c>
      <c r="BF590" s="105" t="n">
        <v>0</v>
      </c>
      <c r="BG590" s="105" t="n">
        <v>0</v>
      </c>
      <c r="BH590" s="105" t="n">
        <v>0</v>
      </c>
      <c r="BI590" s="105" t="n">
        <v>0</v>
      </c>
      <c r="BJ590" s="105" t="n">
        <v>0</v>
      </c>
      <c r="BK590" s="105" t="n">
        <v>0</v>
      </c>
      <c r="BL590" s="105" t="n">
        <v>0</v>
      </c>
      <c r="BM590" s="105" t="n">
        <v>0</v>
      </c>
      <c r="BN590" s="105" t="n">
        <v>0</v>
      </c>
      <c r="BO590" s="105" t="n">
        <v>0</v>
      </c>
      <c r="BP590" s="105" t="n">
        <v>0</v>
      </c>
      <c r="BQ590" s="105" t="n">
        <v>0</v>
      </c>
      <c r="BR590" s="106" t="n">
        <v>0.666666666666667</v>
      </c>
      <c r="BS590" s="106" t="n">
        <v>0.677777777777778</v>
      </c>
      <c r="BT590" s="107"/>
      <c r="BU590" s="107"/>
      <c r="BV590" s="107"/>
      <c r="BW590" s="107"/>
      <c r="BX590" s="107"/>
      <c r="BY590" s="107"/>
      <c r="BZ590" s="107"/>
      <c r="CA590" s="107"/>
      <c r="CB590" s="107"/>
      <c r="CC590" s="107"/>
      <c r="CD590" s="107"/>
      <c r="CE590" s="107"/>
      <c r="CF590" s="107"/>
      <c r="CG590" s="107"/>
      <c r="CH590" s="107"/>
      <c r="CI590" s="107"/>
      <c r="CJ590" s="107"/>
      <c r="CK590" s="107"/>
      <c r="CL590" s="107"/>
      <c r="CM590" s="107"/>
      <c r="CN590" s="107"/>
      <c r="CO590" s="107"/>
      <c r="CP590" s="107"/>
      <c r="CQ590" s="107"/>
      <c r="CR590" s="107"/>
      <c r="CS590" s="107"/>
      <c r="CT590" s="107"/>
      <c r="CU590" s="107"/>
      <c r="CV590" s="107"/>
    </row>
    <row r="591" customFormat="false" ht="14.9" hidden="false" customHeight="false" outlineLevel="0" collapsed="false">
      <c r="A591" s="74" t="n">
        <f aca="false">MONTH(B591)</f>
        <v>9</v>
      </c>
      <c r="B591" s="135" t="n">
        <v>44459</v>
      </c>
      <c r="C591" s="128" t="s">
        <v>152</v>
      </c>
      <c r="D591" s="77" t="str">
        <f aca="false">IFERROR(VLOOKUP(E:E,'Item Data Support Sheet'!A:O,7,0),"")</f>
        <v>CAP MOLDED</v>
      </c>
      <c r="E591" s="80" t="s">
        <v>261</v>
      </c>
      <c r="F591" s="122"/>
      <c r="G591" s="137" t="s">
        <v>1211</v>
      </c>
      <c r="H591" s="79" t="str">
        <f aca="false">IFERROR(VLOOKUP(E:E,'Item Data Support Sheet'!A:O,2,0),"")</f>
        <v>CAP S TYPE MOLDED PINK</v>
      </c>
      <c r="I591" s="80" t="s">
        <v>1214</v>
      </c>
      <c r="J591" s="80" t="s">
        <v>815</v>
      </c>
      <c r="K591" s="81" t="n">
        <v>3.5</v>
      </c>
      <c r="L591" s="124" t="n">
        <v>1800</v>
      </c>
      <c r="M591" s="83" t="n">
        <f aca="false">IFERROR(L591/K591,0)</f>
        <v>514.285714285714</v>
      </c>
      <c r="N591" s="84" t="n">
        <f aca="false">+O591+Q591+T591+U591</f>
        <v>1860</v>
      </c>
      <c r="O591" s="85" t="n">
        <v>1860</v>
      </c>
      <c r="P591" s="86" t="n">
        <v>0</v>
      </c>
      <c r="Q591" s="86" t="n">
        <v>0</v>
      </c>
      <c r="R591" s="132" t="n">
        <v>0</v>
      </c>
      <c r="S591" s="128" t="n">
        <v>0</v>
      </c>
      <c r="T591" s="132" t="n">
        <v>0</v>
      </c>
      <c r="U591" s="128" t="n">
        <v>0</v>
      </c>
      <c r="V591" s="128" t="n">
        <v>1</v>
      </c>
      <c r="W591" s="90" t="n">
        <f aca="false">IFERROR(O591/V591,0)</f>
        <v>1860</v>
      </c>
      <c r="X591" s="91" t="n">
        <f aca="false">O591/L591</f>
        <v>1.03333333333333</v>
      </c>
      <c r="Y591" s="92" t="str">
        <f aca="false">IFERROR(VLOOKUP(E:E,'Item Data Support Sheet'!A:J,6,0),0)</f>
        <v>RM000123</v>
      </c>
      <c r="Z591" s="93" t="n">
        <f aca="false">IFERROR(VLOOKUP(E:E,'Item Data Support Sheet'!A:O,4,0),0)</f>
        <v>7.3</v>
      </c>
      <c r="AA591" s="93" t="n">
        <f aca="false">IFERROR(((N591)*(Z591/1000))+P591,0)</f>
        <v>13.578</v>
      </c>
      <c r="AB591" s="94" t="n">
        <f aca="false">IFERROR((O591*(Z591/1000)/(AA591))," ")</f>
        <v>1</v>
      </c>
      <c r="AC591" s="95" t="n">
        <f aca="false">IFERROR((T591)/((T591)+O591),0)</f>
        <v>0</v>
      </c>
      <c r="AD591" s="96" t="n">
        <f aca="false">IFERROR(Q591/(Q591+N591),0)</f>
        <v>0</v>
      </c>
      <c r="AE591" s="91" t="n">
        <f aca="false">(N591-T591)/N591</f>
        <v>1</v>
      </c>
      <c r="AF591" s="97" t="n">
        <f aca="false">BR591</f>
        <v>0</v>
      </c>
      <c r="AG591" s="98" t="n">
        <f aca="false">K591-AF591</f>
        <v>3.5</v>
      </c>
      <c r="AH591" s="99" t="n">
        <f aca="false">IFERROR(AG591/K591," ")</f>
        <v>1</v>
      </c>
      <c r="AI591" s="100" t="n">
        <f aca="false">IFERROR(O591/K591,0)</f>
        <v>531.428571428571</v>
      </c>
      <c r="AJ591" s="101" t="n">
        <f aca="false">VLOOKUP(D591,'Standard Cycle time'!C:D,2,0)</f>
        <v>6</v>
      </c>
      <c r="AK591" s="101" t="n">
        <f aca="false">AG591*V591*3600/O591</f>
        <v>6.7741935483871</v>
      </c>
      <c r="AL591" s="102" t="n">
        <f aca="false">AJ591/AK591</f>
        <v>0.885714285714286</v>
      </c>
      <c r="AM591" s="99" t="n">
        <f aca="false">AE591*AL591*AH591</f>
        <v>0.885714285714286</v>
      </c>
      <c r="AN591" s="103" t="n">
        <v>3402</v>
      </c>
      <c r="AO591" s="112"/>
      <c r="AP591" s="105" t="n">
        <v>0</v>
      </c>
      <c r="AQ591" s="105" t="n">
        <v>0</v>
      </c>
      <c r="AR591" s="105" t="n">
        <v>0</v>
      </c>
      <c r="AS591" s="105" t="n">
        <v>0</v>
      </c>
      <c r="AT591" s="105" t="n">
        <v>0</v>
      </c>
      <c r="AU591" s="105" t="n">
        <v>0</v>
      </c>
      <c r="AV591" s="105" t="n">
        <v>0</v>
      </c>
      <c r="AW591" s="105" t="n">
        <v>0</v>
      </c>
      <c r="AX591" s="105" t="n">
        <v>0</v>
      </c>
      <c r="AY591" s="105" t="n">
        <v>0</v>
      </c>
      <c r="AZ591" s="105" t="n">
        <v>0</v>
      </c>
      <c r="BA591" s="105" t="n">
        <v>0</v>
      </c>
      <c r="BB591" s="105" t="n">
        <v>0</v>
      </c>
      <c r="BC591" s="105" t="n">
        <v>0</v>
      </c>
      <c r="BD591" s="105" t="n">
        <v>0</v>
      </c>
      <c r="BE591" s="105" t="n">
        <v>0</v>
      </c>
      <c r="BF591" s="105" t="n">
        <v>0</v>
      </c>
      <c r="BG591" s="105" t="n">
        <v>0</v>
      </c>
      <c r="BH591" s="105" t="n">
        <v>0</v>
      </c>
      <c r="BI591" s="105" t="n">
        <v>0</v>
      </c>
      <c r="BJ591" s="105" t="n">
        <v>0</v>
      </c>
      <c r="BK591" s="105" t="n">
        <v>0</v>
      </c>
      <c r="BL591" s="105" t="n">
        <v>0</v>
      </c>
      <c r="BM591" s="105" t="n">
        <v>0</v>
      </c>
      <c r="BN591" s="105" t="n">
        <v>0</v>
      </c>
      <c r="BO591" s="105" t="n">
        <v>0</v>
      </c>
      <c r="BP591" s="105" t="n">
        <v>0</v>
      </c>
      <c r="BQ591" s="105" t="n">
        <v>0</v>
      </c>
      <c r="BR591" s="106" t="n">
        <v>0</v>
      </c>
      <c r="BS591" s="106" t="n">
        <v>0</v>
      </c>
      <c r="BT591" s="107"/>
      <c r="BU591" s="107"/>
      <c r="BV591" s="107"/>
      <c r="BW591" s="107"/>
      <c r="BX591" s="107"/>
      <c r="BY591" s="107"/>
      <c r="BZ591" s="107"/>
      <c r="CA591" s="107"/>
      <c r="CB591" s="107"/>
      <c r="CC591" s="107"/>
      <c r="CD591" s="107"/>
      <c r="CE591" s="107"/>
      <c r="CF591" s="107"/>
      <c r="CG591" s="107"/>
      <c r="CH591" s="107"/>
      <c r="CI591" s="107"/>
      <c r="CJ591" s="107"/>
      <c r="CK591" s="107"/>
      <c r="CL591" s="107"/>
      <c r="CM591" s="107"/>
      <c r="CN591" s="107"/>
      <c r="CO591" s="107"/>
      <c r="CP591" s="107"/>
      <c r="CQ591" s="107"/>
      <c r="CR591" s="107"/>
      <c r="CS591" s="107"/>
      <c r="CT591" s="107"/>
      <c r="CU591" s="107"/>
      <c r="CV591" s="107"/>
    </row>
    <row r="592" customFormat="false" ht="14.9" hidden="false" customHeight="false" outlineLevel="0" collapsed="false">
      <c r="A592" s="74" t="n">
        <f aca="false">MONTH(B592)</f>
        <v>9</v>
      </c>
      <c r="B592" s="135" t="n">
        <v>44459</v>
      </c>
      <c r="C592" s="128" t="s">
        <v>152</v>
      </c>
      <c r="D592" s="77" t="str">
        <f aca="false">IFERROR(VLOOKUP(E:E,'Item Data Support Sheet'!A:O,7,0),"")</f>
        <v>CAP MOLDED</v>
      </c>
      <c r="E592" s="80" t="s">
        <v>261</v>
      </c>
      <c r="F592" s="122"/>
      <c r="G592" s="137" t="s">
        <v>1215</v>
      </c>
      <c r="H592" s="79" t="str">
        <f aca="false">IFERROR(VLOOKUP(E:E,'Item Data Support Sheet'!A:O,2,0),"")</f>
        <v>CAP S TYPE MOLDED PINK</v>
      </c>
      <c r="I592" s="80" t="s">
        <v>1216</v>
      </c>
      <c r="J592" s="80" t="s">
        <v>815</v>
      </c>
      <c r="K592" s="81" t="n">
        <v>4.5</v>
      </c>
      <c r="L592" s="124" t="n">
        <v>2337</v>
      </c>
      <c r="M592" s="83" t="n">
        <f aca="false">IFERROR(L592/K592,0)</f>
        <v>519.333333333333</v>
      </c>
      <c r="N592" s="84" t="n">
        <f aca="false">+O592+Q592+T592+U592</f>
        <v>2312</v>
      </c>
      <c r="O592" s="85" t="n">
        <v>2300</v>
      </c>
      <c r="P592" s="86" t="n">
        <v>0</v>
      </c>
      <c r="Q592" s="86" t="n">
        <v>0</v>
      </c>
      <c r="R592" s="132" t="n">
        <v>0</v>
      </c>
      <c r="S592" s="128" t="n">
        <v>0</v>
      </c>
      <c r="T592" s="132" t="n">
        <v>4</v>
      </c>
      <c r="U592" s="128" t="n">
        <v>8</v>
      </c>
      <c r="V592" s="128" t="n">
        <v>1</v>
      </c>
      <c r="W592" s="90" t="n">
        <f aca="false">IFERROR(O592/V592,0)</f>
        <v>2300</v>
      </c>
      <c r="X592" s="91" t="n">
        <f aca="false">O592/L592</f>
        <v>0.984167736414206</v>
      </c>
      <c r="Y592" s="92" t="str">
        <f aca="false">IFERROR(VLOOKUP(E:E,'Item Data Support Sheet'!A:J,6,0),0)</f>
        <v>RM000123</v>
      </c>
      <c r="Z592" s="93" t="n">
        <f aca="false">IFERROR(VLOOKUP(E:E,'Item Data Support Sheet'!A:O,4,0),0)</f>
        <v>7.3</v>
      </c>
      <c r="AA592" s="93" t="n">
        <f aca="false">IFERROR(((N592)*(Z592/1000))+P592,0)</f>
        <v>16.8776</v>
      </c>
      <c r="AB592" s="94" t="n">
        <f aca="false">IFERROR((O592*(Z592/1000)/(AA592))," ")</f>
        <v>0.994809688581315</v>
      </c>
      <c r="AC592" s="95" t="n">
        <f aca="false">IFERROR((T592)/((T592)+O592),0)</f>
        <v>0.00173611111111111</v>
      </c>
      <c r="AD592" s="96" t="n">
        <f aca="false">IFERROR(Q592/(Q592+N592),0)</f>
        <v>0</v>
      </c>
      <c r="AE592" s="91" t="n">
        <f aca="false">(N592-T592)/N592</f>
        <v>0.998269896193772</v>
      </c>
      <c r="AF592" s="97" t="n">
        <f aca="false">BR592</f>
        <v>0</v>
      </c>
      <c r="AG592" s="98" t="n">
        <f aca="false">K592-AF592</f>
        <v>4.5</v>
      </c>
      <c r="AH592" s="99" t="n">
        <f aca="false">IFERROR(AG592/K592," ")</f>
        <v>1</v>
      </c>
      <c r="AI592" s="100" t="n">
        <f aca="false">IFERROR(O592/K592,0)</f>
        <v>511.111111111111</v>
      </c>
      <c r="AJ592" s="101" t="n">
        <f aca="false">VLOOKUP(D592,'Standard Cycle time'!C:D,2,0)</f>
        <v>6</v>
      </c>
      <c r="AK592" s="101" t="n">
        <f aca="false">AG592*V592*3600/O592</f>
        <v>7.04347826086957</v>
      </c>
      <c r="AL592" s="102" t="n">
        <f aca="false">AJ592/AK592</f>
        <v>0.851851851851852</v>
      </c>
      <c r="AM592" s="99" t="n">
        <f aca="false">AE592*AL592*AH592</f>
        <v>0.85037805972062</v>
      </c>
      <c r="AN592" s="103" t="n">
        <v>3408</v>
      </c>
      <c r="AO592" s="112"/>
      <c r="AP592" s="105" t="n">
        <v>0</v>
      </c>
      <c r="AQ592" s="105" t="n">
        <v>0</v>
      </c>
      <c r="AR592" s="105" t="n">
        <v>0</v>
      </c>
      <c r="AS592" s="105" t="n">
        <v>0</v>
      </c>
      <c r="AT592" s="105" t="n">
        <v>0</v>
      </c>
      <c r="AU592" s="105" t="n">
        <v>0</v>
      </c>
      <c r="AV592" s="105" t="n">
        <v>0</v>
      </c>
      <c r="AW592" s="105" t="n">
        <v>0</v>
      </c>
      <c r="AX592" s="105" t="n">
        <v>0</v>
      </c>
      <c r="AY592" s="105" t="n">
        <v>0</v>
      </c>
      <c r="AZ592" s="105" t="n">
        <v>0</v>
      </c>
      <c r="BA592" s="105" t="n">
        <v>0</v>
      </c>
      <c r="BB592" s="105" t="n">
        <v>0</v>
      </c>
      <c r="BC592" s="105" t="n">
        <v>0</v>
      </c>
      <c r="BD592" s="105" t="n">
        <v>0</v>
      </c>
      <c r="BE592" s="105" t="n">
        <v>0</v>
      </c>
      <c r="BF592" s="105" t="n">
        <v>0</v>
      </c>
      <c r="BG592" s="105" t="n">
        <v>0</v>
      </c>
      <c r="BH592" s="105" t="n">
        <v>0</v>
      </c>
      <c r="BI592" s="105" t="n">
        <v>0</v>
      </c>
      <c r="BJ592" s="105" t="n">
        <v>0</v>
      </c>
      <c r="BK592" s="105" t="n">
        <v>0</v>
      </c>
      <c r="BL592" s="105" t="n">
        <v>0</v>
      </c>
      <c r="BM592" s="105" t="n">
        <v>0</v>
      </c>
      <c r="BN592" s="105" t="n">
        <v>0</v>
      </c>
      <c r="BO592" s="105" t="n">
        <v>0</v>
      </c>
      <c r="BP592" s="105" t="n">
        <v>0</v>
      </c>
      <c r="BQ592" s="105" t="n">
        <v>0</v>
      </c>
      <c r="BR592" s="106" t="n">
        <v>0</v>
      </c>
      <c r="BS592" s="106" t="n">
        <v>0</v>
      </c>
      <c r="BT592" s="107"/>
      <c r="BU592" s="107"/>
      <c r="BV592" s="107"/>
      <c r="BW592" s="107"/>
      <c r="BX592" s="107"/>
      <c r="BY592" s="107"/>
      <c r="BZ592" s="107"/>
      <c r="CA592" s="107"/>
      <c r="CB592" s="107"/>
      <c r="CC592" s="107"/>
      <c r="CD592" s="107"/>
      <c r="CE592" s="107"/>
      <c r="CF592" s="107"/>
      <c r="CG592" s="107"/>
      <c r="CH592" s="107"/>
      <c r="CI592" s="107"/>
      <c r="CJ592" s="107"/>
      <c r="CK592" s="107"/>
      <c r="CL592" s="107"/>
      <c r="CM592" s="107"/>
      <c r="CN592" s="107"/>
      <c r="CO592" s="107"/>
      <c r="CP592" s="107"/>
      <c r="CQ592" s="107"/>
      <c r="CR592" s="107"/>
      <c r="CS592" s="107"/>
      <c r="CT592" s="107"/>
      <c r="CU592" s="107"/>
      <c r="CV592" s="107"/>
    </row>
    <row r="593" customFormat="false" ht="14.9" hidden="false" customHeight="false" outlineLevel="0" collapsed="false">
      <c r="A593" s="74" t="n">
        <f aca="false">MONTH(B593)</f>
        <v>9</v>
      </c>
      <c r="B593" s="135" t="n">
        <v>44459</v>
      </c>
      <c r="C593" s="128" t="s">
        <v>152</v>
      </c>
      <c r="D593" s="77" t="str">
        <f aca="false">IFERROR(VLOOKUP(E:E,'Item Data Support Sheet'!A:O,7,0),"")</f>
        <v>NIPPLE MOLDED</v>
      </c>
      <c r="E593" s="80" t="s">
        <v>661</v>
      </c>
      <c r="F593" s="122" t="s">
        <v>137</v>
      </c>
      <c r="G593" s="137" t="s">
        <v>138</v>
      </c>
      <c r="H593" s="79" t="str">
        <f aca="false">IFERROR(VLOOKUP(E:E,'Item Data Support Sheet'!A:O,2,0),"")</f>
        <v>NIPPLE S TYPE L SIZE INJECTION</v>
      </c>
      <c r="I593" s="80" t="s">
        <v>1217</v>
      </c>
      <c r="J593" s="80" t="s">
        <v>815</v>
      </c>
      <c r="K593" s="81" t="n">
        <v>8</v>
      </c>
      <c r="L593" s="124" t="n">
        <v>4815</v>
      </c>
      <c r="M593" s="83" t="n">
        <f aca="false">IFERROR(L593/K593,0)</f>
        <v>601.875</v>
      </c>
      <c r="N593" s="84" t="n">
        <f aca="false">+O593+Q593+T593+U593</f>
        <v>4130</v>
      </c>
      <c r="O593" s="85" t="n">
        <v>4050</v>
      </c>
      <c r="P593" s="86" t="n">
        <v>0</v>
      </c>
      <c r="Q593" s="86" t="n">
        <v>34</v>
      </c>
      <c r="R593" s="132" t="n">
        <v>0</v>
      </c>
      <c r="S593" s="128" t="n">
        <v>0</v>
      </c>
      <c r="T593" s="132" t="n">
        <v>38</v>
      </c>
      <c r="U593" s="128" t="n">
        <v>8</v>
      </c>
      <c r="V593" s="128" t="n">
        <v>1</v>
      </c>
      <c r="W593" s="90" t="n">
        <f aca="false">IFERROR(O593/V593,0)</f>
        <v>4050</v>
      </c>
      <c r="X593" s="91" t="n">
        <f aca="false">O593/L593</f>
        <v>0.841121495327103</v>
      </c>
      <c r="Y593" s="92" t="str">
        <f aca="false">IFERROR(VLOOKUP(E:E,'Item Data Support Sheet'!A:J,6,0),0)</f>
        <v>Silicon</v>
      </c>
      <c r="Z593" s="93" t="n">
        <f aca="false">IFERROR(VLOOKUP(E:E,'Item Data Support Sheet'!A:O,4,0),0)</f>
        <v>6.8</v>
      </c>
      <c r="AA593" s="93" t="n">
        <f aca="false">IFERROR(((N593)*(Z593/1000))+P593,0)</f>
        <v>28.084</v>
      </c>
      <c r="AB593" s="94" t="n">
        <f aca="false">IFERROR((O593*(Z593/1000)/(AA593))," ")</f>
        <v>0.980629539951574</v>
      </c>
      <c r="AC593" s="95" t="n">
        <f aca="false">IFERROR((T593)/((T593)+O593),0)</f>
        <v>0.00929549902152642</v>
      </c>
      <c r="AD593" s="96" t="n">
        <f aca="false">IFERROR(Q593/(Q593+N593),0)</f>
        <v>0.00816522574447646</v>
      </c>
      <c r="AE593" s="91" t="n">
        <f aca="false">(N593-T593)/N593</f>
        <v>0.990799031476998</v>
      </c>
      <c r="AF593" s="97" t="n">
        <f aca="false">BR593</f>
        <v>1</v>
      </c>
      <c r="AG593" s="98" t="n">
        <f aca="false">K593-AF593</f>
        <v>7</v>
      </c>
      <c r="AH593" s="99" t="n">
        <f aca="false">IFERROR(AG593/K593," ")</f>
        <v>0.875</v>
      </c>
      <c r="AI593" s="100" t="n">
        <f aca="false">IFERROR(O593/K593,0)</f>
        <v>506.25</v>
      </c>
      <c r="AJ593" s="101" t="n">
        <f aca="false">VLOOKUP(D593,'Standard Cycle time'!C:D,2,0)</f>
        <v>5.25</v>
      </c>
      <c r="AK593" s="101" t="n">
        <f aca="false">AG593*V593*3600/O593</f>
        <v>6.22222222222222</v>
      </c>
      <c r="AL593" s="102" t="n">
        <f aca="false">AJ593/AK593</f>
        <v>0.84375</v>
      </c>
      <c r="AM593" s="99" t="n">
        <f aca="false">AE593*AL593*AH593</f>
        <v>0.731488347457627</v>
      </c>
      <c r="AN593" s="103" t="n">
        <v>3392</v>
      </c>
      <c r="AO593" s="112"/>
      <c r="AP593" s="105" t="n">
        <v>0</v>
      </c>
      <c r="AQ593" s="105" t="n">
        <v>0</v>
      </c>
      <c r="AR593" s="105" t="n">
        <v>0</v>
      </c>
      <c r="AS593" s="105" t="n">
        <v>0</v>
      </c>
      <c r="AT593" s="105" t="n">
        <v>0</v>
      </c>
      <c r="AU593" s="105" t="n">
        <v>30</v>
      </c>
      <c r="AV593" s="105" t="n">
        <v>30</v>
      </c>
      <c r="AW593" s="105" t="n">
        <v>0</v>
      </c>
      <c r="AX593" s="105" t="n">
        <v>0</v>
      </c>
      <c r="AY593" s="105" t="n">
        <v>0</v>
      </c>
      <c r="AZ593" s="105" t="n">
        <v>0</v>
      </c>
      <c r="BA593" s="105" t="n">
        <v>0</v>
      </c>
      <c r="BB593" s="105" t="n">
        <v>0</v>
      </c>
      <c r="BC593" s="105" t="n">
        <v>0</v>
      </c>
      <c r="BD593" s="105" t="n">
        <v>0</v>
      </c>
      <c r="BE593" s="105" t="n">
        <v>0</v>
      </c>
      <c r="BF593" s="105" t="n">
        <v>0</v>
      </c>
      <c r="BG593" s="105" t="n">
        <v>0</v>
      </c>
      <c r="BH593" s="105" t="n">
        <v>0</v>
      </c>
      <c r="BI593" s="105" t="n">
        <v>0</v>
      </c>
      <c r="BJ593" s="105" t="n">
        <v>0</v>
      </c>
      <c r="BK593" s="105" t="n">
        <v>0</v>
      </c>
      <c r="BL593" s="105" t="n">
        <v>0</v>
      </c>
      <c r="BM593" s="105" t="n">
        <v>0</v>
      </c>
      <c r="BN593" s="105" t="n">
        <v>0</v>
      </c>
      <c r="BO593" s="105" t="n">
        <v>0</v>
      </c>
      <c r="BP593" s="105" t="n">
        <v>0</v>
      </c>
      <c r="BQ593" s="105" t="n">
        <v>0</v>
      </c>
      <c r="BR593" s="106" t="n">
        <v>1</v>
      </c>
      <c r="BS593" s="106" t="n">
        <v>1.01666666666667</v>
      </c>
      <c r="BT593" s="107"/>
      <c r="BU593" s="107"/>
      <c r="BV593" s="107"/>
      <c r="BW593" s="107"/>
      <c r="BX593" s="107"/>
      <c r="BY593" s="107"/>
      <c r="BZ593" s="107"/>
      <c r="CA593" s="107"/>
      <c r="CB593" s="107"/>
      <c r="CC593" s="107"/>
      <c r="CD593" s="107"/>
      <c r="CE593" s="107"/>
      <c r="CF593" s="107"/>
      <c r="CG593" s="107"/>
      <c r="CH593" s="107"/>
      <c r="CI593" s="107"/>
      <c r="CJ593" s="107"/>
      <c r="CK593" s="107"/>
      <c r="CL593" s="107"/>
      <c r="CM593" s="107"/>
      <c r="CN593" s="107"/>
      <c r="CO593" s="107"/>
      <c r="CP593" s="107"/>
      <c r="CQ593" s="107"/>
      <c r="CR593" s="107"/>
      <c r="CS593" s="107"/>
      <c r="CT593" s="107"/>
      <c r="CU593" s="107"/>
      <c r="CV593" s="107"/>
    </row>
    <row r="594" customFormat="false" ht="14.9" hidden="false" customHeight="false" outlineLevel="0" collapsed="false">
      <c r="A594" s="74" t="n">
        <f aca="false">MONTH(B594)</f>
        <v>9</v>
      </c>
      <c r="B594" s="135" t="n">
        <v>44459</v>
      </c>
      <c r="C594" s="128" t="s">
        <v>152</v>
      </c>
      <c r="D594" s="77" t="str">
        <f aca="false">IFERROR(VLOOKUP(E:E,'Item Data Support Sheet'!A:O,7,0),"")</f>
        <v>BOTTLE MOLDED</v>
      </c>
      <c r="E594" s="80" t="s">
        <v>357</v>
      </c>
      <c r="F594" s="122" t="s">
        <v>144</v>
      </c>
      <c r="G594" s="137" t="s">
        <v>74</v>
      </c>
      <c r="H594" s="79" t="str">
        <f aca="false">IFERROR(VLOOKUP(E:E,'Item Data Support Sheet'!A:O,2,0),"")</f>
        <v>KPP 120 ML BOTTLE MOLDED</v>
      </c>
      <c r="I594" s="80" t="s">
        <v>1218</v>
      </c>
      <c r="J594" s="80" t="s">
        <v>815</v>
      </c>
      <c r="K594" s="81" t="n">
        <v>8</v>
      </c>
      <c r="L594" s="124" t="n">
        <v>2574</v>
      </c>
      <c r="M594" s="83" t="n">
        <f aca="false">IFERROR(L594/K594,0)</f>
        <v>321.75</v>
      </c>
      <c r="N594" s="84" t="n">
        <f aca="false">+O594+Q594+T594+U594</f>
        <v>3120</v>
      </c>
      <c r="O594" s="85" t="n">
        <v>3060</v>
      </c>
      <c r="P594" s="86" t="n">
        <v>0</v>
      </c>
      <c r="Q594" s="86" t="n">
        <v>27</v>
      </c>
      <c r="R594" s="132" t="n">
        <v>0</v>
      </c>
      <c r="S594" s="128" t="n">
        <v>0</v>
      </c>
      <c r="T594" s="132" t="n">
        <v>25</v>
      </c>
      <c r="U594" s="128" t="n">
        <v>8</v>
      </c>
      <c r="V594" s="128" t="n">
        <v>1</v>
      </c>
      <c r="W594" s="90" t="n">
        <f aca="false">IFERROR(O594/V594,0)</f>
        <v>3060</v>
      </c>
      <c r="X594" s="91" t="n">
        <f aca="false">O594/L594</f>
        <v>1.18881118881119</v>
      </c>
      <c r="Y594" s="92" t="str">
        <f aca="false">IFERROR(VLOOKUP(E:E,'Item Data Support Sheet'!A:J,6,0),0)</f>
        <v>HMC</v>
      </c>
      <c r="Z594" s="93" t="n">
        <f aca="false">IFERROR(VLOOKUP(E:E,'Item Data Support Sheet'!A:O,4,0),0)</f>
        <v>21.3</v>
      </c>
      <c r="AA594" s="93" t="n">
        <f aca="false">IFERROR(((N594)*(Z594/1000))+P594,0)</f>
        <v>66.456</v>
      </c>
      <c r="AB594" s="94" t="n">
        <f aca="false">IFERROR((O594*(Z594/1000)/(AA594))," ")</f>
        <v>0.980769230769231</v>
      </c>
      <c r="AC594" s="95" t="n">
        <f aca="false">IFERROR((T594)/((T594)+O594),0)</f>
        <v>0.00810372771474878</v>
      </c>
      <c r="AD594" s="96" t="n">
        <f aca="false">IFERROR(Q594/(Q594+N594),0)</f>
        <v>0.00857959961868446</v>
      </c>
      <c r="AE594" s="91" t="n">
        <f aca="false">(N594-T594)/N594</f>
        <v>0.991987179487179</v>
      </c>
      <c r="AF594" s="97" t="n">
        <f aca="false">BR594</f>
        <v>0</v>
      </c>
      <c r="AG594" s="98" t="n">
        <f aca="false">K594-AF594</f>
        <v>8</v>
      </c>
      <c r="AH594" s="99" t="n">
        <f aca="false">IFERROR(AG594/K594," ")</f>
        <v>1</v>
      </c>
      <c r="AI594" s="100" t="n">
        <f aca="false">IFERROR(O594/K594,0)</f>
        <v>382.5</v>
      </c>
      <c r="AJ594" s="101" t="n">
        <f aca="false">VLOOKUP(D594,'Standard Cycle time'!C:D,2,0)</f>
        <v>9</v>
      </c>
      <c r="AK594" s="101" t="n">
        <f aca="false">AG594*V594*3600/O594</f>
        <v>9.41176470588235</v>
      </c>
      <c r="AL594" s="102" t="n">
        <f aca="false">AJ594/AK594</f>
        <v>0.95625</v>
      </c>
      <c r="AM594" s="99" t="n">
        <f aca="false">AE594*AL594*AH594</f>
        <v>0.948587740384615</v>
      </c>
      <c r="AN594" s="103" t="n">
        <v>3393</v>
      </c>
      <c r="AO594" s="112"/>
      <c r="AP594" s="105" t="n">
        <v>0</v>
      </c>
      <c r="AQ594" s="105" t="n">
        <v>0</v>
      </c>
      <c r="AR594" s="105" t="n">
        <v>0</v>
      </c>
      <c r="AS594" s="105" t="n">
        <v>0</v>
      </c>
      <c r="AT594" s="105" t="n">
        <v>0</v>
      </c>
      <c r="AU594" s="105" t="n">
        <v>0</v>
      </c>
      <c r="AV594" s="105" t="n">
        <v>0</v>
      </c>
      <c r="AW594" s="105" t="n">
        <v>0</v>
      </c>
      <c r="AX594" s="105" t="n">
        <v>0</v>
      </c>
      <c r="AY594" s="105" t="n">
        <v>0</v>
      </c>
      <c r="AZ594" s="105" t="n">
        <v>0</v>
      </c>
      <c r="BA594" s="105" t="n">
        <v>0</v>
      </c>
      <c r="BB594" s="105" t="n">
        <v>0</v>
      </c>
      <c r="BC594" s="105" t="n">
        <v>0</v>
      </c>
      <c r="BD594" s="105" t="n">
        <v>0</v>
      </c>
      <c r="BE594" s="105" t="n">
        <v>0</v>
      </c>
      <c r="BF594" s="105" t="n">
        <v>0</v>
      </c>
      <c r="BG594" s="105" t="n">
        <v>0</v>
      </c>
      <c r="BH594" s="105" t="n">
        <v>0</v>
      </c>
      <c r="BI594" s="105" t="n">
        <v>0</v>
      </c>
      <c r="BJ594" s="105" t="n">
        <v>0</v>
      </c>
      <c r="BK594" s="105" t="n">
        <v>0</v>
      </c>
      <c r="BL594" s="105" t="n">
        <v>0</v>
      </c>
      <c r="BM594" s="105" t="n">
        <v>0</v>
      </c>
      <c r="BN594" s="105" t="n">
        <v>0</v>
      </c>
      <c r="BO594" s="105" t="n">
        <v>0</v>
      </c>
      <c r="BP594" s="105" t="n">
        <v>0</v>
      </c>
      <c r="BQ594" s="105" t="n">
        <v>0</v>
      </c>
      <c r="BR594" s="106" t="n">
        <v>0</v>
      </c>
      <c r="BS594" s="106" t="n">
        <v>0</v>
      </c>
      <c r="BT594" s="107"/>
      <c r="BU594" s="107"/>
      <c r="BV594" s="107"/>
      <c r="BW594" s="107"/>
      <c r="BX594" s="107"/>
      <c r="BY594" s="107"/>
      <c r="BZ594" s="107"/>
      <c r="CA594" s="107"/>
      <c r="CB594" s="107"/>
      <c r="CC594" s="107"/>
      <c r="CD594" s="107"/>
      <c r="CE594" s="107"/>
      <c r="CF594" s="107"/>
      <c r="CG594" s="107"/>
      <c r="CH594" s="107"/>
      <c r="CI594" s="107"/>
      <c r="CJ594" s="107"/>
      <c r="CK594" s="107"/>
      <c r="CL594" s="107"/>
      <c r="CM594" s="107"/>
      <c r="CN594" s="107"/>
      <c r="CO594" s="107"/>
      <c r="CP594" s="107"/>
      <c r="CQ594" s="107"/>
      <c r="CR594" s="107"/>
      <c r="CS594" s="107"/>
      <c r="CT594" s="107"/>
      <c r="CU594" s="107"/>
      <c r="CV594" s="107"/>
    </row>
    <row r="595" customFormat="false" ht="14.9" hidden="false" customHeight="false" outlineLevel="0" collapsed="false">
      <c r="A595" s="74" t="n">
        <f aca="false">MONTH(B595)</f>
        <v>9</v>
      </c>
      <c r="B595" s="135" t="n">
        <v>44460</v>
      </c>
      <c r="C595" s="128" t="s">
        <v>51</v>
      </c>
      <c r="D595" s="77" t="str">
        <f aca="false">IFERROR(VLOOKUP(E:E,'Item Data Support Sheet'!A:O,7,0),"")</f>
        <v>BOTTLE MOLDED</v>
      </c>
      <c r="E595" s="80" t="s">
        <v>357</v>
      </c>
      <c r="F595" s="122" t="s">
        <v>144</v>
      </c>
      <c r="G595" s="137" t="s">
        <v>74</v>
      </c>
      <c r="H595" s="79" t="str">
        <f aca="false">IFERROR(VLOOKUP(E:E,'Item Data Support Sheet'!A:O,2,0),"")</f>
        <v>KPP 120 ML BOTTLE MOLDED</v>
      </c>
      <c r="I595" s="80" t="s">
        <v>1219</v>
      </c>
      <c r="J595" s="80" t="s">
        <v>143</v>
      </c>
      <c r="K595" s="81" t="n">
        <v>8</v>
      </c>
      <c r="L595" s="124" t="n">
        <v>2574</v>
      </c>
      <c r="M595" s="83" t="n">
        <f aca="false">IFERROR(L595/K595,0)</f>
        <v>321.75</v>
      </c>
      <c r="N595" s="84" t="n">
        <f aca="false">+O595+Q595+T595+U595</f>
        <v>3140</v>
      </c>
      <c r="O595" s="85" t="n">
        <v>3060</v>
      </c>
      <c r="P595" s="86" t="n">
        <v>0</v>
      </c>
      <c r="Q595" s="86" t="n">
        <v>32</v>
      </c>
      <c r="R595" s="132" t="n">
        <v>0</v>
      </c>
      <c r="S595" s="128" t="n">
        <v>0</v>
      </c>
      <c r="T595" s="132" t="n">
        <v>40</v>
      </c>
      <c r="U595" s="128" t="n">
        <v>8</v>
      </c>
      <c r="V595" s="128" t="n">
        <v>1</v>
      </c>
      <c r="W595" s="90" t="n">
        <f aca="false">IFERROR(O595/V595,0)</f>
        <v>3060</v>
      </c>
      <c r="X595" s="91" t="n">
        <f aca="false">O595/L595</f>
        <v>1.18881118881119</v>
      </c>
      <c r="Y595" s="92" t="str">
        <f aca="false">IFERROR(VLOOKUP(E:E,'Item Data Support Sheet'!A:J,6,0),0)</f>
        <v>HMC</v>
      </c>
      <c r="Z595" s="93" t="n">
        <f aca="false">IFERROR(VLOOKUP(E:E,'Item Data Support Sheet'!A:O,4,0),0)</f>
        <v>21.3</v>
      </c>
      <c r="AA595" s="93" t="n">
        <f aca="false">IFERROR(((N595)*(Z595/1000))+P595,0)</f>
        <v>66.882</v>
      </c>
      <c r="AB595" s="94" t="n">
        <f aca="false">IFERROR((O595*(Z595/1000)/(AA595))," ")</f>
        <v>0.97452229299363</v>
      </c>
      <c r="AC595" s="95" t="n">
        <f aca="false">IFERROR((T595)/((T595)+O595),0)</f>
        <v>0.0129032258064516</v>
      </c>
      <c r="AD595" s="96" t="n">
        <f aca="false">IFERROR(Q595/(Q595+N595),0)</f>
        <v>0.0100882723833544</v>
      </c>
      <c r="AE595" s="91" t="n">
        <f aca="false">(N595-T595)/N595</f>
        <v>0.987261146496815</v>
      </c>
      <c r="AF595" s="97" t="n">
        <f aca="false">BR595</f>
        <v>0</v>
      </c>
      <c r="AG595" s="98" t="n">
        <f aca="false">K595-AF595</f>
        <v>8</v>
      </c>
      <c r="AH595" s="99" t="n">
        <f aca="false">IFERROR(AG595/K595," ")</f>
        <v>1</v>
      </c>
      <c r="AI595" s="100" t="n">
        <f aca="false">IFERROR(O595/K595,0)</f>
        <v>382.5</v>
      </c>
      <c r="AJ595" s="101" t="n">
        <f aca="false">VLOOKUP(D595,'Standard Cycle time'!C:D,2,0)</f>
        <v>9</v>
      </c>
      <c r="AK595" s="101" t="n">
        <f aca="false">AG595*V595*3600/O595</f>
        <v>9.41176470588235</v>
      </c>
      <c r="AL595" s="102" t="n">
        <f aca="false">AJ595/AK595</f>
        <v>0.95625</v>
      </c>
      <c r="AM595" s="99" t="n">
        <f aca="false">AE595*AL595*AH595</f>
        <v>0.94406847133758</v>
      </c>
      <c r="AN595" s="103" t="n">
        <v>3414</v>
      </c>
      <c r="AO595" s="112" t="s">
        <v>461</v>
      </c>
      <c r="AP595" s="105" t="n">
        <v>0</v>
      </c>
      <c r="AQ595" s="105" t="n">
        <v>0</v>
      </c>
      <c r="AR595" s="105" t="n">
        <v>0</v>
      </c>
      <c r="AS595" s="105" t="n">
        <v>0</v>
      </c>
      <c r="AT595" s="105" t="n">
        <v>0</v>
      </c>
      <c r="AU595" s="105" t="n">
        <v>0</v>
      </c>
      <c r="AV595" s="105" t="n">
        <v>0</v>
      </c>
      <c r="AW595" s="105" t="n">
        <v>0</v>
      </c>
      <c r="AX595" s="105" t="n">
        <v>0</v>
      </c>
      <c r="AY595" s="105" t="n">
        <v>0</v>
      </c>
      <c r="AZ595" s="105" t="n">
        <v>0</v>
      </c>
      <c r="BA595" s="105" t="n">
        <v>0</v>
      </c>
      <c r="BB595" s="105" t="n">
        <v>0</v>
      </c>
      <c r="BC595" s="105" t="n">
        <v>0</v>
      </c>
      <c r="BD595" s="105" t="n">
        <v>0</v>
      </c>
      <c r="BE595" s="105" t="n">
        <v>0</v>
      </c>
      <c r="BF595" s="105" t="n">
        <v>0</v>
      </c>
      <c r="BG595" s="105" t="n">
        <v>0</v>
      </c>
      <c r="BH595" s="105" t="n">
        <v>0</v>
      </c>
      <c r="BI595" s="105" t="n">
        <v>0</v>
      </c>
      <c r="BJ595" s="105" t="n">
        <v>0</v>
      </c>
      <c r="BK595" s="105" t="n">
        <v>0</v>
      </c>
      <c r="BL595" s="105" t="n">
        <v>0</v>
      </c>
      <c r="BM595" s="105" t="n">
        <v>0</v>
      </c>
      <c r="BN595" s="105" t="n">
        <v>0</v>
      </c>
      <c r="BO595" s="105" t="n">
        <v>0</v>
      </c>
      <c r="BP595" s="105" t="n">
        <v>0</v>
      </c>
      <c r="BQ595" s="105" t="n">
        <v>0</v>
      </c>
      <c r="BR595" s="106" t="n">
        <v>0</v>
      </c>
      <c r="BS595" s="106" t="n">
        <v>0</v>
      </c>
      <c r="BT595" s="107"/>
      <c r="BU595" s="107"/>
      <c r="BV595" s="107"/>
      <c r="BW595" s="107"/>
      <c r="BX595" s="107"/>
      <c r="BY595" s="107"/>
      <c r="BZ595" s="107"/>
      <c r="CA595" s="107"/>
      <c r="CB595" s="107"/>
      <c r="CC595" s="107"/>
      <c r="CD595" s="107"/>
      <c r="CE595" s="107"/>
      <c r="CF595" s="107"/>
      <c r="CG595" s="107"/>
      <c r="CH595" s="107"/>
      <c r="CI595" s="107"/>
      <c r="CJ595" s="107"/>
      <c r="CK595" s="107"/>
      <c r="CL595" s="107"/>
      <c r="CM595" s="107"/>
      <c r="CN595" s="107"/>
      <c r="CO595" s="107"/>
      <c r="CP595" s="107"/>
      <c r="CQ595" s="107"/>
      <c r="CR595" s="107"/>
      <c r="CS595" s="107"/>
      <c r="CT595" s="107"/>
      <c r="CU595" s="107"/>
      <c r="CV595" s="107"/>
    </row>
    <row r="596" customFormat="false" ht="14.9" hidden="false" customHeight="false" outlineLevel="0" collapsed="false">
      <c r="A596" s="74" t="n">
        <f aca="false">MONTH(B596)</f>
        <v>9</v>
      </c>
      <c r="B596" s="135" t="n">
        <v>44460</v>
      </c>
      <c r="C596" s="128" t="s">
        <v>51</v>
      </c>
      <c r="D596" s="77" t="str">
        <f aca="false">IFERROR(VLOOKUP(E:E,'Item Data Support Sheet'!A:O,7,0),"")</f>
        <v>NIPPLE MOLDED</v>
      </c>
      <c r="E596" s="80" t="s">
        <v>809</v>
      </c>
      <c r="F596" s="122" t="s">
        <v>137</v>
      </c>
      <c r="G596" s="137" t="s">
        <v>138</v>
      </c>
      <c r="H596" s="79" t="str">
        <f aca="false">IFERROR(VLOOKUP(E:E,'Item Data Support Sheet'!A:O,2,0),"")</f>
        <v>NIPPLE S TYPE Y SIZE INJECTION</v>
      </c>
      <c r="I596" s="80" t="s">
        <v>1220</v>
      </c>
      <c r="J596" s="80" t="s">
        <v>143</v>
      </c>
      <c r="K596" s="81" t="n">
        <v>8</v>
      </c>
      <c r="L596" s="124" t="n">
        <v>4815</v>
      </c>
      <c r="M596" s="83" t="n">
        <f aca="false">IFERROR(L596/K596,0)</f>
        <v>601.875</v>
      </c>
      <c r="N596" s="84" t="n">
        <f aca="false">+O596+Q596+T596+U596</f>
        <v>5120</v>
      </c>
      <c r="O596" s="85" t="n">
        <v>5000</v>
      </c>
      <c r="P596" s="86" t="n">
        <v>0</v>
      </c>
      <c r="Q596" s="86" t="n">
        <v>52</v>
      </c>
      <c r="R596" s="132" t="n">
        <v>0</v>
      </c>
      <c r="S596" s="128" t="n">
        <v>0</v>
      </c>
      <c r="T596" s="132" t="n">
        <v>60</v>
      </c>
      <c r="U596" s="128" t="n">
        <v>8</v>
      </c>
      <c r="V596" s="128" t="n">
        <v>1</v>
      </c>
      <c r="W596" s="90" t="n">
        <f aca="false">IFERROR(O596/V596,0)</f>
        <v>5000</v>
      </c>
      <c r="X596" s="91" t="n">
        <f aca="false">O596/L596</f>
        <v>1.03842159916926</v>
      </c>
      <c r="Y596" s="92" t="str">
        <f aca="false">IFERROR(VLOOKUP(E:E,'Item Data Support Sheet'!A:J,6,0),0)</f>
        <v>Silicon</v>
      </c>
      <c r="Z596" s="93" t="n">
        <f aca="false">IFERROR(VLOOKUP(E:E,'Item Data Support Sheet'!A:O,4,0),0)</f>
        <v>6.8</v>
      </c>
      <c r="AA596" s="93" t="n">
        <f aca="false">IFERROR(((N596)*(Z596/1000))+P596,0)</f>
        <v>34.816</v>
      </c>
      <c r="AB596" s="94" t="n">
        <f aca="false">IFERROR((O596*(Z596/1000)/(AA596))," ")</f>
        <v>0.9765625</v>
      </c>
      <c r="AC596" s="95" t="n">
        <f aca="false">IFERROR((T596)/((T596)+O596),0)</f>
        <v>0.0118577075098814</v>
      </c>
      <c r="AD596" s="96" t="n">
        <f aca="false">IFERROR(Q596/(Q596+N596),0)</f>
        <v>0.0100541376643465</v>
      </c>
      <c r="AE596" s="91" t="n">
        <f aca="false">(N596-T596)/N596</f>
        <v>0.98828125</v>
      </c>
      <c r="AF596" s="97" t="n">
        <f aca="false">BR596</f>
        <v>0.5</v>
      </c>
      <c r="AG596" s="98" t="n">
        <f aca="false">K596-AF596</f>
        <v>7.5</v>
      </c>
      <c r="AH596" s="99" t="n">
        <f aca="false">IFERROR(AG596/K596," ")</f>
        <v>0.9375</v>
      </c>
      <c r="AI596" s="100" t="n">
        <f aca="false">IFERROR(O596/K596,0)</f>
        <v>625</v>
      </c>
      <c r="AJ596" s="101" t="n">
        <f aca="false">VLOOKUP(D596,'Standard Cycle time'!C:D,2,0)</f>
        <v>5.25</v>
      </c>
      <c r="AK596" s="101" t="n">
        <f aca="false">AG596*V596*3600/O596</f>
        <v>5.4</v>
      </c>
      <c r="AL596" s="102" t="n">
        <f aca="false">AJ596/AK596</f>
        <v>0.972222222222222</v>
      </c>
      <c r="AM596" s="99" t="n">
        <f aca="false">AE596*AL596*AH596</f>
        <v>0.900777180989583</v>
      </c>
      <c r="AN596" s="103" t="n">
        <v>3417</v>
      </c>
      <c r="AO596" s="112" t="s">
        <v>1221</v>
      </c>
      <c r="AP596" s="105" t="n">
        <v>0</v>
      </c>
      <c r="AQ596" s="105" t="n">
        <v>0</v>
      </c>
      <c r="AR596" s="105" t="n">
        <v>0</v>
      </c>
      <c r="AS596" s="105" t="n">
        <v>0</v>
      </c>
      <c r="AT596" s="105" t="n">
        <v>30</v>
      </c>
      <c r="AU596" s="105" t="n">
        <v>0</v>
      </c>
      <c r="AV596" s="105" t="n">
        <v>0</v>
      </c>
      <c r="AW596" s="105" t="n">
        <v>0</v>
      </c>
      <c r="AX596" s="105" t="n">
        <v>0</v>
      </c>
      <c r="AY596" s="105" t="n">
        <v>0</v>
      </c>
      <c r="AZ596" s="105" t="n">
        <v>0</v>
      </c>
      <c r="BA596" s="105" t="n">
        <v>0</v>
      </c>
      <c r="BB596" s="105" t="n">
        <v>0</v>
      </c>
      <c r="BC596" s="105" t="n">
        <v>0</v>
      </c>
      <c r="BD596" s="105" t="n">
        <v>0</v>
      </c>
      <c r="BE596" s="105" t="n">
        <v>0</v>
      </c>
      <c r="BF596" s="105" t="n">
        <v>0</v>
      </c>
      <c r="BG596" s="105" t="n">
        <v>0</v>
      </c>
      <c r="BH596" s="105" t="n">
        <v>0</v>
      </c>
      <c r="BI596" s="105" t="n">
        <v>0</v>
      </c>
      <c r="BJ596" s="105" t="n">
        <v>0</v>
      </c>
      <c r="BK596" s="105" t="n">
        <v>0</v>
      </c>
      <c r="BL596" s="105" t="n">
        <v>0</v>
      </c>
      <c r="BM596" s="105" t="n">
        <v>0</v>
      </c>
      <c r="BN596" s="105" t="n">
        <v>0</v>
      </c>
      <c r="BO596" s="105" t="n">
        <v>0</v>
      </c>
      <c r="BP596" s="105" t="n">
        <v>0</v>
      </c>
      <c r="BQ596" s="105" t="n">
        <v>0</v>
      </c>
      <c r="BR596" s="106" t="n">
        <v>0.5</v>
      </c>
      <c r="BS596" s="106" t="n">
        <v>0.508333333333333</v>
      </c>
      <c r="BT596" s="107"/>
      <c r="BU596" s="107"/>
      <c r="BV596" s="107"/>
      <c r="BW596" s="107"/>
      <c r="BX596" s="107"/>
      <c r="BY596" s="107"/>
      <c r="BZ596" s="107"/>
      <c r="CA596" s="107"/>
      <c r="CB596" s="107"/>
      <c r="CC596" s="107"/>
      <c r="CD596" s="107"/>
      <c r="CE596" s="107"/>
      <c r="CF596" s="107"/>
      <c r="CG596" s="107"/>
      <c r="CH596" s="107"/>
      <c r="CI596" s="107"/>
      <c r="CJ596" s="107"/>
      <c r="CK596" s="107"/>
      <c r="CL596" s="107"/>
      <c r="CM596" s="107"/>
      <c r="CN596" s="107"/>
      <c r="CO596" s="107"/>
      <c r="CP596" s="107"/>
      <c r="CQ596" s="107"/>
      <c r="CR596" s="107"/>
      <c r="CS596" s="107"/>
      <c r="CT596" s="107"/>
      <c r="CU596" s="107"/>
      <c r="CV596" s="107"/>
    </row>
    <row r="597" customFormat="false" ht="14.9" hidden="false" customHeight="false" outlineLevel="0" collapsed="false">
      <c r="A597" s="74" t="n">
        <f aca="false">MONTH(B597)</f>
        <v>9</v>
      </c>
      <c r="B597" s="135" t="n">
        <v>44460</v>
      </c>
      <c r="C597" s="128" t="s">
        <v>51</v>
      </c>
      <c r="D597" s="77" t="str">
        <f aca="false">IFERROR(VLOOKUP(E:E,'Item Data Support Sheet'!A:O,7,0),"")</f>
        <v>NIPPLE PUNCH</v>
      </c>
      <c r="E597" s="80" t="s">
        <v>666</v>
      </c>
      <c r="F597" s="122"/>
      <c r="G597" s="137" t="s">
        <v>54</v>
      </c>
      <c r="H597" s="79" t="str">
        <f aca="false">IFERROR(VLOOKUP(E:E,'Item Data Support Sheet'!A:O,2,0),"")</f>
        <v>NIPPLE S TYPE L SIZE PUNCHED</v>
      </c>
      <c r="I597" s="80" t="s">
        <v>1222</v>
      </c>
      <c r="J597" s="80" t="s">
        <v>143</v>
      </c>
      <c r="K597" s="81" t="n">
        <v>8</v>
      </c>
      <c r="L597" s="124" t="n">
        <v>7000</v>
      </c>
      <c r="M597" s="83" t="n">
        <f aca="false">IFERROR(L597/K597,0)</f>
        <v>875</v>
      </c>
      <c r="N597" s="84" t="n">
        <f aca="false">+O597+Q597+T597+U597</f>
        <v>6865</v>
      </c>
      <c r="O597" s="85" t="n">
        <v>6865</v>
      </c>
      <c r="P597" s="86" t="n">
        <v>0</v>
      </c>
      <c r="Q597" s="86" t="n">
        <v>0</v>
      </c>
      <c r="R597" s="132" t="n">
        <v>0</v>
      </c>
      <c r="S597" s="128" t="n">
        <v>0</v>
      </c>
      <c r="T597" s="132" t="n">
        <v>0</v>
      </c>
      <c r="U597" s="128" t="n">
        <v>0</v>
      </c>
      <c r="V597" s="128" t="n">
        <v>1</v>
      </c>
      <c r="W597" s="90" t="n">
        <f aca="false">IFERROR(O597/V597,0)</f>
        <v>6865</v>
      </c>
      <c r="X597" s="91" t="n">
        <f aca="false">O597/L597</f>
        <v>0.980714285714286</v>
      </c>
      <c r="Y597" s="92" t="str">
        <f aca="false">IFERROR(VLOOKUP(E:E,'Item Data Support Sheet'!A:J,6,0),0)</f>
        <v>FO017</v>
      </c>
      <c r="Z597" s="93" t="n">
        <f aca="false">IFERROR(VLOOKUP(E:E,'Item Data Support Sheet'!A:O,4,0),0)</f>
        <v>0</v>
      </c>
      <c r="AA597" s="93" t="n">
        <f aca="false">IFERROR(((N597)*(Z597/1000))+P597,0)</f>
        <v>0</v>
      </c>
      <c r="AB597" s="94" t="str">
        <f aca="false">IFERROR((O597*(Z597/1000)/(AA597))," ")</f>
        <v> </v>
      </c>
      <c r="AC597" s="95" t="n">
        <f aca="false">IFERROR((T597)/((T597)+O597),0)</f>
        <v>0</v>
      </c>
      <c r="AD597" s="96" t="n">
        <f aca="false">IFERROR(Q597/(Q597+N597),0)</f>
        <v>0</v>
      </c>
      <c r="AE597" s="91" t="n">
        <f aca="false">(N597-T597)/N597</f>
        <v>1</v>
      </c>
      <c r="AF597" s="97" t="n">
        <f aca="false">BR597</f>
        <v>0.666666666666667</v>
      </c>
      <c r="AG597" s="98" t="n">
        <f aca="false">K597-AF597</f>
        <v>7.33333333333333</v>
      </c>
      <c r="AH597" s="99" t="n">
        <f aca="false">IFERROR(AG597/K597," ")</f>
        <v>0.916666666666667</v>
      </c>
      <c r="AI597" s="100" t="n">
        <f aca="false">IFERROR(O597/K597,0)</f>
        <v>858.125</v>
      </c>
      <c r="AJ597" s="101" t="n">
        <f aca="false">VLOOKUP(D597,'Standard Cycle time'!C:D,2,0)</f>
        <v>3.5</v>
      </c>
      <c r="AK597" s="101" t="n">
        <f aca="false">AG597*V597*3600/O597</f>
        <v>3.84559359067735</v>
      </c>
      <c r="AL597" s="102" t="n">
        <f aca="false">AJ597/AK597</f>
        <v>0.910132575757576</v>
      </c>
      <c r="AM597" s="99" t="n">
        <f aca="false">AE597*AL597*AH597</f>
        <v>0.834288194444444</v>
      </c>
      <c r="AN597" s="103" t="s">
        <v>1223</v>
      </c>
      <c r="AO597" s="112" t="s">
        <v>947</v>
      </c>
      <c r="AP597" s="105" t="n">
        <v>40</v>
      </c>
      <c r="AQ597" s="105" t="n">
        <v>0</v>
      </c>
      <c r="AR597" s="105" t="n">
        <v>0</v>
      </c>
      <c r="AS597" s="105" t="n">
        <v>0</v>
      </c>
      <c r="AT597" s="105" t="n">
        <v>0</v>
      </c>
      <c r="AU597" s="105" t="n">
        <v>0</v>
      </c>
      <c r="AV597" s="105" t="n">
        <v>0</v>
      </c>
      <c r="AW597" s="105" t="n">
        <v>0</v>
      </c>
      <c r="AX597" s="105" t="n">
        <v>0</v>
      </c>
      <c r="AY597" s="105" t="n">
        <v>0</v>
      </c>
      <c r="AZ597" s="105" t="n">
        <v>0</v>
      </c>
      <c r="BA597" s="105" t="n">
        <v>0</v>
      </c>
      <c r="BB597" s="105" t="n">
        <v>0</v>
      </c>
      <c r="BC597" s="105" t="n">
        <v>0</v>
      </c>
      <c r="BD597" s="105" t="n">
        <v>0</v>
      </c>
      <c r="BE597" s="105" t="n">
        <v>0</v>
      </c>
      <c r="BF597" s="105" t="n">
        <v>0</v>
      </c>
      <c r="BG597" s="105" t="n">
        <v>0</v>
      </c>
      <c r="BH597" s="105" t="n">
        <v>0</v>
      </c>
      <c r="BI597" s="105" t="n">
        <v>0</v>
      </c>
      <c r="BJ597" s="105" t="n">
        <v>0</v>
      </c>
      <c r="BK597" s="105" t="n">
        <v>0</v>
      </c>
      <c r="BL597" s="105" t="n">
        <v>0</v>
      </c>
      <c r="BM597" s="105" t="n">
        <v>0</v>
      </c>
      <c r="BN597" s="105" t="n">
        <v>0</v>
      </c>
      <c r="BO597" s="105" t="n">
        <v>0</v>
      </c>
      <c r="BP597" s="105" t="n">
        <v>0</v>
      </c>
      <c r="BQ597" s="105" t="n">
        <v>0</v>
      </c>
      <c r="BR597" s="106" t="n">
        <v>0.666666666666667</v>
      </c>
      <c r="BS597" s="106" t="n">
        <v>0.677777777777778</v>
      </c>
      <c r="BT597" s="107"/>
      <c r="BU597" s="107"/>
      <c r="BV597" s="107"/>
      <c r="BW597" s="107"/>
      <c r="BX597" s="107"/>
      <c r="BY597" s="107"/>
      <c r="BZ597" s="107"/>
      <c r="CA597" s="107"/>
      <c r="CB597" s="107"/>
      <c r="CC597" s="107"/>
      <c r="CD597" s="107"/>
      <c r="CE597" s="107"/>
      <c r="CF597" s="107"/>
      <c r="CG597" s="107"/>
      <c r="CH597" s="107"/>
      <c r="CI597" s="107"/>
      <c r="CJ597" s="107"/>
      <c r="CK597" s="107"/>
      <c r="CL597" s="107"/>
      <c r="CM597" s="107"/>
      <c r="CN597" s="107"/>
      <c r="CO597" s="107"/>
      <c r="CP597" s="107"/>
      <c r="CQ597" s="107"/>
      <c r="CR597" s="107"/>
      <c r="CS597" s="107"/>
      <c r="CT597" s="107"/>
      <c r="CU597" s="107"/>
      <c r="CV597" s="107"/>
    </row>
    <row r="598" customFormat="false" ht="14.9" hidden="false" customHeight="false" outlineLevel="0" collapsed="false">
      <c r="A598" s="74" t="n">
        <f aca="false">MONTH(B598)</f>
        <v>9</v>
      </c>
      <c r="B598" s="135" t="n">
        <v>44460</v>
      </c>
      <c r="C598" s="128" t="s">
        <v>51</v>
      </c>
      <c r="D598" s="77" t="str">
        <f aca="false">IFERROR(VLOOKUP(E:E,'Item Data Support Sheet'!A:O,7,0),"")</f>
        <v>NIPPLE LASER MARKING</v>
      </c>
      <c r="E598" s="80" t="s">
        <v>681</v>
      </c>
      <c r="F598" s="122"/>
      <c r="G598" s="137" t="s">
        <v>517</v>
      </c>
      <c r="H598" s="79" t="str">
        <f aca="false">IFERROR(VLOOKUP(E:E,'Item Data Support Sheet'!A:O,2,0),"")</f>
        <v>NIPPLE S TYPE L SIZE PUNCHED LASER MARKED</v>
      </c>
      <c r="I598" s="80" t="s">
        <v>1224</v>
      </c>
      <c r="J598" s="80" t="s">
        <v>143</v>
      </c>
      <c r="K598" s="81" t="n">
        <v>8</v>
      </c>
      <c r="L598" s="124" t="n">
        <v>7000</v>
      </c>
      <c r="M598" s="83" t="n">
        <f aca="false">IFERROR(L598/K598,0)</f>
        <v>875</v>
      </c>
      <c r="N598" s="84" t="n">
        <f aca="false">+O598+Q598+T598+U598</f>
        <v>6850</v>
      </c>
      <c r="O598" s="85" t="n">
        <v>6850</v>
      </c>
      <c r="P598" s="86" t="n">
        <v>0</v>
      </c>
      <c r="Q598" s="86" t="n">
        <v>0</v>
      </c>
      <c r="R598" s="132" t="n">
        <v>0</v>
      </c>
      <c r="S598" s="128" t="n">
        <v>0</v>
      </c>
      <c r="T598" s="132" t="n">
        <v>0</v>
      </c>
      <c r="U598" s="128" t="n">
        <v>0</v>
      </c>
      <c r="V598" s="128" t="n">
        <v>1</v>
      </c>
      <c r="W598" s="90" t="n">
        <f aca="false">IFERROR(O598/V598,0)</f>
        <v>6850</v>
      </c>
      <c r="X598" s="91" t="n">
        <f aca="false">O598/L598</f>
        <v>0.978571428571429</v>
      </c>
      <c r="Y598" s="92" t="str">
        <f aca="false">IFERROR(VLOOKUP(E:E,'Item Data Support Sheet'!A:J,6,0),0)</f>
        <v>FO021</v>
      </c>
      <c r="Z598" s="93" t="n">
        <f aca="false">IFERROR(VLOOKUP(E:E,'Item Data Support Sheet'!A:O,4,0),0)</f>
        <v>0</v>
      </c>
      <c r="AA598" s="93" t="n">
        <f aca="false">IFERROR(((N598)*(Z598/1000))+P598,0)</f>
        <v>0</v>
      </c>
      <c r="AB598" s="94" t="str">
        <f aca="false">IFERROR((O598*(Z598/1000)/(AA598))," ")</f>
        <v> </v>
      </c>
      <c r="AC598" s="95" t="n">
        <f aca="false">IFERROR((T598)/((T598)+O598),0)</f>
        <v>0</v>
      </c>
      <c r="AD598" s="96" t="n">
        <f aca="false">IFERROR(Q598/(Q598+N598),0)</f>
        <v>0</v>
      </c>
      <c r="AE598" s="91" t="n">
        <f aca="false">(N598-T598)/N598</f>
        <v>1</v>
      </c>
      <c r="AF598" s="97" t="n">
        <f aca="false">BR598</f>
        <v>0.666666666666667</v>
      </c>
      <c r="AG598" s="98" t="n">
        <f aca="false">K598-AF598</f>
        <v>7.33333333333333</v>
      </c>
      <c r="AH598" s="99" t="n">
        <f aca="false">IFERROR(AG598/K598," ")</f>
        <v>0.916666666666667</v>
      </c>
      <c r="AI598" s="100" t="n">
        <f aca="false">IFERROR(O598/K598,0)</f>
        <v>856.25</v>
      </c>
      <c r="AJ598" s="101" t="n">
        <f aca="false">VLOOKUP(D598,'Standard Cycle time'!C:D,2,0)</f>
        <v>3.5</v>
      </c>
      <c r="AK598" s="101" t="n">
        <f aca="false">AG598*V598*3600/O598</f>
        <v>3.85401459854015</v>
      </c>
      <c r="AL598" s="102" t="n">
        <f aca="false">AJ598/AK598</f>
        <v>0.908143939393939</v>
      </c>
      <c r="AM598" s="99" t="n">
        <f aca="false">AE598*AL598*AH598</f>
        <v>0.832465277777778</v>
      </c>
      <c r="AN598" s="103" t="s">
        <v>1225</v>
      </c>
      <c r="AO598" s="112" t="s">
        <v>947</v>
      </c>
      <c r="AP598" s="105" t="n">
        <v>40</v>
      </c>
      <c r="AQ598" s="105" t="n">
        <v>0</v>
      </c>
      <c r="AR598" s="105" t="n">
        <v>0</v>
      </c>
      <c r="AS598" s="105" t="n">
        <v>0</v>
      </c>
      <c r="AT598" s="105" t="n">
        <v>0</v>
      </c>
      <c r="AU598" s="105" t="n">
        <v>0</v>
      </c>
      <c r="AV598" s="105" t="n">
        <v>0</v>
      </c>
      <c r="AW598" s="105" t="n">
        <v>0</v>
      </c>
      <c r="AX598" s="105" t="n">
        <v>0</v>
      </c>
      <c r="AY598" s="105" t="n">
        <v>0</v>
      </c>
      <c r="AZ598" s="105" t="n">
        <v>0</v>
      </c>
      <c r="BA598" s="105" t="n">
        <v>0</v>
      </c>
      <c r="BB598" s="105" t="n">
        <v>0</v>
      </c>
      <c r="BC598" s="105" t="n">
        <v>0</v>
      </c>
      <c r="BD598" s="105" t="n">
        <v>0</v>
      </c>
      <c r="BE598" s="105" t="n">
        <v>0</v>
      </c>
      <c r="BF598" s="105" t="n">
        <v>0</v>
      </c>
      <c r="BG598" s="105" t="n">
        <v>0</v>
      </c>
      <c r="BH598" s="105" t="n">
        <v>0</v>
      </c>
      <c r="BI598" s="105" t="n">
        <v>0</v>
      </c>
      <c r="BJ598" s="105" t="n">
        <v>0</v>
      </c>
      <c r="BK598" s="105" t="n">
        <v>0</v>
      </c>
      <c r="BL598" s="105" t="n">
        <v>0</v>
      </c>
      <c r="BM598" s="105" t="n">
        <v>0</v>
      </c>
      <c r="BN598" s="105" t="n">
        <v>0</v>
      </c>
      <c r="BO598" s="105" t="n">
        <v>0</v>
      </c>
      <c r="BP598" s="105" t="n">
        <v>0</v>
      </c>
      <c r="BQ598" s="105" t="n">
        <v>0</v>
      </c>
      <c r="BR598" s="106" t="n">
        <v>0.666666666666667</v>
      </c>
      <c r="BS598" s="106" t="n">
        <v>0.677777777777778</v>
      </c>
      <c r="BT598" s="107"/>
      <c r="BU598" s="107"/>
      <c r="BV598" s="107"/>
      <c r="BW598" s="107"/>
      <c r="BX598" s="107"/>
      <c r="BY598" s="107"/>
      <c r="BZ598" s="107"/>
      <c r="CA598" s="107"/>
      <c r="CB598" s="107"/>
      <c r="CC598" s="107"/>
      <c r="CD598" s="107"/>
      <c r="CE598" s="107"/>
      <c r="CF598" s="107"/>
      <c r="CG598" s="107"/>
      <c r="CH598" s="107"/>
      <c r="CI598" s="107"/>
      <c r="CJ598" s="107"/>
      <c r="CK598" s="107"/>
      <c r="CL598" s="107"/>
      <c r="CM598" s="107"/>
      <c r="CN598" s="107"/>
      <c r="CO598" s="107"/>
      <c r="CP598" s="107"/>
      <c r="CQ598" s="107"/>
      <c r="CR598" s="107"/>
      <c r="CS598" s="107"/>
      <c r="CT598" s="107"/>
      <c r="CU598" s="107"/>
      <c r="CV598" s="107"/>
    </row>
    <row r="599" customFormat="false" ht="14.9" hidden="false" customHeight="false" outlineLevel="0" collapsed="false">
      <c r="A599" s="74" t="n">
        <f aca="false">MONTH(B599)</f>
        <v>9</v>
      </c>
      <c r="B599" s="135" t="n">
        <v>44460</v>
      </c>
      <c r="C599" s="128" t="s">
        <v>51</v>
      </c>
      <c r="D599" s="77" t="str">
        <f aca="false">IFERROR(VLOOKUP(E:E,'Item Data Support Sheet'!A:O,7,0),"")</f>
        <v>CAP MOLDED</v>
      </c>
      <c r="E599" s="80" t="s">
        <v>261</v>
      </c>
      <c r="F599" s="122"/>
      <c r="G599" s="137" t="s">
        <v>1215</v>
      </c>
      <c r="H599" s="79" t="str">
        <f aca="false">IFERROR(VLOOKUP(E:E,'Item Data Support Sheet'!A:O,2,0),"")</f>
        <v>CAP S TYPE MOLDED PINK</v>
      </c>
      <c r="I599" s="80" t="s">
        <v>1226</v>
      </c>
      <c r="J599" s="80" t="s">
        <v>143</v>
      </c>
      <c r="K599" s="81" t="n">
        <v>8</v>
      </c>
      <c r="L599" s="124" t="n">
        <v>4137</v>
      </c>
      <c r="M599" s="83" t="n">
        <f aca="false">IFERROR(L599/K599,0)</f>
        <v>517.125</v>
      </c>
      <c r="N599" s="84" t="n">
        <f aca="false">+O599+Q599+T599+U599</f>
        <v>4014</v>
      </c>
      <c r="O599" s="85" t="n">
        <v>4000</v>
      </c>
      <c r="P599" s="86" t="n">
        <v>0</v>
      </c>
      <c r="Q599" s="86" t="n">
        <v>0</v>
      </c>
      <c r="R599" s="132" t="n">
        <v>0</v>
      </c>
      <c r="S599" s="128" t="n">
        <v>0</v>
      </c>
      <c r="T599" s="132" t="n">
        <v>6</v>
      </c>
      <c r="U599" s="128" t="n">
        <v>8</v>
      </c>
      <c r="V599" s="128" t="n">
        <v>1</v>
      </c>
      <c r="W599" s="90" t="n">
        <f aca="false">IFERROR(O599/V599,0)</f>
        <v>4000</v>
      </c>
      <c r="X599" s="91" t="n">
        <f aca="false">O599/L599</f>
        <v>0.96688421561518</v>
      </c>
      <c r="Y599" s="92" t="str">
        <f aca="false">IFERROR(VLOOKUP(E:E,'Item Data Support Sheet'!A:J,6,0),0)</f>
        <v>RM000123</v>
      </c>
      <c r="Z599" s="93" t="n">
        <f aca="false">IFERROR(VLOOKUP(E:E,'Item Data Support Sheet'!A:O,4,0),0)</f>
        <v>7.3</v>
      </c>
      <c r="AA599" s="93" t="n">
        <f aca="false">IFERROR(((N599)*(Z599/1000))+P599,0)</f>
        <v>29.3022</v>
      </c>
      <c r="AB599" s="94" t="n">
        <f aca="false">IFERROR((O599*(Z599/1000)/(AA599))," ")</f>
        <v>0.996512207274539</v>
      </c>
      <c r="AC599" s="95" t="n">
        <f aca="false">IFERROR((T599)/((T599)+O599),0)</f>
        <v>0.00149775336994508</v>
      </c>
      <c r="AD599" s="96" t="n">
        <f aca="false">IFERROR(Q599/(Q599+N599),0)</f>
        <v>0</v>
      </c>
      <c r="AE599" s="91" t="n">
        <f aca="false">(N599-T599)/N599</f>
        <v>0.998505231689088</v>
      </c>
      <c r="AF599" s="97" t="n">
        <f aca="false">BR599</f>
        <v>0</v>
      </c>
      <c r="AG599" s="98" t="n">
        <f aca="false">K599-AF599</f>
        <v>8</v>
      </c>
      <c r="AH599" s="99" t="n">
        <f aca="false">IFERROR(AG599/K599," ")</f>
        <v>1</v>
      </c>
      <c r="AI599" s="100" t="n">
        <f aca="false">IFERROR(O599/K599,0)</f>
        <v>500</v>
      </c>
      <c r="AJ599" s="101" t="n">
        <f aca="false">VLOOKUP(D599,'Standard Cycle time'!C:D,2,0)</f>
        <v>6</v>
      </c>
      <c r="AK599" s="101" t="n">
        <f aca="false">AG599*V599*3600/O599</f>
        <v>7.2</v>
      </c>
      <c r="AL599" s="102" t="n">
        <f aca="false">AJ599/AK599</f>
        <v>0.833333333333333</v>
      </c>
      <c r="AM599" s="99" t="n">
        <f aca="false">AE599*AL599*AH599</f>
        <v>0.83208769307424</v>
      </c>
      <c r="AN599" s="103" t="n">
        <v>3415</v>
      </c>
      <c r="AO599" s="112"/>
      <c r="AP599" s="105" t="n">
        <v>0</v>
      </c>
      <c r="AQ599" s="105" t="n">
        <v>0</v>
      </c>
      <c r="AR599" s="105" t="n">
        <v>0</v>
      </c>
      <c r="AS599" s="105" t="n">
        <v>0</v>
      </c>
      <c r="AT599" s="105" t="n">
        <v>0</v>
      </c>
      <c r="AU599" s="105" t="n">
        <v>0</v>
      </c>
      <c r="AV599" s="105" t="n">
        <v>0</v>
      </c>
      <c r="AW599" s="105" t="n">
        <v>0</v>
      </c>
      <c r="AX599" s="105" t="n">
        <v>0</v>
      </c>
      <c r="AY599" s="105" t="n">
        <v>0</v>
      </c>
      <c r="AZ599" s="105" t="n">
        <v>0</v>
      </c>
      <c r="BA599" s="105" t="n">
        <v>0</v>
      </c>
      <c r="BB599" s="105" t="n">
        <v>0</v>
      </c>
      <c r="BC599" s="105" t="n">
        <v>0</v>
      </c>
      <c r="BD599" s="105" t="n">
        <v>0</v>
      </c>
      <c r="BE599" s="105" t="n">
        <v>0</v>
      </c>
      <c r="BF599" s="105" t="n">
        <v>0</v>
      </c>
      <c r="BG599" s="105" t="n">
        <v>0</v>
      </c>
      <c r="BH599" s="105" t="n">
        <v>0</v>
      </c>
      <c r="BI599" s="105" t="n">
        <v>0</v>
      </c>
      <c r="BJ599" s="105" t="n">
        <v>0</v>
      </c>
      <c r="BK599" s="105" t="n">
        <v>0</v>
      </c>
      <c r="BL599" s="105" t="n">
        <v>0</v>
      </c>
      <c r="BM599" s="105" t="n">
        <v>0</v>
      </c>
      <c r="BN599" s="105" t="n">
        <v>0</v>
      </c>
      <c r="BO599" s="105" t="n">
        <v>0</v>
      </c>
      <c r="BP599" s="105" t="n">
        <v>0</v>
      </c>
      <c r="BQ599" s="105" t="n">
        <v>0</v>
      </c>
      <c r="BR599" s="106" t="n">
        <v>0</v>
      </c>
      <c r="BS599" s="106" t="n">
        <v>0</v>
      </c>
      <c r="BT599" s="107"/>
      <c r="BU599" s="107"/>
      <c r="BV599" s="107"/>
      <c r="BW599" s="107"/>
      <c r="BX599" s="107"/>
      <c r="BY599" s="107"/>
      <c r="BZ599" s="107"/>
      <c r="CA599" s="107"/>
      <c r="CB599" s="107"/>
      <c r="CC599" s="107"/>
      <c r="CD599" s="107"/>
      <c r="CE599" s="107"/>
      <c r="CF599" s="107"/>
      <c r="CG599" s="107"/>
      <c r="CH599" s="107"/>
      <c r="CI599" s="107"/>
      <c r="CJ599" s="107"/>
      <c r="CK599" s="107"/>
      <c r="CL599" s="107"/>
      <c r="CM599" s="107"/>
      <c r="CN599" s="107"/>
      <c r="CO599" s="107"/>
      <c r="CP599" s="107"/>
      <c r="CQ599" s="107"/>
      <c r="CR599" s="107"/>
      <c r="CS599" s="107"/>
      <c r="CT599" s="107"/>
      <c r="CU599" s="107"/>
      <c r="CV599" s="107"/>
    </row>
    <row r="600" customFormat="false" ht="14.9" hidden="false" customHeight="false" outlineLevel="0" collapsed="false">
      <c r="A600" s="74" t="n">
        <f aca="false">MONTH(B600)</f>
        <v>9</v>
      </c>
      <c r="B600" s="135" t="n">
        <v>44460</v>
      </c>
      <c r="C600" s="128" t="s">
        <v>51</v>
      </c>
      <c r="D600" s="77" t="str">
        <f aca="false">IFERROR(VLOOKUP(E:E,'Item Data Support Sheet'!A:O,7,0),"")</f>
        <v>BOTTLE MOLDED</v>
      </c>
      <c r="E600" s="80" t="s">
        <v>572</v>
      </c>
      <c r="F600" s="122" t="s">
        <v>589</v>
      </c>
      <c r="G600" s="137" t="s">
        <v>80</v>
      </c>
      <c r="H600" s="79" t="str">
        <f aca="false">IFERROR(VLOOKUP(E:E,'Item Data Support Sheet'!A:O,2,0),"")</f>
        <v>RPP 240 ML BOTTLE MOLDED</v>
      </c>
      <c r="I600" s="80" t="s">
        <v>1227</v>
      </c>
      <c r="J600" s="80" t="s">
        <v>143</v>
      </c>
      <c r="K600" s="81" t="n">
        <v>4</v>
      </c>
      <c r="L600" s="124" t="n">
        <v>1287</v>
      </c>
      <c r="M600" s="83" t="n">
        <f aca="false">IFERROR(L600/K600,0)</f>
        <v>321.75</v>
      </c>
      <c r="N600" s="84" t="n">
        <f aca="false">+O600+Q600+T600+U600</f>
        <v>1494</v>
      </c>
      <c r="O600" s="85" t="n">
        <v>1440</v>
      </c>
      <c r="P600" s="86" t="n">
        <v>0.12</v>
      </c>
      <c r="Q600" s="86" t="n">
        <v>24</v>
      </c>
      <c r="R600" s="132" t="n">
        <v>0</v>
      </c>
      <c r="S600" s="128" t="n">
        <v>0</v>
      </c>
      <c r="T600" s="132" t="n">
        <v>22</v>
      </c>
      <c r="U600" s="128" t="n">
        <v>8</v>
      </c>
      <c r="V600" s="128" t="n">
        <v>1</v>
      </c>
      <c r="W600" s="90" t="n">
        <f aca="false">IFERROR(O600/V600,0)</f>
        <v>1440</v>
      </c>
      <c r="X600" s="91" t="n">
        <f aca="false">O600/L600</f>
        <v>1.11888111888112</v>
      </c>
      <c r="Y600" s="92" t="str">
        <f aca="false">IFERROR(VLOOKUP(E:E,'Item Data Support Sheet'!A:J,6,0),0)</f>
        <v>HMC</v>
      </c>
      <c r="Z600" s="93" t="n">
        <f aca="false">IFERROR(VLOOKUP(E:E,'Item Data Support Sheet'!A:O,4,0),0)</f>
        <v>32.1</v>
      </c>
      <c r="AA600" s="93" t="n">
        <f aca="false">IFERROR(((N600)*(Z600/1000))+P600,0)</f>
        <v>48.0774</v>
      </c>
      <c r="AB600" s="94" t="n">
        <f aca="false">IFERROR((O600*(Z600/1000)/(AA600))," ")</f>
        <v>0.961449662419349</v>
      </c>
      <c r="AC600" s="95" t="n">
        <f aca="false">IFERROR((T600)/((T600)+O600),0)</f>
        <v>0.0150478796169631</v>
      </c>
      <c r="AD600" s="96" t="n">
        <f aca="false">IFERROR(Q600/(Q600+N600),0)</f>
        <v>0.0158102766798419</v>
      </c>
      <c r="AE600" s="91" t="n">
        <f aca="false">(N600-T600)/N600</f>
        <v>0.985274431057564</v>
      </c>
      <c r="AF600" s="97" t="n">
        <f aca="false">BR600</f>
        <v>0</v>
      </c>
      <c r="AG600" s="98" t="n">
        <f aca="false">K600-AF600</f>
        <v>4</v>
      </c>
      <c r="AH600" s="99" t="n">
        <f aca="false">IFERROR(AG600/K600," ")</f>
        <v>1</v>
      </c>
      <c r="AI600" s="100" t="n">
        <f aca="false">IFERROR(O600/K600,0)</f>
        <v>360</v>
      </c>
      <c r="AJ600" s="101" t="n">
        <f aca="false">VLOOKUP(D600,'Standard Cycle time'!C:D,2,0)</f>
        <v>9</v>
      </c>
      <c r="AK600" s="101" t="n">
        <f aca="false">AG600*V600*3600/O600</f>
        <v>10</v>
      </c>
      <c r="AL600" s="102" t="n">
        <f aca="false">AJ600/AK600</f>
        <v>0.9</v>
      </c>
      <c r="AM600" s="99" t="n">
        <f aca="false">AE600*AL600*AH600</f>
        <v>0.886746987951807</v>
      </c>
      <c r="AN600" s="103" t="n">
        <v>3416</v>
      </c>
      <c r="AO600" s="112" t="s">
        <v>1228</v>
      </c>
      <c r="AP600" s="105" t="n">
        <v>0</v>
      </c>
      <c r="AQ600" s="105" t="n">
        <v>0</v>
      </c>
      <c r="AR600" s="105" t="n">
        <v>0</v>
      </c>
      <c r="AS600" s="105" t="n">
        <v>0</v>
      </c>
      <c r="AT600" s="105" t="n">
        <v>0</v>
      </c>
      <c r="AU600" s="105" t="n">
        <v>0</v>
      </c>
      <c r="AV600" s="105" t="n">
        <v>0</v>
      </c>
      <c r="AW600" s="105" t="n">
        <v>0</v>
      </c>
      <c r="AX600" s="105" t="n">
        <v>0</v>
      </c>
      <c r="AY600" s="105" t="n">
        <v>0</v>
      </c>
      <c r="AZ600" s="105" t="n">
        <v>0</v>
      </c>
      <c r="BA600" s="105" t="n">
        <v>0</v>
      </c>
      <c r="BB600" s="105" t="n">
        <v>0</v>
      </c>
      <c r="BC600" s="105" t="n">
        <v>0</v>
      </c>
      <c r="BD600" s="105" t="n">
        <v>0</v>
      </c>
      <c r="BE600" s="105" t="n">
        <v>0</v>
      </c>
      <c r="BF600" s="105" t="n">
        <v>0</v>
      </c>
      <c r="BG600" s="105" t="n">
        <v>0</v>
      </c>
      <c r="BH600" s="105" t="n">
        <v>0</v>
      </c>
      <c r="BI600" s="105" t="n">
        <v>0</v>
      </c>
      <c r="BJ600" s="105" t="n">
        <v>0</v>
      </c>
      <c r="BK600" s="105" t="n">
        <v>0</v>
      </c>
      <c r="BL600" s="105" t="n">
        <v>0</v>
      </c>
      <c r="BM600" s="105" t="n">
        <v>0</v>
      </c>
      <c r="BN600" s="105" t="n">
        <v>0</v>
      </c>
      <c r="BO600" s="105" t="n">
        <v>0</v>
      </c>
      <c r="BP600" s="105" t="n">
        <v>0</v>
      </c>
      <c r="BQ600" s="105" t="n">
        <v>0</v>
      </c>
      <c r="BR600" s="106" t="n">
        <v>0</v>
      </c>
      <c r="BS600" s="106" t="n">
        <v>0</v>
      </c>
      <c r="BT600" s="107"/>
      <c r="BU600" s="107"/>
      <c r="BV600" s="107"/>
      <c r="BW600" s="107"/>
      <c r="BX600" s="107"/>
      <c r="BY600" s="107"/>
      <c r="BZ600" s="107"/>
      <c r="CA600" s="107"/>
      <c r="CB600" s="107"/>
      <c r="CC600" s="107"/>
      <c r="CD600" s="107"/>
      <c r="CE600" s="107"/>
      <c r="CF600" s="107"/>
      <c r="CG600" s="107"/>
      <c r="CH600" s="107"/>
      <c r="CI600" s="107"/>
      <c r="CJ600" s="107"/>
      <c r="CK600" s="107"/>
      <c r="CL600" s="107"/>
      <c r="CM600" s="107"/>
      <c r="CN600" s="107"/>
      <c r="CO600" s="107"/>
      <c r="CP600" s="107"/>
      <c r="CQ600" s="107"/>
      <c r="CR600" s="107"/>
      <c r="CS600" s="107"/>
      <c r="CT600" s="107"/>
      <c r="CU600" s="107"/>
      <c r="CV600" s="107"/>
    </row>
    <row r="601" customFormat="false" ht="14.9" hidden="false" customHeight="false" outlineLevel="0" collapsed="false">
      <c r="A601" s="74" t="n">
        <f aca="false">MONTH(B601)</f>
        <v>9</v>
      </c>
      <c r="B601" s="135" t="n">
        <v>44460</v>
      </c>
      <c r="C601" s="128" t="s">
        <v>51</v>
      </c>
      <c r="D601" s="77" t="str">
        <f aca="false">IFERROR(VLOOKUP(E:E,'Item Data Support Sheet'!A:O,7,0),"")</f>
        <v>BOTTLE PRINTED</v>
      </c>
      <c r="E601" s="80" t="s">
        <v>691</v>
      </c>
      <c r="F601" s="122"/>
      <c r="G601" s="137"/>
      <c r="H601" s="79" t="str">
        <f aca="false">IFERROR(VLOOKUP(E:E,'Item Data Support Sheet'!A:O,2,0),"")</f>
        <v>KPP 120 ML BOTTLE PRINTED</v>
      </c>
      <c r="I601" s="80" t="s">
        <v>1229</v>
      </c>
      <c r="J601" s="80" t="s">
        <v>161</v>
      </c>
      <c r="K601" s="81" t="n">
        <v>8</v>
      </c>
      <c r="L601" s="124" t="n">
        <v>5134</v>
      </c>
      <c r="M601" s="83" t="n">
        <f aca="false">IFERROR(L601/K601,0)</f>
        <v>641.75</v>
      </c>
      <c r="N601" s="84" t="n">
        <f aca="false">+O601+Q601+T601+U601</f>
        <v>4787</v>
      </c>
      <c r="O601" s="85" t="n">
        <v>4770</v>
      </c>
      <c r="P601" s="86" t="n">
        <v>0</v>
      </c>
      <c r="Q601" s="86" t="n">
        <v>0</v>
      </c>
      <c r="R601" s="132" t="n">
        <v>29</v>
      </c>
      <c r="S601" s="128" t="n">
        <v>0</v>
      </c>
      <c r="T601" s="132" t="n">
        <v>17</v>
      </c>
      <c r="U601" s="128" t="n">
        <v>0</v>
      </c>
      <c r="V601" s="128" t="n">
        <v>5</v>
      </c>
      <c r="W601" s="90" t="n">
        <f aca="false">IFERROR(O601/V601,0)</f>
        <v>954</v>
      </c>
      <c r="X601" s="91" t="n">
        <f aca="false">O601/L601</f>
        <v>0.929100116867939</v>
      </c>
      <c r="Y601" s="92" t="str">
        <f aca="false">IFERROR(VLOOKUP(E:E,'Item Data Support Sheet'!A:J,6,0),0)</f>
        <v>FO001</v>
      </c>
      <c r="Z601" s="93" t="n">
        <f aca="false">IFERROR(VLOOKUP(E:E,'Item Data Support Sheet'!A:O,4,0),0)</f>
        <v>0</v>
      </c>
      <c r="AA601" s="93" t="n">
        <f aca="false">IFERROR(((N601)*(Z601/1000))+P601,0)</f>
        <v>0</v>
      </c>
      <c r="AB601" s="94" t="str">
        <f aca="false">IFERROR((O601*(Z601/1000)/(AA601))," ")</f>
        <v> </v>
      </c>
      <c r="AC601" s="95" t="n">
        <f aca="false">IFERROR((T601)/((T601)+O601),0)</f>
        <v>0.00355128472947566</v>
      </c>
      <c r="AD601" s="96" t="n">
        <f aca="false">IFERROR(Q601/(Q601+N601),0)</f>
        <v>0</v>
      </c>
      <c r="AE601" s="91" t="n">
        <f aca="false">(N601-T601)/N601</f>
        <v>0.996448715270524</v>
      </c>
      <c r="AF601" s="97" t="n">
        <f aca="false">BR601</f>
        <v>1</v>
      </c>
      <c r="AG601" s="98" t="n">
        <f aca="false">K601-AF601</f>
        <v>7</v>
      </c>
      <c r="AH601" s="99" t="n">
        <f aca="false">IFERROR(AG601/K601," ")</f>
        <v>0.875</v>
      </c>
      <c r="AI601" s="100" t="n">
        <f aca="false">IFERROR(O601/K601,0)</f>
        <v>596.25</v>
      </c>
      <c r="AJ601" s="101" t="n">
        <f aca="false">VLOOKUP(D601,'Standard Cycle time'!C:D,2,0)</f>
        <v>32.4</v>
      </c>
      <c r="AK601" s="101" t="n">
        <f aca="false">AG601*V601*3600/O601</f>
        <v>26.4150943396226</v>
      </c>
      <c r="AL601" s="102" t="n">
        <f aca="false">AJ601/AK601</f>
        <v>1.22657142857143</v>
      </c>
      <c r="AM601" s="99" t="n">
        <f aca="false">AE601*AL601*AH601</f>
        <v>1.06943858366409</v>
      </c>
      <c r="AN601" s="103" t="s">
        <v>869</v>
      </c>
      <c r="AO601" s="112" t="s">
        <v>1230</v>
      </c>
      <c r="AP601" s="105" t="n">
        <v>40</v>
      </c>
      <c r="AQ601" s="105" t="n">
        <v>20</v>
      </c>
      <c r="AR601" s="105" t="n">
        <v>0</v>
      </c>
      <c r="AS601" s="105" t="n">
        <v>0</v>
      </c>
      <c r="AT601" s="105" t="n">
        <v>0</v>
      </c>
      <c r="AU601" s="105" t="n">
        <v>0</v>
      </c>
      <c r="AV601" s="105" t="n">
        <v>0</v>
      </c>
      <c r="AW601" s="105" t="n">
        <v>0</v>
      </c>
      <c r="AX601" s="105" t="n">
        <v>0</v>
      </c>
      <c r="AY601" s="105" t="n">
        <v>0</v>
      </c>
      <c r="AZ601" s="105" t="n">
        <v>0</v>
      </c>
      <c r="BA601" s="105" t="n">
        <v>0</v>
      </c>
      <c r="BB601" s="105" t="n">
        <v>0</v>
      </c>
      <c r="BC601" s="105" t="n">
        <v>0</v>
      </c>
      <c r="BD601" s="105" t="n">
        <v>0</v>
      </c>
      <c r="BE601" s="105" t="n">
        <v>0</v>
      </c>
      <c r="BF601" s="105" t="n">
        <v>0</v>
      </c>
      <c r="BG601" s="105" t="n">
        <v>0</v>
      </c>
      <c r="BH601" s="105" t="n">
        <v>0</v>
      </c>
      <c r="BI601" s="105" t="n">
        <v>0</v>
      </c>
      <c r="BJ601" s="105" t="n">
        <v>0</v>
      </c>
      <c r="BK601" s="105" t="n">
        <v>0</v>
      </c>
      <c r="BL601" s="105" t="n">
        <v>0</v>
      </c>
      <c r="BM601" s="105" t="n">
        <v>0</v>
      </c>
      <c r="BN601" s="105" t="n">
        <v>0</v>
      </c>
      <c r="BO601" s="105" t="n">
        <v>0</v>
      </c>
      <c r="BP601" s="105" t="n">
        <v>0</v>
      </c>
      <c r="BQ601" s="105" t="n">
        <v>0</v>
      </c>
      <c r="BR601" s="106" t="n">
        <v>1</v>
      </c>
      <c r="BS601" s="106" t="n">
        <v>1.01666666666667</v>
      </c>
      <c r="BT601" s="107"/>
      <c r="BU601" s="107"/>
      <c r="BV601" s="107"/>
      <c r="BW601" s="107"/>
      <c r="BX601" s="107"/>
      <c r="BY601" s="107"/>
      <c r="BZ601" s="107"/>
      <c r="CA601" s="107"/>
      <c r="CB601" s="107"/>
      <c r="CC601" s="107"/>
      <c r="CD601" s="107"/>
      <c r="CE601" s="107"/>
      <c r="CF601" s="107"/>
      <c r="CG601" s="107"/>
      <c r="CH601" s="107"/>
      <c r="CI601" s="107"/>
      <c r="CJ601" s="107"/>
      <c r="CK601" s="107"/>
      <c r="CL601" s="107"/>
      <c r="CM601" s="107"/>
      <c r="CN601" s="107"/>
      <c r="CO601" s="107"/>
      <c r="CP601" s="107"/>
      <c r="CQ601" s="107"/>
      <c r="CR601" s="107"/>
      <c r="CS601" s="107"/>
      <c r="CT601" s="107"/>
      <c r="CU601" s="107"/>
      <c r="CV601" s="107"/>
    </row>
    <row r="602" customFormat="false" ht="14.9" hidden="false" customHeight="false" outlineLevel="0" collapsed="false">
      <c r="A602" s="74" t="n">
        <f aca="false">MONTH(B602)</f>
        <v>9</v>
      </c>
      <c r="B602" s="135" t="n">
        <v>44460</v>
      </c>
      <c r="C602" s="128" t="s">
        <v>63</v>
      </c>
      <c r="D602" s="77" t="str">
        <f aca="false">IFERROR(VLOOKUP(E:E,'Item Data Support Sheet'!A:O,7,0),"")</f>
        <v>NIPPLE PUNCH INSPECTED</v>
      </c>
      <c r="E602" s="80" t="s">
        <v>688</v>
      </c>
      <c r="F602" s="122"/>
      <c r="G602" s="137"/>
      <c r="H602" s="79" t="str">
        <f aca="false">IFERROR(VLOOKUP(E:E,'Item Data Support Sheet'!A:O,2,0),"")</f>
        <v>NIPPLE S TYPE L SIZE PUNCHED INSPECTED</v>
      </c>
      <c r="I602" s="80" t="s">
        <v>1150</v>
      </c>
      <c r="J602" s="80" t="s">
        <v>155</v>
      </c>
      <c r="K602" s="81" t="n">
        <v>8</v>
      </c>
      <c r="L602" s="124" t="n">
        <v>14182</v>
      </c>
      <c r="M602" s="83" t="n">
        <f aca="false">IFERROR(L602/K602,0)</f>
        <v>1772.75</v>
      </c>
      <c r="N602" s="84" t="n">
        <f aca="false">+O602+Q602+T602+U602</f>
        <v>15850</v>
      </c>
      <c r="O602" s="85" t="n">
        <v>15747</v>
      </c>
      <c r="P602" s="86" t="n">
        <v>0</v>
      </c>
      <c r="Q602" s="86" t="n">
        <v>0</v>
      </c>
      <c r="R602" s="132" t="n">
        <v>0</v>
      </c>
      <c r="S602" s="128" t="n">
        <v>0</v>
      </c>
      <c r="T602" s="132" t="n">
        <v>103</v>
      </c>
      <c r="U602" s="128" t="n">
        <v>0</v>
      </c>
      <c r="V602" s="128" t="n">
        <v>2</v>
      </c>
      <c r="W602" s="90" t="n">
        <f aca="false">IFERROR(O602/V602,0)</f>
        <v>7873.5</v>
      </c>
      <c r="X602" s="91" t="n">
        <f aca="false">O602/L602</f>
        <v>1.11035114934424</v>
      </c>
      <c r="Y602" s="92" t="str">
        <f aca="false">IFERROR(VLOOKUP(E:E,'Item Data Support Sheet'!A:J,6,0),0)</f>
        <v>FO106</v>
      </c>
      <c r="Z602" s="93" t="n">
        <f aca="false">IFERROR(VLOOKUP(E:E,'Item Data Support Sheet'!A:O,4,0),0)</f>
        <v>0</v>
      </c>
      <c r="AA602" s="93" t="n">
        <f aca="false">IFERROR(((N602)*(Z602/1000))+P602,0)</f>
        <v>0</v>
      </c>
      <c r="AB602" s="94" t="str">
        <f aca="false">IFERROR((O602*(Z602/1000)/(AA602))," ")</f>
        <v> </v>
      </c>
      <c r="AC602" s="95" t="n">
        <f aca="false">IFERROR((T602)/((T602)+O602),0)</f>
        <v>0.00649842271293375</v>
      </c>
      <c r="AD602" s="96" t="n">
        <f aca="false">IFERROR(Q602/(Q602+N602),0)</f>
        <v>0</v>
      </c>
      <c r="AE602" s="91" t="n">
        <f aca="false">(N602-T602)/N602</f>
        <v>0.993501577287066</v>
      </c>
      <c r="AF602" s="97" t="n">
        <f aca="false">BR602</f>
        <v>0.666666666666667</v>
      </c>
      <c r="AG602" s="98" t="n">
        <f aca="false">K602-AF602</f>
        <v>7.33333333333333</v>
      </c>
      <c r="AH602" s="99" t="n">
        <f aca="false">IFERROR(AG602/K602," ")</f>
        <v>0.916666666666667</v>
      </c>
      <c r="AI602" s="100" t="n">
        <f aca="false">IFERROR(O602/K602,0)</f>
        <v>1968.375</v>
      </c>
      <c r="AJ602" s="101" t="n">
        <f aca="false">VLOOKUP(D602,'Standard Cycle time'!C:D,2,0)</f>
        <v>4</v>
      </c>
      <c r="AK602" s="101" t="n">
        <f aca="false">AG602*V602*3600/O602</f>
        <v>3.35301962278529</v>
      </c>
      <c r="AL602" s="102" t="n">
        <f aca="false">AJ602/AK602</f>
        <v>1.19295454545455</v>
      </c>
      <c r="AM602" s="99" t="n">
        <f aca="false">AE602*AL602*AH602</f>
        <v>1.08643537066246</v>
      </c>
      <c r="AN602" s="103" t="s">
        <v>1231</v>
      </c>
      <c r="AO602" s="112"/>
      <c r="AP602" s="105" t="n">
        <v>40</v>
      </c>
      <c r="AQ602" s="105" t="n">
        <v>0</v>
      </c>
      <c r="AR602" s="105" t="n">
        <v>0</v>
      </c>
      <c r="AS602" s="105" t="n">
        <v>0</v>
      </c>
      <c r="AT602" s="105" t="n">
        <v>0</v>
      </c>
      <c r="AU602" s="105" t="n">
        <v>0</v>
      </c>
      <c r="AV602" s="105" t="n">
        <v>0</v>
      </c>
      <c r="AW602" s="105" t="n">
        <v>0</v>
      </c>
      <c r="AX602" s="105" t="n">
        <v>0</v>
      </c>
      <c r="AY602" s="105" t="n">
        <v>0</v>
      </c>
      <c r="AZ602" s="105" t="n">
        <v>0</v>
      </c>
      <c r="BA602" s="105" t="n">
        <v>0</v>
      </c>
      <c r="BB602" s="105" t="n">
        <v>0</v>
      </c>
      <c r="BC602" s="105" t="n">
        <v>0</v>
      </c>
      <c r="BD602" s="105" t="n">
        <v>0</v>
      </c>
      <c r="BE602" s="105" t="n">
        <v>0</v>
      </c>
      <c r="BF602" s="105" t="n">
        <v>0</v>
      </c>
      <c r="BG602" s="105" t="n">
        <v>0</v>
      </c>
      <c r="BH602" s="105" t="n">
        <v>0</v>
      </c>
      <c r="BI602" s="105" t="n">
        <v>0</v>
      </c>
      <c r="BJ602" s="105" t="n">
        <v>0</v>
      </c>
      <c r="BK602" s="105" t="n">
        <v>0</v>
      </c>
      <c r="BL602" s="105" t="n">
        <v>0</v>
      </c>
      <c r="BM602" s="105" t="n">
        <v>0</v>
      </c>
      <c r="BN602" s="105" t="n">
        <v>0</v>
      </c>
      <c r="BO602" s="105" t="n">
        <v>0</v>
      </c>
      <c r="BP602" s="105" t="n">
        <v>0</v>
      </c>
      <c r="BQ602" s="105" t="n">
        <v>0</v>
      </c>
      <c r="BR602" s="106" t="n">
        <v>0.666666666666667</v>
      </c>
      <c r="BS602" s="106" t="n">
        <v>0.677777777777778</v>
      </c>
      <c r="BT602" s="107"/>
      <c r="BU602" s="107"/>
      <c r="BV602" s="107"/>
      <c r="BW602" s="107"/>
      <c r="BX602" s="107"/>
      <c r="BY602" s="107"/>
      <c r="BZ602" s="107"/>
      <c r="CA602" s="107"/>
      <c r="CB602" s="107"/>
      <c r="CC602" s="107"/>
      <c r="CD602" s="107"/>
      <c r="CE602" s="107"/>
      <c r="CF602" s="107"/>
      <c r="CG602" s="107"/>
      <c r="CH602" s="107"/>
      <c r="CI602" s="107"/>
      <c r="CJ602" s="107"/>
      <c r="CK602" s="107"/>
      <c r="CL602" s="107"/>
      <c r="CM602" s="107"/>
      <c r="CN602" s="107"/>
      <c r="CO602" s="107"/>
      <c r="CP602" s="107"/>
      <c r="CQ602" s="107"/>
      <c r="CR602" s="107"/>
      <c r="CS602" s="107"/>
      <c r="CT602" s="107"/>
      <c r="CU602" s="107"/>
      <c r="CV602" s="107"/>
    </row>
    <row r="603" customFormat="false" ht="14.9" hidden="false" customHeight="false" outlineLevel="0" collapsed="false">
      <c r="A603" s="74" t="n">
        <f aca="false">MONTH(B603)</f>
        <v>9</v>
      </c>
      <c r="B603" s="135" t="n">
        <v>44460</v>
      </c>
      <c r="C603" s="128" t="s">
        <v>63</v>
      </c>
      <c r="D603" s="77" t="str">
        <f aca="false">IFERROR(VLOOKUP(E:E,'Item Data Support Sheet'!A:O,7,0),"")</f>
        <v>NIPPLE WRAP PRINTED</v>
      </c>
      <c r="E603" s="80" t="s">
        <v>937</v>
      </c>
      <c r="F603" s="122"/>
      <c r="G603" s="137"/>
      <c r="H603" s="79" t="str">
        <f aca="false">IFERROR(VLOOKUP(E:E,'Item Data Support Sheet'!A:O,2,0),"")</f>
        <v>NIPPLE S TYPE Y SIZE WITH PRINTED WRAP</v>
      </c>
      <c r="I603" s="80" t="s">
        <v>936</v>
      </c>
      <c r="J603" s="80" t="s">
        <v>155</v>
      </c>
      <c r="K603" s="81" t="n">
        <v>2.5</v>
      </c>
      <c r="L603" s="124" t="n">
        <v>5100</v>
      </c>
      <c r="M603" s="83" t="n">
        <f aca="false">IFERROR(L603/K603,0)</f>
        <v>2040</v>
      </c>
      <c r="N603" s="84" t="n">
        <f aca="false">+O603+Q603+T603+U603</f>
        <v>5181</v>
      </c>
      <c r="O603" s="85" t="n">
        <v>5180</v>
      </c>
      <c r="P603" s="86" t="n">
        <v>0</v>
      </c>
      <c r="Q603" s="86" t="n">
        <v>0</v>
      </c>
      <c r="R603" s="132" t="n">
        <v>0</v>
      </c>
      <c r="S603" s="128" t="n">
        <v>0</v>
      </c>
      <c r="T603" s="132" t="n">
        <v>1</v>
      </c>
      <c r="U603" s="128" t="n">
        <v>0</v>
      </c>
      <c r="V603" s="128" t="n">
        <v>2</v>
      </c>
      <c r="W603" s="90" t="n">
        <f aca="false">IFERROR(O603/V603,0)</f>
        <v>2590</v>
      </c>
      <c r="X603" s="91" t="n">
        <f aca="false">O603/L603</f>
        <v>1.0156862745098</v>
      </c>
      <c r="Y603" s="92" t="str">
        <f aca="false">IFERROR(VLOOKUP(E:E,'Item Data Support Sheet'!A:J,6,0),0)</f>
        <v>FO022</v>
      </c>
      <c r="Z603" s="93" t="n">
        <f aca="false">IFERROR(VLOOKUP(E:E,'Item Data Support Sheet'!A:O,4,0),0)</f>
        <v>0</v>
      </c>
      <c r="AA603" s="93" t="n">
        <f aca="false">IFERROR(((N603)*(Z603/1000))+P603,0)</f>
        <v>0</v>
      </c>
      <c r="AB603" s="94" t="str">
        <f aca="false">IFERROR((O603*(Z603/1000)/(AA603))," ")</f>
        <v> </v>
      </c>
      <c r="AC603" s="95" t="n">
        <f aca="false">IFERROR((T603)/((T603)+O603),0)</f>
        <v>0.000193012931866435</v>
      </c>
      <c r="AD603" s="96" t="n">
        <f aca="false">IFERROR(Q603/(Q603+N603),0)</f>
        <v>0</v>
      </c>
      <c r="AE603" s="91" t="n">
        <f aca="false">(N603-T603)/N603</f>
        <v>0.999806987068133</v>
      </c>
      <c r="AF603" s="97" t="n">
        <f aca="false">BR603</f>
        <v>0.666666666666667</v>
      </c>
      <c r="AG603" s="98" t="n">
        <f aca="false">K603-AF603</f>
        <v>1.83333333333333</v>
      </c>
      <c r="AH603" s="99" t="n">
        <f aca="false">IFERROR(AG603/K603," ")</f>
        <v>0.733333333333333</v>
      </c>
      <c r="AI603" s="100" t="n">
        <f aca="false">IFERROR(O603/K603,0)</f>
        <v>2072</v>
      </c>
      <c r="AJ603" s="101" t="n">
        <f aca="false">VLOOKUP(D603,'Standard Cycle time'!C:D,2,0)</f>
        <v>2.5</v>
      </c>
      <c r="AK603" s="101" t="n">
        <f aca="false">AG603*V603*3600/O603</f>
        <v>2.54826254826255</v>
      </c>
      <c r="AL603" s="102" t="n">
        <f aca="false">AJ603/AK603</f>
        <v>0.981060606060606</v>
      </c>
      <c r="AM603" s="99" t="n">
        <f aca="false">AE603*AL603*AH603</f>
        <v>0.719305582362907</v>
      </c>
      <c r="AN603" s="103" t="s">
        <v>1232</v>
      </c>
      <c r="AO603" s="112"/>
      <c r="AP603" s="105" t="n">
        <v>40</v>
      </c>
      <c r="AQ603" s="105" t="n">
        <v>0</v>
      </c>
      <c r="AR603" s="105" t="n">
        <v>0</v>
      </c>
      <c r="AS603" s="105" t="n">
        <v>0</v>
      </c>
      <c r="AT603" s="105" t="n">
        <v>0</v>
      </c>
      <c r="AU603" s="105" t="n">
        <v>0</v>
      </c>
      <c r="AV603" s="105" t="n">
        <v>0</v>
      </c>
      <c r="AW603" s="105" t="n">
        <v>0</v>
      </c>
      <c r="AX603" s="105" t="n">
        <v>0</v>
      </c>
      <c r="AY603" s="105" t="n">
        <v>0</v>
      </c>
      <c r="AZ603" s="105" t="n">
        <v>0</v>
      </c>
      <c r="BA603" s="105" t="n">
        <v>0</v>
      </c>
      <c r="BB603" s="105" t="n">
        <v>0</v>
      </c>
      <c r="BC603" s="105" t="n">
        <v>0</v>
      </c>
      <c r="BD603" s="105" t="n">
        <v>0</v>
      </c>
      <c r="BE603" s="105" t="n">
        <v>0</v>
      </c>
      <c r="BF603" s="105" t="n">
        <v>0</v>
      </c>
      <c r="BG603" s="105" t="n">
        <v>0</v>
      </c>
      <c r="BH603" s="105" t="n">
        <v>0</v>
      </c>
      <c r="BI603" s="105" t="n">
        <v>0</v>
      </c>
      <c r="BJ603" s="105" t="n">
        <v>0</v>
      </c>
      <c r="BK603" s="105" t="n">
        <v>0</v>
      </c>
      <c r="BL603" s="105" t="n">
        <v>0</v>
      </c>
      <c r="BM603" s="105" t="n">
        <v>0</v>
      </c>
      <c r="BN603" s="105" t="n">
        <v>0</v>
      </c>
      <c r="BO603" s="105" t="n">
        <v>0</v>
      </c>
      <c r="BP603" s="105" t="n">
        <v>0</v>
      </c>
      <c r="BQ603" s="105" t="n">
        <v>0</v>
      </c>
      <c r="BR603" s="106" t="n">
        <v>0.666666666666667</v>
      </c>
      <c r="BS603" s="106" t="n">
        <v>0.677777777777778</v>
      </c>
      <c r="BT603" s="107"/>
      <c r="BU603" s="107"/>
      <c r="BV603" s="107"/>
      <c r="BW603" s="107"/>
      <c r="BX603" s="107"/>
      <c r="BY603" s="107"/>
      <c r="BZ603" s="107"/>
      <c r="CA603" s="107"/>
      <c r="CB603" s="107"/>
      <c r="CC603" s="107"/>
      <c r="CD603" s="107"/>
      <c r="CE603" s="107"/>
      <c r="CF603" s="107"/>
      <c r="CG603" s="107"/>
      <c r="CH603" s="107"/>
      <c r="CI603" s="107"/>
      <c r="CJ603" s="107"/>
      <c r="CK603" s="107"/>
      <c r="CL603" s="107"/>
      <c r="CM603" s="107"/>
      <c r="CN603" s="107"/>
      <c r="CO603" s="107"/>
      <c r="CP603" s="107"/>
      <c r="CQ603" s="107"/>
      <c r="CR603" s="107"/>
      <c r="CS603" s="107"/>
      <c r="CT603" s="107"/>
      <c r="CU603" s="107"/>
      <c r="CV603" s="107"/>
    </row>
    <row r="604" customFormat="false" ht="14.9" hidden="false" customHeight="false" outlineLevel="0" collapsed="false">
      <c r="A604" s="74" t="n">
        <f aca="false">MONTH(B604)</f>
        <v>9</v>
      </c>
      <c r="B604" s="135" t="n">
        <v>44460</v>
      </c>
      <c r="C604" s="128" t="s">
        <v>70</v>
      </c>
      <c r="D604" s="77" t="str">
        <f aca="false">IFERROR(VLOOKUP(E:E,'Item Data Support Sheet'!A:O,7,0),"")</f>
        <v>NIPPLE PUNCH</v>
      </c>
      <c r="E604" s="80" t="s">
        <v>666</v>
      </c>
      <c r="F604" s="122"/>
      <c r="G604" s="137"/>
      <c r="H604" s="79" t="str">
        <f aca="false">IFERROR(VLOOKUP(E:E,'Item Data Support Sheet'!A:O,2,0),"")</f>
        <v>NIPPLE S TYPE L SIZE PUNCHED</v>
      </c>
      <c r="I604" s="80" t="s">
        <v>1233</v>
      </c>
      <c r="J604" s="80" t="s">
        <v>155</v>
      </c>
      <c r="K604" s="81" t="n">
        <v>8</v>
      </c>
      <c r="L604" s="124" t="n">
        <v>7000</v>
      </c>
      <c r="M604" s="83" t="n">
        <f aca="false">IFERROR(L604/K604,0)</f>
        <v>875</v>
      </c>
      <c r="N604" s="84" t="n">
        <f aca="false">+O604+Q604+T604+U604</f>
        <v>7300</v>
      </c>
      <c r="O604" s="85" t="n">
        <v>7300</v>
      </c>
      <c r="P604" s="86" t="n">
        <v>0</v>
      </c>
      <c r="Q604" s="86" t="n">
        <v>0</v>
      </c>
      <c r="R604" s="132" t="n">
        <v>0</v>
      </c>
      <c r="S604" s="128" t="n">
        <v>0</v>
      </c>
      <c r="T604" s="132" t="n">
        <v>0</v>
      </c>
      <c r="U604" s="128" t="n">
        <v>0</v>
      </c>
      <c r="V604" s="128" t="n">
        <v>1</v>
      </c>
      <c r="W604" s="90" t="n">
        <f aca="false">IFERROR(O604/V604,0)</f>
        <v>7300</v>
      </c>
      <c r="X604" s="91" t="n">
        <f aca="false">O604/L604</f>
        <v>1.04285714285714</v>
      </c>
      <c r="Y604" s="92" t="str">
        <f aca="false">IFERROR(VLOOKUP(E:E,'Item Data Support Sheet'!A:J,6,0),0)</f>
        <v>FO017</v>
      </c>
      <c r="Z604" s="93" t="n">
        <f aca="false">IFERROR(VLOOKUP(E:E,'Item Data Support Sheet'!A:O,4,0),0)</f>
        <v>0</v>
      </c>
      <c r="AA604" s="93" t="n">
        <f aca="false">IFERROR(((N604)*(Z604/1000))+P604,0)</f>
        <v>0</v>
      </c>
      <c r="AB604" s="94" t="str">
        <f aca="false">IFERROR((O604*(Z604/1000)/(AA604))," ")</f>
        <v> </v>
      </c>
      <c r="AC604" s="95" t="n">
        <f aca="false">IFERROR((T604)/((T604)+O604),0)</f>
        <v>0</v>
      </c>
      <c r="AD604" s="96" t="n">
        <f aca="false">IFERROR(Q604/(Q604+N604),0)</f>
        <v>0</v>
      </c>
      <c r="AE604" s="91" t="n">
        <f aca="false">(N604-T604)/N604</f>
        <v>1</v>
      </c>
      <c r="AF604" s="97" t="n">
        <f aca="false">BR604</f>
        <v>0.666666666666667</v>
      </c>
      <c r="AG604" s="98" t="n">
        <f aca="false">K604-AF604</f>
        <v>7.33333333333333</v>
      </c>
      <c r="AH604" s="99" t="n">
        <f aca="false">IFERROR(AG604/K604," ")</f>
        <v>0.916666666666667</v>
      </c>
      <c r="AI604" s="100" t="n">
        <f aca="false">IFERROR(O604/K604,0)</f>
        <v>912.5</v>
      </c>
      <c r="AJ604" s="101" t="n">
        <f aca="false">VLOOKUP(D604,'Standard Cycle time'!C:D,2,0)</f>
        <v>3.5</v>
      </c>
      <c r="AK604" s="101" t="n">
        <f aca="false">AG604*V604*3600/O604</f>
        <v>3.61643835616438</v>
      </c>
      <c r="AL604" s="102" t="n">
        <f aca="false">AJ604/AK604</f>
        <v>0.96780303030303</v>
      </c>
      <c r="AM604" s="99" t="n">
        <f aca="false">AE604*AL604*AH604</f>
        <v>0.887152777777778</v>
      </c>
      <c r="AN604" s="103" t="s">
        <v>1234</v>
      </c>
      <c r="AO604" s="112"/>
      <c r="AP604" s="105" t="n">
        <v>40</v>
      </c>
      <c r="AQ604" s="105" t="n">
        <v>0</v>
      </c>
      <c r="AR604" s="105" t="n">
        <v>0</v>
      </c>
      <c r="AS604" s="105" t="n">
        <v>0</v>
      </c>
      <c r="AT604" s="105" t="n">
        <v>0</v>
      </c>
      <c r="AU604" s="105" t="n">
        <v>0</v>
      </c>
      <c r="AV604" s="105" t="n">
        <v>0</v>
      </c>
      <c r="AW604" s="105" t="n">
        <v>0</v>
      </c>
      <c r="AX604" s="105" t="n">
        <v>0</v>
      </c>
      <c r="AY604" s="105" t="n">
        <v>0</v>
      </c>
      <c r="AZ604" s="105" t="n">
        <v>0</v>
      </c>
      <c r="BA604" s="105" t="n">
        <v>0</v>
      </c>
      <c r="BB604" s="105" t="n">
        <v>0</v>
      </c>
      <c r="BC604" s="105" t="n">
        <v>0</v>
      </c>
      <c r="BD604" s="105" t="n">
        <v>0</v>
      </c>
      <c r="BE604" s="105" t="n">
        <v>0</v>
      </c>
      <c r="BF604" s="105" t="n">
        <v>0</v>
      </c>
      <c r="BG604" s="105" t="n">
        <v>0</v>
      </c>
      <c r="BH604" s="105" t="n">
        <v>0</v>
      </c>
      <c r="BI604" s="105" t="n">
        <v>0</v>
      </c>
      <c r="BJ604" s="105" t="n">
        <v>0</v>
      </c>
      <c r="BK604" s="105" t="n">
        <v>0</v>
      </c>
      <c r="BL604" s="105" t="n">
        <v>0</v>
      </c>
      <c r="BM604" s="105" t="n">
        <v>0</v>
      </c>
      <c r="BN604" s="105" t="n">
        <v>0</v>
      </c>
      <c r="BO604" s="105" t="n">
        <v>0</v>
      </c>
      <c r="BP604" s="105" t="n">
        <v>0</v>
      </c>
      <c r="BQ604" s="105" t="n">
        <v>0</v>
      </c>
      <c r="BR604" s="106" t="n">
        <v>0.666666666666667</v>
      </c>
      <c r="BS604" s="106" t="n">
        <v>0.677777777777778</v>
      </c>
      <c r="BT604" s="107"/>
      <c r="BU604" s="107"/>
      <c r="BV604" s="107"/>
      <c r="BW604" s="107"/>
      <c r="BX604" s="107"/>
      <c r="BY604" s="107"/>
      <c r="BZ604" s="107"/>
      <c r="CA604" s="107"/>
      <c r="CB604" s="107"/>
      <c r="CC604" s="107"/>
      <c r="CD604" s="107"/>
      <c r="CE604" s="107"/>
      <c r="CF604" s="107"/>
      <c r="CG604" s="107"/>
      <c r="CH604" s="107"/>
      <c r="CI604" s="107"/>
      <c r="CJ604" s="107"/>
      <c r="CK604" s="107"/>
      <c r="CL604" s="107"/>
      <c r="CM604" s="107"/>
      <c r="CN604" s="107"/>
      <c r="CO604" s="107"/>
      <c r="CP604" s="107"/>
      <c r="CQ604" s="107"/>
      <c r="CR604" s="107"/>
      <c r="CS604" s="107"/>
      <c r="CT604" s="107"/>
      <c r="CU604" s="107"/>
      <c r="CV604" s="107"/>
    </row>
    <row r="605" customFormat="false" ht="14.9" hidden="false" customHeight="false" outlineLevel="0" collapsed="false">
      <c r="A605" s="74" t="n">
        <f aca="false">MONTH(B605)</f>
        <v>9</v>
      </c>
      <c r="B605" s="135" t="n">
        <v>44460</v>
      </c>
      <c r="C605" s="128" t="s">
        <v>70</v>
      </c>
      <c r="D605" s="77" t="str">
        <f aca="false">IFERROR(VLOOKUP(E:E,'Item Data Support Sheet'!A:O,7,0),"")</f>
        <v>NIPPLE LASER MARKING</v>
      </c>
      <c r="E605" s="80" t="s">
        <v>681</v>
      </c>
      <c r="F605" s="122"/>
      <c r="G605" s="137"/>
      <c r="H605" s="79" t="str">
        <f aca="false">IFERROR(VLOOKUP(E:E,'Item Data Support Sheet'!A:O,2,0),"")</f>
        <v>NIPPLE S TYPE L SIZE PUNCHED LASER MARKED</v>
      </c>
      <c r="I605" s="80" t="s">
        <v>1235</v>
      </c>
      <c r="J605" s="80" t="s">
        <v>155</v>
      </c>
      <c r="K605" s="81" t="n">
        <v>8</v>
      </c>
      <c r="L605" s="124" t="n">
        <v>7000</v>
      </c>
      <c r="M605" s="83" t="n">
        <f aca="false">IFERROR(L605/K605,0)</f>
        <v>875</v>
      </c>
      <c r="N605" s="84" t="n">
        <f aca="false">+O605+Q605+T605+U605</f>
        <v>7000</v>
      </c>
      <c r="O605" s="85" t="n">
        <v>7000</v>
      </c>
      <c r="P605" s="86" t="n">
        <v>0</v>
      </c>
      <c r="Q605" s="86" t="n">
        <v>0</v>
      </c>
      <c r="R605" s="132" t="n">
        <v>0</v>
      </c>
      <c r="S605" s="128" t="n">
        <v>0</v>
      </c>
      <c r="T605" s="132" t="n">
        <v>0</v>
      </c>
      <c r="U605" s="128" t="n">
        <v>0</v>
      </c>
      <c r="V605" s="128" t="n">
        <v>1</v>
      </c>
      <c r="W605" s="90" t="n">
        <f aca="false">IFERROR(O605/V605,0)</f>
        <v>7000</v>
      </c>
      <c r="X605" s="91" t="n">
        <f aca="false">O605/L605</f>
        <v>1</v>
      </c>
      <c r="Y605" s="92" t="str">
        <f aca="false">IFERROR(VLOOKUP(E:E,'Item Data Support Sheet'!A:J,6,0),0)</f>
        <v>FO021</v>
      </c>
      <c r="Z605" s="93" t="n">
        <f aca="false">IFERROR(VLOOKUP(E:E,'Item Data Support Sheet'!A:O,4,0),0)</f>
        <v>0</v>
      </c>
      <c r="AA605" s="93" t="n">
        <f aca="false">IFERROR(((N605)*(Z605/1000))+P605,0)</f>
        <v>0</v>
      </c>
      <c r="AB605" s="94" t="str">
        <f aca="false">IFERROR((O605*(Z605/1000)/(AA605))," ")</f>
        <v> </v>
      </c>
      <c r="AC605" s="95" t="n">
        <f aca="false">IFERROR((T605)/((T605)+O605),0)</f>
        <v>0</v>
      </c>
      <c r="AD605" s="96" t="n">
        <f aca="false">IFERROR(Q605/(Q605+N605),0)</f>
        <v>0</v>
      </c>
      <c r="AE605" s="91" t="n">
        <f aca="false">(N605-T605)/N605</f>
        <v>1</v>
      </c>
      <c r="AF605" s="97" t="n">
        <f aca="false">BR605</f>
        <v>0.666666666666667</v>
      </c>
      <c r="AG605" s="98" t="n">
        <f aca="false">K605-AF605</f>
        <v>7.33333333333333</v>
      </c>
      <c r="AH605" s="99" t="n">
        <f aca="false">IFERROR(AG605/K605," ")</f>
        <v>0.916666666666667</v>
      </c>
      <c r="AI605" s="100" t="n">
        <f aca="false">IFERROR(O605/K605,0)</f>
        <v>875</v>
      </c>
      <c r="AJ605" s="101" t="n">
        <f aca="false">VLOOKUP(D605,'Standard Cycle time'!C:D,2,0)</f>
        <v>3.5</v>
      </c>
      <c r="AK605" s="101" t="n">
        <f aca="false">AG605*V605*3600/O605</f>
        <v>3.77142857142857</v>
      </c>
      <c r="AL605" s="102" t="n">
        <f aca="false">AJ605/AK605</f>
        <v>0.928030303030303</v>
      </c>
      <c r="AM605" s="99" t="n">
        <f aca="false">AE605*AL605*AH605</f>
        <v>0.850694444444444</v>
      </c>
      <c r="AN605" s="103" t="s">
        <v>1236</v>
      </c>
      <c r="AO605" s="112"/>
      <c r="AP605" s="105" t="n">
        <v>40</v>
      </c>
      <c r="AQ605" s="105" t="n">
        <v>0</v>
      </c>
      <c r="AR605" s="105" t="n">
        <v>0</v>
      </c>
      <c r="AS605" s="105" t="n">
        <v>0</v>
      </c>
      <c r="AT605" s="105" t="n">
        <v>0</v>
      </c>
      <c r="AU605" s="105" t="n">
        <v>0</v>
      </c>
      <c r="AV605" s="105" t="n">
        <v>0</v>
      </c>
      <c r="AW605" s="105" t="n">
        <v>0</v>
      </c>
      <c r="AX605" s="105" t="n">
        <v>0</v>
      </c>
      <c r="AY605" s="105" t="n">
        <v>0</v>
      </c>
      <c r="AZ605" s="105" t="n">
        <v>0</v>
      </c>
      <c r="BA605" s="105" t="n">
        <v>0</v>
      </c>
      <c r="BB605" s="105" t="n">
        <v>0</v>
      </c>
      <c r="BC605" s="105" t="n">
        <v>0</v>
      </c>
      <c r="BD605" s="105" t="n">
        <v>0</v>
      </c>
      <c r="BE605" s="105" t="n">
        <v>0</v>
      </c>
      <c r="BF605" s="105" t="n">
        <v>0</v>
      </c>
      <c r="BG605" s="105" t="n">
        <v>0</v>
      </c>
      <c r="BH605" s="105" t="n">
        <v>0</v>
      </c>
      <c r="BI605" s="105" t="n">
        <v>0</v>
      </c>
      <c r="BJ605" s="105" t="n">
        <v>0</v>
      </c>
      <c r="BK605" s="105" t="n">
        <v>0</v>
      </c>
      <c r="BL605" s="105" t="n">
        <v>0</v>
      </c>
      <c r="BM605" s="105" t="n">
        <v>0</v>
      </c>
      <c r="BN605" s="105" t="n">
        <v>0</v>
      </c>
      <c r="BO605" s="105" t="n">
        <v>0</v>
      </c>
      <c r="BP605" s="105" t="n">
        <v>0</v>
      </c>
      <c r="BQ605" s="105" t="n">
        <v>0</v>
      </c>
      <c r="BR605" s="106" t="n">
        <v>0.666666666666667</v>
      </c>
      <c r="BS605" s="106" t="n">
        <v>0.677777777777778</v>
      </c>
      <c r="BT605" s="107"/>
      <c r="BU605" s="107"/>
      <c r="BV605" s="107"/>
      <c r="BW605" s="107"/>
      <c r="BX605" s="107"/>
      <c r="BY605" s="107"/>
      <c r="BZ605" s="107"/>
      <c r="CA605" s="107"/>
      <c r="CB605" s="107"/>
      <c r="CC605" s="107"/>
      <c r="CD605" s="107"/>
      <c r="CE605" s="107"/>
      <c r="CF605" s="107"/>
      <c r="CG605" s="107"/>
      <c r="CH605" s="107"/>
      <c r="CI605" s="107"/>
      <c r="CJ605" s="107"/>
      <c r="CK605" s="107"/>
      <c r="CL605" s="107"/>
      <c r="CM605" s="107"/>
      <c r="CN605" s="107"/>
      <c r="CO605" s="107"/>
      <c r="CP605" s="107"/>
      <c r="CQ605" s="107"/>
      <c r="CR605" s="107"/>
      <c r="CS605" s="107"/>
      <c r="CT605" s="107"/>
      <c r="CU605" s="107"/>
      <c r="CV605" s="107"/>
    </row>
    <row r="606" customFormat="false" ht="14.9" hidden="false" customHeight="false" outlineLevel="0" collapsed="false">
      <c r="A606" s="74" t="n">
        <f aca="false">MONTH(B606)</f>
        <v>9</v>
      </c>
      <c r="B606" s="135" t="n">
        <v>44460</v>
      </c>
      <c r="C606" s="128" t="s">
        <v>70</v>
      </c>
      <c r="D606" s="77" t="str">
        <f aca="false">IFERROR(VLOOKUP(E:E,'Item Data Support Sheet'!A:O,7,0),"")</f>
        <v>NIPPLE MOLDED</v>
      </c>
      <c r="E606" s="80" t="s">
        <v>809</v>
      </c>
      <c r="F606" s="122" t="s">
        <v>137</v>
      </c>
      <c r="G606" s="137" t="s">
        <v>138</v>
      </c>
      <c r="H606" s="79" t="str">
        <f aca="false">IFERROR(VLOOKUP(E:E,'Item Data Support Sheet'!A:O,2,0),"")</f>
        <v>NIPPLE S TYPE Y SIZE INJECTION</v>
      </c>
      <c r="I606" s="80" t="s">
        <v>1237</v>
      </c>
      <c r="J606" s="80" t="s">
        <v>155</v>
      </c>
      <c r="K606" s="81" t="n">
        <v>8</v>
      </c>
      <c r="L606" s="124" t="n">
        <v>4815</v>
      </c>
      <c r="M606" s="83" t="n">
        <f aca="false">IFERROR(L606/K606,0)</f>
        <v>601.875</v>
      </c>
      <c r="N606" s="84" t="n">
        <f aca="false">+O606+Q606+T606+U606</f>
        <v>5482</v>
      </c>
      <c r="O606" s="85" t="n">
        <v>5400</v>
      </c>
      <c r="P606" s="86" t="n">
        <v>0</v>
      </c>
      <c r="Q606" s="86" t="n">
        <v>30</v>
      </c>
      <c r="R606" s="132" t="n">
        <v>0</v>
      </c>
      <c r="S606" s="128" t="n">
        <v>0</v>
      </c>
      <c r="T606" s="132" t="n">
        <v>52</v>
      </c>
      <c r="U606" s="128" t="n">
        <v>0</v>
      </c>
      <c r="V606" s="128" t="n">
        <v>1</v>
      </c>
      <c r="W606" s="90" t="n">
        <f aca="false">IFERROR(O606/V606,0)</f>
        <v>5400</v>
      </c>
      <c r="X606" s="91" t="n">
        <f aca="false">O606/L606</f>
        <v>1.1214953271028</v>
      </c>
      <c r="Y606" s="92" t="str">
        <f aca="false">IFERROR(VLOOKUP(E:E,'Item Data Support Sheet'!A:J,6,0),0)</f>
        <v>Silicon</v>
      </c>
      <c r="Z606" s="93" t="n">
        <f aca="false">IFERROR(VLOOKUP(E:E,'Item Data Support Sheet'!A:O,4,0),0)</f>
        <v>6.8</v>
      </c>
      <c r="AA606" s="93" t="n">
        <f aca="false">IFERROR(((N606)*(Z606/1000))+P606,0)</f>
        <v>37.2776</v>
      </c>
      <c r="AB606" s="94" t="n">
        <f aca="false">IFERROR((O606*(Z606/1000)/(AA606))," ")</f>
        <v>0.985041955490697</v>
      </c>
      <c r="AC606" s="95" t="n">
        <f aca="false">IFERROR((T606)/((T606)+O606),0)</f>
        <v>0.00953778429933969</v>
      </c>
      <c r="AD606" s="96" t="n">
        <f aca="false">IFERROR(Q606/(Q606+N606),0)</f>
        <v>0.00544267053701016</v>
      </c>
      <c r="AE606" s="91" t="n">
        <f aca="false">(N606-T606)/N606</f>
        <v>0.990514410798978</v>
      </c>
      <c r="AF606" s="97" t="n">
        <f aca="false">BR606</f>
        <v>0</v>
      </c>
      <c r="AG606" s="98" t="n">
        <f aca="false">K606-AF606</f>
        <v>8</v>
      </c>
      <c r="AH606" s="99" t="n">
        <f aca="false">IFERROR(AG606/K606," ")</f>
        <v>1</v>
      </c>
      <c r="AI606" s="100" t="n">
        <f aca="false">IFERROR(O606/K606,0)</f>
        <v>675</v>
      </c>
      <c r="AJ606" s="101" t="n">
        <f aca="false">VLOOKUP(D606,'Standard Cycle time'!C:D,2,0)</f>
        <v>5.25</v>
      </c>
      <c r="AK606" s="101" t="n">
        <f aca="false">AG606*V606*3600/O606</f>
        <v>5.33333333333333</v>
      </c>
      <c r="AL606" s="102" t="n">
        <f aca="false">AJ606/AK606</f>
        <v>0.984375</v>
      </c>
      <c r="AM606" s="99" t="n">
        <f aca="false">AE606*AL606*AH606</f>
        <v>0.975037623130244</v>
      </c>
      <c r="AN606" s="103" t="n">
        <v>3424</v>
      </c>
      <c r="AO606" s="112"/>
      <c r="AP606" s="105" t="n">
        <v>0</v>
      </c>
      <c r="AQ606" s="105" t="n">
        <v>0</v>
      </c>
      <c r="AR606" s="105" t="n">
        <v>0</v>
      </c>
      <c r="AS606" s="105" t="n">
        <v>0</v>
      </c>
      <c r="AT606" s="105" t="n">
        <v>0</v>
      </c>
      <c r="AU606" s="105" t="n">
        <v>0</v>
      </c>
      <c r="AV606" s="105" t="n">
        <v>0</v>
      </c>
      <c r="AW606" s="105" t="n">
        <v>0</v>
      </c>
      <c r="AX606" s="105" t="n">
        <v>0</v>
      </c>
      <c r="AY606" s="105" t="n">
        <v>0</v>
      </c>
      <c r="AZ606" s="105" t="n">
        <v>0</v>
      </c>
      <c r="BA606" s="105" t="n">
        <v>0</v>
      </c>
      <c r="BB606" s="105" t="n">
        <v>0</v>
      </c>
      <c r="BC606" s="105" t="n">
        <v>0</v>
      </c>
      <c r="BD606" s="105" t="n">
        <v>0</v>
      </c>
      <c r="BE606" s="105" t="n">
        <v>0</v>
      </c>
      <c r="BF606" s="105" t="n">
        <v>0</v>
      </c>
      <c r="BG606" s="105" t="n">
        <v>0</v>
      </c>
      <c r="BH606" s="105" t="n">
        <v>0</v>
      </c>
      <c r="BI606" s="105" t="n">
        <v>0</v>
      </c>
      <c r="BJ606" s="105" t="n">
        <v>0</v>
      </c>
      <c r="BK606" s="105" t="n">
        <v>0</v>
      </c>
      <c r="BL606" s="105" t="n">
        <v>0</v>
      </c>
      <c r="BM606" s="105" t="n">
        <v>0</v>
      </c>
      <c r="BN606" s="105" t="n">
        <v>0</v>
      </c>
      <c r="BO606" s="105" t="n">
        <v>0</v>
      </c>
      <c r="BP606" s="105" t="n">
        <v>0</v>
      </c>
      <c r="BQ606" s="105" t="n">
        <v>0</v>
      </c>
      <c r="BR606" s="106" t="n">
        <v>0</v>
      </c>
      <c r="BS606" s="106" t="n">
        <v>0</v>
      </c>
      <c r="BT606" s="107"/>
      <c r="BU606" s="107"/>
      <c r="BV606" s="107"/>
      <c r="BW606" s="107"/>
      <c r="BX606" s="107"/>
      <c r="BY606" s="107"/>
      <c r="BZ606" s="107"/>
      <c r="CA606" s="107"/>
      <c r="CB606" s="107"/>
      <c r="CC606" s="107"/>
      <c r="CD606" s="107"/>
      <c r="CE606" s="107"/>
      <c r="CF606" s="107"/>
      <c r="CG606" s="107"/>
      <c r="CH606" s="107"/>
      <c r="CI606" s="107"/>
      <c r="CJ606" s="107"/>
      <c r="CK606" s="107"/>
      <c r="CL606" s="107"/>
      <c r="CM606" s="107"/>
      <c r="CN606" s="107"/>
      <c r="CO606" s="107"/>
      <c r="CP606" s="107"/>
      <c r="CQ606" s="107"/>
      <c r="CR606" s="107"/>
      <c r="CS606" s="107"/>
      <c r="CT606" s="107"/>
      <c r="CU606" s="107"/>
      <c r="CV606" s="107"/>
    </row>
    <row r="607" customFormat="false" ht="14.9" hidden="false" customHeight="false" outlineLevel="0" collapsed="false">
      <c r="A607" s="74" t="n">
        <f aca="false">MONTH(B607)</f>
        <v>9</v>
      </c>
      <c r="B607" s="135" t="n">
        <v>44460</v>
      </c>
      <c r="C607" s="128" t="s">
        <v>70</v>
      </c>
      <c r="D607" s="77" t="str">
        <f aca="false">IFERROR(VLOOKUP(E:E,'Item Data Support Sheet'!A:O,7,0),"")</f>
        <v>CAP MOLDED</v>
      </c>
      <c r="E607" s="80" t="s">
        <v>261</v>
      </c>
      <c r="F607" s="122"/>
      <c r="G607" s="137" t="s">
        <v>1215</v>
      </c>
      <c r="H607" s="79" t="str">
        <f aca="false">IFERROR(VLOOKUP(E:E,'Item Data Support Sheet'!A:O,2,0),"")</f>
        <v>CAP S TYPE MOLDED PINK</v>
      </c>
      <c r="I607" s="80" t="s">
        <v>1238</v>
      </c>
      <c r="J607" s="80" t="s">
        <v>155</v>
      </c>
      <c r="K607" s="81" t="n">
        <v>4</v>
      </c>
      <c r="L607" s="124" t="n">
        <v>2065</v>
      </c>
      <c r="M607" s="83" t="n">
        <f aca="false">IFERROR(L607/K607,0)</f>
        <v>516.25</v>
      </c>
      <c r="N607" s="84" t="n">
        <f aca="false">+O607+Q607+T607+U607</f>
        <v>2290</v>
      </c>
      <c r="O607" s="85" t="n">
        <v>2290</v>
      </c>
      <c r="P607" s="86" t="n">
        <v>0.5</v>
      </c>
      <c r="Q607" s="86" t="n">
        <v>0</v>
      </c>
      <c r="R607" s="132" t="n">
        <v>0</v>
      </c>
      <c r="S607" s="128" t="n">
        <v>0</v>
      </c>
      <c r="T607" s="132" t="n">
        <v>0</v>
      </c>
      <c r="U607" s="128" t="n">
        <v>0</v>
      </c>
      <c r="V607" s="128" t="n">
        <v>1</v>
      </c>
      <c r="W607" s="90" t="n">
        <f aca="false">IFERROR(O607/V607,0)</f>
        <v>2290</v>
      </c>
      <c r="X607" s="91" t="n">
        <f aca="false">O607/L607</f>
        <v>1.1089588377724</v>
      </c>
      <c r="Y607" s="92" t="str">
        <f aca="false">IFERROR(VLOOKUP(E:E,'Item Data Support Sheet'!A:J,6,0),0)</f>
        <v>RM000123</v>
      </c>
      <c r="Z607" s="93" t="n">
        <f aca="false">IFERROR(VLOOKUP(E:E,'Item Data Support Sheet'!A:O,4,0),0)</f>
        <v>7.3</v>
      </c>
      <c r="AA607" s="93" t="n">
        <f aca="false">IFERROR(((N607)*(Z607/1000))+P607,0)</f>
        <v>17.217</v>
      </c>
      <c r="AB607" s="94" t="n">
        <f aca="false">IFERROR((O607*(Z607/1000)/(AA607))," ")</f>
        <v>0.970958935935413</v>
      </c>
      <c r="AC607" s="95" t="n">
        <f aca="false">IFERROR((T607)/((T607)+O607),0)</f>
        <v>0</v>
      </c>
      <c r="AD607" s="96" t="n">
        <f aca="false">IFERROR(Q607/(Q607+N607),0)</f>
        <v>0</v>
      </c>
      <c r="AE607" s="91" t="n">
        <f aca="false">(N607-T607)/N607</f>
        <v>1</v>
      </c>
      <c r="AF607" s="97" t="n">
        <f aca="false">BR607</f>
        <v>0</v>
      </c>
      <c r="AG607" s="98" t="n">
        <f aca="false">K607-AF607</f>
        <v>4</v>
      </c>
      <c r="AH607" s="99" t="n">
        <f aca="false">IFERROR(AG607/K607," ")</f>
        <v>1</v>
      </c>
      <c r="AI607" s="100" t="n">
        <f aca="false">IFERROR(O607/K607,0)</f>
        <v>572.5</v>
      </c>
      <c r="AJ607" s="101" t="n">
        <f aca="false">VLOOKUP(D607,'Standard Cycle time'!C:D,2,0)</f>
        <v>6</v>
      </c>
      <c r="AK607" s="101" t="n">
        <f aca="false">AG607*V607*3600/O607</f>
        <v>6.2882096069869</v>
      </c>
      <c r="AL607" s="102" t="n">
        <f aca="false">AJ607/AK607</f>
        <v>0.954166666666667</v>
      </c>
      <c r="AM607" s="99" t="n">
        <f aca="false">AE607*AL607*AH607</f>
        <v>0.954166666666667</v>
      </c>
      <c r="AN607" s="103" t="n">
        <v>3427</v>
      </c>
      <c r="AO607" s="112"/>
      <c r="AP607" s="105" t="n">
        <v>0</v>
      </c>
      <c r="AQ607" s="105" t="n">
        <v>0</v>
      </c>
      <c r="AR607" s="105" t="n">
        <v>0</v>
      </c>
      <c r="AS607" s="105" t="n">
        <v>0</v>
      </c>
      <c r="AT607" s="105" t="n">
        <v>0</v>
      </c>
      <c r="AU607" s="105" t="n">
        <v>0</v>
      </c>
      <c r="AV607" s="105" t="n">
        <v>0</v>
      </c>
      <c r="AW607" s="105" t="n">
        <v>0</v>
      </c>
      <c r="AX607" s="105" t="n">
        <v>0</v>
      </c>
      <c r="AY607" s="105" t="n">
        <v>0</v>
      </c>
      <c r="AZ607" s="105" t="n">
        <v>0</v>
      </c>
      <c r="BA607" s="105" t="n">
        <v>0</v>
      </c>
      <c r="BB607" s="105" t="n">
        <v>0</v>
      </c>
      <c r="BC607" s="105" t="n">
        <v>0</v>
      </c>
      <c r="BD607" s="105" t="n">
        <v>0</v>
      </c>
      <c r="BE607" s="105" t="n">
        <v>0</v>
      </c>
      <c r="BF607" s="105" t="n">
        <v>0</v>
      </c>
      <c r="BG607" s="105" t="n">
        <v>0</v>
      </c>
      <c r="BH607" s="105" t="n">
        <v>0</v>
      </c>
      <c r="BI607" s="105" t="n">
        <v>0</v>
      </c>
      <c r="BJ607" s="105" t="n">
        <v>0</v>
      </c>
      <c r="BK607" s="105" t="n">
        <v>0</v>
      </c>
      <c r="BL607" s="105" t="n">
        <v>0</v>
      </c>
      <c r="BM607" s="105" t="n">
        <v>0</v>
      </c>
      <c r="BN607" s="105" t="n">
        <v>0</v>
      </c>
      <c r="BO607" s="105" t="n">
        <v>0</v>
      </c>
      <c r="BP607" s="105" t="n">
        <v>0</v>
      </c>
      <c r="BQ607" s="105" t="n">
        <v>0</v>
      </c>
      <c r="BR607" s="106" t="n">
        <v>0</v>
      </c>
      <c r="BS607" s="106" t="n">
        <v>0</v>
      </c>
      <c r="BT607" s="107"/>
      <c r="BU607" s="107"/>
      <c r="BV607" s="107"/>
      <c r="BW607" s="107"/>
      <c r="BX607" s="107"/>
      <c r="BY607" s="107"/>
      <c r="BZ607" s="107"/>
      <c r="CA607" s="107"/>
      <c r="CB607" s="107"/>
      <c r="CC607" s="107"/>
      <c r="CD607" s="107"/>
      <c r="CE607" s="107"/>
      <c r="CF607" s="107"/>
      <c r="CG607" s="107"/>
      <c r="CH607" s="107"/>
      <c r="CI607" s="107"/>
      <c r="CJ607" s="107"/>
      <c r="CK607" s="107"/>
      <c r="CL607" s="107"/>
      <c r="CM607" s="107"/>
      <c r="CN607" s="107"/>
      <c r="CO607" s="107"/>
      <c r="CP607" s="107"/>
      <c r="CQ607" s="107"/>
      <c r="CR607" s="107"/>
      <c r="CS607" s="107"/>
      <c r="CT607" s="107"/>
      <c r="CU607" s="107"/>
      <c r="CV607" s="107"/>
    </row>
    <row r="608" customFormat="false" ht="14.9" hidden="false" customHeight="false" outlineLevel="0" collapsed="false">
      <c r="A608" s="74" t="n">
        <f aca="false">MONTH(B608)</f>
        <v>9</v>
      </c>
      <c r="B608" s="135" t="n">
        <v>44460</v>
      </c>
      <c r="C608" s="128" t="s">
        <v>70</v>
      </c>
      <c r="D608" s="77" t="str">
        <f aca="false">IFERROR(VLOOKUP(E:E,'Item Data Support Sheet'!A:O,7,0),"")</f>
        <v>CAP MOLDED</v>
      </c>
      <c r="E608" s="80" t="s">
        <v>261</v>
      </c>
      <c r="F608" s="122"/>
      <c r="G608" s="137" t="s">
        <v>1211</v>
      </c>
      <c r="H608" s="79" t="str">
        <f aca="false">IFERROR(VLOOKUP(E:E,'Item Data Support Sheet'!A:O,2,0),"")</f>
        <v>CAP S TYPE MOLDED PINK</v>
      </c>
      <c r="I608" s="80" t="s">
        <v>1239</v>
      </c>
      <c r="J608" s="80" t="s">
        <v>155</v>
      </c>
      <c r="K608" s="81" t="n">
        <v>4</v>
      </c>
      <c r="L608" s="124" t="n">
        <v>2000</v>
      </c>
      <c r="M608" s="83" t="n">
        <f aca="false">IFERROR(L608/K608,0)</f>
        <v>500</v>
      </c>
      <c r="N608" s="84" t="n">
        <f aca="false">+O608+Q608+T608+U608</f>
        <v>1420</v>
      </c>
      <c r="O608" s="85" t="n">
        <v>1420</v>
      </c>
      <c r="P608" s="86" t="n">
        <v>0</v>
      </c>
      <c r="Q608" s="86" t="n">
        <v>0</v>
      </c>
      <c r="R608" s="132" t="n">
        <v>0</v>
      </c>
      <c r="S608" s="128" t="n">
        <v>0</v>
      </c>
      <c r="T608" s="132" t="n">
        <v>0</v>
      </c>
      <c r="U608" s="128" t="n">
        <v>0</v>
      </c>
      <c r="V608" s="128" t="n">
        <v>1</v>
      </c>
      <c r="W608" s="90" t="n">
        <f aca="false">IFERROR(O608/V608,0)</f>
        <v>1420</v>
      </c>
      <c r="X608" s="91" t="n">
        <f aca="false">O608/L608</f>
        <v>0.71</v>
      </c>
      <c r="Y608" s="92" t="str">
        <f aca="false">IFERROR(VLOOKUP(E:E,'Item Data Support Sheet'!A:J,6,0),0)</f>
        <v>RM000123</v>
      </c>
      <c r="Z608" s="93" t="n">
        <f aca="false">IFERROR(VLOOKUP(E:E,'Item Data Support Sheet'!A:O,4,0),0)</f>
        <v>7.3</v>
      </c>
      <c r="AA608" s="93" t="n">
        <f aca="false">IFERROR(((N608)*(Z608/1000))+P608,0)</f>
        <v>10.366</v>
      </c>
      <c r="AB608" s="94" t="n">
        <f aca="false">IFERROR((O608*(Z608/1000)/(AA608))," ")</f>
        <v>1</v>
      </c>
      <c r="AC608" s="95" t="n">
        <f aca="false">IFERROR((T608)/((T608)+O608),0)</f>
        <v>0</v>
      </c>
      <c r="AD608" s="96" t="n">
        <f aca="false">IFERROR(Q608/(Q608+N608),0)</f>
        <v>0</v>
      </c>
      <c r="AE608" s="91" t="n">
        <f aca="false">(N608-T608)/N608</f>
        <v>1</v>
      </c>
      <c r="AF608" s="97" t="n">
        <f aca="false">BR608</f>
        <v>1.5</v>
      </c>
      <c r="AG608" s="98" t="n">
        <f aca="false">K608-AF608</f>
        <v>2.5</v>
      </c>
      <c r="AH608" s="99" t="n">
        <f aca="false">IFERROR(AG608/K608," ")</f>
        <v>0.625</v>
      </c>
      <c r="AI608" s="100" t="n">
        <f aca="false">IFERROR(O608/K608,0)</f>
        <v>355</v>
      </c>
      <c r="AJ608" s="101" t="n">
        <f aca="false">VLOOKUP(D608,'Standard Cycle time'!C:D,2,0)</f>
        <v>6</v>
      </c>
      <c r="AK608" s="101" t="n">
        <f aca="false">AG608*V608*3600/O608</f>
        <v>6.33802816901409</v>
      </c>
      <c r="AL608" s="102" t="n">
        <f aca="false">AJ608/AK608</f>
        <v>0.946666666666667</v>
      </c>
      <c r="AM608" s="99" t="n">
        <f aca="false">AE608*AL608*AH608</f>
        <v>0.591666666666667</v>
      </c>
      <c r="AN608" s="103" t="n">
        <v>3484</v>
      </c>
      <c r="AO608" s="112"/>
      <c r="AP608" s="105" t="n">
        <v>0</v>
      </c>
      <c r="AQ608" s="105" t="n">
        <v>0</v>
      </c>
      <c r="AR608" s="105" t="n">
        <v>0</v>
      </c>
      <c r="AS608" s="105" t="n">
        <v>0</v>
      </c>
      <c r="AT608" s="105" t="n">
        <v>0</v>
      </c>
      <c r="AU608" s="105" t="n">
        <v>0</v>
      </c>
      <c r="AV608" s="105" t="n">
        <v>60</v>
      </c>
      <c r="AW608" s="105" t="n">
        <v>30</v>
      </c>
      <c r="AX608" s="105" t="n">
        <v>0</v>
      </c>
      <c r="AY608" s="105" t="n">
        <v>0</v>
      </c>
      <c r="AZ608" s="105" t="n">
        <v>0</v>
      </c>
      <c r="BA608" s="105" t="n">
        <v>0</v>
      </c>
      <c r="BB608" s="105" t="n">
        <v>0</v>
      </c>
      <c r="BC608" s="105" t="n">
        <v>0</v>
      </c>
      <c r="BD608" s="105" t="n">
        <v>0</v>
      </c>
      <c r="BE608" s="105" t="n">
        <v>0</v>
      </c>
      <c r="BF608" s="105" t="n">
        <v>0</v>
      </c>
      <c r="BG608" s="105" t="n">
        <v>0</v>
      </c>
      <c r="BH608" s="105" t="n">
        <v>0</v>
      </c>
      <c r="BI608" s="105" t="n">
        <v>0</v>
      </c>
      <c r="BJ608" s="105" t="n">
        <v>0</v>
      </c>
      <c r="BK608" s="105" t="n">
        <v>0</v>
      </c>
      <c r="BL608" s="105" t="n">
        <v>0</v>
      </c>
      <c r="BM608" s="105" t="n">
        <v>0</v>
      </c>
      <c r="BN608" s="105" t="n">
        <v>0</v>
      </c>
      <c r="BO608" s="105" t="n">
        <v>0</v>
      </c>
      <c r="BP608" s="105" t="n">
        <v>0</v>
      </c>
      <c r="BQ608" s="105" t="n">
        <v>0</v>
      </c>
      <c r="BR608" s="106" t="n">
        <v>1.5</v>
      </c>
      <c r="BS608" s="106" t="n">
        <v>1.525</v>
      </c>
      <c r="BT608" s="107"/>
      <c r="BU608" s="107"/>
      <c r="BV608" s="107"/>
      <c r="BW608" s="107"/>
      <c r="BX608" s="107"/>
      <c r="BY608" s="107"/>
      <c r="BZ608" s="107"/>
      <c r="CA608" s="107"/>
      <c r="CB608" s="107"/>
      <c r="CC608" s="107"/>
      <c r="CD608" s="107"/>
      <c r="CE608" s="107"/>
      <c r="CF608" s="107"/>
      <c r="CG608" s="107"/>
      <c r="CH608" s="107"/>
      <c r="CI608" s="107"/>
      <c r="CJ608" s="107"/>
      <c r="CK608" s="107"/>
      <c r="CL608" s="107"/>
      <c r="CM608" s="107"/>
      <c r="CN608" s="107"/>
      <c r="CO608" s="107"/>
      <c r="CP608" s="107"/>
      <c r="CQ608" s="107"/>
      <c r="CR608" s="107"/>
      <c r="CS608" s="107"/>
      <c r="CT608" s="107"/>
      <c r="CU608" s="107"/>
      <c r="CV608" s="107"/>
    </row>
    <row r="609" customFormat="false" ht="14.9" hidden="false" customHeight="false" outlineLevel="0" collapsed="false">
      <c r="A609" s="74" t="n">
        <f aca="false">MONTH(B609)</f>
        <v>9</v>
      </c>
      <c r="B609" s="135" t="n">
        <v>44460</v>
      </c>
      <c r="C609" s="128" t="s">
        <v>70</v>
      </c>
      <c r="D609" s="77" t="str">
        <f aca="false">IFERROR(VLOOKUP(E:E,'Item Data Support Sheet'!A:O,7,0),"")</f>
        <v>BOTTLE MOLDED</v>
      </c>
      <c r="E609" s="80" t="s">
        <v>572</v>
      </c>
      <c r="F609" s="122"/>
      <c r="G609" s="137" t="s">
        <v>80</v>
      </c>
      <c r="H609" s="79" t="str">
        <f aca="false">IFERROR(VLOOKUP(E:E,'Item Data Support Sheet'!A:O,2,0),"")</f>
        <v>RPP 240 ML BOTTLE MOLDED</v>
      </c>
      <c r="I609" s="80" t="s">
        <v>1240</v>
      </c>
      <c r="J609" s="80" t="s">
        <v>155</v>
      </c>
      <c r="K609" s="81" t="n">
        <v>8</v>
      </c>
      <c r="L609" s="124" t="n">
        <v>2574</v>
      </c>
      <c r="M609" s="83" t="n">
        <f aca="false">IFERROR(L609/K609,0)</f>
        <v>321.75</v>
      </c>
      <c r="N609" s="84" t="n">
        <f aca="false">+O609+Q609+T609+U609</f>
        <v>3410</v>
      </c>
      <c r="O609" s="85" t="n">
        <v>3360</v>
      </c>
      <c r="P609" s="86" t="n">
        <v>0</v>
      </c>
      <c r="Q609" s="86" t="n">
        <v>10</v>
      </c>
      <c r="R609" s="132" t="n">
        <v>0</v>
      </c>
      <c r="S609" s="128" t="n">
        <v>0</v>
      </c>
      <c r="T609" s="132" t="n">
        <v>40</v>
      </c>
      <c r="U609" s="128" t="n">
        <v>0</v>
      </c>
      <c r="V609" s="128" t="n">
        <v>1</v>
      </c>
      <c r="W609" s="90" t="n">
        <f aca="false">IFERROR(O609/V609,0)</f>
        <v>3360</v>
      </c>
      <c r="X609" s="91" t="n">
        <f aca="false">O609/L609</f>
        <v>1.30536130536131</v>
      </c>
      <c r="Y609" s="92" t="str">
        <f aca="false">IFERROR(VLOOKUP(E:E,'Item Data Support Sheet'!A:J,6,0),0)</f>
        <v>HMC</v>
      </c>
      <c r="Z609" s="93" t="n">
        <f aca="false">IFERROR(VLOOKUP(E:E,'Item Data Support Sheet'!A:O,4,0),0)</f>
        <v>32.1</v>
      </c>
      <c r="AA609" s="93" t="n">
        <f aca="false">IFERROR(((N609)*(Z609/1000))+P609,0)</f>
        <v>109.461</v>
      </c>
      <c r="AB609" s="94" t="n">
        <f aca="false">IFERROR((O609*(Z609/1000)/(AA609))," ")</f>
        <v>0.98533724340176</v>
      </c>
      <c r="AC609" s="95" t="n">
        <f aca="false">IFERROR((T609)/((T609)+O609),0)</f>
        <v>0.0117647058823529</v>
      </c>
      <c r="AD609" s="96" t="n">
        <f aca="false">IFERROR(Q609/(Q609+N609),0)</f>
        <v>0.00292397660818713</v>
      </c>
      <c r="AE609" s="91" t="n">
        <f aca="false">(N609-T609)/N609</f>
        <v>0.988269794721408</v>
      </c>
      <c r="AF609" s="97" t="n">
        <f aca="false">BR609</f>
        <v>0</v>
      </c>
      <c r="AG609" s="98" t="n">
        <f aca="false">K609-AF609</f>
        <v>8</v>
      </c>
      <c r="AH609" s="99" t="n">
        <f aca="false">IFERROR(AG609/K609," ")</f>
        <v>1</v>
      </c>
      <c r="AI609" s="100" t="n">
        <f aca="false">IFERROR(O609/K609,0)</f>
        <v>420</v>
      </c>
      <c r="AJ609" s="101" t="n">
        <f aca="false">VLOOKUP(D609,'Standard Cycle time'!C:D,2,0)</f>
        <v>9</v>
      </c>
      <c r="AK609" s="101" t="n">
        <f aca="false">AG609*V609*3600/O609</f>
        <v>8.57142857142857</v>
      </c>
      <c r="AL609" s="102" t="n">
        <f aca="false">AJ609/AK609</f>
        <v>1.05</v>
      </c>
      <c r="AM609" s="99" t="n">
        <f aca="false">AE609*AL609*AH609</f>
        <v>1.03768328445748</v>
      </c>
      <c r="AN609" s="103" t="n">
        <v>3426</v>
      </c>
      <c r="AO609" s="112"/>
      <c r="AP609" s="105" t="n">
        <v>0</v>
      </c>
      <c r="AQ609" s="105" t="n">
        <v>0</v>
      </c>
      <c r="AR609" s="105" t="n">
        <v>0</v>
      </c>
      <c r="AS609" s="105" t="n">
        <v>0</v>
      </c>
      <c r="AT609" s="105" t="n">
        <v>0</v>
      </c>
      <c r="AU609" s="105" t="n">
        <v>0</v>
      </c>
      <c r="AV609" s="105" t="n">
        <v>0</v>
      </c>
      <c r="AW609" s="105" t="n">
        <v>0</v>
      </c>
      <c r="AX609" s="105" t="n">
        <v>0</v>
      </c>
      <c r="AY609" s="105" t="n">
        <v>0</v>
      </c>
      <c r="AZ609" s="105" t="n">
        <v>0</v>
      </c>
      <c r="BA609" s="105" t="n">
        <v>0</v>
      </c>
      <c r="BB609" s="105" t="n">
        <v>0</v>
      </c>
      <c r="BC609" s="105" t="n">
        <v>0</v>
      </c>
      <c r="BD609" s="105" t="n">
        <v>0</v>
      </c>
      <c r="BE609" s="105" t="n">
        <v>0</v>
      </c>
      <c r="BF609" s="105" t="n">
        <v>0</v>
      </c>
      <c r="BG609" s="105" t="n">
        <v>0</v>
      </c>
      <c r="BH609" s="105" t="n">
        <v>0</v>
      </c>
      <c r="BI609" s="105" t="n">
        <v>0</v>
      </c>
      <c r="BJ609" s="105" t="n">
        <v>0</v>
      </c>
      <c r="BK609" s="105" t="n">
        <v>0</v>
      </c>
      <c r="BL609" s="105" t="n">
        <v>0</v>
      </c>
      <c r="BM609" s="105" t="n">
        <v>0</v>
      </c>
      <c r="BN609" s="105" t="n">
        <v>0</v>
      </c>
      <c r="BO609" s="105" t="n">
        <v>0</v>
      </c>
      <c r="BP609" s="105" t="n">
        <v>0</v>
      </c>
      <c r="BQ609" s="105" t="n">
        <v>0</v>
      </c>
      <c r="BR609" s="106" t="n">
        <v>0</v>
      </c>
      <c r="BS609" s="106" t="n">
        <v>0</v>
      </c>
      <c r="BT609" s="107"/>
      <c r="BU609" s="107"/>
      <c r="BV609" s="107"/>
      <c r="BW609" s="107"/>
      <c r="BX609" s="107"/>
      <c r="BY609" s="107"/>
      <c r="BZ609" s="107"/>
      <c r="CA609" s="107"/>
      <c r="CB609" s="107"/>
      <c r="CC609" s="107"/>
      <c r="CD609" s="107"/>
      <c r="CE609" s="107"/>
      <c r="CF609" s="107"/>
      <c r="CG609" s="107"/>
      <c r="CH609" s="107"/>
      <c r="CI609" s="107"/>
      <c r="CJ609" s="107"/>
      <c r="CK609" s="107"/>
      <c r="CL609" s="107"/>
      <c r="CM609" s="107"/>
      <c r="CN609" s="107"/>
      <c r="CO609" s="107"/>
      <c r="CP609" s="107"/>
      <c r="CQ609" s="107"/>
      <c r="CR609" s="107"/>
      <c r="CS609" s="107"/>
      <c r="CT609" s="107"/>
      <c r="CU609" s="107"/>
      <c r="CV609" s="107"/>
    </row>
    <row r="610" customFormat="false" ht="14.9" hidden="false" customHeight="false" outlineLevel="0" collapsed="false">
      <c r="A610" s="74" t="n">
        <f aca="false">MONTH(B610)</f>
        <v>9</v>
      </c>
      <c r="B610" s="135" t="n">
        <v>44460</v>
      </c>
      <c r="C610" s="128" t="s">
        <v>70</v>
      </c>
      <c r="D610" s="77" t="str">
        <f aca="false">IFERROR(VLOOKUP(E:E,'Item Data Support Sheet'!A:O,7,0),"")</f>
        <v>BOTTLE MOLDED</v>
      </c>
      <c r="E610" s="80" t="s">
        <v>357</v>
      </c>
      <c r="F610" s="122"/>
      <c r="G610" s="137" t="s">
        <v>74</v>
      </c>
      <c r="H610" s="79" t="str">
        <f aca="false">IFERROR(VLOOKUP(E:E,'Item Data Support Sheet'!A:O,2,0),"")</f>
        <v>KPP 120 ML BOTTLE MOLDED</v>
      </c>
      <c r="I610" s="80" t="s">
        <v>1241</v>
      </c>
      <c r="J610" s="80" t="s">
        <v>155</v>
      </c>
      <c r="K610" s="81" t="n">
        <v>8</v>
      </c>
      <c r="L610" s="124" t="n">
        <v>2574</v>
      </c>
      <c r="M610" s="83" t="n">
        <f aca="false">IFERROR(L610/K610,0)</f>
        <v>321.75</v>
      </c>
      <c r="N610" s="84" t="n">
        <f aca="false">+O610+Q610+T610+U610</f>
        <v>3340</v>
      </c>
      <c r="O610" s="85" t="n">
        <v>3240</v>
      </c>
      <c r="P610" s="86" t="n">
        <v>0.3</v>
      </c>
      <c r="Q610" s="86" t="n">
        <v>40</v>
      </c>
      <c r="R610" s="132" t="n">
        <v>0</v>
      </c>
      <c r="S610" s="128" t="n">
        <v>0</v>
      </c>
      <c r="T610" s="132" t="n">
        <v>60</v>
      </c>
      <c r="U610" s="128" t="n">
        <v>0</v>
      </c>
      <c r="V610" s="128" t="n">
        <v>1</v>
      </c>
      <c r="W610" s="90" t="n">
        <f aca="false">IFERROR(O610/V610,0)</f>
        <v>3240</v>
      </c>
      <c r="X610" s="91" t="n">
        <f aca="false">O610/L610</f>
        <v>1.25874125874126</v>
      </c>
      <c r="Y610" s="92" t="str">
        <f aca="false">IFERROR(VLOOKUP(E:E,'Item Data Support Sheet'!A:J,6,0),0)</f>
        <v>HMC</v>
      </c>
      <c r="Z610" s="93" t="n">
        <f aca="false">IFERROR(VLOOKUP(E:E,'Item Data Support Sheet'!A:O,4,0),0)</f>
        <v>21.3</v>
      </c>
      <c r="AA610" s="93" t="n">
        <f aca="false">IFERROR(((N610)*(Z610/1000))+P610,0)</f>
        <v>71.442</v>
      </c>
      <c r="AB610" s="94" t="n">
        <f aca="false">IFERROR((O610*(Z610/1000)/(AA610))," ")</f>
        <v>0.965986394557823</v>
      </c>
      <c r="AC610" s="95" t="n">
        <f aca="false">IFERROR((T610)/((T610)+O610),0)</f>
        <v>0.0181818181818182</v>
      </c>
      <c r="AD610" s="96" t="n">
        <f aca="false">IFERROR(Q610/(Q610+N610),0)</f>
        <v>0.0118343195266272</v>
      </c>
      <c r="AE610" s="91" t="n">
        <f aca="false">(N610-T610)/N610</f>
        <v>0.982035928143712</v>
      </c>
      <c r="AF610" s="97" t="n">
        <f aca="false">BR610</f>
        <v>0</v>
      </c>
      <c r="AG610" s="98" t="n">
        <f aca="false">K610-AF610</f>
        <v>8</v>
      </c>
      <c r="AH610" s="99" t="n">
        <f aca="false">IFERROR(AG610/K610," ")</f>
        <v>1</v>
      </c>
      <c r="AI610" s="100" t="n">
        <f aca="false">IFERROR(O610/K610,0)</f>
        <v>405</v>
      </c>
      <c r="AJ610" s="101" t="n">
        <f aca="false">VLOOKUP(D610,'Standard Cycle time'!C:D,2,0)</f>
        <v>9</v>
      </c>
      <c r="AK610" s="101" t="n">
        <f aca="false">AG610*V610*3600/O610</f>
        <v>8.88888888888889</v>
      </c>
      <c r="AL610" s="102" t="n">
        <f aca="false">AJ610/AK610</f>
        <v>1.0125</v>
      </c>
      <c r="AM610" s="99" t="n">
        <f aca="false">AE610*AL610*AH610</f>
        <v>0.994311377245509</v>
      </c>
      <c r="AN610" s="103" t="n">
        <v>3425</v>
      </c>
      <c r="AO610" s="112"/>
      <c r="AP610" s="105" t="n">
        <v>0</v>
      </c>
      <c r="AQ610" s="105" t="n">
        <v>0</v>
      </c>
      <c r="AR610" s="105" t="n">
        <v>0</v>
      </c>
      <c r="AS610" s="105" t="n">
        <v>0</v>
      </c>
      <c r="AT610" s="105" t="n">
        <v>0</v>
      </c>
      <c r="AU610" s="105" t="n">
        <v>0</v>
      </c>
      <c r="AV610" s="105" t="n">
        <v>0</v>
      </c>
      <c r="AW610" s="105" t="n">
        <v>0</v>
      </c>
      <c r="AX610" s="105" t="n">
        <v>0</v>
      </c>
      <c r="AY610" s="105" t="n">
        <v>0</v>
      </c>
      <c r="AZ610" s="105" t="n">
        <v>0</v>
      </c>
      <c r="BA610" s="105" t="n">
        <v>0</v>
      </c>
      <c r="BB610" s="105" t="n">
        <v>0</v>
      </c>
      <c r="BC610" s="105" t="n">
        <v>0</v>
      </c>
      <c r="BD610" s="105" t="n">
        <v>0</v>
      </c>
      <c r="BE610" s="105" t="n">
        <v>0</v>
      </c>
      <c r="BF610" s="105" t="n">
        <v>0</v>
      </c>
      <c r="BG610" s="105" t="n">
        <v>0</v>
      </c>
      <c r="BH610" s="105" t="n">
        <v>0</v>
      </c>
      <c r="BI610" s="105" t="n">
        <v>0</v>
      </c>
      <c r="BJ610" s="105" t="n">
        <v>0</v>
      </c>
      <c r="BK610" s="105" t="n">
        <v>0</v>
      </c>
      <c r="BL610" s="105" t="n">
        <v>0</v>
      </c>
      <c r="BM610" s="105" t="n">
        <v>0</v>
      </c>
      <c r="BN610" s="105" t="n">
        <v>0</v>
      </c>
      <c r="BO610" s="105" t="n">
        <v>0</v>
      </c>
      <c r="BP610" s="105" t="n">
        <v>0</v>
      </c>
      <c r="BQ610" s="105" t="n">
        <v>0</v>
      </c>
      <c r="BR610" s="106" t="n">
        <v>0</v>
      </c>
      <c r="BS610" s="106" t="n">
        <v>0</v>
      </c>
      <c r="BT610" s="107"/>
      <c r="BU610" s="107"/>
      <c r="BV610" s="107"/>
      <c r="BW610" s="107"/>
      <c r="BX610" s="107"/>
      <c r="BY610" s="107"/>
      <c r="BZ610" s="107"/>
      <c r="CA610" s="107"/>
      <c r="CB610" s="107"/>
      <c r="CC610" s="107"/>
      <c r="CD610" s="107"/>
      <c r="CE610" s="107"/>
      <c r="CF610" s="107"/>
      <c r="CG610" s="107"/>
      <c r="CH610" s="107"/>
      <c r="CI610" s="107"/>
      <c r="CJ610" s="107"/>
      <c r="CK610" s="107"/>
      <c r="CL610" s="107"/>
      <c r="CM610" s="107"/>
      <c r="CN610" s="107"/>
      <c r="CO610" s="107"/>
      <c r="CP610" s="107"/>
      <c r="CQ610" s="107"/>
      <c r="CR610" s="107"/>
      <c r="CS610" s="107"/>
      <c r="CT610" s="107"/>
      <c r="CU610" s="107"/>
      <c r="CV610" s="107"/>
    </row>
    <row r="611" customFormat="false" ht="14.9" hidden="false" customHeight="false" outlineLevel="0" collapsed="false">
      <c r="A611" s="74" t="n">
        <f aca="false">MONTH(B611)</f>
        <v>9</v>
      </c>
      <c r="B611" s="135" t="n">
        <v>44460</v>
      </c>
      <c r="C611" s="128" t="s">
        <v>70</v>
      </c>
      <c r="D611" s="77" t="str">
        <f aca="false">IFERROR(VLOOKUP(E:E,'Item Data Support Sheet'!A:O,7,0),"")</f>
        <v>BOTTLE PRINTED</v>
      </c>
      <c r="E611" s="80" t="s">
        <v>591</v>
      </c>
      <c r="F611" s="122"/>
      <c r="G611" s="137"/>
      <c r="H611" s="79" t="str">
        <f aca="false">IFERROR(VLOOKUP(E:E,'Item Data Support Sheet'!A:O,2,0),"")</f>
        <v>RPP 240 ML BOTTLE PRINTED</v>
      </c>
      <c r="I611" s="80" t="s">
        <v>1242</v>
      </c>
      <c r="J611" s="80" t="s">
        <v>155</v>
      </c>
      <c r="K611" s="81" t="n">
        <v>8</v>
      </c>
      <c r="L611" s="124" t="n">
        <v>5800</v>
      </c>
      <c r="M611" s="83" t="n">
        <f aca="false">IFERROR(L611/K611,0)</f>
        <v>725</v>
      </c>
      <c r="N611" s="84" t="n">
        <f aca="false">+O611+Q611+T611+U611</f>
        <v>5911</v>
      </c>
      <c r="O611" s="85" t="n">
        <v>5880</v>
      </c>
      <c r="P611" s="86" t="n">
        <v>0</v>
      </c>
      <c r="Q611" s="86" t="n">
        <v>0</v>
      </c>
      <c r="R611" s="132" t="n">
        <v>48</v>
      </c>
      <c r="S611" s="128" t="n">
        <v>0</v>
      </c>
      <c r="T611" s="132" t="n">
        <v>31</v>
      </c>
      <c r="U611" s="128" t="n">
        <v>0</v>
      </c>
      <c r="V611" s="128" t="n">
        <v>5</v>
      </c>
      <c r="W611" s="90" t="n">
        <f aca="false">IFERROR(O611/V611,0)</f>
        <v>1176</v>
      </c>
      <c r="X611" s="91" t="n">
        <f aca="false">O611/L611</f>
        <v>1.01379310344828</v>
      </c>
      <c r="Y611" s="92" t="str">
        <f aca="false">IFERROR(VLOOKUP(E:E,'Item Data Support Sheet'!A:J,6,0),0)</f>
        <v>FO005</v>
      </c>
      <c r="Z611" s="93" t="n">
        <f aca="false">IFERROR(VLOOKUP(E:E,'Item Data Support Sheet'!A:O,4,0),0)</f>
        <v>0</v>
      </c>
      <c r="AA611" s="93" t="n">
        <f aca="false">IFERROR(((N611)*(Z611/1000))+P611,0)</f>
        <v>0</v>
      </c>
      <c r="AB611" s="94" t="str">
        <f aca="false">IFERROR((O611*(Z611/1000)/(AA611))," ")</f>
        <v> </v>
      </c>
      <c r="AC611" s="95" t="n">
        <f aca="false">IFERROR((T611)/((T611)+O611),0)</f>
        <v>0.0052444594823211</v>
      </c>
      <c r="AD611" s="96" t="n">
        <f aca="false">IFERROR(Q611/(Q611+N611),0)</f>
        <v>0</v>
      </c>
      <c r="AE611" s="91" t="n">
        <f aca="false">(N611-T611)/N611</f>
        <v>0.994755540517679</v>
      </c>
      <c r="AF611" s="97" t="n">
        <f aca="false">BR611</f>
        <v>0.666666666666667</v>
      </c>
      <c r="AG611" s="98" t="n">
        <f aca="false">K611-AF611</f>
        <v>7.33333333333333</v>
      </c>
      <c r="AH611" s="99" t="n">
        <f aca="false">IFERROR(AG611/K611," ")</f>
        <v>0.916666666666667</v>
      </c>
      <c r="AI611" s="100" t="n">
        <f aca="false">IFERROR(O611/K611,0)</f>
        <v>735</v>
      </c>
      <c r="AJ611" s="101" t="n">
        <f aca="false">VLOOKUP(D611,'Standard Cycle time'!C:D,2,0)</f>
        <v>32.4</v>
      </c>
      <c r="AK611" s="101" t="n">
        <f aca="false">AG611*V611*3600/O611</f>
        <v>22.4489795918367</v>
      </c>
      <c r="AL611" s="102" t="n">
        <f aca="false">AJ611/AK611</f>
        <v>1.44327272727273</v>
      </c>
      <c r="AM611" s="99" t="n">
        <f aca="false">AE611*AL611*AH611</f>
        <v>1.31606158010489</v>
      </c>
      <c r="AN611" s="103" t="s">
        <v>869</v>
      </c>
      <c r="AO611" s="112"/>
      <c r="AP611" s="105" t="n">
        <v>40</v>
      </c>
      <c r="AQ611" s="105" t="n">
        <v>0</v>
      </c>
      <c r="AR611" s="105" t="n">
        <v>0</v>
      </c>
      <c r="AS611" s="105" t="n">
        <v>0</v>
      </c>
      <c r="AT611" s="105" t="n">
        <v>0</v>
      </c>
      <c r="AU611" s="105" t="n">
        <v>0</v>
      </c>
      <c r="AV611" s="105" t="n">
        <v>0</v>
      </c>
      <c r="AW611" s="105" t="n">
        <v>0</v>
      </c>
      <c r="AX611" s="105" t="n">
        <v>0</v>
      </c>
      <c r="AY611" s="105" t="n">
        <v>0</v>
      </c>
      <c r="AZ611" s="105" t="n">
        <v>0</v>
      </c>
      <c r="BA611" s="105" t="n">
        <v>0</v>
      </c>
      <c r="BB611" s="105" t="n">
        <v>0</v>
      </c>
      <c r="BC611" s="105" t="n">
        <v>0</v>
      </c>
      <c r="BD611" s="105" t="n">
        <v>0</v>
      </c>
      <c r="BE611" s="105" t="n">
        <v>0</v>
      </c>
      <c r="BF611" s="105" t="n">
        <v>0</v>
      </c>
      <c r="BG611" s="105" t="n">
        <v>0</v>
      </c>
      <c r="BH611" s="105" t="n">
        <v>0</v>
      </c>
      <c r="BI611" s="105" t="n">
        <v>0</v>
      </c>
      <c r="BJ611" s="105" t="n">
        <v>0</v>
      </c>
      <c r="BK611" s="105" t="n">
        <v>0</v>
      </c>
      <c r="BL611" s="105" t="n">
        <v>0</v>
      </c>
      <c r="BM611" s="105" t="n">
        <v>0</v>
      </c>
      <c r="BN611" s="105" t="n">
        <v>0</v>
      </c>
      <c r="BO611" s="105" t="n">
        <v>0</v>
      </c>
      <c r="BP611" s="105" t="n">
        <v>0</v>
      </c>
      <c r="BQ611" s="105" t="n">
        <v>0</v>
      </c>
      <c r="BR611" s="106" t="n">
        <v>0.666666666666667</v>
      </c>
      <c r="BS611" s="106" t="n">
        <v>0.677777777777778</v>
      </c>
      <c r="BT611" s="107"/>
      <c r="BU611" s="107"/>
      <c r="BV611" s="107"/>
      <c r="BW611" s="107"/>
      <c r="BX611" s="107"/>
      <c r="BY611" s="107"/>
      <c r="BZ611" s="107"/>
      <c r="CA611" s="107"/>
      <c r="CB611" s="107"/>
      <c r="CC611" s="107"/>
      <c r="CD611" s="107"/>
      <c r="CE611" s="107"/>
      <c r="CF611" s="107"/>
      <c r="CG611" s="107"/>
      <c r="CH611" s="107"/>
      <c r="CI611" s="107"/>
      <c r="CJ611" s="107"/>
      <c r="CK611" s="107"/>
      <c r="CL611" s="107"/>
      <c r="CM611" s="107"/>
      <c r="CN611" s="107"/>
      <c r="CO611" s="107"/>
      <c r="CP611" s="107"/>
      <c r="CQ611" s="107"/>
      <c r="CR611" s="107"/>
      <c r="CS611" s="107"/>
      <c r="CT611" s="107"/>
      <c r="CU611" s="107"/>
      <c r="CV611" s="107"/>
    </row>
    <row r="612" customFormat="false" ht="14.9" hidden="false" customHeight="false" outlineLevel="0" collapsed="false">
      <c r="A612" s="74" t="n">
        <f aca="false">MONTH(B612)</f>
        <v>9</v>
      </c>
      <c r="B612" s="135" t="n">
        <v>44460</v>
      </c>
      <c r="C612" s="128" t="s">
        <v>152</v>
      </c>
      <c r="D612" s="77" t="str">
        <f aca="false">IFERROR(VLOOKUP(E:E,'Item Data Support Sheet'!A:O,7,0),"")</f>
        <v>BOTTLE MOLDED</v>
      </c>
      <c r="E612" s="80" t="s">
        <v>357</v>
      </c>
      <c r="F612" s="122" t="s">
        <v>144</v>
      </c>
      <c r="G612" s="137" t="s">
        <v>74</v>
      </c>
      <c r="H612" s="79" t="str">
        <f aca="false">IFERROR(VLOOKUP(E:E,'Item Data Support Sheet'!A:O,2,0),"")</f>
        <v>KPP 120 ML BOTTLE MOLDED</v>
      </c>
      <c r="I612" s="80" t="s">
        <v>1243</v>
      </c>
      <c r="J612" s="80" t="s">
        <v>815</v>
      </c>
      <c r="K612" s="81" t="n">
        <v>8</v>
      </c>
      <c r="L612" s="124" t="n">
        <v>2574</v>
      </c>
      <c r="M612" s="83" t="n">
        <f aca="false">IFERROR(L612/K612,0)</f>
        <v>321.75</v>
      </c>
      <c r="N612" s="84" t="n">
        <f aca="false">+O612+Q612+T612+U612</f>
        <v>3308</v>
      </c>
      <c r="O612" s="85" t="n">
        <v>3240</v>
      </c>
      <c r="P612" s="86" t="n">
        <v>0.21</v>
      </c>
      <c r="Q612" s="86" t="n">
        <v>20</v>
      </c>
      <c r="R612" s="132" t="n">
        <v>0</v>
      </c>
      <c r="S612" s="128" t="n">
        <v>0</v>
      </c>
      <c r="T612" s="132" t="n">
        <v>40</v>
      </c>
      <c r="U612" s="128" t="n">
        <v>8</v>
      </c>
      <c r="V612" s="128" t="n">
        <v>1</v>
      </c>
      <c r="W612" s="90" t="n">
        <f aca="false">IFERROR(O612/V612,0)</f>
        <v>3240</v>
      </c>
      <c r="X612" s="91" t="n">
        <f aca="false">O612/L612</f>
        <v>1.25874125874126</v>
      </c>
      <c r="Y612" s="92" t="str">
        <f aca="false">IFERROR(VLOOKUP(E:E,'Item Data Support Sheet'!A:J,6,0),0)</f>
        <v>HMC</v>
      </c>
      <c r="Z612" s="93" t="n">
        <f aca="false">IFERROR(VLOOKUP(E:E,'Item Data Support Sheet'!A:O,4,0),0)</f>
        <v>21.3</v>
      </c>
      <c r="AA612" s="93" t="n">
        <f aca="false">IFERROR(((N612)*(Z612/1000))+P612,0)</f>
        <v>70.6704</v>
      </c>
      <c r="AB612" s="94" t="n">
        <f aca="false">IFERROR((O612*(Z612/1000)/(AA612))," ")</f>
        <v>0.976533315221083</v>
      </c>
      <c r="AC612" s="95" t="n">
        <f aca="false">IFERROR((T612)/((T612)+O612),0)</f>
        <v>0.0121951219512195</v>
      </c>
      <c r="AD612" s="96" t="n">
        <f aca="false">IFERROR(Q612/(Q612+N612),0)</f>
        <v>0.00600961538461539</v>
      </c>
      <c r="AE612" s="91" t="n">
        <f aca="false">(N612-T612)/N612</f>
        <v>0.987908101571947</v>
      </c>
      <c r="AF612" s="97" t="n">
        <f aca="false">BR612</f>
        <v>0</v>
      </c>
      <c r="AG612" s="98" t="n">
        <f aca="false">K612-AF612</f>
        <v>8</v>
      </c>
      <c r="AH612" s="99" t="n">
        <f aca="false">IFERROR(AG612/K612," ")</f>
        <v>1</v>
      </c>
      <c r="AI612" s="100" t="n">
        <f aca="false">IFERROR(O612/K612,0)</f>
        <v>405</v>
      </c>
      <c r="AJ612" s="101" t="n">
        <f aca="false">VLOOKUP(D612,'Standard Cycle time'!C:D,2,0)</f>
        <v>9</v>
      </c>
      <c r="AK612" s="101" t="n">
        <f aca="false">AG612*V612*3600/O612</f>
        <v>8.88888888888889</v>
      </c>
      <c r="AL612" s="102" t="n">
        <f aca="false">AJ612/AK612</f>
        <v>1.0125</v>
      </c>
      <c r="AM612" s="99" t="n">
        <f aca="false">AE612*AL612*AH612</f>
        <v>1.0002569528416</v>
      </c>
      <c r="AN612" s="103" t="n">
        <v>3432</v>
      </c>
      <c r="AO612" s="112"/>
      <c r="AP612" s="105" t="n">
        <v>0</v>
      </c>
      <c r="AQ612" s="105" t="n">
        <v>0</v>
      </c>
      <c r="AR612" s="105" t="n">
        <v>0</v>
      </c>
      <c r="AS612" s="105" t="n">
        <v>0</v>
      </c>
      <c r="AT612" s="105" t="n">
        <v>0</v>
      </c>
      <c r="AU612" s="105" t="n">
        <v>0</v>
      </c>
      <c r="AV612" s="105" t="n">
        <v>0</v>
      </c>
      <c r="AW612" s="105" t="n">
        <v>0</v>
      </c>
      <c r="AX612" s="105" t="n">
        <v>0</v>
      </c>
      <c r="AY612" s="105" t="n">
        <v>0</v>
      </c>
      <c r="AZ612" s="105" t="n">
        <v>0</v>
      </c>
      <c r="BA612" s="105" t="n">
        <v>0</v>
      </c>
      <c r="BB612" s="105" t="n">
        <v>0</v>
      </c>
      <c r="BC612" s="105" t="n">
        <v>0</v>
      </c>
      <c r="BD612" s="105" t="n">
        <v>0</v>
      </c>
      <c r="BE612" s="105" t="n">
        <v>0</v>
      </c>
      <c r="BF612" s="105" t="n">
        <v>0</v>
      </c>
      <c r="BG612" s="105" t="n">
        <v>0</v>
      </c>
      <c r="BH612" s="105" t="n">
        <v>0</v>
      </c>
      <c r="BI612" s="105" t="n">
        <v>0</v>
      </c>
      <c r="BJ612" s="105" t="n">
        <v>0</v>
      </c>
      <c r="BK612" s="105" t="n">
        <v>0</v>
      </c>
      <c r="BL612" s="105" t="n">
        <v>0</v>
      </c>
      <c r="BM612" s="105" t="n">
        <v>0</v>
      </c>
      <c r="BN612" s="105" t="n">
        <v>0</v>
      </c>
      <c r="BO612" s="105" t="n">
        <v>0</v>
      </c>
      <c r="BP612" s="105" t="n">
        <v>0</v>
      </c>
      <c r="BQ612" s="105" t="n">
        <v>0</v>
      </c>
      <c r="BR612" s="106" t="n">
        <v>0</v>
      </c>
      <c r="BS612" s="106" t="n">
        <v>0</v>
      </c>
      <c r="BT612" s="107"/>
      <c r="BU612" s="107"/>
      <c r="BV612" s="107"/>
      <c r="BW612" s="107"/>
      <c r="BX612" s="107"/>
      <c r="BY612" s="107"/>
      <c r="BZ612" s="107"/>
      <c r="CA612" s="107"/>
      <c r="CB612" s="107"/>
      <c r="CC612" s="107"/>
      <c r="CD612" s="107"/>
      <c r="CE612" s="107"/>
      <c r="CF612" s="107"/>
      <c r="CG612" s="107"/>
      <c r="CH612" s="107"/>
      <c r="CI612" s="107"/>
      <c r="CJ612" s="107"/>
      <c r="CK612" s="107"/>
      <c r="CL612" s="107"/>
      <c r="CM612" s="107"/>
      <c r="CN612" s="107"/>
      <c r="CO612" s="107"/>
      <c r="CP612" s="107"/>
      <c r="CQ612" s="107"/>
      <c r="CR612" s="107"/>
      <c r="CS612" s="107"/>
      <c r="CT612" s="107"/>
      <c r="CU612" s="107"/>
      <c r="CV612" s="107"/>
    </row>
    <row r="613" customFormat="false" ht="14.9" hidden="false" customHeight="false" outlineLevel="0" collapsed="false">
      <c r="A613" s="74" t="n">
        <f aca="false">MONTH(B613)</f>
        <v>9</v>
      </c>
      <c r="B613" s="135" t="n">
        <v>44460</v>
      </c>
      <c r="C613" s="128" t="s">
        <v>152</v>
      </c>
      <c r="D613" s="77" t="str">
        <f aca="false">IFERROR(VLOOKUP(E:E,'Item Data Support Sheet'!A:O,7,0),"")</f>
        <v>BOTTLE MOLDED</v>
      </c>
      <c r="E613" s="80" t="s">
        <v>572</v>
      </c>
      <c r="F613" s="122" t="s">
        <v>589</v>
      </c>
      <c r="G613" s="137" t="s">
        <v>80</v>
      </c>
      <c r="H613" s="79" t="str">
        <f aca="false">IFERROR(VLOOKUP(E:E,'Item Data Support Sheet'!A:O,2,0),"")</f>
        <v>RPP 240 ML BOTTLE MOLDED</v>
      </c>
      <c r="I613" s="80" t="s">
        <v>1244</v>
      </c>
      <c r="J613" s="80" t="s">
        <v>815</v>
      </c>
      <c r="K613" s="81" t="n">
        <v>8</v>
      </c>
      <c r="L613" s="124" t="n">
        <v>2574</v>
      </c>
      <c r="M613" s="83" t="n">
        <f aca="false">IFERROR(L613/K613,0)</f>
        <v>321.75</v>
      </c>
      <c r="N613" s="84" t="n">
        <f aca="false">+O613+Q613+T613+U613</f>
        <v>3302</v>
      </c>
      <c r="O613" s="85" t="n">
        <v>3240</v>
      </c>
      <c r="P613" s="86" t="n">
        <v>0.3</v>
      </c>
      <c r="Q613" s="86" t="n">
        <v>18</v>
      </c>
      <c r="R613" s="132" t="n">
        <v>0</v>
      </c>
      <c r="S613" s="128" t="n">
        <v>0</v>
      </c>
      <c r="T613" s="132" t="n">
        <v>36</v>
      </c>
      <c r="U613" s="128" t="n">
        <v>8</v>
      </c>
      <c r="V613" s="128" t="n">
        <v>1</v>
      </c>
      <c r="W613" s="90" t="n">
        <f aca="false">IFERROR(O613/V613,0)</f>
        <v>3240</v>
      </c>
      <c r="X613" s="91" t="n">
        <f aca="false">O613/L613</f>
        <v>1.25874125874126</v>
      </c>
      <c r="Y613" s="92" t="str">
        <f aca="false">IFERROR(VLOOKUP(E:E,'Item Data Support Sheet'!A:J,6,0),0)</f>
        <v>HMC</v>
      </c>
      <c r="Z613" s="93" t="n">
        <f aca="false">IFERROR(VLOOKUP(E:E,'Item Data Support Sheet'!A:O,4,0),0)</f>
        <v>32.1</v>
      </c>
      <c r="AA613" s="93" t="n">
        <f aca="false">IFERROR(((N613)*(Z613/1000))+P613,0)</f>
        <v>106.2942</v>
      </c>
      <c r="AB613" s="94" t="n">
        <f aca="false">IFERROR((O613*(Z613/1000)/(AA613))," ")</f>
        <v>0.978454139548536</v>
      </c>
      <c r="AC613" s="95" t="n">
        <f aca="false">IFERROR((T613)/((T613)+O613),0)</f>
        <v>0.010989010989011</v>
      </c>
      <c r="AD613" s="96" t="n">
        <f aca="false">IFERROR(Q613/(Q613+N613),0)</f>
        <v>0.00542168674698795</v>
      </c>
      <c r="AE613" s="91" t="n">
        <f aca="false">(N613-T613)/N613</f>
        <v>0.989097516656572</v>
      </c>
      <c r="AF613" s="97" t="n">
        <f aca="false">BR613</f>
        <v>0</v>
      </c>
      <c r="AG613" s="98" t="n">
        <f aca="false">K613-AF613</f>
        <v>8</v>
      </c>
      <c r="AH613" s="99" t="n">
        <f aca="false">IFERROR(AG613/K613," ")</f>
        <v>1</v>
      </c>
      <c r="AI613" s="100" t="n">
        <f aca="false">IFERROR(O613/K613,0)</f>
        <v>405</v>
      </c>
      <c r="AJ613" s="101" t="n">
        <f aca="false">VLOOKUP(D613,'Standard Cycle time'!C:D,2,0)</f>
        <v>9</v>
      </c>
      <c r="AK613" s="101" t="n">
        <f aca="false">AG613*V613*3600/O613</f>
        <v>8.88888888888889</v>
      </c>
      <c r="AL613" s="102" t="n">
        <f aca="false">AJ613/AK613</f>
        <v>1.0125</v>
      </c>
      <c r="AM613" s="99" t="n">
        <f aca="false">AE613*AL613*AH613</f>
        <v>1.00146123561478</v>
      </c>
      <c r="AN613" s="103" t="n">
        <v>3433</v>
      </c>
      <c r="AO613" s="112"/>
      <c r="AP613" s="105" t="n">
        <v>0</v>
      </c>
      <c r="AQ613" s="105" t="n">
        <v>0</v>
      </c>
      <c r="AR613" s="105" t="n">
        <v>0</v>
      </c>
      <c r="AS613" s="105" t="n">
        <v>0</v>
      </c>
      <c r="AT613" s="105" t="n">
        <v>0</v>
      </c>
      <c r="AU613" s="105" t="n">
        <v>0</v>
      </c>
      <c r="AV613" s="105" t="n">
        <v>0</v>
      </c>
      <c r="AW613" s="105" t="n">
        <v>0</v>
      </c>
      <c r="AX613" s="105" t="n">
        <v>0</v>
      </c>
      <c r="AY613" s="105" t="n">
        <v>0</v>
      </c>
      <c r="AZ613" s="105" t="n">
        <v>0</v>
      </c>
      <c r="BA613" s="105" t="n">
        <v>0</v>
      </c>
      <c r="BB613" s="105" t="n">
        <v>0</v>
      </c>
      <c r="BC613" s="105" t="n">
        <v>0</v>
      </c>
      <c r="BD613" s="105" t="n">
        <v>0</v>
      </c>
      <c r="BE613" s="105" t="n">
        <v>0</v>
      </c>
      <c r="BF613" s="105" t="n">
        <v>0</v>
      </c>
      <c r="BG613" s="105" t="n">
        <v>0</v>
      </c>
      <c r="BH613" s="105" t="n">
        <v>0</v>
      </c>
      <c r="BI613" s="105" t="n">
        <v>0</v>
      </c>
      <c r="BJ613" s="105" t="n">
        <v>0</v>
      </c>
      <c r="BK613" s="105" t="n">
        <v>0</v>
      </c>
      <c r="BL613" s="105" t="n">
        <v>0</v>
      </c>
      <c r="BM613" s="105" t="n">
        <v>0</v>
      </c>
      <c r="BN613" s="105" t="n">
        <v>0</v>
      </c>
      <c r="BO613" s="105" t="n">
        <v>0</v>
      </c>
      <c r="BP613" s="105" t="n">
        <v>0</v>
      </c>
      <c r="BQ613" s="105" t="n">
        <v>0</v>
      </c>
      <c r="BR613" s="106" t="n">
        <v>0</v>
      </c>
      <c r="BS613" s="106" t="n">
        <v>0</v>
      </c>
      <c r="BT613" s="107"/>
      <c r="BU613" s="107"/>
      <c r="BV613" s="107"/>
      <c r="BW613" s="107"/>
      <c r="BX613" s="107"/>
      <c r="BY613" s="107"/>
      <c r="BZ613" s="107"/>
      <c r="CA613" s="107"/>
      <c r="CB613" s="107"/>
      <c r="CC613" s="107"/>
      <c r="CD613" s="107"/>
      <c r="CE613" s="107"/>
      <c r="CF613" s="107"/>
      <c r="CG613" s="107"/>
      <c r="CH613" s="107"/>
      <c r="CI613" s="107"/>
      <c r="CJ613" s="107"/>
      <c r="CK613" s="107"/>
      <c r="CL613" s="107"/>
      <c r="CM613" s="107"/>
      <c r="CN613" s="107"/>
      <c r="CO613" s="107"/>
      <c r="CP613" s="107"/>
      <c r="CQ613" s="107"/>
      <c r="CR613" s="107"/>
      <c r="CS613" s="107"/>
      <c r="CT613" s="107"/>
      <c r="CU613" s="107"/>
      <c r="CV613" s="107"/>
    </row>
    <row r="614" customFormat="false" ht="14.9" hidden="false" customHeight="false" outlineLevel="0" collapsed="false">
      <c r="A614" s="74" t="n">
        <f aca="false">MONTH(B614)</f>
        <v>9</v>
      </c>
      <c r="B614" s="135" t="n">
        <v>44460</v>
      </c>
      <c r="C614" s="128" t="s">
        <v>152</v>
      </c>
      <c r="D614" s="77" t="str">
        <f aca="false">IFERROR(VLOOKUP(E:E,'Item Data Support Sheet'!A:O,7,0),"")</f>
        <v>NIPPLE MOLDED</v>
      </c>
      <c r="E614" s="80" t="s">
        <v>809</v>
      </c>
      <c r="F614" s="122" t="s">
        <v>137</v>
      </c>
      <c r="G614" s="137" t="s">
        <v>138</v>
      </c>
      <c r="H614" s="79" t="str">
        <f aca="false">IFERROR(VLOOKUP(E:E,'Item Data Support Sheet'!A:O,2,0),"")</f>
        <v>NIPPLE S TYPE Y SIZE INJECTION</v>
      </c>
      <c r="I614" s="80" t="s">
        <v>1245</v>
      </c>
      <c r="J614" s="80" t="s">
        <v>815</v>
      </c>
      <c r="K614" s="81" t="n">
        <v>8</v>
      </c>
      <c r="L614" s="124" t="n">
        <v>4815</v>
      </c>
      <c r="M614" s="83" t="n">
        <f aca="false">IFERROR(L614/K614,0)</f>
        <v>601.875</v>
      </c>
      <c r="N614" s="84" t="n">
        <f aca="false">+O614+Q614+T614+U614</f>
        <v>5304</v>
      </c>
      <c r="O614" s="85" t="n">
        <v>5200</v>
      </c>
      <c r="P614" s="86" t="n">
        <v>0</v>
      </c>
      <c r="Q614" s="86" t="n">
        <v>34</v>
      </c>
      <c r="R614" s="132" t="n">
        <v>0</v>
      </c>
      <c r="S614" s="128" t="n">
        <v>0</v>
      </c>
      <c r="T614" s="132" t="n">
        <v>62</v>
      </c>
      <c r="U614" s="128" t="n">
        <v>8</v>
      </c>
      <c r="V614" s="128" t="n">
        <v>1</v>
      </c>
      <c r="W614" s="90" t="n">
        <f aca="false">IFERROR(O614/V614,0)</f>
        <v>5200</v>
      </c>
      <c r="X614" s="91" t="n">
        <f aca="false">O614/L614</f>
        <v>1.07995846313603</v>
      </c>
      <c r="Y614" s="92" t="str">
        <f aca="false">IFERROR(VLOOKUP(E:E,'Item Data Support Sheet'!A:J,6,0),0)</f>
        <v>Silicon</v>
      </c>
      <c r="Z614" s="93" t="n">
        <f aca="false">IFERROR(VLOOKUP(E:E,'Item Data Support Sheet'!A:O,4,0),0)</f>
        <v>6.8</v>
      </c>
      <c r="AA614" s="93" t="n">
        <f aca="false">IFERROR(((N614)*(Z614/1000))+P614,0)</f>
        <v>36.0672</v>
      </c>
      <c r="AB614" s="94" t="n">
        <f aca="false">IFERROR((O614*(Z614/1000)/(AA614))," ")</f>
        <v>0.980392156862745</v>
      </c>
      <c r="AC614" s="95" t="n">
        <f aca="false">IFERROR((T614)/((T614)+O614),0)</f>
        <v>0.0117825921702775</v>
      </c>
      <c r="AD614" s="96" t="n">
        <f aca="false">IFERROR(Q614/(Q614+N614),0)</f>
        <v>0.00636942675159236</v>
      </c>
      <c r="AE614" s="91" t="n">
        <f aca="false">(N614-T614)/N614</f>
        <v>0.988310708898944</v>
      </c>
      <c r="AF614" s="97" t="n">
        <f aca="false">BR614</f>
        <v>0</v>
      </c>
      <c r="AG614" s="98" t="n">
        <f aca="false">K614-AF614</f>
        <v>8</v>
      </c>
      <c r="AH614" s="99" t="n">
        <f aca="false">IFERROR(AG614/K614," ")</f>
        <v>1</v>
      </c>
      <c r="AI614" s="100" t="n">
        <f aca="false">IFERROR(O614/K614,0)</f>
        <v>650</v>
      </c>
      <c r="AJ614" s="101" t="n">
        <f aca="false">VLOOKUP(D614,'Standard Cycle time'!C:D,2,0)</f>
        <v>5.25</v>
      </c>
      <c r="AK614" s="101" t="n">
        <f aca="false">AG614*V614*3600/O614</f>
        <v>5.53846153846154</v>
      </c>
      <c r="AL614" s="102" t="n">
        <f aca="false">AJ614/AK614</f>
        <v>0.947916666666667</v>
      </c>
      <c r="AM614" s="99" t="n">
        <f aca="false">AE614*AL614*AH614</f>
        <v>0.936836192810458</v>
      </c>
      <c r="AN614" s="103" t="n">
        <v>3434</v>
      </c>
      <c r="AO614" s="112"/>
      <c r="AP614" s="105" t="n">
        <v>0</v>
      </c>
      <c r="AQ614" s="105" t="n">
        <v>0</v>
      </c>
      <c r="AR614" s="105" t="n">
        <v>0</v>
      </c>
      <c r="AS614" s="105" t="n">
        <v>0</v>
      </c>
      <c r="AT614" s="105" t="n">
        <v>0</v>
      </c>
      <c r="AU614" s="105" t="n">
        <v>0</v>
      </c>
      <c r="AV614" s="105" t="n">
        <v>0</v>
      </c>
      <c r="AW614" s="105" t="n">
        <v>0</v>
      </c>
      <c r="AX614" s="105" t="n">
        <v>0</v>
      </c>
      <c r="AY614" s="105" t="n">
        <v>0</v>
      </c>
      <c r="AZ614" s="105" t="n">
        <v>0</v>
      </c>
      <c r="BA614" s="105" t="n">
        <v>0</v>
      </c>
      <c r="BB614" s="105" t="n">
        <v>0</v>
      </c>
      <c r="BC614" s="105" t="n">
        <v>0</v>
      </c>
      <c r="BD614" s="105" t="n">
        <v>0</v>
      </c>
      <c r="BE614" s="105" t="n">
        <v>0</v>
      </c>
      <c r="BF614" s="105" t="n">
        <v>0</v>
      </c>
      <c r="BG614" s="105" t="n">
        <v>0</v>
      </c>
      <c r="BH614" s="105" t="n">
        <v>0</v>
      </c>
      <c r="BI614" s="105" t="n">
        <v>0</v>
      </c>
      <c r="BJ614" s="105" t="n">
        <v>0</v>
      </c>
      <c r="BK614" s="105" t="n">
        <v>0</v>
      </c>
      <c r="BL614" s="105" t="n">
        <v>0</v>
      </c>
      <c r="BM614" s="105" t="n">
        <v>0</v>
      </c>
      <c r="BN614" s="105" t="n">
        <v>0</v>
      </c>
      <c r="BO614" s="105" t="n">
        <v>0</v>
      </c>
      <c r="BP614" s="105" t="n">
        <v>0</v>
      </c>
      <c r="BQ614" s="105" t="n">
        <v>0</v>
      </c>
      <c r="BR614" s="106" t="n">
        <v>0</v>
      </c>
      <c r="BS614" s="106" t="n">
        <v>0</v>
      </c>
      <c r="BT614" s="107"/>
      <c r="BU614" s="107"/>
      <c r="BV614" s="107"/>
      <c r="BW614" s="107"/>
      <c r="BX614" s="107"/>
      <c r="BY614" s="107"/>
      <c r="BZ614" s="107"/>
      <c r="CA614" s="107"/>
      <c r="CB614" s="107"/>
      <c r="CC614" s="107"/>
      <c r="CD614" s="107"/>
      <c r="CE614" s="107"/>
      <c r="CF614" s="107"/>
      <c r="CG614" s="107"/>
      <c r="CH614" s="107"/>
      <c r="CI614" s="107"/>
      <c r="CJ614" s="107"/>
      <c r="CK614" s="107"/>
      <c r="CL614" s="107"/>
      <c r="CM614" s="107"/>
      <c r="CN614" s="107"/>
      <c r="CO614" s="107"/>
      <c r="CP614" s="107"/>
      <c r="CQ614" s="107"/>
      <c r="CR614" s="107"/>
      <c r="CS614" s="107"/>
      <c r="CT614" s="107"/>
      <c r="CU614" s="107"/>
      <c r="CV614" s="107"/>
    </row>
    <row r="615" customFormat="false" ht="14.9" hidden="false" customHeight="false" outlineLevel="0" collapsed="false">
      <c r="A615" s="74" t="n">
        <f aca="false">MONTH(B615)</f>
        <v>9</v>
      </c>
      <c r="B615" s="135" t="n">
        <v>44460</v>
      </c>
      <c r="C615" s="128" t="s">
        <v>152</v>
      </c>
      <c r="D615" s="77" t="str">
        <f aca="false">IFERROR(VLOOKUP(E:E,'Item Data Support Sheet'!A:O,7,0),"")</f>
        <v>CAP MOLDED</v>
      </c>
      <c r="E615" s="80" t="s">
        <v>261</v>
      </c>
      <c r="F615" s="122"/>
      <c r="G615" s="137" t="s">
        <v>1211</v>
      </c>
      <c r="H615" s="79" t="str">
        <f aca="false">IFERROR(VLOOKUP(E:E,'Item Data Support Sheet'!A:O,2,0),"")</f>
        <v>CAP S TYPE MOLDED PINK</v>
      </c>
      <c r="I615" s="80" t="s">
        <v>1246</v>
      </c>
      <c r="J615" s="80" t="s">
        <v>815</v>
      </c>
      <c r="K615" s="81" t="n">
        <v>8</v>
      </c>
      <c r="L615" s="124" t="n">
        <v>4137</v>
      </c>
      <c r="M615" s="83" t="n">
        <f aca="false">IFERROR(L615/K615,0)</f>
        <v>517.125</v>
      </c>
      <c r="N615" s="84" t="n">
        <f aca="false">+O615+Q615+T615+U615</f>
        <v>4213</v>
      </c>
      <c r="O615" s="85" t="n">
        <v>4200</v>
      </c>
      <c r="P615" s="86" t="n">
        <v>0</v>
      </c>
      <c r="Q615" s="86" t="n">
        <v>0</v>
      </c>
      <c r="R615" s="132" t="n">
        <v>0</v>
      </c>
      <c r="S615" s="128" t="n">
        <v>0</v>
      </c>
      <c r="T615" s="132" t="n">
        <v>5</v>
      </c>
      <c r="U615" s="128" t="n">
        <v>8</v>
      </c>
      <c r="V615" s="128" t="n">
        <v>1</v>
      </c>
      <c r="W615" s="90" t="n">
        <f aca="false">IFERROR(O615/V615,0)</f>
        <v>4200</v>
      </c>
      <c r="X615" s="91" t="n">
        <f aca="false">O615/L615</f>
        <v>1.01522842639594</v>
      </c>
      <c r="Y615" s="92" t="str">
        <f aca="false">IFERROR(VLOOKUP(E:E,'Item Data Support Sheet'!A:J,6,0),0)</f>
        <v>RM000123</v>
      </c>
      <c r="Z615" s="93" t="n">
        <f aca="false">IFERROR(VLOOKUP(E:E,'Item Data Support Sheet'!A:O,4,0),0)</f>
        <v>7.3</v>
      </c>
      <c r="AA615" s="93" t="n">
        <f aca="false">IFERROR(((N615)*(Z615/1000))+P615,0)</f>
        <v>30.7549</v>
      </c>
      <c r="AB615" s="94" t="n">
        <f aca="false">IFERROR((O615*(Z615/1000)/(AA615))," ")</f>
        <v>0.996914312841206</v>
      </c>
      <c r="AC615" s="95" t="n">
        <f aca="false">IFERROR((T615)/((T615)+O615),0)</f>
        <v>0.00118906064209275</v>
      </c>
      <c r="AD615" s="96" t="n">
        <f aca="false">IFERROR(Q615/(Q615+N615),0)</f>
        <v>0</v>
      </c>
      <c r="AE615" s="91" t="n">
        <f aca="false">(N615-T615)/N615</f>
        <v>0.998813197246618</v>
      </c>
      <c r="AF615" s="97" t="n">
        <f aca="false">BR615</f>
        <v>0</v>
      </c>
      <c r="AG615" s="98" t="n">
        <f aca="false">K615-AF615</f>
        <v>8</v>
      </c>
      <c r="AH615" s="99" t="n">
        <f aca="false">IFERROR(AG615/K615," ")</f>
        <v>1</v>
      </c>
      <c r="AI615" s="100" t="n">
        <f aca="false">IFERROR(O615/K615,0)</f>
        <v>525</v>
      </c>
      <c r="AJ615" s="101" t="n">
        <f aca="false">VLOOKUP(D615,'Standard Cycle time'!C:D,2,0)</f>
        <v>6</v>
      </c>
      <c r="AK615" s="101" t="n">
        <f aca="false">AG615*V615*3600/O615</f>
        <v>6.85714285714286</v>
      </c>
      <c r="AL615" s="102" t="n">
        <f aca="false">AJ615/AK615</f>
        <v>0.875</v>
      </c>
      <c r="AM615" s="99" t="n">
        <f aca="false">AE615*AL615*AH615</f>
        <v>0.87396154759079</v>
      </c>
      <c r="AN615" s="103" t="n">
        <v>3485</v>
      </c>
      <c r="AO615" s="112"/>
      <c r="AP615" s="105" t="n">
        <v>0</v>
      </c>
      <c r="AQ615" s="105" t="n">
        <v>0</v>
      </c>
      <c r="AR615" s="105" t="n">
        <v>0</v>
      </c>
      <c r="AS615" s="105" t="n">
        <v>0</v>
      </c>
      <c r="AT615" s="105" t="n">
        <v>0</v>
      </c>
      <c r="AU615" s="105" t="n">
        <v>0</v>
      </c>
      <c r="AV615" s="105" t="n">
        <v>0</v>
      </c>
      <c r="AW615" s="105" t="n">
        <v>0</v>
      </c>
      <c r="AX615" s="105" t="n">
        <v>0</v>
      </c>
      <c r="AY615" s="105" t="n">
        <v>0</v>
      </c>
      <c r="AZ615" s="105" t="n">
        <v>0</v>
      </c>
      <c r="BA615" s="105" t="n">
        <v>0</v>
      </c>
      <c r="BB615" s="105" t="n">
        <v>0</v>
      </c>
      <c r="BC615" s="105" t="n">
        <v>0</v>
      </c>
      <c r="BD615" s="105" t="n">
        <v>0</v>
      </c>
      <c r="BE615" s="105" t="n">
        <v>0</v>
      </c>
      <c r="BF615" s="105" t="n">
        <v>0</v>
      </c>
      <c r="BG615" s="105" t="n">
        <v>0</v>
      </c>
      <c r="BH615" s="105" t="n">
        <v>0</v>
      </c>
      <c r="BI615" s="105" t="n">
        <v>0</v>
      </c>
      <c r="BJ615" s="105" t="n">
        <v>0</v>
      </c>
      <c r="BK615" s="105" t="n">
        <v>0</v>
      </c>
      <c r="BL615" s="105" t="n">
        <v>0</v>
      </c>
      <c r="BM615" s="105" t="n">
        <v>0</v>
      </c>
      <c r="BN615" s="105" t="n">
        <v>0</v>
      </c>
      <c r="BO615" s="105" t="n">
        <v>0</v>
      </c>
      <c r="BP615" s="105" t="n">
        <v>0</v>
      </c>
      <c r="BQ615" s="105" t="n">
        <v>0</v>
      </c>
      <c r="BR615" s="106" t="n">
        <v>0</v>
      </c>
      <c r="BS615" s="106" t="n">
        <v>0</v>
      </c>
      <c r="BT615" s="107"/>
      <c r="BU615" s="107"/>
      <c r="BV615" s="107"/>
      <c r="BW615" s="107"/>
      <c r="BX615" s="107"/>
      <c r="BY615" s="107"/>
      <c r="BZ615" s="107"/>
      <c r="CA615" s="107"/>
      <c r="CB615" s="107"/>
      <c r="CC615" s="107"/>
      <c r="CD615" s="107"/>
      <c r="CE615" s="107"/>
      <c r="CF615" s="107"/>
      <c r="CG615" s="107"/>
      <c r="CH615" s="107"/>
      <c r="CI615" s="107"/>
      <c r="CJ615" s="107"/>
      <c r="CK615" s="107"/>
      <c r="CL615" s="107"/>
      <c r="CM615" s="107"/>
      <c r="CN615" s="107"/>
      <c r="CO615" s="107"/>
      <c r="CP615" s="107"/>
      <c r="CQ615" s="107"/>
      <c r="CR615" s="107"/>
      <c r="CS615" s="107"/>
      <c r="CT615" s="107"/>
      <c r="CU615" s="107"/>
      <c r="CV615" s="107"/>
    </row>
    <row r="616" customFormat="false" ht="14.9" hidden="false" customHeight="false" outlineLevel="0" collapsed="false">
      <c r="A616" s="74" t="n">
        <f aca="false">MONTH(B616)</f>
        <v>9</v>
      </c>
      <c r="B616" s="135" t="n">
        <v>44461</v>
      </c>
      <c r="C616" s="128" t="s">
        <v>51</v>
      </c>
      <c r="D616" s="77" t="str">
        <f aca="false">IFERROR(VLOOKUP(E:E,'Item Data Support Sheet'!A:O,7,0),"")</f>
        <v>BOTTLE MOLDED</v>
      </c>
      <c r="E616" s="80" t="s">
        <v>357</v>
      </c>
      <c r="F616" s="122" t="s">
        <v>144</v>
      </c>
      <c r="G616" s="137" t="s">
        <v>74</v>
      </c>
      <c r="H616" s="79" t="str">
        <f aca="false">IFERROR(VLOOKUP(E:E,'Item Data Support Sheet'!A:O,2,0),"")</f>
        <v>KPP 120 ML BOTTLE MOLDED</v>
      </c>
      <c r="I616" s="80" t="s">
        <v>1247</v>
      </c>
      <c r="J616" s="80" t="s">
        <v>143</v>
      </c>
      <c r="K616" s="81" t="n">
        <v>8</v>
      </c>
      <c r="L616" s="124" t="n">
        <v>2574</v>
      </c>
      <c r="M616" s="83" t="n">
        <f aca="false">IFERROR(L616/K616,0)</f>
        <v>321.75</v>
      </c>
      <c r="N616" s="84" t="n">
        <f aca="false">+O616+Q616+T616+U616</f>
        <v>3214</v>
      </c>
      <c r="O616" s="85" t="n">
        <v>3132</v>
      </c>
      <c r="P616" s="86" t="n">
        <v>0</v>
      </c>
      <c r="Q616" s="86" t="n">
        <v>24</v>
      </c>
      <c r="R616" s="132" t="n">
        <v>0</v>
      </c>
      <c r="S616" s="128" t="n">
        <v>0</v>
      </c>
      <c r="T616" s="132" t="n">
        <v>50</v>
      </c>
      <c r="U616" s="128" t="n">
        <v>8</v>
      </c>
      <c r="V616" s="128" t="n">
        <v>1</v>
      </c>
      <c r="W616" s="90" t="n">
        <f aca="false">IFERROR(O616/V616,0)</f>
        <v>3132</v>
      </c>
      <c r="X616" s="91" t="n">
        <f aca="false">O616/L616</f>
        <v>1.21678321678322</v>
      </c>
      <c r="Y616" s="92" t="str">
        <f aca="false">IFERROR(VLOOKUP(E:E,'Item Data Support Sheet'!A:J,6,0),0)</f>
        <v>HMC</v>
      </c>
      <c r="Z616" s="93" t="n">
        <f aca="false">IFERROR(VLOOKUP(E:E,'Item Data Support Sheet'!A:O,4,0),0)</f>
        <v>21.3</v>
      </c>
      <c r="AA616" s="93" t="n">
        <f aca="false">IFERROR(((N616)*(Z616/1000))+P616,0)</f>
        <v>68.4582</v>
      </c>
      <c r="AB616" s="94" t="n">
        <f aca="false">IFERROR((O616*(Z616/1000)/(AA616))," ")</f>
        <v>0.974486621032981</v>
      </c>
      <c r="AC616" s="95" t="n">
        <f aca="false">IFERROR((T616)/((T616)+O616),0)</f>
        <v>0.0157133878064111</v>
      </c>
      <c r="AD616" s="96" t="n">
        <f aca="false">IFERROR(Q616/(Q616+N616),0)</f>
        <v>0.00741198270537369</v>
      </c>
      <c r="AE616" s="91" t="n">
        <f aca="false">(N616-T616)/N616</f>
        <v>0.984443061605476</v>
      </c>
      <c r="AF616" s="97" t="n">
        <f aca="false">BR616</f>
        <v>0</v>
      </c>
      <c r="AG616" s="98" t="n">
        <f aca="false">K616-AF616</f>
        <v>8</v>
      </c>
      <c r="AH616" s="99" t="n">
        <f aca="false">IFERROR(AG616/K616," ")</f>
        <v>1</v>
      </c>
      <c r="AI616" s="100" t="n">
        <f aca="false">IFERROR(O616/K616,0)</f>
        <v>391.5</v>
      </c>
      <c r="AJ616" s="101" t="n">
        <f aca="false">VLOOKUP(D616,'Standard Cycle time'!C:D,2,0)</f>
        <v>9</v>
      </c>
      <c r="AK616" s="101" t="n">
        <f aca="false">AG616*V616*3600/O616</f>
        <v>9.19540229885057</v>
      </c>
      <c r="AL616" s="102" t="n">
        <f aca="false">AJ616/AK616</f>
        <v>0.97875</v>
      </c>
      <c r="AM616" s="99" t="n">
        <f aca="false">AE616*AL616*AH616</f>
        <v>0.96352364654636</v>
      </c>
      <c r="AN616" s="103" t="s">
        <v>1248</v>
      </c>
      <c r="AO616" s="112"/>
      <c r="AP616" s="105" t="n">
        <v>0</v>
      </c>
      <c r="AQ616" s="105" t="n">
        <v>0</v>
      </c>
      <c r="AR616" s="105" t="n">
        <v>0</v>
      </c>
      <c r="AS616" s="105" t="n">
        <v>0</v>
      </c>
      <c r="AT616" s="105" t="n">
        <v>0</v>
      </c>
      <c r="AU616" s="105" t="n">
        <v>0</v>
      </c>
      <c r="AV616" s="105" t="n">
        <v>0</v>
      </c>
      <c r="AW616" s="105" t="n">
        <v>0</v>
      </c>
      <c r="AX616" s="105" t="n">
        <v>0</v>
      </c>
      <c r="AY616" s="105" t="n">
        <v>0</v>
      </c>
      <c r="AZ616" s="105" t="n">
        <v>0</v>
      </c>
      <c r="BA616" s="105" t="n">
        <v>0</v>
      </c>
      <c r="BB616" s="105" t="n">
        <v>0</v>
      </c>
      <c r="BC616" s="105" t="n">
        <v>0</v>
      </c>
      <c r="BD616" s="105" t="n">
        <v>0</v>
      </c>
      <c r="BE616" s="105" t="n">
        <v>0</v>
      </c>
      <c r="BF616" s="105" t="n">
        <v>0</v>
      </c>
      <c r="BG616" s="105" t="n">
        <v>0</v>
      </c>
      <c r="BH616" s="105" t="n">
        <v>0</v>
      </c>
      <c r="BI616" s="105" t="n">
        <v>0</v>
      </c>
      <c r="BJ616" s="105" t="n">
        <v>0</v>
      </c>
      <c r="BK616" s="105" t="n">
        <v>0</v>
      </c>
      <c r="BL616" s="105" t="n">
        <v>0</v>
      </c>
      <c r="BM616" s="105" t="n">
        <v>0</v>
      </c>
      <c r="BN616" s="105" t="n">
        <v>0</v>
      </c>
      <c r="BO616" s="105" t="n">
        <v>0</v>
      </c>
      <c r="BP616" s="105" t="n">
        <v>0</v>
      </c>
      <c r="BQ616" s="105" t="n">
        <v>0</v>
      </c>
      <c r="BR616" s="106" t="n">
        <v>0</v>
      </c>
      <c r="BS616" s="106" t="n">
        <v>0</v>
      </c>
      <c r="BT616" s="107"/>
      <c r="BU616" s="107"/>
      <c r="BV616" s="107"/>
      <c r="BW616" s="107"/>
      <c r="BX616" s="107"/>
      <c r="BY616" s="107"/>
      <c r="BZ616" s="107"/>
      <c r="CA616" s="107"/>
      <c r="CB616" s="107"/>
      <c r="CC616" s="107"/>
      <c r="CD616" s="107"/>
      <c r="CE616" s="107"/>
      <c r="CF616" s="107"/>
      <c r="CG616" s="107"/>
      <c r="CH616" s="107"/>
      <c r="CI616" s="107"/>
      <c r="CJ616" s="107"/>
      <c r="CK616" s="107"/>
      <c r="CL616" s="107"/>
      <c r="CM616" s="107"/>
      <c r="CN616" s="107"/>
      <c r="CO616" s="107"/>
      <c r="CP616" s="107"/>
      <c r="CQ616" s="107"/>
      <c r="CR616" s="107"/>
      <c r="CS616" s="107"/>
      <c r="CT616" s="107"/>
      <c r="CU616" s="107"/>
      <c r="CV616" s="107"/>
    </row>
    <row r="617" customFormat="false" ht="14.9" hidden="false" customHeight="false" outlineLevel="0" collapsed="false">
      <c r="A617" s="74" t="n">
        <f aca="false">MONTH(B617)</f>
        <v>9</v>
      </c>
      <c r="B617" s="135" t="n">
        <v>44461</v>
      </c>
      <c r="C617" s="128" t="s">
        <v>51</v>
      </c>
      <c r="D617" s="77" t="str">
        <f aca="false">IFERROR(VLOOKUP(E:E,'Item Data Support Sheet'!A:O,7,0),"")</f>
        <v>NIPPLE MOLDED</v>
      </c>
      <c r="E617" s="80" t="s">
        <v>809</v>
      </c>
      <c r="F617" s="122" t="s">
        <v>137</v>
      </c>
      <c r="G617" s="137" t="s">
        <v>138</v>
      </c>
      <c r="H617" s="79" t="str">
        <f aca="false">IFERROR(VLOOKUP(E:E,'Item Data Support Sheet'!A:O,2,0),"")</f>
        <v>NIPPLE S TYPE Y SIZE INJECTION</v>
      </c>
      <c r="I617" s="80" t="s">
        <v>1249</v>
      </c>
      <c r="J617" s="80" t="s">
        <v>143</v>
      </c>
      <c r="K617" s="81" t="n">
        <v>8</v>
      </c>
      <c r="L617" s="124" t="n">
        <v>4815</v>
      </c>
      <c r="M617" s="83" t="n">
        <f aca="false">IFERROR(L617/K617,0)</f>
        <v>601.875</v>
      </c>
      <c r="N617" s="84" t="n">
        <f aca="false">+O617+Q617+T617+U617</f>
        <v>5288</v>
      </c>
      <c r="O617" s="85" t="n">
        <v>5200</v>
      </c>
      <c r="P617" s="86" t="n">
        <v>0</v>
      </c>
      <c r="Q617" s="86" t="n">
        <v>28</v>
      </c>
      <c r="R617" s="132" t="n">
        <v>0</v>
      </c>
      <c r="S617" s="128" t="n">
        <v>0</v>
      </c>
      <c r="T617" s="132" t="n">
        <v>52</v>
      </c>
      <c r="U617" s="128" t="n">
        <v>8</v>
      </c>
      <c r="V617" s="128" t="n">
        <v>1</v>
      </c>
      <c r="W617" s="90" t="n">
        <f aca="false">IFERROR(O617/V617,0)</f>
        <v>5200</v>
      </c>
      <c r="X617" s="91" t="n">
        <f aca="false">O617/L617</f>
        <v>1.07995846313603</v>
      </c>
      <c r="Y617" s="92" t="str">
        <f aca="false">IFERROR(VLOOKUP(E:E,'Item Data Support Sheet'!A:J,6,0),0)</f>
        <v>Silicon</v>
      </c>
      <c r="Z617" s="93" t="n">
        <f aca="false">IFERROR(VLOOKUP(E:E,'Item Data Support Sheet'!A:O,4,0),0)</f>
        <v>6.8</v>
      </c>
      <c r="AA617" s="93" t="n">
        <f aca="false">IFERROR(((N617)*(Z617/1000))+P617,0)</f>
        <v>35.9584</v>
      </c>
      <c r="AB617" s="94" t="n">
        <f aca="false">IFERROR((O617*(Z617/1000)/(AA617))," ")</f>
        <v>0.983358547655068</v>
      </c>
      <c r="AC617" s="95" t="n">
        <f aca="false">IFERROR((T617)/((T617)+O617),0)</f>
        <v>0.0099009900990099</v>
      </c>
      <c r="AD617" s="96" t="n">
        <f aca="false">IFERROR(Q617/(Q617+N617),0)</f>
        <v>0.00526711813393529</v>
      </c>
      <c r="AE617" s="91" t="n">
        <f aca="false">(N617-T617)/N617</f>
        <v>0.990166414523449</v>
      </c>
      <c r="AF617" s="97" t="n">
        <f aca="false">BR617</f>
        <v>0</v>
      </c>
      <c r="AG617" s="98" t="n">
        <f aca="false">K617-AF617</f>
        <v>8</v>
      </c>
      <c r="AH617" s="99" t="n">
        <f aca="false">IFERROR(AG617/K617," ")</f>
        <v>1</v>
      </c>
      <c r="AI617" s="100" t="n">
        <f aca="false">IFERROR(O617/K617,0)</f>
        <v>650</v>
      </c>
      <c r="AJ617" s="101" t="n">
        <f aca="false">VLOOKUP(D617,'Standard Cycle time'!C:D,2,0)</f>
        <v>5.25</v>
      </c>
      <c r="AK617" s="101" t="n">
        <f aca="false">AG617*V617*3600/O617</f>
        <v>5.53846153846154</v>
      </c>
      <c r="AL617" s="102" t="n">
        <f aca="false">AJ617/AK617</f>
        <v>0.947916666666667</v>
      </c>
      <c r="AM617" s="99" t="n">
        <f aca="false">AE617*AL617*AH617</f>
        <v>0.938595247100353</v>
      </c>
      <c r="AN617" s="103" t="s">
        <v>1250</v>
      </c>
      <c r="AO617" s="112"/>
      <c r="AP617" s="105" t="n">
        <v>0</v>
      </c>
      <c r="AQ617" s="105" t="n">
        <v>0</v>
      </c>
      <c r="AR617" s="105" t="n">
        <v>0</v>
      </c>
      <c r="AS617" s="105" t="n">
        <v>0</v>
      </c>
      <c r="AT617" s="105" t="n">
        <v>0</v>
      </c>
      <c r="AU617" s="105" t="n">
        <v>0</v>
      </c>
      <c r="AV617" s="105" t="n">
        <v>0</v>
      </c>
      <c r="AW617" s="105" t="n">
        <v>0</v>
      </c>
      <c r="AX617" s="105" t="n">
        <v>0</v>
      </c>
      <c r="AY617" s="105" t="n">
        <v>0</v>
      </c>
      <c r="AZ617" s="105" t="n">
        <v>0</v>
      </c>
      <c r="BA617" s="105" t="n">
        <v>0</v>
      </c>
      <c r="BB617" s="105" t="n">
        <v>0</v>
      </c>
      <c r="BC617" s="105" t="n">
        <v>0</v>
      </c>
      <c r="BD617" s="105" t="n">
        <v>0</v>
      </c>
      <c r="BE617" s="105" t="n">
        <v>0</v>
      </c>
      <c r="BF617" s="105" t="n">
        <v>0</v>
      </c>
      <c r="BG617" s="105" t="n">
        <v>0</v>
      </c>
      <c r="BH617" s="105" t="n">
        <v>0</v>
      </c>
      <c r="BI617" s="105" t="n">
        <v>0</v>
      </c>
      <c r="BJ617" s="105" t="n">
        <v>0</v>
      </c>
      <c r="BK617" s="105" t="n">
        <v>0</v>
      </c>
      <c r="BL617" s="105" t="n">
        <v>0</v>
      </c>
      <c r="BM617" s="105" t="n">
        <v>0</v>
      </c>
      <c r="BN617" s="105" t="n">
        <v>0</v>
      </c>
      <c r="BO617" s="105" t="n">
        <v>0</v>
      </c>
      <c r="BP617" s="105" t="n">
        <v>0</v>
      </c>
      <c r="BQ617" s="105" t="n">
        <v>0</v>
      </c>
      <c r="BR617" s="106" t="n">
        <v>0</v>
      </c>
      <c r="BS617" s="106" t="n">
        <v>0</v>
      </c>
      <c r="BT617" s="107"/>
      <c r="BU617" s="107"/>
      <c r="BV617" s="107"/>
      <c r="BW617" s="107"/>
      <c r="BX617" s="107"/>
      <c r="BY617" s="107"/>
      <c r="BZ617" s="107"/>
      <c r="CA617" s="107"/>
      <c r="CB617" s="107"/>
      <c r="CC617" s="107"/>
      <c r="CD617" s="107"/>
      <c r="CE617" s="107"/>
      <c r="CF617" s="107"/>
      <c r="CG617" s="107"/>
      <c r="CH617" s="107"/>
      <c r="CI617" s="107"/>
      <c r="CJ617" s="107"/>
      <c r="CK617" s="107"/>
      <c r="CL617" s="107"/>
      <c r="CM617" s="107"/>
      <c r="CN617" s="107"/>
      <c r="CO617" s="107"/>
      <c r="CP617" s="107"/>
      <c r="CQ617" s="107"/>
      <c r="CR617" s="107"/>
      <c r="CS617" s="107"/>
      <c r="CT617" s="107"/>
      <c r="CU617" s="107"/>
      <c r="CV617" s="107"/>
    </row>
    <row r="618" customFormat="false" ht="14.9" hidden="false" customHeight="false" outlineLevel="0" collapsed="false">
      <c r="A618" s="74" t="n">
        <f aca="false">MONTH(B618)</f>
        <v>9</v>
      </c>
      <c r="B618" s="135" t="n">
        <v>44461</v>
      </c>
      <c r="C618" s="128" t="s">
        <v>51</v>
      </c>
      <c r="D618" s="77" t="str">
        <f aca="false">IFERROR(VLOOKUP(E:E,'Item Data Support Sheet'!A:O,7,0),"")</f>
        <v>CAP MOLDED</v>
      </c>
      <c r="E618" s="80" t="s">
        <v>261</v>
      </c>
      <c r="F618" s="122"/>
      <c r="G618" s="137" t="s">
        <v>1211</v>
      </c>
      <c r="H618" s="79" t="str">
        <f aca="false">IFERROR(VLOOKUP(E:E,'Item Data Support Sheet'!A:O,2,0),"")</f>
        <v>CAP S TYPE MOLDED PINK</v>
      </c>
      <c r="I618" s="80" t="s">
        <v>1251</v>
      </c>
      <c r="J618" s="80" t="s">
        <v>143</v>
      </c>
      <c r="K618" s="81" t="n">
        <v>3</v>
      </c>
      <c r="L618" s="124" t="n">
        <v>1337</v>
      </c>
      <c r="M618" s="83" t="n">
        <f aca="false">IFERROR(L618/K618,0)</f>
        <v>445.666666666667</v>
      </c>
      <c r="N618" s="84" t="n">
        <f aca="false">+O618+Q618+T618+U618</f>
        <v>1230</v>
      </c>
      <c r="O618" s="85" t="n">
        <v>1230</v>
      </c>
      <c r="P618" s="86" t="n">
        <v>0</v>
      </c>
      <c r="Q618" s="86" t="n">
        <v>0</v>
      </c>
      <c r="R618" s="132" t="n">
        <v>0</v>
      </c>
      <c r="S618" s="128" t="n">
        <v>0</v>
      </c>
      <c r="T618" s="132" t="n">
        <v>0</v>
      </c>
      <c r="U618" s="128" t="n">
        <v>0</v>
      </c>
      <c r="V618" s="128" t="n">
        <v>1</v>
      </c>
      <c r="W618" s="90" t="n">
        <f aca="false">IFERROR(O618/V618,0)</f>
        <v>1230</v>
      </c>
      <c r="X618" s="91" t="n">
        <f aca="false">O618/L618</f>
        <v>0.919970082273747</v>
      </c>
      <c r="Y618" s="92" t="str">
        <f aca="false">IFERROR(VLOOKUP(E:E,'Item Data Support Sheet'!A:J,6,0),0)</f>
        <v>RM000123</v>
      </c>
      <c r="Z618" s="93" t="n">
        <f aca="false">IFERROR(VLOOKUP(E:E,'Item Data Support Sheet'!A:O,4,0),0)</f>
        <v>7.3</v>
      </c>
      <c r="AA618" s="93" t="n">
        <f aca="false">IFERROR(((N618)*(Z618/1000))+P618,0)</f>
        <v>8.979</v>
      </c>
      <c r="AB618" s="94" t="n">
        <f aca="false">IFERROR((O618*(Z618/1000)/(AA618))," ")</f>
        <v>1</v>
      </c>
      <c r="AC618" s="95" t="n">
        <f aca="false">IFERROR((T618)/((T618)+O618),0)</f>
        <v>0</v>
      </c>
      <c r="AD618" s="96" t="n">
        <f aca="false">IFERROR(Q618/(Q618+N618),0)</f>
        <v>0</v>
      </c>
      <c r="AE618" s="91" t="n">
        <f aca="false">(N618-T618)/N618</f>
        <v>1</v>
      </c>
      <c r="AF618" s="97" t="n">
        <f aca="false">BR618</f>
        <v>0.75</v>
      </c>
      <c r="AG618" s="98" t="n">
        <f aca="false">K618-AF618</f>
        <v>2.25</v>
      </c>
      <c r="AH618" s="99" t="n">
        <f aca="false">IFERROR(AG618/K618," ")</f>
        <v>0.75</v>
      </c>
      <c r="AI618" s="100" t="n">
        <f aca="false">IFERROR(O618/K618,0)</f>
        <v>410</v>
      </c>
      <c r="AJ618" s="101" t="n">
        <f aca="false">VLOOKUP(D618,'Standard Cycle time'!C:D,2,0)</f>
        <v>6</v>
      </c>
      <c r="AK618" s="101" t="n">
        <f aca="false">AG618*V618*3600/O618</f>
        <v>6.58536585365854</v>
      </c>
      <c r="AL618" s="102" t="n">
        <f aca="false">AJ618/AK618</f>
        <v>0.911111111111111</v>
      </c>
      <c r="AM618" s="99" t="n">
        <f aca="false">AE618*AL618*AH618</f>
        <v>0.683333333333333</v>
      </c>
      <c r="AN618" s="103" t="n">
        <v>3464</v>
      </c>
      <c r="AO618" s="112"/>
      <c r="AP618" s="105" t="n">
        <v>0</v>
      </c>
      <c r="AQ618" s="105" t="n">
        <v>0</v>
      </c>
      <c r="AR618" s="105" t="n">
        <v>0</v>
      </c>
      <c r="AS618" s="105" t="n">
        <v>0</v>
      </c>
      <c r="AT618" s="105" t="n">
        <v>0</v>
      </c>
      <c r="AU618" s="105" t="n">
        <v>0</v>
      </c>
      <c r="AV618" s="105" t="n">
        <v>0</v>
      </c>
      <c r="AW618" s="105" t="n">
        <v>0</v>
      </c>
      <c r="AX618" s="105" t="n">
        <v>0</v>
      </c>
      <c r="AY618" s="105" t="n">
        <v>0</v>
      </c>
      <c r="AZ618" s="105" t="n">
        <v>0</v>
      </c>
      <c r="BA618" s="105" t="n">
        <v>0</v>
      </c>
      <c r="BB618" s="105" t="n">
        <v>0</v>
      </c>
      <c r="BC618" s="105" t="n">
        <v>0</v>
      </c>
      <c r="BD618" s="105" t="n">
        <v>0</v>
      </c>
      <c r="BE618" s="105" t="n">
        <v>0</v>
      </c>
      <c r="BF618" s="105" t="n">
        <v>0</v>
      </c>
      <c r="BG618" s="105" t="n">
        <v>0</v>
      </c>
      <c r="BH618" s="105" t="n">
        <v>0</v>
      </c>
      <c r="BI618" s="105" t="n">
        <v>0</v>
      </c>
      <c r="BJ618" s="105" t="n">
        <v>0</v>
      </c>
      <c r="BK618" s="105" t="n">
        <v>0</v>
      </c>
      <c r="BL618" s="105" t="n">
        <v>0</v>
      </c>
      <c r="BM618" s="105" t="n">
        <v>45</v>
      </c>
      <c r="BN618" s="105" t="n">
        <v>0</v>
      </c>
      <c r="BO618" s="105" t="n">
        <v>0</v>
      </c>
      <c r="BP618" s="105" t="n">
        <v>0</v>
      </c>
      <c r="BQ618" s="105" t="n">
        <v>0</v>
      </c>
      <c r="BR618" s="106" t="n">
        <v>0.75</v>
      </c>
      <c r="BS618" s="106" t="n">
        <v>0.7625</v>
      </c>
      <c r="BT618" s="107"/>
      <c r="BU618" s="107"/>
      <c r="BV618" s="107"/>
      <c r="BW618" s="107"/>
      <c r="BX618" s="107"/>
      <c r="BY618" s="107"/>
      <c r="BZ618" s="107"/>
      <c r="CA618" s="107"/>
      <c r="CB618" s="107"/>
      <c r="CC618" s="107"/>
      <c r="CD618" s="107"/>
      <c r="CE618" s="107"/>
      <c r="CF618" s="107"/>
      <c r="CG618" s="107"/>
      <c r="CH618" s="107"/>
      <c r="CI618" s="107"/>
      <c r="CJ618" s="107"/>
      <c r="CK618" s="107"/>
      <c r="CL618" s="107"/>
      <c r="CM618" s="107"/>
      <c r="CN618" s="107"/>
      <c r="CO618" s="107"/>
      <c r="CP618" s="107"/>
      <c r="CQ618" s="107"/>
      <c r="CR618" s="107"/>
      <c r="CS618" s="107"/>
      <c r="CT618" s="107"/>
      <c r="CU618" s="107"/>
      <c r="CV618" s="107"/>
    </row>
    <row r="619" customFormat="false" ht="14.9" hidden="false" customHeight="false" outlineLevel="0" collapsed="false">
      <c r="A619" s="74" t="n">
        <f aca="false">MONTH(B619)</f>
        <v>9</v>
      </c>
      <c r="B619" s="135" t="n">
        <v>44461</v>
      </c>
      <c r="C619" s="128" t="s">
        <v>51</v>
      </c>
      <c r="D619" s="77" t="str">
        <f aca="false">IFERROR(VLOOKUP(E:E,'Item Data Support Sheet'!A:O,7,0),"")</f>
        <v>CAP MOLDED</v>
      </c>
      <c r="E619" s="80" t="s">
        <v>261</v>
      </c>
      <c r="F619" s="122"/>
      <c r="G619" s="137" t="s">
        <v>1215</v>
      </c>
      <c r="H619" s="79" t="str">
        <f aca="false">IFERROR(VLOOKUP(E:E,'Item Data Support Sheet'!A:O,2,0),"")</f>
        <v>CAP S TYPE MOLDED PINK</v>
      </c>
      <c r="I619" s="80" t="s">
        <v>1252</v>
      </c>
      <c r="J619" s="80" t="s">
        <v>143</v>
      </c>
      <c r="K619" s="81" t="n">
        <v>5</v>
      </c>
      <c r="L619" s="124" t="n">
        <v>2800</v>
      </c>
      <c r="M619" s="83" t="n">
        <f aca="false">IFERROR(L619/K619,0)</f>
        <v>560</v>
      </c>
      <c r="N619" s="84" t="n">
        <f aca="false">+O619+Q619+T619+U619</f>
        <v>2812</v>
      </c>
      <c r="O619" s="85" t="n">
        <v>2800</v>
      </c>
      <c r="P619" s="86" t="n">
        <v>0</v>
      </c>
      <c r="Q619" s="86" t="n">
        <v>0</v>
      </c>
      <c r="R619" s="132" t="n">
        <v>0</v>
      </c>
      <c r="S619" s="128" t="n">
        <v>0</v>
      </c>
      <c r="T619" s="132" t="n">
        <v>4</v>
      </c>
      <c r="U619" s="128" t="n">
        <v>8</v>
      </c>
      <c r="V619" s="128" t="n">
        <v>1</v>
      </c>
      <c r="W619" s="90" t="n">
        <f aca="false">IFERROR(O619/V619,0)</f>
        <v>2800</v>
      </c>
      <c r="X619" s="91" t="n">
        <f aca="false">O619/L619</f>
        <v>1</v>
      </c>
      <c r="Y619" s="92" t="str">
        <f aca="false">IFERROR(VLOOKUP(E:E,'Item Data Support Sheet'!A:J,6,0),0)</f>
        <v>RM000123</v>
      </c>
      <c r="Z619" s="93" t="n">
        <f aca="false">IFERROR(VLOOKUP(E:E,'Item Data Support Sheet'!A:O,4,0),0)</f>
        <v>7.3</v>
      </c>
      <c r="AA619" s="93" t="n">
        <f aca="false">IFERROR(((N619)*(Z619/1000))+P619,0)</f>
        <v>20.5276</v>
      </c>
      <c r="AB619" s="94" t="n">
        <f aca="false">IFERROR((O619*(Z619/1000)/(AA619))," ")</f>
        <v>0.995732574679943</v>
      </c>
      <c r="AC619" s="95" t="n">
        <f aca="false">IFERROR((T619)/((T619)+O619),0)</f>
        <v>0.0014265335235378</v>
      </c>
      <c r="AD619" s="96" t="n">
        <f aca="false">IFERROR(Q619/(Q619+N619),0)</f>
        <v>0</v>
      </c>
      <c r="AE619" s="91" t="n">
        <f aca="false">(N619-T619)/N619</f>
        <v>0.998577524893314</v>
      </c>
      <c r="AF619" s="97" t="n">
        <f aca="false">BR619</f>
        <v>0</v>
      </c>
      <c r="AG619" s="98" t="n">
        <f aca="false">K619-AF619</f>
        <v>5</v>
      </c>
      <c r="AH619" s="99" t="n">
        <f aca="false">IFERROR(AG619/K619," ")</f>
        <v>1</v>
      </c>
      <c r="AI619" s="100" t="n">
        <f aca="false">IFERROR(O619/K619,0)</f>
        <v>560</v>
      </c>
      <c r="AJ619" s="101" t="n">
        <f aca="false">VLOOKUP(D619,'Standard Cycle time'!C:D,2,0)</f>
        <v>6</v>
      </c>
      <c r="AK619" s="101" t="n">
        <f aca="false">AG619*V619*3600/O619</f>
        <v>6.42857142857143</v>
      </c>
      <c r="AL619" s="102" t="n">
        <f aca="false">AJ619/AK619</f>
        <v>0.933333333333333</v>
      </c>
      <c r="AM619" s="99" t="n">
        <f aca="false">AE619*AL619*AH619</f>
        <v>0.932005689900427</v>
      </c>
      <c r="AN619" s="103" t="s">
        <v>1253</v>
      </c>
      <c r="AO619" s="112"/>
      <c r="AP619" s="105" t="n">
        <v>0</v>
      </c>
      <c r="AQ619" s="105" t="n">
        <v>0</v>
      </c>
      <c r="AR619" s="105" t="n">
        <v>0</v>
      </c>
      <c r="AS619" s="105" t="n">
        <v>0</v>
      </c>
      <c r="AT619" s="105" t="n">
        <v>0</v>
      </c>
      <c r="AU619" s="105" t="n">
        <v>0</v>
      </c>
      <c r="AV619" s="105" t="n">
        <v>0</v>
      </c>
      <c r="AW619" s="105" t="n">
        <v>0</v>
      </c>
      <c r="AX619" s="105" t="n">
        <v>0</v>
      </c>
      <c r="AY619" s="105" t="n">
        <v>0</v>
      </c>
      <c r="AZ619" s="105" t="n">
        <v>0</v>
      </c>
      <c r="BA619" s="105" t="n">
        <v>0</v>
      </c>
      <c r="BB619" s="105" t="n">
        <v>0</v>
      </c>
      <c r="BC619" s="105" t="n">
        <v>0</v>
      </c>
      <c r="BD619" s="105" t="n">
        <v>0</v>
      </c>
      <c r="BE619" s="105" t="n">
        <v>0</v>
      </c>
      <c r="BF619" s="105" t="n">
        <v>0</v>
      </c>
      <c r="BG619" s="105" t="n">
        <v>0</v>
      </c>
      <c r="BH619" s="105" t="n">
        <v>0</v>
      </c>
      <c r="BI619" s="105" t="n">
        <v>0</v>
      </c>
      <c r="BJ619" s="105" t="n">
        <v>0</v>
      </c>
      <c r="BK619" s="105" t="n">
        <v>0</v>
      </c>
      <c r="BL619" s="105" t="n">
        <v>0</v>
      </c>
      <c r="BM619" s="105" t="n">
        <v>0</v>
      </c>
      <c r="BN619" s="105" t="n">
        <v>0</v>
      </c>
      <c r="BO619" s="105" t="n">
        <v>0</v>
      </c>
      <c r="BP619" s="105" t="n">
        <v>0</v>
      </c>
      <c r="BQ619" s="105" t="n">
        <v>0</v>
      </c>
      <c r="BR619" s="106" t="n">
        <v>0</v>
      </c>
      <c r="BS619" s="106" t="n">
        <v>0</v>
      </c>
      <c r="BT619" s="107"/>
      <c r="BU619" s="107"/>
      <c r="BV619" s="107"/>
      <c r="BW619" s="107"/>
      <c r="BX619" s="107"/>
      <c r="BY619" s="107"/>
      <c r="BZ619" s="107"/>
      <c r="CA619" s="107"/>
      <c r="CB619" s="107"/>
      <c r="CC619" s="107"/>
      <c r="CD619" s="107"/>
      <c r="CE619" s="107"/>
      <c r="CF619" s="107"/>
      <c r="CG619" s="107"/>
      <c r="CH619" s="107"/>
      <c r="CI619" s="107"/>
      <c r="CJ619" s="107"/>
      <c r="CK619" s="107"/>
      <c r="CL619" s="107"/>
      <c r="CM619" s="107"/>
      <c r="CN619" s="107"/>
      <c r="CO619" s="107"/>
      <c r="CP619" s="107"/>
      <c r="CQ619" s="107"/>
      <c r="CR619" s="107"/>
      <c r="CS619" s="107"/>
      <c r="CT619" s="107"/>
      <c r="CU619" s="107"/>
      <c r="CV619" s="107"/>
    </row>
    <row r="620" customFormat="false" ht="14.9" hidden="false" customHeight="false" outlineLevel="0" collapsed="false">
      <c r="A620" s="74" t="n">
        <f aca="false">MONTH(B620)</f>
        <v>9</v>
      </c>
      <c r="B620" s="135" t="n">
        <v>44461</v>
      </c>
      <c r="C620" s="128" t="s">
        <v>51</v>
      </c>
      <c r="D620" s="77" t="str">
        <f aca="false">IFERROR(VLOOKUP(E:E,'Item Data Support Sheet'!A:O,7,0),"")</f>
        <v>NIPPLE LASER MARKING</v>
      </c>
      <c r="E620" s="80" t="s">
        <v>681</v>
      </c>
      <c r="F620" s="122"/>
      <c r="G620" s="137" t="s">
        <v>517</v>
      </c>
      <c r="H620" s="79" t="str">
        <f aca="false">IFERROR(VLOOKUP(E:E,'Item Data Support Sheet'!A:O,2,0),"")</f>
        <v>NIPPLE S TYPE L SIZE PUNCHED LASER MARKED</v>
      </c>
      <c r="I620" s="80" t="s">
        <v>1254</v>
      </c>
      <c r="J620" s="80" t="s">
        <v>143</v>
      </c>
      <c r="K620" s="81" t="n">
        <v>8</v>
      </c>
      <c r="L620" s="124" t="n">
        <v>7000</v>
      </c>
      <c r="M620" s="83" t="n">
        <f aca="false">IFERROR(L620/K620,0)</f>
        <v>875</v>
      </c>
      <c r="N620" s="84" t="n">
        <f aca="false">+O620+Q620+T620+U620</f>
        <v>7300</v>
      </c>
      <c r="O620" s="85" t="n">
        <v>7300</v>
      </c>
      <c r="P620" s="86" t="n">
        <v>0</v>
      </c>
      <c r="Q620" s="86" t="n">
        <v>0</v>
      </c>
      <c r="R620" s="132" t="n">
        <v>0</v>
      </c>
      <c r="S620" s="128" t="n">
        <v>0</v>
      </c>
      <c r="T620" s="132" t="n">
        <v>0</v>
      </c>
      <c r="U620" s="128" t="n">
        <v>0</v>
      </c>
      <c r="V620" s="128" t="n">
        <v>1</v>
      </c>
      <c r="W620" s="90" t="n">
        <f aca="false">IFERROR(O620/V620,0)</f>
        <v>7300</v>
      </c>
      <c r="X620" s="91" t="n">
        <f aca="false">O620/L620</f>
        <v>1.04285714285714</v>
      </c>
      <c r="Y620" s="92" t="str">
        <f aca="false">IFERROR(VLOOKUP(E:E,'Item Data Support Sheet'!A:J,6,0),0)</f>
        <v>FO021</v>
      </c>
      <c r="Z620" s="93" t="n">
        <f aca="false">IFERROR(VLOOKUP(E:E,'Item Data Support Sheet'!A:O,4,0),0)</f>
        <v>0</v>
      </c>
      <c r="AA620" s="93" t="n">
        <f aca="false">IFERROR(((N620)*(Z620/1000))+P620,0)</f>
        <v>0</v>
      </c>
      <c r="AB620" s="94" t="str">
        <f aca="false">IFERROR((O620*(Z620/1000)/(AA620))," ")</f>
        <v> </v>
      </c>
      <c r="AC620" s="95" t="n">
        <f aca="false">IFERROR((T620)/((T620)+O620),0)</f>
        <v>0</v>
      </c>
      <c r="AD620" s="96" t="n">
        <f aca="false">IFERROR(Q620/(Q620+N620),0)</f>
        <v>0</v>
      </c>
      <c r="AE620" s="91" t="n">
        <f aca="false">(N620-T620)/N620</f>
        <v>1</v>
      </c>
      <c r="AF620" s="97" t="n">
        <f aca="false">BR620</f>
        <v>0.666666666666667</v>
      </c>
      <c r="AG620" s="98" t="n">
        <f aca="false">K620-AF620</f>
        <v>7.33333333333333</v>
      </c>
      <c r="AH620" s="99" t="n">
        <f aca="false">IFERROR(AG620/K620," ")</f>
        <v>0.916666666666667</v>
      </c>
      <c r="AI620" s="100" t="n">
        <f aca="false">IFERROR(O620/K620,0)</f>
        <v>912.5</v>
      </c>
      <c r="AJ620" s="101" t="n">
        <f aca="false">VLOOKUP(D620,'Standard Cycle time'!C:D,2,0)</f>
        <v>3.5</v>
      </c>
      <c r="AK620" s="101" t="n">
        <f aca="false">AG620*V620*3600/O620</f>
        <v>3.61643835616438</v>
      </c>
      <c r="AL620" s="102" t="n">
        <f aca="false">AJ620/AK620</f>
        <v>0.96780303030303</v>
      </c>
      <c r="AM620" s="99" t="n">
        <f aca="false">AE620*AL620*AH620</f>
        <v>0.887152777777778</v>
      </c>
      <c r="AN620" s="103" t="s">
        <v>1255</v>
      </c>
      <c r="AO620" s="112"/>
      <c r="AP620" s="105" t="n">
        <v>40</v>
      </c>
      <c r="AQ620" s="105" t="n">
        <v>0</v>
      </c>
      <c r="AR620" s="105" t="n">
        <v>0</v>
      </c>
      <c r="AS620" s="105" t="n">
        <v>0</v>
      </c>
      <c r="AT620" s="105" t="n">
        <v>0</v>
      </c>
      <c r="AU620" s="105" t="n">
        <v>0</v>
      </c>
      <c r="AV620" s="105" t="n">
        <v>0</v>
      </c>
      <c r="AW620" s="105" t="n">
        <v>0</v>
      </c>
      <c r="AX620" s="105" t="n">
        <v>0</v>
      </c>
      <c r="AY620" s="105" t="n">
        <v>0</v>
      </c>
      <c r="AZ620" s="105" t="n">
        <v>0</v>
      </c>
      <c r="BA620" s="105" t="n">
        <v>0</v>
      </c>
      <c r="BB620" s="105" t="n">
        <v>0</v>
      </c>
      <c r="BC620" s="105" t="n">
        <v>0</v>
      </c>
      <c r="BD620" s="105" t="n">
        <v>0</v>
      </c>
      <c r="BE620" s="105" t="n">
        <v>0</v>
      </c>
      <c r="BF620" s="105" t="n">
        <v>0</v>
      </c>
      <c r="BG620" s="105" t="n">
        <v>0</v>
      </c>
      <c r="BH620" s="105" t="n">
        <v>0</v>
      </c>
      <c r="BI620" s="105" t="n">
        <v>0</v>
      </c>
      <c r="BJ620" s="105" t="n">
        <v>0</v>
      </c>
      <c r="BK620" s="105" t="n">
        <v>0</v>
      </c>
      <c r="BL620" s="105" t="n">
        <v>0</v>
      </c>
      <c r="BM620" s="105" t="n">
        <v>0</v>
      </c>
      <c r="BN620" s="105" t="n">
        <v>0</v>
      </c>
      <c r="BO620" s="105" t="n">
        <v>0</v>
      </c>
      <c r="BP620" s="105" t="n">
        <v>0</v>
      </c>
      <c r="BQ620" s="105" t="n">
        <v>0</v>
      </c>
      <c r="BR620" s="106" t="n">
        <v>0.666666666666667</v>
      </c>
      <c r="BS620" s="106" t="n">
        <v>0.677777777777778</v>
      </c>
      <c r="BT620" s="107"/>
      <c r="BU620" s="107"/>
      <c r="BV620" s="107"/>
      <c r="BW620" s="107"/>
      <c r="BX620" s="107"/>
      <c r="BY620" s="107"/>
      <c r="BZ620" s="107"/>
      <c r="CA620" s="107"/>
      <c r="CB620" s="107"/>
      <c r="CC620" s="107"/>
      <c r="CD620" s="107"/>
      <c r="CE620" s="107"/>
      <c r="CF620" s="107"/>
      <c r="CG620" s="107"/>
      <c r="CH620" s="107"/>
      <c r="CI620" s="107"/>
      <c r="CJ620" s="107"/>
      <c r="CK620" s="107"/>
      <c r="CL620" s="107"/>
      <c r="CM620" s="107"/>
      <c r="CN620" s="107"/>
      <c r="CO620" s="107"/>
      <c r="CP620" s="107"/>
      <c r="CQ620" s="107"/>
      <c r="CR620" s="107"/>
      <c r="CS620" s="107"/>
      <c r="CT620" s="107"/>
      <c r="CU620" s="107"/>
      <c r="CV620" s="107"/>
    </row>
    <row r="621" customFormat="false" ht="14.9" hidden="false" customHeight="false" outlineLevel="0" collapsed="false">
      <c r="A621" s="74" t="n">
        <f aca="false">MONTH(B621)</f>
        <v>9</v>
      </c>
      <c r="B621" s="135" t="n">
        <v>44461</v>
      </c>
      <c r="C621" s="128" t="s">
        <v>51</v>
      </c>
      <c r="D621" s="77" t="str">
        <f aca="false">IFERROR(VLOOKUP(E:E,'Item Data Support Sheet'!A:O,7,0),"")</f>
        <v>NIPPLE PUNCH</v>
      </c>
      <c r="E621" s="80" t="s">
        <v>666</v>
      </c>
      <c r="F621" s="122"/>
      <c r="G621" s="137" t="s">
        <v>54</v>
      </c>
      <c r="H621" s="79" t="str">
        <f aca="false">IFERROR(VLOOKUP(E:E,'Item Data Support Sheet'!A:O,2,0),"")</f>
        <v>NIPPLE S TYPE L SIZE PUNCHED</v>
      </c>
      <c r="I621" s="80" t="s">
        <v>1256</v>
      </c>
      <c r="J621" s="80" t="s">
        <v>143</v>
      </c>
      <c r="K621" s="81" t="n">
        <v>8</v>
      </c>
      <c r="L621" s="124" t="n">
        <v>7000</v>
      </c>
      <c r="M621" s="83" t="n">
        <f aca="false">IFERROR(L621/K621,0)</f>
        <v>875</v>
      </c>
      <c r="N621" s="84" t="n">
        <f aca="false">+O621+Q621+T621+U621</f>
        <v>7000</v>
      </c>
      <c r="O621" s="85" t="n">
        <v>7000</v>
      </c>
      <c r="P621" s="86" t="n">
        <v>0</v>
      </c>
      <c r="Q621" s="86" t="n">
        <v>0</v>
      </c>
      <c r="R621" s="132" t="n">
        <v>0</v>
      </c>
      <c r="S621" s="128" t="n">
        <v>0</v>
      </c>
      <c r="T621" s="132" t="n">
        <v>0</v>
      </c>
      <c r="U621" s="128" t="n">
        <v>0</v>
      </c>
      <c r="V621" s="128" t="n">
        <v>1</v>
      </c>
      <c r="W621" s="90" t="n">
        <f aca="false">IFERROR(O621/V621,0)</f>
        <v>7000</v>
      </c>
      <c r="X621" s="91" t="n">
        <f aca="false">O621/L621</f>
        <v>1</v>
      </c>
      <c r="Y621" s="92" t="str">
        <f aca="false">IFERROR(VLOOKUP(E:E,'Item Data Support Sheet'!A:J,6,0),0)</f>
        <v>FO017</v>
      </c>
      <c r="Z621" s="93" t="n">
        <f aca="false">IFERROR(VLOOKUP(E:E,'Item Data Support Sheet'!A:O,4,0),0)</f>
        <v>0</v>
      </c>
      <c r="AA621" s="93" t="n">
        <f aca="false">IFERROR(((N621)*(Z621/1000))+P621,0)</f>
        <v>0</v>
      </c>
      <c r="AB621" s="94" t="str">
        <f aca="false">IFERROR((O621*(Z621/1000)/(AA621))," ")</f>
        <v> </v>
      </c>
      <c r="AC621" s="95" t="n">
        <f aca="false">IFERROR((T621)/((T621)+O621),0)</f>
        <v>0</v>
      </c>
      <c r="AD621" s="96" t="n">
        <f aca="false">IFERROR(Q621/(Q621+N621),0)</f>
        <v>0</v>
      </c>
      <c r="AE621" s="91" t="n">
        <f aca="false">(N621-T621)/N621</f>
        <v>1</v>
      </c>
      <c r="AF621" s="97" t="n">
        <f aca="false">BR621</f>
        <v>0.666666666666667</v>
      </c>
      <c r="AG621" s="98" t="n">
        <f aca="false">K621-AF621</f>
        <v>7.33333333333333</v>
      </c>
      <c r="AH621" s="99" t="n">
        <f aca="false">IFERROR(AG621/K621," ")</f>
        <v>0.916666666666667</v>
      </c>
      <c r="AI621" s="100" t="n">
        <f aca="false">IFERROR(O621/K621,0)</f>
        <v>875</v>
      </c>
      <c r="AJ621" s="101" t="n">
        <f aca="false">VLOOKUP(D621,'Standard Cycle time'!C:D,2,0)</f>
        <v>3.5</v>
      </c>
      <c r="AK621" s="101" t="n">
        <f aca="false">AG621*V621*3600/O621</f>
        <v>3.77142857142857</v>
      </c>
      <c r="AL621" s="102" t="n">
        <f aca="false">AJ621/AK621</f>
        <v>0.928030303030303</v>
      </c>
      <c r="AM621" s="99" t="n">
        <f aca="false">AE621*AL621*AH621</f>
        <v>0.850694444444444</v>
      </c>
      <c r="AN621" s="103" t="s">
        <v>1257</v>
      </c>
      <c r="AO621" s="112"/>
      <c r="AP621" s="105" t="n">
        <v>40</v>
      </c>
      <c r="AQ621" s="105" t="n">
        <v>0</v>
      </c>
      <c r="AR621" s="105" t="n">
        <v>0</v>
      </c>
      <c r="AS621" s="105" t="n">
        <v>0</v>
      </c>
      <c r="AT621" s="105" t="n">
        <v>0</v>
      </c>
      <c r="AU621" s="105" t="n">
        <v>0</v>
      </c>
      <c r="AV621" s="105" t="n">
        <v>0</v>
      </c>
      <c r="AW621" s="105" t="n">
        <v>0</v>
      </c>
      <c r="AX621" s="105" t="n">
        <v>0</v>
      </c>
      <c r="AY621" s="105" t="n">
        <v>0</v>
      </c>
      <c r="AZ621" s="105" t="n">
        <v>0</v>
      </c>
      <c r="BA621" s="105" t="n">
        <v>0</v>
      </c>
      <c r="BB621" s="105" t="n">
        <v>0</v>
      </c>
      <c r="BC621" s="105" t="n">
        <v>0</v>
      </c>
      <c r="BD621" s="105" t="n">
        <v>0</v>
      </c>
      <c r="BE621" s="105" t="n">
        <v>0</v>
      </c>
      <c r="BF621" s="105" t="n">
        <v>0</v>
      </c>
      <c r="BG621" s="105" t="n">
        <v>0</v>
      </c>
      <c r="BH621" s="105" t="n">
        <v>0</v>
      </c>
      <c r="BI621" s="105" t="n">
        <v>0</v>
      </c>
      <c r="BJ621" s="105" t="n">
        <v>0</v>
      </c>
      <c r="BK621" s="105" t="n">
        <v>0</v>
      </c>
      <c r="BL621" s="105" t="n">
        <v>0</v>
      </c>
      <c r="BM621" s="105" t="n">
        <v>0</v>
      </c>
      <c r="BN621" s="105" t="n">
        <v>0</v>
      </c>
      <c r="BO621" s="105" t="n">
        <v>0</v>
      </c>
      <c r="BP621" s="105" t="n">
        <v>0</v>
      </c>
      <c r="BQ621" s="105" t="n">
        <v>0</v>
      </c>
      <c r="BR621" s="106" t="n">
        <v>0.666666666666667</v>
      </c>
      <c r="BS621" s="106" t="n">
        <v>0.677777777777778</v>
      </c>
      <c r="BT621" s="107"/>
      <c r="BU621" s="107"/>
      <c r="BV621" s="107"/>
      <c r="BW621" s="107"/>
      <c r="BX621" s="107"/>
      <c r="BY621" s="107"/>
      <c r="BZ621" s="107"/>
      <c r="CA621" s="107"/>
      <c r="CB621" s="107"/>
      <c r="CC621" s="107"/>
      <c r="CD621" s="107"/>
      <c r="CE621" s="107"/>
      <c r="CF621" s="107"/>
      <c r="CG621" s="107"/>
      <c r="CH621" s="107"/>
      <c r="CI621" s="107"/>
      <c r="CJ621" s="107"/>
      <c r="CK621" s="107"/>
      <c r="CL621" s="107"/>
      <c r="CM621" s="107"/>
      <c r="CN621" s="107"/>
      <c r="CO621" s="107"/>
      <c r="CP621" s="107"/>
      <c r="CQ621" s="107"/>
      <c r="CR621" s="107"/>
      <c r="CS621" s="107"/>
      <c r="CT621" s="107"/>
      <c r="CU621" s="107"/>
      <c r="CV621" s="107"/>
    </row>
    <row r="622" customFormat="false" ht="14.9" hidden="false" customHeight="false" outlineLevel="0" collapsed="false">
      <c r="A622" s="74" t="n">
        <f aca="false">MONTH(B622)</f>
        <v>9</v>
      </c>
      <c r="B622" s="135" t="n">
        <v>44461</v>
      </c>
      <c r="C622" s="128" t="s">
        <v>51</v>
      </c>
      <c r="D622" s="77" t="str">
        <f aca="false">IFERROR(VLOOKUP(E:E,'Item Data Support Sheet'!A:O,7,0),"")</f>
        <v>BOTTLE PRINTED</v>
      </c>
      <c r="E622" s="80" t="s">
        <v>591</v>
      </c>
      <c r="F622" s="122"/>
      <c r="G622" s="137" t="s">
        <v>54</v>
      </c>
      <c r="H622" s="79" t="str">
        <f aca="false">IFERROR(VLOOKUP(E:E,'Item Data Support Sheet'!A:O,2,0),"")</f>
        <v>RPP 240 ML BOTTLE PRINTED</v>
      </c>
      <c r="I622" s="80" t="s">
        <v>1256</v>
      </c>
      <c r="J622" s="80" t="s">
        <v>143</v>
      </c>
      <c r="K622" s="81" t="n">
        <v>8</v>
      </c>
      <c r="L622" s="124" t="n">
        <v>5134</v>
      </c>
      <c r="M622" s="83" t="n">
        <f aca="false">IFERROR(L622/K622,0)</f>
        <v>641.75</v>
      </c>
      <c r="N622" s="84" t="n">
        <f aca="false">+O622+Q622+T622+U622</f>
        <v>5932</v>
      </c>
      <c r="O622" s="85" t="n">
        <v>5840</v>
      </c>
      <c r="P622" s="86" t="n">
        <v>0</v>
      </c>
      <c r="Q622" s="86" t="n">
        <v>0</v>
      </c>
      <c r="R622" s="132" t="n">
        <v>31</v>
      </c>
      <c r="S622" s="128" t="n">
        <v>0</v>
      </c>
      <c r="T622" s="132" t="n">
        <v>92</v>
      </c>
      <c r="U622" s="128" t="n">
        <v>0</v>
      </c>
      <c r="V622" s="128" t="n">
        <v>1</v>
      </c>
      <c r="W622" s="90" t="n">
        <f aca="false">IFERROR(O622/V622,0)</f>
        <v>5840</v>
      </c>
      <c r="X622" s="91" t="n">
        <f aca="false">O622/L622</f>
        <v>1.1375146084924</v>
      </c>
      <c r="Y622" s="92" t="str">
        <f aca="false">IFERROR(VLOOKUP(E:E,'Item Data Support Sheet'!A:J,6,0),0)</f>
        <v>FO005</v>
      </c>
      <c r="Z622" s="93" t="n">
        <f aca="false">IFERROR(VLOOKUP(E:E,'Item Data Support Sheet'!A:O,4,0),0)</f>
        <v>0</v>
      </c>
      <c r="AA622" s="93" t="n">
        <f aca="false">IFERROR(((N622)*(Z622/1000))+P622,0)</f>
        <v>0</v>
      </c>
      <c r="AB622" s="94" t="str">
        <f aca="false">IFERROR((O622*(Z622/1000)/(AA622))," ")</f>
        <v> </v>
      </c>
      <c r="AC622" s="95" t="n">
        <f aca="false">IFERROR((T622)/((T622)+O622),0)</f>
        <v>0.0155091031692515</v>
      </c>
      <c r="AD622" s="96" t="n">
        <f aca="false">IFERROR(Q622/(Q622+N622),0)</f>
        <v>0</v>
      </c>
      <c r="AE622" s="91" t="n">
        <f aca="false">(N622-T622)/N622</f>
        <v>0.984490896830748</v>
      </c>
      <c r="AF622" s="97" t="n">
        <f aca="false">BR622</f>
        <v>0</v>
      </c>
      <c r="AG622" s="98" t="n">
        <f aca="false">K622-AF622</f>
        <v>8</v>
      </c>
      <c r="AH622" s="99" t="n">
        <f aca="false">IFERROR(AG622/K622," ")</f>
        <v>1</v>
      </c>
      <c r="AI622" s="100" t="n">
        <f aca="false">IFERROR(O622/K622,0)</f>
        <v>730</v>
      </c>
      <c r="AJ622" s="101" t="n">
        <f aca="false">VLOOKUP(D622,'Standard Cycle time'!C:D,2,0)</f>
        <v>32.4</v>
      </c>
      <c r="AK622" s="101" t="n">
        <f aca="false">AG622*V622*3600/O622</f>
        <v>4.93150684931507</v>
      </c>
      <c r="AL622" s="102" t="n">
        <f aca="false">AJ622/AK622</f>
        <v>6.57</v>
      </c>
      <c r="AM622" s="99" t="n">
        <f aca="false">AE622*AL622*AH622</f>
        <v>6.46810519217802</v>
      </c>
      <c r="AN622" s="103" t="s">
        <v>869</v>
      </c>
      <c r="AO622" s="112"/>
      <c r="AP622" s="105" t="n">
        <v>0</v>
      </c>
      <c r="AQ622" s="105" t="n">
        <v>0</v>
      </c>
      <c r="AR622" s="105" t="n">
        <v>0</v>
      </c>
      <c r="AS622" s="105" t="n">
        <v>0</v>
      </c>
      <c r="AT622" s="105" t="n">
        <v>0</v>
      </c>
      <c r="AU622" s="105" t="n">
        <v>0</v>
      </c>
      <c r="AV622" s="105" t="n">
        <v>0</v>
      </c>
      <c r="AW622" s="105" t="n">
        <v>0</v>
      </c>
      <c r="AX622" s="105" t="n">
        <v>0</v>
      </c>
      <c r="AY622" s="105" t="n">
        <v>0</v>
      </c>
      <c r="AZ622" s="105" t="n">
        <v>0</v>
      </c>
      <c r="BA622" s="105" t="n">
        <v>0</v>
      </c>
      <c r="BB622" s="105" t="n">
        <v>0</v>
      </c>
      <c r="BC622" s="105" t="n">
        <v>0</v>
      </c>
      <c r="BD622" s="105" t="n">
        <v>0</v>
      </c>
      <c r="BE622" s="105" t="n">
        <v>0</v>
      </c>
      <c r="BF622" s="105" t="n">
        <v>0</v>
      </c>
      <c r="BG622" s="105" t="n">
        <v>0</v>
      </c>
      <c r="BH622" s="105" t="n">
        <v>0</v>
      </c>
      <c r="BI622" s="105" t="n">
        <v>0</v>
      </c>
      <c r="BJ622" s="105" t="n">
        <v>0</v>
      </c>
      <c r="BK622" s="105" t="n">
        <v>0</v>
      </c>
      <c r="BL622" s="105" t="n">
        <v>0</v>
      </c>
      <c r="BM622" s="105" t="n">
        <v>0</v>
      </c>
      <c r="BN622" s="105" t="n">
        <v>0</v>
      </c>
      <c r="BO622" s="105" t="n">
        <v>0</v>
      </c>
      <c r="BP622" s="105" t="n">
        <v>0</v>
      </c>
      <c r="BQ622" s="105" t="n">
        <v>0</v>
      </c>
      <c r="BR622" s="106" t="n">
        <v>0</v>
      </c>
      <c r="BS622" s="106" t="n">
        <v>0</v>
      </c>
      <c r="BT622" s="107"/>
      <c r="BU622" s="107"/>
      <c r="BV622" s="107"/>
      <c r="BW622" s="107"/>
      <c r="BX622" s="107"/>
      <c r="BY622" s="107"/>
      <c r="BZ622" s="107"/>
      <c r="CA622" s="107"/>
      <c r="CB622" s="107"/>
      <c r="CC622" s="107"/>
      <c r="CD622" s="107"/>
      <c r="CE622" s="107"/>
      <c r="CF622" s="107"/>
      <c r="CG622" s="107"/>
      <c r="CH622" s="107"/>
      <c r="CI622" s="107"/>
      <c r="CJ622" s="107"/>
      <c r="CK622" s="107"/>
      <c r="CL622" s="107"/>
      <c r="CM622" s="107"/>
      <c r="CN622" s="107"/>
      <c r="CO622" s="107"/>
      <c r="CP622" s="107"/>
      <c r="CQ622" s="107"/>
      <c r="CR622" s="107"/>
      <c r="CS622" s="107"/>
      <c r="CT622" s="107"/>
      <c r="CU622" s="107"/>
      <c r="CV622" s="107"/>
    </row>
    <row r="623" customFormat="false" ht="14.9" hidden="false" customHeight="false" outlineLevel="0" collapsed="false">
      <c r="A623" s="74" t="n">
        <f aca="false">MONTH(B623)</f>
        <v>9</v>
      </c>
      <c r="B623" s="135" t="n">
        <v>44461</v>
      </c>
      <c r="C623" s="128" t="s">
        <v>63</v>
      </c>
      <c r="D623" s="77" t="str">
        <f aca="false">IFERROR(VLOOKUP(E:E,'Item Data Support Sheet'!A:O,7,0),"")</f>
        <v>NIPPLE PUNCH INSPECTED</v>
      </c>
      <c r="E623" s="80" t="s">
        <v>688</v>
      </c>
      <c r="F623" s="122"/>
      <c r="G623" s="137"/>
      <c r="H623" s="79" t="str">
        <f aca="false">IFERROR(VLOOKUP(E:E,'Item Data Support Sheet'!A:O,2,0),"")</f>
        <v>NIPPLE S TYPE L SIZE PUNCHED INSPECTED</v>
      </c>
      <c r="I623" s="80" t="s">
        <v>1258</v>
      </c>
      <c r="J623" s="80" t="s">
        <v>155</v>
      </c>
      <c r="K623" s="81" t="n">
        <v>8</v>
      </c>
      <c r="L623" s="124" t="n">
        <v>14182</v>
      </c>
      <c r="M623" s="83" t="n">
        <f aca="false">IFERROR(L623/K623,0)</f>
        <v>1772.75</v>
      </c>
      <c r="N623" s="84" t="n">
        <f aca="false">+O623+Q623+T623+U623</f>
        <v>14300</v>
      </c>
      <c r="O623" s="85" t="n">
        <v>14228</v>
      </c>
      <c r="P623" s="86" t="n">
        <v>0</v>
      </c>
      <c r="Q623" s="86" t="n">
        <v>0</v>
      </c>
      <c r="R623" s="132" t="n">
        <v>0</v>
      </c>
      <c r="S623" s="128" t="n">
        <v>0</v>
      </c>
      <c r="T623" s="132" t="n">
        <v>72</v>
      </c>
      <c r="U623" s="128" t="n">
        <v>0</v>
      </c>
      <c r="V623" s="128" t="n">
        <v>2</v>
      </c>
      <c r="W623" s="90" t="n">
        <f aca="false">IFERROR(O623/V623,0)</f>
        <v>7114</v>
      </c>
      <c r="X623" s="91" t="n">
        <f aca="false">O623/L623</f>
        <v>1.00324354815964</v>
      </c>
      <c r="Y623" s="92" t="str">
        <f aca="false">IFERROR(VLOOKUP(E:E,'Item Data Support Sheet'!A:J,6,0),0)</f>
        <v>FO106</v>
      </c>
      <c r="Z623" s="93" t="n">
        <f aca="false">IFERROR(VLOOKUP(E:E,'Item Data Support Sheet'!A:O,4,0),0)</f>
        <v>0</v>
      </c>
      <c r="AA623" s="93" t="n">
        <f aca="false">IFERROR(((N623)*(Z623/1000))+P623,0)</f>
        <v>0</v>
      </c>
      <c r="AB623" s="94" t="str">
        <f aca="false">IFERROR((O623*(Z623/1000)/(AA623))," ")</f>
        <v> </v>
      </c>
      <c r="AC623" s="95" t="n">
        <f aca="false">IFERROR((T623)/((T623)+O623),0)</f>
        <v>0.00503496503496504</v>
      </c>
      <c r="AD623" s="96" t="n">
        <f aca="false">IFERROR(Q623/(Q623+N623),0)</f>
        <v>0</v>
      </c>
      <c r="AE623" s="91" t="n">
        <f aca="false">(N623-T623)/N623</f>
        <v>0.994965034965035</v>
      </c>
      <c r="AF623" s="97" t="n">
        <f aca="false">BR623</f>
        <v>0.666666666666667</v>
      </c>
      <c r="AG623" s="98" t="n">
        <f aca="false">K623-AF623</f>
        <v>7.33333333333333</v>
      </c>
      <c r="AH623" s="99" t="n">
        <f aca="false">IFERROR(AG623/K623," ")</f>
        <v>0.916666666666667</v>
      </c>
      <c r="AI623" s="100" t="n">
        <f aca="false">IFERROR(O623/K623,0)</f>
        <v>1778.5</v>
      </c>
      <c r="AJ623" s="101" t="n">
        <f aca="false">VLOOKUP(D623,'Standard Cycle time'!C:D,2,0)</f>
        <v>4</v>
      </c>
      <c r="AK623" s="101" t="n">
        <f aca="false">AG623*V623*3600/O623</f>
        <v>3.71099240933371</v>
      </c>
      <c r="AL623" s="102" t="n">
        <f aca="false">AJ623/AK623</f>
        <v>1.07787878787879</v>
      </c>
      <c r="AM623" s="99" t="n">
        <f aca="false">AE623*AL623*AH623</f>
        <v>0.98308073038073</v>
      </c>
      <c r="AN623" s="103" t="s">
        <v>1259</v>
      </c>
      <c r="AO623" s="112"/>
      <c r="AP623" s="105" t="n">
        <v>40</v>
      </c>
      <c r="AQ623" s="105" t="n">
        <v>0</v>
      </c>
      <c r="AR623" s="105" t="n">
        <v>0</v>
      </c>
      <c r="AS623" s="105" t="n">
        <v>0</v>
      </c>
      <c r="AT623" s="105" t="n">
        <v>0</v>
      </c>
      <c r="AU623" s="105" t="n">
        <v>0</v>
      </c>
      <c r="AV623" s="105" t="n">
        <v>0</v>
      </c>
      <c r="AW623" s="105" t="n">
        <v>0</v>
      </c>
      <c r="AX623" s="105" t="n">
        <v>0</v>
      </c>
      <c r="AY623" s="105" t="n">
        <v>0</v>
      </c>
      <c r="AZ623" s="105" t="n">
        <v>0</v>
      </c>
      <c r="BA623" s="105" t="n">
        <v>0</v>
      </c>
      <c r="BB623" s="105" t="n">
        <v>0</v>
      </c>
      <c r="BC623" s="105" t="n">
        <v>0</v>
      </c>
      <c r="BD623" s="105" t="n">
        <v>0</v>
      </c>
      <c r="BE623" s="105" t="n">
        <v>0</v>
      </c>
      <c r="BF623" s="105" t="n">
        <v>0</v>
      </c>
      <c r="BG623" s="105" t="n">
        <v>0</v>
      </c>
      <c r="BH623" s="105" t="n">
        <v>0</v>
      </c>
      <c r="BI623" s="105" t="n">
        <v>0</v>
      </c>
      <c r="BJ623" s="105" t="n">
        <v>0</v>
      </c>
      <c r="BK623" s="105" t="n">
        <v>0</v>
      </c>
      <c r="BL623" s="105" t="n">
        <v>0</v>
      </c>
      <c r="BM623" s="105" t="n">
        <v>0</v>
      </c>
      <c r="BN623" s="105" t="n">
        <v>0</v>
      </c>
      <c r="BO623" s="105" t="n">
        <v>0</v>
      </c>
      <c r="BP623" s="105" t="n">
        <v>0</v>
      </c>
      <c r="BQ623" s="105" t="n">
        <v>0</v>
      </c>
      <c r="BR623" s="106" t="n">
        <v>0.666666666666667</v>
      </c>
      <c r="BS623" s="106" t="n">
        <v>0.677777777777778</v>
      </c>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row>
    <row r="624" customFormat="false" ht="14.9" hidden="false" customHeight="false" outlineLevel="0" collapsed="false">
      <c r="A624" s="74" t="n">
        <f aca="false">MONTH(B624)</f>
        <v>9</v>
      </c>
      <c r="B624" s="135" t="n">
        <v>44461</v>
      </c>
      <c r="C624" s="128" t="s">
        <v>70</v>
      </c>
      <c r="D624" s="77" t="str">
        <f aca="false">IFERROR(VLOOKUP(E:E,'Item Data Support Sheet'!A:O,7,0),"")</f>
        <v>NIPPLE MOLDED</v>
      </c>
      <c r="E624" s="80" t="s">
        <v>809</v>
      </c>
      <c r="F624" s="122" t="s">
        <v>137</v>
      </c>
      <c r="G624" s="137" t="s">
        <v>138</v>
      </c>
      <c r="H624" s="79" t="str">
        <f aca="false">IFERROR(VLOOKUP(E:E,'Item Data Support Sheet'!A:O,2,0),"")</f>
        <v>NIPPLE S TYPE Y SIZE INJECTION</v>
      </c>
      <c r="I624" s="80" t="s">
        <v>1260</v>
      </c>
      <c r="J624" s="80" t="s">
        <v>155</v>
      </c>
      <c r="K624" s="81" t="n">
        <v>6</v>
      </c>
      <c r="L624" s="124" t="n">
        <v>3612</v>
      </c>
      <c r="M624" s="83" t="n">
        <f aca="false">IFERROR(L624/K624,0)</f>
        <v>602</v>
      </c>
      <c r="N624" s="84" t="n">
        <f aca="false">+O624+Q624+T624+U624</f>
        <v>4095</v>
      </c>
      <c r="O624" s="85" t="n">
        <v>4040</v>
      </c>
      <c r="P624" s="86" t="n">
        <v>0</v>
      </c>
      <c r="Q624" s="86" t="n">
        <v>0</v>
      </c>
      <c r="R624" s="132" t="n">
        <v>0</v>
      </c>
      <c r="S624" s="128" t="n">
        <v>0</v>
      </c>
      <c r="T624" s="132" t="n">
        <v>55</v>
      </c>
      <c r="U624" s="128" t="n">
        <v>0</v>
      </c>
      <c r="V624" s="128" t="n">
        <v>1</v>
      </c>
      <c r="W624" s="90" t="n">
        <f aca="false">IFERROR(O624/V624,0)</f>
        <v>4040</v>
      </c>
      <c r="X624" s="91" t="n">
        <f aca="false">O624/L624</f>
        <v>1.11849390919158</v>
      </c>
      <c r="Y624" s="92" t="str">
        <f aca="false">IFERROR(VLOOKUP(E:E,'Item Data Support Sheet'!A:J,6,0),0)</f>
        <v>Silicon</v>
      </c>
      <c r="Z624" s="93" t="n">
        <f aca="false">IFERROR(VLOOKUP(E:E,'Item Data Support Sheet'!A:O,4,0),0)</f>
        <v>6.8</v>
      </c>
      <c r="AA624" s="93" t="n">
        <f aca="false">IFERROR(((N624)*(Z624/1000))+P624,0)</f>
        <v>27.846</v>
      </c>
      <c r="AB624" s="94" t="n">
        <f aca="false">IFERROR((O624*(Z624/1000)/(AA624))," ")</f>
        <v>0.986568986568986</v>
      </c>
      <c r="AC624" s="95" t="n">
        <f aca="false">IFERROR((T624)/((T624)+O624),0)</f>
        <v>0.0134310134310134</v>
      </c>
      <c r="AD624" s="96" t="n">
        <f aca="false">IFERROR(Q624/(Q624+N624),0)</f>
        <v>0</v>
      </c>
      <c r="AE624" s="91" t="n">
        <f aca="false">(N624-T624)/N624</f>
        <v>0.986568986568987</v>
      </c>
      <c r="AF624" s="97" t="n">
        <f aca="false">BR624</f>
        <v>0</v>
      </c>
      <c r="AG624" s="98" t="n">
        <f aca="false">K624-AF624</f>
        <v>6</v>
      </c>
      <c r="AH624" s="99" t="n">
        <f aca="false">IFERROR(AG624/K624," ")</f>
        <v>1</v>
      </c>
      <c r="AI624" s="100" t="n">
        <f aca="false">IFERROR(O624/K624,0)</f>
        <v>673.333333333333</v>
      </c>
      <c r="AJ624" s="101" t="n">
        <f aca="false">VLOOKUP(D624,'Standard Cycle time'!C:D,2,0)</f>
        <v>5.25</v>
      </c>
      <c r="AK624" s="101" t="n">
        <f aca="false">AG624*V624*3600/O624</f>
        <v>5.34653465346535</v>
      </c>
      <c r="AL624" s="102" t="n">
        <f aca="false">AJ624/AK624</f>
        <v>0.981944444444444</v>
      </c>
      <c r="AM624" s="99" t="n">
        <f aca="false">AE624*AL624*AH624</f>
        <v>0.968755935422602</v>
      </c>
      <c r="AN624" s="103" t="n">
        <v>3467</v>
      </c>
      <c r="AO624" s="112"/>
      <c r="AP624" s="105" t="n">
        <v>0</v>
      </c>
      <c r="AQ624" s="105" t="n">
        <v>0</v>
      </c>
      <c r="AR624" s="105" t="n">
        <v>0</v>
      </c>
      <c r="AS624" s="105" t="n">
        <v>0</v>
      </c>
      <c r="AT624" s="105" t="n">
        <v>0</v>
      </c>
      <c r="AU624" s="105" t="n">
        <v>0</v>
      </c>
      <c r="AV624" s="105" t="n">
        <v>0</v>
      </c>
      <c r="AW624" s="105" t="n">
        <v>0</v>
      </c>
      <c r="AX624" s="105" t="n">
        <v>0</v>
      </c>
      <c r="AY624" s="105" t="n">
        <v>0</v>
      </c>
      <c r="AZ624" s="105" t="n">
        <v>0</v>
      </c>
      <c r="BA624" s="105" t="n">
        <v>0</v>
      </c>
      <c r="BB624" s="105" t="n">
        <v>0</v>
      </c>
      <c r="BC624" s="105" t="n">
        <v>0</v>
      </c>
      <c r="BD624" s="105" t="n">
        <v>0</v>
      </c>
      <c r="BE624" s="105" t="n">
        <v>0</v>
      </c>
      <c r="BF624" s="105" t="n">
        <v>0</v>
      </c>
      <c r="BG624" s="105" t="n">
        <v>0</v>
      </c>
      <c r="BH624" s="105" t="n">
        <v>0</v>
      </c>
      <c r="BI624" s="105" t="n">
        <v>0</v>
      </c>
      <c r="BJ624" s="105" t="n">
        <v>0</v>
      </c>
      <c r="BK624" s="105" t="n">
        <v>0</v>
      </c>
      <c r="BL624" s="105" t="n">
        <v>0</v>
      </c>
      <c r="BM624" s="105" t="n">
        <v>0</v>
      </c>
      <c r="BN624" s="105" t="n">
        <v>0</v>
      </c>
      <c r="BO624" s="105" t="n">
        <v>0</v>
      </c>
      <c r="BP624" s="105" t="n">
        <v>0</v>
      </c>
      <c r="BQ624" s="105" t="n">
        <v>0</v>
      </c>
      <c r="BR624" s="106" t="n">
        <v>0</v>
      </c>
      <c r="BS624" s="106" t="n">
        <v>0</v>
      </c>
      <c r="BT624" s="107"/>
      <c r="BU624" s="107"/>
      <c r="BV624" s="107"/>
      <c r="BW624" s="107"/>
      <c r="BX624" s="107"/>
      <c r="BY624" s="107"/>
      <c r="BZ624" s="107"/>
      <c r="CA624" s="107"/>
      <c r="CB624" s="107"/>
      <c r="CC624" s="107"/>
      <c r="CD624" s="107"/>
      <c r="CE624" s="107"/>
      <c r="CF624" s="107"/>
      <c r="CG624" s="107"/>
      <c r="CH624" s="107"/>
      <c r="CI624" s="107"/>
      <c r="CJ624" s="107"/>
      <c r="CK624" s="107"/>
      <c r="CL624" s="107"/>
      <c r="CM624" s="107"/>
      <c r="CN624" s="107"/>
      <c r="CO624" s="107"/>
      <c r="CP624" s="107"/>
      <c r="CQ624" s="107"/>
      <c r="CR624" s="107"/>
      <c r="CS624" s="107"/>
      <c r="CT624" s="107"/>
      <c r="CU624" s="107"/>
      <c r="CV624" s="107"/>
    </row>
    <row r="625" customFormat="false" ht="14.9" hidden="false" customHeight="false" outlineLevel="0" collapsed="false">
      <c r="A625" s="74" t="n">
        <f aca="false">MONTH(B625)</f>
        <v>9</v>
      </c>
      <c r="B625" s="135" t="n">
        <v>44461</v>
      </c>
      <c r="C625" s="128" t="s">
        <v>70</v>
      </c>
      <c r="D625" s="77" t="str">
        <f aca="false">IFERROR(VLOOKUP(E:E,'Item Data Support Sheet'!A:O,7,0),"")</f>
        <v>CAP MOLDED</v>
      </c>
      <c r="E625" s="80" t="s">
        <v>261</v>
      </c>
      <c r="F625" s="122"/>
      <c r="G625" s="137" t="s">
        <v>1215</v>
      </c>
      <c r="H625" s="79" t="str">
        <f aca="false">IFERROR(VLOOKUP(E:E,'Item Data Support Sheet'!A:O,2,0),"")</f>
        <v>CAP S TYPE MOLDED PINK</v>
      </c>
      <c r="I625" s="80" t="s">
        <v>1261</v>
      </c>
      <c r="J625" s="80" t="s">
        <v>155</v>
      </c>
      <c r="K625" s="81" t="n">
        <v>3</v>
      </c>
      <c r="L625" s="124" t="n">
        <v>1551</v>
      </c>
      <c r="M625" s="83" t="n">
        <f aca="false">IFERROR(L625/K625,0)</f>
        <v>517</v>
      </c>
      <c r="N625" s="84" t="n">
        <f aca="false">+O625+Q625+T625+U625</f>
        <v>1565</v>
      </c>
      <c r="O625" s="85" t="n">
        <v>1565</v>
      </c>
      <c r="P625" s="86" t="n">
        <v>0</v>
      </c>
      <c r="Q625" s="86" t="n">
        <v>0</v>
      </c>
      <c r="R625" s="132" t="n">
        <v>0</v>
      </c>
      <c r="S625" s="128" t="n">
        <v>0</v>
      </c>
      <c r="T625" s="132" t="n">
        <v>0</v>
      </c>
      <c r="U625" s="128" t="n">
        <v>0</v>
      </c>
      <c r="V625" s="128" t="n">
        <v>1</v>
      </c>
      <c r="W625" s="90" t="n">
        <f aca="false">IFERROR(O625/V625,0)</f>
        <v>1565</v>
      </c>
      <c r="X625" s="91" t="n">
        <f aca="false">O625/L625</f>
        <v>1.00902643455835</v>
      </c>
      <c r="Y625" s="92" t="str">
        <f aca="false">IFERROR(VLOOKUP(E:E,'Item Data Support Sheet'!A:J,6,0),0)</f>
        <v>RM000123</v>
      </c>
      <c r="Z625" s="93" t="n">
        <f aca="false">IFERROR(VLOOKUP(E:E,'Item Data Support Sheet'!A:O,4,0),0)</f>
        <v>7.3</v>
      </c>
      <c r="AA625" s="93" t="n">
        <f aca="false">IFERROR(((N625)*(Z625/1000))+P625,0)</f>
        <v>11.4245</v>
      </c>
      <c r="AB625" s="94" t="n">
        <f aca="false">IFERROR((O625*(Z625/1000)/(AA625))," ")</f>
        <v>1</v>
      </c>
      <c r="AC625" s="95" t="n">
        <f aca="false">IFERROR((T625)/((T625)+O625),0)</f>
        <v>0</v>
      </c>
      <c r="AD625" s="96" t="n">
        <f aca="false">IFERROR(Q625/(Q625+N625),0)</f>
        <v>0</v>
      </c>
      <c r="AE625" s="91" t="n">
        <f aca="false">(N625-T625)/N625</f>
        <v>1</v>
      </c>
      <c r="AF625" s="97" t="n">
        <f aca="false">BR625</f>
        <v>0</v>
      </c>
      <c r="AG625" s="98" t="n">
        <f aca="false">K625-AF625</f>
        <v>3</v>
      </c>
      <c r="AH625" s="99" t="n">
        <f aca="false">IFERROR(AG625/K625," ")</f>
        <v>1</v>
      </c>
      <c r="AI625" s="100" t="n">
        <f aca="false">IFERROR(O625/K625,0)</f>
        <v>521.666666666667</v>
      </c>
      <c r="AJ625" s="101" t="n">
        <f aca="false">VLOOKUP(D625,'Standard Cycle time'!C:D,2,0)</f>
        <v>6</v>
      </c>
      <c r="AK625" s="101" t="n">
        <f aca="false">AG625*V625*3600/O625</f>
        <v>6.90095846645367</v>
      </c>
      <c r="AL625" s="102" t="n">
        <f aca="false">AJ625/AK625</f>
        <v>0.869444444444444</v>
      </c>
      <c r="AM625" s="99" t="n">
        <f aca="false">AE625*AL625*AH625</f>
        <v>0.869444444444444</v>
      </c>
      <c r="AN625" s="103" t="n">
        <v>3468</v>
      </c>
      <c r="AO625" s="112"/>
      <c r="AP625" s="105" t="n">
        <v>0</v>
      </c>
      <c r="AQ625" s="105" t="n">
        <v>0</v>
      </c>
      <c r="AR625" s="105" t="n">
        <v>0</v>
      </c>
      <c r="AS625" s="105" t="n">
        <v>0</v>
      </c>
      <c r="AT625" s="105" t="n">
        <v>0</v>
      </c>
      <c r="AU625" s="105" t="n">
        <v>0</v>
      </c>
      <c r="AV625" s="105" t="n">
        <v>0</v>
      </c>
      <c r="AW625" s="105" t="n">
        <v>0</v>
      </c>
      <c r="AX625" s="105" t="n">
        <v>0</v>
      </c>
      <c r="AY625" s="105" t="n">
        <v>0</v>
      </c>
      <c r="AZ625" s="105" t="n">
        <v>0</v>
      </c>
      <c r="BA625" s="105" t="n">
        <v>0</v>
      </c>
      <c r="BB625" s="105" t="n">
        <v>0</v>
      </c>
      <c r="BC625" s="105" t="n">
        <v>0</v>
      </c>
      <c r="BD625" s="105" t="n">
        <v>0</v>
      </c>
      <c r="BE625" s="105" t="n">
        <v>0</v>
      </c>
      <c r="BF625" s="105" t="n">
        <v>0</v>
      </c>
      <c r="BG625" s="105" t="n">
        <v>0</v>
      </c>
      <c r="BH625" s="105" t="n">
        <v>0</v>
      </c>
      <c r="BI625" s="105" t="n">
        <v>0</v>
      </c>
      <c r="BJ625" s="105" t="n">
        <v>0</v>
      </c>
      <c r="BK625" s="105" t="n">
        <v>0</v>
      </c>
      <c r="BL625" s="105" t="n">
        <v>0</v>
      </c>
      <c r="BM625" s="105" t="n">
        <v>0</v>
      </c>
      <c r="BN625" s="105" t="n">
        <v>0</v>
      </c>
      <c r="BO625" s="105" t="n">
        <v>0</v>
      </c>
      <c r="BP625" s="105" t="n">
        <v>0</v>
      </c>
      <c r="BQ625" s="105" t="n">
        <v>0</v>
      </c>
      <c r="BR625" s="106" t="n">
        <v>0</v>
      </c>
      <c r="BS625" s="106" t="n">
        <v>0</v>
      </c>
      <c r="BT625" s="107"/>
      <c r="BU625" s="107"/>
      <c r="BV625" s="107"/>
      <c r="BW625" s="107"/>
      <c r="BX625" s="107"/>
      <c r="BY625" s="107"/>
      <c r="BZ625" s="107"/>
      <c r="CA625" s="107"/>
      <c r="CB625" s="107"/>
      <c r="CC625" s="107"/>
      <c r="CD625" s="107"/>
      <c r="CE625" s="107"/>
      <c r="CF625" s="107"/>
      <c r="CG625" s="107"/>
      <c r="CH625" s="107"/>
      <c r="CI625" s="107"/>
      <c r="CJ625" s="107"/>
      <c r="CK625" s="107"/>
      <c r="CL625" s="107"/>
      <c r="CM625" s="107"/>
      <c r="CN625" s="107"/>
      <c r="CO625" s="107"/>
      <c r="CP625" s="107"/>
      <c r="CQ625" s="107"/>
      <c r="CR625" s="107"/>
      <c r="CS625" s="107"/>
      <c r="CT625" s="107"/>
      <c r="CU625" s="107"/>
      <c r="CV625" s="107"/>
    </row>
    <row r="626" customFormat="false" ht="14.9" hidden="false" customHeight="false" outlineLevel="0" collapsed="false">
      <c r="A626" s="74" t="n">
        <f aca="false">MONTH(B626)</f>
        <v>9</v>
      </c>
      <c r="B626" s="135" t="n">
        <v>44461</v>
      </c>
      <c r="C626" s="128" t="s">
        <v>70</v>
      </c>
      <c r="D626" s="77" t="str">
        <f aca="false">IFERROR(VLOOKUP(E:E,'Item Data Support Sheet'!A:O,7,0),"")</f>
        <v>NIPPLE PUNCH</v>
      </c>
      <c r="E626" s="80" t="s">
        <v>834</v>
      </c>
      <c r="F626" s="122"/>
      <c r="G626" s="137"/>
      <c r="H626" s="79" t="str">
        <f aca="false">IFERROR(VLOOKUP(E:E,'Item Data Support Sheet'!A:O,2,0),"")</f>
        <v>NIPPLE S TYPE Y SIZE PUNCHED</v>
      </c>
      <c r="I626" s="80" t="s">
        <v>1262</v>
      </c>
      <c r="J626" s="80" t="s">
        <v>155</v>
      </c>
      <c r="K626" s="81" t="n">
        <v>4</v>
      </c>
      <c r="L626" s="124" t="n">
        <v>3500</v>
      </c>
      <c r="M626" s="83" t="n">
        <f aca="false">IFERROR(L626/K626,0)</f>
        <v>875</v>
      </c>
      <c r="N626" s="84" t="n">
        <f aca="false">+O626+Q626+T626+U626</f>
        <v>3643</v>
      </c>
      <c r="O626" s="85" t="n">
        <v>3643</v>
      </c>
      <c r="P626" s="86" t="n">
        <v>0</v>
      </c>
      <c r="Q626" s="86" t="n">
        <v>0</v>
      </c>
      <c r="R626" s="132" t="n">
        <v>0</v>
      </c>
      <c r="S626" s="128" t="n">
        <v>0</v>
      </c>
      <c r="T626" s="132" t="n">
        <v>0</v>
      </c>
      <c r="U626" s="128" t="n">
        <v>0</v>
      </c>
      <c r="V626" s="128" t="n">
        <v>1</v>
      </c>
      <c r="W626" s="90" t="n">
        <f aca="false">IFERROR(O626/V626,0)</f>
        <v>3643</v>
      </c>
      <c r="X626" s="91" t="n">
        <f aca="false">O626/L626</f>
        <v>1.04085714285714</v>
      </c>
      <c r="Y626" s="92" t="str">
        <f aca="false">IFERROR(VLOOKUP(E:E,'Item Data Support Sheet'!A:J,6,0),0)</f>
        <v>FO018</v>
      </c>
      <c r="Z626" s="93" t="n">
        <f aca="false">IFERROR(VLOOKUP(E:E,'Item Data Support Sheet'!A:O,4,0),0)</f>
        <v>0</v>
      </c>
      <c r="AA626" s="93" t="n">
        <f aca="false">IFERROR(((N626)*(Z626/1000))+P626,0)</f>
        <v>0</v>
      </c>
      <c r="AB626" s="94" t="str">
        <f aca="false">IFERROR((O626*(Z626/1000)/(AA626))," ")</f>
        <v> </v>
      </c>
      <c r="AC626" s="95" t="n">
        <f aca="false">IFERROR((T626)/((T626)+O626),0)</f>
        <v>0</v>
      </c>
      <c r="AD626" s="96" t="n">
        <f aca="false">IFERROR(Q626/(Q626+N626),0)</f>
        <v>0</v>
      </c>
      <c r="AE626" s="91" t="n">
        <f aca="false">(N626-T626)/N626</f>
        <v>1</v>
      </c>
      <c r="AF626" s="97" t="n">
        <f aca="false">BR626</f>
        <v>0.666666666666667</v>
      </c>
      <c r="AG626" s="98" t="n">
        <f aca="false">K626-AF626</f>
        <v>3.33333333333333</v>
      </c>
      <c r="AH626" s="99" t="n">
        <f aca="false">IFERROR(AG626/K626," ")</f>
        <v>0.833333333333333</v>
      </c>
      <c r="AI626" s="100" t="n">
        <f aca="false">IFERROR(O626/K626,0)</f>
        <v>910.75</v>
      </c>
      <c r="AJ626" s="101" t="n">
        <f aca="false">VLOOKUP(D626,'Standard Cycle time'!C:D,2,0)</f>
        <v>3.5</v>
      </c>
      <c r="AK626" s="101" t="n">
        <f aca="false">AG626*V626*3600/O626</f>
        <v>3.29398847104035</v>
      </c>
      <c r="AL626" s="102" t="n">
        <f aca="false">AJ626/AK626</f>
        <v>1.06254166666667</v>
      </c>
      <c r="AM626" s="99" t="n">
        <f aca="false">AE626*AL626*AH626</f>
        <v>0.885451388888889</v>
      </c>
      <c r="AN626" s="103" t="n">
        <v>3469</v>
      </c>
      <c r="AO626" s="112"/>
      <c r="AP626" s="105" t="n">
        <v>40</v>
      </c>
      <c r="AQ626" s="105" t="n">
        <v>0</v>
      </c>
      <c r="AR626" s="105" t="n">
        <v>0</v>
      </c>
      <c r="AS626" s="105" t="n">
        <v>0</v>
      </c>
      <c r="AT626" s="105" t="n">
        <v>0</v>
      </c>
      <c r="AU626" s="105" t="n">
        <v>0</v>
      </c>
      <c r="AV626" s="105" t="n">
        <v>0</v>
      </c>
      <c r="AW626" s="105" t="n">
        <v>0</v>
      </c>
      <c r="AX626" s="105" t="n">
        <v>0</v>
      </c>
      <c r="AY626" s="105" t="n">
        <v>0</v>
      </c>
      <c r="AZ626" s="105" t="n">
        <v>0</v>
      </c>
      <c r="BA626" s="105" t="n">
        <v>0</v>
      </c>
      <c r="BB626" s="105" t="n">
        <v>0</v>
      </c>
      <c r="BC626" s="105" t="n">
        <v>0</v>
      </c>
      <c r="BD626" s="105" t="n">
        <v>0</v>
      </c>
      <c r="BE626" s="105" t="n">
        <v>0</v>
      </c>
      <c r="BF626" s="105" t="n">
        <v>0</v>
      </c>
      <c r="BG626" s="105" t="n">
        <v>0</v>
      </c>
      <c r="BH626" s="105" t="n">
        <v>0</v>
      </c>
      <c r="BI626" s="105" t="n">
        <v>0</v>
      </c>
      <c r="BJ626" s="105" t="n">
        <v>0</v>
      </c>
      <c r="BK626" s="105" t="n">
        <v>0</v>
      </c>
      <c r="BL626" s="105" t="n">
        <v>0</v>
      </c>
      <c r="BM626" s="105" t="n">
        <v>0</v>
      </c>
      <c r="BN626" s="105" t="n">
        <v>0</v>
      </c>
      <c r="BO626" s="105" t="n">
        <v>0</v>
      </c>
      <c r="BP626" s="105" t="n">
        <v>0</v>
      </c>
      <c r="BQ626" s="105" t="n">
        <v>0</v>
      </c>
      <c r="BR626" s="106" t="n">
        <v>0.666666666666667</v>
      </c>
      <c r="BS626" s="106" t="n">
        <v>0.677777777777778</v>
      </c>
      <c r="BT626" s="107"/>
      <c r="BU626" s="107"/>
      <c r="BV626" s="107"/>
      <c r="BW626" s="107"/>
      <c r="BX626" s="107"/>
      <c r="BY626" s="107"/>
      <c r="BZ626" s="107"/>
      <c r="CA626" s="107"/>
      <c r="CB626" s="107"/>
      <c r="CC626" s="107"/>
      <c r="CD626" s="107"/>
      <c r="CE626" s="107"/>
      <c r="CF626" s="107"/>
      <c r="CG626" s="107"/>
      <c r="CH626" s="107"/>
      <c r="CI626" s="107"/>
      <c r="CJ626" s="107"/>
      <c r="CK626" s="107"/>
      <c r="CL626" s="107"/>
      <c r="CM626" s="107"/>
      <c r="CN626" s="107"/>
      <c r="CO626" s="107"/>
      <c r="CP626" s="107"/>
      <c r="CQ626" s="107"/>
      <c r="CR626" s="107"/>
      <c r="CS626" s="107"/>
      <c r="CT626" s="107"/>
      <c r="CU626" s="107"/>
      <c r="CV626" s="107"/>
    </row>
    <row r="627" customFormat="false" ht="14.9" hidden="false" customHeight="false" outlineLevel="0" collapsed="false">
      <c r="A627" s="74" t="n">
        <f aca="false">MONTH(B627)</f>
        <v>9</v>
      </c>
      <c r="B627" s="135" t="n">
        <v>44461</v>
      </c>
      <c r="C627" s="128" t="s">
        <v>70</v>
      </c>
      <c r="D627" s="77" t="str">
        <f aca="false">IFERROR(VLOOKUP(E:E,'Item Data Support Sheet'!A:O,7,0),"")</f>
        <v>NIPPLE PUNCH</v>
      </c>
      <c r="E627" s="80" t="s">
        <v>666</v>
      </c>
      <c r="F627" s="122"/>
      <c r="G627" s="137"/>
      <c r="H627" s="79" t="str">
        <f aca="false">IFERROR(VLOOKUP(E:E,'Item Data Support Sheet'!A:O,2,0),"")</f>
        <v>NIPPLE S TYPE L SIZE PUNCHED</v>
      </c>
      <c r="I627" s="80" t="s">
        <v>1263</v>
      </c>
      <c r="J627" s="80" t="s">
        <v>155</v>
      </c>
      <c r="K627" s="81" t="n">
        <v>4</v>
      </c>
      <c r="L627" s="124" t="n">
        <v>3500</v>
      </c>
      <c r="M627" s="83" t="n">
        <f aca="false">IFERROR(L627/K627,0)</f>
        <v>875</v>
      </c>
      <c r="N627" s="84" t="n">
        <f aca="false">+O627+Q627+T627+U627</f>
        <v>2050</v>
      </c>
      <c r="O627" s="85" t="n">
        <v>2050</v>
      </c>
      <c r="P627" s="86" t="n">
        <v>0</v>
      </c>
      <c r="Q627" s="86" t="n">
        <v>0</v>
      </c>
      <c r="R627" s="132" t="n">
        <v>0</v>
      </c>
      <c r="S627" s="128" t="n">
        <v>0</v>
      </c>
      <c r="T627" s="132" t="n">
        <v>0</v>
      </c>
      <c r="U627" s="128" t="n">
        <v>0</v>
      </c>
      <c r="V627" s="128" t="n">
        <v>1</v>
      </c>
      <c r="W627" s="90" t="n">
        <f aca="false">IFERROR(O627/V627,0)</f>
        <v>2050</v>
      </c>
      <c r="X627" s="91" t="n">
        <f aca="false">O627/L627</f>
        <v>0.585714285714286</v>
      </c>
      <c r="Y627" s="92" t="str">
        <f aca="false">IFERROR(VLOOKUP(E:E,'Item Data Support Sheet'!A:J,6,0),0)</f>
        <v>FO017</v>
      </c>
      <c r="Z627" s="93" t="n">
        <f aca="false">IFERROR(VLOOKUP(E:E,'Item Data Support Sheet'!A:O,4,0),0)</f>
        <v>0</v>
      </c>
      <c r="AA627" s="93" t="n">
        <f aca="false">IFERROR(((N627)*(Z627/1000))+P627,0)</f>
        <v>0</v>
      </c>
      <c r="AB627" s="94" t="str">
        <f aca="false">IFERROR((O627*(Z627/1000)/(AA627))," ")</f>
        <v> </v>
      </c>
      <c r="AC627" s="95" t="n">
        <f aca="false">IFERROR((T627)/((T627)+O627),0)</f>
        <v>0</v>
      </c>
      <c r="AD627" s="96" t="n">
        <f aca="false">IFERROR(Q627/(Q627+N627),0)</f>
        <v>0</v>
      </c>
      <c r="AE627" s="91" t="n">
        <f aca="false">(N627-T627)/N627</f>
        <v>1</v>
      </c>
      <c r="AF627" s="97" t="n">
        <f aca="false">BR627</f>
        <v>2</v>
      </c>
      <c r="AG627" s="98" t="n">
        <f aca="false">K627-AF627</f>
        <v>2</v>
      </c>
      <c r="AH627" s="99" t="n">
        <f aca="false">IFERROR(AG627/K627," ")</f>
        <v>0.5</v>
      </c>
      <c r="AI627" s="100" t="n">
        <f aca="false">IFERROR(O627/K627,0)</f>
        <v>512.5</v>
      </c>
      <c r="AJ627" s="101" t="n">
        <f aca="false">VLOOKUP(D627,'Standard Cycle time'!C:D,2,0)</f>
        <v>3.5</v>
      </c>
      <c r="AK627" s="101" t="n">
        <f aca="false">AG627*V627*3600/O627</f>
        <v>3.51219512195122</v>
      </c>
      <c r="AL627" s="102" t="n">
        <f aca="false">AJ627/AK627</f>
        <v>0.996527777777778</v>
      </c>
      <c r="AM627" s="99" t="n">
        <f aca="false">AE627*AL627*AH627</f>
        <v>0.498263888888889</v>
      </c>
      <c r="AN627" s="103" t="n">
        <v>3470</v>
      </c>
      <c r="AO627" s="112" t="s">
        <v>1264</v>
      </c>
      <c r="AP627" s="105" t="n">
        <v>0</v>
      </c>
      <c r="AQ627" s="105" t="n">
        <v>0</v>
      </c>
      <c r="AR627" s="105" t="n">
        <v>0</v>
      </c>
      <c r="AS627" s="105" t="n">
        <v>0</v>
      </c>
      <c r="AT627" s="105" t="n">
        <v>0</v>
      </c>
      <c r="AU627" s="105" t="n">
        <v>0</v>
      </c>
      <c r="AV627" s="105" t="n">
        <v>120</v>
      </c>
      <c r="AW627" s="105" t="n">
        <v>0</v>
      </c>
      <c r="AX627" s="105" t="n">
        <v>0</v>
      </c>
      <c r="AY627" s="105" t="n">
        <v>0</v>
      </c>
      <c r="AZ627" s="105" t="n">
        <v>0</v>
      </c>
      <c r="BA627" s="105" t="n">
        <v>0</v>
      </c>
      <c r="BB627" s="105" t="n">
        <v>0</v>
      </c>
      <c r="BC627" s="105" t="n">
        <v>0</v>
      </c>
      <c r="BD627" s="105" t="n">
        <v>0</v>
      </c>
      <c r="BE627" s="105" t="n">
        <v>0</v>
      </c>
      <c r="BF627" s="105" t="n">
        <v>0</v>
      </c>
      <c r="BG627" s="105" t="n">
        <v>0</v>
      </c>
      <c r="BH627" s="105" t="n">
        <v>0</v>
      </c>
      <c r="BI627" s="105" t="n">
        <v>0</v>
      </c>
      <c r="BJ627" s="105" t="n">
        <v>0</v>
      </c>
      <c r="BK627" s="105" t="n">
        <v>0</v>
      </c>
      <c r="BL627" s="105" t="n">
        <v>0</v>
      </c>
      <c r="BM627" s="105" t="n">
        <v>0</v>
      </c>
      <c r="BN627" s="105" t="n">
        <v>0</v>
      </c>
      <c r="BO627" s="105" t="n">
        <v>0</v>
      </c>
      <c r="BP627" s="105" t="n">
        <v>0</v>
      </c>
      <c r="BQ627" s="105" t="n">
        <v>0</v>
      </c>
      <c r="BR627" s="106" t="n">
        <v>2</v>
      </c>
      <c r="BS627" s="106" t="n">
        <v>2.03333333333333</v>
      </c>
      <c r="BT627" s="107"/>
      <c r="BU627" s="107"/>
      <c r="BV627" s="107"/>
      <c r="BW627" s="107"/>
      <c r="BX627" s="107"/>
      <c r="BY627" s="107"/>
      <c r="BZ627" s="107"/>
      <c r="CA627" s="107"/>
      <c r="CB627" s="107"/>
      <c r="CC627" s="107"/>
      <c r="CD627" s="107"/>
      <c r="CE627" s="107"/>
      <c r="CF627" s="107"/>
      <c r="CG627" s="107"/>
      <c r="CH627" s="107"/>
      <c r="CI627" s="107"/>
      <c r="CJ627" s="107"/>
      <c r="CK627" s="107"/>
      <c r="CL627" s="107"/>
      <c r="CM627" s="107"/>
      <c r="CN627" s="107"/>
      <c r="CO627" s="107"/>
      <c r="CP627" s="107"/>
      <c r="CQ627" s="107"/>
      <c r="CR627" s="107"/>
      <c r="CS627" s="107"/>
      <c r="CT627" s="107"/>
      <c r="CU627" s="107"/>
      <c r="CV627" s="107"/>
    </row>
    <row r="628" customFormat="false" ht="14.9" hidden="false" customHeight="false" outlineLevel="0" collapsed="false">
      <c r="A628" s="74" t="n">
        <f aca="false">MONTH(B628)</f>
        <v>9</v>
      </c>
      <c r="B628" s="135" t="n">
        <v>44461</v>
      </c>
      <c r="C628" s="128" t="s">
        <v>70</v>
      </c>
      <c r="D628" s="77" t="str">
        <f aca="false">IFERROR(VLOOKUP(E:E,'Item Data Support Sheet'!A:O,7,0),"")</f>
        <v>NIPPLE LASER MARKING</v>
      </c>
      <c r="E628" s="80" t="s">
        <v>681</v>
      </c>
      <c r="F628" s="122"/>
      <c r="G628" s="137"/>
      <c r="H628" s="79" t="str">
        <f aca="false">IFERROR(VLOOKUP(E:E,'Item Data Support Sheet'!A:O,2,0),"")</f>
        <v>NIPPLE S TYPE L SIZE PUNCHED LASER MARKED</v>
      </c>
      <c r="I628" s="80" t="s">
        <v>1254</v>
      </c>
      <c r="J628" s="80" t="s">
        <v>155</v>
      </c>
      <c r="K628" s="81" t="n">
        <v>8</v>
      </c>
      <c r="L628" s="124" t="n">
        <v>7000</v>
      </c>
      <c r="M628" s="83" t="n">
        <f aca="false">IFERROR(L628/K628,0)</f>
        <v>875</v>
      </c>
      <c r="N628" s="84" t="n">
        <f aca="false">+O628+Q628+T628+U628</f>
        <v>7288</v>
      </c>
      <c r="O628" s="85" t="n">
        <v>7288</v>
      </c>
      <c r="P628" s="86" t="n">
        <v>0</v>
      </c>
      <c r="Q628" s="86" t="n">
        <v>0</v>
      </c>
      <c r="R628" s="132" t="n">
        <v>0</v>
      </c>
      <c r="S628" s="128" t="n">
        <v>0</v>
      </c>
      <c r="T628" s="132" t="n">
        <v>0</v>
      </c>
      <c r="U628" s="128" t="n">
        <v>0</v>
      </c>
      <c r="V628" s="128" t="n">
        <v>1</v>
      </c>
      <c r="W628" s="90" t="n">
        <f aca="false">IFERROR(O628/V628,0)</f>
        <v>7288</v>
      </c>
      <c r="X628" s="91" t="n">
        <f aca="false">O628/L628</f>
        <v>1.04114285714286</v>
      </c>
      <c r="Y628" s="92" t="str">
        <f aca="false">IFERROR(VLOOKUP(E:E,'Item Data Support Sheet'!A:J,6,0),0)</f>
        <v>FO021</v>
      </c>
      <c r="Z628" s="93" t="n">
        <f aca="false">IFERROR(VLOOKUP(E:E,'Item Data Support Sheet'!A:O,4,0),0)</f>
        <v>0</v>
      </c>
      <c r="AA628" s="93" t="n">
        <f aca="false">IFERROR(((N628)*(Z628/1000))+P628,0)</f>
        <v>0</v>
      </c>
      <c r="AB628" s="94" t="str">
        <f aca="false">IFERROR((O628*(Z628/1000)/(AA628))," ")</f>
        <v> </v>
      </c>
      <c r="AC628" s="95" t="n">
        <f aca="false">IFERROR((T628)/((T628)+O628),0)</f>
        <v>0</v>
      </c>
      <c r="AD628" s="96" t="n">
        <f aca="false">IFERROR(Q628/(Q628+N628),0)</f>
        <v>0</v>
      </c>
      <c r="AE628" s="91" t="n">
        <f aca="false">(N628-T628)/N628</f>
        <v>1</v>
      </c>
      <c r="AF628" s="97" t="n">
        <f aca="false">BR628</f>
        <v>0</v>
      </c>
      <c r="AG628" s="98" t="n">
        <f aca="false">K628-AF628</f>
        <v>8</v>
      </c>
      <c r="AH628" s="99" t="n">
        <f aca="false">IFERROR(AG628/K628," ")</f>
        <v>1</v>
      </c>
      <c r="AI628" s="100" t="n">
        <f aca="false">IFERROR(O628/K628,0)</f>
        <v>911</v>
      </c>
      <c r="AJ628" s="101" t="n">
        <f aca="false">VLOOKUP(D628,'Standard Cycle time'!C:D,2,0)</f>
        <v>3.5</v>
      </c>
      <c r="AK628" s="101" t="n">
        <f aca="false">AG628*V628*3600/O628</f>
        <v>3.95170142700329</v>
      </c>
      <c r="AL628" s="102" t="n">
        <f aca="false">AJ628/AK628</f>
        <v>0.885694444444444</v>
      </c>
      <c r="AM628" s="99" t="n">
        <f aca="false">AE628*AL628*AH628</f>
        <v>0.885694444444444</v>
      </c>
      <c r="AN628" s="103" t="s">
        <v>1265</v>
      </c>
      <c r="AO628" s="112"/>
      <c r="AP628" s="105" t="n">
        <v>0</v>
      </c>
      <c r="AQ628" s="105" t="n">
        <v>0</v>
      </c>
      <c r="AR628" s="105" t="n">
        <v>0</v>
      </c>
      <c r="AS628" s="105" t="n">
        <v>0</v>
      </c>
      <c r="AT628" s="105" t="n">
        <v>0</v>
      </c>
      <c r="AU628" s="105" t="n">
        <v>0</v>
      </c>
      <c r="AV628" s="105" t="n">
        <v>0</v>
      </c>
      <c r="AW628" s="105" t="n">
        <v>0</v>
      </c>
      <c r="AX628" s="105" t="n">
        <v>0</v>
      </c>
      <c r="AY628" s="105" t="n">
        <v>0</v>
      </c>
      <c r="AZ628" s="105" t="n">
        <v>0</v>
      </c>
      <c r="BA628" s="105" t="n">
        <v>0</v>
      </c>
      <c r="BB628" s="105" t="n">
        <v>0</v>
      </c>
      <c r="BC628" s="105" t="n">
        <v>0</v>
      </c>
      <c r="BD628" s="105" t="n">
        <v>0</v>
      </c>
      <c r="BE628" s="105" t="n">
        <v>0</v>
      </c>
      <c r="BF628" s="105" t="n">
        <v>0</v>
      </c>
      <c r="BG628" s="105" t="n">
        <v>0</v>
      </c>
      <c r="BH628" s="105" t="n">
        <v>0</v>
      </c>
      <c r="BI628" s="105" t="n">
        <v>0</v>
      </c>
      <c r="BJ628" s="105" t="n">
        <v>0</v>
      </c>
      <c r="BK628" s="105" t="n">
        <v>0</v>
      </c>
      <c r="BL628" s="105" t="n">
        <v>0</v>
      </c>
      <c r="BM628" s="105" t="n">
        <v>0</v>
      </c>
      <c r="BN628" s="105" t="n">
        <v>0</v>
      </c>
      <c r="BO628" s="105" t="n">
        <v>0</v>
      </c>
      <c r="BP628" s="105" t="n">
        <v>0</v>
      </c>
      <c r="BQ628" s="105" t="n">
        <v>0</v>
      </c>
      <c r="BR628" s="106" t="n">
        <v>0</v>
      </c>
      <c r="BS628" s="106" t="n">
        <v>0</v>
      </c>
      <c r="BT628" s="107"/>
      <c r="BU628" s="107"/>
      <c r="BV628" s="107"/>
      <c r="BW628" s="107"/>
      <c r="BX628" s="107"/>
      <c r="BY628" s="107"/>
      <c r="BZ628" s="107"/>
      <c r="CA628" s="107"/>
      <c r="CB628" s="107"/>
      <c r="CC628" s="107"/>
      <c r="CD628" s="107"/>
      <c r="CE628" s="107"/>
      <c r="CF628" s="107"/>
      <c r="CG628" s="107"/>
      <c r="CH628" s="107"/>
      <c r="CI628" s="107"/>
      <c r="CJ628" s="107"/>
      <c r="CK628" s="107"/>
      <c r="CL628" s="107"/>
      <c r="CM628" s="107"/>
      <c r="CN628" s="107"/>
      <c r="CO628" s="107"/>
      <c r="CP628" s="107"/>
      <c r="CQ628" s="107"/>
      <c r="CR628" s="107"/>
      <c r="CS628" s="107"/>
      <c r="CT628" s="107"/>
      <c r="CU628" s="107"/>
      <c r="CV628" s="107"/>
    </row>
    <row r="629" customFormat="false" ht="14.9" hidden="false" customHeight="false" outlineLevel="0" collapsed="false">
      <c r="A629" s="74" t="n">
        <f aca="false">MONTH(B629)</f>
        <v>9</v>
      </c>
      <c r="B629" s="135" t="n">
        <v>44461</v>
      </c>
      <c r="C629" s="128" t="s">
        <v>70</v>
      </c>
      <c r="D629" s="77" t="str">
        <f aca="false">IFERROR(VLOOKUP(E:E,'Item Data Support Sheet'!A:O,7,0),"")</f>
        <v>BOTTLE MOLDED</v>
      </c>
      <c r="E629" s="80" t="s">
        <v>357</v>
      </c>
      <c r="F629" s="122"/>
      <c r="G629" s="137" t="s">
        <v>74</v>
      </c>
      <c r="H629" s="79" t="str">
        <f aca="false">IFERROR(VLOOKUP(E:E,'Item Data Support Sheet'!A:O,2,0),"")</f>
        <v>KPP 120 ML BOTTLE MOLDED</v>
      </c>
      <c r="I629" s="80" t="s">
        <v>1266</v>
      </c>
      <c r="J629" s="80" t="s">
        <v>155</v>
      </c>
      <c r="K629" s="81" t="n">
        <v>8</v>
      </c>
      <c r="L629" s="124" t="n">
        <v>2574</v>
      </c>
      <c r="M629" s="83" t="n">
        <f aca="false">IFERROR(L629/K629,0)</f>
        <v>321.75</v>
      </c>
      <c r="N629" s="84" t="n">
        <f aca="false">+O629+Q629+T629+U629</f>
        <v>3160</v>
      </c>
      <c r="O629" s="85" t="n">
        <v>3060</v>
      </c>
      <c r="P629" s="86" t="n">
        <v>0.1</v>
      </c>
      <c r="Q629" s="86" t="n">
        <v>35</v>
      </c>
      <c r="R629" s="132" t="n">
        <v>0</v>
      </c>
      <c r="S629" s="128" t="n">
        <v>0</v>
      </c>
      <c r="T629" s="132" t="n">
        <v>65</v>
      </c>
      <c r="U629" s="128" t="n">
        <v>0</v>
      </c>
      <c r="V629" s="128" t="n">
        <v>1</v>
      </c>
      <c r="W629" s="90" t="n">
        <f aca="false">IFERROR(O629/V629,0)</f>
        <v>3060</v>
      </c>
      <c r="X629" s="91" t="n">
        <f aca="false">O629/L629</f>
        <v>1.18881118881119</v>
      </c>
      <c r="Y629" s="92" t="str">
        <f aca="false">IFERROR(VLOOKUP(E:E,'Item Data Support Sheet'!A:J,6,0),0)</f>
        <v>HMC</v>
      </c>
      <c r="Z629" s="93" t="n">
        <f aca="false">IFERROR(VLOOKUP(E:E,'Item Data Support Sheet'!A:O,4,0),0)</f>
        <v>21.3</v>
      </c>
      <c r="AA629" s="93" t="n">
        <f aca="false">IFERROR(((N629)*(Z629/1000))+P629,0)</f>
        <v>67.408</v>
      </c>
      <c r="AB629" s="94" t="n">
        <f aca="false">IFERROR((O629*(Z629/1000)/(AA629))," ")</f>
        <v>0.966917873249466</v>
      </c>
      <c r="AC629" s="95" t="n">
        <f aca="false">IFERROR((T629)/((T629)+O629),0)</f>
        <v>0.0208</v>
      </c>
      <c r="AD629" s="96" t="n">
        <f aca="false">IFERROR(Q629/(Q629+N629),0)</f>
        <v>0.0109546165884194</v>
      </c>
      <c r="AE629" s="91" t="n">
        <f aca="false">(N629-T629)/N629</f>
        <v>0.979430379746835</v>
      </c>
      <c r="AF629" s="97" t="n">
        <f aca="false">BR629</f>
        <v>0</v>
      </c>
      <c r="AG629" s="98" t="n">
        <f aca="false">K629-AF629</f>
        <v>8</v>
      </c>
      <c r="AH629" s="99" t="n">
        <f aca="false">IFERROR(AG629/K629," ")</f>
        <v>1</v>
      </c>
      <c r="AI629" s="100" t="n">
        <f aca="false">IFERROR(O629/K629,0)</f>
        <v>382.5</v>
      </c>
      <c r="AJ629" s="101" t="n">
        <f aca="false">VLOOKUP(D629,'Standard Cycle time'!C:D,2,0)</f>
        <v>9</v>
      </c>
      <c r="AK629" s="101" t="n">
        <f aca="false">AG629*V629*3600/O629</f>
        <v>9.41176470588235</v>
      </c>
      <c r="AL629" s="102" t="n">
        <f aca="false">AJ629/AK629</f>
        <v>0.95625</v>
      </c>
      <c r="AM629" s="99" t="n">
        <f aca="false">AE629*AL629*AH629</f>
        <v>0.936580300632911</v>
      </c>
      <c r="AN629" s="103" t="n">
        <v>3474</v>
      </c>
      <c r="AO629" s="112"/>
      <c r="AP629" s="105" t="n">
        <v>0</v>
      </c>
      <c r="AQ629" s="105" t="n">
        <v>0</v>
      </c>
      <c r="AR629" s="105" t="n">
        <v>0</v>
      </c>
      <c r="AS629" s="105" t="n">
        <v>0</v>
      </c>
      <c r="AT629" s="105" t="n">
        <v>0</v>
      </c>
      <c r="AU629" s="105" t="n">
        <v>0</v>
      </c>
      <c r="AV629" s="105" t="n">
        <v>0</v>
      </c>
      <c r="AW629" s="105" t="n">
        <v>0</v>
      </c>
      <c r="AX629" s="105" t="n">
        <v>0</v>
      </c>
      <c r="AY629" s="105" t="n">
        <v>0</v>
      </c>
      <c r="AZ629" s="105" t="n">
        <v>0</v>
      </c>
      <c r="BA629" s="105" t="n">
        <v>0</v>
      </c>
      <c r="BB629" s="105" t="n">
        <v>0</v>
      </c>
      <c r="BC629" s="105" t="n">
        <v>0</v>
      </c>
      <c r="BD629" s="105" t="n">
        <v>0</v>
      </c>
      <c r="BE629" s="105" t="n">
        <v>0</v>
      </c>
      <c r="BF629" s="105" t="n">
        <v>0</v>
      </c>
      <c r="BG629" s="105" t="n">
        <v>0</v>
      </c>
      <c r="BH629" s="105" t="n">
        <v>0</v>
      </c>
      <c r="BI629" s="105" t="n">
        <v>0</v>
      </c>
      <c r="BJ629" s="105" t="n">
        <v>0</v>
      </c>
      <c r="BK629" s="105" t="n">
        <v>0</v>
      </c>
      <c r="BL629" s="105" t="n">
        <v>0</v>
      </c>
      <c r="BM629" s="105" t="n">
        <v>0</v>
      </c>
      <c r="BN629" s="105" t="n">
        <v>0</v>
      </c>
      <c r="BO629" s="105" t="n">
        <v>0</v>
      </c>
      <c r="BP629" s="105" t="n">
        <v>0</v>
      </c>
      <c r="BQ629" s="105" t="n">
        <v>0</v>
      </c>
      <c r="BR629" s="106" t="n">
        <v>0</v>
      </c>
      <c r="BS629" s="106" t="n">
        <v>0</v>
      </c>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row>
    <row r="630" customFormat="false" ht="14.9" hidden="false" customHeight="false" outlineLevel="0" collapsed="false">
      <c r="A630" s="74" t="n">
        <f aca="false">MONTH(B630)</f>
        <v>9</v>
      </c>
      <c r="B630" s="135" t="n">
        <v>44461</v>
      </c>
      <c r="C630" s="128" t="s">
        <v>70</v>
      </c>
      <c r="D630" s="77" t="str">
        <f aca="false">IFERROR(VLOOKUP(E:E,'Item Data Support Sheet'!A:O,7,0),"")</f>
        <v>CAP MOLDED</v>
      </c>
      <c r="E630" s="80" t="s">
        <v>261</v>
      </c>
      <c r="F630" s="122"/>
      <c r="G630" s="137" t="s">
        <v>1211</v>
      </c>
      <c r="H630" s="79" t="str">
        <f aca="false">IFERROR(VLOOKUP(E:E,'Item Data Support Sheet'!A:O,2,0),"")</f>
        <v>CAP S TYPE MOLDED PINK</v>
      </c>
      <c r="I630" s="80" t="s">
        <v>1267</v>
      </c>
      <c r="J630" s="80" t="s">
        <v>155</v>
      </c>
      <c r="K630" s="81" t="n">
        <v>5</v>
      </c>
      <c r="L630" s="124" t="n">
        <v>2586</v>
      </c>
      <c r="M630" s="83" t="n">
        <f aca="false">IFERROR(L630/K630,0)</f>
        <v>517.2</v>
      </c>
      <c r="N630" s="84" t="n">
        <f aca="false">+O630+Q630+T630+U630</f>
        <v>3004</v>
      </c>
      <c r="O630" s="85" t="n">
        <v>3000</v>
      </c>
      <c r="P630" s="86" t="n">
        <v>0</v>
      </c>
      <c r="Q630" s="86" t="n">
        <v>0</v>
      </c>
      <c r="R630" s="132" t="n">
        <v>0</v>
      </c>
      <c r="S630" s="128" t="n">
        <v>0</v>
      </c>
      <c r="T630" s="132" t="n">
        <v>4</v>
      </c>
      <c r="U630" s="128" t="n">
        <v>0</v>
      </c>
      <c r="V630" s="128" t="n">
        <v>1</v>
      </c>
      <c r="W630" s="90" t="n">
        <f aca="false">IFERROR(O630/V630,0)</f>
        <v>3000</v>
      </c>
      <c r="X630" s="91" t="n">
        <f aca="false">O630/L630</f>
        <v>1.16009280742459</v>
      </c>
      <c r="Y630" s="92" t="str">
        <f aca="false">IFERROR(VLOOKUP(E:E,'Item Data Support Sheet'!A:J,6,0),0)</f>
        <v>RM000123</v>
      </c>
      <c r="Z630" s="93" t="n">
        <f aca="false">IFERROR(VLOOKUP(E:E,'Item Data Support Sheet'!A:O,4,0),0)</f>
        <v>7.3</v>
      </c>
      <c r="AA630" s="93" t="n">
        <f aca="false">IFERROR(((N630)*(Z630/1000))+P630,0)</f>
        <v>21.9292</v>
      </c>
      <c r="AB630" s="94" t="n">
        <f aca="false">IFERROR((O630*(Z630/1000)/(AA630))," ")</f>
        <v>0.99866844207723</v>
      </c>
      <c r="AC630" s="95" t="n">
        <f aca="false">IFERROR((T630)/((T630)+O630),0)</f>
        <v>0.00133155792276964</v>
      </c>
      <c r="AD630" s="96" t="n">
        <f aca="false">IFERROR(Q630/(Q630+N630),0)</f>
        <v>0</v>
      </c>
      <c r="AE630" s="91" t="n">
        <f aca="false">(N630-T630)/N630</f>
        <v>0.99866844207723</v>
      </c>
      <c r="AF630" s="97" t="n">
        <f aca="false">BR630</f>
        <v>0</v>
      </c>
      <c r="AG630" s="98" t="n">
        <f aca="false">K630-AF630</f>
        <v>5</v>
      </c>
      <c r="AH630" s="99" t="n">
        <f aca="false">IFERROR(AG630/K630," ")</f>
        <v>1</v>
      </c>
      <c r="AI630" s="100" t="n">
        <f aca="false">IFERROR(O630/K630,0)</f>
        <v>600</v>
      </c>
      <c r="AJ630" s="101" t="n">
        <f aca="false">VLOOKUP(D630,'Standard Cycle time'!C:D,2,0)</f>
        <v>6</v>
      </c>
      <c r="AK630" s="101" t="n">
        <f aca="false">AG630*V630*3600/O630</f>
        <v>6</v>
      </c>
      <c r="AL630" s="102" t="n">
        <f aca="false">AJ630/AK630</f>
        <v>1</v>
      </c>
      <c r="AM630" s="99" t="n">
        <f aca="false">AE630*AL630*AH630</f>
        <v>0.99866844207723</v>
      </c>
      <c r="AN630" s="103" t="n">
        <v>3487</v>
      </c>
      <c r="AO630" s="112"/>
      <c r="AP630" s="105"/>
      <c r="AQ630" s="105" t="n">
        <v>0</v>
      </c>
      <c r="AR630" s="105" t="n">
        <v>0</v>
      </c>
      <c r="AS630" s="105" t="n">
        <v>0</v>
      </c>
      <c r="AT630" s="105" t="n">
        <v>0</v>
      </c>
      <c r="AU630" s="105" t="n">
        <v>0</v>
      </c>
      <c r="AV630" s="105" t="n">
        <v>0</v>
      </c>
      <c r="AW630" s="105" t="n">
        <v>0</v>
      </c>
      <c r="AX630" s="105" t="n">
        <v>0</v>
      </c>
      <c r="AY630" s="105" t="n">
        <v>0</v>
      </c>
      <c r="AZ630" s="105" t="n">
        <v>0</v>
      </c>
      <c r="BA630" s="105" t="n">
        <v>0</v>
      </c>
      <c r="BB630" s="105" t="n">
        <v>0</v>
      </c>
      <c r="BC630" s="105" t="n">
        <v>0</v>
      </c>
      <c r="BD630" s="105" t="n">
        <v>0</v>
      </c>
      <c r="BE630" s="105" t="n">
        <v>0</v>
      </c>
      <c r="BF630" s="105" t="n">
        <v>0</v>
      </c>
      <c r="BG630" s="105" t="n">
        <v>0</v>
      </c>
      <c r="BH630" s="105" t="n">
        <v>0</v>
      </c>
      <c r="BI630" s="105" t="n">
        <v>0</v>
      </c>
      <c r="BJ630" s="105" t="n">
        <v>0</v>
      </c>
      <c r="BK630" s="105" t="n">
        <v>0</v>
      </c>
      <c r="BL630" s="105" t="n">
        <v>0</v>
      </c>
      <c r="BM630" s="105" t="n">
        <v>0</v>
      </c>
      <c r="BN630" s="105" t="n">
        <v>0</v>
      </c>
      <c r="BO630" s="105" t="n">
        <v>0</v>
      </c>
      <c r="BP630" s="105" t="n">
        <v>0</v>
      </c>
      <c r="BQ630" s="105" t="n">
        <v>0</v>
      </c>
      <c r="BR630" s="106" t="n">
        <v>0</v>
      </c>
      <c r="BS630" s="106" t="n">
        <v>0</v>
      </c>
      <c r="BT630" s="107"/>
      <c r="BU630" s="107"/>
      <c r="BV630" s="107"/>
      <c r="BW630" s="107"/>
      <c r="BX630" s="107"/>
      <c r="BY630" s="107"/>
      <c r="BZ630" s="107"/>
      <c r="CA630" s="107"/>
      <c r="CB630" s="107"/>
      <c r="CC630" s="107"/>
      <c r="CD630" s="107"/>
      <c r="CE630" s="107"/>
      <c r="CF630" s="107"/>
      <c r="CG630" s="107"/>
      <c r="CH630" s="107"/>
      <c r="CI630" s="107"/>
      <c r="CJ630" s="107"/>
      <c r="CK630" s="107"/>
      <c r="CL630" s="107"/>
      <c r="CM630" s="107"/>
      <c r="CN630" s="107"/>
      <c r="CO630" s="107"/>
      <c r="CP630" s="107"/>
      <c r="CQ630" s="107"/>
      <c r="CR630" s="107"/>
      <c r="CS630" s="107"/>
      <c r="CT630" s="107"/>
      <c r="CU630" s="107"/>
      <c r="CV630" s="107"/>
    </row>
    <row r="631" customFormat="false" ht="14.9" hidden="false" customHeight="false" outlineLevel="0" collapsed="false">
      <c r="A631" s="74" t="n">
        <f aca="false">MONTH(B631)</f>
        <v>9</v>
      </c>
      <c r="B631" s="135" t="n">
        <v>44461</v>
      </c>
      <c r="C631" s="128" t="s">
        <v>70</v>
      </c>
      <c r="D631" s="77" t="str">
        <f aca="false">IFERROR(VLOOKUP(E:E,'Item Data Support Sheet'!A:O,7,0),"")</f>
        <v>BOTTLE PRINTED</v>
      </c>
      <c r="E631" s="80" t="s">
        <v>803</v>
      </c>
      <c r="F631" s="122"/>
      <c r="G631" s="137"/>
      <c r="H631" s="79" t="str">
        <f aca="false">IFERROR(VLOOKUP(E:E,'Item Data Support Sheet'!A:O,2,0),"")</f>
        <v>RPP 120ML GRL PNK BOTLE PNTD WM3GB W/BIS LOGO</v>
      </c>
      <c r="I631" s="80"/>
      <c r="J631" s="80" t="s">
        <v>155</v>
      </c>
      <c r="K631" s="81" t="n">
        <v>6</v>
      </c>
      <c r="L631" s="124" t="n">
        <v>1860</v>
      </c>
      <c r="M631" s="83" t="n">
        <f aca="false">IFERROR(L631/K631,0)</f>
        <v>310</v>
      </c>
      <c r="N631" s="84" t="n">
        <f aca="false">+O631+Q631+T631+U631</f>
        <v>1860</v>
      </c>
      <c r="O631" s="85" t="n">
        <v>1838</v>
      </c>
      <c r="P631" s="86" t="n">
        <v>0</v>
      </c>
      <c r="Q631" s="86" t="n">
        <v>0</v>
      </c>
      <c r="R631" s="132" t="n">
        <v>29</v>
      </c>
      <c r="S631" s="128" t="n">
        <v>0</v>
      </c>
      <c r="T631" s="132" t="n">
        <v>22</v>
      </c>
      <c r="U631" s="128" t="n">
        <v>0</v>
      </c>
      <c r="V631" s="128" t="n">
        <v>5</v>
      </c>
      <c r="W631" s="90" t="n">
        <f aca="false">IFERROR(O631/V631,0)</f>
        <v>367.6</v>
      </c>
      <c r="X631" s="91" t="n">
        <f aca="false">O631/L631</f>
        <v>0.988172043010753</v>
      </c>
      <c r="Y631" s="92" t="str">
        <f aca="false">IFERROR(VLOOKUP(E:E,'Item Data Support Sheet'!A:J,6,0),0)</f>
        <v>FO052</v>
      </c>
      <c r="Z631" s="93" t="n">
        <f aca="false">IFERROR(VLOOKUP(E:E,'Item Data Support Sheet'!A:O,4,0),0)</f>
        <v>0</v>
      </c>
      <c r="AA631" s="93" t="n">
        <f aca="false">IFERROR(((N631)*(Z631/1000))+P631,0)</f>
        <v>0</v>
      </c>
      <c r="AB631" s="94" t="str">
        <f aca="false">IFERROR((O631*(Z631/1000)/(AA631))," ")</f>
        <v> </v>
      </c>
      <c r="AC631" s="95" t="n">
        <f aca="false">IFERROR((T631)/((T631)+O631),0)</f>
        <v>0.0118279569892473</v>
      </c>
      <c r="AD631" s="96" t="n">
        <f aca="false">IFERROR(Q631/(Q631+N631),0)</f>
        <v>0</v>
      </c>
      <c r="AE631" s="91" t="n">
        <f aca="false">(N631-T631)/N631</f>
        <v>0.988172043010753</v>
      </c>
      <c r="AF631" s="97" t="n">
        <f aca="false">BR631</f>
        <v>2.66666666666667</v>
      </c>
      <c r="AG631" s="98" t="n">
        <f aca="false">K631-AF631</f>
        <v>3.33333333333333</v>
      </c>
      <c r="AH631" s="99" t="n">
        <f aca="false">IFERROR(AG631/K631," ")</f>
        <v>0.555555555555555</v>
      </c>
      <c r="AI631" s="100" t="n">
        <f aca="false">IFERROR(O631/K631,0)</f>
        <v>306.333333333333</v>
      </c>
      <c r="AJ631" s="101" t="n">
        <f aca="false">VLOOKUP(D631,'Standard Cycle time'!C:D,2,0)</f>
        <v>32.4</v>
      </c>
      <c r="AK631" s="101" t="n">
        <f aca="false">AG631*V631*3600/O631</f>
        <v>32.6441784548422</v>
      </c>
      <c r="AL631" s="102" t="n">
        <f aca="false">AJ631/AK631</f>
        <v>0.992520000000001</v>
      </c>
      <c r="AM631" s="99" t="n">
        <f aca="false">AE631*AL631*AH631</f>
        <v>0.544878064516129</v>
      </c>
      <c r="AN631" s="103" t="n">
        <v>3475</v>
      </c>
      <c r="AO631" s="112" t="s">
        <v>1268</v>
      </c>
      <c r="AP631" s="105" t="n">
        <v>40</v>
      </c>
      <c r="AQ631" s="105" t="n">
        <v>120</v>
      </c>
      <c r="AR631" s="105" t="n">
        <v>0</v>
      </c>
      <c r="AS631" s="105" t="n">
        <v>0</v>
      </c>
      <c r="AT631" s="105" t="n">
        <v>0</v>
      </c>
      <c r="AU631" s="105" t="n">
        <v>0</v>
      </c>
      <c r="AV631" s="105" t="n">
        <v>0</v>
      </c>
      <c r="AW631" s="105" t="n">
        <v>0</v>
      </c>
      <c r="AX631" s="105" t="n">
        <v>0</v>
      </c>
      <c r="AY631" s="105" t="n">
        <v>0</v>
      </c>
      <c r="AZ631" s="105" t="n">
        <v>0</v>
      </c>
      <c r="BA631" s="105" t="n">
        <v>0</v>
      </c>
      <c r="BB631" s="105" t="n">
        <v>0</v>
      </c>
      <c r="BC631" s="105" t="n">
        <v>0</v>
      </c>
      <c r="BD631" s="105" t="n">
        <v>0</v>
      </c>
      <c r="BE631" s="105" t="n">
        <v>0</v>
      </c>
      <c r="BF631" s="105" t="n">
        <v>0</v>
      </c>
      <c r="BG631" s="105" t="n">
        <v>0</v>
      </c>
      <c r="BH631" s="105" t="n">
        <v>0</v>
      </c>
      <c r="BI631" s="105" t="n">
        <v>0</v>
      </c>
      <c r="BJ631" s="105" t="n">
        <v>0</v>
      </c>
      <c r="BK631" s="105" t="n">
        <v>0</v>
      </c>
      <c r="BL631" s="105" t="n">
        <v>0</v>
      </c>
      <c r="BM631" s="105" t="n">
        <v>0</v>
      </c>
      <c r="BN631" s="105" t="n">
        <v>0</v>
      </c>
      <c r="BO631" s="105" t="n">
        <v>0</v>
      </c>
      <c r="BP631" s="105" t="n">
        <v>0</v>
      </c>
      <c r="BQ631" s="105" t="n">
        <v>0</v>
      </c>
      <c r="BR631" s="106" t="n">
        <v>2.66666666666667</v>
      </c>
      <c r="BS631" s="106" t="n">
        <v>2.71111111111111</v>
      </c>
      <c r="BT631" s="107"/>
      <c r="BU631" s="107"/>
      <c r="BV631" s="107"/>
      <c r="BW631" s="107"/>
      <c r="BX631" s="107"/>
      <c r="BY631" s="107"/>
      <c r="BZ631" s="107"/>
      <c r="CA631" s="107"/>
      <c r="CB631" s="107"/>
      <c r="CC631" s="107"/>
      <c r="CD631" s="107"/>
      <c r="CE631" s="107"/>
      <c r="CF631" s="107"/>
      <c r="CG631" s="107"/>
      <c r="CH631" s="107"/>
      <c r="CI631" s="107"/>
      <c r="CJ631" s="107"/>
      <c r="CK631" s="107"/>
      <c r="CL631" s="107"/>
      <c r="CM631" s="107"/>
      <c r="CN631" s="107"/>
      <c r="CO631" s="107"/>
      <c r="CP631" s="107"/>
      <c r="CQ631" s="107"/>
      <c r="CR631" s="107"/>
      <c r="CS631" s="107"/>
      <c r="CT631" s="107"/>
      <c r="CU631" s="107"/>
      <c r="CV631" s="107"/>
    </row>
    <row r="632" customFormat="false" ht="14.9" hidden="false" customHeight="false" outlineLevel="0" collapsed="false">
      <c r="A632" s="74" t="n">
        <f aca="false">MONTH(B632)</f>
        <v>9</v>
      </c>
      <c r="B632" s="135" t="n">
        <v>44461</v>
      </c>
      <c r="C632" s="128" t="s">
        <v>70</v>
      </c>
      <c r="D632" s="77" t="str">
        <f aca="false">IFERROR(VLOOKUP(E:E,'Item Data Support Sheet'!A:O,7,0),"")</f>
        <v>BOTTLE PRINTED</v>
      </c>
      <c r="E632" s="80" t="s">
        <v>608</v>
      </c>
      <c r="F632" s="122"/>
      <c r="G632" s="137"/>
      <c r="H632" s="79" t="str">
        <f aca="false">IFERROR(VLOOKUP(E:E,'Item Data Support Sheet'!A:O,2,0),"")</f>
        <v>RPP 120ML BOY BLUE BOTLE PNTD WM3GB W/BIS LOGO</v>
      </c>
      <c r="I632" s="80" t="s">
        <v>1269</v>
      </c>
      <c r="J632" s="80" t="s">
        <v>155</v>
      </c>
      <c r="K632" s="81" t="n">
        <v>2</v>
      </c>
      <c r="L632" s="124" t="n">
        <v>1031</v>
      </c>
      <c r="M632" s="83" t="n">
        <f aca="false">IFERROR(L632/K632,0)</f>
        <v>515.5</v>
      </c>
      <c r="N632" s="84" t="n">
        <f aca="false">+O632+Q632+T632+U632</f>
        <v>1031</v>
      </c>
      <c r="O632" s="85" t="n">
        <v>1020</v>
      </c>
      <c r="P632" s="86" t="n">
        <v>0</v>
      </c>
      <c r="Q632" s="86" t="n">
        <v>0</v>
      </c>
      <c r="R632" s="132" t="n">
        <v>14</v>
      </c>
      <c r="S632" s="128" t="n">
        <v>0</v>
      </c>
      <c r="T632" s="132" t="n">
        <v>11</v>
      </c>
      <c r="U632" s="128" t="n">
        <v>0</v>
      </c>
      <c r="V632" s="128" t="n">
        <v>5</v>
      </c>
      <c r="W632" s="90" t="n">
        <f aca="false">IFERROR(O632/V632,0)</f>
        <v>204</v>
      </c>
      <c r="X632" s="91" t="n">
        <f aca="false">O632/L632</f>
        <v>0.989330746847721</v>
      </c>
      <c r="Y632" s="92" t="str">
        <f aca="false">IFERROR(VLOOKUP(E:E,'Item Data Support Sheet'!A:J,6,0),0)</f>
        <v>FO054</v>
      </c>
      <c r="Z632" s="93" t="n">
        <f aca="false">IFERROR(VLOOKUP(E:E,'Item Data Support Sheet'!A:O,4,0),0)</f>
        <v>0</v>
      </c>
      <c r="AA632" s="93" t="n">
        <f aca="false">IFERROR(((N632)*(Z632/1000))+P632,0)</f>
        <v>0</v>
      </c>
      <c r="AB632" s="94" t="str">
        <f aca="false">IFERROR((O632*(Z632/1000)/(AA632))," ")</f>
        <v> </v>
      </c>
      <c r="AC632" s="95" t="n">
        <f aca="false">IFERROR((T632)/((T632)+O632),0)</f>
        <v>0.0106692531522793</v>
      </c>
      <c r="AD632" s="96" t="n">
        <f aca="false">IFERROR(Q632/(Q632+N632),0)</f>
        <v>0</v>
      </c>
      <c r="AE632" s="91" t="n">
        <f aca="false">(N632-T632)/N632</f>
        <v>0.989330746847721</v>
      </c>
      <c r="AF632" s="97" t="n">
        <f aca="false">BR632</f>
        <v>0</v>
      </c>
      <c r="AG632" s="98" t="n">
        <f aca="false">K632-AF632</f>
        <v>2</v>
      </c>
      <c r="AH632" s="99" t="n">
        <f aca="false">IFERROR(AG632/K632," ")</f>
        <v>1</v>
      </c>
      <c r="AI632" s="100" t="n">
        <f aca="false">IFERROR(O632/K632,0)</f>
        <v>510</v>
      </c>
      <c r="AJ632" s="101" t="n">
        <f aca="false">VLOOKUP(D632,'Standard Cycle time'!C:D,2,0)</f>
        <v>32.4</v>
      </c>
      <c r="AK632" s="101" t="n">
        <f aca="false">AG632*V632*3600/O632</f>
        <v>35.2941176470588</v>
      </c>
      <c r="AL632" s="102" t="n">
        <f aca="false">AJ632/AK632</f>
        <v>0.918</v>
      </c>
      <c r="AM632" s="99" t="n">
        <f aca="false">AE632*AL632*AH632</f>
        <v>0.908205625606207</v>
      </c>
      <c r="AN632" s="103" t="s">
        <v>869</v>
      </c>
      <c r="AO632" s="112" t="s">
        <v>1270</v>
      </c>
      <c r="AP632" s="105" t="n">
        <v>0</v>
      </c>
      <c r="AQ632" s="105" t="n">
        <v>0</v>
      </c>
      <c r="AR632" s="105" t="n">
        <v>0</v>
      </c>
      <c r="AS632" s="105" t="n">
        <v>0</v>
      </c>
      <c r="AT632" s="105" t="n">
        <v>0</v>
      </c>
      <c r="AU632" s="105" t="n">
        <v>0</v>
      </c>
      <c r="AV632" s="105" t="n">
        <v>0</v>
      </c>
      <c r="AW632" s="105" t="n">
        <v>0</v>
      </c>
      <c r="AX632" s="105" t="n">
        <v>0</v>
      </c>
      <c r="AY632" s="105" t="n">
        <v>0</v>
      </c>
      <c r="AZ632" s="105" t="n">
        <v>0</v>
      </c>
      <c r="BA632" s="105" t="n">
        <v>0</v>
      </c>
      <c r="BB632" s="105" t="n">
        <v>0</v>
      </c>
      <c r="BC632" s="105" t="n">
        <v>0</v>
      </c>
      <c r="BD632" s="105" t="n">
        <v>0</v>
      </c>
      <c r="BE632" s="105" t="n">
        <v>0</v>
      </c>
      <c r="BF632" s="105" t="n">
        <v>0</v>
      </c>
      <c r="BG632" s="105" t="n">
        <v>0</v>
      </c>
      <c r="BH632" s="105" t="n">
        <v>0</v>
      </c>
      <c r="BI632" s="105" t="n">
        <v>0</v>
      </c>
      <c r="BJ632" s="105" t="n">
        <v>0</v>
      </c>
      <c r="BK632" s="105" t="n">
        <v>0</v>
      </c>
      <c r="BL632" s="105" t="n">
        <v>0</v>
      </c>
      <c r="BM632" s="105" t="n">
        <v>0</v>
      </c>
      <c r="BN632" s="105" t="n">
        <v>0</v>
      </c>
      <c r="BO632" s="105" t="n">
        <v>0</v>
      </c>
      <c r="BP632" s="105" t="n">
        <v>0</v>
      </c>
      <c r="BQ632" s="105" t="n">
        <v>0</v>
      </c>
      <c r="BR632" s="106" t="n">
        <v>0</v>
      </c>
      <c r="BS632" s="106" t="n">
        <v>0</v>
      </c>
      <c r="BT632" s="107"/>
      <c r="BU632" s="107"/>
      <c r="BV632" s="107"/>
      <c r="BW632" s="107"/>
      <c r="BX632" s="107"/>
      <c r="BY632" s="107"/>
      <c r="BZ632" s="107"/>
      <c r="CA632" s="107"/>
      <c r="CB632" s="107"/>
      <c r="CC632" s="107"/>
      <c r="CD632" s="107"/>
      <c r="CE632" s="107"/>
      <c r="CF632" s="107"/>
      <c r="CG632" s="107"/>
      <c r="CH632" s="107"/>
      <c r="CI632" s="107"/>
      <c r="CJ632" s="107"/>
      <c r="CK632" s="107"/>
      <c r="CL632" s="107"/>
      <c r="CM632" s="107"/>
      <c r="CN632" s="107"/>
      <c r="CO632" s="107"/>
      <c r="CP632" s="107"/>
      <c r="CQ632" s="107"/>
      <c r="CR632" s="107"/>
      <c r="CS632" s="107"/>
      <c r="CT632" s="107"/>
      <c r="CU632" s="107"/>
      <c r="CV632" s="107"/>
    </row>
    <row r="633" customFormat="false" ht="14.9" hidden="false" customHeight="false" outlineLevel="0" collapsed="false">
      <c r="A633" s="74" t="n">
        <f aca="false">MONTH(B633)</f>
        <v>9</v>
      </c>
      <c r="B633" s="135" t="n">
        <v>44461</v>
      </c>
      <c r="C633" s="128" t="s">
        <v>152</v>
      </c>
      <c r="D633" s="77" t="str">
        <f aca="false">IFERROR(VLOOKUP(E:E,'Item Data Support Sheet'!A:O,7,0),"")</f>
        <v>NIPPLE MOLDED</v>
      </c>
      <c r="E633" s="80" t="s">
        <v>244</v>
      </c>
      <c r="F633" s="122" t="s">
        <v>137</v>
      </c>
      <c r="G633" s="137" t="s">
        <v>138</v>
      </c>
      <c r="H633" s="79" t="str">
        <f aca="false">IFERROR(VLOOKUP(E:E,'Item Data Support Sheet'!A:O,2,0),"")</f>
        <v>NIPPLE S TYPE S SIZE INJECTION</v>
      </c>
      <c r="I633" s="80" t="s">
        <v>1271</v>
      </c>
      <c r="J633" s="80" t="s">
        <v>815</v>
      </c>
      <c r="K633" s="81" t="n">
        <v>8</v>
      </c>
      <c r="L633" s="124" t="n">
        <v>3600</v>
      </c>
      <c r="M633" s="83" t="n">
        <f aca="false">IFERROR(L633/K633,0)</f>
        <v>450</v>
      </c>
      <c r="N633" s="84" t="n">
        <f aca="false">+O633+Q633+T633+U633</f>
        <v>2797</v>
      </c>
      <c r="O633" s="85" t="n">
        <v>2700</v>
      </c>
      <c r="P633" s="86" t="n">
        <v>5.4</v>
      </c>
      <c r="Q633" s="86" t="n">
        <v>44</v>
      </c>
      <c r="R633" s="132" t="n">
        <v>0</v>
      </c>
      <c r="S633" s="128" t="n">
        <v>0</v>
      </c>
      <c r="T633" s="132" t="n">
        <v>37</v>
      </c>
      <c r="U633" s="128" t="n">
        <v>16</v>
      </c>
      <c r="V633" s="128" t="n">
        <v>1</v>
      </c>
      <c r="W633" s="90" t="n">
        <f aca="false">IFERROR(O633/V633,0)</f>
        <v>2700</v>
      </c>
      <c r="X633" s="91" t="n">
        <f aca="false">O633/L633</f>
        <v>0.75</v>
      </c>
      <c r="Y633" s="92" t="str">
        <f aca="false">IFERROR(VLOOKUP(E:E,'Item Data Support Sheet'!A:J,6,0),0)</f>
        <v>Silicon</v>
      </c>
      <c r="Z633" s="93" t="n">
        <f aca="false">IFERROR(VLOOKUP(E:E,'Item Data Support Sheet'!A:O,4,0),0)</f>
        <v>6.8</v>
      </c>
      <c r="AA633" s="93" t="n">
        <f aca="false">IFERROR(((N633)*(Z633/1000))+P633,0)</f>
        <v>24.4196</v>
      </c>
      <c r="AB633" s="94" t="n">
        <f aca="false">IFERROR((O633*(Z633/1000)/(AA633))," ")</f>
        <v>0.751855067241069</v>
      </c>
      <c r="AC633" s="95" t="n">
        <f aca="false">IFERROR((T633)/((T633)+O633),0)</f>
        <v>0.0135184508586043</v>
      </c>
      <c r="AD633" s="96" t="n">
        <f aca="false">IFERROR(Q633/(Q633+N633),0)</f>
        <v>0.0154875043998592</v>
      </c>
      <c r="AE633" s="91" t="n">
        <f aca="false">(N633-T633)/N633</f>
        <v>0.986771540936718</v>
      </c>
      <c r="AF633" s="97" t="n">
        <f aca="false">BR633</f>
        <v>3</v>
      </c>
      <c r="AG633" s="98" t="n">
        <f aca="false">K633-AF633</f>
        <v>5</v>
      </c>
      <c r="AH633" s="99" t="n">
        <f aca="false">IFERROR(AG633/K633," ")</f>
        <v>0.625</v>
      </c>
      <c r="AI633" s="100" t="n">
        <f aca="false">IFERROR(O633/K633,0)</f>
        <v>337.5</v>
      </c>
      <c r="AJ633" s="101" t="n">
        <f aca="false">VLOOKUP(D633,'Standard Cycle time'!C:D,2,0)</f>
        <v>5.25</v>
      </c>
      <c r="AK633" s="101" t="n">
        <f aca="false">AG633*V633*3600/O633</f>
        <v>6.66666666666667</v>
      </c>
      <c r="AL633" s="102" t="n">
        <f aca="false">AJ633/AK633</f>
        <v>0.7875</v>
      </c>
      <c r="AM633" s="99" t="n">
        <f aca="false">AE633*AL633*AH633</f>
        <v>0.485676617804791</v>
      </c>
      <c r="AN633" s="103" t="n">
        <v>3479</v>
      </c>
      <c r="AO633" s="112" t="s">
        <v>1272</v>
      </c>
      <c r="AP633" s="105" t="n">
        <v>0</v>
      </c>
      <c r="AQ633" s="105" t="n">
        <v>40</v>
      </c>
      <c r="AR633" s="105" t="n">
        <v>0</v>
      </c>
      <c r="AS633" s="105" t="n">
        <v>0</v>
      </c>
      <c r="AT633" s="105" t="n">
        <v>0</v>
      </c>
      <c r="AU633" s="105" t="n">
        <v>0</v>
      </c>
      <c r="AV633" s="105" t="n">
        <v>0</v>
      </c>
      <c r="AW633" s="105" t="n">
        <v>0</v>
      </c>
      <c r="AX633" s="105" t="n">
        <v>30</v>
      </c>
      <c r="AY633" s="105" t="n">
        <v>0</v>
      </c>
      <c r="AZ633" s="105" t="n">
        <v>0</v>
      </c>
      <c r="BA633" s="105" t="n">
        <v>110</v>
      </c>
      <c r="BB633" s="105" t="n">
        <v>0</v>
      </c>
      <c r="BC633" s="105" t="n">
        <v>0</v>
      </c>
      <c r="BD633" s="105" t="n">
        <v>0</v>
      </c>
      <c r="BE633" s="105" t="n">
        <v>0</v>
      </c>
      <c r="BF633" s="105" t="n">
        <v>0</v>
      </c>
      <c r="BG633" s="105" t="n">
        <v>0</v>
      </c>
      <c r="BH633" s="105" t="n">
        <v>0</v>
      </c>
      <c r="BI633" s="105" t="n">
        <v>0</v>
      </c>
      <c r="BJ633" s="105" t="n">
        <v>0</v>
      </c>
      <c r="BK633" s="105" t="n">
        <v>0</v>
      </c>
      <c r="BL633" s="105" t="n">
        <v>0</v>
      </c>
      <c r="BM633" s="105" t="n">
        <v>0</v>
      </c>
      <c r="BN633" s="105" t="n">
        <v>0</v>
      </c>
      <c r="BO633" s="105" t="n">
        <v>0</v>
      </c>
      <c r="BP633" s="105" t="n">
        <v>0</v>
      </c>
      <c r="BQ633" s="105" t="n">
        <v>0</v>
      </c>
      <c r="BR633" s="106" t="n">
        <v>3</v>
      </c>
      <c r="BS633" s="106" t="n">
        <v>3.05</v>
      </c>
      <c r="BT633" s="107"/>
      <c r="BU633" s="107"/>
      <c r="BV633" s="107"/>
      <c r="BW633" s="107"/>
      <c r="BX633" s="107"/>
      <c r="BY633" s="107"/>
      <c r="BZ633" s="107"/>
      <c r="CA633" s="107"/>
      <c r="CB633" s="107"/>
      <c r="CC633" s="107"/>
      <c r="CD633" s="107"/>
      <c r="CE633" s="107"/>
      <c r="CF633" s="107"/>
      <c r="CG633" s="107"/>
      <c r="CH633" s="107"/>
      <c r="CI633" s="107"/>
      <c r="CJ633" s="107"/>
      <c r="CK633" s="107"/>
      <c r="CL633" s="107"/>
      <c r="CM633" s="107"/>
      <c r="CN633" s="107"/>
      <c r="CO633" s="107"/>
      <c r="CP633" s="107"/>
      <c r="CQ633" s="107"/>
      <c r="CR633" s="107"/>
      <c r="CS633" s="107"/>
      <c r="CT633" s="107"/>
      <c r="CU633" s="107"/>
      <c r="CV633" s="107"/>
    </row>
    <row r="634" customFormat="false" ht="14.9" hidden="false" customHeight="false" outlineLevel="0" collapsed="false">
      <c r="A634" s="74" t="n">
        <f aca="false">MONTH(B634)</f>
        <v>9</v>
      </c>
      <c r="B634" s="135" t="n">
        <v>44461</v>
      </c>
      <c r="C634" s="128" t="s">
        <v>152</v>
      </c>
      <c r="D634" s="77" t="str">
        <f aca="false">IFERROR(VLOOKUP(E:E,'Item Data Support Sheet'!A:O,7,0),"")</f>
        <v>BOTTLE MOLDED</v>
      </c>
      <c r="E634" s="80" t="s">
        <v>357</v>
      </c>
      <c r="F634" s="122" t="s">
        <v>144</v>
      </c>
      <c r="G634" s="137" t="s">
        <v>74</v>
      </c>
      <c r="H634" s="79" t="str">
        <f aca="false">IFERROR(VLOOKUP(E:E,'Item Data Support Sheet'!A:O,2,0),"")</f>
        <v>KPP 120 ML BOTTLE MOLDED</v>
      </c>
      <c r="I634" s="80" t="s">
        <v>1273</v>
      </c>
      <c r="J634" s="80" t="s">
        <v>815</v>
      </c>
      <c r="K634" s="81" t="n">
        <v>8</v>
      </c>
      <c r="L634" s="124" t="n">
        <v>2574</v>
      </c>
      <c r="M634" s="83" t="n">
        <f aca="false">IFERROR(L634/K634,0)</f>
        <v>321.75</v>
      </c>
      <c r="N634" s="84" t="n">
        <f aca="false">+O634+Q634+T634+U634</f>
        <v>3123</v>
      </c>
      <c r="O634" s="85" t="n">
        <v>3060</v>
      </c>
      <c r="P634" s="86" t="n">
        <v>0.22</v>
      </c>
      <c r="Q634" s="86" t="n">
        <v>18</v>
      </c>
      <c r="R634" s="132" t="n">
        <v>0</v>
      </c>
      <c r="S634" s="128" t="n">
        <v>0</v>
      </c>
      <c r="T634" s="132" t="n">
        <v>37</v>
      </c>
      <c r="U634" s="128" t="n">
        <v>8</v>
      </c>
      <c r="V634" s="128" t="n">
        <v>1</v>
      </c>
      <c r="W634" s="90" t="n">
        <f aca="false">IFERROR(O634/V634,0)</f>
        <v>3060</v>
      </c>
      <c r="X634" s="91" t="n">
        <f aca="false">O634/L634</f>
        <v>1.18881118881119</v>
      </c>
      <c r="Y634" s="92" t="str">
        <f aca="false">IFERROR(VLOOKUP(E:E,'Item Data Support Sheet'!A:J,6,0),0)</f>
        <v>HMC</v>
      </c>
      <c r="Z634" s="93" t="n">
        <f aca="false">IFERROR(VLOOKUP(E:E,'Item Data Support Sheet'!A:O,4,0),0)</f>
        <v>21.3</v>
      </c>
      <c r="AA634" s="93" t="n">
        <f aca="false">IFERROR(((N634)*(Z634/1000))+P634,0)</f>
        <v>66.7399</v>
      </c>
      <c r="AB634" s="94" t="n">
        <f aca="false">IFERROR((O634*(Z634/1000)/(AA634))," ")</f>
        <v>0.976597207967048</v>
      </c>
      <c r="AC634" s="95" t="n">
        <f aca="false">IFERROR((T634)/((T634)+O634),0)</f>
        <v>0.0119470455279303</v>
      </c>
      <c r="AD634" s="96" t="n">
        <f aca="false">IFERROR(Q634/(Q634+N634),0)</f>
        <v>0.00573065902578797</v>
      </c>
      <c r="AE634" s="91" t="n">
        <f aca="false">(N634-T634)/N634</f>
        <v>0.98815241754723</v>
      </c>
      <c r="AF634" s="97" t="n">
        <f aca="false">BR634</f>
        <v>0</v>
      </c>
      <c r="AG634" s="98" t="n">
        <f aca="false">K634-AF634</f>
        <v>8</v>
      </c>
      <c r="AH634" s="99" t="n">
        <f aca="false">IFERROR(AG634/K634," ")</f>
        <v>1</v>
      </c>
      <c r="AI634" s="100" t="n">
        <f aca="false">IFERROR(O634/K634,0)</f>
        <v>382.5</v>
      </c>
      <c r="AJ634" s="101" t="n">
        <f aca="false">VLOOKUP(D634,'Standard Cycle time'!C:D,2,0)</f>
        <v>9</v>
      </c>
      <c r="AK634" s="101" t="n">
        <f aca="false">AG634*V634*3600/O634</f>
        <v>9.41176470588235</v>
      </c>
      <c r="AL634" s="102" t="n">
        <f aca="false">AJ634/AK634</f>
        <v>0.95625</v>
      </c>
      <c r="AM634" s="99" t="n">
        <f aca="false">AE634*AL634*AH634</f>
        <v>0.944920749279539</v>
      </c>
      <c r="AN634" s="103" t="n">
        <v>3478</v>
      </c>
      <c r="AO634" s="112"/>
      <c r="AP634" s="105" t="n">
        <v>0</v>
      </c>
      <c r="AQ634" s="105" t="n">
        <v>0</v>
      </c>
      <c r="AR634" s="105" t="n">
        <v>0</v>
      </c>
      <c r="AS634" s="105" t="n">
        <v>0</v>
      </c>
      <c r="AT634" s="105" t="n">
        <v>0</v>
      </c>
      <c r="AU634" s="105" t="n">
        <v>0</v>
      </c>
      <c r="AV634" s="105" t="n">
        <v>0</v>
      </c>
      <c r="AW634" s="105" t="n">
        <v>0</v>
      </c>
      <c r="AX634" s="105" t="n">
        <v>0</v>
      </c>
      <c r="AY634" s="105" t="n">
        <v>0</v>
      </c>
      <c r="AZ634" s="105" t="n">
        <v>0</v>
      </c>
      <c r="BA634" s="105" t="n">
        <v>0</v>
      </c>
      <c r="BB634" s="105" t="n">
        <v>0</v>
      </c>
      <c r="BC634" s="105" t="n">
        <v>0</v>
      </c>
      <c r="BD634" s="105" t="n">
        <v>0</v>
      </c>
      <c r="BE634" s="105" t="n">
        <v>0</v>
      </c>
      <c r="BF634" s="105" t="n">
        <v>0</v>
      </c>
      <c r="BG634" s="105" t="n">
        <v>0</v>
      </c>
      <c r="BH634" s="105" t="n">
        <v>0</v>
      </c>
      <c r="BI634" s="105" t="n">
        <v>0</v>
      </c>
      <c r="BJ634" s="105" t="n">
        <v>0</v>
      </c>
      <c r="BK634" s="105" t="n">
        <v>0</v>
      </c>
      <c r="BL634" s="105" t="n">
        <v>0</v>
      </c>
      <c r="BM634" s="105" t="n">
        <v>0</v>
      </c>
      <c r="BN634" s="105" t="n">
        <v>0</v>
      </c>
      <c r="BO634" s="105" t="n">
        <v>0</v>
      </c>
      <c r="BP634" s="105" t="n">
        <v>0</v>
      </c>
      <c r="BQ634" s="105" t="n">
        <v>0</v>
      </c>
      <c r="BR634" s="106" t="n">
        <v>0</v>
      </c>
      <c r="BS634" s="106" t="n">
        <v>0</v>
      </c>
      <c r="BT634" s="107"/>
      <c r="BU634" s="107"/>
      <c r="BV634" s="107"/>
      <c r="BW634" s="107"/>
      <c r="BX634" s="107"/>
      <c r="BY634" s="107"/>
      <c r="BZ634" s="107"/>
      <c r="CA634" s="107"/>
      <c r="CB634" s="107"/>
      <c r="CC634" s="107"/>
      <c r="CD634" s="107"/>
      <c r="CE634" s="107"/>
      <c r="CF634" s="107"/>
      <c r="CG634" s="107"/>
      <c r="CH634" s="107"/>
      <c r="CI634" s="107"/>
      <c r="CJ634" s="107"/>
      <c r="CK634" s="107"/>
      <c r="CL634" s="107"/>
      <c r="CM634" s="107"/>
      <c r="CN634" s="107"/>
      <c r="CO634" s="107"/>
      <c r="CP634" s="107"/>
      <c r="CQ634" s="107"/>
      <c r="CR634" s="107"/>
      <c r="CS634" s="107"/>
      <c r="CT634" s="107"/>
      <c r="CU634" s="107"/>
      <c r="CV634" s="107"/>
    </row>
    <row r="635" customFormat="false" ht="14.9" hidden="false" customHeight="false" outlineLevel="0" collapsed="false">
      <c r="A635" s="74" t="n">
        <f aca="false">MONTH(B635)</f>
        <v>9</v>
      </c>
      <c r="B635" s="135" t="n">
        <v>44461</v>
      </c>
      <c r="C635" s="128" t="s">
        <v>152</v>
      </c>
      <c r="D635" s="77" t="str">
        <f aca="false">IFERROR(VLOOKUP(E:E,'Item Data Support Sheet'!A:O,7,0),"")</f>
        <v>CAP MOLDED</v>
      </c>
      <c r="E635" s="80" t="s">
        <v>261</v>
      </c>
      <c r="F635" s="122"/>
      <c r="G635" s="137" t="s">
        <v>1215</v>
      </c>
      <c r="H635" s="79" t="str">
        <f aca="false">IFERROR(VLOOKUP(E:E,'Item Data Support Sheet'!A:O,2,0),"")</f>
        <v>CAP S TYPE MOLDED PINK</v>
      </c>
      <c r="I635" s="80" t="s">
        <v>1274</v>
      </c>
      <c r="J635" s="80" t="s">
        <v>815</v>
      </c>
      <c r="K635" s="81" t="n">
        <v>1</v>
      </c>
      <c r="L635" s="124" t="n">
        <v>500</v>
      </c>
      <c r="M635" s="83" t="n">
        <f aca="false">IFERROR(L635/K635,0)</f>
        <v>500</v>
      </c>
      <c r="N635" s="84" t="n">
        <f aca="false">+O635+Q635+T635+U635</f>
        <v>500</v>
      </c>
      <c r="O635" s="85" t="n">
        <v>500</v>
      </c>
      <c r="P635" s="86" t="n">
        <v>0</v>
      </c>
      <c r="Q635" s="86" t="n">
        <v>0</v>
      </c>
      <c r="R635" s="132" t="n">
        <v>0</v>
      </c>
      <c r="S635" s="128" t="n">
        <v>0</v>
      </c>
      <c r="T635" s="132" t="n">
        <v>0</v>
      </c>
      <c r="U635" s="128" t="n">
        <v>0</v>
      </c>
      <c r="V635" s="128" t="n">
        <v>1</v>
      </c>
      <c r="W635" s="90" t="n">
        <f aca="false">IFERROR(O635/V635,0)</f>
        <v>500</v>
      </c>
      <c r="X635" s="91" t="n">
        <f aca="false">O635/L635</f>
        <v>1</v>
      </c>
      <c r="Y635" s="92" t="str">
        <f aca="false">IFERROR(VLOOKUP(E:E,'Item Data Support Sheet'!A:J,6,0),0)</f>
        <v>RM000123</v>
      </c>
      <c r="Z635" s="93" t="n">
        <f aca="false">IFERROR(VLOOKUP(E:E,'Item Data Support Sheet'!A:O,4,0),0)</f>
        <v>7.3</v>
      </c>
      <c r="AA635" s="93" t="n">
        <f aca="false">IFERROR(((N635)*(Z635/1000))+P635,0)</f>
        <v>3.65</v>
      </c>
      <c r="AB635" s="94" t="n">
        <f aca="false">IFERROR((O635*(Z635/1000)/(AA635))," ")</f>
        <v>1</v>
      </c>
      <c r="AC635" s="95" t="n">
        <f aca="false">IFERROR((T635)/((T635)+O635),0)</f>
        <v>0</v>
      </c>
      <c r="AD635" s="96" t="n">
        <f aca="false">IFERROR(Q635/(Q635+N635),0)</f>
        <v>0</v>
      </c>
      <c r="AE635" s="91" t="n">
        <f aca="false">(N635-T635)/N635</f>
        <v>1</v>
      </c>
      <c r="AF635" s="97" t="n">
        <f aca="false">BR635</f>
        <v>0</v>
      </c>
      <c r="AG635" s="98" t="n">
        <f aca="false">K635-AF635</f>
        <v>1</v>
      </c>
      <c r="AH635" s="99" t="n">
        <f aca="false">IFERROR(AG635/K635," ")</f>
        <v>1</v>
      </c>
      <c r="AI635" s="100" t="n">
        <f aca="false">IFERROR(O635/K635,0)</f>
        <v>500</v>
      </c>
      <c r="AJ635" s="101" t="n">
        <f aca="false">VLOOKUP(D635,'Standard Cycle time'!C:D,2,0)</f>
        <v>6</v>
      </c>
      <c r="AK635" s="101" t="n">
        <f aca="false">AG635*V635*3600/O635</f>
        <v>7.2</v>
      </c>
      <c r="AL635" s="102" t="n">
        <f aca="false">AJ635/AK635</f>
        <v>0.833333333333333</v>
      </c>
      <c r="AM635" s="99" t="n">
        <f aca="false">AE635*AL635*AH635</f>
        <v>0.833333333333333</v>
      </c>
      <c r="AN635" s="103" t="n">
        <v>3483</v>
      </c>
      <c r="AO635" s="112"/>
      <c r="AP635" s="105" t="n">
        <v>0</v>
      </c>
      <c r="AQ635" s="105" t="n">
        <v>0</v>
      </c>
      <c r="AR635" s="105" t="n">
        <v>0</v>
      </c>
      <c r="AS635" s="105" t="n">
        <v>0</v>
      </c>
      <c r="AT635" s="105" t="n">
        <v>0</v>
      </c>
      <c r="AU635" s="105" t="n">
        <v>0</v>
      </c>
      <c r="AV635" s="105" t="n">
        <v>0</v>
      </c>
      <c r="AW635" s="105" t="n">
        <v>0</v>
      </c>
      <c r="AX635" s="105" t="n">
        <v>0</v>
      </c>
      <c r="AY635" s="105" t="n">
        <v>0</v>
      </c>
      <c r="AZ635" s="105" t="n">
        <v>0</v>
      </c>
      <c r="BA635" s="105" t="n">
        <v>0</v>
      </c>
      <c r="BB635" s="105" t="n">
        <v>0</v>
      </c>
      <c r="BC635" s="105" t="n">
        <v>0</v>
      </c>
      <c r="BD635" s="105" t="n">
        <v>0</v>
      </c>
      <c r="BE635" s="105" t="n">
        <v>0</v>
      </c>
      <c r="BF635" s="105" t="n">
        <v>0</v>
      </c>
      <c r="BG635" s="105" t="n">
        <v>0</v>
      </c>
      <c r="BH635" s="105" t="n">
        <v>0</v>
      </c>
      <c r="BI635" s="105" t="n">
        <v>0</v>
      </c>
      <c r="BJ635" s="105" t="n">
        <v>0</v>
      </c>
      <c r="BK635" s="105" t="n">
        <v>0</v>
      </c>
      <c r="BL635" s="105" t="n">
        <v>0</v>
      </c>
      <c r="BM635" s="105" t="n">
        <v>0</v>
      </c>
      <c r="BN635" s="105" t="n">
        <v>0</v>
      </c>
      <c r="BO635" s="105" t="n">
        <v>0</v>
      </c>
      <c r="BP635" s="105" t="n">
        <v>0</v>
      </c>
      <c r="BQ635" s="105" t="n">
        <v>0</v>
      </c>
      <c r="BR635" s="106" t="n">
        <v>0</v>
      </c>
      <c r="BS635" s="106" t="n">
        <v>0</v>
      </c>
      <c r="BT635" s="107"/>
      <c r="BU635" s="107"/>
      <c r="BV635" s="107"/>
      <c r="BW635" s="107"/>
      <c r="BX635" s="107"/>
      <c r="BY635" s="107"/>
      <c r="BZ635" s="107"/>
      <c r="CA635" s="107"/>
      <c r="CB635" s="107"/>
      <c r="CC635" s="107"/>
      <c r="CD635" s="107"/>
      <c r="CE635" s="107"/>
      <c r="CF635" s="107"/>
      <c r="CG635" s="107"/>
      <c r="CH635" s="107"/>
      <c r="CI635" s="107"/>
      <c r="CJ635" s="107"/>
      <c r="CK635" s="107"/>
      <c r="CL635" s="107"/>
      <c r="CM635" s="107"/>
      <c r="CN635" s="107"/>
      <c r="CO635" s="107"/>
      <c r="CP635" s="107"/>
      <c r="CQ635" s="107"/>
      <c r="CR635" s="107"/>
      <c r="CS635" s="107"/>
      <c r="CT635" s="107"/>
      <c r="CU635" s="107"/>
      <c r="CV635" s="107"/>
    </row>
    <row r="636" customFormat="false" ht="14.9" hidden="false" customHeight="false" outlineLevel="0" collapsed="false">
      <c r="A636" s="74" t="n">
        <f aca="false">MONTH(B636)</f>
        <v>9</v>
      </c>
      <c r="B636" s="135" t="n">
        <v>44461</v>
      </c>
      <c r="C636" s="128" t="s">
        <v>152</v>
      </c>
      <c r="D636" s="77" t="str">
        <f aca="false">IFERROR(VLOOKUP(E:E,'Item Data Support Sheet'!A:O,7,0),"")</f>
        <v>CAP MOLDED</v>
      </c>
      <c r="E636" s="80" t="s">
        <v>261</v>
      </c>
      <c r="F636" s="122"/>
      <c r="G636" s="137" t="s">
        <v>1211</v>
      </c>
      <c r="H636" s="79" t="str">
        <f aca="false">IFERROR(VLOOKUP(E:E,'Item Data Support Sheet'!A:O,2,0),"")</f>
        <v>CAP S TYPE MOLDED PINK</v>
      </c>
      <c r="I636" s="80" t="s">
        <v>1275</v>
      </c>
      <c r="J636" s="80" t="s">
        <v>815</v>
      </c>
      <c r="K636" s="81" t="n">
        <v>7</v>
      </c>
      <c r="L636" s="124" t="n">
        <v>3637</v>
      </c>
      <c r="M636" s="83" t="n">
        <f aca="false">IFERROR(L636/K636,0)</f>
        <v>519.571428571429</v>
      </c>
      <c r="N636" s="84" t="n">
        <f aca="false">+O636+Q636+T636+U636</f>
        <v>4013</v>
      </c>
      <c r="O636" s="85" t="n">
        <v>4000</v>
      </c>
      <c r="P636" s="86" t="n">
        <v>0</v>
      </c>
      <c r="Q636" s="86" t="n">
        <v>0</v>
      </c>
      <c r="R636" s="132" t="n">
        <v>0</v>
      </c>
      <c r="S636" s="128" t="n">
        <v>0</v>
      </c>
      <c r="T636" s="132" t="n">
        <v>5</v>
      </c>
      <c r="U636" s="128" t="n">
        <v>8</v>
      </c>
      <c r="V636" s="128" t="n">
        <v>1</v>
      </c>
      <c r="W636" s="90" t="n">
        <f aca="false">IFERROR(O636/V636,0)</f>
        <v>4000</v>
      </c>
      <c r="X636" s="91" t="n">
        <f aca="false">O636/L636</f>
        <v>1.09980753368161</v>
      </c>
      <c r="Y636" s="92" t="str">
        <f aca="false">IFERROR(VLOOKUP(E:E,'Item Data Support Sheet'!A:J,6,0),0)</f>
        <v>RM000123</v>
      </c>
      <c r="Z636" s="93" t="n">
        <f aca="false">IFERROR(VLOOKUP(E:E,'Item Data Support Sheet'!A:O,4,0),0)</f>
        <v>7.3</v>
      </c>
      <c r="AA636" s="93" t="n">
        <f aca="false">IFERROR(((N636)*(Z636/1000))+P636,0)</f>
        <v>29.2949</v>
      </c>
      <c r="AB636" s="94" t="n">
        <f aca="false">IFERROR((O636*(Z636/1000)/(AA636))," ")</f>
        <v>0.99676052828308</v>
      </c>
      <c r="AC636" s="95" t="n">
        <f aca="false">IFERROR((T636)/((T636)+O636),0)</f>
        <v>0.00124843945068664</v>
      </c>
      <c r="AD636" s="96" t="n">
        <f aca="false">IFERROR(Q636/(Q636+N636),0)</f>
        <v>0</v>
      </c>
      <c r="AE636" s="91" t="n">
        <f aca="false">(N636-T636)/N636</f>
        <v>0.998754049339646</v>
      </c>
      <c r="AF636" s="97" t="n">
        <f aca="false">BR636</f>
        <v>0</v>
      </c>
      <c r="AG636" s="98" t="n">
        <f aca="false">K636-AF636</f>
        <v>7</v>
      </c>
      <c r="AH636" s="99" t="n">
        <f aca="false">IFERROR(AG636/K636," ")</f>
        <v>1</v>
      </c>
      <c r="AI636" s="100" t="n">
        <f aca="false">IFERROR(O636/K636,0)</f>
        <v>571.428571428571</v>
      </c>
      <c r="AJ636" s="101" t="n">
        <f aca="false">VLOOKUP(D636,'Standard Cycle time'!C:D,2,0)</f>
        <v>6</v>
      </c>
      <c r="AK636" s="101" t="n">
        <f aca="false">AG636*V636*3600/O636</f>
        <v>6.3</v>
      </c>
      <c r="AL636" s="102" t="n">
        <f aca="false">AJ636/AK636</f>
        <v>0.952380952380952</v>
      </c>
      <c r="AM636" s="99" t="n">
        <f aca="false">AE636*AL636*AH636</f>
        <v>0.951194332704425</v>
      </c>
      <c r="AN636" s="103" t="n">
        <v>3488</v>
      </c>
      <c r="AO636" s="112"/>
      <c r="AP636" s="105" t="n">
        <v>0</v>
      </c>
      <c r="AQ636" s="105" t="n">
        <v>0</v>
      </c>
      <c r="AR636" s="105" t="n">
        <v>0</v>
      </c>
      <c r="AS636" s="105" t="n">
        <v>0</v>
      </c>
      <c r="AT636" s="105" t="n">
        <v>0</v>
      </c>
      <c r="AU636" s="105" t="n">
        <v>0</v>
      </c>
      <c r="AV636" s="105" t="n">
        <v>0</v>
      </c>
      <c r="AW636" s="105" t="n">
        <v>0</v>
      </c>
      <c r="AX636" s="105" t="n">
        <v>0</v>
      </c>
      <c r="AY636" s="105" t="n">
        <v>0</v>
      </c>
      <c r="AZ636" s="105" t="n">
        <v>0</v>
      </c>
      <c r="BA636" s="105" t="n">
        <v>0</v>
      </c>
      <c r="BB636" s="105" t="n">
        <v>0</v>
      </c>
      <c r="BC636" s="105" t="n">
        <v>0</v>
      </c>
      <c r="BD636" s="105" t="n">
        <v>0</v>
      </c>
      <c r="BE636" s="105" t="n">
        <v>0</v>
      </c>
      <c r="BF636" s="105" t="n">
        <v>0</v>
      </c>
      <c r="BG636" s="105" t="n">
        <v>0</v>
      </c>
      <c r="BH636" s="105" t="n">
        <v>0</v>
      </c>
      <c r="BI636" s="105" t="n">
        <v>0</v>
      </c>
      <c r="BJ636" s="105" t="n">
        <v>0</v>
      </c>
      <c r="BK636" s="105" t="n">
        <v>0</v>
      </c>
      <c r="BL636" s="105" t="n">
        <v>0</v>
      </c>
      <c r="BM636" s="105" t="n">
        <v>0</v>
      </c>
      <c r="BN636" s="105" t="n">
        <v>0</v>
      </c>
      <c r="BO636" s="105" t="n">
        <v>0</v>
      </c>
      <c r="BP636" s="105" t="n">
        <v>0</v>
      </c>
      <c r="BQ636" s="105" t="n">
        <v>0</v>
      </c>
      <c r="BR636" s="106" t="n">
        <v>0</v>
      </c>
      <c r="BS636" s="106" t="n">
        <v>0</v>
      </c>
      <c r="BT636" s="107"/>
      <c r="BU636" s="107"/>
      <c r="BV636" s="107"/>
      <c r="BW636" s="107"/>
      <c r="BX636" s="107"/>
      <c r="BY636" s="107"/>
      <c r="BZ636" s="107"/>
      <c r="CA636" s="107"/>
      <c r="CB636" s="107"/>
      <c r="CC636" s="107"/>
      <c r="CD636" s="107"/>
      <c r="CE636" s="107"/>
      <c r="CF636" s="107"/>
      <c r="CG636" s="107"/>
      <c r="CH636" s="107"/>
      <c r="CI636" s="107"/>
      <c r="CJ636" s="107"/>
      <c r="CK636" s="107"/>
      <c r="CL636" s="107"/>
      <c r="CM636" s="107"/>
      <c r="CN636" s="107"/>
      <c r="CO636" s="107"/>
      <c r="CP636" s="107"/>
      <c r="CQ636" s="107"/>
      <c r="CR636" s="107"/>
      <c r="CS636" s="107"/>
      <c r="CT636" s="107"/>
      <c r="CU636" s="107"/>
      <c r="CV636" s="107"/>
    </row>
    <row r="637" customFormat="false" ht="14.9" hidden="false" customHeight="false" outlineLevel="0" collapsed="false">
      <c r="A637" s="74" t="n">
        <f aca="false">MONTH(B637)</f>
        <v>9</v>
      </c>
      <c r="B637" s="135" t="n">
        <v>44462</v>
      </c>
      <c r="C637" s="128" t="s">
        <v>51</v>
      </c>
      <c r="D637" s="77" t="str">
        <f aca="false">IFERROR(VLOOKUP(E:E,'Item Data Support Sheet'!A:O,7,0),"")</f>
        <v>CAP MOLDED</v>
      </c>
      <c r="E637" s="80" t="s">
        <v>261</v>
      </c>
      <c r="F637" s="122"/>
      <c r="G637" s="137" t="s">
        <v>1211</v>
      </c>
      <c r="H637" s="79" t="str">
        <f aca="false">IFERROR(VLOOKUP(E:E,'Item Data Support Sheet'!A:O,2,0),"")</f>
        <v>CAP S TYPE MOLDED PINK</v>
      </c>
      <c r="I637" s="80" t="s">
        <v>1276</v>
      </c>
      <c r="J637" s="80" t="s">
        <v>143</v>
      </c>
      <c r="K637" s="81" t="n">
        <v>7</v>
      </c>
      <c r="L637" s="124" t="n">
        <v>3137</v>
      </c>
      <c r="M637" s="83" t="n">
        <f aca="false">IFERROR(L637/K637,0)</f>
        <v>448.142857142857</v>
      </c>
      <c r="N637" s="84" t="n">
        <f aca="false">+O637+Q637+T637+U637</f>
        <v>3580</v>
      </c>
      <c r="O637" s="85" t="n">
        <v>3580</v>
      </c>
      <c r="P637" s="86" t="n">
        <v>0</v>
      </c>
      <c r="Q637" s="86" t="n">
        <v>0</v>
      </c>
      <c r="R637" s="132" t="n">
        <v>0</v>
      </c>
      <c r="S637" s="128" t="n">
        <v>0</v>
      </c>
      <c r="T637" s="132" t="n">
        <v>0</v>
      </c>
      <c r="U637" s="128" t="n">
        <v>0</v>
      </c>
      <c r="V637" s="128" t="n">
        <v>1</v>
      </c>
      <c r="W637" s="90" t="n">
        <f aca="false">IFERROR(O637/V637,0)</f>
        <v>3580</v>
      </c>
      <c r="X637" s="91" t="n">
        <f aca="false">O637/L637</f>
        <v>1.14121772394007</v>
      </c>
      <c r="Y637" s="92" t="str">
        <f aca="false">IFERROR(VLOOKUP(E:E,'Item Data Support Sheet'!A:J,6,0),0)</f>
        <v>RM000123</v>
      </c>
      <c r="Z637" s="93" t="n">
        <f aca="false">IFERROR(VLOOKUP(E:E,'Item Data Support Sheet'!A:O,4,0),0)</f>
        <v>7.3</v>
      </c>
      <c r="AA637" s="93" t="n">
        <f aca="false">IFERROR(((N637)*(Z637/1000))+P637,0)</f>
        <v>26.134</v>
      </c>
      <c r="AB637" s="94" t="n">
        <f aca="false">IFERROR((O637*(Z637/1000)/(AA637))," ")</f>
        <v>1</v>
      </c>
      <c r="AC637" s="95" t="n">
        <f aca="false">IFERROR((T637)/((T637)+O637),0)</f>
        <v>0</v>
      </c>
      <c r="AD637" s="96" t="n">
        <f aca="false">IFERROR(Q637/(Q637+N637),0)</f>
        <v>0</v>
      </c>
      <c r="AE637" s="91" t="n">
        <f aca="false">(N637-T637)/N637</f>
        <v>1</v>
      </c>
      <c r="AF637" s="97" t="n">
        <f aca="false">BR637</f>
        <v>0</v>
      </c>
      <c r="AG637" s="98" t="n">
        <f aca="false">K637-AF637</f>
        <v>7</v>
      </c>
      <c r="AH637" s="99" t="n">
        <f aca="false">IFERROR(AG637/K637," ")</f>
        <v>1</v>
      </c>
      <c r="AI637" s="100" t="n">
        <f aca="false">IFERROR(O637/K637,0)</f>
        <v>511.428571428572</v>
      </c>
      <c r="AJ637" s="101" t="n">
        <f aca="false">VLOOKUP(D637,'Standard Cycle time'!C:D,2,0)</f>
        <v>6</v>
      </c>
      <c r="AK637" s="101" t="n">
        <f aca="false">AG637*V637*3600/O637</f>
        <v>7.0391061452514</v>
      </c>
      <c r="AL637" s="102" t="n">
        <f aca="false">AJ637/AK637</f>
        <v>0.852380952380952</v>
      </c>
      <c r="AM637" s="99" t="n">
        <f aca="false">AE637*AL637*AH637</f>
        <v>0.852380952380952</v>
      </c>
      <c r="AN637" s="103" t="n">
        <v>3494</v>
      </c>
      <c r="AO637" s="112"/>
      <c r="AP637" s="105" t="n">
        <v>0</v>
      </c>
      <c r="AQ637" s="105" t="n">
        <v>0</v>
      </c>
      <c r="AR637" s="105" t="n">
        <v>0</v>
      </c>
      <c r="AS637" s="105" t="n">
        <v>0</v>
      </c>
      <c r="AT637" s="105" t="n">
        <v>0</v>
      </c>
      <c r="AU637" s="105" t="n">
        <v>0</v>
      </c>
      <c r="AV637" s="105" t="n">
        <v>0</v>
      </c>
      <c r="AW637" s="105" t="n">
        <v>0</v>
      </c>
      <c r="AX637" s="105" t="n">
        <v>0</v>
      </c>
      <c r="AY637" s="105" t="n">
        <v>0</v>
      </c>
      <c r="AZ637" s="105" t="n">
        <v>0</v>
      </c>
      <c r="BA637" s="105" t="n">
        <v>0</v>
      </c>
      <c r="BB637" s="105" t="n">
        <v>0</v>
      </c>
      <c r="BC637" s="105" t="n">
        <v>0</v>
      </c>
      <c r="BD637" s="105" t="n">
        <v>0</v>
      </c>
      <c r="BE637" s="105" t="n">
        <v>0</v>
      </c>
      <c r="BF637" s="105" t="n">
        <v>0</v>
      </c>
      <c r="BG637" s="105" t="n">
        <v>0</v>
      </c>
      <c r="BH637" s="105" t="n">
        <v>0</v>
      </c>
      <c r="BI637" s="105" t="n">
        <v>0</v>
      </c>
      <c r="BJ637" s="105" t="n">
        <v>0</v>
      </c>
      <c r="BK637" s="105" t="n">
        <v>0</v>
      </c>
      <c r="BL637" s="105" t="n">
        <v>0</v>
      </c>
      <c r="BM637" s="105" t="n">
        <v>0</v>
      </c>
      <c r="BN637" s="105" t="n">
        <v>0</v>
      </c>
      <c r="BO637" s="105" t="n">
        <v>0</v>
      </c>
      <c r="BP637" s="105" t="n">
        <v>0</v>
      </c>
      <c r="BQ637" s="105" t="n">
        <v>0</v>
      </c>
      <c r="BR637" s="106" t="n">
        <v>0</v>
      </c>
      <c r="BS637" s="106" t="n">
        <v>0</v>
      </c>
      <c r="BT637" s="107"/>
      <c r="BU637" s="107"/>
      <c r="BV637" s="107"/>
      <c r="BW637" s="107"/>
      <c r="BX637" s="107"/>
      <c r="BY637" s="107"/>
      <c r="BZ637" s="107"/>
      <c r="CA637" s="107"/>
      <c r="CB637" s="107"/>
      <c r="CC637" s="107"/>
      <c r="CD637" s="107"/>
      <c r="CE637" s="107"/>
      <c r="CF637" s="107"/>
      <c r="CG637" s="107"/>
      <c r="CH637" s="107"/>
      <c r="CI637" s="107"/>
      <c r="CJ637" s="107"/>
      <c r="CK637" s="107"/>
      <c r="CL637" s="107"/>
      <c r="CM637" s="107"/>
      <c r="CN637" s="107"/>
      <c r="CO637" s="107"/>
      <c r="CP637" s="107"/>
      <c r="CQ637" s="107"/>
      <c r="CR637" s="107"/>
      <c r="CS637" s="107"/>
      <c r="CT637" s="107"/>
      <c r="CU637" s="107"/>
      <c r="CV637" s="107"/>
    </row>
    <row r="638" customFormat="false" ht="14.9" hidden="false" customHeight="false" outlineLevel="0" collapsed="false">
      <c r="A638" s="74" t="n">
        <f aca="false">MONTH(B638)</f>
        <v>9</v>
      </c>
      <c r="B638" s="135" t="n">
        <v>44462</v>
      </c>
      <c r="C638" s="128" t="s">
        <v>51</v>
      </c>
      <c r="D638" s="77" t="str">
        <f aca="false">IFERROR(VLOOKUP(E:E,'Item Data Support Sheet'!A:O,7,0),"")</f>
        <v>CAP MOLDED</v>
      </c>
      <c r="E638" s="80" t="s">
        <v>261</v>
      </c>
      <c r="F638" s="122"/>
      <c r="G638" s="137" t="s">
        <v>1215</v>
      </c>
      <c r="H638" s="79" t="str">
        <f aca="false">IFERROR(VLOOKUP(E:E,'Item Data Support Sheet'!A:O,2,0),"")</f>
        <v>CAP S TYPE MOLDED PINK</v>
      </c>
      <c r="I638" s="80" t="s">
        <v>1277</v>
      </c>
      <c r="J638" s="80" t="s">
        <v>143</v>
      </c>
      <c r="K638" s="81" t="n">
        <v>1</v>
      </c>
      <c r="L638" s="124" t="n">
        <v>1000</v>
      </c>
      <c r="M638" s="83" t="n">
        <f aca="false">IFERROR(L638/K638,0)</f>
        <v>1000</v>
      </c>
      <c r="N638" s="84" t="n">
        <f aca="false">+O638+Q638+T638+U638</f>
        <v>1008</v>
      </c>
      <c r="O638" s="85" t="n">
        <v>1000</v>
      </c>
      <c r="P638" s="86" t="n">
        <v>0</v>
      </c>
      <c r="Q638" s="86" t="n">
        <v>0</v>
      </c>
      <c r="R638" s="132" t="n">
        <v>0</v>
      </c>
      <c r="S638" s="128" t="n">
        <v>0</v>
      </c>
      <c r="T638" s="132" t="n">
        <v>8</v>
      </c>
      <c r="U638" s="128" t="n">
        <v>0</v>
      </c>
      <c r="V638" s="128" t="n">
        <v>1</v>
      </c>
      <c r="W638" s="90" t="n">
        <f aca="false">IFERROR(O638/V638,0)</f>
        <v>1000</v>
      </c>
      <c r="X638" s="91" t="n">
        <f aca="false">O638/L638</f>
        <v>1</v>
      </c>
      <c r="Y638" s="92" t="str">
        <f aca="false">IFERROR(VLOOKUP(E:E,'Item Data Support Sheet'!A:J,6,0),0)</f>
        <v>RM000123</v>
      </c>
      <c r="Z638" s="93" t="n">
        <f aca="false">IFERROR(VLOOKUP(E:E,'Item Data Support Sheet'!A:O,4,0),0)</f>
        <v>7.3</v>
      </c>
      <c r="AA638" s="93" t="n">
        <f aca="false">IFERROR(((N638)*(Z638/1000))+P638,0)</f>
        <v>7.3584</v>
      </c>
      <c r="AB638" s="94" t="n">
        <f aca="false">IFERROR((O638*(Z638/1000)/(AA638))," ")</f>
        <v>0.992063492063492</v>
      </c>
      <c r="AC638" s="95" t="n">
        <f aca="false">IFERROR((T638)/((T638)+O638),0)</f>
        <v>0.00793650793650794</v>
      </c>
      <c r="AD638" s="96" t="n">
        <f aca="false">IFERROR(Q638/(Q638+N638),0)</f>
        <v>0</v>
      </c>
      <c r="AE638" s="91" t="n">
        <f aca="false">(N638-T638)/N638</f>
        <v>0.992063492063492</v>
      </c>
      <c r="AF638" s="97" t="n">
        <f aca="false">BR638</f>
        <v>0</v>
      </c>
      <c r="AG638" s="98" t="n">
        <f aca="false">K638-AF638</f>
        <v>1</v>
      </c>
      <c r="AH638" s="99" t="n">
        <f aca="false">IFERROR(AG638/K638," ")</f>
        <v>1</v>
      </c>
      <c r="AI638" s="100" t="n">
        <f aca="false">IFERROR(O638/K638,0)</f>
        <v>1000</v>
      </c>
      <c r="AJ638" s="101" t="n">
        <f aca="false">VLOOKUP(D638,'Standard Cycle time'!C:D,2,0)</f>
        <v>6</v>
      </c>
      <c r="AK638" s="101" t="n">
        <f aca="false">AG638*V638*3600/O638</f>
        <v>3.6</v>
      </c>
      <c r="AL638" s="102" t="n">
        <f aca="false">AJ638/AK638</f>
        <v>1.66666666666667</v>
      </c>
      <c r="AM638" s="99" t="n">
        <f aca="false">AE638*AL638*AH638</f>
        <v>1.65343915343915</v>
      </c>
      <c r="AN638" s="103" t="n">
        <v>3495</v>
      </c>
      <c r="AO638" s="112"/>
      <c r="AP638" s="105" t="n">
        <v>0</v>
      </c>
      <c r="AQ638" s="105" t="n">
        <v>0</v>
      </c>
      <c r="AR638" s="105" t="n">
        <v>0</v>
      </c>
      <c r="AS638" s="105" t="n">
        <v>0</v>
      </c>
      <c r="AT638" s="105" t="n">
        <v>0</v>
      </c>
      <c r="AU638" s="105" t="n">
        <v>0</v>
      </c>
      <c r="AV638" s="105" t="n">
        <v>0</v>
      </c>
      <c r="AW638" s="105" t="n">
        <v>0</v>
      </c>
      <c r="AX638" s="105" t="n">
        <v>0</v>
      </c>
      <c r="AY638" s="105" t="n">
        <v>0</v>
      </c>
      <c r="AZ638" s="105" t="n">
        <v>0</v>
      </c>
      <c r="BA638" s="105" t="n">
        <v>0</v>
      </c>
      <c r="BB638" s="105" t="n">
        <v>0</v>
      </c>
      <c r="BC638" s="105" t="n">
        <v>0</v>
      </c>
      <c r="BD638" s="105" t="n">
        <v>0</v>
      </c>
      <c r="BE638" s="105" t="n">
        <v>0</v>
      </c>
      <c r="BF638" s="105" t="n">
        <v>0</v>
      </c>
      <c r="BG638" s="105" t="n">
        <v>0</v>
      </c>
      <c r="BH638" s="105" t="n">
        <v>0</v>
      </c>
      <c r="BI638" s="105" t="n">
        <v>0</v>
      </c>
      <c r="BJ638" s="105" t="n">
        <v>0</v>
      </c>
      <c r="BK638" s="105" t="n">
        <v>0</v>
      </c>
      <c r="BL638" s="105" t="n">
        <v>0</v>
      </c>
      <c r="BM638" s="105" t="n">
        <v>0</v>
      </c>
      <c r="BN638" s="105" t="n">
        <v>0</v>
      </c>
      <c r="BO638" s="105" t="n">
        <v>0</v>
      </c>
      <c r="BP638" s="105" t="n">
        <v>0</v>
      </c>
      <c r="BQ638" s="105" t="n">
        <v>0</v>
      </c>
      <c r="BR638" s="106" t="n">
        <v>0</v>
      </c>
      <c r="BS638" s="106" t="n">
        <v>0</v>
      </c>
      <c r="BT638" s="107"/>
      <c r="BU638" s="107"/>
      <c r="BV638" s="107"/>
      <c r="BW638" s="107"/>
      <c r="BX638" s="107"/>
      <c r="BY638" s="107"/>
      <c r="BZ638" s="107"/>
      <c r="CA638" s="107"/>
      <c r="CB638" s="107"/>
      <c r="CC638" s="107"/>
      <c r="CD638" s="107"/>
      <c r="CE638" s="107"/>
      <c r="CF638" s="107"/>
      <c r="CG638" s="107"/>
      <c r="CH638" s="107"/>
      <c r="CI638" s="107"/>
      <c r="CJ638" s="107"/>
      <c r="CK638" s="107"/>
      <c r="CL638" s="107"/>
      <c r="CM638" s="107"/>
      <c r="CN638" s="107"/>
      <c r="CO638" s="107"/>
      <c r="CP638" s="107"/>
      <c r="CQ638" s="107"/>
      <c r="CR638" s="107"/>
      <c r="CS638" s="107"/>
      <c r="CT638" s="107"/>
      <c r="CU638" s="107"/>
      <c r="CV638" s="107"/>
    </row>
    <row r="639" customFormat="false" ht="14.9" hidden="false" customHeight="false" outlineLevel="0" collapsed="false">
      <c r="A639" s="74" t="n">
        <f aca="false">MONTH(B639)</f>
        <v>9</v>
      </c>
      <c r="B639" s="135" t="n">
        <v>44462</v>
      </c>
      <c r="C639" s="128" t="s">
        <v>51</v>
      </c>
      <c r="D639" s="77" t="str">
        <f aca="false">IFERROR(VLOOKUP(E:E,'Item Data Support Sheet'!A:O,7,0),"")</f>
        <v>NIPPLE MOLDED</v>
      </c>
      <c r="E639" s="80" t="s">
        <v>244</v>
      </c>
      <c r="F639" s="122" t="s">
        <v>137</v>
      </c>
      <c r="G639" s="137" t="s">
        <v>138</v>
      </c>
      <c r="H639" s="79" t="str">
        <f aca="false">IFERROR(VLOOKUP(E:E,'Item Data Support Sheet'!A:O,2,0),"")</f>
        <v>NIPPLE S TYPE S SIZE INJECTION</v>
      </c>
      <c r="I639" s="80" t="s">
        <v>1278</v>
      </c>
      <c r="J639" s="80" t="s">
        <v>143</v>
      </c>
      <c r="K639" s="81" t="n">
        <v>8</v>
      </c>
      <c r="L639" s="124" t="n">
        <v>4815</v>
      </c>
      <c r="M639" s="83" t="n">
        <f aca="false">IFERROR(L639/K639,0)</f>
        <v>601.875</v>
      </c>
      <c r="N639" s="84" t="n">
        <f aca="false">+O639+Q639+T639+U639</f>
        <v>4410</v>
      </c>
      <c r="O639" s="85" t="n">
        <v>4300</v>
      </c>
      <c r="P639" s="86" t="n">
        <v>0</v>
      </c>
      <c r="Q639" s="86" t="n">
        <v>48</v>
      </c>
      <c r="R639" s="132" t="n">
        <v>0</v>
      </c>
      <c r="S639" s="128" t="n">
        <v>0</v>
      </c>
      <c r="T639" s="132" t="n">
        <v>54</v>
      </c>
      <c r="U639" s="128" t="n">
        <v>8</v>
      </c>
      <c r="V639" s="128" t="n">
        <v>1</v>
      </c>
      <c r="W639" s="90" t="n">
        <f aca="false">IFERROR(O639/V639,0)</f>
        <v>4300</v>
      </c>
      <c r="X639" s="91" t="n">
        <f aca="false">O639/L639</f>
        <v>0.893042575285566</v>
      </c>
      <c r="Y639" s="92" t="str">
        <f aca="false">IFERROR(VLOOKUP(E:E,'Item Data Support Sheet'!A:J,6,0),0)</f>
        <v>Silicon</v>
      </c>
      <c r="Z639" s="93" t="n">
        <f aca="false">IFERROR(VLOOKUP(E:E,'Item Data Support Sheet'!A:O,4,0),0)</f>
        <v>6.8</v>
      </c>
      <c r="AA639" s="93" t="n">
        <f aca="false">IFERROR(((N639)*(Z639/1000))+P639,0)</f>
        <v>29.988</v>
      </c>
      <c r="AB639" s="94" t="n">
        <f aca="false">IFERROR((O639*(Z639/1000)/(AA639))," ")</f>
        <v>0.975056689342404</v>
      </c>
      <c r="AC639" s="95" t="n">
        <f aca="false">IFERROR((T639)/((T639)+O639),0)</f>
        <v>0.0124023886081764</v>
      </c>
      <c r="AD639" s="96" t="n">
        <f aca="false">IFERROR(Q639/(Q639+N639),0)</f>
        <v>0.0107671601615074</v>
      </c>
      <c r="AE639" s="91" t="n">
        <f aca="false">(N639-T639)/N639</f>
        <v>0.987755102040816</v>
      </c>
      <c r="AF639" s="97" t="n">
        <f aca="false">BR639</f>
        <v>0.5</v>
      </c>
      <c r="AG639" s="98" t="n">
        <f aca="false">K639-AF639</f>
        <v>7.5</v>
      </c>
      <c r="AH639" s="99" t="n">
        <f aca="false">IFERROR(AG639/K639," ")</f>
        <v>0.9375</v>
      </c>
      <c r="AI639" s="100" t="n">
        <f aca="false">IFERROR(O639/K639,0)</f>
        <v>537.5</v>
      </c>
      <c r="AJ639" s="101" t="n">
        <f aca="false">VLOOKUP(D639,'Standard Cycle time'!C:D,2,0)</f>
        <v>5.25</v>
      </c>
      <c r="AK639" s="101" t="n">
        <f aca="false">AG639*V639*3600/O639</f>
        <v>6.27906976744186</v>
      </c>
      <c r="AL639" s="102" t="n">
        <f aca="false">AJ639/AK639</f>
        <v>0.836111111111111</v>
      </c>
      <c r="AM639" s="99" t="n">
        <f aca="false">AE639*AL639*AH639</f>
        <v>0.774255952380952</v>
      </c>
      <c r="AN639" s="103" t="n">
        <v>3497</v>
      </c>
      <c r="AO639" s="112" t="s">
        <v>1279</v>
      </c>
      <c r="AP639" s="105" t="n">
        <v>0</v>
      </c>
      <c r="AQ639" s="105" t="n">
        <v>0</v>
      </c>
      <c r="AR639" s="105" t="n">
        <v>0</v>
      </c>
      <c r="AS639" s="105" t="n">
        <v>0</v>
      </c>
      <c r="AT639" s="105" t="n">
        <v>0</v>
      </c>
      <c r="AU639" s="105" t="n">
        <v>30</v>
      </c>
      <c r="AV639" s="105" t="n">
        <v>0</v>
      </c>
      <c r="AW639" s="105" t="n">
        <v>0</v>
      </c>
      <c r="AX639" s="105" t="n">
        <v>0</v>
      </c>
      <c r="AY639" s="105" t="n">
        <v>0</v>
      </c>
      <c r="AZ639" s="105" t="n">
        <v>0</v>
      </c>
      <c r="BA639" s="105" t="n">
        <v>0</v>
      </c>
      <c r="BB639" s="105" t="n">
        <v>0</v>
      </c>
      <c r="BC639" s="105" t="n">
        <v>0</v>
      </c>
      <c r="BD639" s="105" t="n">
        <v>0</v>
      </c>
      <c r="BE639" s="105" t="n">
        <v>0</v>
      </c>
      <c r="BF639" s="105" t="n">
        <v>0</v>
      </c>
      <c r="BG639" s="105" t="n">
        <v>0</v>
      </c>
      <c r="BH639" s="105" t="n">
        <v>0</v>
      </c>
      <c r="BI639" s="105" t="n">
        <v>0</v>
      </c>
      <c r="BJ639" s="105" t="n">
        <v>0</v>
      </c>
      <c r="BK639" s="105" t="n">
        <v>0</v>
      </c>
      <c r="BL639" s="105" t="n">
        <v>0</v>
      </c>
      <c r="BM639" s="105" t="n">
        <v>0</v>
      </c>
      <c r="BN639" s="105" t="n">
        <v>0</v>
      </c>
      <c r="BO639" s="105" t="n">
        <v>0</v>
      </c>
      <c r="BP639" s="105" t="n">
        <v>0</v>
      </c>
      <c r="BQ639" s="105" t="n">
        <v>0</v>
      </c>
      <c r="BR639" s="106" t="n">
        <v>0.5</v>
      </c>
      <c r="BS639" s="106" t="n">
        <v>0.508333333333333</v>
      </c>
      <c r="BT639" s="107"/>
      <c r="BU639" s="107"/>
      <c r="BV639" s="107"/>
      <c r="BW639" s="107"/>
      <c r="BX639" s="107"/>
      <c r="BY639" s="107"/>
      <c r="BZ639" s="107"/>
      <c r="CA639" s="107"/>
      <c r="CB639" s="107"/>
      <c r="CC639" s="107"/>
      <c r="CD639" s="107"/>
      <c r="CE639" s="107"/>
      <c r="CF639" s="107"/>
      <c r="CG639" s="107"/>
      <c r="CH639" s="107"/>
      <c r="CI639" s="107"/>
      <c r="CJ639" s="107"/>
      <c r="CK639" s="107"/>
      <c r="CL639" s="107"/>
      <c r="CM639" s="107"/>
      <c r="CN639" s="107"/>
      <c r="CO639" s="107"/>
      <c r="CP639" s="107"/>
      <c r="CQ639" s="107"/>
      <c r="CR639" s="107"/>
      <c r="CS639" s="107"/>
      <c r="CT639" s="107"/>
      <c r="CU639" s="107"/>
      <c r="CV639" s="107"/>
    </row>
    <row r="640" customFormat="false" ht="14.9" hidden="false" customHeight="false" outlineLevel="0" collapsed="false">
      <c r="A640" s="74" t="n">
        <f aca="false">MONTH(B640)</f>
        <v>9</v>
      </c>
      <c r="B640" s="135" t="n">
        <v>44462</v>
      </c>
      <c r="C640" s="128" t="s">
        <v>51</v>
      </c>
      <c r="D640" s="77" t="str">
        <f aca="false">IFERROR(VLOOKUP(E:E,'Item Data Support Sheet'!A:O,7,0),"")</f>
        <v>NIPPLE PUNCH</v>
      </c>
      <c r="E640" s="80" t="s">
        <v>834</v>
      </c>
      <c r="F640" s="122"/>
      <c r="G640" s="137" t="s">
        <v>54</v>
      </c>
      <c r="H640" s="79" t="str">
        <f aca="false">IFERROR(VLOOKUP(E:E,'Item Data Support Sheet'!A:O,2,0),"")</f>
        <v>NIPPLE S TYPE Y SIZE PUNCHED</v>
      </c>
      <c r="I640" s="80" t="s">
        <v>1280</v>
      </c>
      <c r="J640" s="80" t="s">
        <v>143</v>
      </c>
      <c r="K640" s="81" t="n">
        <v>7</v>
      </c>
      <c r="L640" s="124" t="n">
        <v>6300</v>
      </c>
      <c r="M640" s="83" t="n">
        <f aca="false">IFERROR(L640/K640,0)</f>
        <v>900</v>
      </c>
      <c r="N640" s="84" t="n">
        <f aca="false">+O640+Q640+T640+U640</f>
        <v>6400</v>
      </c>
      <c r="O640" s="85" t="n">
        <v>6400</v>
      </c>
      <c r="P640" s="86" t="n">
        <v>0</v>
      </c>
      <c r="Q640" s="86" t="n">
        <v>0</v>
      </c>
      <c r="R640" s="132" t="n">
        <v>0</v>
      </c>
      <c r="S640" s="128" t="n">
        <v>0</v>
      </c>
      <c r="T640" s="132" t="n">
        <v>0</v>
      </c>
      <c r="U640" s="128" t="n">
        <v>0</v>
      </c>
      <c r="V640" s="128" t="n">
        <v>1</v>
      </c>
      <c r="W640" s="90" t="n">
        <f aca="false">IFERROR(O640/V640,0)</f>
        <v>6400</v>
      </c>
      <c r="X640" s="91" t="n">
        <f aca="false">O640/L640</f>
        <v>1.01587301587302</v>
      </c>
      <c r="Y640" s="92" t="str">
        <f aca="false">IFERROR(VLOOKUP(E:E,'Item Data Support Sheet'!A:J,6,0),0)</f>
        <v>FO018</v>
      </c>
      <c r="Z640" s="93" t="n">
        <f aca="false">IFERROR(VLOOKUP(E:E,'Item Data Support Sheet'!A:O,4,0),0)</f>
        <v>0</v>
      </c>
      <c r="AA640" s="93" t="n">
        <f aca="false">IFERROR(((N640)*(Z640/1000))+P640,0)</f>
        <v>0</v>
      </c>
      <c r="AB640" s="94" t="str">
        <f aca="false">IFERROR((O640*(Z640/1000)/(AA640))," ")</f>
        <v> </v>
      </c>
      <c r="AC640" s="95" t="n">
        <f aca="false">IFERROR((T640)/((T640)+O640),0)</f>
        <v>0</v>
      </c>
      <c r="AD640" s="96" t="n">
        <f aca="false">IFERROR(Q640/(Q640+N640),0)</f>
        <v>0</v>
      </c>
      <c r="AE640" s="91" t="n">
        <f aca="false">(N640-T640)/N640</f>
        <v>1</v>
      </c>
      <c r="AF640" s="97" t="n">
        <f aca="false">BR640</f>
        <v>0.666666666666667</v>
      </c>
      <c r="AG640" s="98" t="n">
        <f aca="false">K640-AF640</f>
        <v>6.33333333333333</v>
      </c>
      <c r="AH640" s="99" t="n">
        <f aca="false">IFERROR(AG640/K640," ")</f>
        <v>0.904761904761905</v>
      </c>
      <c r="AI640" s="100" t="n">
        <f aca="false">IFERROR(O640/K640,0)</f>
        <v>914.285714285714</v>
      </c>
      <c r="AJ640" s="101" t="n">
        <f aca="false">VLOOKUP(D640,'Standard Cycle time'!C:D,2,0)</f>
        <v>3.5</v>
      </c>
      <c r="AK640" s="101" t="n">
        <f aca="false">AG640*V640*3600/O640</f>
        <v>3.5625</v>
      </c>
      <c r="AL640" s="102" t="n">
        <f aca="false">AJ640/AK640</f>
        <v>0.982456140350877</v>
      </c>
      <c r="AM640" s="99" t="n">
        <f aca="false">AE640*AL640*AH640</f>
        <v>0.888888888888889</v>
      </c>
      <c r="AN640" s="103" t="n">
        <v>3490</v>
      </c>
      <c r="AO640" s="112"/>
      <c r="AP640" s="105" t="n">
        <v>40</v>
      </c>
      <c r="AQ640" s="105" t="n">
        <v>0</v>
      </c>
      <c r="AR640" s="105" t="n">
        <v>0</v>
      </c>
      <c r="AS640" s="105" t="n">
        <v>0</v>
      </c>
      <c r="AT640" s="105" t="n">
        <v>0</v>
      </c>
      <c r="AU640" s="105" t="n">
        <v>0</v>
      </c>
      <c r="AV640" s="105" t="n">
        <v>0</v>
      </c>
      <c r="AW640" s="105" t="n">
        <v>0</v>
      </c>
      <c r="AX640" s="105" t="n">
        <v>0</v>
      </c>
      <c r="AY640" s="105" t="n">
        <v>0</v>
      </c>
      <c r="AZ640" s="105" t="n">
        <v>0</v>
      </c>
      <c r="BA640" s="105" t="n">
        <v>0</v>
      </c>
      <c r="BB640" s="105" t="n">
        <v>0</v>
      </c>
      <c r="BC640" s="105" t="n">
        <v>0</v>
      </c>
      <c r="BD640" s="105" t="n">
        <v>0</v>
      </c>
      <c r="BE640" s="105" t="n">
        <v>0</v>
      </c>
      <c r="BF640" s="105" t="n">
        <v>0</v>
      </c>
      <c r="BG640" s="105" t="n">
        <v>0</v>
      </c>
      <c r="BH640" s="105" t="n">
        <v>0</v>
      </c>
      <c r="BI640" s="105" t="n">
        <v>0</v>
      </c>
      <c r="BJ640" s="105" t="n">
        <v>0</v>
      </c>
      <c r="BK640" s="105" t="n">
        <v>0</v>
      </c>
      <c r="BL640" s="105" t="n">
        <v>0</v>
      </c>
      <c r="BM640" s="105" t="n">
        <v>0</v>
      </c>
      <c r="BN640" s="105" t="n">
        <v>0</v>
      </c>
      <c r="BO640" s="105" t="n">
        <v>0</v>
      </c>
      <c r="BP640" s="105" t="n">
        <v>0</v>
      </c>
      <c r="BQ640" s="105" t="n">
        <v>0</v>
      </c>
      <c r="BR640" s="106" t="n">
        <v>0.666666666666667</v>
      </c>
      <c r="BS640" s="106" t="n">
        <v>0.677777777777778</v>
      </c>
      <c r="BT640" s="107"/>
      <c r="BU640" s="107"/>
      <c r="BV640" s="107"/>
      <c r="BW640" s="107"/>
      <c r="BX640" s="107"/>
      <c r="BY640" s="107"/>
      <c r="BZ640" s="107"/>
      <c r="CA640" s="107"/>
      <c r="CB640" s="107"/>
      <c r="CC640" s="107"/>
      <c r="CD640" s="107"/>
      <c r="CE640" s="107"/>
      <c r="CF640" s="107"/>
      <c r="CG640" s="107"/>
      <c r="CH640" s="107"/>
      <c r="CI640" s="107"/>
      <c r="CJ640" s="107"/>
      <c r="CK640" s="107"/>
      <c r="CL640" s="107"/>
      <c r="CM640" s="107"/>
      <c r="CN640" s="107"/>
      <c r="CO640" s="107"/>
      <c r="CP640" s="107"/>
      <c r="CQ640" s="107"/>
      <c r="CR640" s="107"/>
      <c r="CS640" s="107"/>
      <c r="CT640" s="107"/>
      <c r="CU640" s="107"/>
      <c r="CV640" s="107"/>
    </row>
    <row r="641" customFormat="false" ht="14.9" hidden="false" customHeight="false" outlineLevel="0" collapsed="false">
      <c r="A641" s="74" t="n">
        <f aca="false">MONTH(B641)</f>
        <v>9</v>
      </c>
      <c r="B641" s="135" t="n">
        <v>44462</v>
      </c>
      <c r="C641" s="128" t="s">
        <v>51</v>
      </c>
      <c r="D641" s="77" t="str">
        <f aca="false">IFERROR(VLOOKUP(E:E,'Item Data Support Sheet'!A:O,7,0),"")</f>
        <v>NIPPLE PUNCH</v>
      </c>
      <c r="E641" s="80" t="s">
        <v>53</v>
      </c>
      <c r="F641" s="122"/>
      <c r="G641" s="137" t="s">
        <v>54</v>
      </c>
      <c r="H641" s="79" t="str">
        <f aca="false">IFERROR(VLOOKUP(E:E,'Item Data Support Sheet'!A:O,2,0),"")</f>
        <v>NIPPLE S TYPE S SIZE PUNCHED</v>
      </c>
      <c r="I641" s="80" t="s">
        <v>1281</v>
      </c>
      <c r="J641" s="80" t="s">
        <v>143</v>
      </c>
      <c r="K641" s="81" t="n">
        <v>1</v>
      </c>
      <c r="L641" s="124" t="n">
        <v>700</v>
      </c>
      <c r="M641" s="83" t="n">
        <f aca="false">IFERROR(L641/K641,0)</f>
        <v>700</v>
      </c>
      <c r="N641" s="84" t="n">
        <f aca="false">+O641+Q641+T641+U641</f>
        <v>700</v>
      </c>
      <c r="O641" s="85" t="n">
        <v>700</v>
      </c>
      <c r="P641" s="86" t="n">
        <v>0</v>
      </c>
      <c r="Q641" s="86" t="n">
        <v>0</v>
      </c>
      <c r="R641" s="132" t="n">
        <v>0</v>
      </c>
      <c r="S641" s="128" t="n">
        <v>0</v>
      </c>
      <c r="T641" s="132" t="n">
        <v>0</v>
      </c>
      <c r="U641" s="128" t="n">
        <v>0</v>
      </c>
      <c r="V641" s="128" t="n">
        <v>1</v>
      </c>
      <c r="W641" s="90" t="n">
        <f aca="false">IFERROR(O641/V641,0)</f>
        <v>700</v>
      </c>
      <c r="X641" s="91" t="n">
        <f aca="false">O641/L641</f>
        <v>1</v>
      </c>
      <c r="Y641" s="92" t="str">
        <f aca="false">IFERROR(VLOOKUP(E:E,'Item Data Support Sheet'!A:J,6,0),0)</f>
        <v>FO015</v>
      </c>
      <c r="Z641" s="93" t="n">
        <f aca="false">IFERROR(VLOOKUP(E:E,'Item Data Support Sheet'!A:O,4,0),0)</f>
        <v>0</v>
      </c>
      <c r="AA641" s="93" t="n">
        <f aca="false">IFERROR(((N641)*(Z641/1000))+P641,0)</f>
        <v>0</v>
      </c>
      <c r="AB641" s="94" t="str">
        <f aca="false">IFERROR((O641*(Z641/1000)/(AA641))," ")</f>
        <v> </v>
      </c>
      <c r="AC641" s="95" t="n">
        <f aca="false">IFERROR((T641)/((T641)+O641),0)</f>
        <v>0</v>
      </c>
      <c r="AD641" s="96" t="n">
        <f aca="false">IFERROR(Q641/(Q641+N641),0)</f>
        <v>0</v>
      </c>
      <c r="AE641" s="91" t="n">
        <f aca="false">(N641-T641)/N641</f>
        <v>1</v>
      </c>
      <c r="AF641" s="97" t="n">
        <f aca="false">BR641</f>
        <v>0.25</v>
      </c>
      <c r="AG641" s="98" t="n">
        <f aca="false">K641-AF641</f>
        <v>0.75</v>
      </c>
      <c r="AH641" s="99" t="n">
        <f aca="false">IFERROR(AG641/K641," ")</f>
        <v>0.75</v>
      </c>
      <c r="AI641" s="100" t="n">
        <f aca="false">IFERROR(O641/K641,0)</f>
        <v>700</v>
      </c>
      <c r="AJ641" s="101" t="n">
        <f aca="false">VLOOKUP(D641,'Standard Cycle time'!C:D,2,0)</f>
        <v>3.5</v>
      </c>
      <c r="AK641" s="101" t="n">
        <f aca="false">AG641*V641*3600/O641</f>
        <v>3.85714285714286</v>
      </c>
      <c r="AL641" s="102" t="n">
        <f aca="false">AJ641/AK641</f>
        <v>0.907407407407407</v>
      </c>
      <c r="AM641" s="99" t="n">
        <f aca="false">AE641*AL641*AH641</f>
        <v>0.680555555555556</v>
      </c>
      <c r="AN641" s="103" t="n">
        <v>3491</v>
      </c>
      <c r="AO641" s="112"/>
      <c r="AP641" s="105" t="n">
        <v>0</v>
      </c>
      <c r="AQ641" s="105" t="n">
        <v>15</v>
      </c>
      <c r="AR641" s="105" t="n">
        <v>0</v>
      </c>
      <c r="AS641" s="105" t="n">
        <v>0</v>
      </c>
      <c r="AT641" s="105" t="n">
        <v>0</v>
      </c>
      <c r="AU641" s="105" t="n">
        <v>0</v>
      </c>
      <c r="AV641" s="105" t="n">
        <v>0</v>
      </c>
      <c r="AW641" s="105" t="n">
        <v>0</v>
      </c>
      <c r="AX641" s="105" t="n">
        <v>0</v>
      </c>
      <c r="AY641" s="105" t="n">
        <v>0</v>
      </c>
      <c r="AZ641" s="105" t="n">
        <v>0</v>
      </c>
      <c r="BA641" s="105" t="n">
        <v>0</v>
      </c>
      <c r="BB641" s="105" t="n">
        <v>0</v>
      </c>
      <c r="BC641" s="105" t="n">
        <v>0</v>
      </c>
      <c r="BD641" s="105" t="n">
        <v>0</v>
      </c>
      <c r="BE641" s="105" t="n">
        <v>0</v>
      </c>
      <c r="BF641" s="105" t="n">
        <v>0</v>
      </c>
      <c r="BG641" s="105" t="n">
        <v>0</v>
      </c>
      <c r="BH641" s="105" t="n">
        <v>0</v>
      </c>
      <c r="BI641" s="105" t="n">
        <v>0</v>
      </c>
      <c r="BJ641" s="105" t="n">
        <v>0</v>
      </c>
      <c r="BK641" s="105" t="n">
        <v>0</v>
      </c>
      <c r="BL641" s="105" t="n">
        <v>0</v>
      </c>
      <c r="BM641" s="105" t="n">
        <v>0</v>
      </c>
      <c r="BN641" s="105" t="n">
        <v>0</v>
      </c>
      <c r="BO641" s="105" t="n">
        <v>0</v>
      </c>
      <c r="BP641" s="105" t="n">
        <v>0</v>
      </c>
      <c r="BQ641" s="105" t="n">
        <v>0</v>
      </c>
      <c r="BR641" s="106" t="n">
        <v>0.25</v>
      </c>
      <c r="BS641" s="106" t="n">
        <v>0.254166666666667</v>
      </c>
      <c r="BT641" s="107"/>
      <c r="BU641" s="107"/>
      <c r="BV641" s="107"/>
      <c r="BW641" s="107"/>
      <c r="BX641" s="107"/>
      <c r="BY641" s="107"/>
      <c r="BZ641" s="107"/>
      <c r="CA641" s="107"/>
      <c r="CB641" s="107"/>
      <c r="CC641" s="107"/>
      <c r="CD641" s="107"/>
      <c r="CE641" s="107"/>
      <c r="CF641" s="107"/>
      <c r="CG641" s="107"/>
      <c r="CH641" s="107"/>
      <c r="CI641" s="107"/>
      <c r="CJ641" s="107"/>
      <c r="CK641" s="107"/>
      <c r="CL641" s="107"/>
      <c r="CM641" s="107"/>
      <c r="CN641" s="107"/>
      <c r="CO641" s="107"/>
      <c r="CP641" s="107"/>
      <c r="CQ641" s="107"/>
      <c r="CR641" s="107"/>
      <c r="CS641" s="107"/>
      <c r="CT641" s="107"/>
      <c r="CU641" s="107"/>
      <c r="CV641" s="107"/>
    </row>
    <row r="642" customFormat="false" ht="14.9" hidden="false" customHeight="false" outlineLevel="0" collapsed="false">
      <c r="A642" s="74" t="n">
        <f aca="false">MONTH(B642)</f>
        <v>9</v>
      </c>
      <c r="B642" s="135" t="n">
        <v>44462</v>
      </c>
      <c r="C642" s="128" t="s">
        <v>51</v>
      </c>
      <c r="D642" s="77" t="str">
        <f aca="false">IFERROR(VLOOKUP(E:E,'Item Data Support Sheet'!A:O,7,0),"")</f>
        <v>NIPPLE LASER MARKING</v>
      </c>
      <c r="E642" s="80" t="s">
        <v>681</v>
      </c>
      <c r="F642" s="122"/>
      <c r="G642" s="137" t="s">
        <v>517</v>
      </c>
      <c r="H642" s="79" t="str">
        <f aca="false">IFERROR(VLOOKUP(E:E,'Item Data Support Sheet'!A:O,2,0),"")</f>
        <v>NIPPLE S TYPE L SIZE PUNCHED LASER MARKED</v>
      </c>
      <c r="I642" s="80" t="s">
        <v>1282</v>
      </c>
      <c r="J642" s="80" t="s">
        <v>143</v>
      </c>
      <c r="K642" s="81" t="n">
        <v>8</v>
      </c>
      <c r="L642" s="124" t="n">
        <v>7000</v>
      </c>
      <c r="M642" s="83" t="n">
        <f aca="false">IFERROR(L642/K642,0)</f>
        <v>875</v>
      </c>
      <c r="N642" s="84" t="n">
        <f aca="false">+O642+Q642+T642+U642</f>
        <v>6000</v>
      </c>
      <c r="O642" s="85" t="n">
        <v>6000</v>
      </c>
      <c r="P642" s="86" t="n">
        <v>0</v>
      </c>
      <c r="Q642" s="86" t="n">
        <v>0</v>
      </c>
      <c r="R642" s="132" t="n">
        <v>0</v>
      </c>
      <c r="S642" s="128" t="n">
        <v>0</v>
      </c>
      <c r="T642" s="132" t="n">
        <v>0</v>
      </c>
      <c r="U642" s="128" t="n">
        <v>0</v>
      </c>
      <c r="V642" s="128" t="n">
        <v>1</v>
      </c>
      <c r="W642" s="90" t="n">
        <f aca="false">IFERROR(O642/V642,0)</f>
        <v>6000</v>
      </c>
      <c r="X642" s="91" t="n">
        <f aca="false">O642/L642</f>
        <v>0.857142857142857</v>
      </c>
      <c r="Y642" s="92" t="str">
        <f aca="false">IFERROR(VLOOKUP(E:E,'Item Data Support Sheet'!A:J,6,0),0)</f>
        <v>FO021</v>
      </c>
      <c r="Z642" s="93" t="n">
        <f aca="false">IFERROR(VLOOKUP(E:E,'Item Data Support Sheet'!A:O,4,0),0)</f>
        <v>0</v>
      </c>
      <c r="AA642" s="93" t="n">
        <f aca="false">IFERROR(((N642)*(Z642/1000))+P642,0)</f>
        <v>0</v>
      </c>
      <c r="AB642" s="94" t="str">
        <f aca="false">IFERROR((O642*(Z642/1000)/(AA642))," ")</f>
        <v> </v>
      </c>
      <c r="AC642" s="95" t="n">
        <f aca="false">IFERROR((T642)/((T642)+O642),0)</f>
        <v>0</v>
      </c>
      <c r="AD642" s="96" t="n">
        <f aca="false">IFERROR(Q642/(Q642+N642),0)</f>
        <v>0</v>
      </c>
      <c r="AE642" s="91" t="n">
        <f aca="false">(N642-T642)/N642</f>
        <v>1</v>
      </c>
      <c r="AF642" s="97" t="n">
        <f aca="false">BR642</f>
        <v>1.16666666666667</v>
      </c>
      <c r="AG642" s="98" t="n">
        <f aca="false">K642-AF642</f>
        <v>6.83333333333333</v>
      </c>
      <c r="AH642" s="99" t="n">
        <f aca="false">IFERROR(AG642/K642," ")</f>
        <v>0.854166666666666</v>
      </c>
      <c r="AI642" s="100" t="n">
        <f aca="false">IFERROR(O642/K642,0)</f>
        <v>750</v>
      </c>
      <c r="AJ642" s="101" t="n">
        <f aca="false">VLOOKUP(D642,'Standard Cycle time'!C:D,2,0)</f>
        <v>3.5</v>
      </c>
      <c r="AK642" s="101" t="n">
        <f aca="false">AG642*V642*3600/O642</f>
        <v>4.1</v>
      </c>
      <c r="AL642" s="102" t="n">
        <f aca="false">AJ642/AK642</f>
        <v>0.853658536585366</v>
      </c>
      <c r="AM642" s="99" t="n">
        <f aca="false">AE642*AL642*AH642</f>
        <v>0.729166666666667</v>
      </c>
      <c r="AN642" s="103" t="s">
        <v>1283</v>
      </c>
      <c r="AO642" s="112" t="s">
        <v>1284</v>
      </c>
      <c r="AP642" s="105" t="n">
        <v>40</v>
      </c>
      <c r="AQ642" s="105" t="n">
        <v>30</v>
      </c>
      <c r="AR642" s="105" t="n">
        <v>0</v>
      </c>
      <c r="AS642" s="105" t="n">
        <v>0</v>
      </c>
      <c r="AT642" s="105" t="n">
        <v>0</v>
      </c>
      <c r="AU642" s="105" t="n">
        <v>0</v>
      </c>
      <c r="AV642" s="105" t="n">
        <v>0</v>
      </c>
      <c r="AW642" s="105" t="n">
        <v>0</v>
      </c>
      <c r="AX642" s="105" t="n">
        <v>0</v>
      </c>
      <c r="AY642" s="105" t="n">
        <v>0</v>
      </c>
      <c r="AZ642" s="105" t="n">
        <v>0</v>
      </c>
      <c r="BA642" s="105" t="n">
        <v>0</v>
      </c>
      <c r="BB642" s="105" t="n">
        <v>0</v>
      </c>
      <c r="BC642" s="105" t="n">
        <v>0</v>
      </c>
      <c r="BD642" s="105" t="n">
        <v>0</v>
      </c>
      <c r="BE642" s="105" t="n">
        <v>0</v>
      </c>
      <c r="BF642" s="105" t="n">
        <v>0</v>
      </c>
      <c r="BG642" s="105" t="n">
        <v>0</v>
      </c>
      <c r="BH642" s="105" t="n">
        <v>0</v>
      </c>
      <c r="BI642" s="105" t="n">
        <v>0</v>
      </c>
      <c r="BJ642" s="105" t="n">
        <v>0</v>
      </c>
      <c r="BK642" s="105" t="n">
        <v>0</v>
      </c>
      <c r="BL642" s="105" t="n">
        <v>0</v>
      </c>
      <c r="BM642" s="105" t="n">
        <v>0</v>
      </c>
      <c r="BN642" s="105" t="n">
        <v>0</v>
      </c>
      <c r="BO642" s="105" t="n">
        <v>0</v>
      </c>
      <c r="BP642" s="105" t="n">
        <v>0</v>
      </c>
      <c r="BQ642" s="105" t="n">
        <v>0</v>
      </c>
      <c r="BR642" s="106" t="n">
        <v>1.16666666666667</v>
      </c>
      <c r="BS642" s="106" t="n">
        <v>1.18611111111111</v>
      </c>
      <c r="BT642" s="107"/>
      <c r="BU642" s="107"/>
      <c r="BV642" s="107"/>
      <c r="BW642" s="107"/>
      <c r="BX642" s="107"/>
      <c r="BY642" s="107"/>
      <c r="BZ642" s="107"/>
      <c r="CA642" s="107"/>
      <c r="CB642" s="107"/>
      <c r="CC642" s="107"/>
      <c r="CD642" s="107"/>
      <c r="CE642" s="107"/>
      <c r="CF642" s="107"/>
      <c r="CG642" s="107"/>
      <c r="CH642" s="107"/>
      <c r="CI642" s="107"/>
      <c r="CJ642" s="107"/>
      <c r="CK642" s="107"/>
      <c r="CL642" s="107"/>
      <c r="CM642" s="107"/>
      <c r="CN642" s="107"/>
      <c r="CO642" s="107"/>
      <c r="CP642" s="107"/>
      <c r="CQ642" s="107"/>
      <c r="CR642" s="107"/>
      <c r="CS642" s="107"/>
      <c r="CT642" s="107"/>
      <c r="CU642" s="107"/>
      <c r="CV642" s="107"/>
    </row>
    <row r="643" customFormat="false" ht="14.9" hidden="false" customHeight="false" outlineLevel="0" collapsed="false">
      <c r="A643" s="74" t="n">
        <f aca="false">MONTH(B643)</f>
        <v>9</v>
      </c>
      <c r="B643" s="135" t="n">
        <v>44462</v>
      </c>
      <c r="C643" s="128" t="s">
        <v>51</v>
      </c>
      <c r="D643" s="77" t="str">
        <f aca="false">IFERROR(VLOOKUP(E:E,'Item Data Support Sheet'!A:O,7,0),"")</f>
        <v>BOTTLE MOLDED</v>
      </c>
      <c r="E643" s="80" t="s">
        <v>357</v>
      </c>
      <c r="F643" s="122" t="s">
        <v>144</v>
      </c>
      <c r="G643" s="137" t="s">
        <v>74</v>
      </c>
      <c r="H643" s="79" t="str">
        <f aca="false">IFERROR(VLOOKUP(E:E,'Item Data Support Sheet'!A:O,2,0),"")</f>
        <v>KPP 120 ML BOTTLE MOLDED</v>
      </c>
      <c r="I643" s="80" t="s">
        <v>1285</v>
      </c>
      <c r="J643" s="80" t="s">
        <v>143</v>
      </c>
      <c r="K643" s="81" t="n">
        <v>8</v>
      </c>
      <c r="L643" s="124" t="n">
        <v>2574</v>
      </c>
      <c r="M643" s="83" t="n">
        <f aca="false">IFERROR(L643/K643,0)</f>
        <v>321.75</v>
      </c>
      <c r="N643" s="84" t="n">
        <f aca="false">+O643+Q643+T643+U643</f>
        <v>2970</v>
      </c>
      <c r="O643" s="85" t="n">
        <v>2880</v>
      </c>
      <c r="P643" s="86" t="n">
        <v>0</v>
      </c>
      <c r="Q643" s="86" t="n">
        <v>35</v>
      </c>
      <c r="R643" s="132" t="n">
        <v>0</v>
      </c>
      <c r="S643" s="128" t="n">
        <v>0</v>
      </c>
      <c r="T643" s="132" t="n">
        <v>47</v>
      </c>
      <c r="U643" s="128" t="n">
        <v>8</v>
      </c>
      <c r="V643" s="128" t="n">
        <v>1</v>
      </c>
      <c r="W643" s="90" t="n">
        <f aca="false">IFERROR(O643/V643,0)</f>
        <v>2880</v>
      </c>
      <c r="X643" s="91" t="n">
        <f aca="false">O643/L643</f>
        <v>1.11888111888112</v>
      </c>
      <c r="Y643" s="92" t="str">
        <f aca="false">IFERROR(VLOOKUP(E:E,'Item Data Support Sheet'!A:J,6,0),0)</f>
        <v>HMC</v>
      </c>
      <c r="Z643" s="93" t="n">
        <f aca="false">IFERROR(VLOOKUP(E:E,'Item Data Support Sheet'!A:O,4,0),0)</f>
        <v>21.3</v>
      </c>
      <c r="AA643" s="93" t="n">
        <f aca="false">IFERROR(((N643)*(Z643/1000))+P643,0)</f>
        <v>63.261</v>
      </c>
      <c r="AB643" s="94" t="n">
        <f aca="false">IFERROR((O643*(Z643/1000)/(AA643))," ")</f>
        <v>0.96969696969697</v>
      </c>
      <c r="AC643" s="95" t="n">
        <f aca="false">IFERROR((T643)/((T643)+O643),0)</f>
        <v>0.016057396651862</v>
      </c>
      <c r="AD643" s="96" t="n">
        <f aca="false">IFERROR(Q643/(Q643+N643),0)</f>
        <v>0.0116472545757072</v>
      </c>
      <c r="AE643" s="91" t="n">
        <f aca="false">(N643-T643)/N643</f>
        <v>0.984175084175084</v>
      </c>
      <c r="AF643" s="97" t="n">
        <f aca="false">BR643</f>
        <v>0</v>
      </c>
      <c r="AG643" s="98" t="n">
        <f aca="false">K643-AF643</f>
        <v>8</v>
      </c>
      <c r="AH643" s="99" t="n">
        <f aca="false">IFERROR(AG643/K643," ")</f>
        <v>1</v>
      </c>
      <c r="AI643" s="100" t="n">
        <f aca="false">IFERROR(O643/K643,0)</f>
        <v>360</v>
      </c>
      <c r="AJ643" s="101" t="n">
        <f aca="false">VLOOKUP(D643,'Standard Cycle time'!C:D,2,0)</f>
        <v>9</v>
      </c>
      <c r="AK643" s="101" t="n">
        <f aca="false">AG643*V643*3600/O643</f>
        <v>10</v>
      </c>
      <c r="AL643" s="102" t="n">
        <f aca="false">AJ643/AK643</f>
        <v>0.9</v>
      </c>
      <c r="AM643" s="99" t="n">
        <f aca="false">AE643*AL643*AH643</f>
        <v>0.885757575757576</v>
      </c>
      <c r="AN643" s="103" t="n">
        <v>3496</v>
      </c>
      <c r="AO643" s="112"/>
      <c r="AP643" s="105" t="n">
        <v>0</v>
      </c>
      <c r="AQ643" s="105" t="n">
        <v>0</v>
      </c>
      <c r="AR643" s="105" t="n">
        <v>0</v>
      </c>
      <c r="AS643" s="105" t="n">
        <v>0</v>
      </c>
      <c r="AT643" s="105" t="n">
        <v>0</v>
      </c>
      <c r="AU643" s="105" t="n">
        <v>0</v>
      </c>
      <c r="AV643" s="105" t="n">
        <v>0</v>
      </c>
      <c r="AW643" s="105" t="n">
        <v>0</v>
      </c>
      <c r="AX643" s="105" t="n">
        <v>0</v>
      </c>
      <c r="AY643" s="105" t="n">
        <v>0</v>
      </c>
      <c r="AZ643" s="105" t="n">
        <v>0</v>
      </c>
      <c r="BA643" s="105" t="n">
        <v>0</v>
      </c>
      <c r="BB643" s="105" t="n">
        <v>0</v>
      </c>
      <c r="BC643" s="105" t="n">
        <v>0</v>
      </c>
      <c r="BD643" s="105" t="n">
        <v>0</v>
      </c>
      <c r="BE643" s="105" t="n">
        <v>0</v>
      </c>
      <c r="BF643" s="105" t="n">
        <v>0</v>
      </c>
      <c r="BG643" s="105" t="n">
        <v>0</v>
      </c>
      <c r="BH643" s="105" t="n">
        <v>0</v>
      </c>
      <c r="BI643" s="105" t="n">
        <v>0</v>
      </c>
      <c r="BJ643" s="105" t="n">
        <v>0</v>
      </c>
      <c r="BK643" s="105" t="n">
        <v>0</v>
      </c>
      <c r="BL643" s="105" t="n">
        <v>0</v>
      </c>
      <c r="BM643" s="105" t="n">
        <v>0</v>
      </c>
      <c r="BN643" s="105" t="n">
        <v>0</v>
      </c>
      <c r="BO643" s="105" t="n">
        <v>0</v>
      </c>
      <c r="BP643" s="105" t="n">
        <v>0</v>
      </c>
      <c r="BQ643" s="105" t="n">
        <v>0</v>
      </c>
      <c r="BR643" s="106" t="n">
        <v>0</v>
      </c>
      <c r="BS643" s="106" t="n">
        <v>0</v>
      </c>
      <c r="BT643" s="107"/>
      <c r="BU643" s="107"/>
      <c r="BV643" s="107"/>
      <c r="BW643" s="107"/>
      <c r="BX643" s="107"/>
      <c r="BY643" s="107"/>
      <c r="BZ643" s="107"/>
      <c r="CA643" s="107"/>
      <c r="CB643" s="107"/>
      <c r="CC643" s="107"/>
      <c r="CD643" s="107"/>
      <c r="CE643" s="107"/>
      <c r="CF643" s="107"/>
      <c r="CG643" s="107"/>
      <c r="CH643" s="107"/>
      <c r="CI643" s="107"/>
      <c r="CJ643" s="107"/>
      <c r="CK643" s="107"/>
      <c r="CL643" s="107"/>
      <c r="CM643" s="107"/>
      <c r="CN643" s="107"/>
      <c r="CO643" s="107"/>
      <c r="CP643" s="107"/>
      <c r="CQ643" s="107"/>
      <c r="CR643" s="107"/>
      <c r="CS643" s="107"/>
      <c r="CT643" s="107"/>
      <c r="CU643" s="107"/>
      <c r="CV643" s="107"/>
    </row>
    <row r="644" customFormat="false" ht="14.9" hidden="false" customHeight="false" outlineLevel="0" collapsed="false">
      <c r="A644" s="74" t="n">
        <f aca="false">MONTH(B644)</f>
        <v>9</v>
      </c>
      <c r="B644" s="135" t="n">
        <v>44462</v>
      </c>
      <c r="C644" s="128" t="s">
        <v>51</v>
      </c>
      <c r="D644" s="77" t="str">
        <f aca="false">IFERROR(VLOOKUP(E:E,'Item Data Support Sheet'!A:O,7,0),"")</f>
        <v>NIPPLE MOLDED</v>
      </c>
      <c r="E644" s="80" t="s">
        <v>244</v>
      </c>
      <c r="F644" s="122" t="s">
        <v>1286</v>
      </c>
      <c r="G644" s="137" t="s">
        <v>848</v>
      </c>
      <c r="H644" s="79" t="str">
        <f aca="false">IFERROR(VLOOKUP(E:E,'Item Data Support Sheet'!A:O,2,0),"")</f>
        <v>NIPPLE S TYPE S SIZE INJECTION</v>
      </c>
      <c r="I644" s="80" t="s">
        <v>1278</v>
      </c>
      <c r="J644" s="80" t="s">
        <v>148</v>
      </c>
      <c r="K644" s="81" t="n">
        <v>4</v>
      </c>
      <c r="L644" s="124" t="n">
        <v>1200</v>
      </c>
      <c r="M644" s="83" t="n">
        <f aca="false">IFERROR(L644/K644,0)</f>
        <v>300</v>
      </c>
      <c r="N644" s="84" t="n">
        <f aca="false">+O644+Q644+T644+U644</f>
        <v>1378</v>
      </c>
      <c r="O644" s="85" t="n">
        <v>592</v>
      </c>
      <c r="P644" s="86" t="n">
        <v>4</v>
      </c>
      <c r="Q644" s="86" t="n">
        <v>128</v>
      </c>
      <c r="R644" s="132" t="n">
        <v>0</v>
      </c>
      <c r="S644" s="128" t="n">
        <v>0</v>
      </c>
      <c r="T644" s="132" t="n">
        <v>658</v>
      </c>
      <c r="U644" s="128" t="n">
        <v>0</v>
      </c>
      <c r="V644" s="128" t="n">
        <v>1</v>
      </c>
      <c r="W644" s="90" t="n">
        <f aca="false">IFERROR(O644/V644,0)</f>
        <v>592</v>
      </c>
      <c r="X644" s="91" t="n">
        <f aca="false">O644/L644</f>
        <v>0.493333333333333</v>
      </c>
      <c r="Y644" s="92" t="str">
        <f aca="false">IFERROR(VLOOKUP(E:E,'Item Data Support Sheet'!A:J,6,0),0)</f>
        <v>Silicon</v>
      </c>
      <c r="Z644" s="93" t="n">
        <f aca="false">IFERROR(VLOOKUP(E:E,'Item Data Support Sheet'!A:O,4,0),0)</f>
        <v>6.8</v>
      </c>
      <c r="AA644" s="93" t="n">
        <f aca="false">IFERROR(((N644)*(Z644/1000))+P644,0)</f>
        <v>13.3704</v>
      </c>
      <c r="AB644" s="94" t="n">
        <f aca="false">IFERROR((O644*(Z644/1000)/(AA644))," ")</f>
        <v>0.301082989289774</v>
      </c>
      <c r="AC644" s="95" t="n">
        <f aca="false">IFERROR((T644)/((T644)+O644),0)</f>
        <v>0.5264</v>
      </c>
      <c r="AD644" s="96" t="n">
        <f aca="false">IFERROR(Q644/(Q644+N644),0)</f>
        <v>0.0849933598937583</v>
      </c>
      <c r="AE644" s="91" t="n">
        <f aca="false">(N644-T644)/N644</f>
        <v>0.522496371552975</v>
      </c>
      <c r="AF644" s="97" t="n">
        <f aca="false">BR644</f>
        <v>0</v>
      </c>
      <c r="AG644" s="98" t="n">
        <f aca="false">K644-AF644</f>
        <v>4</v>
      </c>
      <c r="AH644" s="99" t="n">
        <f aca="false">IFERROR(AG644/K644," ")</f>
        <v>1</v>
      </c>
      <c r="AI644" s="100" t="n">
        <f aca="false">IFERROR(O644/K644,0)</f>
        <v>148</v>
      </c>
      <c r="AJ644" s="101" t="n">
        <f aca="false">VLOOKUP(D644,'Standard Cycle time'!C:D,2,0)</f>
        <v>5.25</v>
      </c>
      <c r="AK644" s="101" t="n">
        <f aca="false">AG644*V644*3600/O644</f>
        <v>24.3243243243243</v>
      </c>
      <c r="AL644" s="102" t="n">
        <f aca="false">AJ644/AK644</f>
        <v>0.215833333333333</v>
      </c>
      <c r="AM644" s="99" t="n">
        <f aca="false">AE644*AL644*AH644</f>
        <v>0.112772133526851</v>
      </c>
      <c r="AN644" s="103" t="n">
        <v>3720</v>
      </c>
      <c r="AO644" s="112"/>
      <c r="AP644" s="105"/>
      <c r="AQ644" s="105"/>
      <c r="AR644" s="105"/>
      <c r="AS644" s="105"/>
      <c r="AT644" s="105"/>
      <c r="AU644" s="105" t="n">
        <v>30</v>
      </c>
      <c r="AV644" s="105" t="n">
        <v>30</v>
      </c>
      <c r="AW644" s="105" t="n">
        <v>240</v>
      </c>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6"/>
      <c r="BS644" s="106"/>
      <c r="BT644" s="107"/>
      <c r="BU644" s="107"/>
      <c r="BV644" s="107"/>
      <c r="BW644" s="107"/>
      <c r="BX644" s="107"/>
      <c r="BY644" s="107"/>
      <c r="BZ644" s="107"/>
      <c r="CA644" s="107"/>
      <c r="CB644" s="107"/>
      <c r="CC644" s="107"/>
      <c r="CD644" s="107"/>
      <c r="CE644" s="107"/>
      <c r="CF644" s="107"/>
      <c r="CG644" s="107"/>
      <c r="CH644" s="107"/>
      <c r="CI644" s="107"/>
      <c r="CJ644" s="107"/>
      <c r="CK644" s="107"/>
      <c r="CL644" s="107"/>
      <c r="CM644" s="107"/>
      <c r="CN644" s="107"/>
      <c r="CO644" s="107"/>
      <c r="CP644" s="107"/>
      <c r="CQ644" s="107"/>
      <c r="CR644" s="107"/>
      <c r="CS644" s="107"/>
      <c r="CT644" s="107"/>
      <c r="CU644" s="107"/>
      <c r="CV644" s="107"/>
    </row>
    <row r="645" customFormat="false" ht="14.9" hidden="false" customHeight="false" outlineLevel="0" collapsed="false">
      <c r="A645" s="74" t="n">
        <f aca="false">MONTH(B645)</f>
        <v>9</v>
      </c>
      <c r="B645" s="135" t="n">
        <v>44462</v>
      </c>
      <c r="C645" s="128" t="s">
        <v>63</v>
      </c>
      <c r="D645" s="77" t="str">
        <f aca="false">IFERROR(VLOOKUP(E:E,'Item Data Support Sheet'!A:O,7,0),"")</f>
        <v>BOTTLE PRINTED</v>
      </c>
      <c r="E645" s="80" t="s">
        <v>608</v>
      </c>
      <c r="F645" s="122"/>
      <c r="G645" s="137"/>
      <c r="H645" s="79" t="str">
        <f aca="false">IFERROR(VLOOKUP(E:E,'Item Data Support Sheet'!A:O,2,0),"")</f>
        <v>RPP 120ML BOY BLUE BOTLE PNTD WM3GB W/BIS LOGO</v>
      </c>
      <c r="I645" s="80" t="s">
        <v>1287</v>
      </c>
      <c r="J645" s="80" t="s">
        <v>161</v>
      </c>
      <c r="K645" s="81" t="n">
        <v>1</v>
      </c>
      <c r="L645" s="124" t="n">
        <v>400</v>
      </c>
      <c r="M645" s="83" t="n">
        <f aca="false">IFERROR(L645/K645,0)</f>
        <v>400</v>
      </c>
      <c r="N645" s="84" t="n">
        <f aca="false">+O645+Q645+T645+U645</f>
        <v>496</v>
      </c>
      <c r="O645" s="85" t="n">
        <v>488</v>
      </c>
      <c r="P645" s="86" t="n">
        <v>0</v>
      </c>
      <c r="Q645" s="86" t="n">
        <v>0</v>
      </c>
      <c r="R645" s="132" t="n">
        <v>5</v>
      </c>
      <c r="S645" s="128" t="n">
        <v>0</v>
      </c>
      <c r="T645" s="132" t="n">
        <v>8</v>
      </c>
      <c r="U645" s="128" t="n">
        <v>0</v>
      </c>
      <c r="V645" s="128" t="n">
        <v>5</v>
      </c>
      <c r="W645" s="90" t="n">
        <f aca="false">IFERROR(O645/V645,0)</f>
        <v>97.6</v>
      </c>
      <c r="X645" s="91" t="n">
        <f aca="false">O645/L645</f>
        <v>1.22</v>
      </c>
      <c r="Y645" s="92" t="str">
        <f aca="false">IFERROR(VLOOKUP(E:E,'Item Data Support Sheet'!A:J,6,0),0)</f>
        <v>FO054</v>
      </c>
      <c r="Z645" s="93" t="n">
        <f aca="false">IFERROR(VLOOKUP(E:E,'Item Data Support Sheet'!A:O,4,0),0)</f>
        <v>0</v>
      </c>
      <c r="AA645" s="93" t="n">
        <f aca="false">IFERROR(((N645)*(Z645/1000))+P645,0)</f>
        <v>0</v>
      </c>
      <c r="AB645" s="94" t="str">
        <f aca="false">IFERROR((O645*(Z645/1000)/(AA645))," ")</f>
        <v> </v>
      </c>
      <c r="AC645" s="95" t="n">
        <f aca="false">IFERROR((T645)/((T645)+O645),0)</f>
        <v>0.0161290322580645</v>
      </c>
      <c r="AD645" s="96" t="n">
        <f aca="false">IFERROR(Q645/(Q645+N645),0)</f>
        <v>0</v>
      </c>
      <c r="AE645" s="91" t="n">
        <f aca="false">(N645-T645)/N645</f>
        <v>0.983870967741935</v>
      </c>
      <c r="AF645" s="97" t="n">
        <f aca="false">BR645</f>
        <v>0</v>
      </c>
      <c r="AG645" s="98" t="n">
        <f aca="false">K645-AF645</f>
        <v>1</v>
      </c>
      <c r="AH645" s="99" t="n">
        <f aca="false">IFERROR(AG645/K645," ")</f>
        <v>1</v>
      </c>
      <c r="AI645" s="100" t="n">
        <f aca="false">IFERROR(O645/K645,0)</f>
        <v>488</v>
      </c>
      <c r="AJ645" s="101" t="n">
        <f aca="false">VLOOKUP(D645,'Standard Cycle time'!C:D,2,0)</f>
        <v>32.4</v>
      </c>
      <c r="AK645" s="101" t="n">
        <f aca="false">AG645*V645*3600/O645</f>
        <v>36.8852459016393</v>
      </c>
      <c r="AL645" s="102" t="n">
        <f aca="false">AJ645/AK645</f>
        <v>0.8784</v>
      </c>
      <c r="AM645" s="99" t="n">
        <f aca="false">AE645*AL645*AH645</f>
        <v>0.864232258064516</v>
      </c>
      <c r="AN645" s="103" t="n">
        <v>3489</v>
      </c>
      <c r="AO645" s="112" t="s">
        <v>1288</v>
      </c>
      <c r="AP645" s="105" t="n">
        <v>0</v>
      </c>
      <c r="AQ645" s="105" t="n">
        <v>0</v>
      </c>
      <c r="AR645" s="105" t="n">
        <v>0</v>
      </c>
      <c r="AS645" s="105" t="n">
        <v>0</v>
      </c>
      <c r="AT645" s="105" t="n">
        <v>0</v>
      </c>
      <c r="AU645" s="105" t="n">
        <v>0</v>
      </c>
      <c r="AV645" s="105" t="n">
        <v>0</v>
      </c>
      <c r="AW645" s="105" t="n">
        <v>0</v>
      </c>
      <c r="AX645" s="105" t="n">
        <v>0</v>
      </c>
      <c r="AY645" s="105" t="n">
        <v>0</v>
      </c>
      <c r="AZ645" s="105" t="n">
        <v>0</v>
      </c>
      <c r="BA645" s="105" t="n">
        <v>0</v>
      </c>
      <c r="BB645" s="105" t="n">
        <v>0</v>
      </c>
      <c r="BC645" s="105" t="n">
        <v>0</v>
      </c>
      <c r="BD645" s="105" t="n">
        <v>0</v>
      </c>
      <c r="BE645" s="105" t="n">
        <v>0</v>
      </c>
      <c r="BF645" s="105" t="n">
        <v>0</v>
      </c>
      <c r="BG645" s="105" t="n">
        <v>0</v>
      </c>
      <c r="BH645" s="105" t="n">
        <v>0</v>
      </c>
      <c r="BI645" s="105" t="n">
        <v>0</v>
      </c>
      <c r="BJ645" s="105" t="n">
        <v>0</v>
      </c>
      <c r="BK645" s="105" t="n">
        <v>0</v>
      </c>
      <c r="BL645" s="105" t="n">
        <v>0</v>
      </c>
      <c r="BM645" s="105" t="n">
        <v>0</v>
      </c>
      <c r="BN645" s="105" t="n">
        <v>0</v>
      </c>
      <c r="BO645" s="105" t="n">
        <v>0</v>
      </c>
      <c r="BP645" s="105" t="n">
        <v>0</v>
      </c>
      <c r="BQ645" s="105" t="n">
        <v>0</v>
      </c>
      <c r="BR645" s="106" t="n">
        <v>0</v>
      </c>
      <c r="BS645" s="106" t="n">
        <v>0</v>
      </c>
      <c r="BT645" s="107"/>
      <c r="BU645" s="107"/>
      <c r="BV645" s="107"/>
      <c r="BW645" s="107"/>
      <c r="BX645" s="107"/>
      <c r="BY645" s="107"/>
      <c r="BZ645" s="107"/>
      <c r="CA645" s="107"/>
      <c r="CB645" s="107"/>
      <c r="CC645" s="107"/>
      <c r="CD645" s="107"/>
      <c r="CE645" s="107"/>
      <c r="CF645" s="107"/>
      <c r="CG645" s="107"/>
      <c r="CH645" s="107"/>
      <c r="CI645" s="107"/>
      <c r="CJ645" s="107"/>
      <c r="CK645" s="107"/>
      <c r="CL645" s="107"/>
      <c r="CM645" s="107"/>
      <c r="CN645" s="107"/>
      <c r="CO645" s="107"/>
      <c r="CP645" s="107"/>
      <c r="CQ645" s="107"/>
      <c r="CR645" s="107"/>
      <c r="CS645" s="107"/>
      <c r="CT645" s="107"/>
      <c r="CU645" s="107"/>
      <c r="CV645" s="107"/>
    </row>
    <row r="646" customFormat="false" ht="14.9" hidden="false" customHeight="false" outlineLevel="0" collapsed="false">
      <c r="A646" s="74" t="n">
        <f aca="false">MONTH(B646)</f>
        <v>9</v>
      </c>
      <c r="B646" s="135" t="n">
        <v>44462</v>
      </c>
      <c r="C646" s="128" t="s">
        <v>63</v>
      </c>
      <c r="D646" s="77" t="str">
        <f aca="false">IFERROR(VLOOKUP(E:E,'Item Data Support Sheet'!A:O,7,0),"")</f>
        <v>BOTTLE PRINTED</v>
      </c>
      <c r="E646" s="80" t="s">
        <v>1289</v>
      </c>
      <c r="F646" s="122"/>
      <c r="G646" s="137"/>
      <c r="H646" s="79" t="str">
        <f aca="false">IFERROR(VLOOKUP(E:E,'Item Data Support Sheet'!A:O,2,0),"")</f>
        <v>RPP 240ML BOY BLUE BOTLE PNTD WM3GB W/BIS LOGO</v>
      </c>
      <c r="I646" s="80" t="s">
        <v>1290</v>
      </c>
      <c r="J646" s="80" t="s">
        <v>161</v>
      </c>
      <c r="K646" s="81" t="n">
        <v>4</v>
      </c>
      <c r="L646" s="124" t="n">
        <v>1700</v>
      </c>
      <c r="M646" s="83" t="n">
        <f aca="false">IFERROR(L646/K646,0)</f>
        <v>425</v>
      </c>
      <c r="N646" s="84" t="n">
        <f aca="false">+O646+Q646+T646+U646</f>
        <v>1453</v>
      </c>
      <c r="O646" s="85" t="n">
        <v>1440</v>
      </c>
      <c r="P646" s="86" t="n">
        <v>0</v>
      </c>
      <c r="Q646" s="86" t="n">
        <v>0</v>
      </c>
      <c r="R646" s="132" t="n">
        <v>22</v>
      </c>
      <c r="S646" s="128" t="n">
        <v>0</v>
      </c>
      <c r="T646" s="132" t="n">
        <v>13</v>
      </c>
      <c r="U646" s="128" t="n">
        <v>0</v>
      </c>
      <c r="V646" s="128" t="n">
        <v>5</v>
      </c>
      <c r="W646" s="90" t="n">
        <f aca="false">IFERROR(O646/V646,0)</f>
        <v>288</v>
      </c>
      <c r="X646" s="91" t="n">
        <f aca="false">O646/L646</f>
        <v>0.847058823529412</v>
      </c>
      <c r="Y646" s="92" t="str">
        <f aca="false">IFERROR(VLOOKUP(E:E,'Item Data Support Sheet'!A:J,6,0),0)</f>
        <v>FO055</v>
      </c>
      <c r="Z646" s="93" t="n">
        <f aca="false">IFERROR(VLOOKUP(E:E,'Item Data Support Sheet'!A:O,4,0),0)</f>
        <v>0</v>
      </c>
      <c r="AA646" s="93" t="n">
        <f aca="false">IFERROR(((N646)*(Z646/1000))+P646,0)</f>
        <v>0</v>
      </c>
      <c r="AB646" s="94" t="str">
        <f aca="false">IFERROR((O646*(Z646/1000)/(AA646))," ")</f>
        <v> </v>
      </c>
      <c r="AC646" s="95" t="n">
        <f aca="false">IFERROR((T646)/((T646)+O646),0)</f>
        <v>0.00894700619408121</v>
      </c>
      <c r="AD646" s="96" t="n">
        <f aca="false">IFERROR(Q646/(Q646+N646),0)</f>
        <v>0</v>
      </c>
      <c r="AE646" s="91" t="n">
        <f aca="false">(N646-T646)/N646</f>
        <v>0.991052993805919</v>
      </c>
      <c r="AF646" s="97" t="n">
        <f aca="false">BR646</f>
        <v>0.833333333333333</v>
      </c>
      <c r="AG646" s="98" t="n">
        <f aca="false">K646-AF646</f>
        <v>3.16666666666667</v>
      </c>
      <c r="AH646" s="99" t="n">
        <f aca="false">IFERROR(AG646/K646," ")</f>
        <v>0.791666666666667</v>
      </c>
      <c r="AI646" s="100" t="n">
        <f aca="false">IFERROR(O646/K646,0)</f>
        <v>360</v>
      </c>
      <c r="AJ646" s="101" t="n">
        <f aca="false">VLOOKUP(D646,'Standard Cycle time'!C:D,2,0)</f>
        <v>32.4</v>
      </c>
      <c r="AK646" s="101" t="n">
        <f aca="false">AG646*V646*3600/O646</f>
        <v>39.5833333333333</v>
      </c>
      <c r="AL646" s="102" t="n">
        <f aca="false">AJ646/AK646</f>
        <v>0.818526315789473</v>
      </c>
      <c r="AM646" s="99" t="n">
        <f aca="false">AE646*AL646*AH646</f>
        <v>0.642202339986235</v>
      </c>
      <c r="AN646" s="103" t="s">
        <v>1291</v>
      </c>
      <c r="AO646" s="112" t="s">
        <v>1292</v>
      </c>
      <c r="AP646" s="105" t="n">
        <v>50</v>
      </c>
      <c r="AQ646" s="105" t="n">
        <v>0</v>
      </c>
      <c r="AR646" s="105" t="n">
        <v>0</v>
      </c>
      <c r="AS646" s="105" t="n">
        <v>0</v>
      </c>
      <c r="AT646" s="105" t="n">
        <v>0</v>
      </c>
      <c r="AU646" s="105" t="n">
        <v>0</v>
      </c>
      <c r="AV646" s="105" t="n">
        <v>0</v>
      </c>
      <c r="AW646" s="105" t="n">
        <v>0</v>
      </c>
      <c r="AX646" s="105" t="n">
        <v>0</v>
      </c>
      <c r="AY646" s="105" t="n">
        <v>0</v>
      </c>
      <c r="AZ646" s="105" t="n">
        <v>0</v>
      </c>
      <c r="BA646" s="105" t="n">
        <v>0</v>
      </c>
      <c r="BB646" s="105" t="n">
        <v>0</v>
      </c>
      <c r="BC646" s="105" t="n">
        <v>0</v>
      </c>
      <c r="BD646" s="105" t="n">
        <v>0</v>
      </c>
      <c r="BE646" s="105" t="n">
        <v>0</v>
      </c>
      <c r="BF646" s="105" t="n">
        <v>0</v>
      </c>
      <c r="BG646" s="105" t="n">
        <v>0</v>
      </c>
      <c r="BH646" s="105" t="n">
        <v>0</v>
      </c>
      <c r="BI646" s="105" t="n">
        <v>0</v>
      </c>
      <c r="BJ646" s="105" t="n">
        <v>0</v>
      </c>
      <c r="BK646" s="105" t="n">
        <v>0</v>
      </c>
      <c r="BL646" s="105" t="n">
        <v>0</v>
      </c>
      <c r="BM646" s="105" t="n">
        <v>0</v>
      </c>
      <c r="BN646" s="105" t="n">
        <v>0</v>
      </c>
      <c r="BO646" s="105" t="n">
        <v>0</v>
      </c>
      <c r="BP646" s="105" t="n">
        <v>0</v>
      </c>
      <c r="BQ646" s="105" t="n">
        <v>0</v>
      </c>
      <c r="BR646" s="106" t="n">
        <v>0.833333333333333</v>
      </c>
      <c r="BS646" s="106" t="n">
        <v>0.847222222222222</v>
      </c>
      <c r="BT646" s="107"/>
      <c r="BU646" s="107"/>
      <c r="BV646" s="107"/>
      <c r="BW646" s="107"/>
      <c r="BX646" s="107"/>
      <c r="BY646" s="107"/>
      <c r="BZ646" s="107"/>
      <c r="CA646" s="107"/>
      <c r="CB646" s="107"/>
      <c r="CC646" s="107"/>
      <c r="CD646" s="107"/>
      <c r="CE646" s="107"/>
      <c r="CF646" s="107"/>
      <c r="CG646" s="107"/>
      <c r="CH646" s="107"/>
      <c r="CI646" s="107"/>
      <c r="CJ646" s="107"/>
      <c r="CK646" s="107"/>
      <c r="CL646" s="107"/>
      <c r="CM646" s="107"/>
      <c r="CN646" s="107"/>
      <c r="CO646" s="107"/>
      <c r="CP646" s="107"/>
      <c r="CQ646" s="107"/>
      <c r="CR646" s="107"/>
      <c r="CS646" s="107"/>
      <c r="CT646" s="107"/>
      <c r="CU646" s="107"/>
      <c r="CV646" s="107"/>
    </row>
    <row r="647" customFormat="false" ht="14.9" hidden="false" customHeight="false" outlineLevel="0" collapsed="false">
      <c r="A647" s="74" t="n">
        <f aca="false">MONTH(B647)</f>
        <v>9</v>
      </c>
      <c r="B647" s="135" t="n">
        <v>44462</v>
      </c>
      <c r="C647" s="128" t="s">
        <v>63</v>
      </c>
      <c r="D647" s="77" t="str">
        <f aca="false">IFERROR(VLOOKUP(E:E,'Item Data Support Sheet'!A:O,7,0),"")</f>
        <v>BOTTLE PRINTED</v>
      </c>
      <c r="E647" s="80" t="s">
        <v>616</v>
      </c>
      <c r="F647" s="122"/>
      <c r="G647" s="137"/>
      <c r="H647" s="79" t="str">
        <f aca="false">IFERROR(VLOOKUP(E:E,'Item Data Support Sheet'!A:O,2,0),"")</f>
        <v>RPP 240ML GRL PNK BOTLE PNTD WM3GB W/BIS LOGO</v>
      </c>
      <c r="I647" s="80" t="s">
        <v>1293</v>
      </c>
      <c r="J647" s="80" t="s">
        <v>161</v>
      </c>
      <c r="K647" s="81" t="n">
        <v>3</v>
      </c>
      <c r="L647" s="124" t="n">
        <v>1300</v>
      </c>
      <c r="M647" s="83" t="n">
        <f aca="false">IFERROR(L647/K647,0)</f>
        <v>433.333333333333</v>
      </c>
      <c r="N647" s="84" t="n">
        <f aca="false">+O647+Q647+T647+U647</f>
        <v>1582</v>
      </c>
      <c r="O647" s="85" t="n">
        <v>1560</v>
      </c>
      <c r="P647" s="86" t="n">
        <v>0</v>
      </c>
      <c r="Q647" s="86" t="n">
        <v>0</v>
      </c>
      <c r="R647" s="132" t="n">
        <v>18</v>
      </c>
      <c r="S647" s="128" t="n">
        <v>0</v>
      </c>
      <c r="T647" s="132" t="n">
        <v>22</v>
      </c>
      <c r="U647" s="128" t="n">
        <v>0</v>
      </c>
      <c r="V647" s="128" t="n">
        <v>5</v>
      </c>
      <c r="W647" s="90" t="n">
        <f aca="false">IFERROR(O647/V647,0)</f>
        <v>312</v>
      </c>
      <c r="X647" s="91" t="n">
        <f aca="false">O647/L647</f>
        <v>1.2</v>
      </c>
      <c r="Y647" s="92" t="str">
        <f aca="false">IFERROR(VLOOKUP(E:E,'Item Data Support Sheet'!A:J,6,0),0)</f>
        <v>FO057</v>
      </c>
      <c r="Z647" s="93" t="n">
        <f aca="false">IFERROR(VLOOKUP(E:E,'Item Data Support Sheet'!A:O,4,0),0)</f>
        <v>0</v>
      </c>
      <c r="AA647" s="93" t="n">
        <f aca="false">IFERROR(((N647)*(Z647/1000))+P647,0)</f>
        <v>0</v>
      </c>
      <c r="AB647" s="94" t="str">
        <f aca="false">IFERROR((O647*(Z647/1000)/(AA647))," ")</f>
        <v> </v>
      </c>
      <c r="AC647" s="95" t="n">
        <f aca="false">IFERROR((T647)/((T647)+O647),0)</f>
        <v>0.0139064475347661</v>
      </c>
      <c r="AD647" s="96" t="n">
        <f aca="false">IFERROR(Q647/(Q647+N647),0)</f>
        <v>0</v>
      </c>
      <c r="AE647" s="91" t="n">
        <f aca="false">(N647-T647)/N647</f>
        <v>0.986093552465234</v>
      </c>
      <c r="AF647" s="97" t="n">
        <f aca="false">BR647</f>
        <v>0</v>
      </c>
      <c r="AG647" s="98" t="n">
        <f aca="false">K647-AF647</f>
        <v>3</v>
      </c>
      <c r="AH647" s="99" t="n">
        <f aca="false">IFERROR(AG647/K647," ")</f>
        <v>1</v>
      </c>
      <c r="AI647" s="100" t="n">
        <f aca="false">IFERROR(O647/K647,0)</f>
        <v>520</v>
      </c>
      <c r="AJ647" s="101" t="n">
        <f aca="false">VLOOKUP(D647,'Standard Cycle time'!C:D,2,0)</f>
        <v>32.4</v>
      </c>
      <c r="AK647" s="101" t="n">
        <f aca="false">AG647*V647*3600/O647</f>
        <v>34.6153846153846</v>
      </c>
      <c r="AL647" s="102" t="n">
        <f aca="false">AJ647/AK647</f>
        <v>0.936</v>
      </c>
      <c r="AM647" s="99" t="n">
        <f aca="false">AE647*AL647*AH647</f>
        <v>0.922983565107459</v>
      </c>
      <c r="AN647" s="103" t="s">
        <v>869</v>
      </c>
      <c r="AO647" s="112"/>
      <c r="AP647" s="105" t="n">
        <v>0</v>
      </c>
      <c r="AQ647" s="105" t="n">
        <v>0</v>
      </c>
      <c r="AR647" s="105" t="n">
        <v>0</v>
      </c>
      <c r="AS647" s="105" t="n">
        <v>0</v>
      </c>
      <c r="AT647" s="105" t="n">
        <v>0</v>
      </c>
      <c r="AU647" s="105" t="n">
        <v>0</v>
      </c>
      <c r="AV647" s="105" t="n">
        <v>0</v>
      </c>
      <c r="AW647" s="105" t="n">
        <v>0</v>
      </c>
      <c r="AX647" s="105" t="n">
        <v>0</v>
      </c>
      <c r="AY647" s="105" t="n">
        <v>0</v>
      </c>
      <c r="AZ647" s="105" t="n">
        <v>0</v>
      </c>
      <c r="BA647" s="105" t="n">
        <v>0</v>
      </c>
      <c r="BB647" s="105" t="n">
        <v>0</v>
      </c>
      <c r="BC647" s="105" t="n">
        <v>0</v>
      </c>
      <c r="BD647" s="105" t="n">
        <v>0</v>
      </c>
      <c r="BE647" s="105" t="n">
        <v>0</v>
      </c>
      <c r="BF647" s="105" t="n">
        <v>0</v>
      </c>
      <c r="BG647" s="105" t="n">
        <v>0</v>
      </c>
      <c r="BH647" s="105" t="n">
        <v>0</v>
      </c>
      <c r="BI647" s="105" t="n">
        <v>0</v>
      </c>
      <c r="BJ647" s="105" t="n">
        <v>0</v>
      </c>
      <c r="BK647" s="105" t="n">
        <v>0</v>
      </c>
      <c r="BL647" s="105" t="n">
        <v>0</v>
      </c>
      <c r="BM647" s="105" t="n">
        <v>0</v>
      </c>
      <c r="BN647" s="105" t="n">
        <v>0</v>
      </c>
      <c r="BO647" s="105" t="n">
        <v>0</v>
      </c>
      <c r="BP647" s="105" t="n">
        <v>0</v>
      </c>
      <c r="BQ647" s="105" t="n">
        <v>0</v>
      </c>
      <c r="BR647" s="106" t="n">
        <v>0</v>
      </c>
      <c r="BS647" s="106" t="n">
        <v>0</v>
      </c>
      <c r="BT647" s="107"/>
      <c r="BU647" s="107"/>
      <c r="BV647" s="107"/>
      <c r="BW647" s="107"/>
      <c r="BX647" s="107"/>
      <c r="BY647" s="107"/>
      <c r="BZ647" s="107"/>
      <c r="CA647" s="107"/>
      <c r="CB647" s="107"/>
      <c r="CC647" s="107"/>
      <c r="CD647" s="107"/>
      <c r="CE647" s="107"/>
      <c r="CF647" s="107"/>
      <c r="CG647" s="107"/>
      <c r="CH647" s="107"/>
      <c r="CI647" s="107"/>
      <c r="CJ647" s="107"/>
      <c r="CK647" s="107"/>
      <c r="CL647" s="107"/>
      <c r="CM647" s="107"/>
      <c r="CN647" s="107"/>
      <c r="CO647" s="107"/>
      <c r="CP647" s="107"/>
      <c r="CQ647" s="107"/>
      <c r="CR647" s="107"/>
      <c r="CS647" s="107"/>
      <c r="CT647" s="107"/>
      <c r="CU647" s="107"/>
      <c r="CV647" s="107"/>
    </row>
    <row r="648" customFormat="false" ht="14.9" hidden="false" customHeight="false" outlineLevel="0" collapsed="false">
      <c r="A648" s="74" t="n">
        <f aca="false">MONTH(B648)</f>
        <v>9</v>
      </c>
      <c r="B648" s="135" t="n">
        <v>44462</v>
      </c>
      <c r="C648" s="128" t="s">
        <v>63</v>
      </c>
      <c r="D648" s="77" t="str">
        <f aca="false">IFERROR(VLOOKUP(E:E,'Item Data Support Sheet'!A:O,7,0),"")</f>
        <v>NIPPLE WRAP PRINTED</v>
      </c>
      <c r="E648" s="80" t="s">
        <v>474</v>
      </c>
      <c r="F648" s="122"/>
      <c r="G648" s="137"/>
      <c r="H648" s="79" t="str">
        <f aca="false">IFERROR(VLOOKUP(E:E,'Item Data Support Sheet'!A:O,2,0),"")</f>
        <v>NIPPLE S TYPE L SIZE WITH PRINTED WRAP</v>
      </c>
      <c r="I648" s="80" t="s">
        <v>1294</v>
      </c>
      <c r="J648" s="80" t="s">
        <v>155</v>
      </c>
      <c r="K648" s="81" t="n">
        <v>7</v>
      </c>
      <c r="L648" s="124" t="n">
        <v>13861</v>
      </c>
      <c r="M648" s="83" t="n">
        <f aca="false">IFERROR(L648/K648,0)</f>
        <v>1980.14285714286</v>
      </c>
      <c r="N648" s="84" t="n">
        <f aca="false">+O648+Q648+T648+U648</f>
        <v>12873</v>
      </c>
      <c r="O648" s="85" t="n">
        <v>12861</v>
      </c>
      <c r="P648" s="86" t="n">
        <v>0</v>
      </c>
      <c r="Q648" s="86" t="n">
        <v>0</v>
      </c>
      <c r="R648" s="132" t="n">
        <v>0</v>
      </c>
      <c r="S648" s="128" t="n">
        <v>0</v>
      </c>
      <c r="T648" s="132" t="n">
        <v>12</v>
      </c>
      <c r="U648" s="128" t="n">
        <v>0</v>
      </c>
      <c r="V648" s="128" t="n">
        <v>2</v>
      </c>
      <c r="W648" s="90" t="n">
        <f aca="false">IFERROR(O648/V648,0)</f>
        <v>6430.5</v>
      </c>
      <c r="X648" s="91" t="n">
        <f aca="false">O648/L648</f>
        <v>0.927855133107279</v>
      </c>
      <c r="Y648" s="92" t="str">
        <f aca="false">IFERROR(VLOOKUP(E:E,'Item Data Support Sheet'!A:J,6,0),0)</f>
        <v>FO021</v>
      </c>
      <c r="Z648" s="93" t="n">
        <f aca="false">IFERROR(VLOOKUP(E:E,'Item Data Support Sheet'!A:O,4,0),0)</f>
        <v>0</v>
      </c>
      <c r="AA648" s="93" t="n">
        <f aca="false">IFERROR(((N648)*(Z648/1000))+P648,0)</f>
        <v>0</v>
      </c>
      <c r="AB648" s="94" t="str">
        <f aca="false">IFERROR((O648*(Z648/1000)/(AA648))," ")</f>
        <v> </v>
      </c>
      <c r="AC648" s="95" t="n">
        <f aca="false">IFERROR((T648)/((T648)+O648),0)</f>
        <v>0.000932183640177115</v>
      </c>
      <c r="AD648" s="96" t="n">
        <f aca="false">IFERROR(Q648/(Q648+N648),0)</f>
        <v>0</v>
      </c>
      <c r="AE648" s="91" t="n">
        <f aca="false">(N648-T648)/N648</f>
        <v>0.999067816359823</v>
      </c>
      <c r="AF648" s="97" t="n">
        <f aca="false">BR648</f>
        <v>0.833333333333333</v>
      </c>
      <c r="AG648" s="98" t="n">
        <f aca="false">K648-AF648</f>
        <v>6.16666666666667</v>
      </c>
      <c r="AH648" s="99" t="n">
        <f aca="false">IFERROR(AG648/K648," ")</f>
        <v>0.880952380952381</v>
      </c>
      <c r="AI648" s="100" t="n">
        <f aca="false">IFERROR(O648/K648,0)</f>
        <v>1837.28571428571</v>
      </c>
      <c r="AJ648" s="101" t="n">
        <f aca="false">VLOOKUP(D648,'Standard Cycle time'!C:D,2,0)</f>
        <v>2.5</v>
      </c>
      <c r="AK648" s="101" t="n">
        <f aca="false">AG648*V648*3600/O648</f>
        <v>3.45229764404012</v>
      </c>
      <c r="AL648" s="102" t="n">
        <f aca="false">AJ648/AK648</f>
        <v>0.724155405405405</v>
      </c>
      <c r="AM648" s="99" t="n">
        <f aca="false">AE648*AL648*AH648</f>
        <v>0.637351745347405</v>
      </c>
      <c r="AN648" s="103" t="s">
        <v>1295</v>
      </c>
      <c r="AO648" s="112" t="s">
        <v>1296</v>
      </c>
      <c r="AP648" s="105" t="n">
        <v>50</v>
      </c>
      <c r="AQ648" s="105" t="n">
        <v>0</v>
      </c>
      <c r="AR648" s="105" t="n">
        <v>0</v>
      </c>
      <c r="AS648" s="105" t="n">
        <v>0</v>
      </c>
      <c r="AT648" s="105" t="n">
        <v>0</v>
      </c>
      <c r="AU648" s="105" t="n">
        <v>0</v>
      </c>
      <c r="AV648" s="105" t="n">
        <v>0</v>
      </c>
      <c r="AW648" s="105" t="n">
        <v>0</v>
      </c>
      <c r="AX648" s="105" t="n">
        <v>0</v>
      </c>
      <c r="AY648" s="105" t="n">
        <v>0</v>
      </c>
      <c r="AZ648" s="105" t="n">
        <v>0</v>
      </c>
      <c r="BA648" s="105" t="n">
        <v>0</v>
      </c>
      <c r="BB648" s="105" t="n">
        <v>0</v>
      </c>
      <c r="BC648" s="105" t="n">
        <v>0</v>
      </c>
      <c r="BD648" s="105" t="n">
        <v>0</v>
      </c>
      <c r="BE648" s="105" t="n">
        <v>0</v>
      </c>
      <c r="BF648" s="105" t="n">
        <v>0</v>
      </c>
      <c r="BG648" s="105" t="n">
        <v>0</v>
      </c>
      <c r="BH648" s="105" t="n">
        <v>0</v>
      </c>
      <c r="BI648" s="105" t="n">
        <v>0</v>
      </c>
      <c r="BJ648" s="105" t="n">
        <v>0</v>
      </c>
      <c r="BK648" s="105" t="n">
        <v>0</v>
      </c>
      <c r="BL648" s="105" t="n">
        <v>0</v>
      </c>
      <c r="BM648" s="105" t="n">
        <v>0</v>
      </c>
      <c r="BN648" s="105" t="n">
        <v>0</v>
      </c>
      <c r="BO648" s="105" t="n">
        <v>0</v>
      </c>
      <c r="BP648" s="105" t="n">
        <v>0</v>
      </c>
      <c r="BQ648" s="105" t="n">
        <v>0</v>
      </c>
      <c r="BR648" s="106" t="n">
        <v>0.833333333333333</v>
      </c>
      <c r="BS648" s="106" t="n">
        <v>0.847222222222222</v>
      </c>
      <c r="BT648" s="107"/>
      <c r="BU648" s="107"/>
      <c r="BV648" s="107"/>
      <c r="BW648" s="107"/>
      <c r="BX648" s="107"/>
      <c r="BY648" s="107"/>
      <c r="BZ648" s="107"/>
      <c r="CA648" s="107"/>
      <c r="CB648" s="107"/>
      <c r="CC648" s="107"/>
      <c r="CD648" s="107"/>
      <c r="CE648" s="107"/>
      <c r="CF648" s="107"/>
      <c r="CG648" s="107"/>
      <c r="CH648" s="107"/>
      <c r="CI648" s="107"/>
      <c r="CJ648" s="107"/>
      <c r="CK648" s="107"/>
      <c r="CL648" s="107"/>
      <c r="CM648" s="107"/>
      <c r="CN648" s="107"/>
      <c r="CO648" s="107"/>
      <c r="CP648" s="107"/>
      <c r="CQ648" s="107"/>
      <c r="CR648" s="107"/>
      <c r="CS648" s="107"/>
      <c r="CT648" s="107"/>
      <c r="CU648" s="107"/>
      <c r="CV648" s="107"/>
    </row>
    <row r="649" customFormat="false" ht="14.9" hidden="false" customHeight="false" outlineLevel="0" collapsed="false">
      <c r="A649" s="74" t="n">
        <f aca="false">MONTH(B649)</f>
        <v>9</v>
      </c>
      <c r="B649" s="135" t="n">
        <v>44462</v>
      </c>
      <c r="C649" s="128" t="s">
        <v>63</v>
      </c>
      <c r="D649" s="77" t="str">
        <f aca="false">IFERROR(VLOOKUP(E:E,'Item Data Support Sheet'!A:O,7,0),"")</f>
        <v>NIPPLE PUNCH INSPECTED</v>
      </c>
      <c r="E649" s="80" t="s">
        <v>688</v>
      </c>
      <c r="F649" s="122"/>
      <c r="G649" s="137"/>
      <c r="H649" s="79" t="str">
        <f aca="false">IFERROR(VLOOKUP(E:E,'Item Data Support Sheet'!A:O,2,0),"")</f>
        <v>NIPPLE S TYPE L SIZE PUNCHED INSPECTED</v>
      </c>
      <c r="I649" s="80" t="s">
        <v>1297</v>
      </c>
      <c r="J649" s="80" t="s">
        <v>155</v>
      </c>
      <c r="K649" s="81" t="n">
        <v>7</v>
      </c>
      <c r="L649" s="124" t="n">
        <v>12409</v>
      </c>
      <c r="M649" s="83" t="n">
        <f aca="false">IFERROR(L649/K649,0)</f>
        <v>1772.71428571429</v>
      </c>
      <c r="N649" s="84" t="n">
        <f aca="false">+O649+Q649+T649+U649</f>
        <v>11288</v>
      </c>
      <c r="O649" s="85" t="n">
        <v>11254</v>
      </c>
      <c r="P649" s="86" t="n">
        <v>0</v>
      </c>
      <c r="Q649" s="86" t="n">
        <v>0</v>
      </c>
      <c r="R649" s="132" t="n">
        <v>0</v>
      </c>
      <c r="S649" s="128" t="n">
        <v>0</v>
      </c>
      <c r="T649" s="132" t="n">
        <v>34</v>
      </c>
      <c r="U649" s="128" t="n">
        <v>0</v>
      </c>
      <c r="V649" s="128" t="n">
        <v>1</v>
      </c>
      <c r="W649" s="90" t="n">
        <f aca="false">IFERROR(O649/V649,0)</f>
        <v>11254</v>
      </c>
      <c r="X649" s="91" t="n">
        <f aca="false">O649/L649</f>
        <v>0.906922395035861</v>
      </c>
      <c r="Y649" s="92" t="str">
        <f aca="false">IFERROR(VLOOKUP(E:E,'Item Data Support Sheet'!A:J,6,0),0)</f>
        <v>FO106</v>
      </c>
      <c r="Z649" s="93" t="n">
        <f aca="false">IFERROR(VLOOKUP(E:E,'Item Data Support Sheet'!A:O,4,0),0)</f>
        <v>0</v>
      </c>
      <c r="AA649" s="93" t="n">
        <f aca="false">IFERROR(((N649)*(Z649/1000))+P649,0)</f>
        <v>0</v>
      </c>
      <c r="AB649" s="94" t="str">
        <f aca="false">IFERROR((O649*(Z649/1000)/(AA649))," ")</f>
        <v> </v>
      </c>
      <c r="AC649" s="95" t="n">
        <f aca="false">IFERROR((T649)/((T649)+O649),0)</f>
        <v>0.00301204819277108</v>
      </c>
      <c r="AD649" s="96" t="n">
        <f aca="false">IFERROR(Q649/(Q649+N649),0)</f>
        <v>0</v>
      </c>
      <c r="AE649" s="91" t="n">
        <f aca="false">(N649-T649)/N649</f>
        <v>0.996987951807229</v>
      </c>
      <c r="AF649" s="97" t="n">
        <f aca="false">BR649</f>
        <v>0.833333333333333</v>
      </c>
      <c r="AG649" s="98" t="n">
        <f aca="false">K649-AF649</f>
        <v>6.16666666666667</v>
      </c>
      <c r="AH649" s="99" t="n">
        <f aca="false">IFERROR(AG649/K649," ")</f>
        <v>0.880952380952381</v>
      </c>
      <c r="AI649" s="100" t="n">
        <f aca="false">IFERROR(O649/K649,0)</f>
        <v>1607.71428571429</v>
      </c>
      <c r="AJ649" s="101" t="n">
        <f aca="false">VLOOKUP(D649,'Standard Cycle time'!C:D,2,0)</f>
        <v>4</v>
      </c>
      <c r="AK649" s="101" t="n">
        <f aca="false">AG649*V649*3600/O649</f>
        <v>1.97263195308335</v>
      </c>
      <c r="AL649" s="102" t="n">
        <f aca="false">AJ649/AK649</f>
        <v>2.02774774774775</v>
      </c>
      <c r="AM649" s="99" t="n">
        <f aca="false">AE649*AL649*AH649</f>
        <v>1.78096863645056</v>
      </c>
      <c r="AN649" s="103" t="s">
        <v>1298</v>
      </c>
      <c r="AO649" s="112"/>
      <c r="AP649" s="105" t="n">
        <v>50</v>
      </c>
      <c r="AQ649" s="105" t="n">
        <v>0</v>
      </c>
      <c r="AR649" s="105" t="n">
        <v>0</v>
      </c>
      <c r="AS649" s="105" t="n">
        <v>0</v>
      </c>
      <c r="AT649" s="105" t="n">
        <v>0</v>
      </c>
      <c r="AU649" s="105" t="n">
        <v>0</v>
      </c>
      <c r="AV649" s="105" t="n">
        <v>0</v>
      </c>
      <c r="AW649" s="105" t="n">
        <v>0</v>
      </c>
      <c r="AX649" s="105" t="n">
        <v>0</v>
      </c>
      <c r="AY649" s="105" t="n">
        <v>0</v>
      </c>
      <c r="AZ649" s="105" t="n">
        <v>0</v>
      </c>
      <c r="BA649" s="105" t="n">
        <v>0</v>
      </c>
      <c r="BB649" s="105" t="n">
        <v>0</v>
      </c>
      <c r="BC649" s="105" t="n">
        <v>0</v>
      </c>
      <c r="BD649" s="105" t="n">
        <v>0</v>
      </c>
      <c r="BE649" s="105" t="n">
        <v>0</v>
      </c>
      <c r="BF649" s="105" t="n">
        <v>0</v>
      </c>
      <c r="BG649" s="105" t="n">
        <v>0</v>
      </c>
      <c r="BH649" s="105" t="n">
        <v>0</v>
      </c>
      <c r="BI649" s="105" t="n">
        <v>0</v>
      </c>
      <c r="BJ649" s="105" t="n">
        <v>0</v>
      </c>
      <c r="BK649" s="105" t="n">
        <v>0</v>
      </c>
      <c r="BL649" s="105" t="n">
        <v>0</v>
      </c>
      <c r="BM649" s="105" t="n">
        <v>0</v>
      </c>
      <c r="BN649" s="105" t="n">
        <v>0</v>
      </c>
      <c r="BO649" s="105" t="n">
        <v>0</v>
      </c>
      <c r="BP649" s="105" t="n">
        <v>0</v>
      </c>
      <c r="BQ649" s="105" t="n">
        <v>0</v>
      </c>
      <c r="BR649" s="106" t="n">
        <v>0.833333333333333</v>
      </c>
      <c r="BS649" s="106" t="n">
        <v>0.847222222222222</v>
      </c>
      <c r="BT649" s="107"/>
      <c r="BU649" s="107"/>
      <c r="BV649" s="107"/>
      <c r="BW649" s="107"/>
      <c r="BX649" s="107"/>
      <c r="BY649" s="107"/>
      <c r="BZ649" s="107"/>
      <c r="CA649" s="107"/>
      <c r="CB649" s="107"/>
      <c r="CC649" s="107"/>
      <c r="CD649" s="107"/>
      <c r="CE649" s="107"/>
      <c r="CF649" s="107"/>
      <c r="CG649" s="107"/>
      <c r="CH649" s="107"/>
      <c r="CI649" s="107"/>
      <c r="CJ649" s="107"/>
      <c r="CK649" s="107"/>
      <c r="CL649" s="107"/>
      <c r="CM649" s="107"/>
      <c r="CN649" s="107"/>
      <c r="CO649" s="107"/>
      <c r="CP649" s="107"/>
      <c r="CQ649" s="107"/>
      <c r="CR649" s="107"/>
      <c r="CS649" s="107"/>
      <c r="CT649" s="107"/>
      <c r="CU649" s="107"/>
      <c r="CV649" s="107"/>
    </row>
    <row r="650" customFormat="false" ht="14.9" hidden="false" customHeight="false" outlineLevel="0" collapsed="false">
      <c r="A650" s="74" t="n">
        <f aca="false">MONTH(B650)</f>
        <v>9</v>
      </c>
      <c r="B650" s="135" t="n">
        <v>44462</v>
      </c>
      <c r="C650" s="128" t="s">
        <v>63</v>
      </c>
      <c r="D650" s="77" t="str">
        <f aca="false">IFERROR(VLOOKUP(E:E,'Item Data Support Sheet'!A:O,7,0),"")</f>
        <v>NIPPLE PUNCH INSPECTED</v>
      </c>
      <c r="E650" s="80" t="s">
        <v>901</v>
      </c>
      <c r="F650" s="122"/>
      <c r="G650" s="137"/>
      <c r="H650" s="79" t="str">
        <f aca="false">IFERROR(VLOOKUP(E:E,'Item Data Support Sheet'!A:O,2,0),"")</f>
        <v>NIPPLE S TYPE Y SIZE PUNCHED INSPECTED</v>
      </c>
      <c r="I650" s="80" t="s">
        <v>1299</v>
      </c>
      <c r="J650" s="80" t="s">
        <v>155</v>
      </c>
      <c r="K650" s="81" t="n">
        <v>1</v>
      </c>
      <c r="L650" s="124" t="n">
        <v>1773</v>
      </c>
      <c r="M650" s="83" t="n">
        <f aca="false">IFERROR(L650/K650,0)</f>
        <v>1773</v>
      </c>
      <c r="N650" s="84" t="n">
        <f aca="false">+O650+Q650+T650+U650</f>
        <v>2000</v>
      </c>
      <c r="O650" s="85" t="n">
        <v>1983</v>
      </c>
      <c r="P650" s="86" t="n">
        <v>0</v>
      </c>
      <c r="Q650" s="86" t="n">
        <v>0</v>
      </c>
      <c r="R650" s="132" t="n">
        <v>0</v>
      </c>
      <c r="S650" s="128" t="n">
        <v>0</v>
      </c>
      <c r="T650" s="132" t="n">
        <v>17</v>
      </c>
      <c r="U650" s="128" t="n">
        <v>0</v>
      </c>
      <c r="V650" s="128" t="n">
        <v>1</v>
      </c>
      <c r="W650" s="90" t="n">
        <f aca="false">IFERROR(O650/V650,0)</f>
        <v>1983</v>
      </c>
      <c r="X650" s="91" t="n">
        <f aca="false">O650/L650</f>
        <v>1.11844331641286</v>
      </c>
      <c r="Y650" s="92" t="str">
        <f aca="false">IFERROR(VLOOKUP(E:E,'Item Data Support Sheet'!A:J,6,0),0)</f>
        <v>FO107</v>
      </c>
      <c r="Z650" s="93" t="n">
        <f aca="false">IFERROR(VLOOKUP(E:E,'Item Data Support Sheet'!A:O,4,0),0)</f>
        <v>0</v>
      </c>
      <c r="AA650" s="93" t="n">
        <f aca="false">IFERROR(((N650)*(Z650/1000))+P650,0)</f>
        <v>0</v>
      </c>
      <c r="AB650" s="94" t="str">
        <f aca="false">IFERROR((O650*(Z650/1000)/(AA650))," ")</f>
        <v> </v>
      </c>
      <c r="AC650" s="95" t="n">
        <f aca="false">IFERROR((T650)/((T650)+O650),0)</f>
        <v>0.0085</v>
      </c>
      <c r="AD650" s="96" t="n">
        <f aca="false">IFERROR(Q650/(Q650+N650),0)</f>
        <v>0</v>
      </c>
      <c r="AE650" s="91" t="n">
        <f aca="false">(N650-T650)/N650</f>
        <v>0.9915</v>
      </c>
      <c r="AF650" s="97" t="n">
        <f aca="false">BR650</f>
        <v>0</v>
      </c>
      <c r="AG650" s="98" t="n">
        <f aca="false">K650-AF650</f>
        <v>1</v>
      </c>
      <c r="AH650" s="99" t="n">
        <f aca="false">IFERROR(AG650/K650," ")</f>
        <v>1</v>
      </c>
      <c r="AI650" s="100" t="n">
        <f aca="false">IFERROR(O650/K650,0)</f>
        <v>1983</v>
      </c>
      <c r="AJ650" s="101" t="n">
        <f aca="false">VLOOKUP(D650,'Standard Cycle time'!C:D,2,0)</f>
        <v>4</v>
      </c>
      <c r="AK650" s="101" t="n">
        <f aca="false">AG650*V650*3600/O650</f>
        <v>1.81543116490166</v>
      </c>
      <c r="AL650" s="102" t="n">
        <f aca="false">AJ650/AK650</f>
        <v>2.20333333333333</v>
      </c>
      <c r="AM650" s="99" t="n">
        <f aca="false">AE650*AL650*AH650</f>
        <v>2.184605</v>
      </c>
      <c r="AN650" s="103" t="n">
        <v>3524</v>
      </c>
      <c r="AO650" s="112"/>
      <c r="AP650" s="105" t="n">
        <v>0</v>
      </c>
      <c r="AQ650" s="105" t="n">
        <v>0</v>
      </c>
      <c r="AR650" s="105" t="n">
        <v>0</v>
      </c>
      <c r="AS650" s="105" t="n">
        <v>0</v>
      </c>
      <c r="AT650" s="105" t="n">
        <v>0</v>
      </c>
      <c r="AU650" s="105" t="n">
        <v>0</v>
      </c>
      <c r="AV650" s="105" t="n">
        <v>0</v>
      </c>
      <c r="AW650" s="105" t="n">
        <v>0</v>
      </c>
      <c r="AX650" s="105" t="n">
        <v>0</v>
      </c>
      <c r="AY650" s="105" t="n">
        <v>0</v>
      </c>
      <c r="AZ650" s="105" t="n">
        <v>0</v>
      </c>
      <c r="BA650" s="105" t="n">
        <v>0</v>
      </c>
      <c r="BB650" s="105" t="n">
        <v>0</v>
      </c>
      <c r="BC650" s="105" t="n">
        <v>0</v>
      </c>
      <c r="BD650" s="105" t="n">
        <v>0</v>
      </c>
      <c r="BE650" s="105" t="n">
        <v>0</v>
      </c>
      <c r="BF650" s="105" t="n">
        <v>0</v>
      </c>
      <c r="BG650" s="105" t="n">
        <v>0</v>
      </c>
      <c r="BH650" s="105" t="n">
        <v>0</v>
      </c>
      <c r="BI650" s="105" t="n">
        <v>0</v>
      </c>
      <c r="BJ650" s="105" t="n">
        <v>0</v>
      </c>
      <c r="BK650" s="105" t="n">
        <v>0</v>
      </c>
      <c r="BL650" s="105" t="n">
        <v>0</v>
      </c>
      <c r="BM650" s="105" t="n">
        <v>0</v>
      </c>
      <c r="BN650" s="105" t="n">
        <v>0</v>
      </c>
      <c r="BO650" s="105" t="n">
        <v>0</v>
      </c>
      <c r="BP650" s="105" t="n">
        <v>0</v>
      </c>
      <c r="BQ650" s="105" t="n">
        <v>0</v>
      </c>
      <c r="BR650" s="106" t="n">
        <v>0</v>
      </c>
      <c r="BS650" s="106" t="n">
        <v>0</v>
      </c>
      <c r="BT650" s="107"/>
      <c r="BU650" s="107"/>
      <c r="BV650" s="107"/>
      <c r="BW650" s="107"/>
      <c r="BX650" s="107"/>
      <c r="BY650" s="107"/>
      <c r="BZ650" s="107"/>
      <c r="CA650" s="107"/>
      <c r="CB650" s="107"/>
      <c r="CC650" s="107"/>
      <c r="CD650" s="107"/>
      <c r="CE650" s="107"/>
      <c r="CF650" s="107"/>
      <c r="CG650" s="107"/>
      <c r="CH650" s="107"/>
      <c r="CI650" s="107"/>
      <c r="CJ650" s="107"/>
      <c r="CK650" s="107"/>
      <c r="CL650" s="107"/>
      <c r="CM650" s="107"/>
      <c r="CN650" s="107"/>
      <c r="CO650" s="107"/>
      <c r="CP650" s="107"/>
      <c r="CQ650" s="107"/>
      <c r="CR650" s="107"/>
      <c r="CS650" s="107"/>
      <c r="CT650" s="107"/>
      <c r="CU650" s="107"/>
      <c r="CV650" s="107"/>
    </row>
    <row r="651" customFormat="false" ht="14.9" hidden="false" customHeight="false" outlineLevel="0" collapsed="false">
      <c r="A651" s="74" t="n">
        <f aca="false">MONTH(B651)</f>
        <v>9</v>
      </c>
      <c r="B651" s="135" t="n">
        <v>44462</v>
      </c>
      <c r="C651" s="128" t="s">
        <v>70</v>
      </c>
      <c r="D651" s="77" t="str">
        <f aca="false">IFERROR(VLOOKUP(E:E,'Item Data Support Sheet'!A:O,7,0),"")</f>
        <v>NIPPLE PUNCH</v>
      </c>
      <c r="E651" s="80" t="s">
        <v>53</v>
      </c>
      <c r="F651" s="122"/>
      <c r="G651" s="137"/>
      <c r="H651" s="79" t="str">
        <f aca="false">IFERROR(VLOOKUP(E:E,'Item Data Support Sheet'!A:O,2,0),"")</f>
        <v>NIPPLE S TYPE S SIZE PUNCHED</v>
      </c>
      <c r="I651" s="80" t="s">
        <v>1300</v>
      </c>
      <c r="J651" s="80" t="s">
        <v>155</v>
      </c>
      <c r="K651" s="81" t="n">
        <v>8</v>
      </c>
      <c r="L651" s="124" t="n">
        <v>7000</v>
      </c>
      <c r="M651" s="83" t="n">
        <f aca="false">IFERROR(L651/K651,0)</f>
        <v>875</v>
      </c>
      <c r="N651" s="84" t="n">
        <f aca="false">+O651+Q651+T651+U651</f>
        <v>6300</v>
      </c>
      <c r="O651" s="85" t="n">
        <v>6300</v>
      </c>
      <c r="P651" s="86" t="n">
        <v>0</v>
      </c>
      <c r="Q651" s="86" t="n">
        <v>0</v>
      </c>
      <c r="R651" s="132" t="n">
        <v>0</v>
      </c>
      <c r="S651" s="128" t="n">
        <v>0</v>
      </c>
      <c r="T651" s="132" t="n">
        <v>0</v>
      </c>
      <c r="U651" s="128" t="n">
        <v>0</v>
      </c>
      <c r="V651" s="128" t="n">
        <v>1</v>
      </c>
      <c r="W651" s="90" t="n">
        <f aca="false">IFERROR(O651/V651,0)</f>
        <v>6300</v>
      </c>
      <c r="X651" s="91" t="n">
        <f aca="false">O651/L651</f>
        <v>0.9</v>
      </c>
      <c r="Y651" s="92" t="str">
        <f aca="false">IFERROR(VLOOKUP(E:E,'Item Data Support Sheet'!A:J,6,0),0)</f>
        <v>FO015</v>
      </c>
      <c r="Z651" s="93" t="n">
        <f aca="false">IFERROR(VLOOKUP(E:E,'Item Data Support Sheet'!A:O,4,0),0)</f>
        <v>0</v>
      </c>
      <c r="AA651" s="93" t="n">
        <f aca="false">IFERROR(((N651)*(Z651/1000))+P651,0)</f>
        <v>0</v>
      </c>
      <c r="AB651" s="94" t="str">
        <f aca="false">IFERROR((O651*(Z651/1000)/(AA651))," ")</f>
        <v> </v>
      </c>
      <c r="AC651" s="95" t="n">
        <f aca="false">IFERROR((T651)/((T651)+O651),0)</f>
        <v>0</v>
      </c>
      <c r="AD651" s="96" t="n">
        <f aca="false">IFERROR(Q651/(Q651+N651),0)</f>
        <v>0</v>
      </c>
      <c r="AE651" s="91" t="n">
        <f aca="false">(N651-T651)/N651</f>
        <v>1</v>
      </c>
      <c r="AF651" s="97" t="n">
        <f aca="false">BR651</f>
        <v>0</v>
      </c>
      <c r="AG651" s="98" t="n">
        <f aca="false">K651-AF651</f>
        <v>8</v>
      </c>
      <c r="AH651" s="99" t="n">
        <f aca="false">IFERROR(AG651/K651," ")</f>
        <v>1</v>
      </c>
      <c r="AI651" s="100" t="n">
        <f aca="false">IFERROR(O651/K651,0)</f>
        <v>787.5</v>
      </c>
      <c r="AJ651" s="101" t="n">
        <f aca="false">VLOOKUP(D651,'Standard Cycle time'!C:D,2,0)</f>
        <v>3.5</v>
      </c>
      <c r="AK651" s="101" t="n">
        <f aca="false">AG651*V651*3600/O651</f>
        <v>4.57142857142857</v>
      </c>
      <c r="AL651" s="102" t="n">
        <f aca="false">AJ651/AK651</f>
        <v>0.765625</v>
      </c>
      <c r="AM651" s="99" t="n">
        <f aca="false">AE651*AL651*AH651</f>
        <v>0.765625</v>
      </c>
      <c r="AN651" s="103" t="s">
        <v>1301</v>
      </c>
      <c r="AO651" s="112"/>
      <c r="AP651" s="105" t="n">
        <v>0</v>
      </c>
      <c r="AQ651" s="105" t="n">
        <v>0</v>
      </c>
      <c r="AR651" s="105" t="n">
        <v>0</v>
      </c>
      <c r="AS651" s="105" t="n">
        <v>0</v>
      </c>
      <c r="AT651" s="105" t="n">
        <v>0</v>
      </c>
      <c r="AU651" s="105" t="n">
        <v>0</v>
      </c>
      <c r="AV651" s="105" t="n">
        <v>0</v>
      </c>
      <c r="AW651" s="105" t="n">
        <v>0</v>
      </c>
      <c r="AX651" s="105" t="n">
        <v>0</v>
      </c>
      <c r="AY651" s="105" t="n">
        <v>0</v>
      </c>
      <c r="AZ651" s="105" t="n">
        <v>0</v>
      </c>
      <c r="BA651" s="105" t="n">
        <v>0</v>
      </c>
      <c r="BB651" s="105" t="n">
        <v>0</v>
      </c>
      <c r="BC651" s="105" t="n">
        <v>0</v>
      </c>
      <c r="BD651" s="105" t="n">
        <v>0</v>
      </c>
      <c r="BE651" s="105" t="n">
        <v>0</v>
      </c>
      <c r="BF651" s="105" t="n">
        <v>0</v>
      </c>
      <c r="BG651" s="105" t="n">
        <v>0</v>
      </c>
      <c r="BH651" s="105" t="n">
        <v>0</v>
      </c>
      <c r="BI651" s="105" t="n">
        <v>0</v>
      </c>
      <c r="BJ651" s="105" t="n">
        <v>0</v>
      </c>
      <c r="BK651" s="105" t="n">
        <v>0</v>
      </c>
      <c r="BL651" s="105" t="n">
        <v>0</v>
      </c>
      <c r="BM651" s="105" t="n">
        <v>0</v>
      </c>
      <c r="BN651" s="105" t="n">
        <v>0</v>
      </c>
      <c r="BO651" s="105" t="n">
        <v>0</v>
      </c>
      <c r="BP651" s="105" t="n">
        <v>0</v>
      </c>
      <c r="BQ651" s="105" t="n">
        <v>0</v>
      </c>
      <c r="BR651" s="106" t="n">
        <v>0</v>
      </c>
      <c r="BS651" s="106" t="n">
        <v>0</v>
      </c>
      <c r="BT651" s="107"/>
      <c r="BU651" s="107"/>
      <c r="BV651" s="107"/>
      <c r="BW651" s="107"/>
      <c r="BX651" s="107"/>
      <c r="BY651" s="107"/>
      <c r="BZ651" s="107"/>
      <c r="CA651" s="107"/>
      <c r="CB651" s="107"/>
      <c r="CC651" s="107"/>
      <c r="CD651" s="107"/>
      <c r="CE651" s="107"/>
      <c r="CF651" s="107"/>
      <c r="CG651" s="107"/>
      <c r="CH651" s="107"/>
      <c r="CI651" s="107"/>
      <c r="CJ651" s="107"/>
      <c r="CK651" s="107"/>
      <c r="CL651" s="107"/>
      <c r="CM651" s="107"/>
      <c r="CN651" s="107"/>
      <c r="CO651" s="107"/>
      <c r="CP651" s="107"/>
      <c r="CQ651" s="107"/>
      <c r="CR651" s="107"/>
      <c r="CS651" s="107"/>
      <c r="CT651" s="107"/>
      <c r="CU651" s="107"/>
      <c r="CV651" s="107"/>
    </row>
    <row r="652" customFormat="false" ht="14.9" hidden="false" customHeight="false" outlineLevel="0" collapsed="false">
      <c r="A652" s="74" t="n">
        <f aca="false">MONTH(B652)</f>
        <v>9</v>
      </c>
      <c r="B652" s="135" t="n">
        <v>44462</v>
      </c>
      <c r="C652" s="128" t="s">
        <v>70</v>
      </c>
      <c r="D652" s="77" t="str">
        <f aca="false">IFERROR(VLOOKUP(E:E,'Item Data Support Sheet'!A:O,7,0),"")</f>
        <v>NIPPLE MOLDED</v>
      </c>
      <c r="E652" s="80" t="s">
        <v>244</v>
      </c>
      <c r="F652" s="122" t="s">
        <v>137</v>
      </c>
      <c r="G652" s="137" t="s">
        <v>138</v>
      </c>
      <c r="H652" s="79" t="str">
        <f aca="false">IFERROR(VLOOKUP(E:E,'Item Data Support Sheet'!A:O,2,0),"")</f>
        <v>NIPPLE S TYPE S SIZE INJECTION</v>
      </c>
      <c r="I652" s="80" t="s">
        <v>1302</v>
      </c>
      <c r="J652" s="80" t="s">
        <v>155</v>
      </c>
      <c r="K652" s="81" t="n">
        <v>8</v>
      </c>
      <c r="L652" s="124" t="n">
        <v>4815</v>
      </c>
      <c r="M652" s="83" t="n">
        <f aca="false">IFERROR(L652/K652,0)</f>
        <v>601.875</v>
      </c>
      <c r="N652" s="84" t="n">
        <f aca="false">+O652+Q652+T652+U652</f>
        <v>5486</v>
      </c>
      <c r="O652" s="85" t="n">
        <v>5400</v>
      </c>
      <c r="P652" s="86" t="n">
        <v>0</v>
      </c>
      <c r="Q652" s="86" t="n">
        <v>51</v>
      </c>
      <c r="R652" s="132" t="n">
        <v>0</v>
      </c>
      <c r="S652" s="128" t="n">
        <v>0</v>
      </c>
      <c r="T652" s="132" t="n">
        <v>35</v>
      </c>
      <c r="U652" s="128" t="n">
        <v>0</v>
      </c>
      <c r="V652" s="128" t="n">
        <v>1</v>
      </c>
      <c r="W652" s="90" t="n">
        <f aca="false">IFERROR(O652/V652,0)</f>
        <v>5400</v>
      </c>
      <c r="X652" s="91" t="n">
        <f aca="false">O652/L652</f>
        <v>1.1214953271028</v>
      </c>
      <c r="Y652" s="92" t="str">
        <f aca="false">IFERROR(VLOOKUP(E:E,'Item Data Support Sheet'!A:J,6,0),0)</f>
        <v>Silicon</v>
      </c>
      <c r="Z652" s="93" t="n">
        <f aca="false">IFERROR(VLOOKUP(E:E,'Item Data Support Sheet'!A:O,4,0),0)</f>
        <v>6.8</v>
      </c>
      <c r="AA652" s="93" t="n">
        <f aca="false">IFERROR(((N652)*(Z652/1000))+P652,0)</f>
        <v>37.3048</v>
      </c>
      <c r="AB652" s="94" t="n">
        <f aca="false">IFERROR((O652*(Z652/1000)/(AA652))," ")</f>
        <v>0.984323733138899</v>
      </c>
      <c r="AC652" s="95" t="n">
        <f aca="false">IFERROR((T652)/((T652)+O652),0)</f>
        <v>0.00643974241030359</v>
      </c>
      <c r="AD652" s="96" t="n">
        <f aca="false">IFERROR(Q652/(Q652+N652),0)</f>
        <v>0.00921076395159834</v>
      </c>
      <c r="AE652" s="91" t="n">
        <f aca="false">(N652-T652)/N652</f>
        <v>0.993620123951878</v>
      </c>
      <c r="AF652" s="97" t="n">
        <f aca="false">BR652</f>
        <v>0</v>
      </c>
      <c r="AG652" s="98" t="n">
        <f aca="false">K652-AF652</f>
        <v>8</v>
      </c>
      <c r="AH652" s="99" t="n">
        <f aca="false">IFERROR(AG652/K652," ")</f>
        <v>1</v>
      </c>
      <c r="AI652" s="100" t="n">
        <f aca="false">IFERROR(O652/K652,0)</f>
        <v>675</v>
      </c>
      <c r="AJ652" s="101" t="n">
        <f aca="false">VLOOKUP(D652,'Standard Cycle time'!C:D,2,0)</f>
        <v>5.25</v>
      </c>
      <c r="AK652" s="101" t="n">
        <f aca="false">AG652*V652*3600/O652</f>
        <v>5.33333333333333</v>
      </c>
      <c r="AL652" s="102" t="n">
        <f aca="false">AJ652/AK652</f>
        <v>0.984375</v>
      </c>
      <c r="AM652" s="99" t="n">
        <f aca="false">AE652*AL652*AH652</f>
        <v>0.978094809515129</v>
      </c>
      <c r="AN652" s="103" t="n">
        <v>3518</v>
      </c>
      <c r="AO652" s="112"/>
      <c r="AP652" s="105" t="n">
        <v>0</v>
      </c>
      <c r="AQ652" s="105" t="n">
        <v>0</v>
      </c>
      <c r="AR652" s="105" t="n">
        <v>0</v>
      </c>
      <c r="AS652" s="105" t="n">
        <v>0</v>
      </c>
      <c r="AT652" s="105" t="n">
        <v>0</v>
      </c>
      <c r="AU652" s="105" t="n">
        <v>0</v>
      </c>
      <c r="AV652" s="105" t="n">
        <v>0</v>
      </c>
      <c r="AW652" s="105" t="n">
        <v>0</v>
      </c>
      <c r="AX652" s="105" t="n">
        <v>0</v>
      </c>
      <c r="AY652" s="105" t="n">
        <v>0</v>
      </c>
      <c r="AZ652" s="105" t="n">
        <v>0</v>
      </c>
      <c r="BA652" s="105" t="n">
        <v>0</v>
      </c>
      <c r="BB652" s="105" t="n">
        <v>0</v>
      </c>
      <c r="BC652" s="105" t="n">
        <v>0</v>
      </c>
      <c r="BD652" s="105" t="n">
        <v>0</v>
      </c>
      <c r="BE652" s="105" t="n">
        <v>0</v>
      </c>
      <c r="BF652" s="105" t="n">
        <v>0</v>
      </c>
      <c r="BG652" s="105" t="n">
        <v>0</v>
      </c>
      <c r="BH652" s="105" t="n">
        <v>0</v>
      </c>
      <c r="BI652" s="105" t="n">
        <v>0</v>
      </c>
      <c r="BJ652" s="105" t="n">
        <v>0</v>
      </c>
      <c r="BK652" s="105" t="n">
        <v>0</v>
      </c>
      <c r="BL652" s="105" t="n">
        <v>0</v>
      </c>
      <c r="BM652" s="105" t="n">
        <v>0</v>
      </c>
      <c r="BN652" s="105" t="n">
        <v>0</v>
      </c>
      <c r="BO652" s="105" t="n">
        <v>0</v>
      </c>
      <c r="BP652" s="105" t="n">
        <v>0</v>
      </c>
      <c r="BQ652" s="105" t="n">
        <v>0</v>
      </c>
      <c r="BR652" s="106" t="n">
        <v>0</v>
      </c>
      <c r="BS652" s="106" t="n">
        <v>0</v>
      </c>
      <c r="BT652" s="107"/>
      <c r="BU652" s="107"/>
      <c r="BV652" s="107"/>
      <c r="BW652" s="107"/>
      <c r="BX652" s="107"/>
      <c r="BY652" s="107"/>
      <c r="BZ652" s="107"/>
      <c r="CA652" s="107"/>
      <c r="CB652" s="107"/>
      <c r="CC652" s="107"/>
      <c r="CD652" s="107"/>
      <c r="CE652" s="107"/>
      <c r="CF652" s="107"/>
      <c r="CG652" s="107"/>
      <c r="CH652" s="107"/>
      <c r="CI652" s="107"/>
      <c r="CJ652" s="107"/>
      <c r="CK652" s="107"/>
      <c r="CL652" s="107"/>
      <c r="CM652" s="107"/>
      <c r="CN652" s="107"/>
      <c r="CO652" s="107"/>
      <c r="CP652" s="107"/>
      <c r="CQ652" s="107"/>
      <c r="CR652" s="107"/>
      <c r="CS652" s="107"/>
      <c r="CT652" s="107"/>
      <c r="CU652" s="107"/>
      <c r="CV652" s="107"/>
    </row>
    <row r="653" customFormat="false" ht="14.9" hidden="false" customHeight="false" outlineLevel="0" collapsed="false">
      <c r="A653" s="74" t="n">
        <f aca="false">MONTH(B653)</f>
        <v>9</v>
      </c>
      <c r="B653" s="135" t="n">
        <v>44462</v>
      </c>
      <c r="C653" s="128" t="s">
        <v>70</v>
      </c>
      <c r="D653" s="77" t="str">
        <f aca="false">IFERROR(VLOOKUP(E:E,'Item Data Support Sheet'!A:O,7,0),"")</f>
        <v>CAP MOLDED</v>
      </c>
      <c r="E653" s="80" t="s">
        <v>261</v>
      </c>
      <c r="F653" s="122"/>
      <c r="G653" s="137" t="s">
        <v>1215</v>
      </c>
      <c r="H653" s="79" t="str">
        <f aca="false">IFERROR(VLOOKUP(E:E,'Item Data Support Sheet'!A:O,2,0),"")</f>
        <v>CAP S TYPE MOLDED PINK</v>
      </c>
      <c r="I653" s="80" t="s">
        <v>1303</v>
      </c>
      <c r="J653" s="80" t="s">
        <v>155</v>
      </c>
      <c r="K653" s="81" t="n">
        <v>6</v>
      </c>
      <c r="L653" s="124" t="n">
        <v>3108</v>
      </c>
      <c r="M653" s="83" t="n">
        <f aca="false">IFERROR(L653/K653,0)</f>
        <v>518</v>
      </c>
      <c r="N653" s="84" t="n">
        <f aca="false">+O653+Q653+T653+U653</f>
        <v>3334</v>
      </c>
      <c r="O653" s="85" t="n">
        <v>3334</v>
      </c>
      <c r="P653" s="86" t="n">
        <v>0</v>
      </c>
      <c r="Q653" s="86" t="n">
        <v>0</v>
      </c>
      <c r="R653" s="132" t="n">
        <v>0</v>
      </c>
      <c r="S653" s="128" t="n">
        <v>0</v>
      </c>
      <c r="T653" s="132" t="n">
        <v>0</v>
      </c>
      <c r="U653" s="128" t="n">
        <v>0</v>
      </c>
      <c r="V653" s="128" t="n">
        <v>1</v>
      </c>
      <c r="W653" s="90" t="n">
        <f aca="false">IFERROR(O653/V653,0)</f>
        <v>3334</v>
      </c>
      <c r="X653" s="91" t="n">
        <f aca="false">O653/L653</f>
        <v>1.07271557271557</v>
      </c>
      <c r="Y653" s="92" t="str">
        <f aca="false">IFERROR(VLOOKUP(E:E,'Item Data Support Sheet'!A:J,6,0),0)</f>
        <v>RM000123</v>
      </c>
      <c r="Z653" s="93" t="n">
        <f aca="false">IFERROR(VLOOKUP(E:E,'Item Data Support Sheet'!A:O,4,0),0)</f>
        <v>7.3</v>
      </c>
      <c r="AA653" s="93" t="n">
        <f aca="false">IFERROR(((N653)*(Z653/1000))+P653,0)</f>
        <v>24.3382</v>
      </c>
      <c r="AB653" s="94" t="n">
        <f aca="false">IFERROR((O653*(Z653/1000)/(AA653))," ")</f>
        <v>1</v>
      </c>
      <c r="AC653" s="95" t="n">
        <f aca="false">IFERROR((T653)/((T653)+O653),0)</f>
        <v>0</v>
      </c>
      <c r="AD653" s="96" t="n">
        <f aca="false">IFERROR(Q653/(Q653+N653),0)</f>
        <v>0</v>
      </c>
      <c r="AE653" s="91" t="n">
        <f aca="false">(N653-T653)/N653</f>
        <v>1</v>
      </c>
      <c r="AF653" s="97" t="n">
        <f aca="false">BR653</f>
        <v>0</v>
      </c>
      <c r="AG653" s="98" t="n">
        <f aca="false">K653-AF653</f>
        <v>6</v>
      </c>
      <c r="AH653" s="99" t="n">
        <f aca="false">IFERROR(AG653/K653," ")</f>
        <v>1</v>
      </c>
      <c r="AI653" s="100" t="n">
        <f aca="false">IFERROR(O653/K653,0)</f>
        <v>555.666666666667</v>
      </c>
      <c r="AJ653" s="101" t="n">
        <f aca="false">VLOOKUP(D653,'Standard Cycle time'!C:D,2,0)</f>
        <v>6</v>
      </c>
      <c r="AK653" s="101" t="n">
        <f aca="false">AG653*V653*3600/O653</f>
        <v>6.47870425914817</v>
      </c>
      <c r="AL653" s="102" t="n">
        <f aca="false">AJ653/AK653</f>
        <v>0.926111111111111</v>
      </c>
      <c r="AM653" s="99" t="n">
        <f aca="false">AE653*AL653*AH653</f>
        <v>0.926111111111111</v>
      </c>
      <c r="AN653" s="103" t="n">
        <v>3580</v>
      </c>
      <c r="AO653" s="112" t="s">
        <v>1304</v>
      </c>
      <c r="AP653" s="105" t="n">
        <v>0</v>
      </c>
      <c r="AQ653" s="105" t="n">
        <v>0</v>
      </c>
      <c r="AR653" s="105" t="n">
        <v>0</v>
      </c>
      <c r="AS653" s="105" t="n">
        <v>0</v>
      </c>
      <c r="AT653" s="105" t="n">
        <v>0</v>
      </c>
      <c r="AU653" s="105" t="n">
        <v>0</v>
      </c>
      <c r="AV653" s="105" t="n">
        <v>0</v>
      </c>
      <c r="AW653" s="105" t="n">
        <v>0</v>
      </c>
      <c r="AX653" s="105" t="n">
        <v>0</v>
      </c>
      <c r="AY653" s="105" t="n">
        <v>0</v>
      </c>
      <c r="AZ653" s="105" t="n">
        <v>0</v>
      </c>
      <c r="BA653" s="105" t="n">
        <v>0</v>
      </c>
      <c r="BB653" s="105" t="n">
        <v>0</v>
      </c>
      <c r="BC653" s="105" t="n">
        <v>0</v>
      </c>
      <c r="BD653" s="105" t="n">
        <v>0</v>
      </c>
      <c r="BE653" s="105" t="n">
        <v>0</v>
      </c>
      <c r="BF653" s="105" t="n">
        <v>0</v>
      </c>
      <c r="BG653" s="105" t="n">
        <v>0</v>
      </c>
      <c r="BH653" s="105" t="n">
        <v>0</v>
      </c>
      <c r="BI653" s="105" t="n">
        <v>0</v>
      </c>
      <c r="BJ653" s="105" t="n">
        <v>0</v>
      </c>
      <c r="BK653" s="105" t="n">
        <v>0</v>
      </c>
      <c r="BL653" s="105" t="n">
        <v>0</v>
      </c>
      <c r="BM653" s="105" t="n">
        <v>0</v>
      </c>
      <c r="BN653" s="105" t="n">
        <v>0</v>
      </c>
      <c r="BO653" s="105" t="n">
        <v>0</v>
      </c>
      <c r="BP653" s="105" t="n">
        <v>0</v>
      </c>
      <c r="BQ653" s="105" t="n">
        <v>0</v>
      </c>
      <c r="BR653" s="106" t="n">
        <v>0</v>
      </c>
      <c r="BS653" s="106" t="n">
        <v>0</v>
      </c>
      <c r="BT653" s="107"/>
      <c r="BU653" s="107"/>
      <c r="BV653" s="107"/>
      <c r="BW653" s="107"/>
      <c r="BX653" s="107"/>
      <c r="BY653" s="107"/>
      <c r="BZ653" s="107"/>
      <c r="CA653" s="107"/>
      <c r="CB653" s="107"/>
      <c r="CC653" s="107"/>
      <c r="CD653" s="107"/>
      <c r="CE653" s="107"/>
      <c r="CF653" s="107"/>
      <c r="CG653" s="107"/>
      <c r="CH653" s="107"/>
      <c r="CI653" s="107"/>
      <c r="CJ653" s="107"/>
      <c r="CK653" s="107"/>
      <c r="CL653" s="107"/>
      <c r="CM653" s="107"/>
      <c r="CN653" s="107"/>
      <c r="CO653" s="107"/>
      <c r="CP653" s="107"/>
      <c r="CQ653" s="107"/>
      <c r="CR653" s="107"/>
      <c r="CS653" s="107"/>
      <c r="CT653" s="107"/>
      <c r="CU653" s="107"/>
      <c r="CV653" s="107"/>
    </row>
    <row r="654" customFormat="false" ht="14.9" hidden="false" customHeight="false" outlineLevel="0" collapsed="false">
      <c r="A654" s="74" t="n">
        <f aca="false">MONTH(B654)</f>
        <v>9</v>
      </c>
      <c r="B654" s="135" t="n">
        <v>44462</v>
      </c>
      <c r="C654" s="128" t="s">
        <v>70</v>
      </c>
      <c r="D654" s="77" t="str">
        <f aca="false">IFERROR(VLOOKUP(E:E,'Item Data Support Sheet'!A:O,7,0),"")</f>
        <v>BOTTLE MOLDED</v>
      </c>
      <c r="E654" s="80" t="s">
        <v>357</v>
      </c>
      <c r="F654" s="122"/>
      <c r="G654" s="137" t="s">
        <v>74</v>
      </c>
      <c r="H654" s="79" t="str">
        <f aca="false">IFERROR(VLOOKUP(E:E,'Item Data Support Sheet'!A:O,2,0),"")</f>
        <v>KPP 120 ML BOTTLE MOLDED</v>
      </c>
      <c r="I654" s="80" t="s">
        <v>1305</v>
      </c>
      <c r="J654" s="80" t="s">
        <v>155</v>
      </c>
      <c r="K654" s="81" t="n">
        <v>8</v>
      </c>
      <c r="L654" s="124" t="n">
        <v>2574</v>
      </c>
      <c r="M654" s="83" t="n">
        <f aca="false">IFERROR(L654/K654,0)</f>
        <v>321.75</v>
      </c>
      <c r="N654" s="84" t="n">
        <f aca="false">+O654+Q654+T654+U654</f>
        <v>3109</v>
      </c>
      <c r="O654" s="85" t="n">
        <v>3060</v>
      </c>
      <c r="P654" s="86" t="n">
        <v>0.15</v>
      </c>
      <c r="Q654" s="86" t="n">
        <v>19</v>
      </c>
      <c r="R654" s="132" t="n">
        <v>0</v>
      </c>
      <c r="S654" s="128" t="n">
        <v>0</v>
      </c>
      <c r="T654" s="132" t="n">
        <v>30</v>
      </c>
      <c r="U654" s="128" t="n">
        <v>0</v>
      </c>
      <c r="V654" s="128" t="n">
        <v>1</v>
      </c>
      <c r="W654" s="90" t="n">
        <f aca="false">IFERROR(O654/V654,0)</f>
        <v>3060</v>
      </c>
      <c r="X654" s="91" t="n">
        <f aca="false">O654/L654</f>
        <v>1.18881118881119</v>
      </c>
      <c r="Y654" s="92" t="str">
        <f aca="false">IFERROR(VLOOKUP(E:E,'Item Data Support Sheet'!A:J,6,0),0)</f>
        <v>HMC</v>
      </c>
      <c r="Z654" s="93" t="n">
        <f aca="false">IFERROR(VLOOKUP(E:E,'Item Data Support Sheet'!A:O,4,0),0)</f>
        <v>21.3</v>
      </c>
      <c r="AA654" s="93" t="n">
        <f aca="false">IFERROR(((N654)*(Z654/1000))+P654,0)</f>
        <v>66.3717</v>
      </c>
      <c r="AB654" s="94" t="n">
        <f aca="false">IFERROR((O654*(Z654/1000)/(AA654))," ")</f>
        <v>0.982014925035821</v>
      </c>
      <c r="AC654" s="95" t="n">
        <f aca="false">IFERROR((T654)/((T654)+O654),0)</f>
        <v>0.00970873786407767</v>
      </c>
      <c r="AD654" s="96" t="n">
        <f aca="false">IFERROR(Q654/(Q654+N654),0)</f>
        <v>0.00607416879795396</v>
      </c>
      <c r="AE654" s="91" t="n">
        <f aca="false">(N654-T654)/N654</f>
        <v>0.990350595046639</v>
      </c>
      <c r="AF654" s="97" t="n">
        <f aca="false">BR654</f>
        <v>0</v>
      </c>
      <c r="AG654" s="98" t="n">
        <f aca="false">K654-AF654</f>
        <v>8</v>
      </c>
      <c r="AH654" s="99" t="n">
        <f aca="false">IFERROR(AG654/K654," ")</f>
        <v>1</v>
      </c>
      <c r="AI654" s="100" t="n">
        <f aca="false">IFERROR(O654/K654,0)</f>
        <v>382.5</v>
      </c>
      <c r="AJ654" s="101" t="n">
        <f aca="false">VLOOKUP(D654,'Standard Cycle time'!C:D,2,0)</f>
        <v>9</v>
      </c>
      <c r="AK654" s="101" t="n">
        <f aca="false">AG654*V654*3600/O654</f>
        <v>9.41176470588235</v>
      </c>
      <c r="AL654" s="102" t="n">
        <f aca="false">AJ654/AK654</f>
        <v>0.95625</v>
      </c>
      <c r="AM654" s="99" t="n">
        <f aca="false">AE654*AL654*AH654</f>
        <v>0.947022756513348</v>
      </c>
      <c r="AN654" s="103" t="n">
        <v>3521</v>
      </c>
      <c r="AO654" s="112"/>
      <c r="AP654" s="105" t="n">
        <v>0</v>
      </c>
      <c r="AQ654" s="105" t="n">
        <v>0</v>
      </c>
      <c r="AR654" s="105" t="n">
        <v>0</v>
      </c>
      <c r="AS654" s="105" t="n">
        <v>0</v>
      </c>
      <c r="AT654" s="105" t="n">
        <v>0</v>
      </c>
      <c r="AU654" s="105" t="n">
        <v>0</v>
      </c>
      <c r="AV654" s="105" t="n">
        <v>0</v>
      </c>
      <c r="AW654" s="105" t="n">
        <v>0</v>
      </c>
      <c r="AX654" s="105" t="n">
        <v>0</v>
      </c>
      <c r="AY654" s="105" t="n">
        <v>0</v>
      </c>
      <c r="AZ654" s="105" t="n">
        <v>0</v>
      </c>
      <c r="BA654" s="105" t="n">
        <v>0</v>
      </c>
      <c r="BB654" s="105" t="n">
        <v>0</v>
      </c>
      <c r="BC654" s="105" t="n">
        <v>0</v>
      </c>
      <c r="BD654" s="105" t="n">
        <v>0</v>
      </c>
      <c r="BE654" s="105" t="n">
        <v>0</v>
      </c>
      <c r="BF654" s="105" t="n">
        <v>0</v>
      </c>
      <c r="BG654" s="105" t="n">
        <v>0</v>
      </c>
      <c r="BH654" s="105" t="n">
        <v>0</v>
      </c>
      <c r="BI654" s="105" t="n">
        <v>0</v>
      </c>
      <c r="BJ654" s="105" t="n">
        <v>0</v>
      </c>
      <c r="BK654" s="105" t="n">
        <v>0</v>
      </c>
      <c r="BL654" s="105" t="n">
        <v>0</v>
      </c>
      <c r="BM654" s="105" t="n">
        <v>0</v>
      </c>
      <c r="BN654" s="105" t="n">
        <v>0</v>
      </c>
      <c r="BO654" s="105" t="n">
        <v>0</v>
      </c>
      <c r="BP654" s="105" t="n">
        <v>0</v>
      </c>
      <c r="BQ654" s="105" t="n">
        <v>0</v>
      </c>
      <c r="BR654" s="106" t="n">
        <v>0</v>
      </c>
      <c r="BS654" s="106" t="n">
        <v>0</v>
      </c>
      <c r="BT654" s="107"/>
      <c r="BU654" s="107"/>
      <c r="BV654" s="107"/>
      <c r="BW654" s="107"/>
      <c r="BX654" s="107"/>
      <c r="BY654" s="107"/>
      <c r="BZ654" s="107"/>
      <c r="CA654" s="107"/>
      <c r="CB654" s="107"/>
      <c r="CC654" s="107"/>
      <c r="CD654" s="107"/>
      <c r="CE654" s="107"/>
      <c r="CF654" s="107"/>
      <c r="CG654" s="107"/>
      <c r="CH654" s="107"/>
      <c r="CI654" s="107"/>
      <c r="CJ654" s="107"/>
      <c r="CK654" s="107"/>
      <c r="CL654" s="107"/>
      <c r="CM654" s="107"/>
      <c r="CN654" s="107"/>
      <c r="CO654" s="107"/>
      <c r="CP654" s="107"/>
      <c r="CQ654" s="107"/>
      <c r="CR654" s="107"/>
      <c r="CS654" s="107"/>
      <c r="CT654" s="107"/>
      <c r="CU654" s="107"/>
      <c r="CV654" s="107"/>
    </row>
    <row r="655" customFormat="false" ht="14.9" hidden="false" customHeight="false" outlineLevel="0" collapsed="false">
      <c r="A655" s="74" t="n">
        <f aca="false">MONTH(B655)</f>
        <v>9</v>
      </c>
      <c r="B655" s="135" t="n">
        <v>44462</v>
      </c>
      <c r="C655" s="128" t="s">
        <v>70</v>
      </c>
      <c r="D655" s="77" t="str">
        <f aca="false">IFERROR(VLOOKUP(E:E,'Item Data Support Sheet'!A:O,7,0),"")</f>
        <v>NIPPLE LASER MARKING</v>
      </c>
      <c r="E655" s="80" t="s">
        <v>885</v>
      </c>
      <c r="F655" s="122"/>
      <c r="G655" s="137"/>
      <c r="H655" s="79" t="str">
        <f aca="false">IFERROR(VLOOKUP(E:E,'Item Data Support Sheet'!A:O,2,0),"")</f>
        <v>NIPPLE S TYPE Y SIZE PUNCHED LASER MARKED</v>
      </c>
      <c r="I655" s="80" t="s">
        <v>1299</v>
      </c>
      <c r="J655" s="80" t="s">
        <v>155</v>
      </c>
      <c r="K655" s="81" t="n">
        <v>8</v>
      </c>
      <c r="L655" s="124" t="n">
        <v>7000</v>
      </c>
      <c r="M655" s="83" t="n">
        <f aca="false">IFERROR(L655/K655,0)</f>
        <v>875</v>
      </c>
      <c r="N655" s="84" t="n">
        <f aca="false">+O655+Q655+T655+U655</f>
        <v>6643</v>
      </c>
      <c r="O655" s="85" t="n">
        <v>6643</v>
      </c>
      <c r="P655" s="86" t="n">
        <v>0</v>
      </c>
      <c r="Q655" s="86" t="n">
        <v>0</v>
      </c>
      <c r="R655" s="132" t="n">
        <v>0</v>
      </c>
      <c r="S655" s="128" t="n">
        <v>0</v>
      </c>
      <c r="T655" s="132" t="n">
        <v>0</v>
      </c>
      <c r="U655" s="128" t="n">
        <v>0</v>
      </c>
      <c r="V655" s="128" t="n">
        <v>1</v>
      </c>
      <c r="W655" s="90" t="n">
        <f aca="false">IFERROR(O655/V655,0)</f>
        <v>6643</v>
      </c>
      <c r="X655" s="91" t="n">
        <f aca="false">O655/L655</f>
        <v>0.949</v>
      </c>
      <c r="Y655" s="92" t="str">
        <f aca="false">IFERROR(VLOOKUP(E:E,'Item Data Support Sheet'!A:J,6,0),0)</f>
        <v>FO022</v>
      </c>
      <c r="Z655" s="93" t="n">
        <f aca="false">IFERROR(VLOOKUP(E:E,'Item Data Support Sheet'!A:O,4,0),0)</f>
        <v>0</v>
      </c>
      <c r="AA655" s="93" t="n">
        <f aca="false">IFERROR(((N655)*(Z655/1000))+P655,0)</f>
        <v>0</v>
      </c>
      <c r="AB655" s="94" t="str">
        <f aca="false">IFERROR((O655*(Z655/1000)/(AA655))," ")</f>
        <v> </v>
      </c>
      <c r="AC655" s="95" t="n">
        <f aca="false">IFERROR((T655)/((T655)+O655),0)</f>
        <v>0</v>
      </c>
      <c r="AD655" s="96" t="n">
        <f aca="false">IFERROR(Q655/(Q655+N655),0)</f>
        <v>0</v>
      </c>
      <c r="AE655" s="91" t="n">
        <f aca="false">(N655-T655)/N655</f>
        <v>1</v>
      </c>
      <c r="AF655" s="97" t="n">
        <f aca="false">BR655</f>
        <v>0.666666666666667</v>
      </c>
      <c r="AG655" s="98" t="n">
        <f aca="false">K655-AF655</f>
        <v>7.33333333333333</v>
      </c>
      <c r="AH655" s="99" t="n">
        <f aca="false">IFERROR(AG655/K655," ")</f>
        <v>0.916666666666667</v>
      </c>
      <c r="AI655" s="100" t="n">
        <f aca="false">IFERROR(O655/K655,0)</f>
        <v>830.375</v>
      </c>
      <c r="AJ655" s="101" t="n">
        <f aca="false">VLOOKUP(D655,'Standard Cycle time'!C:D,2,0)</f>
        <v>3.5</v>
      </c>
      <c r="AK655" s="101" t="n">
        <f aca="false">AG655*V655*3600/O655</f>
        <v>3.97410808369712</v>
      </c>
      <c r="AL655" s="102" t="n">
        <f aca="false">AJ655/AK655</f>
        <v>0.880700757575757</v>
      </c>
      <c r="AM655" s="99" t="n">
        <f aca="false">AE655*AL655*AH655</f>
        <v>0.807309027777778</v>
      </c>
      <c r="AN655" s="103" t="s">
        <v>1306</v>
      </c>
      <c r="AO655" s="112"/>
      <c r="AP655" s="105" t="n">
        <v>40</v>
      </c>
      <c r="AQ655" s="105" t="n">
        <v>0</v>
      </c>
      <c r="AR655" s="105" t="n">
        <v>0</v>
      </c>
      <c r="AS655" s="105" t="n">
        <v>0</v>
      </c>
      <c r="AT655" s="105" t="n">
        <v>0</v>
      </c>
      <c r="AU655" s="105" t="n">
        <v>0</v>
      </c>
      <c r="AV655" s="105" t="n">
        <v>0</v>
      </c>
      <c r="AW655" s="105" t="n">
        <v>0</v>
      </c>
      <c r="AX655" s="105" t="n">
        <v>0</v>
      </c>
      <c r="AY655" s="105" t="n">
        <v>0</v>
      </c>
      <c r="AZ655" s="105" t="n">
        <v>0</v>
      </c>
      <c r="BA655" s="105" t="n">
        <v>0</v>
      </c>
      <c r="BB655" s="105" t="n">
        <v>0</v>
      </c>
      <c r="BC655" s="105" t="n">
        <v>0</v>
      </c>
      <c r="BD655" s="105" t="n">
        <v>0</v>
      </c>
      <c r="BE655" s="105" t="n">
        <v>0</v>
      </c>
      <c r="BF655" s="105" t="n">
        <v>0</v>
      </c>
      <c r="BG655" s="105" t="n">
        <v>0</v>
      </c>
      <c r="BH655" s="105" t="n">
        <v>0</v>
      </c>
      <c r="BI655" s="105" t="n">
        <v>0</v>
      </c>
      <c r="BJ655" s="105" t="n">
        <v>0</v>
      </c>
      <c r="BK655" s="105" t="n">
        <v>0</v>
      </c>
      <c r="BL655" s="105" t="n">
        <v>0</v>
      </c>
      <c r="BM655" s="105" t="n">
        <v>0</v>
      </c>
      <c r="BN655" s="105" t="n">
        <v>0</v>
      </c>
      <c r="BO655" s="105" t="n">
        <v>0</v>
      </c>
      <c r="BP655" s="105" t="n">
        <v>0</v>
      </c>
      <c r="BQ655" s="105" t="n">
        <v>0</v>
      </c>
      <c r="BR655" s="106" t="n">
        <v>0.666666666666667</v>
      </c>
      <c r="BS655" s="106" t="n">
        <v>0.677777777777778</v>
      </c>
      <c r="BT655" s="107"/>
      <c r="BU655" s="107"/>
      <c r="BV655" s="107"/>
      <c r="BW655" s="107"/>
      <c r="BX655" s="107"/>
      <c r="BY655" s="107"/>
      <c r="BZ655" s="107"/>
      <c r="CA655" s="107"/>
      <c r="CB655" s="107"/>
      <c r="CC655" s="107"/>
      <c r="CD655" s="107"/>
      <c r="CE655" s="107"/>
      <c r="CF655" s="107"/>
      <c r="CG655" s="107"/>
      <c r="CH655" s="107"/>
      <c r="CI655" s="107"/>
      <c r="CJ655" s="107"/>
      <c r="CK655" s="107"/>
      <c r="CL655" s="107"/>
      <c r="CM655" s="107"/>
      <c r="CN655" s="107"/>
      <c r="CO655" s="107"/>
      <c r="CP655" s="107"/>
      <c r="CQ655" s="107"/>
      <c r="CR655" s="107"/>
      <c r="CS655" s="107"/>
      <c r="CT655" s="107"/>
      <c r="CU655" s="107"/>
      <c r="CV655" s="107"/>
    </row>
    <row r="656" customFormat="false" ht="14.9" hidden="false" customHeight="false" outlineLevel="0" collapsed="false">
      <c r="A656" s="74" t="n">
        <f aca="false">MONTH(B656)</f>
        <v>9</v>
      </c>
      <c r="B656" s="135" t="n">
        <v>44462</v>
      </c>
      <c r="C656" s="128" t="s">
        <v>70</v>
      </c>
      <c r="D656" s="77" t="str">
        <f aca="false">IFERROR(VLOOKUP(E:E,'Item Data Support Sheet'!A:O,7,0),"")</f>
        <v>CAP MOLDED</v>
      </c>
      <c r="E656" s="80" t="s">
        <v>261</v>
      </c>
      <c r="F656" s="122"/>
      <c r="G656" s="137" t="s">
        <v>1211</v>
      </c>
      <c r="H656" s="79" t="str">
        <f aca="false">IFERROR(VLOOKUP(E:E,'Item Data Support Sheet'!A:O,2,0),"")</f>
        <v>CAP S TYPE MOLDED PINK</v>
      </c>
      <c r="I656" s="80" t="s">
        <v>1307</v>
      </c>
      <c r="J656" s="80" t="s">
        <v>155</v>
      </c>
      <c r="K656" s="81" t="n">
        <v>2</v>
      </c>
      <c r="L656" s="124" t="n">
        <v>1036</v>
      </c>
      <c r="M656" s="83" t="n">
        <f aca="false">IFERROR(L656/K656,0)</f>
        <v>518</v>
      </c>
      <c r="N656" s="84" t="n">
        <f aca="false">+O656+Q656+T656+U656</f>
        <v>1200</v>
      </c>
      <c r="O656" s="85" t="n">
        <v>1200</v>
      </c>
      <c r="P656" s="86" t="n">
        <v>0</v>
      </c>
      <c r="Q656" s="86" t="n">
        <v>0</v>
      </c>
      <c r="R656" s="132" t="n">
        <v>0</v>
      </c>
      <c r="S656" s="128" t="n">
        <v>0</v>
      </c>
      <c r="T656" s="132" t="n">
        <v>0</v>
      </c>
      <c r="U656" s="128" t="n">
        <v>0</v>
      </c>
      <c r="V656" s="128" t="n">
        <v>1</v>
      </c>
      <c r="W656" s="90" t="n">
        <f aca="false">IFERROR(O656/V656,0)</f>
        <v>1200</v>
      </c>
      <c r="X656" s="91" t="n">
        <f aca="false">O656/L656</f>
        <v>1.15830115830116</v>
      </c>
      <c r="Y656" s="92" t="str">
        <f aca="false">IFERROR(VLOOKUP(E:E,'Item Data Support Sheet'!A:J,6,0),0)</f>
        <v>RM000123</v>
      </c>
      <c r="Z656" s="93" t="n">
        <f aca="false">IFERROR(VLOOKUP(E:E,'Item Data Support Sheet'!A:O,4,0),0)</f>
        <v>7.3</v>
      </c>
      <c r="AA656" s="93" t="n">
        <f aca="false">IFERROR(((N656)*(Z656/1000))+P656,0)</f>
        <v>8.76</v>
      </c>
      <c r="AB656" s="94" t="n">
        <f aca="false">IFERROR((O656*(Z656/1000)/(AA656))," ")</f>
        <v>1</v>
      </c>
      <c r="AC656" s="95" t="n">
        <f aca="false">IFERROR((T656)/((T656)+O656),0)</f>
        <v>0</v>
      </c>
      <c r="AD656" s="96" t="n">
        <f aca="false">IFERROR(Q656/(Q656+N656),0)</f>
        <v>0</v>
      </c>
      <c r="AE656" s="91" t="n">
        <f aca="false">(N656-T656)/N656</f>
        <v>1</v>
      </c>
      <c r="AF656" s="97" t="n">
        <f aca="false">BR656</f>
        <v>0</v>
      </c>
      <c r="AG656" s="98" t="n">
        <f aca="false">K656-AF656</f>
        <v>2</v>
      </c>
      <c r="AH656" s="99" t="n">
        <f aca="false">IFERROR(AG656/K656," ")</f>
        <v>1</v>
      </c>
      <c r="AI656" s="100" t="n">
        <f aca="false">IFERROR(O656/K656,0)</f>
        <v>600</v>
      </c>
      <c r="AJ656" s="101" t="n">
        <f aca="false">VLOOKUP(D656,'Standard Cycle time'!C:D,2,0)</f>
        <v>6</v>
      </c>
      <c r="AK656" s="101" t="n">
        <f aca="false">AG656*V656*3600/O656</f>
        <v>6</v>
      </c>
      <c r="AL656" s="102" t="n">
        <f aca="false">AJ656/AK656</f>
        <v>1</v>
      </c>
      <c r="AM656" s="99" t="n">
        <f aca="false">AE656*AL656*AH656</f>
        <v>1</v>
      </c>
      <c r="AN656" s="103" t="n">
        <v>3581</v>
      </c>
      <c r="AO656" s="112"/>
      <c r="AP656" s="105" t="n">
        <v>0</v>
      </c>
      <c r="AQ656" s="105" t="n">
        <v>0</v>
      </c>
      <c r="AR656" s="105" t="n">
        <v>0</v>
      </c>
      <c r="AS656" s="105" t="n">
        <v>0</v>
      </c>
      <c r="AT656" s="105" t="n">
        <v>0</v>
      </c>
      <c r="AU656" s="105" t="n">
        <v>0</v>
      </c>
      <c r="AV656" s="105" t="n">
        <v>0</v>
      </c>
      <c r="AW656" s="105" t="n">
        <v>0</v>
      </c>
      <c r="AX656" s="105" t="n">
        <v>0</v>
      </c>
      <c r="AY656" s="105" t="n">
        <v>0</v>
      </c>
      <c r="AZ656" s="105" t="n">
        <v>0</v>
      </c>
      <c r="BA656" s="105" t="n">
        <v>0</v>
      </c>
      <c r="BB656" s="105" t="n">
        <v>0</v>
      </c>
      <c r="BC656" s="105" t="n">
        <v>0</v>
      </c>
      <c r="BD656" s="105" t="n">
        <v>0</v>
      </c>
      <c r="BE656" s="105" t="n">
        <v>0</v>
      </c>
      <c r="BF656" s="105" t="n">
        <v>0</v>
      </c>
      <c r="BG656" s="105" t="n">
        <v>0</v>
      </c>
      <c r="BH656" s="105" t="n">
        <v>0</v>
      </c>
      <c r="BI656" s="105" t="n">
        <v>0</v>
      </c>
      <c r="BJ656" s="105" t="n">
        <v>0</v>
      </c>
      <c r="BK656" s="105" t="n">
        <v>0</v>
      </c>
      <c r="BL656" s="105" t="n">
        <v>0</v>
      </c>
      <c r="BM656" s="105" t="n">
        <v>0</v>
      </c>
      <c r="BN656" s="105" t="n">
        <v>0</v>
      </c>
      <c r="BO656" s="105" t="n">
        <v>0</v>
      </c>
      <c r="BP656" s="105" t="n">
        <v>0</v>
      </c>
      <c r="BQ656" s="105" t="n">
        <v>0</v>
      </c>
      <c r="BR656" s="106" t="n">
        <v>0</v>
      </c>
      <c r="BS656" s="106" t="n">
        <v>0</v>
      </c>
      <c r="BT656" s="107"/>
      <c r="BU656" s="107"/>
      <c r="BV656" s="107"/>
      <c r="BW656" s="107"/>
      <c r="BX656" s="107"/>
      <c r="BY656" s="107"/>
      <c r="BZ656" s="107"/>
      <c r="CA656" s="107"/>
      <c r="CB656" s="107"/>
      <c r="CC656" s="107"/>
      <c r="CD656" s="107"/>
      <c r="CE656" s="107"/>
      <c r="CF656" s="107"/>
      <c r="CG656" s="107"/>
      <c r="CH656" s="107"/>
      <c r="CI656" s="107"/>
      <c r="CJ656" s="107"/>
      <c r="CK656" s="107"/>
      <c r="CL656" s="107"/>
      <c r="CM656" s="107"/>
      <c r="CN656" s="107"/>
      <c r="CO656" s="107"/>
      <c r="CP656" s="107"/>
      <c r="CQ656" s="107"/>
      <c r="CR656" s="107"/>
      <c r="CS656" s="107"/>
      <c r="CT656" s="107"/>
      <c r="CU656" s="107"/>
      <c r="CV656" s="107"/>
    </row>
    <row r="657" customFormat="false" ht="14.9" hidden="false" customHeight="false" outlineLevel="0" collapsed="false">
      <c r="A657" s="74" t="n">
        <f aca="false">MONTH(B657)</f>
        <v>9</v>
      </c>
      <c r="B657" s="135" t="n">
        <v>44462</v>
      </c>
      <c r="C657" s="128" t="s">
        <v>152</v>
      </c>
      <c r="D657" s="77" t="str">
        <f aca="false">IFERROR(VLOOKUP(E:E,'Item Data Support Sheet'!A:O,7,0),"")</f>
        <v>CAP MOLDED</v>
      </c>
      <c r="E657" s="80" t="s">
        <v>261</v>
      </c>
      <c r="F657" s="122"/>
      <c r="G657" s="137" t="s">
        <v>1211</v>
      </c>
      <c r="H657" s="79" t="str">
        <f aca="false">IFERROR(VLOOKUP(E:E,'Item Data Support Sheet'!A:O,2,0),"")</f>
        <v>CAP S TYPE MOLDED PINK</v>
      </c>
      <c r="I657" s="80" t="s">
        <v>1308</v>
      </c>
      <c r="J657" s="80" t="s">
        <v>815</v>
      </c>
      <c r="K657" s="81" t="n">
        <v>4</v>
      </c>
      <c r="L657" s="124" t="n">
        <v>2000</v>
      </c>
      <c r="M657" s="83" t="n">
        <f aca="false">IFERROR(L657/K657,0)</f>
        <v>500</v>
      </c>
      <c r="N657" s="84" t="n">
        <f aca="false">+O657+Q657+T657+U657</f>
        <v>2000</v>
      </c>
      <c r="O657" s="85" t="n">
        <v>2000</v>
      </c>
      <c r="P657" s="86" t="n">
        <v>0</v>
      </c>
      <c r="Q657" s="86" t="n">
        <v>0</v>
      </c>
      <c r="R657" s="132" t="n">
        <v>0</v>
      </c>
      <c r="S657" s="128" t="n">
        <v>0</v>
      </c>
      <c r="T657" s="132" t="n">
        <v>0</v>
      </c>
      <c r="U657" s="128" t="n">
        <v>0</v>
      </c>
      <c r="V657" s="128" t="n">
        <v>1</v>
      </c>
      <c r="W657" s="90" t="n">
        <f aca="false">IFERROR(O657/V657,0)</f>
        <v>2000</v>
      </c>
      <c r="X657" s="91" t="n">
        <f aca="false">O657/L657</f>
        <v>1</v>
      </c>
      <c r="Y657" s="92" t="str">
        <f aca="false">IFERROR(VLOOKUP(E:E,'Item Data Support Sheet'!A:J,6,0),0)</f>
        <v>RM000123</v>
      </c>
      <c r="Z657" s="93" t="n">
        <f aca="false">IFERROR(VLOOKUP(E:E,'Item Data Support Sheet'!A:O,4,0),0)</f>
        <v>7.3</v>
      </c>
      <c r="AA657" s="93" t="n">
        <f aca="false">IFERROR(((N657)*(Z657/1000))+P657,0)</f>
        <v>14.6</v>
      </c>
      <c r="AB657" s="94" t="n">
        <f aca="false">IFERROR((O657*(Z657/1000)/(AA657))," ")</f>
        <v>1</v>
      </c>
      <c r="AC657" s="95" t="n">
        <f aca="false">IFERROR((T657)/((T657)+O657),0)</f>
        <v>0</v>
      </c>
      <c r="AD657" s="96" t="n">
        <f aca="false">IFERROR(Q657/(Q657+N657),0)</f>
        <v>0</v>
      </c>
      <c r="AE657" s="91" t="n">
        <f aca="false">(N657-T657)/N657</f>
        <v>1</v>
      </c>
      <c r="AF657" s="97" t="n">
        <f aca="false">BR657</f>
        <v>0</v>
      </c>
      <c r="AG657" s="98" t="n">
        <f aca="false">K657-AF657</f>
        <v>4</v>
      </c>
      <c r="AH657" s="99" t="n">
        <f aca="false">IFERROR(AG657/K657," ")</f>
        <v>1</v>
      </c>
      <c r="AI657" s="100" t="n">
        <f aca="false">IFERROR(O657/K657,0)</f>
        <v>500</v>
      </c>
      <c r="AJ657" s="101" t="n">
        <f aca="false">VLOOKUP(D657,'Standard Cycle time'!C:D,2,0)</f>
        <v>6</v>
      </c>
      <c r="AK657" s="101" t="n">
        <f aca="false">AG657*V657*3600/O657</f>
        <v>7.2</v>
      </c>
      <c r="AL657" s="102" t="n">
        <f aca="false">AJ657/AK657</f>
        <v>0.833333333333333</v>
      </c>
      <c r="AM657" s="99" t="n">
        <f aca="false">AE657*AL657*AH657</f>
        <v>0.833333333333333</v>
      </c>
      <c r="AN657" s="103" t="n">
        <v>3582</v>
      </c>
      <c r="AO657" s="112"/>
      <c r="AP657" s="105" t="n">
        <v>0</v>
      </c>
      <c r="AQ657" s="105" t="n">
        <v>0</v>
      </c>
      <c r="AR657" s="105" t="n">
        <v>0</v>
      </c>
      <c r="AS657" s="105" t="n">
        <v>0</v>
      </c>
      <c r="AT657" s="105" t="n">
        <v>0</v>
      </c>
      <c r="AU657" s="105" t="n">
        <v>0</v>
      </c>
      <c r="AV657" s="105" t="n">
        <v>0</v>
      </c>
      <c r="AW657" s="105" t="n">
        <v>0</v>
      </c>
      <c r="AX657" s="105" t="n">
        <v>0</v>
      </c>
      <c r="AY657" s="105" t="n">
        <v>0</v>
      </c>
      <c r="AZ657" s="105" t="n">
        <v>0</v>
      </c>
      <c r="BA657" s="105" t="n">
        <v>0</v>
      </c>
      <c r="BB657" s="105" t="n">
        <v>0</v>
      </c>
      <c r="BC657" s="105" t="n">
        <v>0</v>
      </c>
      <c r="BD657" s="105" t="n">
        <v>0</v>
      </c>
      <c r="BE657" s="105" t="n">
        <v>0</v>
      </c>
      <c r="BF657" s="105" t="n">
        <v>0</v>
      </c>
      <c r="BG657" s="105" t="n">
        <v>0</v>
      </c>
      <c r="BH657" s="105" t="n">
        <v>0</v>
      </c>
      <c r="BI657" s="105" t="n">
        <v>0</v>
      </c>
      <c r="BJ657" s="105" t="n">
        <v>0</v>
      </c>
      <c r="BK657" s="105" t="n">
        <v>0</v>
      </c>
      <c r="BL657" s="105" t="n">
        <v>0</v>
      </c>
      <c r="BM657" s="105" t="n">
        <v>0</v>
      </c>
      <c r="BN657" s="105" t="n">
        <v>0</v>
      </c>
      <c r="BO657" s="105" t="n">
        <v>0</v>
      </c>
      <c r="BP657" s="105" t="n">
        <v>0</v>
      </c>
      <c r="BQ657" s="105" t="n">
        <v>0</v>
      </c>
      <c r="BR657" s="106" t="n">
        <v>0</v>
      </c>
      <c r="BS657" s="106" t="n">
        <v>0</v>
      </c>
      <c r="BT657" s="107"/>
      <c r="BU657" s="107"/>
      <c r="BV657" s="107"/>
      <c r="BW657" s="107"/>
      <c r="BX657" s="107"/>
      <c r="BY657" s="107"/>
      <c r="BZ657" s="107"/>
      <c r="CA657" s="107"/>
      <c r="CB657" s="107"/>
      <c r="CC657" s="107"/>
      <c r="CD657" s="107"/>
      <c r="CE657" s="107"/>
      <c r="CF657" s="107"/>
      <c r="CG657" s="107"/>
      <c r="CH657" s="107"/>
      <c r="CI657" s="107"/>
      <c r="CJ657" s="107"/>
      <c r="CK657" s="107"/>
      <c r="CL657" s="107"/>
      <c r="CM657" s="107"/>
      <c r="CN657" s="107"/>
      <c r="CO657" s="107"/>
      <c r="CP657" s="107"/>
      <c r="CQ657" s="107"/>
      <c r="CR657" s="107"/>
      <c r="CS657" s="107"/>
      <c r="CT657" s="107"/>
      <c r="CU657" s="107"/>
      <c r="CV657" s="107"/>
    </row>
    <row r="658" customFormat="false" ht="14.9" hidden="false" customHeight="false" outlineLevel="0" collapsed="false">
      <c r="A658" s="74" t="n">
        <f aca="false">MONTH(B658)</f>
        <v>9</v>
      </c>
      <c r="B658" s="135" t="n">
        <v>44462</v>
      </c>
      <c r="C658" s="128" t="s">
        <v>152</v>
      </c>
      <c r="D658" s="77" t="str">
        <f aca="false">IFERROR(VLOOKUP(E:E,'Item Data Support Sheet'!A:O,7,0),"")</f>
        <v>CAP MOLDED</v>
      </c>
      <c r="E658" s="80" t="s">
        <v>261</v>
      </c>
      <c r="F658" s="122"/>
      <c r="G658" s="137" t="s">
        <v>1215</v>
      </c>
      <c r="H658" s="79" t="str">
        <f aca="false">IFERROR(VLOOKUP(E:E,'Item Data Support Sheet'!A:O,2,0),"")</f>
        <v>CAP S TYPE MOLDED PINK</v>
      </c>
      <c r="I658" s="80" t="s">
        <v>1309</v>
      </c>
      <c r="J658" s="80" t="s">
        <v>815</v>
      </c>
      <c r="K658" s="81" t="n">
        <v>4</v>
      </c>
      <c r="L658" s="124" t="n">
        <v>2137</v>
      </c>
      <c r="M658" s="83" t="n">
        <f aca="false">IFERROR(L658/K658,0)</f>
        <v>534.25</v>
      </c>
      <c r="N658" s="84" t="n">
        <f aca="false">+O658+Q658+T658+U658</f>
        <v>2511</v>
      </c>
      <c r="O658" s="85" t="n">
        <v>2500</v>
      </c>
      <c r="P658" s="86" t="n">
        <v>0</v>
      </c>
      <c r="Q658" s="86" t="n">
        <v>0</v>
      </c>
      <c r="R658" s="132" t="n">
        <v>0</v>
      </c>
      <c r="S658" s="128" t="n">
        <v>0</v>
      </c>
      <c r="T658" s="132" t="n">
        <v>3</v>
      </c>
      <c r="U658" s="128" t="n">
        <v>8</v>
      </c>
      <c r="V658" s="128" t="n">
        <v>1</v>
      </c>
      <c r="W658" s="90" t="n">
        <f aca="false">IFERROR(O658/V658,0)</f>
        <v>2500</v>
      </c>
      <c r="X658" s="91" t="n">
        <f aca="false">O658/L658</f>
        <v>1.16986429574169</v>
      </c>
      <c r="Y658" s="92" t="str">
        <f aca="false">IFERROR(VLOOKUP(E:E,'Item Data Support Sheet'!A:J,6,0),0)</f>
        <v>RM000123</v>
      </c>
      <c r="Z658" s="93" t="n">
        <f aca="false">IFERROR(VLOOKUP(E:E,'Item Data Support Sheet'!A:O,4,0),0)</f>
        <v>7.3</v>
      </c>
      <c r="AA658" s="93" t="n">
        <f aca="false">IFERROR(((N658)*(Z658/1000))+P658,0)</f>
        <v>18.3303</v>
      </c>
      <c r="AB658" s="94" t="n">
        <f aca="false">IFERROR((O658*(Z658/1000)/(AA658))," ")</f>
        <v>0.995619275189168</v>
      </c>
      <c r="AC658" s="95" t="n">
        <f aca="false">IFERROR((T658)/((T658)+O658),0)</f>
        <v>0.00119856172592889</v>
      </c>
      <c r="AD658" s="96" t="n">
        <f aca="false">IFERROR(Q658/(Q658+N658),0)</f>
        <v>0</v>
      </c>
      <c r="AE658" s="91" t="n">
        <f aca="false">(N658-T658)/N658</f>
        <v>0.998805256869773</v>
      </c>
      <c r="AF658" s="97" t="n">
        <f aca="false">BR658</f>
        <v>0</v>
      </c>
      <c r="AG658" s="98" t="n">
        <f aca="false">K658-AF658</f>
        <v>4</v>
      </c>
      <c r="AH658" s="99" t="n">
        <f aca="false">IFERROR(AG658/K658," ")</f>
        <v>1</v>
      </c>
      <c r="AI658" s="100" t="n">
        <f aca="false">IFERROR(O658/K658,0)</f>
        <v>625</v>
      </c>
      <c r="AJ658" s="101" t="n">
        <f aca="false">VLOOKUP(D658,'Standard Cycle time'!C:D,2,0)</f>
        <v>6</v>
      </c>
      <c r="AK658" s="101" t="n">
        <f aca="false">AG658*V658*3600/O658</f>
        <v>5.76</v>
      </c>
      <c r="AL658" s="102" t="n">
        <f aca="false">AJ658/AK658</f>
        <v>1.04166666666667</v>
      </c>
      <c r="AM658" s="99" t="n">
        <f aca="false">AE658*AL658*AH658</f>
        <v>1.04042214257268</v>
      </c>
      <c r="AN658" s="103" t="n">
        <v>3583</v>
      </c>
      <c r="AO658" s="112"/>
      <c r="AP658" s="105" t="n">
        <v>0</v>
      </c>
      <c r="AQ658" s="105" t="n">
        <v>0</v>
      </c>
      <c r="AR658" s="105" t="n">
        <v>0</v>
      </c>
      <c r="AS658" s="105" t="n">
        <v>0</v>
      </c>
      <c r="AT658" s="105" t="n">
        <v>0</v>
      </c>
      <c r="AU658" s="105" t="n">
        <v>0</v>
      </c>
      <c r="AV658" s="105" t="n">
        <v>0</v>
      </c>
      <c r="AW658" s="105" t="n">
        <v>0</v>
      </c>
      <c r="AX658" s="105" t="n">
        <v>0</v>
      </c>
      <c r="AY658" s="105" t="n">
        <v>0</v>
      </c>
      <c r="AZ658" s="105" t="n">
        <v>0</v>
      </c>
      <c r="BA658" s="105" t="n">
        <v>0</v>
      </c>
      <c r="BB658" s="105" t="n">
        <v>0</v>
      </c>
      <c r="BC658" s="105" t="n">
        <v>0</v>
      </c>
      <c r="BD658" s="105" t="n">
        <v>0</v>
      </c>
      <c r="BE658" s="105" t="n">
        <v>0</v>
      </c>
      <c r="BF658" s="105" t="n">
        <v>0</v>
      </c>
      <c r="BG658" s="105" t="n">
        <v>0</v>
      </c>
      <c r="BH658" s="105" t="n">
        <v>0</v>
      </c>
      <c r="BI658" s="105" t="n">
        <v>0</v>
      </c>
      <c r="BJ658" s="105" t="n">
        <v>0</v>
      </c>
      <c r="BK658" s="105" t="n">
        <v>0</v>
      </c>
      <c r="BL658" s="105" t="n">
        <v>0</v>
      </c>
      <c r="BM658" s="105" t="n">
        <v>0</v>
      </c>
      <c r="BN658" s="105" t="n">
        <v>0</v>
      </c>
      <c r="BO658" s="105" t="n">
        <v>0</v>
      </c>
      <c r="BP658" s="105" t="n">
        <v>0</v>
      </c>
      <c r="BQ658" s="105" t="n">
        <v>0</v>
      </c>
      <c r="BR658" s="106" t="n">
        <v>0</v>
      </c>
      <c r="BS658" s="106" t="n">
        <v>0</v>
      </c>
      <c r="BT658" s="107"/>
      <c r="BU658" s="107"/>
      <c r="BV658" s="107"/>
      <c r="BW658" s="107"/>
      <c r="BX658" s="107"/>
      <c r="BY658" s="107"/>
      <c r="BZ658" s="107"/>
      <c r="CA658" s="107"/>
      <c r="CB658" s="107"/>
      <c r="CC658" s="107"/>
      <c r="CD658" s="107"/>
      <c r="CE658" s="107"/>
      <c r="CF658" s="107"/>
      <c r="CG658" s="107"/>
      <c r="CH658" s="107"/>
      <c r="CI658" s="107"/>
      <c r="CJ658" s="107"/>
      <c r="CK658" s="107"/>
      <c r="CL658" s="107"/>
      <c r="CM658" s="107"/>
      <c r="CN658" s="107"/>
      <c r="CO658" s="107"/>
      <c r="CP658" s="107"/>
      <c r="CQ658" s="107"/>
      <c r="CR658" s="107"/>
      <c r="CS658" s="107"/>
      <c r="CT658" s="107"/>
      <c r="CU658" s="107"/>
      <c r="CV658" s="107"/>
    </row>
    <row r="659" customFormat="false" ht="14.9" hidden="false" customHeight="false" outlineLevel="0" collapsed="false">
      <c r="A659" s="74" t="n">
        <f aca="false">MONTH(B659)</f>
        <v>9</v>
      </c>
      <c r="B659" s="135" t="n">
        <v>44462</v>
      </c>
      <c r="C659" s="128" t="s">
        <v>152</v>
      </c>
      <c r="D659" s="77" t="str">
        <f aca="false">IFERROR(VLOOKUP(E:E,'Item Data Support Sheet'!A:O,7,0),"")</f>
        <v>NIPPLE MOLDED</v>
      </c>
      <c r="E659" s="80" t="s">
        <v>244</v>
      </c>
      <c r="F659" s="122" t="s">
        <v>137</v>
      </c>
      <c r="G659" s="137" t="s">
        <v>138</v>
      </c>
      <c r="H659" s="79" t="str">
        <f aca="false">IFERROR(VLOOKUP(E:E,'Item Data Support Sheet'!A:O,2,0),"")</f>
        <v>NIPPLE S TYPE S SIZE INJECTION</v>
      </c>
      <c r="I659" s="80" t="s">
        <v>1310</v>
      </c>
      <c r="J659" s="80" t="s">
        <v>815</v>
      </c>
      <c r="K659" s="81" t="n">
        <v>8</v>
      </c>
      <c r="L659" s="124" t="n">
        <v>4815</v>
      </c>
      <c r="M659" s="83" t="n">
        <f aca="false">IFERROR(L659/K659,0)</f>
        <v>601.875</v>
      </c>
      <c r="N659" s="84" t="n">
        <f aca="false">+O659+Q659+T659+U659</f>
        <v>5411</v>
      </c>
      <c r="O659" s="85" t="n">
        <v>5300</v>
      </c>
      <c r="P659" s="86" t="n">
        <v>0</v>
      </c>
      <c r="Q659" s="86" t="n">
        <v>32</v>
      </c>
      <c r="R659" s="132" t="n">
        <v>0</v>
      </c>
      <c r="S659" s="128" t="n">
        <v>0</v>
      </c>
      <c r="T659" s="132" t="n">
        <v>71</v>
      </c>
      <c r="U659" s="128" t="n">
        <v>8</v>
      </c>
      <c r="V659" s="128" t="n">
        <v>1</v>
      </c>
      <c r="W659" s="90" t="n">
        <f aca="false">IFERROR(O659/V659,0)</f>
        <v>5300</v>
      </c>
      <c r="X659" s="91" t="n">
        <f aca="false">O659/L659</f>
        <v>1.10072689511942</v>
      </c>
      <c r="Y659" s="92" t="str">
        <f aca="false">IFERROR(VLOOKUP(E:E,'Item Data Support Sheet'!A:J,6,0),0)</f>
        <v>Silicon</v>
      </c>
      <c r="Z659" s="93" t="n">
        <f aca="false">IFERROR(VLOOKUP(E:E,'Item Data Support Sheet'!A:O,4,0),0)</f>
        <v>6.8</v>
      </c>
      <c r="AA659" s="93" t="n">
        <f aca="false">IFERROR(((N659)*(Z659/1000))+P659,0)</f>
        <v>36.7948</v>
      </c>
      <c r="AB659" s="94" t="n">
        <f aca="false">IFERROR((O659*(Z659/1000)/(AA659))," ")</f>
        <v>0.979486231750139</v>
      </c>
      <c r="AC659" s="95" t="n">
        <f aca="false">IFERROR((T659)/((T659)+O659),0)</f>
        <v>0.013219139824986</v>
      </c>
      <c r="AD659" s="96" t="n">
        <f aca="false">IFERROR(Q659/(Q659+N659),0)</f>
        <v>0.00587911078449385</v>
      </c>
      <c r="AE659" s="91" t="n">
        <f aca="false">(N659-T659)/N659</f>
        <v>0.986878580669008</v>
      </c>
      <c r="AF659" s="97" t="n">
        <f aca="false">BR659</f>
        <v>0</v>
      </c>
      <c r="AG659" s="98" t="n">
        <f aca="false">K659-AF659</f>
        <v>8</v>
      </c>
      <c r="AH659" s="99" t="n">
        <f aca="false">IFERROR(AG659/K659," ")</f>
        <v>1</v>
      </c>
      <c r="AI659" s="100" t="n">
        <f aca="false">IFERROR(O659/K659,0)</f>
        <v>662.5</v>
      </c>
      <c r="AJ659" s="101" t="n">
        <f aca="false">VLOOKUP(D659,'Standard Cycle time'!C:D,2,0)</f>
        <v>5.25</v>
      </c>
      <c r="AK659" s="101" t="n">
        <f aca="false">AG659*V659*3600/O659</f>
        <v>5.43396226415094</v>
      </c>
      <c r="AL659" s="102" t="n">
        <f aca="false">AJ659/AK659</f>
        <v>0.966145833333333</v>
      </c>
      <c r="AM659" s="99" t="n">
        <f aca="false">AE659*AL659*AH659</f>
        <v>0.953468628719276</v>
      </c>
      <c r="AN659" s="103" t="n">
        <v>3525</v>
      </c>
      <c r="AO659" s="112"/>
      <c r="AP659" s="105" t="n">
        <v>0</v>
      </c>
      <c r="AQ659" s="105" t="n">
        <v>0</v>
      </c>
      <c r="AR659" s="105" t="n">
        <v>0</v>
      </c>
      <c r="AS659" s="105" t="n">
        <v>0</v>
      </c>
      <c r="AT659" s="105" t="n">
        <v>0</v>
      </c>
      <c r="AU659" s="105" t="n">
        <v>0</v>
      </c>
      <c r="AV659" s="105" t="n">
        <v>0</v>
      </c>
      <c r="AW659" s="105" t="n">
        <v>0</v>
      </c>
      <c r="AX659" s="105" t="n">
        <v>0</v>
      </c>
      <c r="AY659" s="105" t="n">
        <v>0</v>
      </c>
      <c r="AZ659" s="105" t="n">
        <v>0</v>
      </c>
      <c r="BA659" s="105" t="n">
        <v>0</v>
      </c>
      <c r="BB659" s="105" t="n">
        <v>0</v>
      </c>
      <c r="BC659" s="105" t="n">
        <v>0</v>
      </c>
      <c r="BD659" s="105" t="n">
        <v>0</v>
      </c>
      <c r="BE659" s="105" t="n">
        <v>0</v>
      </c>
      <c r="BF659" s="105" t="n">
        <v>0</v>
      </c>
      <c r="BG659" s="105" t="n">
        <v>0</v>
      </c>
      <c r="BH659" s="105" t="n">
        <v>0</v>
      </c>
      <c r="BI659" s="105" t="n">
        <v>0</v>
      </c>
      <c r="BJ659" s="105" t="n">
        <v>0</v>
      </c>
      <c r="BK659" s="105" t="n">
        <v>0</v>
      </c>
      <c r="BL659" s="105" t="n">
        <v>0</v>
      </c>
      <c r="BM659" s="105" t="n">
        <v>0</v>
      </c>
      <c r="BN659" s="105" t="n">
        <v>0</v>
      </c>
      <c r="BO659" s="105" t="n">
        <v>0</v>
      </c>
      <c r="BP659" s="105" t="n">
        <v>0</v>
      </c>
      <c r="BQ659" s="105" t="n">
        <v>0</v>
      </c>
      <c r="BR659" s="106" t="n">
        <v>0</v>
      </c>
      <c r="BS659" s="106" t="n">
        <v>0</v>
      </c>
      <c r="BT659" s="107"/>
      <c r="BU659" s="107"/>
      <c r="BV659" s="107"/>
      <c r="BW659" s="107"/>
      <c r="BX659" s="107"/>
      <c r="BY659" s="107"/>
      <c r="BZ659" s="107"/>
      <c r="CA659" s="107"/>
      <c r="CB659" s="107"/>
      <c r="CC659" s="107"/>
      <c r="CD659" s="107"/>
      <c r="CE659" s="107"/>
      <c r="CF659" s="107"/>
      <c r="CG659" s="107"/>
      <c r="CH659" s="107"/>
      <c r="CI659" s="107"/>
      <c r="CJ659" s="107"/>
      <c r="CK659" s="107"/>
      <c r="CL659" s="107"/>
      <c r="CM659" s="107"/>
      <c r="CN659" s="107"/>
      <c r="CO659" s="107"/>
      <c r="CP659" s="107"/>
      <c r="CQ659" s="107"/>
      <c r="CR659" s="107"/>
      <c r="CS659" s="107"/>
      <c r="CT659" s="107"/>
      <c r="CU659" s="107"/>
      <c r="CV659" s="107"/>
    </row>
    <row r="660" customFormat="false" ht="14.9" hidden="false" customHeight="false" outlineLevel="0" collapsed="false">
      <c r="A660" s="74" t="n">
        <f aca="false">MONTH(B660)</f>
        <v>9</v>
      </c>
      <c r="B660" s="135" t="n">
        <v>44462</v>
      </c>
      <c r="C660" s="128" t="s">
        <v>152</v>
      </c>
      <c r="D660" s="77" t="str">
        <f aca="false">IFERROR(VLOOKUP(E:E,'Item Data Support Sheet'!A:O,7,0),"")</f>
        <v>BOTTLE MOLDED</v>
      </c>
      <c r="E660" s="80" t="s">
        <v>357</v>
      </c>
      <c r="F660" s="122" t="s">
        <v>144</v>
      </c>
      <c r="G660" s="137" t="s">
        <v>74</v>
      </c>
      <c r="H660" s="79" t="str">
        <f aca="false">IFERROR(VLOOKUP(E:E,'Item Data Support Sheet'!A:O,2,0),"")</f>
        <v>KPP 120 ML BOTTLE MOLDED</v>
      </c>
      <c r="I660" s="80" t="s">
        <v>1311</v>
      </c>
      <c r="J660" s="80" t="s">
        <v>815</v>
      </c>
      <c r="K660" s="81" t="n">
        <v>8</v>
      </c>
      <c r="L660" s="124" t="n">
        <v>2574</v>
      </c>
      <c r="M660" s="83" t="n">
        <f aca="false">IFERROR(L660/K660,0)</f>
        <v>321.75</v>
      </c>
      <c r="N660" s="84" t="n">
        <f aca="false">+O660+Q660+T660+U660</f>
        <v>2951</v>
      </c>
      <c r="O660" s="85" t="n">
        <v>2880</v>
      </c>
      <c r="P660" s="86" t="n">
        <v>0.2</v>
      </c>
      <c r="Q660" s="86" t="n">
        <v>25</v>
      </c>
      <c r="R660" s="132" t="n">
        <v>0</v>
      </c>
      <c r="S660" s="128" t="n">
        <v>0</v>
      </c>
      <c r="T660" s="132" t="n">
        <v>38</v>
      </c>
      <c r="U660" s="128" t="n">
        <v>8</v>
      </c>
      <c r="V660" s="128" t="n">
        <v>1</v>
      </c>
      <c r="W660" s="90" t="n">
        <f aca="false">IFERROR(O660/V660,0)</f>
        <v>2880</v>
      </c>
      <c r="X660" s="91" t="n">
        <f aca="false">O660/L660</f>
        <v>1.11888111888112</v>
      </c>
      <c r="Y660" s="92" t="str">
        <f aca="false">IFERROR(VLOOKUP(E:E,'Item Data Support Sheet'!A:J,6,0),0)</f>
        <v>HMC</v>
      </c>
      <c r="Z660" s="93" t="n">
        <f aca="false">IFERROR(VLOOKUP(E:E,'Item Data Support Sheet'!A:O,4,0),0)</f>
        <v>21.3</v>
      </c>
      <c r="AA660" s="93" t="n">
        <f aca="false">IFERROR(((N660)*(Z660/1000))+P660,0)</f>
        <v>63.0563</v>
      </c>
      <c r="AB660" s="94" t="n">
        <f aca="false">IFERROR((O660*(Z660/1000)/(AA660))," ")</f>
        <v>0.972844902095429</v>
      </c>
      <c r="AC660" s="95" t="n">
        <f aca="false">IFERROR((T660)/((T660)+O660),0)</f>
        <v>0.0130226182316655</v>
      </c>
      <c r="AD660" s="96" t="n">
        <f aca="false">IFERROR(Q660/(Q660+N660),0)</f>
        <v>0.0084005376344086</v>
      </c>
      <c r="AE660" s="91" t="n">
        <f aca="false">(N660-T660)/N660</f>
        <v>0.987123009149441</v>
      </c>
      <c r="AF660" s="97" t="n">
        <f aca="false">BR660</f>
        <v>0</v>
      </c>
      <c r="AG660" s="98" t="n">
        <f aca="false">K660-AF660</f>
        <v>8</v>
      </c>
      <c r="AH660" s="99" t="n">
        <f aca="false">IFERROR(AG660/K660," ")</f>
        <v>1</v>
      </c>
      <c r="AI660" s="100" t="n">
        <f aca="false">IFERROR(O660/K660,0)</f>
        <v>360</v>
      </c>
      <c r="AJ660" s="101" t="n">
        <f aca="false">VLOOKUP(D660,'Standard Cycle time'!C:D,2,0)</f>
        <v>9</v>
      </c>
      <c r="AK660" s="101" t="n">
        <f aca="false">AG660*V660*3600/O660</f>
        <v>10</v>
      </c>
      <c r="AL660" s="102" t="n">
        <f aca="false">AJ660/AK660</f>
        <v>0.9</v>
      </c>
      <c r="AM660" s="99" t="n">
        <f aca="false">AE660*AL660*AH660</f>
        <v>0.888410708234497</v>
      </c>
      <c r="AN660" s="103" t="n">
        <v>3526</v>
      </c>
      <c r="AO660" s="112"/>
      <c r="AP660" s="105" t="n">
        <v>0</v>
      </c>
      <c r="AQ660" s="105" t="n">
        <v>0</v>
      </c>
      <c r="AR660" s="105" t="n">
        <v>0</v>
      </c>
      <c r="AS660" s="105" t="n">
        <v>0</v>
      </c>
      <c r="AT660" s="105" t="n">
        <v>0</v>
      </c>
      <c r="AU660" s="105" t="n">
        <v>0</v>
      </c>
      <c r="AV660" s="105" t="n">
        <v>0</v>
      </c>
      <c r="AW660" s="105" t="n">
        <v>0</v>
      </c>
      <c r="AX660" s="105" t="n">
        <v>0</v>
      </c>
      <c r="AY660" s="105" t="n">
        <v>0</v>
      </c>
      <c r="AZ660" s="105" t="n">
        <v>0</v>
      </c>
      <c r="BA660" s="105" t="n">
        <v>0</v>
      </c>
      <c r="BB660" s="105" t="n">
        <v>0</v>
      </c>
      <c r="BC660" s="105" t="n">
        <v>0</v>
      </c>
      <c r="BD660" s="105" t="n">
        <v>0</v>
      </c>
      <c r="BE660" s="105" t="n">
        <v>0</v>
      </c>
      <c r="BF660" s="105" t="n">
        <v>0</v>
      </c>
      <c r="BG660" s="105" t="n">
        <v>0</v>
      </c>
      <c r="BH660" s="105" t="n">
        <v>0</v>
      </c>
      <c r="BI660" s="105" t="n">
        <v>0</v>
      </c>
      <c r="BJ660" s="105" t="n">
        <v>0</v>
      </c>
      <c r="BK660" s="105" t="n">
        <v>0</v>
      </c>
      <c r="BL660" s="105" t="n">
        <v>0</v>
      </c>
      <c r="BM660" s="105" t="n">
        <v>0</v>
      </c>
      <c r="BN660" s="105" t="n">
        <v>0</v>
      </c>
      <c r="BO660" s="105" t="n">
        <v>0</v>
      </c>
      <c r="BP660" s="105" t="n">
        <v>0</v>
      </c>
      <c r="BQ660" s="105" t="n">
        <v>0</v>
      </c>
      <c r="BR660" s="106" t="n">
        <v>0</v>
      </c>
      <c r="BS660" s="106" t="n">
        <v>0</v>
      </c>
      <c r="BT660" s="107"/>
      <c r="BU660" s="107"/>
      <c r="BV660" s="107"/>
      <c r="BW660" s="107"/>
      <c r="BX660" s="107"/>
      <c r="BY660" s="107"/>
      <c r="BZ660" s="107"/>
      <c r="CA660" s="107"/>
      <c r="CB660" s="107"/>
      <c r="CC660" s="107"/>
      <c r="CD660" s="107"/>
      <c r="CE660" s="107"/>
      <c r="CF660" s="107"/>
      <c r="CG660" s="107"/>
      <c r="CH660" s="107"/>
      <c r="CI660" s="107"/>
      <c r="CJ660" s="107"/>
      <c r="CK660" s="107"/>
      <c r="CL660" s="107"/>
      <c r="CM660" s="107"/>
      <c r="CN660" s="107"/>
      <c r="CO660" s="107"/>
      <c r="CP660" s="107"/>
      <c r="CQ660" s="107"/>
      <c r="CR660" s="107"/>
      <c r="CS660" s="107"/>
      <c r="CT660" s="107"/>
      <c r="CU660" s="107"/>
      <c r="CV660" s="107"/>
    </row>
    <row r="661" customFormat="false" ht="14.9" hidden="false" customHeight="false" outlineLevel="0" collapsed="false">
      <c r="A661" s="74" t="n">
        <f aca="false">MONTH(B661)</f>
        <v>9</v>
      </c>
      <c r="B661" s="135" t="n">
        <v>44463</v>
      </c>
      <c r="C661" s="128" t="s">
        <v>51</v>
      </c>
      <c r="D661" s="77" t="str">
        <f aca="false">IFERROR(VLOOKUP(E:E,'Item Data Support Sheet'!A:O,7,0),"")</f>
        <v>NIPPLE PUNCH</v>
      </c>
      <c r="E661" s="80" t="s">
        <v>53</v>
      </c>
      <c r="F661" s="122"/>
      <c r="G661" s="137" t="s">
        <v>54</v>
      </c>
      <c r="H661" s="79" t="str">
        <f aca="false">IFERROR(VLOOKUP(E:E,'Item Data Support Sheet'!A:O,2,0),"")</f>
        <v>NIPPLE S TYPE S SIZE PUNCHED</v>
      </c>
      <c r="I661" s="80" t="s">
        <v>1312</v>
      </c>
      <c r="J661" s="80" t="s">
        <v>143</v>
      </c>
      <c r="K661" s="81" t="n">
        <v>8</v>
      </c>
      <c r="L661" s="124" t="n">
        <v>7000</v>
      </c>
      <c r="M661" s="83" t="n">
        <f aca="false">IFERROR(L661/K661,0)</f>
        <v>875</v>
      </c>
      <c r="N661" s="84" t="n">
        <f aca="false">+O661+Q661+T661+U661</f>
        <v>7400</v>
      </c>
      <c r="O661" s="85" t="n">
        <v>7400</v>
      </c>
      <c r="P661" s="86" t="n">
        <v>0</v>
      </c>
      <c r="Q661" s="86" t="n">
        <v>0</v>
      </c>
      <c r="R661" s="132" t="n">
        <v>0</v>
      </c>
      <c r="S661" s="128" t="n">
        <v>0</v>
      </c>
      <c r="T661" s="132" t="n">
        <v>0</v>
      </c>
      <c r="U661" s="128" t="n">
        <v>0</v>
      </c>
      <c r="V661" s="128" t="n">
        <v>1</v>
      </c>
      <c r="W661" s="90" t="n">
        <f aca="false">IFERROR(O661/V661,0)</f>
        <v>7400</v>
      </c>
      <c r="X661" s="91" t="n">
        <f aca="false">O661/L661</f>
        <v>1.05714285714286</v>
      </c>
      <c r="Y661" s="92" t="str">
        <f aca="false">IFERROR(VLOOKUP(E:E,'Item Data Support Sheet'!A:J,6,0),0)</f>
        <v>FO015</v>
      </c>
      <c r="Z661" s="93" t="n">
        <f aca="false">IFERROR(VLOOKUP(E:E,'Item Data Support Sheet'!A:O,4,0),0)</f>
        <v>0</v>
      </c>
      <c r="AA661" s="93" t="n">
        <f aca="false">IFERROR(((N661)*(Z661/1000))+P661,0)</f>
        <v>0</v>
      </c>
      <c r="AB661" s="94" t="str">
        <f aca="false">IFERROR((O661*(Z661/1000)/(AA661))," ")</f>
        <v> </v>
      </c>
      <c r="AC661" s="95" t="n">
        <f aca="false">IFERROR((T661)/((T661)+O661),0)</f>
        <v>0</v>
      </c>
      <c r="AD661" s="96" t="n">
        <f aca="false">IFERROR(Q661/(Q661+N661),0)</f>
        <v>0</v>
      </c>
      <c r="AE661" s="91" t="n">
        <f aca="false">(N661-T661)/N661</f>
        <v>1</v>
      </c>
      <c r="AF661" s="97" t="n">
        <f aca="false">BR661</f>
        <v>0</v>
      </c>
      <c r="AG661" s="98" t="n">
        <f aca="false">K661-AF661</f>
        <v>8</v>
      </c>
      <c r="AH661" s="99" t="n">
        <f aca="false">IFERROR(AG661/K661," ")</f>
        <v>1</v>
      </c>
      <c r="AI661" s="100" t="n">
        <f aca="false">IFERROR(O661/K661,0)</f>
        <v>925</v>
      </c>
      <c r="AJ661" s="101" t="n">
        <f aca="false">VLOOKUP(D661,'Standard Cycle time'!C:D,2,0)</f>
        <v>3.5</v>
      </c>
      <c r="AK661" s="101" t="n">
        <f aca="false">AG661*V661*3600/O661</f>
        <v>3.89189189189189</v>
      </c>
      <c r="AL661" s="102" t="n">
        <f aca="false">AJ661/AK661</f>
        <v>0.899305555555555</v>
      </c>
      <c r="AM661" s="99" t="n">
        <f aca="false">AE661*AL661*AH661</f>
        <v>0.899305555555555</v>
      </c>
      <c r="AN661" s="103" t="s">
        <v>1313</v>
      </c>
      <c r="AO661" s="112"/>
      <c r="AP661" s="105" t="n">
        <v>0</v>
      </c>
      <c r="AQ661" s="105" t="n">
        <v>0</v>
      </c>
      <c r="AR661" s="105" t="n">
        <v>0</v>
      </c>
      <c r="AS661" s="105" t="n">
        <v>0</v>
      </c>
      <c r="AT661" s="105" t="n">
        <v>0</v>
      </c>
      <c r="AU661" s="105" t="n">
        <v>0</v>
      </c>
      <c r="AV661" s="105" t="n">
        <v>0</v>
      </c>
      <c r="AW661" s="105" t="n">
        <v>0</v>
      </c>
      <c r="AX661" s="105" t="n">
        <v>0</v>
      </c>
      <c r="AY661" s="105" t="n">
        <v>0</v>
      </c>
      <c r="AZ661" s="105" t="n">
        <v>0</v>
      </c>
      <c r="BA661" s="105" t="n">
        <v>0</v>
      </c>
      <c r="BB661" s="105" t="n">
        <v>0</v>
      </c>
      <c r="BC661" s="105" t="n">
        <v>0</v>
      </c>
      <c r="BD661" s="105" t="n">
        <v>0</v>
      </c>
      <c r="BE661" s="105" t="n">
        <v>0</v>
      </c>
      <c r="BF661" s="105" t="n">
        <v>0</v>
      </c>
      <c r="BG661" s="105" t="n">
        <v>0</v>
      </c>
      <c r="BH661" s="105" t="n">
        <v>0</v>
      </c>
      <c r="BI661" s="105" t="n">
        <v>0</v>
      </c>
      <c r="BJ661" s="105" t="n">
        <v>0</v>
      </c>
      <c r="BK661" s="105" t="n">
        <v>0</v>
      </c>
      <c r="BL661" s="105" t="n">
        <v>0</v>
      </c>
      <c r="BM661" s="105" t="n">
        <v>0</v>
      </c>
      <c r="BN661" s="105" t="n">
        <v>0</v>
      </c>
      <c r="BO661" s="105" t="n">
        <v>0</v>
      </c>
      <c r="BP661" s="105" t="n">
        <v>0</v>
      </c>
      <c r="BQ661" s="105" t="n">
        <v>0</v>
      </c>
      <c r="BR661" s="106" t="n">
        <v>0</v>
      </c>
      <c r="BS661" s="106" t="n">
        <v>0</v>
      </c>
      <c r="BT661" s="107"/>
      <c r="BU661" s="107"/>
      <c r="BV661" s="107"/>
      <c r="BW661" s="107"/>
      <c r="BX661" s="107"/>
      <c r="BY661" s="107"/>
      <c r="BZ661" s="107"/>
      <c r="CA661" s="107"/>
      <c r="CB661" s="107"/>
      <c r="CC661" s="107"/>
      <c r="CD661" s="107"/>
      <c r="CE661" s="107"/>
      <c r="CF661" s="107"/>
      <c r="CG661" s="107"/>
      <c r="CH661" s="107"/>
      <c r="CI661" s="107"/>
      <c r="CJ661" s="107"/>
      <c r="CK661" s="107"/>
      <c r="CL661" s="107"/>
      <c r="CM661" s="107"/>
      <c r="CN661" s="107"/>
      <c r="CO661" s="107"/>
      <c r="CP661" s="107"/>
      <c r="CQ661" s="107"/>
      <c r="CR661" s="107"/>
      <c r="CS661" s="107"/>
      <c r="CT661" s="107"/>
      <c r="CU661" s="107"/>
      <c r="CV661" s="107"/>
    </row>
    <row r="662" customFormat="false" ht="14.9" hidden="false" customHeight="false" outlineLevel="0" collapsed="false">
      <c r="A662" s="74" t="n">
        <f aca="false">MONTH(B662)</f>
        <v>9</v>
      </c>
      <c r="B662" s="135" t="n">
        <v>44463</v>
      </c>
      <c r="C662" s="128" t="s">
        <v>51</v>
      </c>
      <c r="D662" s="77" t="str">
        <f aca="false">IFERROR(VLOOKUP(E:E,'Item Data Support Sheet'!A:O,7,0),"")</f>
        <v>NIPPLE LASER MARKING</v>
      </c>
      <c r="E662" s="80" t="s">
        <v>885</v>
      </c>
      <c r="F662" s="122"/>
      <c r="G662" s="137" t="s">
        <v>517</v>
      </c>
      <c r="H662" s="79" t="str">
        <f aca="false">IFERROR(VLOOKUP(E:E,'Item Data Support Sheet'!A:O,2,0),"")</f>
        <v>NIPPLE S TYPE Y SIZE PUNCHED LASER MARKED</v>
      </c>
      <c r="I662" s="80" t="s">
        <v>1314</v>
      </c>
      <c r="J662" s="80" t="s">
        <v>143</v>
      </c>
      <c r="K662" s="81" t="n">
        <v>4</v>
      </c>
      <c r="L662" s="124" t="n">
        <v>3500</v>
      </c>
      <c r="M662" s="83" t="n">
        <f aca="false">IFERROR(L662/K662,0)</f>
        <v>875</v>
      </c>
      <c r="N662" s="84" t="n">
        <f aca="false">+O662+Q662+T662+U662</f>
        <v>3400</v>
      </c>
      <c r="O662" s="85" t="n">
        <v>3400</v>
      </c>
      <c r="P662" s="86" t="n">
        <v>0</v>
      </c>
      <c r="Q662" s="86" t="n">
        <v>0</v>
      </c>
      <c r="R662" s="132" t="n">
        <v>0</v>
      </c>
      <c r="S662" s="128" t="n">
        <v>0</v>
      </c>
      <c r="T662" s="132" t="n">
        <v>0</v>
      </c>
      <c r="U662" s="128" t="n">
        <v>0</v>
      </c>
      <c r="V662" s="128" t="n">
        <v>1</v>
      </c>
      <c r="W662" s="90" t="n">
        <f aca="false">IFERROR(O662/V662,0)</f>
        <v>3400</v>
      </c>
      <c r="X662" s="91" t="n">
        <f aca="false">O662/L662</f>
        <v>0.971428571428571</v>
      </c>
      <c r="Y662" s="92" t="str">
        <f aca="false">IFERROR(VLOOKUP(E:E,'Item Data Support Sheet'!A:J,6,0),0)</f>
        <v>FO022</v>
      </c>
      <c r="Z662" s="93" t="n">
        <f aca="false">IFERROR(VLOOKUP(E:E,'Item Data Support Sheet'!A:O,4,0),0)</f>
        <v>0</v>
      </c>
      <c r="AA662" s="93" t="n">
        <f aca="false">IFERROR(((N662)*(Z662/1000))+P662,0)</f>
        <v>0</v>
      </c>
      <c r="AB662" s="94" t="str">
        <f aca="false">IFERROR((O662*(Z662/1000)/(AA662))," ")</f>
        <v> </v>
      </c>
      <c r="AC662" s="95" t="n">
        <f aca="false">IFERROR((T662)/((T662)+O662),0)</f>
        <v>0</v>
      </c>
      <c r="AD662" s="96" t="n">
        <f aca="false">IFERROR(Q662/(Q662+N662),0)</f>
        <v>0</v>
      </c>
      <c r="AE662" s="91" t="n">
        <f aca="false">(N662-T662)/N662</f>
        <v>1</v>
      </c>
      <c r="AF662" s="97" t="n">
        <f aca="false">BR662</f>
        <v>0.666666666666667</v>
      </c>
      <c r="AG662" s="98" t="n">
        <f aca="false">K662-AF662</f>
        <v>3.33333333333333</v>
      </c>
      <c r="AH662" s="99" t="n">
        <f aca="false">IFERROR(AG662/K662," ")</f>
        <v>0.833333333333333</v>
      </c>
      <c r="AI662" s="100" t="n">
        <f aca="false">IFERROR(O662/K662,0)</f>
        <v>850</v>
      </c>
      <c r="AJ662" s="101" t="n">
        <f aca="false">VLOOKUP(D662,'Standard Cycle time'!C:D,2,0)</f>
        <v>3.5</v>
      </c>
      <c r="AK662" s="101" t="n">
        <f aca="false">AG662*V662*3600/O662</f>
        <v>3.52941176470588</v>
      </c>
      <c r="AL662" s="102" t="n">
        <f aca="false">AJ662/AK662</f>
        <v>0.991666666666667</v>
      </c>
      <c r="AM662" s="99" t="n">
        <f aca="false">AE662*AL662*AH662</f>
        <v>0.826388888888889</v>
      </c>
      <c r="AN662" s="103" t="n">
        <v>3533</v>
      </c>
      <c r="AO662" s="112"/>
      <c r="AP662" s="105" t="n">
        <v>40</v>
      </c>
      <c r="AQ662" s="105" t="n">
        <v>0</v>
      </c>
      <c r="AR662" s="105" t="n">
        <v>0</v>
      </c>
      <c r="AS662" s="105" t="n">
        <v>0</v>
      </c>
      <c r="AT662" s="105" t="n">
        <v>0</v>
      </c>
      <c r="AU662" s="105" t="n">
        <v>0</v>
      </c>
      <c r="AV662" s="105" t="n">
        <v>0</v>
      </c>
      <c r="AW662" s="105" t="n">
        <v>0</v>
      </c>
      <c r="AX662" s="105" t="n">
        <v>0</v>
      </c>
      <c r="AY662" s="105" t="n">
        <v>0</v>
      </c>
      <c r="AZ662" s="105" t="n">
        <v>0</v>
      </c>
      <c r="BA662" s="105" t="n">
        <v>0</v>
      </c>
      <c r="BB662" s="105" t="n">
        <v>0</v>
      </c>
      <c r="BC662" s="105" t="n">
        <v>0</v>
      </c>
      <c r="BD662" s="105" t="n">
        <v>0</v>
      </c>
      <c r="BE662" s="105" t="n">
        <v>0</v>
      </c>
      <c r="BF662" s="105" t="n">
        <v>0</v>
      </c>
      <c r="BG662" s="105" t="n">
        <v>0</v>
      </c>
      <c r="BH662" s="105" t="n">
        <v>0</v>
      </c>
      <c r="BI662" s="105" t="n">
        <v>0</v>
      </c>
      <c r="BJ662" s="105" t="n">
        <v>0</v>
      </c>
      <c r="BK662" s="105" t="n">
        <v>0</v>
      </c>
      <c r="BL662" s="105" t="n">
        <v>0</v>
      </c>
      <c r="BM662" s="105" t="n">
        <v>0</v>
      </c>
      <c r="BN662" s="105" t="n">
        <v>0</v>
      </c>
      <c r="BO662" s="105" t="n">
        <v>0</v>
      </c>
      <c r="BP662" s="105" t="n">
        <v>0</v>
      </c>
      <c r="BQ662" s="105" t="n">
        <v>0</v>
      </c>
      <c r="BR662" s="106" t="n">
        <v>0.666666666666667</v>
      </c>
      <c r="BS662" s="106" t="n">
        <v>0.677777777777778</v>
      </c>
      <c r="BT662" s="107"/>
      <c r="BU662" s="107"/>
      <c r="BV662" s="107"/>
      <c r="BW662" s="107"/>
      <c r="BX662" s="107"/>
      <c r="BY662" s="107"/>
      <c r="BZ662" s="107"/>
      <c r="CA662" s="107"/>
      <c r="CB662" s="107"/>
      <c r="CC662" s="107"/>
      <c r="CD662" s="107"/>
      <c r="CE662" s="107"/>
      <c r="CF662" s="107"/>
      <c r="CG662" s="107"/>
      <c r="CH662" s="107"/>
      <c r="CI662" s="107"/>
      <c r="CJ662" s="107"/>
      <c r="CK662" s="107"/>
      <c r="CL662" s="107"/>
      <c r="CM662" s="107"/>
      <c r="CN662" s="107"/>
      <c r="CO662" s="107"/>
      <c r="CP662" s="107"/>
      <c r="CQ662" s="107"/>
      <c r="CR662" s="107"/>
      <c r="CS662" s="107"/>
      <c r="CT662" s="107"/>
      <c r="CU662" s="107"/>
      <c r="CV662" s="107"/>
    </row>
    <row r="663" customFormat="false" ht="14.9" hidden="false" customHeight="false" outlineLevel="0" collapsed="false">
      <c r="A663" s="74" t="n">
        <f aca="false">MONTH(B663)</f>
        <v>9</v>
      </c>
      <c r="B663" s="135" t="n">
        <v>44463</v>
      </c>
      <c r="C663" s="128" t="s">
        <v>51</v>
      </c>
      <c r="D663" s="77" t="str">
        <f aca="false">IFERROR(VLOOKUP(E:E,'Item Data Support Sheet'!A:O,7,0),"")</f>
        <v>NIPPLE LASER MARKING</v>
      </c>
      <c r="E663" s="80" t="s">
        <v>444</v>
      </c>
      <c r="F663" s="122"/>
      <c r="G663" s="137" t="s">
        <v>517</v>
      </c>
      <c r="H663" s="79" t="str">
        <f aca="false">IFERROR(VLOOKUP(E:E,'Item Data Support Sheet'!A:O,2,0),"")</f>
        <v>NIPPLE S TYPE S SIZE PUNCHED LASER MARKED</v>
      </c>
      <c r="I663" s="80" t="s">
        <v>1315</v>
      </c>
      <c r="J663" s="80" t="s">
        <v>143</v>
      </c>
      <c r="K663" s="81" t="n">
        <v>4</v>
      </c>
      <c r="L663" s="124" t="n">
        <v>3500</v>
      </c>
      <c r="M663" s="83" t="n">
        <f aca="false">IFERROR(L663/K663,0)</f>
        <v>875</v>
      </c>
      <c r="N663" s="84" t="n">
        <f aca="false">+O663+Q663+T663+U663</f>
        <v>3700</v>
      </c>
      <c r="O663" s="85" t="n">
        <v>3700</v>
      </c>
      <c r="P663" s="86" t="n">
        <v>0</v>
      </c>
      <c r="Q663" s="86" t="n">
        <v>0</v>
      </c>
      <c r="R663" s="132" t="n">
        <v>0</v>
      </c>
      <c r="S663" s="128" t="n">
        <v>0</v>
      </c>
      <c r="T663" s="132" t="n">
        <v>0</v>
      </c>
      <c r="U663" s="128" t="n">
        <v>0</v>
      </c>
      <c r="V663" s="128" t="n">
        <v>1</v>
      </c>
      <c r="W663" s="90" t="n">
        <f aca="false">IFERROR(O663/V663,0)</f>
        <v>3700</v>
      </c>
      <c r="X663" s="91" t="n">
        <f aca="false">O663/L663</f>
        <v>1.05714285714286</v>
      </c>
      <c r="Y663" s="92" t="str">
        <f aca="false">IFERROR(VLOOKUP(E:E,'Item Data Support Sheet'!A:J,6,0),0)</f>
        <v>FO019</v>
      </c>
      <c r="Z663" s="93" t="n">
        <f aca="false">IFERROR(VLOOKUP(E:E,'Item Data Support Sheet'!A:O,4,0),0)</f>
        <v>0</v>
      </c>
      <c r="AA663" s="93" t="n">
        <f aca="false">IFERROR(((N663)*(Z663/1000))+P663,0)</f>
        <v>0</v>
      </c>
      <c r="AB663" s="94" t="str">
        <f aca="false">IFERROR((O663*(Z663/1000)/(AA663))," ")</f>
        <v> </v>
      </c>
      <c r="AC663" s="95" t="n">
        <f aca="false">IFERROR((T663)/((T663)+O663),0)</f>
        <v>0</v>
      </c>
      <c r="AD663" s="96" t="n">
        <f aca="false">IFERROR(Q663/(Q663+N663),0)</f>
        <v>0</v>
      </c>
      <c r="AE663" s="91" t="n">
        <f aca="false">(N663-T663)/N663</f>
        <v>1</v>
      </c>
      <c r="AF663" s="97" t="n">
        <f aca="false">BR663</f>
        <v>0</v>
      </c>
      <c r="AG663" s="98" t="n">
        <f aca="false">K663-AF663</f>
        <v>4</v>
      </c>
      <c r="AH663" s="99" t="n">
        <f aca="false">IFERROR(AG663/K663," ")</f>
        <v>1</v>
      </c>
      <c r="AI663" s="100" t="n">
        <f aca="false">IFERROR(O663/K663,0)</f>
        <v>925</v>
      </c>
      <c r="AJ663" s="101" t="n">
        <f aca="false">VLOOKUP(D663,'Standard Cycle time'!C:D,2,0)</f>
        <v>3.5</v>
      </c>
      <c r="AK663" s="101" t="n">
        <f aca="false">AG663*V663*3600/O663</f>
        <v>3.89189189189189</v>
      </c>
      <c r="AL663" s="102" t="n">
        <f aca="false">AJ663/AK663</f>
        <v>0.899305555555555</v>
      </c>
      <c r="AM663" s="99" t="n">
        <f aca="false">AE663*AL663*AH663</f>
        <v>0.899305555555555</v>
      </c>
      <c r="AN663" s="103" t="n">
        <v>3532</v>
      </c>
      <c r="AO663" s="112"/>
      <c r="AP663" s="105" t="n">
        <v>0</v>
      </c>
      <c r="AQ663" s="105" t="n">
        <v>0</v>
      </c>
      <c r="AR663" s="105" t="n">
        <v>0</v>
      </c>
      <c r="AS663" s="105" t="n">
        <v>0</v>
      </c>
      <c r="AT663" s="105" t="n">
        <v>0</v>
      </c>
      <c r="AU663" s="105" t="n">
        <v>0</v>
      </c>
      <c r="AV663" s="105" t="n">
        <v>0</v>
      </c>
      <c r="AW663" s="105" t="n">
        <v>0</v>
      </c>
      <c r="AX663" s="105" t="n">
        <v>0</v>
      </c>
      <c r="AY663" s="105" t="n">
        <v>0</v>
      </c>
      <c r="AZ663" s="105" t="n">
        <v>0</v>
      </c>
      <c r="BA663" s="105" t="n">
        <v>0</v>
      </c>
      <c r="BB663" s="105" t="n">
        <v>0</v>
      </c>
      <c r="BC663" s="105" t="n">
        <v>0</v>
      </c>
      <c r="BD663" s="105" t="n">
        <v>0</v>
      </c>
      <c r="BE663" s="105" t="n">
        <v>0</v>
      </c>
      <c r="BF663" s="105" t="n">
        <v>0</v>
      </c>
      <c r="BG663" s="105" t="n">
        <v>0</v>
      </c>
      <c r="BH663" s="105" t="n">
        <v>0</v>
      </c>
      <c r="BI663" s="105" t="n">
        <v>0</v>
      </c>
      <c r="BJ663" s="105" t="n">
        <v>0</v>
      </c>
      <c r="BK663" s="105" t="n">
        <v>0</v>
      </c>
      <c r="BL663" s="105" t="n">
        <v>0</v>
      </c>
      <c r="BM663" s="105" t="n">
        <v>0</v>
      </c>
      <c r="BN663" s="105" t="n">
        <v>0</v>
      </c>
      <c r="BO663" s="105" t="n">
        <v>0</v>
      </c>
      <c r="BP663" s="105" t="n">
        <v>0</v>
      </c>
      <c r="BQ663" s="105" t="n">
        <v>0</v>
      </c>
      <c r="BR663" s="106" t="n">
        <v>0</v>
      </c>
      <c r="BS663" s="106" t="n">
        <v>0</v>
      </c>
      <c r="BT663" s="107"/>
      <c r="BU663" s="107"/>
      <c r="BV663" s="107"/>
      <c r="BW663" s="107"/>
      <c r="BX663" s="107"/>
      <c r="BY663" s="107"/>
      <c r="BZ663" s="107"/>
      <c r="CA663" s="107"/>
      <c r="CB663" s="107"/>
      <c r="CC663" s="107"/>
      <c r="CD663" s="107"/>
      <c r="CE663" s="107"/>
      <c r="CF663" s="107"/>
      <c r="CG663" s="107"/>
      <c r="CH663" s="107"/>
      <c r="CI663" s="107"/>
      <c r="CJ663" s="107"/>
      <c r="CK663" s="107"/>
      <c r="CL663" s="107"/>
      <c r="CM663" s="107"/>
      <c r="CN663" s="107"/>
      <c r="CO663" s="107"/>
      <c r="CP663" s="107"/>
      <c r="CQ663" s="107"/>
      <c r="CR663" s="107"/>
      <c r="CS663" s="107"/>
      <c r="CT663" s="107"/>
      <c r="CU663" s="107"/>
      <c r="CV663" s="107"/>
    </row>
    <row r="664" customFormat="false" ht="14.9" hidden="false" customHeight="false" outlineLevel="0" collapsed="false">
      <c r="A664" s="74" t="n">
        <f aca="false">MONTH(B664)</f>
        <v>9</v>
      </c>
      <c r="B664" s="135" t="n">
        <v>44463</v>
      </c>
      <c r="C664" s="128" t="s">
        <v>51</v>
      </c>
      <c r="D664" s="77" t="str">
        <f aca="false">IFERROR(VLOOKUP(E:E,'Item Data Support Sheet'!A:O,7,0),"")</f>
        <v>NIPPLE MOLDED</v>
      </c>
      <c r="E664" s="80" t="s">
        <v>244</v>
      </c>
      <c r="F664" s="122" t="s">
        <v>137</v>
      </c>
      <c r="G664" s="137" t="s">
        <v>138</v>
      </c>
      <c r="H664" s="79" t="str">
        <f aca="false">IFERROR(VLOOKUP(E:E,'Item Data Support Sheet'!A:O,2,0),"")</f>
        <v>NIPPLE S TYPE S SIZE INJECTION</v>
      </c>
      <c r="I664" s="80" t="s">
        <v>1316</v>
      </c>
      <c r="J664" s="80" t="s">
        <v>143</v>
      </c>
      <c r="K664" s="81" t="n">
        <v>8</v>
      </c>
      <c r="L664" s="124" t="n">
        <v>4815</v>
      </c>
      <c r="M664" s="83" t="n">
        <f aca="false">IFERROR(L664/K664,0)</f>
        <v>601.875</v>
      </c>
      <c r="N664" s="84" t="n">
        <f aca="false">+O664+Q664+T664+U664</f>
        <v>4970</v>
      </c>
      <c r="O664" s="85" t="n">
        <v>4850</v>
      </c>
      <c r="P664" s="86" t="n">
        <v>0</v>
      </c>
      <c r="Q664" s="86" t="n">
        <v>38</v>
      </c>
      <c r="R664" s="132" t="n">
        <v>0</v>
      </c>
      <c r="S664" s="128" t="n">
        <v>0</v>
      </c>
      <c r="T664" s="132" t="n">
        <v>74</v>
      </c>
      <c r="U664" s="128" t="n">
        <v>8</v>
      </c>
      <c r="V664" s="128" t="n">
        <v>1</v>
      </c>
      <c r="W664" s="90" t="n">
        <f aca="false">IFERROR(O664/V664,0)</f>
        <v>4850</v>
      </c>
      <c r="X664" s="91" t="n">
        <f aca="false">O664/L664</f>
        <v>1.00726895119418</v>
      </c>
      <c r="Y664" s="92" t="str">
        <f aca="false">IFERROR(VLOOKUP(E:E,'Item Data Support Sheet'!A:J,6,0),0)</f>
        <v>Silicon</v>
      </c>
      <c r="Z664" s="93" t="n">
        <f aca="false">IFERROR(VLOOKUP(E:E,'Item Data Support Sheet'!A:O,4,0),0)</f>
        <v>6.8</v>
      </c>
      <c r="AA664" s="93" t="n">
        <f aca="false">IFERROR(((N664)*(Z664/1000))+P664,0)</f>
        <v>33.796</v>
      </c>
      <c r="AB664" s="94" t="n">
        <f aca="false">IFERROR((O664*(Z664/1000)/(AA664))," ")</f>
        <v>0.975855130784708</v>
      </c>
      <c r="AC664" s="95" t="n">
        <f aca="false">IFERROR((T664)/((T664)+O664),0)</f>
        <v>0.0150284321689683</v>
      </c>
      <c r="AD664" s="96" t="n">
        <f aca="false">IFERROR(Q664/(Q664+N664),0)</f>
        <v>0.00758785942492013</v>
      </c>
      <c r="AE664" s="91" t="n">
        <f aca="false">(N664-T664)/N664</f>
        <v>0.985110663983904</v>
      </c>
      <c r="AF664" s="97" t="n">
        <f aca="false">BR664</f>
        <v>0.5</v>
      </c>
      <c r="AG664" s="98" t="n">
        <f aca="false">K664-AF664</f>
        <v>7.5</v>
      </c>
      <c r="AH664" s="99" t="n">
        <f aca="false">IFERROR(AG664/K664," ")</f>
        <v>0.9375</v>
      </c>
      <c r="AI664" s="100" t="n">
        <f aca="false">IFERROR(O664/K664,0)</f>
        <v>606.25</v>
      </c>
      <c r="AJ664" s="101" t="n">
        <f aca="false">VLOOKUP(D664,'Standard Cycle time'!C:D,2,0)</f>
        <v>5.25</v>
      </c>
      <c r="AK664" s="101" t="n">
        <f aca="false">AG664*V664*3600/O664</f>
        <v>5.56701030927835</v>
      </c>
      <c r="AL664" s="102" t="n">
        <f aca="false">AJ664/AK664</f>
        <v>0.943055555555556</v>
      </c>
      <c r="AM664" s="99" t="n">
        <f aca="false">AE664*AL664*AH664</f>
        <v>0.870950704225352</v>
      </c>
      <c r="AN664" s="103" t="n">
        <v>3334</v>
      </c>
      <c r="AO664" s="112" t="s">
        <v>1317</v>
      </c>
      <c r="AP664" s="105" t="n">
        <v>0</v>
      </c>
      <c r="AQ664" s="105" t="n">
        <v>0</v>
      </c>
      <c r="AR664" s="105" t="n">
        <v>0</v>
      </c>
      <c r="AS664" s="105" t="n">
        <v>0</v>
      </c>
      <c r="AT664" s="105" t="n">
        <v>0</v>
      </c>
      <c r="AU664" s="105" t="n">
        <v>30</v>
      </c>
      <c r="AV664" s="105" t="n">
        <v>0</v>
      </c>
      <c r="AW664" s="105" t="n">
        <v>0</v>
      </c>
      <c r="AX664" s="105" t="n">
        <v>0</v>
      </c>
      <c r="AY664" s="105" t="n">
        <v>0</v>
      </c>
      <c r="AZ664" s="105" t="n">
        <v>0</v>
      </c>
      <c r="BA664" s="105" t="n">
        <v>0</v>
      </c>
      <c r="BB664" s="105" t="n">
        <v>0</v>
      </c>
      <c r="BC664" s="105" t="n">
        <v>0</v>
      </c>
      <c r="BD664" s="105" t="n">
        <v>0</v>
      </c>
      <c r="BE664" s="105" t="n">
        <v>0</v>
      </c>
      <c r="BF664" s="105" t="n">
        <v>0</v>
      </c>
      <c r="BG664" s="105" t="n">
        <v>0</v>
      </c>
      <c r="BH664" s="105" t="n">
        <v>0</v>
      </c>
      <c r="BI664" s="105" t="n">
        <v>0</v>
      </c>
      <c r="BJ664" s="105" t="n">
        <v>0</v>
      </c>
      <c r="BK664" s="105" t="n">
        <v>0</v>
      </c>
      <c r="BL664" s="105" t="n">
        <v>0</v>
      </c>
      <c r="BM664" s="105" t="n">
        <v>0</v>
      </c>
      <c r="BN664" s="105" t="n">
        <v>0</v>
      </c>
      <c r="BO664" s="105" t="n">
        <v>0</v>
      </c>
      <c r="BP664" s="105" t="n">
        <v>0</v>
      </c>
      <c r="BQ664" s="105" t="n">
        <v>0</v>
      </c>
      <c r="BR664" s="106" t="n">
        <v>0.5</v>
      </c>
      <c r="BS664" s="106" t="n">
        <v>0.508333333333333</v>
      </c>
      <c r="BT664" s="107"/>
      <c r="BU664" s="107"/>
      <c r="BV664" s="107"/>
      <c r="BW664" s="107"/>
      <c r="BX664" s="107"/>
      <c r="BY664" s="107"/>
      <c r="BZ664" s="107"/>
      <c r="CA664" s="107"/>
      <c r="CB664" s="107"/>
      <c r="CC664" s="107"/>
      <c r="CD664" s="107"/>
      <c r="CE664" s="107"/>
      <c r="CF664" s="107"/>
      <c r="CG664" s="107"/>
      <c r="CH664" s="107"/>
      <c r="CI664" s="107"/>
      <c r="CJ664" s="107"/>
      <c r="CK664" s="107"/>
      <c r="CL664" s="107"/>
      <c r="CM664" s="107"/>
      <c r="CN664" s="107"/>
      <c r="CO664" s="107"/>
      <c r="CP664" s="107"/>
      <c r="CQ664" s="107"/>
      <c r="CR664" s="107"/>
      <c r="CS664" s="107"/>
      <c r="CT664" s="107"/>
      <c r="CU664" s="107"/>
      <c r="CV664" s="107"/>
    </row>
    <row r="665" customFormat="false" ht="14.9" hidden="false" customHeight="false" outlineLevel="0" collapsed="false">
      <c r="A665" s="74" t="n">
        <f aca="false">MONTH(B665)</f>
        <v>9</v>
      </c>
      <c r="B665" s="135" t="n">
        <v>44463</v>
      </c>
      <c r="C665" s="128" t="s">
        <v>51</v>
      </c>
      <c r="D665" s="77" t="str">
        <f aca="false">IFERROR(VLOOKUP(E:E,'Item Data Support Sheet'!A:O,7,0),"")</f>
        <v>CAP MOLDED</v>
      </c>
      <c r="E665" s="80" t="s">
        <v>261</v>
      </c>
      <c r="F665" s="122"/>
      <c r="G665" s="137" t="s">
        <v>1215</v>
      </c>
      <c r="H665" s="79" t="str">
        <f aca="false">IFERROR(VLOOKUP(E:E,'Item Data Support Sheet'!A:O,2,0),"")</f>
        <v>CAP S TYPE MOLDED PINK</v>
      </c>
      <c r="I665" s="80" t="s">
        <v>1318</v>
      </c>
      <c r="J665" s="80" t="s">
        <v>143</v>
      </c>
      <c r="K665" s="81" t="n">
        <v>8</v>
      </c>
      <c r="L665" s="124" t="n">
        <v>4137</v>
      </c>
      <c r="M665" s="83" t="n">
        <f aca="false">IFERROR(L665/K665,0)</f>
        <v>517.125</v>
      </c>
      <c r="N665" s="84" t="n">
        <f aca="false">+O665+Q665+T665+U665</f>
        <v>5010</v>
      </c>
      <c r="O665" s="85" t="n">
        <v>5000</v>
      </c>
      <c r="P665" s="86" t="n">
        <v>0</v>
      </c>
      <c r="Q665" s="86" t="n">
        <v>0</v>
      </c>
      <c r="R665" s="132" t="n">
        <v>0</v>
      </c>
      <c r="S665" s="128" t="n">
        <v>0</v>
      </c>
      <c r="T665" s="132" t="n">
        <v>2</v>
      </c>
      <c r="U665" s="128" t="n">
        <v>8</v>
      </c>
      <c r="V665" s="128" t="n">
        <v>1</v>
      </c>
      <c r="W665" s="90" t="n">
        <f aca="false">IFERROR(O665/V665,0)</f>
        <v>5000</v>
      </c>
      <c r="X665" s="91" t="n">
        <f aca="false">O665/L665</f>
        <v>1.20860526951898</v>
      </c>
      <c r="Y665" s="92" t="str">
        <f aca="false">IFERROR(VLOOKUP(E:E,'Item Data Support Sheet'!A:J,6,0),0)</f>
        <v>RM000123</v>
      </c>
      <c r="Z665" s="93" t="n">
        <f aca="false">IFERROR(VLOOKUP(E:E,'Item Data Support Sheet'!A:O,4,0),0)</f>
        <v>7.3</v>
      </c>
      <c r="AA665" s="93" t="n">
        <f aca="false">IFERROR(((N665)*(Z665/1000))+P665,0)</f>
        <v>36.573</v>
      </c>
      <c r="AB665" s="94" t="n">
        <f aca="false">IFERROR((O665*(Z665/1000)/(AA665))," ")</f>
        <v>0.998003992015968</v>
      </c>
      <c r="AC665" s="95" t="n">
        <f aca="false">IFERROR((T665)/((T665)+O665),0)</f>
        <v>0.00039984006397441</v>
      </c>
      <c r="AD665" s="96" t="n">
        <f aca="false">IFERROR(Q665/(Q665+N665),0)</f>
        <v>0</v>
      </c>
      <c r="AE665" s="91" t="n">
        <f aca="false">(N665-T665)/N665</f>
        <v>0.999600798403194</v>
      </c>
      <c r="AF665" s="97" t="n">
        <f aca="false">BR665</f>
        <v>0</v>
      </c>
      <c r="AG665" s="98" t="n">
        <f aca="false">K665-AF665</f>
        <v>8</v>
      </c>
      <c r="AH665" s="99" t="n">
        <f aca="false">IFERROR(AG665/K665," ")</f>
        <v>1</v>
      </c>
      <c r="AI665" s="100" t="n">
        <f aca="false">IFERROR(O665/K665,0)</f>
        <v>625</v>
      </c>
      <c r="AJ665" s="101" t="n">
        <f aca="false">VLOOKUP(D665,'Standard Cycle time'!C:D,2,0)</f>
        <v>6</v>
      </c>
      <c r="AK665" s="101" t="n">
        <f aca="false">AG665*V665*3600/O665</f>
        <v>5.76</v>
      </c>
      <c r="AL665" s="102" t="n">
        <f aca="false">AJ665/AK665</f>
        <v>1.04166666666667</v>
      </c>
      <c r="AM665" s="99" t="n">
        <f aca="false">AE665*AL665*AH665</f>
        <v>1.04125083166999</v>
      </c>
      <c r="AN665" s="103" t="n">
        <v>3584</v>
      </c>
      <c r="AO665" s="112"/>
      <c r="AP665" s="105" t="n">
        <v>0</v>
      </c>
      <c r="AQ665" s="105" t="n">
        <v>0</v>
      </c>
      <c r="AR665" s="105" t="n">
        <v>0</v>
      </c>
      <c r="AS665" s="105" t="n">
        <v>0</v>
      </c>
      <c r="AT665" s="105" t="n">
        <v>0</v>
      </c>
      <c r="AU665" s="105" t="n">
        <v>0</v>
      </c>
      <c r="AV665" s="105" t="n">
        <v>0</v>
      </c>
      <c r="AW665" s="105" t="n">
        <v>0</v>
      </c>
      <c r="AX665" s="105" t="n">
        <v>0</v>
      </c>
      <c r="AY665" s="105" t="n">
        <v>0</v>
      </c>
      <c r="AZ665" s="105" t="n">
        <v>0</v>
      </c>
      <c r="BA665" s="105" t="n">
        <v>0</v>
      </c>
      <c r="BB665" s="105" t="n">
        <v>0</v>
      </c>
      <c r="BC665" s="105" t="n">
        <v>0</v>
      </c>
      <c r="BD665" s="105" t="n">
        <v>0</v>
      </c>
      <c r="BE665" s="105" t="n">
        <v>0</v>
      </c>
      <c r="BF665" s="105" t="n">
        <v>0</v>
      </c>
      <c r="BG665" s="105" t="n">
        <v>0</v>
      </c>
      <c r="BH665" s="105" t="n">
        <v>0</v>
      </c>
      <c r="BI665" s="105" t="n">
        <v>0</v>
      </c>
      <c r="BJ665" s="105" t="n">
        <v>0</v>
      </c>
      <c r="BK665" s="105" t="n">
        <v>0</v>
      </c>
      <c r="BL665" s="105" t="n">
        <v>0</v>
      </c>
      <c r="BM665" s="105" t="n">
        <v>0</v>
      </c>
      <c r="BN665" s="105" t="n">
        <v>0</v>
      </c>
      <c r="BO665" s="105" t="n">
        <v>0</v>
      </c>
      <c r="BP665" s="105" t="n">
        <v>0</v>
      </c>
      <c r="BQ665" s="105" t="n">
        <v>0</v>
      </c>
      <c r="BR665" s="106" t="n">
        <v>0</v>
      </c>
      <c r="BS665" s="106" t="n">
        <v>0</v>
      </c>
      <c r="BT665" s="107"/>
      <c r="BU665" s="107"/>
      <c r="BV665" s="107"/>
      <c r="BW665" s="107"/>
      <c r="BX665" s="107"/>
      <c r="BY665" s="107"/>
      <c r="BZ665" s="107"/>
      <c r="CA665" s="107"/>
      <c r="CB665" s="107"/>
      <c r="CC665" s="107"/>
      <c r="CD665" s="107"/>
      <c r="CE665" s="107"/>
      <c r="CF665" s="107"/>
      <c r="CG665" s="107"/>
      <c r="CH665" s="107"/>
      <c r="CI665" s="107"/>
      <c r="CJ665" s="107"/>
      <c r="CK665" s="107"/>
      <c r="CL665" s="107"/>
      <c r="CM665" s="107"/>
      <c r="CN665" s="107"/>
      <c r="CO665" s="107"/>
      <c r="CP665" s="107"/>
      <c r="CQ665" s="107"/>
      <c r="CR665" s="107"/>
      <c r="CS665" s="107"/>
      <c r="CT665" s="107"/>
      <c r="CU665" s="107"/>
      <c r="CV665" s="107"/>
    </row>
    <row r="666" customFormat="false" ht="14.9" hidden="false" customHeight="false" outlineLevel="0" collapsed="false">
      <c r="A666" s="74" t="n">
        <f aca="false">MONTH(B666)</f>
        <v>9</v>
      </c>
      <c r="B666" s="135" t="n">
        <v>44463</v>
      </c>
      <c r="C666" s="128" t="s">
        <v>51</v>
      </c>
      <c r="D666" s="77" t="str">
        <f aca="false">IFERROR(VLOOKUP(E:E,'Item Data Support Sheet'!A:O,7,0),"")</f>
        <v>BOTTLE MOLDED</v>
      </c>
      <c r="E666" s="80" t="s">
        <v>572</v>
      </c>
      <c r="F666" s="122" t="s">
        <v>589</v>
      </c>
      <c r="G666" s="137" t="s">
        <v>80</v>
      </c>
      <c r="H666" s="79" t="str">
        <f aca="false">IFERROR(VLOOKUP(E:E,'Item Data Support Sheet'!A:O,2,0),"")</f>
        <v>RPP 240 ML BOTTLE MOLDED</v>
      </c>
      <c r="I666" s="80" t="s">
        <v>1319</v>
      </c>
      <c r="J666" s="80" t="s">
        <v>143</v>
      </c>
      <c r="K666" s="81" t="n">
        <v>8</v>
      </c>
      <c r="L666" s="124" t="n">
        <v>2574</v>
      </c>
      <c r="M666" s="83" t="n">
        <f aca="false">IFERROR(L666/K666,0)</f>
        <v>321.75</v>
      </c>
      <c r="N666" s="84" t="n">
        <f aca="false">+O666+Q666+T666+U666</f>
        <v>1042</v>
      </c>
      <c r="O666" s="85" t="n">
        <v>960</v>
      </c>
      <c r="P666" s="86" t="n">
        <v>0.12</v>
      </c>
      <c r="Q666" s="86" t="n">
        <v>46</v>
      </c>
      <c r="R666" s="132" t="n">
        <v>0</v>
      </c>
      <c r="S666" s="128" t="n">
        <v>0</v>
      </c>
      <c r="T666" s="132" t="n">
        <v>28</v>
      </c>
      <c r="U666" s="128" t="n">
        <v>8</v>
      </c>
      <c r="V666" s="128" t="n">
        <v>1</v>
      </c>
      <c r="W666" s="90" t="n">
        <f aca="false">IFERROR(O666/V666,0)</f>
        <v>960</v>
      </c>
      <c r="X666" s="91" t="n">
        <f aca="false">O666/L666</f>
        <v>0.372960372960373</v>
      </c>
      <c r="Y666" s="92" t="str">
        <f aca="false">IFERROR(VLOOKUP(E:E,'Item Data Support Sheet'!A:J,6,0),0)</f>
        <v>HMC</v>
      </c>
      <c r="Z666" s="93" t="n">
        <f aca="false">IFERROR(VLOOKUP(E:E,'Item Data Support Sheet'!A:O,4,0),0)</f>
        <v>32.1</v>
      </c>
      <c r="AA666" s="93" t="n">
        <f aca="false">IFERROR(((N666)*(Z666/1000))+P666,0)</f>
        <v>33.5682</v>
      </c>
      <c r="AB666" s="94" t="n">
        <f aca="false">IFERROR((O666*(Z666/1000)/(AA666))," ")</f>
        <v>0.918011689634833</v>
      </c>
      <c r="AC666" s="95" t="n">
        <f aca="false">IFERROR((T666)/((T666)+O666),0)</f>
        <v>0.0283400809716599</v>
      </c>
      <c r="AD666" s="96" t="n">
        <f aca="false">IFERROR(Q666/(Q666+N666),0)</f>
        <v>0.0422794117647059</v>
      </c>
      <c r="AE666" s="91" t="n">
        <f aca="false">(N666-T666)/N666</f>
        <v>0.973128598848369</v>
      </c>
      <c r="AF666" s="97" t="n">
        <f aca="false">BR666</f>
        <v>5.66666666666667</v>
      </c>
      <c r="AG666" s="98" t="n">
        <f aca="false">K666-AF666</f>
        <v>2.33333333333333</v>
      </c>
      <c r="AH666" s="99" t="n">
        <f aca="false">IFERROR(AG666/K666," ")</f>
        <v>0.291666666666666</v>
      </c>
      <c r="AI666" s="100" t="n">
        <f aca="false">IFERROR(O666/K666,0)</f>
        <v>120</v>
      </c>
      <c r="AJ666" s="101" t="n">
        <f aca="false">VLOOKUP(D666,'Standard Cycle time'!C:D,2,0)</f>
        <v>9</v>
      </c>
      <c r="AK666" s="101" t="n">
        <f aca="false">AG666*V666*3600/O666</f>
        <v>8.74999999999999</v>
      </c>
      <c r="AL666" s="102" t="n">
        <f aca="false">AJ666/AK666</f>
        <v>1.02857142857143</v>
      </c>
      <c r="AM666" s="99" t="n">
        <f aca="false">AE666*AL666*AH666</f>
        <v>0.29193857965451</v>
      </c>
      <c r="AN666" s="103" t="n">
        <v>3690</v>
      </c>
      <c r="AO666" s="112" t="s">
        <v>1320</v>
      </c>
      <c r="AP666" s="105" t="n">
        <v>0</v>
      </c>
      <c r="AQ666" s="105" t="n">
        <v>0</v>
      </c>
      <c r="AR666" s="105" t="n">
        <v>160</v>
      </c>
      <c r="AS666" s="105" t="n">
        <v>0</v>
      </c>
      <c r="AT666" s="105" t="n">
        <v>0</v>
      </c>
      <c r="AU666" s="105" t="n">
        <v>0</v>
      </c>
      <c r="AV666" s="105" t="n">
        <v>120</v>
      </c>
      <c r="AW666" s="105" t="n">
        <v>0</v>
      </c>
      <c r="AX666" s="105" t="n">
        <v>0</v>
      </c>
      <c r="AY666" s="105" t="n">
        <v>0</v>
      </c>
      <c r="AZ666" s="105" t="n">
        <v>30</v>
      </c>
      <c r="BA666" s="105" t="n">
        <v>0</v>
      </c>
      <c r="BB666" s="105" t="n">
        <v>30</v>
      </c>
      <c r="BC666" s="105" t="n">
        <v>0</v>
      </c>
      <c r="BD666" s="105" t="n">
        <v>0</v>
      </c>
      <c r="BE666" s="105" t="n">
        <v>0</v>
      </c>
      <c r="BF666" s="105" t="n">
        <v>0</v>
      </c>
      <c r="BG666" s="105" t="n">
        <v>0</v>
      </c>
      <c r="BH666" s="105" t="n">
        <v>0</v>
      </c>
      <c r="BI666" s="105" t="n">
        <v>0</v>
      </c>
      <c r="BJ666" s="105" t="n">
        <v>0</v>
      </c>
      <c r="BK666" s="105" t="n">
        <v>0</v>
      </c>
      <c r="BL666" s="105" t="n">
        <v>0</v>
      </c>
      <c r="BM666" s="105" t="n">
        <v>0</v>
      </c>
      <c r="BN666" s="105" t="n">
        <v>0</v>
      </c>
      <c r="BO666" s="105" t="n">
        <v>0</v>
      </c>
      <c r="BP666" s="105" t="n">
        <v>0</v>
      </c>
      <c r="BQ666" s="105" t="n">
        <v>0</v>
      </c>
      <c r="BR666" s="106" t="n">
        <v>5.66666666666667</v>
      </c>
      <c r="BS666" s="106" t="n">
        <v>5.76111111111111</v>
      </c>
      <c r="BT666" s="107"/>
      <c r="BU666" s="107"/>
      <c r="BV666" s="107"/>
      <c r="BW666" s="107"/>
      <c r="BX666" s="107"/>
      <c r="BY666" s="107"/>
      <c r="BZ666" s="107"/>
      <c r="CA666" s="107"/>
      <c r="CB666" s="107"/>
      <c r="CC666" s="107"/>
      <c r="CD666" s="107"/>
      <c r="CE666" s="107"/>
      <c r="CF666" s="107"/>
      <c r="CG666" s="107"/>
      <c r="CH666" s="107"/>
      <c r="CI666" s="107"/>
      <c r="CJ666" s="107"/>
      <c r="CK666" s="107"/>
      <c r="CL666" s="107"/>
      <c r="CM666" s="107"/>
      <c r="CN666" s="107"/>
      <c r="CO666" s="107"/>
      <c r="CP666" s="107"/>
      <c r="CQ666" s="107"/>
      <c r="CR666" s="107"/>
      <c r="CS666" s="107"/>
      <c r="CT666" s="107"/>
      <c r="CU666" s="107"/>
      <c r="CV666" s="107"/>
    </row>
    <row r="667" customFormat="false" ht="14.9" hidden="false" customHeight="false" outlineLevel="0" collapsed="false">
      <c r="A667" s="74" t="n">
        <f aca="false">MONTH(B667)</f>
        <v>9</v>
      </c>
      <c r="B667" s="135" t="n">
        <v>44463</v>
      </c>
      <c r="C667" s="128" t="s">
        <v>63</v>
      </c>
      <c r="D667" s="77" t="str">
        <f aca="false">IFERROR(VLOOKUP(E:E,'Item Data Support Sheet'!A:O,7,0),"")</f>
        <v>BOTTLE PRINTED</v>
      </c>
      <c r="E667" s="80" t="s">
        <v>616</v>
      </c>
      <c r="F667" s="122"/>
      <c r="G667" s="137"/>
      <c r="H667" s="79" t="str">
        <f aca="false">IFERROR(VLOOKUP(E:E,'Item Data Support Sheet'!A:O,2,0),"")</f>
        <v>RPP 240ML GRL PNK BOTLE PNTD WM3GB W/BIS LOGO</v>
      </c>
      <c r="I667" s="80" t="s">
        <v>1321</v>
      </c>
      <c r="J667" s="80" t="s">
        <v>161</v>
      </c>
      <c r="K667" s="81" t="n">
        <v>1.2</v>
      </c>
      <c r="L667" s="124" t="n">
        <v>500</v>
      </c>
      <c r="M667" s="83" t="n">
        <f aca="false">IFERROR(L667/K667,0)</f>
        <v>416.666666666667</v>
      </c>
      <c r="N667" s="84" t="n">
        <f aca="false">+O667+Q667+T667+U667</f>
        <v>550</v>
      </c>
      <c r="O667" s="85" t="n">
        <v>542</v>
      </c>
      <c r="P667" s="86" t="n">
        <v>0</v>
      </c>
      <c r="Q667" s="86" t="n">
        <v>0</v>
      </c>
      <c r="R667" s="132" t="n">
        <v>11</v>
      </c>
      <c r="S667" s="128" t="n">
        <v>0</v>
      </c>
      <c r="T667" s="132" t="n">
        <v>8</v>
      </c>
      <c r="U667" s="128" t="n">
        <v>0</v>
      </c>
      <c r="V667" s="128" t="n">
        <v>6</v>
      </c>
      <c r="W667" s="90" t="n">
        <f aca="false">IFERROR(O667/V667,0)</f>
        <v>90.3333333333333</v>
      </c>
      <c r="X667" s="91" t="n">
        <f aca="false">O667/L667</f>
        <v>1.084</v>
      </c>
      <c r="Y667" s="92" t="str">
        <f aca="false">IFERROR(VLOOKUP(E:E,'Item Data Support Sheet'!A:J,6,0),0)</f>
        <v>FO057</v>
      </c>
      <c r="Z667" s="93" t="n">
        <f aca="false">IFERROR(VLOOKUP(E:E,'Item Data Support Sheet'!A:O,4,0),0)</f>
        <v>0</v>
      </c>
      <c r="AA667" s="93" t="n">
        <f aca="false">IFERROR(((N667)*(Z667/1000))+P667,0)</f>
        <v>0</v>
      </c>
      <c r="AB667" s="94" t="str">
        <f aca="false">IFERROR((O667*(Z667/1000)/(AA667))," ")</f>
        <v> </v>
      </c>
      <c r="AC667" s="95" t="n">
        <f aca="false">IFERROR((T667)/((T667)+O667),0)</f>
        <v>0.0145454545454545</v>
      </c>
      <c r="AD667" s="96" t="n">
        <f aca="false">IFERROR(Q667/(Q667+N667),0)</f>
        <v>0</v>
      </c>
      <c r="AE667" s="91" t="n">
        <f aca="false">(N667-T667)/N667</f>
        <v>0.985454545454545</v>
      </c>
      <c r="AF667" s="97" t="n">
        <f aca="false">BR667</f>
        <v>0.583333333333333</v>
      </c>
      <c r="AG667" s="98" t="n">
        <f aca="false">K667-AF667</f>
        <v>0.616666666666667</v>
      </c>
      <c r="AH667" s="99" t="n">
        <f aca="false">IFERROR(AG667/K667," ")</f>
        <v>0.513888888888889</v>
      </c>
      <c r="AI667" s="100" t="n">
        <f aca="false">IFERROR(O667/K667,0)</f>
        <v>451.666666666667</v>
      </c>
      <c r="AJ667" s="101" t="n">
        <f aca="false">VLOOKUP(D667,'Standard Cycle time'!C:D,2,0)</f>
        <v>32.4</v>
      </c>
      <c r="AK667" s="101" t="n">
        <f aca="false">AG667*V667*3600/O667</f>
        <v>24.5756457564576</v>
      </c>
      <c r="AL667" s="102" t="n">
        <f aca="false">AJ667/AK667</f>
        <v>1.31837837837838</v>
      </c>
      <c r="AM667" s="99" t="n">
        <f aca="false">AE667*AL667*AH667</f>
        <v>0.667645454545455</v>
      </c>
      <c r="AN667" s="103" t="s">
        <v>869</v>
      </c>
      <c r="AO667" s="112" t="s">
        <v>1322</v>
      </c>
      <c r="AP667" s="105" t="n">
        <v>10</v>
      </c>
      <c r="AQ667" s="105" t="n">
        <v>25</v>
      </c>
      <c r="AR667" s="105" t="n">
        <v>0</v>
      </c>
      <c r="AS667" s="105" t="n">
        <v>0</v>
      </c>
      <c r="AT667" s="105" t="n">
        <v>0</v>
      </c>
      <c r="AU667" s="105" t="n">
        <v>0</v>
      </c>
      <c r="AV667" s="105" t="n">
        <v>0</v>
      </c>
      <c r="AW667" s="105" t="n">
        <v>0</v>
      </c>
      <c r="AX667" s="105" t="n">
        <v>0</v>
      </c>
      <c r="AY667" s="105" t="n">
        <v>0</v>
      </c>
      <c r="AZ667" s="105" t="n">
        <v>0</v>
      </c>
      <c r="BA667" s="105" t="n">
        <v>0</v>
      </c>
      <c r="BB667" s="105" t="n">
        <v>0</v>
      </c>
      <c r="BC667" s="105" t="n">
        <v>0</v>
      </c>
      <c r="BD667" s="105" t="n">
        <v>0</v>
      </c>
      <c r="BE667" s="105" t="n">
        <v>0</v>
      </c>
      <c r="BF667" s="105" t="n">
        <v>0</v>
      </c>
      <c r="BG667" s="105" t="n">
        <v>0</v>
      </c>
      <c r="BH667" s="105" t="n">
        <v>0</v>
      </c>
      <c r="BI667" s="105" t="n">
        <v>0</v>
      </c>
      <c r="BJ667" s="105" t="n">
        <v>0</v>
      </c>
      <c r="BK667" s="105" t="n">
        <v>0</v>
      </c>
      <c r="BL667" s="105" t="n">
        <v>0</v>
      </c>
      <c r="BM667" s="105" t="n">
        <v>0</v>
      </c>
      <c r="BN667" s="105" t="n">
        <v>0</v>
      </c>
      <c r="BO667" s="105" t="n">
        <v>0</v>
      </c>
      <c r="BP667" s="105" t="n">
        <v>0</v>
      </c>
      <c r="BQ667" s="105" t="n">
        <v>0</v>
      </c>
      <c r="BR667" s="106" t="n">
        <v>0.583333333333333</v>
      </c>
      <c r="BS667" s="106" t="n">
        <v>0.593055555555556</v>
      </c>
      <c r="BT667" s="107"/>
      <c r="BU667" s="107"/>
      <c r="BV667" s="107"/>
      <c r="BW667" s="107"/>
      <c r="BX667" s="107"/>
      <c r="BY667" s="107"/>
      <c r="BZ667" s="107"/>
      <c r="CA667" s="107"/>
      <c r="CB667" s="107"/>
      <c r="CC667" s="107"/>
      <c r="CD667" s="107"/>
      <c r="CE667" s="107"/>
      <c r="CF667" s="107"/>
      <c r="CG667" s="107"/>
      <c r="CH667" s="107"/>
      <c r="CI667" s="107"/>
      <c r="CJ667" s="107"/>
      <c r="CK667" s="107"/>
      <c r="CL667" s="107"/>
      <c r="CM667" s="107"/>
      <c r="CN667" s="107"/>
      <c r="CO667" s="107"/>
      <c r="CP667" s="107"/>
      <c r="CQ667" s="107"/>
      <c r="CR667" s="107"/>
      <c r="CS667" s="107"/>
      <c r="CT667" s="107"/>
      <c r="CU667" s="107"/>
      <c r="CV667" s="107"/>
    </row>
    <row r="668" customFormat="false" ht="14.9" hidden="false" customHeight="false" outlineLevel="0" collapsed="false">
      <c r="A668" s="74" t="n">
        <f aca="false">MONTH(B668)</f>
        <v>9</v>
      </c>
      <c r="B668" s="135" t="n">
        <v>44463</v>
      </c>
      <c r="C668" s="128" t="s">
        <v>63</v>
      </c>
      <c r="D668" s="77" t="str">
        <f aca="false">IFERROR(VLOOKUP(E:E,'Item Data Support Sheet'!A:O,7,0),"")</f>
        <v>BOTTLE PRINTED</v>
      </c>
      <c r="E668" s="80" t="s">
        <v>1323</v>
      </c>
      <c r="F668" s="122"/>
      <c r="G668" s="137"/>
      <c r="H668" s="79" t="str">
        <f aca="false">IFERROR(VLOOKUP(E:E,'Item Data Support Sheet'!A:O,2,0),"")</f>
        <v>RPP 240ML ABSTRCT BLU BOTLE PNTD WM3GB W/BIS LOGO</v>
      </c>
      <c r="I668" s="80" t="s">
        <v>1324</v>
      </c>
      <c r="J668" s="80" t="s">
        <v>161</v>
      </c>
      <c r="K668" s="81" t="n">
        <v>3</v>
      </c>
      <c r="L668" s="124" t="n">
        <v>1275</v>
      </c>
      <c r="M668" s="83" t="n">
        <f aca="false">IFERROR(L668/K668,0)</f>
        <v>425</v>
      </c>
      <c r="N668" s="84" t="n">
        <f aca="false">+O668+Q668+T668+U668</f>
        <v>816</v>
      </c>
      <c r="O668" s="85" t="n">
        <v>802</v>
      </c>
      <c r="P668" s="86" t="n">
        <v>0</v>
      </c>
      <c r="Q668" s="86" t="n">
        <v>0</v>
      </c>
      <c r="R668" s="132" t="n">
        <v>12</v>
      </c>
      <c r="S668" s="128" t="n">
        <v>0</v>
      </c>
      <c r="T668" s="132" t="n">
        <v>14</v>
      </c>
      <c r="U668" s="128" t="n">
        <v>0</v>
      </c>
      <c r="V668" s="128" t="n">
        <v>6</v>
      </c>
      <c r="W668" s="90" t="n">
        <f aca="false">IFERROR(O668/V668,0)</f>
        <v>133.666666666667</v>
      </c>
      <c r="X668" s="91" t="n">
        <f aca="false">O668/L668</f>
        <v>0.629019607843137</v>
      </c>
      <c r="Y668" s="92" t="str">
        <f aca="false">IFERROR(VLOOKUP(E:E,'Item Data Support Sheet'!A:J,6,0),0)</f>
        <v>FO055</v>
      </c>
      <c r="Z668" s="93" t="n">
        <f aca="false">IFERROR(VLOOKUP(E:E,'Item Data Support Sheet'!A:O,4,0),0)</f>
        <v>0</v>
      </c>
      <c r="AA668" s="93" t="n">
        <f aca="false">IFERROR(((N668)*(Z668/1000))+P668,0)</f>
        <v>0</v>
      </c>
      <c r="AB668" s="94" t="str">
        <f aca="false">IFERROR((O668*(Z668/1000)/(AA668))," ")</f>
        <v> </v>
      </c>
      <c r="AC668" s="95" t="n">
        <f aca="false">IFERROR((T668)/((T668)+O668),0)</f>
        <v>0.017156862745098</v>
      </c>
      <c r="AD668" s="96" t="n">
        <f aca="false">IFERROR(Q668/(Q668+N668),0)</f>
        <v>0</v>
      </c>
      <c r="AE668" s="91" t="n">
        <f aca="false">(N668-T668)/N668</f>
        <v>0.982843137254902</v>
      </c>
      <c r="AF668" s="97" t="n">
        <f aca="false">BR668</f>
        <v>1.5</v>
      </c>
      <c r="AG668" s="98" t="n">
        <f aca="false">K668-AF668</f>
        <v>1.5</v>
      </c>
      <c r="AH668" s="99" t="n">
        <f aca="false">IFERROR(AG668/K668," ")</f>
        <v>0.5</v>
      </c>
      <c r="AI668" s="100" t="n">
        <f aca="false">IFERROR(O668/K668,0)</f>
        <v>267.333333333333</v>
      </c>
      <c r="AJ668" s="101" t="n">
        <f aca="false">VLOOKUP(D668,'Standard Cycle time'!C:D,2,0)</f>
        <v>32.4</v>
      </c>
      <c r="AK668" s="101" t="n">
        <f aca="false">AG668*V668*3600/O668</f>
        <v>40.3990024937656</v>
      </c>
      <c r="AL668" s="102" t="n">
        <f aca="false">AJ668/AK668</f>
        <v>0.802</v>
      </c>
      <c r="AM668" s="99" t="n">
        <f aca="false">AE668*AL668*AH668</f>
        <v>0.394120098039216</v>
      </c>
      <c r="AN668" s="103" t="s">
        <v>869</v>
      </c>
      <c r="AO668" s="112" t="s">
        <v>1325</v>
      </c>
      <c r="AP668" s="105" t="n">
        <v>40</v>
      </c>
      <c r="AQ668" s="105" t="n">
        <v>50</v>
      </c>
      <c r="AR668" s="105" t="n">
        <v>0</v>
      </c>
      <c r="AS668" s="105" t="n">
        <v>0</v>
      </c>
      <c r="AT668" s="105" t="n">
        <v>0</v>
      </c>
      <c r="AU668" s="105" t="n">
        <v>0</v>
      </c>
      <c r="AV668" s="105" t="n">
        <v>0</v>
      </c>
      <c r="AW668" s="105" t="n">
        <v>0</v>
      </c>
      <c r="AX668" s="105" t="n">
        <v>0</v>
      </c>
      <c r="AY668" s="105" t="n">
        <v>0</v>
      </c>
      <c r="AZ668" s="105" t="n">
        <v>0</v>
      </c>
      <c r="BA668" s="105" t="n">
        <v>0</v>
      </c>
      <c r="BB668" s="105" t="n">
        <v>0</v>
      </c>
      <c r="BC668" s="105" t="n">
        <v>0</v>
      </c>
      <c r="BD668" s="105" t="n">
        <v>0</v>
      </c>
      <c r="BE668" s="105" t="n">
        <v>0</v>
      </c>
      <c r="BF668" s="105" t="n">
        <v>0</v>
      </c>
      <c r="BG668" s="105" t="n">
        <v>0</v>
      </c>
      <c r="BH668" s="105" t="n">
        <v>0</v>
      </c>
      <c r="BI668" s="105" t="n">
        <v>0</v>
      </c>
      <c r="BJ668" s="105" t="n">
        <v>0</v>
      </c>
      <c r="BK668" s="105" t="n">
        <v>0</v>
      </c>
      <c r="BL668" s="105" t="n">
        <v>0</v>
      </c>
      <c r="BM668" s="105" t="n">
        <v>0</v>
      </c>
      <c r="BN668" s="105" t="n">
        <v>0</v>
      </c>
      <c r="BO668" s="105" t="n">
        <v>0</v>
      </c>
      <c r="BP668" s="105" t="n">
        <v>0</v>
      </c>
      <c r="BQ668" s="105" t="n">
        <v>0</v>
      </c>
      <c r="BR668" s="106" t="n">
        <v>1.5</v>
      </c>
      <c r="BS668" s="106" t="n">
        <v>1.525</v>
      </c>
      <c r="BT668" s="107"/>
      <c r="BU668" s="107"/>
      <c r="BV668" s="107"/>
      <c r="BW668" s="107"/>
      <c r="BX668" s="107"/>
      <c r="BY668" s="107"/>
      <c r="BZ668" s="107"/>
      <c r="CA668" s="107"/>
      <c r="CB668" s="107"/>
      <c r="CC668" s="107"/>
      <c r="CD668" s="107"/>
      <c r="CE668" s="107"/>
      <c r="CF668" s="107"/>
      <c r="CG668" s="107"/>
      <c r="CH668" s="107"/>
      <c r="CI668" s="107"/>
      <c r="CJ668" s="107"/>
      <c r="CK668" s="107"/>
      <c r="CL668" s="107"/>
      <c r="CM668" s="107"/>
      <c r="CN668" s="107"/>
      <c r="CO668" s="107"/>
      <c r="CP668" s="107"/>
      <c r="CQ668" s="107"/>
      <c r="CR668" s="107"/>
      <c r="CS668" s="107"/>
      <c r="CT668" s="107"/>
      <c r="CU668" s="107"/>
      <c r="CV668" s="107"/>
    </row>
    <row r="669" customFormat="false" ht="14.9" hidden="false" customHeight="false" outlineLevel="0" collapsed="false">
      <c r="A669" s="74" t="n">
        <f aca="false">MONTH(B669)</f>
        <v>9</v>
      </c>
      <c r="B669" s="135" t="n">
        <v>44463</v>
      </c>
      <c r="C669" s="128" t="s">
        <v>63</v>
      </c>
      <c r="D669" s="77" t="str">
        <f aca="false">IFERROR(VLOOKUP(E:E,'Item Data Support Sheet'!A:O,7,0),"")</f>
        <v>BOTTLE PRINTED</v>
      </c>
      <c r="E669" s="80" t="s">
        <v>1326</v>
      </c>
      <c r="F669" s="122"/>
      <c r="G669" s="137"/>
      <c r="H669" s="79" t="str">
        <f aca="false">IFERROR(VLOOKUP(E:E,'Item Data Support Sheet'!A:O,2,0),"")</f>
        <v>RPP 120ML ABSTRCT BLU BOTLE PNTD WM3GB W/BIS LOGO</v>
      </c>
      <c r="I669" s="80" t="s">
        <v>1327</v>
      </c>
      <c r="J669" s="80" t="s">
        <v>161</v>
      </c>
      <c r="K669" s="81" t="n">
        <v>2.9</v>
      </c>
      <c r="L669" s="124" t="n">
        <v>1200</v>
      </c>
      <c r="M669" s="83" t="n">
        <f aca="false">IFERROR(L669/K669,0)</f>
        <v>413.793103448276</v>
      </c>
      <c r="N669" s="84" t="n">
        <f aca="false">+O669+Q669+T669+U669</f>
        <v>1425</v>
      </c>
      <c r="O669" s="85" t="n">
        <v>1402</v>
      </c>
      <c r="P669" s="86" t="n">
        <v>0</v>
      </c>
      <c r="Q669" s="86" t="n">
        <v>0</v>
      </c>
      <c r="R669" s="132" t="n">
        <v>17</v>
      </c>
      <c r="S669" s="128" t="n">
        <v>0</v>
      </c>
      <c r="T669" s="132" t="n">
        <v>23</v>
      </c>
      <c r="U669" s="128" t="n">
        <v>0</v>
      </c>
      <c r="V669" s="128" t="n">
        <v>6</v>
      </c>
      <c r="W669" s="90" t="n">
        <f aca="false">IFERROR(O669/V669,0)</f>
        <v>233.666666666667</v>
      </c>
      <c r="X669" s="91" t="n">
        <f aca="false">O669/L669</f>
        <v>1.16833333333333</v>
      </c>
      <c r="Y669" s="92" t="str">
        <f aca="false">IFERROR(VLOOKUP(E:E,'Item Data Support Sheet'!A:J,6,0),0)</f>
        <v>FO054</v>
      </c>
      <c r="Z669" s="93" t="n">
        <f aca="false">IFERROR(VLOOKUP(E:E,'Item Data Support Sheet'!A:O,4,0),0)</f>
        <v>0</v>
      </c>
      <c r="AA669" s="93" t="n">
        <f aca="false">IFERROR(((N669)*(Z669/1000))+P669,0)</f>
        <v>0</v>
      </c>
      <c r="AB669" s="94" t="str">
        <f aca="false">IFERROR((O669*(Z669/1000)/(AA669))," ")</f>
        <v> </v>
      </c>
      <c r="AC669" s="95" t="n">
        <f aca="false">IFERROR((T669)/((T669)+O669),0)</f>
        <v>0.016140350877193</v>
      </c>
      <c r="AD669" s="96" t="n">
        <f aca="false">IFERROR(Q669/(Q669+N669),0)</f>
        <v>0</v>
      </c>
      <c r="AE669" s="91" t="n">
        <f aca="false">(N669-T669)/N669</f>
        <v>0.983859649122807</v>
      </c>
      <c r="AF669" s="97" t="n">
        <f aca="false">BR669</f>
        <v>0.5</v>
      </c>
      <c r="AG669" s="98" t="n">
        <f aca="false">K669-AF669</f>
        <v>2.4</v>
      </c>
      <c r="AH669" s="99" t="n">
        <f aca="false">IFERROR(AG669/K669," ")</f>
        <v>0.827586206896552</v>
      </c>
      <c r="AI669" s="100" t="n">
        <f aca="false">IFERROR(O669/K669,0)</f>
        <v>483.448275862069</v>
      </c>
      <c r="AJ669" s="101" t="n">
        <f aca="false">VLOOKUP(D669,'Standard Cycle time'!C:D,2,0)</f>
        <v>32.4</v>
      </c>
      <c r="AK669" s="101" t="n">
        <f aca="false">AG669*V669*3600/O669</f>
        <v>36.9757489300999</v>
      </c>
      <c r="AL669" s="102" t="n">
        <f aca="false">AJ669/AK669</f>
        <v>0.87625</v>
      </c>
      <c r="AM669" s="99" t="n">
        <f aca="false">AE669*AL669*AH669</f>
        <v>0.713467876588022</v>
      </c>
      <c r="AN669" s="103" t="s">
        <v>869</v>
      </c>
      <c r="AO669" s="112" t="s">
        <v>1328</v>
      </c>
      <c r="AP669" s="105" t="n">
        <v>0</v>
      </c>
      <c r="AQ669" s="105" t="n">
        <v>30</v>
      </c>
      <c r="AR669" s="105" t="n">
        <v>0</v>
      </c>
      <c r="AS669" s="105" t="n">
        <v>0</v>
      </c>
      <c r="AT669" s="105" t="n">
        <v>0</v>
      </c>
      <c r="AU669" s="105" t="n">
        <v>0</v>
      </c>
      <c r="AV669" s="105" t="n">
        <v>0</v>
      </c>
      <c r="AW669" s="105" t="n">
        <v>0</v>
      </c>
      <c r="AX669" s="105" t="n">
        <v>0</v>
      </c>
      <c r="AY669" s="105" t="n">
        <v>0</v>
      </c>
      <c r="AZ669" s="105" t="n">
        <v>0</v>
      </c>
      <c r="BA669" s="105" t="n">
        <v>0</v>
      </c>
      <c r="BB669" s="105" t="n">
        <v>0</v>
      </c>
      <c r="BC669" s="105" t="n">
        <v>0</v>
      </c>
      <c r="BD669" s="105" t="n">
        <v>0</v>
      </c>
      <c r="BE669" s="105" t="n">
        <v>0</v>
      </c>
      <c r="BF669" s="105" t="n">
        <v>0</v>
      </c>
      <c r="BG669" s="105" t="n">
        <v>0</v>
      </c>
      <c r="BH669" s="105" t="n">
        <v>0</v>
      </c>
      <c r="BI669" s="105" t="n">
        <v>0</v>
      </c>
      <c r="BJ669" s="105" t="n">
        <v>0</v>
      </c>
      <c r="BK669" s="105" t="n">
        <v>0</v>
      </c>
      <c r="BL669" s="105" t="n">
        <v>0</v>
      </c>
      <c r="BM669" s="105" t="n">
        <v>0</v>
      </c>
      <c r="BN669" s="105" t="n">
        <v>0</v>
      </c>
      <c r="BO669" s="105" t="n">
        <v>0</v>
      </c>
      <c r="BP669" s="105" t="n">
        <v>0</v>
      </c>
      <c r="BQ669" s="105" t="n">
        <v>0</v>
      </c>
      <c r="BR669" s="106" t="n">
        <v>0.5</v>
      </c>
      <c r="BS669" s="106" t="n">
        <v>0.508333333333333</v>
      </c>
      <c r="BT669" s="107"/>
      <c r="BU669" s="107"/>
      <c r="BV669" s="107"/>
      <c r="BW669" s="107"/>
      <c r="BX669" s="107"/>
      <c r="BY669" s="107"/>
      <c r="BZ669" s="107"/>
      <c r="CA669" s="107"/>
      <c r="CB669" s="107"/>
      <c r="CC669" s="107"/>
      <c r="CD669" s="107"/>
      <c r="CE669" s="107"/>
      <c r="CF669" s="107"/>
      <c r="CG669" s="107"/>
      <c r="CH669" s="107"/>
      <c r="CI669" s="107"/>
      <c r="CJ669" s="107"/>
      <c r="CK669" s="107"/>
      <c r="CL669" s="107"/>
      <c r="CM669" s="107"/>
      <c r="CN669" s="107"/>
      <c r="CO669" s="107"/>
      <c r="CP669" s="107"/>
      <c r="CQ669" s="107"/>
      <c r="CR669" s="107"/>
      <c r="CS669" s="107"/>
      <c r="CT669" s="107"/>
      <c r="CU669" s="107"/>
      <c r="CV669" s="107"/>
    </row>
    <row r="670" customFormat="false" ht="14.9" hidden="false" customHeight="false" outlineLevel="0" collapsed="false">
      <c r="A670" s="74" t="n">
        <f aca="false">MONTH(B670)</f>
        <v>9</v>
      </c>
      <c r="B670" s="135" t="n">
        <v>44463</v>
      </c>
      <c r="C670" s="128" t="s">
        <v>63</v>
      </c>
      <c r="D670" s="77" t="str">
        <f aca="false">IFERROR(VLOOKUP(E:E,'Item Data Support Sheet'!A:O,7,0),"")</f>
        <v>BOTTLE PRINTED</v>
      </c>
      <c r="E670" s="80" t="s">
        <v>654</v>
      </c>
      <c r="F670" s="122"/>
      <c r="G670" s="137"/>
      <c r="H670" s="79" t="str">
        <f aca="false">IFERROR(VLOOKUP(E:E,'Item Data Support Sheet'!A:O,2,0),"")</f>
        <v>RPP 120ML ABSTRCT PNK BOTLE PNTD WM3GB W/BIS LOGO</v>
      </c>
      <c r="I670" s="80" t="s">
        <v>1329</v>
      </c>
      <c r="J670" s="80" t="s">
        <v>161</v>
      </c>
      <c r="K670" s="81" t="n">
        <v>1.4</v>
      </c>
      <c r="L670" s="124" t="n">
        <v>650</v>
      </c>
      <c r="M670" s="83" t="n">
        <f aca="false">IFERROR(L670/K670,0)</f>
        <v>464.285714285714</v>
      </c>
      <c r="N670" s="84" t="n">
        <f aca="false">+O670+Q670+T670+U670</f>
        <v>791</v>
      </c>
      <c r="O670" s="85" t="n">
        <v>770</v>
      </c>
      <c r="P670" s="86" t="n">
        <v>0</v>
      </c>
      <c r="Q670" s="86" t="n">
        <v>0</v>
      </c>
      <c r="R670" s="132" t="n">
        <v>15</v>
      </c>
      <c r="S670" s="128" t="n">
        <v>0</v>
      </c>
      <c r="T670" s="132" t="n">
        <v>21</v>
      </c>
      <c r="U670" s="128" t="n">
        <v>0</v>
      </c>
      <c r="V670" s="128" t="n">
        <v>6</v>
      </c>
      <c r="W670" s="90" t="n">
        <f aca="false">IFERROR(O670/V670,0)</f>
        <v>128.333333333333</v>
      </c>
      <c r="X670" s="91" t="n">
        <f aca="false">O670/L670</f>
        <v>1.18461538461538</v>
      </c>
      <c r="Y670" s="92" t="str">
        <f aca="false">IFERROR(VLOOKUP(E:E,'Item Data Support Sheet'!A:J,6,0),0)</f>
        <v>FO052</v>
      </c>
      <c r="Z670" s="93" t="n">
        <f aca="false">IFERROR(VLOOKUP(E:E,'Item Data Support Sheet'!A:O,4,0),0)</f>
        <v>0</v>
      </c>
      <c r="AA670" s="93" t="n">
        <f aca="false">IFERROR(((N670)*(Z670/1000))+P670,0)</f>
        <v>0</v>
      </c>
      <c r="AB670" s="94" t="str">
        <f aca="false">IFERROR((O670*(Z670/1000)/(AA670))," ")</f>
        <v> </v>
      </c>
      <c r="AC670" s="95" t="n">
        <f aca="false">IFERROR((T670)/((T670)+O670),0)</f>
        <v>0.0265486725663717</v>
      </c>
      <c r="AD670" s="96" t="n">
        <f aca="false">IFERROR(Q670/(Q670+N670),0)</f>
        <v>0</v>
      </c>
      <c r="AE670" s="91" t="n">
        <f aca="false">(N670-T670)/N670</f>
        <v>0.973451327433628</v>
      </c>
      <c r="AF670" s="97" t="n">
        <f aca="false">BR670</f>
        <v>0</v>
      </c>
      <c r="AG670" s="98" t="n">
        <f aca="false">K670-AF670</f>
        <v>1.4</v>
      </c>
      <c r="AH670" s="99" t="n">
        <f aca="false">IFERROR(AG670/K670," ")</f>
        <v>1</v>
      </c>
      <c r="AI670" s="100" t="n">
        <f aca="false">IFERROR(O670/K670,0)</f>
        <v>550</v>
      </c>
      <c r="AJ670" s="101" t="n">
        <f aca="false">VLOOKUP(D670,'Standard Cycle time'!C:D,2,0)</f>
        <v>32.4</v>
      </c>
      <c r="AK670" s="101" t="n">
        <f aca="false">AG670*V670*3600/O670</f>
        <v>39.2727272727273</v>
      </c>
      <c r="AL670" s="102" t="n">
        <f aca="false">AJ670/AK670</f>
        <v>0.825</v>
      </c>
      <c r="AM670" s="99" t="n">
        <f aca="false">AE670*AL670*AH670</f>
        <v>0.803097345132743</v>
      </c>
      <c r="AN670" s="103" t="s">
        <v>869</v>
      </c>
      <c r="AO670" s="112"/>
      <c r="AP670" s="105" t="n">
        <v>0</v>
      </c>
      <c r="AQ670" s="105" t="n">
        <v>0</v>
      </c>
      <c r="AR670" s="105" t="n">
        <v>0</v>
      </c>
      <c r="AS670" s="105" t="n">
        <v>0</v>
      </c>
      <c r="AT670" s="105" t="n">
        <v>0</v>
      </c>
      <c r="AU670" s="105" t="n">
        <v>0</v>
      </c>
      <c r="AV670" s="105" t="n">
        <v>0</v>
      </c>
      <c r="AW670" s="105" t="n">
        <v>0</v>
      </c>
      <c r="AX670" s="105" t="n">
        <v>0</v>
      </c>
      <c r="AY670" s="105" t="n">
        <v>0</v>
      </c>
      <c r="AZ670" s="105" t="n">
        <v>0</v>
      </c>
      <c r="BA670" s="105" t="n">
        <v>0</v>
      </c>
      <c r="BB670" s="105" t="n">
        <v>0</v>
      </c>
      <c r="BC670" s="105" t="n">
        <v>0</v>
      </c>
      <c r="BD670" s="105" t="n">
        <v>0</v>
      </c>
      <c r="BE670" s="105" t="n">
        <v>0</v>
      </c>
      <c r="BF670" s="105" t="n">
        <v>0</v>
      </c>
      <c r="BG670" s="105" t="n">
        <v>0</v>
      </c>
      <c r="BH670" s="105" t="n">
        <v>0</v>
      </c>
      <c r="BI670" s="105" t="n">
        <v>0</v>
      </c>
      <c r="BJ670" s="105" t="n">
        <v>0</v>
      </c>
      <c r="BK670" s="105" t="n">
        <v>0</v>
      </c>
      <c r="BL670" s="105" t="n">
        <v>0</v>
      </c>
      <c r="BM670" s="105" t="n">
        <v>0</v>
      </c>
      <c r="BN670" s="105" t="n">
        <v>0</v>
      </c>
      <c r="BO670" s="105" t="n">
        <v>0</v>
      </c>
      <c r="BP670" s="105" t="n">
        <v>0</v>
      </c>
      <c r="BQ670" s="105" t="n">
        <v>0</v>
      </c>
      <c r="BR670" s="106" t="n">
        <v>0</v>
      </c>
      <c r="BS670" s="106" t="n">
        <v>0</v>
      </c>
      <c r="BT670" s="107"/>
      <c r="BU670" s="107"/>
      <c r="BV670" s="107"/>
      <c r="BW670" s="107"/>
      <c r="BX670" s="107"/>
      <c r="BY670" s="107"/>
      <c r="BZ670" s="107"/>
      <c r="CA670" s="107"/>
      <c r="CB670" s="107"/>
      <c r="CC670" s="107"/>
      <c r="CD670" s="107"/>
      <c r="CE670" s="107"/>
      <c r="CF670" s="107"/>
      <c r="CG670" s="107"/>
      <c r="CH670" s="107"/>
      <c r="CI670" s="107"/>
      <c r="CJ670" s="107"/>
      <c r="CK670" s="107"/>
      <c r="CL670" s="107"/>
      <c r="CM670" s="107"/>
      <c r="CN670" s="107"/>
      <c r="CO670" s="107"/>
      <c r="CP670" s="107"/>
      <c r="CQ670" s="107"/>
      <c r="CR670" s="107"/>
      <c r="CS670" s="107"/>
      <c r="CT670" s="107"/>
      <c r="CU670" s="107"/>
      <c r="CV670" s="107"/>
    </row>
    <row r="671" customFormat="false" ht="14.9" hidden="false" customHeight="false" outlineLevel="0" collapsed="false">
      <c r="A671" s="74" t="n">
        <f aca="false">MONTH(B671)</f>
        <v>9</v>
      </c>
      <c r="B671" s="135" t="n">
        <v>44463</v>
      </c>
      <c r="C671" s="128" t="s">
        <v>70</v>
      </c>
      <c r="D671" s="77" t="str">
        <f aca="false">IFERROR(VLOOKUP(E:E,'Item Data Support Sheet'!A:O,7,0),"")</f>
        <v>CAP MOLDED</v>
      </c>
      <c r="E671" s="80" t="s">
        <v>261</v>
      </c>
      <c r="F671" s="122"/>
      <c r="G671" s="137" t="s">
        <v>1215</v>
      </c>
      <c r="H671" s="79" t="str">
        <f aca="false">IFERROR(VLOOKUP(E:E,'Item Data Support Sheet'!A:O,2,0),"")</f>
        <v>CAP S TYPE MOLDED PINK</v>
      </c>
      <c r="I671" s="80" t="s">
        <v>1330</v>
      </c>
      <c r="J671" s="80" t="s">
        <v>155</v>
      </c>
      <c r="K671" s="81" t="n">
        <v>2</v>
      </c>
      <c r="L671" s="124" t="n">
        <v>1034</v>
      </c>
      <c r="M671" s="83" t="n">
        <f aca="false">IFERROR(L671/K671,0)</f>
        <v>517</v>
      </c>
      <c r="N671" s="84" t="n">
        <f aca="false">+O671+Q671+T671+U671</f>
        <v>1456</v>
      </c>
      <c r="O671" s="85" t="n">
        <v>1450</v>
      </c>
      <c r="P671" s="86" t="n">
        <v>0.6</v>
      </c>
      <c r="Q671" s="86" t="n">
        <v>0</v>
      </c>
      <c r="R671" s="132" t="n">
        <v>0</v>
      </c>
      <c r="S671" s="128" t="n">
        <v>0</v>
      </c>
      <c r="T671" s="132" t="n">
        <v>6</v>
      </c>
      <c r="U671" s="128" t="n">
        <v>0</v>
      </c>
      <c r="V671" s="128" t="n">
        <v>1</v>
      </c>
      <c r="W671" s="90" t="n">
        <f aca="false">IFERROR(O671/V671,0)</f>
        <v>1450</v>
      </c>
      <c r="X671" s="91" t="n">
        <f aca="false">O671/L671</f>
        <v>1.40232108317215</v>
      </c>
      <c r="Y671" s="92" t="str">
        <f aca="false">IFERROR(VLOOKUP(E:E,'Item Data Support Sheet'!A:J,6,0),0)</f>
        <v>RM000123</v>
      </c>
      <c r="Z671" s="93" t="n">
        <f aca="false">IFERROR(VLOOKUP(E:E,'Item Data Support Sheet'!A:O,4,0),0)</f>
        <v>7.3</v>
      </c>
      <c r="AA671" s="93" t="n">
        <f aca="false">IFERROR(((N671)*(Z671/1000))+P671,0)</f>
        <v>11.2288</v>
      </c>
      <c r="AB671" s="94" t="n">
        <f aca="false">IFERROR((O671*(Z671/1000)/(AA671))," ")</f>
        <v>0.942665289256198</v>
      </c>
      <c r="AC671" s="95" t="n">
        <f aca="false">IFERROR((T671)/((T671)+O671),0)</f>
        <v>0.00412087912087912</v>
      </c>
      <c r="AD671" s="96" t="n">
        <f aca="false">IFERROR(Q671/(Q671+N671),0)</f>
        <v>0</v>
      </c>
      <c r="AE671" s="91" t="n">
        <f aca="false">(N671-T671)/N671</f>
        <v>0.995879120879121</v>
      </c>
      <c r="AF671" s="97" t="n">
        <f aca="false">BR671</f>
        <v>0</v>
      </c>
      <c r="AG671" s="98" t="n">
        <f aca="false">K671-AF671</f>
        <v>2</v>
      </c>
      <c r="AH671" s="99" t="n">
        <f aca="false">IFERROR(AG671/K671," ")</f>
        <v>1</v>
      </c>
      <c r="AI671" s="100" t="n">
        <f aca="false">IFERROR(O671/K671,0)</f>
        <v>725</v>
      </c>
      <c r="AJ671" s="101" t="n">
        <f aca="false">VLOOKUP(D671,'Standard Cycle time'!C:D,2,0)</f>
        <v>6</v>
      </c>
      <c r="AK671" s="101" t="n">
        <f aca="false">AG671*V671*3600/O671</f>
        <v>4.96551724137931</v>
      </c>
      <c r="AL671" s="102" t="n">
        <f aca="false">AJ671/AK671</f>
        <v>1.20833333333333</v>
      </c>
      <c r="AM671" s="99" t="n">
        <f aca="false">AE671*AL671*AH671</f>
        <v>1.20335393772894</v>
      </c>
      <c r="AN671" s="103" t="n">
        <v>3541</v>
      </c>
      <c r="AO671" s="112" t="s">
        <v>1331</v>
      </c>
      <c r="AP671" s="105" t="n">
        <v>0</v>
      </c>
      <c r="AQ671" s="105" t="n">
        <v>0</v>
      </c>
      <c r="AR671" s="105" t="n">
        <v>0</v>
      </c>
      <c r="AS671" s="105" t="n">
        <v>0</v>
      </c>
      <c r="AT671" s="105" t="n">
        <v>0</v>
      </c>
      <c r="AU671" s="105" t="n">
        <v>0</v>
      </c>
      <c r="AV671" s="105" t="n">
        <v>0</v>
      </c>
      <c r="AW671" s="105" t="n">
        <v>0</v>
      </c>
      <c r="AX671" s="105" t="n">
        <v>0</v>
      </c>
      <c r="AY671" s="105" t="n">
        <v>0</v>
      </c>
      <c r="AZ671" s="105" t="n">
        <v>0</v>
      </c>
      <c r="BA671" s="105" t="n">
        <v>0</v>
      </c>
      <c r="BB671" s="105" t="n">
        <v>0</v>
      </c>
      <c r="BC671" s="105" t="n">
        <v>0</v>
      </c>
      <c r="BD671" s="105" t="n">
        <v>0</v>
      </c>
      <c r="BE671" s="105" t="n">
        <v>0</v>
      </c>
      <c r="BF671" s="105" t="n">
        <v>0</v>
      </c>
      <c r="BG671" s="105" t="n">
        <v>0</v>
      </c>
      <c r="BH671" s="105" t="n">
        <v>0</v>
      </c>
      <c r="BI671" s="105" t="n">
        <v>0</v>
      </c>
      <c r="BJ671" s="105" t="n">
        <v>0</v>
      </c>
      <c r="BK671" s="105" t="n">
        <v>0</v>
      </c>
      <c r="BL671" s="105" t="n">
        <v>0</v>
      </c>
      <c r="BM671" s="105" t="n">
        <v>0</v>
      </c>
      <c r="BN671" s="105" t="n">
        <v>0</v>
      </c>
      <c r="BO671" s="105" t="n">
        <v>0</v>
      </c>
      <c r="BP671" s="105" t="n">
        <v>0</v>
      </c>
      <c r="BQ671" s="105" t="n">
        <v>0</v>
      </c>
      <c r="BR671" s="106" t="n">
        <v>0</v>
      </c>
      <c r="BS671" s="106" t="n">
        <v>0</v>
      </c>
      <c r="BT671" s="107"/>
      <c r="BU671" s="107"/>
      <c r="BV671" s="107"/>
      <c r="BW671" s="107"/>
      <c r="BX671" s="107"/>
      <c r="BY671" s="107"/>
      <c r="BZ671" s="107"/>
      <c r="CA671" s="107"/>
      <c r="CB671" s="107"/>
      <c r="CC671" s="107"/>
      <c r="CD671" s="107"/>
      <c r="CE671" s="107"/>
      <c r="CF671" s="107"/>
      <c r="CG671" s="107"/>
      <c r="CH671" s="107"/>
      <c r="CI671" s="107"/>
      <c r="CJ671" s="107"/>
      <c r="CK671" s="107"/>
      <c r="CL671" s="107"/>
      <c r="CM671" s="107"/>
      <c r="CN671" s="107"/>
      <c r="CO671" s="107"/>
      <c r="CP671" s="107"/>
      <c r="CQ671" s="107"/>
      <c r="CR671" s="107"/>
      <c r="CS671" s="107"/>
      <c r="CT671" s="107"/>
      <c r="CU671" s="107"/>
      <c r="CV671" s="107"/>
    </row>
    <row r="672" customFormat="false" ht="14.9" hidden="false" customHeight="false" outlineLevel="0" collapsed="false">
      <c r="A672" s="74" t="n">
        <f aca="false">MONTH(B672)</f>
        <v>9</v>
      </c>
      <c r="B672" s="135" t="n">
        <v>44463</v>
      </c>
      <c r="C672" s="128" t="s">
        <v>63</v>
      </c>
      <c r="D672" s="77" t="str">
        <f aca="false">IFERROR(VLOOKUP(E:E,'Item Data Support Sheet'!A:O,7,0),"")</f>
        <v>NIPPLE PUNCH INSPECTED</v>
      </c>
      <c r="E672" s="80" t="s">
        <v>901</v>
      </c>
      <c r="F672" s="122"/>
      <c r="G672" s="137"/>
      <c r="H672" s="79" t="str">
        <f aca="false">IFERROR(VLOOKUP(E:E,'Item Data Support Sheet'!A:O,2,0),"")</f>
        <v>NIPPLE S TYPE Y SIZE PUNCHED INSPECTED</v>
      </c>
      <c r="I672" s="80" t="s">
        <v>1332</v>
      </c>
      <c r="J672" s="80" t="s">
        <v>155</v>
      </c>
      <c r="K672" s="81" t="n">
        <v>5</v>
      </c>
      <c r="L672" s="124" t="n">
        <v>8060</v>
      </c>
      <c r="M672" s="83" t="n">
        <f aca="false">IFERROR(L672/K672,0)</f>
        <v>1612</v>
      </c>
      <c r="N672" s="84" t="n">
        <f aca="false">+O672+Q672+T672+U672</f>
        <v>8043</v>
      </c>
      <c r="O672" s="85" t="n">
        <v>8004</v>
      </c>
      <c r="P672" s="86" t="n">
        <v>0</v>
      </c>
      <c r="Q672" s="86" t="n">
        <v>0</v>
      </c>
      <c r="R672" s="132" t="n">
        <v>0</v>
      </c>
      <c r="S672" s="128" t="n">
        <v>0</v>
      </c>
      <c r="T672" s="132" t="n">
        <v>39</v>
      </c>
      <c r="U672" s="128" t="n">
        <v>0</v>
      </c>
      <c r="V672" s="128" t="n">
        <v>2</v>
      </c>
      <c r="W672" s="90" t="n">
        <f aca="false">IFERROR(O672/V672,0)</f>
        <v>4002</v>
      </c>
      <c r="X672" s="91" t="n">
        <f aca="false">O672/L672</f>
        <v>0.993052109181141</v>
      </c>
      <c r="Y672" s="92" t="str">
        <f aca="false">IFERROR(VLOOKUP(E:E,'Item Data Support Sheet'!A:J,6,0),0)</f>
        <v>FO107</v>
      </c>
      <c r="Z672" s="93" t="n">
        <f aca="false">IFERROR(VLOOKUP(E:E,'Item Data Support Sheet'!A:O,4,0),0)</f>
        <v>0</v>
      </c>
      <c r="AA672" s="93" t="n">
        <f aca="false">IFERROR(((N672)*(Z672/1000))+P672,0)</f>
        <v>0</v>
      </c>
      <c r="AB672" s="94" t="str">
        <f aca="false">IFERROR((O672*(Z672/1000)/(AA672))," ")</f>
        <v> </v>
      </c>
      <c r="AC672" s="95" t="n">
        <f aca="false">IFERROR((T672)/((T672)+O672),0)</f>
        <v>0.00484893696381947</v>
      </c>
      <c r="AD672" s="96" t="n">
        <f aca="false">IFERROR(Q672/(Q672+N672),0)</f>
        <v>0</v>
      </c>
      <c r="AE672" s="91" t="n">
        <f aca="false">(N672-T672)/N672</f>
        <v>0.99515106303618</v>
      </c>
      <c r="AF672" s="97" t="n">
        <f aca="false">BR672</f>
        <v>0</v>
      </c>
      <c r="AG672" s="98" t="n">
        <f aca="false">K672-AF672</f>
        <v>5</v>
      </c>
      <c r="AH672" s="99" t="n">
        <f aca="false">IFERROR(AG672/K672," ")</f>
        <v>1</v>
      </c>
      <c r="AI672" s="100" t="n">
        <f aca="false">IFERROR(O672/K672,0)</f>
        <v>1600.8</v>
      </c>
      <c r="AJ672" s="101" t="n">
        <f aca="false">VLOOKUP(D672,'Standard Cycle time'!C:D,2,0)</f>
        <v>4</v>
      </c>
      <c r="AK672" s="101" t="n">
        <f aca="false">AG672*V672*3600/O672</f>
        <v>4.49775112443778</v>
      </c>
      <c r="AL672" s="102" t="n">
        <f aca="false">AJ672/AK672</f>
        <v>0.889333333333333</v>
      </c>
      <c r="AM672" s="99" t="n">
        <f aca="false">AE672*AL672*AH672</f>
        <v>0.885021012060176</v>
      </c>
      <c r="AN672" s="103" t="s">
        <v>1333</v>
      </c>
      <c r="AO672" s="112"/>
      <c r="AP672" s="105" t="n">
        <v>0</v>
      </c>
      <c r="AQ672" s="105" t="n">
        <v>0</v>
      </c>
      <c r="AR672" s="105" t="n">
        <v>0</v>
      </c>
      <c r="AS672" s="105" t="n">
        <v>0</v>
      </c>
      <c r="AT672" s="105" t="n">
        <v>0</v>
      </c>
      <c r="AU672" s="105" t="n">
        <v>0</v>
      </c>
      <c r="AV672" s="105" t="n">
        <v>0</v>
      </c>
      <c r="AW672" s="105" t="n">
        <v>0</v>
      </c>
      <c r="AX672" s="105" t="n">
        <v>0</v>
      </c>
      <c r="AY672" s="105" t="n">
        <v>0</v>
      </c>
      <c r="AZ672" s="105" t="n">
        <v>0</v>
      </c>
      <c r="BA672" s="105" t="n">
        <v>0</v>
      </c>
      <c r="BB672" s="105" t="n">
        <v>0</v>
      </c>
      <c r="BC672" s="105" t="n">
        <v>0</v>
      </c>
      <c r="BD672" s="105" t="n">
        <v>0</v>
      </c>
      <c r="BE672" s="105" t="n">
        <v>0</v>
      </c>
      <c r="BF672" s="105" t="n">
        <v>0</v>
      </c>
      <c r="BG672" s="105" t="n">
        <v>0</v>
      </c>
      <c r="BH672" s="105" t="n">
        <v>0</v>
      </c>
      <c r="BI672" s="105" t="n">
        <v>0</v>
      </c>
      <c r="BJ672" s="105" t="n">
        <v>0</v>
      </c>
      <c r="BK672" s="105" t="n">
        <v>0</v>
      </c>
      <c r="BL672" s="105" t="n">
        <v>0</v>
      </c>
      <c r="BM672" s="105" t="n">
        <v>0</v>
      </c>
      <c r="BN672" s="105" t="n">
        <v>0</v>
      </c>
      <c r="BO672" s="105" t="n">
        <v>0</v>
      </c>
      <c r="BP672" s="105" t="n">
        <v>0</v>
      </c>
      <c r="BQ672" s="105" t="n">
        <v>0</v>
      </c>
      <c r="BR672" s="106" t="n">
        <v>0</v>
      </c>
      <c r="BS672" s="106" t="n">
        <v>0</v>
      </c>
      <c r="BT672" s="107"/>
      <c r="BU672" s="107"/>
      <c r="BV672" s="107"/>
      <c r="BW672" s="107"/>
      <c r="BX672" s="107"/>
      <c r="BY672" s="107"/>
      <c r="BZ672" s="107"/>
      <c r="CA672" s="107"/>
      <c r="CB672" s="107"/>
      <c r="CC672" s="107"/>
      <c r="CD672" s="107"/>
      <c r="CE672" s="107"/>
      <c r="CF672" s="107"/>
      <c r="CG672" s="107"/>
      <c r="CH672" s="107"/>
      <c r="CI672" s="107"/>
      <c r="CJ672" s="107"/>
      <c r="CK672" s="107"/>
      <c r="CL672" s="107"/>
      <c r="CM672" s="107"/>
      <c r="CN672" s="107"/>
      <c r="CO672" s="107"/>
      <c r="CP672" s="107"/>
      <c r="CQ672" s="107"/>
      <c r="CR672" s="107"/>
      <c r="CS672" s="107"/>
      <c r="CT672" s="107"/>
      <c r="CU672" s="107"/>
      <c r="CV672" s="107"/>
    </row>
    <row r="673" customFormat="false" ht="14.9" hidden="false" customHeight="false" outlineLevel="0" collapsed="false">
      <c r="A673" s="74" t="n">
        <f aca="false">MONTH(B673)</f>
        <v>9</v>
      </c>
      <c r="B673" s="135" t="n">
        <v>44463</v>
      </c>
      <c r="C673" s="128" t="s">
        <v>63</v>
      </c>
      <c r="D673" s="77" t="str">
        <f aca="false">IFERROR(VLOOKUP(E:E,'Item Data Support Sheet'!A:O,7,0),"")</f>
        <v>NIPPLE PUNCH INSPECTED</v>
      </c>
      <c r="E673" s="80" t="s">
        <v>297</v>
      </c>
      <c r="F673" s="122"/>
      <c r="G673" s="137"/>
      <c r="H673" s="79" t="str">
        <f aca="false">IFERROR(VLOOKUP(E:E,'Item Data Support Sheet'!A:O,2,0),"")</f>
        <v>NIPPLE S TYPE S SIZE PUNCHED INSPECTED</v>
      </c>
      <c r="I673" s="80" t="s">
        <v>1334</v>
      </c>
      <c r="J673" s="80" t="s">
        <v>155</v>
      </c>
      <c r="K673" s="81" t="n">
        <v>3</v>
      </c>
      <c r="L673" s="124" t="n">
        <v>6122</v>
      </c>
      <c r="M673" s="83" t="n">
        <f aca="false">IFERROR(L673/K673,0)</f>
        <v>2040.66666666667</v>
      </c>
      <c r="N673" s="84" t="n">
        <f aca="false">+O673+Q673+T673+U673</f>
        <v>5700</v>
      </c>
      <c r="O673" s="85" t="n">
        <v>5683</v>
      </c>
      <c r="P673" s="86" t="n">
        <v>0</v>
      </c>
      <c r="Q673" s="86" t="n">
        <v>0</v>
      </c>
      <c r="R673" s="132" t="n">
        <v>0</v>
      </c>
      <c r="S673" s="128" t="n">
        <v>0</v>
      </c>
      <c r="T673" s="132" t="n">
        <v>17</v>
      </c>
      <c r="U673" s="128" t="n">
        <v>0</v>
      </c>
      <c r="V673" s="128" t="n">
        <v>2</v>
      </c>
      <c r="W673" s="90" t="n">
        <f aca="false">IFERROR(O673/V673,0)</f>
        <v>2841.5</v>
      </c>
      <c r="X673" s="91" t="n">
        <f aca="false">O673/L673</f>
        <v>0.928291408036589</v>
      </c>
      <c r="Y673" s="92" t="str">
        <f aca="false">IFERROR(VLOOKUP(E:E,'Item Data Support Sheet'!A:J,6,0),0)</f>
        <v>FO104</v>
      </c>
      <c r="Z673" s="93" t="n">
        <f aca="false">IFERROR(VLOOKUP(E:E,'Item Data Support Sheet'!A:O,4,0),0)</f>
        <v>0</v>
      </c>
      <c r="AA673" s="93" t="n">
        <f aca="false">IFERROR(((N673)*(Z673/1000))+P673,0)</f>
        <v>0</v>
      </c>
      <c r="AB673" s="94" t="str">
        <f aca="false">IFERROR((O673*(Z673/1000)/(AA673))," ")</f>
        <v> </v>
      </c>
      <c r="AC673" s="95" t="n">
        <f aca="false">IFERROR((T673)/((T673)+O673),0)</f>
        <v>0.00298245614035088</v>
      </c>
      <c r="AD673" s="96" t="n">
        <f aca="false">IFERROR(Q673/(Q673+N673),0)</f>
        <v>0</v>
      </c>
      <c r="AE673" s="91" t="n">
        <f aca="false">(N673-T673)/N673</f>
        <v>0.997017543859649</v>
      </c>
      <c r="AF673" s="97" t="n">
        <f aca="false">BR673</f>
        <v>0.833333333333333</v>
      </c>
      <c r="AG673" s="98" t="n">
        <f aca="false">K673-AF673</f>
        <v>2.16666666666667</v>
      </c>
      <c r="AH673" s="99" t="n">
        <f aca="false">IFERROR(AG673/K673," ")</f>
        <v>0.722222222222222</v>
      </c>
      <c r="AI673" s="100" t="n">
        <f aca="false">IFERROR(O673/K673,0)</f>
        <v>1894.33333333333</v>
      </c>
      <c r="AJ673" s="101" t="n">
        <f aca="false">VLOOKUP(D673,'Standard Cycle time'!C:D,2,0)</f>
        <v>4</v>
      </c>
      <c r="AK673" s="101" t="n">
        <f aca="false">AG673*V673*3600/O673</f>
        <v>2.74502903396094</v>
      </c>
      <c r="AL673" s="102" t="n">
        <f aca="false">AJ673/AK673</f>
        <v>1.45717948717949</v>
      </c>
      <c r="AM673" s="99" t="n">
        <f aca="false">AE673*AL673*AH673</f>
        <v>1.04926864847303</v>
      </c>
      <c r="AN673" s="103" t="s">
        <v>1335</v>
      </c>
      <c r="AO673" s="112"/>
      <c r="AP673" s="105" t="n">
        <v>50</v>
      </c>
      <c r="AQ673" s="105" t="n">
        <v>0</v>
      </c>
      <c r="AR673" s="105" t="n">
        <v>0</v>
      </c>
      <c r="AS673" s="105" t="n">
        <v>0</v>
      </c>
      <c r="AT673" s="105" t="n">
        <v>0</v>
      </c>
      <c r="AU673" s="105" t="n">
        <v>0</v>
      </c>
      <c r="AV673" s="105" t="n">
        <v>0</v>
      </c>
      <c r="AW673" s="105" t="n">
        <v>0</v>
      </c>
      <c r="AX673" s="105" t="n">
        <v>0</v>
      </c>
      <c r="AY673" s="105" t="n">
        <v>0</v>
      </c>
      <c r="AZ673" s="105" t="n">
        <v>0</v>
      </c>
      <c r="BA673" s="105" t="n">
        <v>0</v>
      </c>
      <c r="BB673" s="105" t="n">
        <v>0</v>
      </c>
      <c r="BC673" s="105" t="n">
        <v>0</v>
      </c>
      <c r="BD673" s="105" t="n">
        <v>0</v>
      </c>
      <c r="BE673" s="105" t="n">
        <v>0</v>
      </c>
      <c r="BF673" s="105" t="n">
        <v>0</v>
      </c>
      <c r="BG673" s="105" t="n">
        <v>0</v>
      </c>
      <c r="BH673" s="105" t="n">
        <v>0</v>
      </c>
      <c r="BI673" s="105" t="n">
        <v>0</v>
      </c>
      <c r="BJ673" s="105" t="n">
        <v>0</v>
      </c>
      <c r="BK673" s="105" t="n">
        <v>0</v>
      </c>
      <c r="BL673" s="105" t="n">
        <v>0</v>
      </c>
      <c r="BM673" s="105" t="n">
        <v>0</v>
      </c>
      <c r="BN673" s="105" t="n">
        <v>0</v>
      </c>
      <c r="BO673" s="105" t="n">
        <v>0</v>
      </c>
      <c r="BP673" s="105" t="n">
        <v>0</v>
      </c>
      <c r="BQ673" s="105" t="n">
        <v>0</v>
      </c>
      <c r="BR673" s="106" t="n">
        <v>0.833333333333333</v>
      </c>
      <c r="BS673" s="106" t="n">
        <v>0.847222222222222</v>
      </c>
      <c r="BT673" s="107"/>
      <c r="BU673" s="107"/>
      <c r="BV673" s="107"/>
      <c r="BW673" s="107"/>
      <c r="BX673" s="107"/>
      <c r="BY673" s="107"/>
      <c r="BZ673" s="107"/>
      <c r="CA673" s="107"/>
      <c r="CB673" s="107"/>
      <c r="CC673" s="107"/>
      <c r="CD673" s="107"/>
      <c r="CE673" s="107"/>
      <c r="CF673" s="107"/>
      <c r="CG673" s="107"/>
      <c r="CH673" s="107"/>
      <c r="CI673" s="107"/>
      <c r="CJ673" s="107"/>
      <c r="CK673" s="107"/>
      <c r="CL673" s="107"/>
      <c r="CM673" s="107"/>
      <c r="CN673" s="107"/>
      <c r="CO673" s="107"/>
      <c r="CP673" s="107"/>
      <c r="CQ673" s="107"/>
      <c r="CR673" s="107"/>
      <c r="CS673" s="107"/>
      <c r="CT673" s="107"/>
      <c r="CU673" s="107"/>
      <c r="CV673" s="107"/>
    </row>
    <row r="674" customFormat="false" ht="14.9" hidden="false" customHeight="false" outlineLevel="0" collapsed="false">
      <c r="A674" s="74" t="n">
        <f aca="false">MONTH(B674)</f>
        <v>9</v>
      </c>
      <c r="B674" s="135" t="n">
        <v>44463</v>
      </c>
      <c r="C674" s="128" t="s">
        <v>63</v>
      </c>
      <c r="D674" s="77" t="str">
        <f aca="false">IFERROR(VLOOKUP(E:E,'Item Data Support Sheet'!A:O,7,0),"")</f>
        <v>NIPPLE WRAP PRINTED</v>
      </c>
      <c r="E674" s="80" t="s">
        <v>474</v>
      </c>
      <c r="F674" s="122"/>
      <c r="G674" s="137"/>
      <c r="H674" s="79" t="str">
        <f aca="false">IFERROR(VLOOKUP(E:E,'Item Data Support Sheet'!A:O,2,0),"")</f>
        <v>NIPPLE S TYPE L SIZE WITH PRINTED WRAP</v>
      </c>
      <c r="I674" s="80" t="s">
        <v>1150</v>
      </c>
      <c r="J674" s="80" t="s">
        <v>155</v>
      </c>
      <c r="K674" s="81" t="n">
        <v>8</v>
      </c>
      <c r="L674" s="124" t="n">
        <v>16132</v>
      </c>
      <c r="M674" s="83" t="n">
        <f aca="false">IFERROR(L674/K674,0)</f>
        <v>2016.5</v>
      </c>
      <c r="N674" s="84" t="n">
        <f aca="false">+O674+Q674+T674+U674</f>
        <v>15184</v>
      </c>
      <c r="O674" s="85" t="n">
        <v>15182</v>
      </c>
      <c r="P674" s="86" t="n">
        <v>0</v>
      </c>
      <c r="Q674" s="86" t="n">
        <v>0</v>
      </c>
      <c r="R674" s="132" t="n">
        <v>0</v>
      </c>
      <c r="S674" s="128" t="n">
        <v>0</v>
      </c>
      <c r="T674" s="132" t="n">
        <v>2</v>
      </c>
      <c r="U674" s="128" t="n">
        <v>0</v>
      </c>
      <c r="V674" s="128" t="n">
        <v>2</v>
      </c>
      <c r="W674" s="90" t="n">
        <f aca="false">IFERROR(O674/V674,0)</f>
        <v>7591</v>
      </c>
      <c r="X674" s="91" t="n">
        <f aca="false">O674/L674</f>
        <v>0.941110835606248</v>
      </c>
      <c r="Y674" s="92" t="str">
        <f aca="false">IFERROR(VLOOKUP(E:E,'Item Data Support Sheet'!A:J,6,0),0)</f>
        <v>FO021</v>
      </c>
      <c r="Z674" s="93" t="n">
        <f aca="false">IFERROR(VLOOKUP(E:E,'Item Data Support Sheet'!A:O,4,0),0)</f>
        <v>0</v>
      </c>
      <c r="AA674" s="93" t="n">
        <f aca="false">IFERROR(((N674)*(Z674/1000))+P674,0)</f>
        <v>0</v>
      </c>
      <c r="AB674" s="94" t="str">
        <f aca="false">IFERROR((O674*(Z674/1000)/(AA674))," ")</f>
        <v> </v>
      </c>
      <c r="AC674" s="95" t="n">
        <f aca="false">IFERROR((T674)/((T674)+O674),0)</f>
        <v>0.000131717597471022</v>
      </c>
      <c r="AD674" s="96" t="n">
        <f aca="false">IFERROR(Q674/(Q674+N674),0)</f>
        <v>0</v>
      </c>
      <c r="AE674" s="91" t="n">
        <f aca="false">(N674-T674)/N674</f>
        <v>0.999868282402529</v>
      </c>
      <c r="AF674" s="97" t="n">
        <f aca="false">BR674</f>
        <v>0.833333333333333</v>
      </c>
      <c r="AG674" s="98" t="n">
        <f aca="false">K674-AF674</f>
        <v>7.16666666666667</v>
      </c>
      <c r="AH674" s="99" t="n">
        <f aca="false">IFERROR(AG674/K674," ")</f>
        <v>0.895833333333333</v>
      </c>
      <c r="AI674" s="100" t="n">
        <f aca="false">IFERROR(O674/K674,0)</f>
        <v>1897.75</v>
      </c>
      <c r="AJ674" s="101" t="n">
        <f aca="false">VLOOKUP(D674,'Standard Cycle time'!C:D,2,0)</f>
        <v>2.5</v>
      </c>
      <c r="AK674" s="101" t="n">
        <f aca="false">AG674*V674*3600/O674</f>
        <v>3.39876169147675</v>
      </c>
      <c r="AL674" s="102" t="n">
        <f aca="false">AJ674/AK674</f>
        <v>0.735562015503876</v>
      </c>
      <c r="AM674" s="99" t="n">
        <f aca="false">AE674*AL674*AH674</f>
        <v>0.658854178100486</v>
      </c>
      <c r="AN674" s="103" t="s">
        <v>1336</v>
      </c>
      <c r="AO674" s="112"/>
      <c r="AP674" s="105" t="n">
        <v>50</v>
      </c>
      <c r="AQ674" s="105" t="n">
        <v>0</v>
      </c>
      <c r="AR674" s="105" t="n">
        <v>0</v>
      </c>
      <c r="AS674" s="105" t="n">
        <v>0</v>
      </c>
      <c r="AT674" s="105" t="n">
        <v>0</v>
      </c>
      <c r="AU674" s="105" t="n">
        <v>0</v>
      </c>
      <c r="AV674" s="105" t="n">
        <v>0</v>
      </c>
      <c r="AW674" s="105" t="n">
        <v>0</v>
      </c>
      <c r="AX674" s="105" t="n">
        <v>0</v>
      </c>
      <c r="AY674" s="105" t="n">
        <v>0</v>
      </c>
      <c r="AZ674" s="105" t="n">
        <v>0</v>
      </c>
      <c r="BA674" s="105" t="n">
        <v>0</v>
      </c>
      <c r="BB674" s="105" t="n">
        <v>0</v>
      </c>
      <c r="BC674" s="105" t="n">
        <v>0</v>
      </c>
      <c r="BD674" s="105" t="n">
        <v>0</v>
      </c>
      <c r="BE674" s="105" t="n">
        <v>0</v>
      </c>
      <c r="BF674" s="105" t="n">
        <v>0</v>
      </c>
      <c r="BG674" s="105" t="n">
        <v>0</v>
      </c>
      <c r="BH674" s="105" t="n">
        <v>0</v>
      </c>
      <c r="BI674" s="105" t="n">
        <v>0</v>
      </c>
      <c r="BJ674" s="105" t="n">
        <v>0</v>
      </c>
      <c r="BK674" s="105" t="n">
        <v>0</v>
      </c>
      <c r="BL674" s="105" t="n">
        <v>0</v>
      </c>
      <c r="BM674" s="105" t="n">
        <v>0</v>
      </c>
      <c r="BN674" s="105" t="n">
        <v>0</v>
      </c>
      <c r="BO674" s="105" t="n">
        <v>0</v>
      </c>
      <c r="BP674" s="105" t="n">
        <v>0</v>
      </c>
      <c r="BQ674" s="105" t="n">
        <v>0</v>
      </c>
      <c r="BR674" s="106" t="n">
        <v>0.833333333333333</v>
      </c>
      <c r="BS674" s="106" t="n">
        <v>0.847222222222222</v>
      </c>
      <c r="BT674" s="107"/>
      <c r="BU674" s="107"/>
      <c r="BV674" s="107"/>
      <c r="BW674" s="107"/>
      <c r="BX674" s="107"/>
      <c r="BY674" s="107"/>
      <c r="BZ674" s="107"/>
      <c r="CA674" s="107"/>
      <c r="CB674" s="107"/>
      <c r="CC674" s="107"/>
      <c r="CD674" s="107"/>
      <c r="CE674" s="107"/>
      <c r="CF674" s="107"/>
      <c r="CG674" s="107"/>
      <c r="CH674" s="107"/>
      <c r="CI674" s="107"/>
      <c r="CJ674" s="107"/>
      <c r="CK674" s="107"/>
      <c r="CL674" s="107"/>
      <c r="CM674" s="107"/>
      <c r="CN674" s="107"/>
      <c r="CO674" s="107"/>
      <c r="CP674" s="107"/>
      <c r="CQ674" s="107"/>
      <c r="CR674" s="107"/>
      <c r="CS674" s="107"/>
      <c r="CT674" s="107"/>
      <c r="CU674" s="107"/>
      <c r="CV674" s="107"/>
    </row>
    <row r="675" customFormat="false" ht="14.9" hidden="false" customHeight="false" outlineLevel="0" collapsed="false">
      <c r="A675" s="74" t="n">
        <f aca="false">MONTH(B675)</f>
        <v>9</v>
      </c>
      <c r="B675" s="135" t="n">
        <v>44463</v>
      </c>
      <c r="C675" s="128" t="s">
        <v>70</v>
      </c>
      <c r="D675" s="77" t="str">
        <f aca="false">IFERROR(VLOOKUP(E:E,'Item Data Support Sheet'!A:O,7,0),"")</f>
        <v>NIPPLE MOLDED</v>
      </c>
      <c r="E675" s="80" t="s">
        <v>244</v>
      </c>
      <c r="F675" s="122" t="s">
        <v>137</v>
      </c>
      <c r="G675" s="137" t="s">
        <v>138</v>
      </c>
      <c r="H675" s="79" t="str">
        <f aca="false">IFERROR(VLOOKUP(E:E,'Item Data Support Sheet'!A:O,2,0),"")</f>
        <v>NIPPLE S TYPE S SIZE INJECTION</v>
      </c>
      <c r="I675" s="80" t="s">
        <v>1337</v>
      </c>
      <c r="J675" s="80" t="s">
        <v>155</v>
      </c>
      <c r="K675" s="81" t="n">
        <v>8</v>
      </c>
      <c r="L675" s="124" t="n">
        <v>4815</v>
      </c>
      <c r="M675" s="83" t="n">
        <f aca="false">IFERROR(L675/K675,0)</f>
        <v>601.875</v>
      </c>
      <c r="N675" s="84" t="n">
        <f aca="false">+O675+Q675+T675+U675</f>
        <v>5110</v>
      </c>
      <c r="O675" s="85" t="n">
        <v>5000</v>
      </c>
      <c r="P675" s="86" t="n">
        <v>0</v>
      </c>
      <c r="Q675" s="86" t="n">
        <v>50</v>
      </c>
      <c r="R675" s="132" t="n">
        <v>0</v>
      </c>
      <c r="S675" s="128" t="n">
        <v>0</v>
      </c>
      <c r="T675" s="132" t="n">
        <v>60</v>
      </c>
      <c r="U675" s="128" t="n">
        <v>0</v>
      </c>
      <c r="V675" s="128" t="n">
        <v>1</v>
      </c>
      <c r="W675" s="90" t="n">
        <f aca="false">IFERROR(O675/V675,0)</f>
        <v>5000</v>
      </c>
      <c r="X675" s="91" t="n">
        <f aca="false">O675/L675</f>
        <v>1.03842159916926</v>
      </c>
      <c r="Y675" s="92" t="str">
        <f aca="false">IFERROR(VLOOKUP(E:E,'Item Data Support Sheet'!A:J,6,0),0)</f>
        <v>Silicon</v>
      </c>
      <c r="Z675" s="93" t="n">
        <f aca="false">IFERROR(VLOOKUP(E:E,'Item Data Support Sheet'!A:O,4,0),0)</f>
        <v>6.8</v>
      </c>
      <c r="AA675" s="93" t="n">
        <f aca="false">IFERROR(((N675)*(Z675/1000))+P675,0)</f>
        <v>34.748</v>
      </c>
      <c r="AB675" s="94" t="n">
        <f aca="false">IFERROR((O675*(Z675/1000)/(AA675))," ")</f>
        <v>0.978473581213307</v>
      </c>
      <c r="AC675" s="95" t="n">
        <f aca="false">IFERROR((T675)/((T675)+O675),0)</f>
        <v>0.0118577075098814</v>
      </c>
      <c r="AD675" s="96" t="n">
        <f aca="false">IFERROR(Q675/(Q675+N675),0)</f>
        <v>0.00968992248062015</v>
      </c>
      <c r="AE675" s="91" t="n">
        <f aca="false">(N675-T675)/N675</f>
        <v>0.98825831702544</v>
      </c>
      <c r="AF675" s="97" t="n">
        <f aca="false">BR675</f>
        <v>0</v>
      </c>
      <c r="AG675" s="98" t="n">
        <f aca="false">K675-AF675</f>
        <v>8</v>
      </c>
      <c r="AH675" s="99" t="n">
        <f aca="false">IFERROR(AG675/K675," ")</f>
        <v>1</v>
      </c>
      <c r="AI675" s="100" t="n">
        <f aca="false">IFERROR(O675/K675,0)</f>
        <v>625</v>
      </c>
      <c r="AJ675" s="101" t="n">
        <f aca="false">VLOOKUP(D675,'Standard Cycle time'!C:D,2,0)</f>
        <v>5.25</v>
      </c>
      <c r="AK675" s="101" t="n">
        <f aca="false">AG675*V675*3600/O675</f>
        <v>5.76</v>
      </c>
      <c r="AL675" s="102" t="n">
        <f aca="false">AJ675/AK675</f>
        <v>0.911458333333333</v>
      </c>
      <c r="AM675" s="99" t="n">
        <f aca="false">AE675*AL675*AH675</f>
        <v>0.900756278538813</v>
      </c>
      <c r="AN675" s="103" t="n">
        <v>3555</v>
      </c>
      <c r="AO675" s="112"/>
      <c r="AP675" s="105" t="n">
        <v>0</v>
      </c>
      <c r="AQ675" s="105" t="n">
        <v>0</v>
      </c>
      <c r="AR675" s="105" t="n">
        <v>0</v>
      </c>
      <c r="AS675" s="105" t="n">
        <v>0</v>
      </c>
      <c r="AT675" s="105" t="n">
        <v>0</v>
      </c>
      <c r="AU675" s="105" t="n">
        <v>0</v>
      </c>
      <c r="AV675" s="105" t="n">
        <v>0</v>
      </c>
      <c r="AW675" s="105" t="n">
        <v>0</v>
      </c>
      <c r="AX675" s="105" t="n">
        <v>0</v>
      </c>
      <c r="AY675" s="105" t="n">
        <v>0</v>
      </c>
      <c r="AZ675" s="105" t="n">
        <v>0</v>
      </c>
      <c r="BA675" s="105" t="n">
        <v>0</v>
      </c>
      <c r="BB675" s="105" t="n">
        <v>0</v>
      </c>
      <c r="BC675" s="105" t="n">
        <v>0</v>
      </c>
      <c r="BD675" s="105" t="n">
        <v>0</v>
      </c>
      <c r="BE675" s="105" t="n">
        <v>0</v>
      </c>
      <c r="BF675" s="105" t="n">
        <v>0</v>
      </c>
      <c r="BG675" s="105" t="n">
        <v>0</v>
      </c>
      <c r="BH675" s="105" t="n">
        <v>0</v>
      </c>
      <c r="BI675" s="105" t="n">
        <v>0</v>
      </c>
      <c r="BJ675" s="105" t="n">
        <v>0</v>
      </c>
      <c r="BK675" s="105" t="n">
        <v>0</v>
      </c>
      <c r="BL675" s="105" t="n">
        <v>0</v>
      </c>
      <c r="BM675" s="105" t="n">
        <v>0</v>
      </c>
      <c r="BN675" s="105" t="n">
        <v>0</v>
      </c>
      <c r="BO675" s="105" t="n">
        <v>0</v>
      </c>
      <c r="BP675" s="105" t="n">
        <v>0</v>
      </c>
      <c r="BQ675" s="105" t="n">
        <v>0</v>
      </c>
      <c r="BR675" s="106" t="n">
        <v>0</v>
      </c>
      <c r="BS675" s="106" t="n">
        <v>0</v>
      </c>
      <c r="BT675" s="107"/>
      <c r="BU675" s="107"/>
      <c r="BV675" s="107"/>
      <c r="BW675" s="107"/>
      <c r="BX675" s="107"/>
      <c r="BY675" s="107"/>
      <c r="BZ675" s="107"/>
      <c r="CA675" s="107"/>
      <c r="CB675" s="107"/>
      <c r="CC675" s="107"/>
      <c r="CD675" s="107"/>
      <c r="CE675" s="107"/>
      <c r="CF675" s="107"/>
      <c r="CG675" s="107"/>
      <c r="CH675" s="107"/>
      <c r="CI675" s="107"/>
      <c r="CJ675" s="107"/>
      <c r="CK675" s="107"/>
      <c r="CL675" s="107"/>
      <c r="CM675" s="107"/>
      <c r="CN675" s="107"/>
      <c r="CO675" s="107"/>
      <c r="CP675" s="107"/>
      <c r="CQ675" s="107"/>
      <c r="CR675" s="107"/>
      <c r="CS675" s="107"/>
      <c r="CT675" s="107"/>
      <c r="CU675" s="107"/>
      <c r="CV675" s="107"/>
    </row>
    <row r="676" customFormat="false" ht="14.9" hidden="false" customHeight="false" outlineLevel="0" collapsed="false">
      <c r="A676" s="74" t="n">
        <f aca="false">MONTH(B676)</f>
        <v>9</v>
      </c>
      <c r="B676" s="135" t="n">
        <v>44463</v>
      </c>
      <c r="C676" s="128" t="s">
        <v>70</v>
      </c>
      <c r="D676" s="77" t="str">
        <f aca="false">IFERROR(VLOOKUP(E:E,'Item Data Support Sheet'!A:O,7,0),"")</f>
        <v>BOTTLE MOLDED</v>
      </c>
      <c r="E676" s="80" t="s">
        <v>572</v>
      </c>
      <c r="F676" s="122" t="s">
        <v>589</v>
      </c>
      <c r="G676" s="137" t="s">
        <v>80</v>
      </c>
      <c r="H676" s="79" t="str">
        <f aca="false">IFERROR(VLOOKUP(E:E,'Item Data Support Sheet'!A:O,2,0),"")</f>
        <v>RPP 240 ML BOTTLE MOLDED</v>
      </c>
      <c r="I676" s="80" t="s">
        <v>1338</v>
      </c>
      <c r="J676" s="80" t="s">
        <v>155</v>
      </c>
      <c r="K676" s="81" t="n">
        <v>8</v>
      </c>
      <c r="L676" s="124" t="n">
        <v>2574</v>
      </c>
      <c r="M676" s="83" t="n">
        <f aca="false">IFERROR(L676/K676,0)</f>
        <v>321.75</v>
      </c>
      <c r="N676" s="84" t="n">
        <f aca="false">+O676+Q676+T676+U676</f>
        <v>2739</v>
      </c>
      <c r="O676" s="85" t="n">
        <v>2640</v>
      </c>
      <c r="P676" s="86" t="n">
        <v>0</v>
      </c>
      <c r="Q676" s="86" t="n">
        <v>37</v>
      </c>
      <c r="R676" s="132" t="n">
        <v>0</v>
      </c>
      <c r="S676" s="128" t="n">
        <v>0</v>
      </c>
      <c r="T676" s="132" t="n">
        <v>62</v>
      </c>
      <c r="U676" s="128" t="n">
        <v>0</v>
      </c>
      <c r="V676" s="128" t="n">
        <v>1</v>
      </c>
      <c r="W676" s="90" t="n">
        <f aca="false">IFERROR(O676/V676,0)</f>
        <v>2640</v>
      </c>
      <c r="X676" s="91" t="n">
        <f aca="false">O676/L676</f>
        <v>1.02564102564103</v>
      </c>
      <c r="Y676" s="92" t="str">
        <f aca="false">IFERROR(VLOOKUP(E:E,'Item Data Support Sheet'!A:J,6,0),0)</f>
        <v>HMC</v>
      </c>
      <c r="Z676" s="93" t="n">
        <f aca="false">IFERROR(VLOOKUP(E:E,'Item Data Support Sheet'!A:O,4,0),0)</f>
        <v>32.1</v>
      </c>
      <c r="AA676" s="93" t="n">
        <f aca="false">IFERROR(((N676)*(Z676/1000))+P676,0)</f>
        <v>87.9219</v>
      </c>
      <c r="AB676" s="94" t="n">
        <f aca="false">IFERROR((O676*(Z676/1000)/(AA676))," ")</f>
        <v>0.963855421686747</v>
      </c>
      <c r="AC676" s="95" t="n">
        <f aca="false">IFERROR((T676)/((T676)+O676),0)</f>
        <v>0.0229459659511473</v>
      </c>
      <c r="AD676" s="96" t="n">
        <f aca="false">IFERROR(Q676/(Q676+N676),0)</f>
        <v>0.013328530259366</v>
      </c>
      <c r="AE676" s="91" t="n">
        <f aca="false">(N676-T676)/N676</f>
        <v>0.977364001460387</v>
      </c>
      <c r="AF676" s="97" t="n">
        <f aca="false">BR676</f>
        <v>0</v>
      </c>
      <c r="AG676" s="98" t="n">
        <f aca="false">K676-AF676</f>
        <v>8</v>
      </c>
      <c r="AH676" s="99" t="n">
        <f aca="false">IFERROR(AG676/K676," ")</f>
        <v>1</v>
      </c>
      <c r="AI676" s="100" t="n">
        <f aca="false">IFERROR(O676/K676,0)</f>
        <v>330</v>
      </c>
      <c r="AJ676" s="101" t="n">
        <f aca="false">VLOOKUP(D676,'Standard Cycle time'!C:D,2,0)</f>
        <v>9</v>
      </c>
      <c r="AK676" s="101" t="n">
        <f aca="false">AG676*V676*3600/O676</f>
        <v>10.9090909090909</v>
      </c>
      <c r="AL676" s="102" t="n">
        <f aca="false">AJ676/AK676</f>
        <v>0.825</v>
      </c>
      <c r="AM676" s="99" t="n">
        <f aca="false">AE676*AL676*AH676</f>
        <v>0.806325301204819</v>
      </c>
      <c r="AN676" s="103" t="n">
        <v>3691</v>
      </c>
      <c r="AO676" s="112"/>
      <c r="AP676" s="105" t="n">
        <v>0</v>
      </c>
      <c r="AQ676" s="105" t="n">
        <v>0</v>
      </c>
      <c r="AR676" s="105" t="n">
        <v>0</v>
      </c>
      <c r="AS676" s="105" t="n">
        <v>0</v>
      </c>
      <c r="AT676" s="105" t="n">
        <v>0</v>
      </c>
      <c r="AU676" s="105" t="n">
        <v>0</v>
      </c>
      <c r="AV676" s="105" t="n">
        <v>0</v>
      </c>
      <c r="AW676" s="105" t="n">
        <v>0</v>
      </c>
      <c r="AX676" s="105" t="n">
        <v>0</v>
      </c>
      <c r="AY676" s="105" t="n">
        <v>0</v>
      </c>
      <c r="AZ676" s="105" t="n">
        <v>0</v>
      </c>
      <c r="BA676" s="105" t="n">
        <v>0</v>
      </c>
      <c r="BB676" s="105" t="n">
        <v>0</v>
      </c>
      <c r="BC676" s="105" t="n">
        <v>0</v>
      </c>
      <c r="BD676" s="105" t="n">
        <v>0</v>
      </c>
      <c r="BE676" s="105" t="n">
        <v>0</v>
      </c>
      <c r="BF676" s="105" t="n">
        <v>0</v>
      </c>
      <c r="BG676" s="105" t="n">
        <v>0</v>
      </c>
      <c r="BH676" s="105" t="n">
        <v>0</v>
      </c>
      <c r="BI676" s="105" t="n">
        <v>0</v>
      </c>
      <c r="BJ676" s="105" t="n">
        <v>0</v>
      </c>
      <c r="BK676" s="105" t="n">
        <v>0</v>
      </c>
      <c r="BL676" s="105" t="n">
        <v>0</v>
      </c>
      <c r="BM676" s="105" t="n">
        <v>0</v>
      </c>
      <c r="BN676" s="105" t="n">
        <v>0</v>
      </c>
      <c r="BO676" s="105" t="n">
        <v>0</v>
      </c>
      <c r="BP676" s="105" t="n">
        <v>0</v>
      </c>
      <c r="BQ676" s="105" t="n">
        <v>0</v>
      </c>
      <c r="BR676" s="106" t="n">
        <v>0</v>
      </c>
      <c r="BS676" s="106" t="n">
        <v>0</v>
      </c>
      <c r="BT676" s="107"/>
      <c r="BU676" s="107"/>
      <c r="BV676" s="107"/>
      <c r="BW676" s="107"/>
      <c r="BX676" s="107"/>
      <c r="BY676" s="107"/>
      <c r="BZ676" s="107"/>
      <c r="CA676" s="107"/>
      <c r="CB676" s="107"/>
      <c r="CC676" s="107"/>
      <c r="CD676" s="107"/>
      <c r="CE676" s="107"/>
      <c r="CF676" s="107"/>
      <c r="CG676" s="107"/>
      <c r="CH676" s="107"/>
      <c r="CI676" s="107"/>
      <c r="CJ676" s="107"/>
      <c r="CK676" s="107"/>
      <c r="CL676" s="107"/>
      <c r="CM676" s="107"/>
      <c r="CN676" s="107"/>
      <c r="CO676" s="107"/>
      <c r="CP676" s="107"/>
      <c r="CQ676" s="107"/>
      <c r="CR676" s="107"/>
      <c r="CS676" s="107"/>
      <c r="CT676" s="107"/>
      <c r="CU676" s="107"/>
      <c r="CV676" s="107"/>
    </row>
    <row r="677" customFormat="false" ht="14.9" hidden="false" customHeight="false" outlineLevel="0" collapsed="false">
      <c r="A677" s="74" t="n">
        <f aca="false">MONTH(B677)</f>
        <v>9</v>
      </c>
      <c r="B677" s="135" t="n">
        <v>44463</v>
      </c>
      <c r="C677" s="128" t="s">
        <v>70</v>
      </c>
      <c r="D677" s="77" t="str">
        <f aca="false">IFERROR(VLOOKUP(E:E,'Item Data Support Sheet'!A:O,7,0),"")</f>
        <v>NIPPLE PUNCH</v>
      </c>
      <c r="E677" s="80" t="s">
        <v>53</v>
      </c>
      <c r="F677" s="122"/>
      <c r="G677" s="137"/>
      <c r="H677" s="79" t="str">
        <f aca="false">IFERROR(VLOOKUP(E:E,'Item Data Support Sheet'!A:O,2,0),"")</f>
        <v>NIPPLE S TYPE S SIZE PUNCHED</v>
      </c>
      <c r="I677" s="80" t="s">
        <v>1339</v>
      </c>
      <c r="J677" s="80" t="s">
        <v>155</v>
      </c>
      <c r="K677" s="81" t="n">
        <v>8</v>
      </c>
      <c r="L677" s="124" t="n">
        <v>7000</v>
      </c>
      <c r="M677" s="83" t="n">
        <f aca="false">IFERROR(L677/K677,0)</f>
        <v>875</v>
      </c>
      <c r="N677" s="84" t="n">
        <f aca="false">+O677+Q677+T677+U677</f>
        <v>7300</v>
      </c>
      <c r="O677" s="85" t="n">
        <v>7300</v>
      </c>
      <c r="P677" s="86" t="n">
        <v>0</v>
      </c>
      <c r="Q677" s="86" t="n">
        <v>0</v>
      </c>
      <c r="R677" s="132" t="n">
        <v>0</v>
      </c>
      <c r="S677" s="128" t="n">
        <v>0</v>
      </c>
      <c r="T677" s="132" t="n">
        <v>0</v>
      </c>
      <c r="U677" s="128" t="n">
        <v>0</v>
      </c>
      <c r="V677" s="128" t="n">
        <v>1</v>
      </c>
      <c r="W677" s="90" t="n">
        <f aca="false">IFERROR(O677/V677,0)</f>
        <v>7300</v>
      </c>
      <c r="X677" s="91" t="n">
        <f aca="false">O677/L677</f>
        <v>1.04285714285714</v>
      </c>
      <c r="Y677" s="92" t="str">
        <f aca="false">IFERROR(VLOOKUP(E:E,'Item Data Support Sheet'!A:J,6,0),0)</f>
        <v>FO015</v>
      </c>
      <c r="Z677" s="93" t="n">
        <f aca="false">IFERROR(VLOOKUP(E:E,'Item Data Support Sheet'!A:O,4,0),0)</f>
        <v>0</v>
      </c>
      <c r="AA677" s="93" t="n">
        <f aca="false">IFERROR(((N677)*(Z677/1000))+P677,0)</f>
        <v>0</v>
      </c>
      <c r="AB677" s="94" t="str">
        <f aca="false">IFERROR((O677*(Z677/1000)/(AA677))," ")</f>
        <v> </v>
      </c>
      <c r="AC677" s="95" t="n">
        <f aca="false">IFERROR((T677)/((T677)+O677),0)</f>
        <v>0</v>
      </c>
      <c r="AD677" s="96" t="n">
        <f aca="false">IFERROR(Q677/(Q677+N677),0)</f>
        <v>0</v>
      </c>
      <c r="AE677" s="91" t="n">
        <f aca="false">(N677-T677)/N677</f>
        <v>1</v>
      </c>
      <c r="AF677" s="97" t="n">
        <f aca="false">BR677</f>
        <v>0</v>
      </c>
      <c r="AG677" s="98" t="n">
        <f aca="false">K677-AF677</f>
        <v>8</v>
      </c>
      <c r="AH677" s="99" t="n">
        <f aca="false">IFERROR(AG677/K677," ")</f>
        <v>1</v>
      </c>
      <c r="AI677" s="100" t="n">
        <f aca="false">IFERROR(O677/K677,0)</f>
        <v>912.5</v>
      </c>
      <c r="AJ677" s="101" t="n">
        <f aca="false">VLOOKUP(D677,'Standard Cycle time'!C:D,2,0)</f>
        <v>3.5</v>
      </c>
      <c r="AK677" s="101" t="n">
        <f aca="false">AG677*V677*3600/O677</f>
        <v>3.94520547945205</v>
      </c>
      <c r="AL677" s="102" t="n">
        <f aca="false">AJ677/AK677</f>
        <v>0.887152777777778</v>
      </c>
      <c r="AM677" s="99" t="n">
        <f aca="false">AE677*AL677*AH677</f>
        <v>0.887152777777778</v>
      </c>
      <c r="AN677" s="103" t="s">
        <v>1340</v>
      </c>
      <c r="AO677" s="112"/>
      <c r="AP677" s="105" t="n">
        <v>0</v>
      </c>
      <c r="AQ677" s="105" t="n">
        <v>0</v>
      </c>
      <c r="AR677" s="105" t="n">
        <v>0</v>
      </c>
      <c r="AS677" s="105" t="n">
        <v>0</v>
      </c>
      <c r="AT677" s="105" t="n">
        <v>0</v>
      </c>
      <c r="AU677" s="105" t="n">
        <v>0</v>
      </c>
      <c r="AV677" s="105" t="n">
        <v>0</v>
      </c>
      <c r="AW677" s="105" t="n">
        <v>0</v>
      </c>
      <c r="AX677" s="105" t="n">
        <v>0</v>
      </c>
      <c r="AY677" s="105" t="n">
        <v>0</v>
      </c>
      <c r="AZ677" s="105" t="n">
        <v>0</v>
      </c>
      <c r="BA677" s="105" t="n">
        <v>0</v>
      </c>
      <c r="BB677" s="105" t="n">
        <v>0</v>
      </c>
      <c r="BC677" s="105" t="n">
        <v>0</v>
      </c>
      <c r="BD677" s="105" t="n">
        <v>0</v>
      </c>
      <c r="BE677" s="105" t="n">
        <v>0</v>
      </c>
      <c r="BF677" s="105" t="n">
        <v>0</v>
      </c>
      <c r="BG677" s="105" t="n">
        <v>0</v>
      </c>
      <c r="BH677" s="105" t="n">
        <v>0</v>
      </c>
      <c r="BI677" s="105" t="n">
        <v>0</v>
      </c>
      <c r="BJ677" s="105" t="n">
        <v>0</v>
      </c>
      <c r="BK677" s="105" t="n">
        <v>0</v>
      </c>
      <c r="BL677" s="105" t="n">
        <v>0</v>
      </c>
      <c r="BM677" s="105" t="n">
        <v>0</v>
      </c>
      <c r="BN677" s="105" t="n">
        <v>0</v>
      </c>
      <c r="BO677" s="105" t="n">
        <v>0</v>
      </c>
      <c r="BP677" s="105" t="n">
        <v>0</v>
      </c>
      <c r="BQ677" s="105" t="n">
        <v>0</v>
      </c>
      <c r="BR677" s="106" t="n">
        <v>0</v>
      </c>
      <c r="BS677" s="106" t="n">
        <v>0</v>
      </c>
      <c r="BT677" s="107"/>
      <c r="BU677" s="107"/>
      <c r="BV677" s="107"/>
      <c r="BW677" s="107"/>
      <c r="BX677" s="107"/>
      <c r="BY677" s="107"/>
      <c r="BZ677" s="107"/>
      <c r="CA677" s="107"/>
      <c r="CB677" s="107"/>
      <c r="CC677" s="107"/>
      <c r="CD677" s="107"/>
      <c r="CE677" s="107"/>
      <c r="CF677" s="107"/>
      <c r="CG677" s="107"/>
      <c r="CH677" s="107"/>
      <c r="CI677" s="107"/>
      <c r="CJ677" s="107"/>
      <c r="CK677" s="107"/>
      <c r="CL677" s="107"/>
      <c r="CM677" s="107"/>
      <c r="CN677" s="107"/>
      <c r="CO677" s="107"/>
      <c r="CP677" s="107"/>
      <c r="CQ677" s="107"/>
      <c r="CR677" s="107"/>
      <c r="CS677" s="107"/>
      <c r="CT677" s="107"/>
      <c r="CU677" s="107"/>
      <c r="CV677" s="107"/>
    </row>
    <row r="678" customFormat="false" ht="14.9" hidden="false" customHeight="false" outlineLevel="0" collapsed="false">
      <c r="A678" s="74" t="n">
        <f aca="false">MONTH(B678)</f>
        <v>9</v>
      </c>
      <c r="B678" s="135" t="n">
        <v>44463</v>
      </c>
      <c r="C678" s="128" t="s">
        <v>70</v>
      </c>
      <c r="D678" s="77" t="str">
        <f aca="false">IFERROR(VLOOKUP(E:E,'Item Data Support Sheet'!A:O,7,0),"")</f>
        <v>NIPPLE LASER MARKING</v>
      </c>
      <c r="E678" s="80" t="s">
        <v>444</v>
      </c>
      <c r="F678" s="122"/>
      <c r="G678" s="137"/>
      <c r="H678" s="79" t="str">
        <f aca="false">IFERROR(VLOOKUP(E:E,'Item Data Support Sheet'!A:O,2,0),"")</f>
        <v>NIPPLE S TYPE S SIZE PUNCHED LASER MARKED</v>
      </c>
      <c r="I678" s="80"/>
      <c r="J678" s="80" t="s">
        <v>155</v>
      </c>
      <c r="K678" s="81" t="n">
        <v>8</v>
      </c>
      <c r="L678" s="124" t="n">
        <v>7000</v>
      </c>
      <c r="M678" s="83" t="n">
        <f aca="false">IFERROR(L678/K678,0)</f>
        <v>875</v>
      </c>
      <c r="N678" s="84" t="n">
        <f aca="false">+O678+Q678+T678+U678</f>
        <v>7300</v>
      </c>
      <c r="O678" s="85" t="n">
        <v>7300</v>
      </c>
      <c r="P678" s="86" t="n">
        <v>0</v>
      </c>
      <c r="Q678" s="86" t="n">
        <v>0</v>
      </c>
      <c r="R678" s="132" t="n">
        <v>0</v>
      </c>
      <c r="S678" s="128" t="n">
        <v>0</v>
      </c>
      <c r="T678" s="132" t="n">
        <v>0</v>
      </c>
      <c r="U678" s="128" t="n">
        <v>0</v>
      </c>
      <c r="V678" s="128" t="n">
        <v>1</v>
      </c>
      <c r="W678" s="90" t="n">
        <f aca="false">IFERROR(O678/V678,0)</f>
        <v>7300</v>
      </c>
      <c r="X678" s="91" t="n">
        <f aca="false">O678/L678</f>
        <v>1.04285714285714</v>
      </c>
      <c r="Y678" s="92" t="str">
        <f aca="false">IFERROR(VLOOKUP(E:E,'Item Data Support Sheet'!A:J,6,0),0)</f>
        <v>FO019</v>
      </c>
      <c r="Z678" s="93" t="n">
        <f aca="false">IFERROR(VLOOKUP(E:E,'Item Data Support Sheet'!A:O,4,0),0)</f>
        <v>0</v>
      </c>
      <c r="AA678" s="93" t="n">
        <f aca="false">IFERROR(((N678)*(Z678/1000))+P678,0)</f>
        <v>0</v>
      </c>
      <c r="AB678" s="94" t="str">
        <f aca="false">IFERROR((O678*(Z678/1000)/(AA678))," ")</f>
        <v> </v>
      </c>
      <c r="AC678" s="95" t="n">
        <f aca="false">IFERROR((T678)/((T678)+O678),0)</f>
        <v>0</v>
      </c>
      <c r="AD678" s="96" t="n">
        <f aca="false">IFERROR(Q678/(Q678+N678),0)</f>
        <v>0</v>
      </c>
      <c r="AE678" s="91" t="n">
        <f aca="false">(N678-T678)/N678</f>
        <v>1</v>
      </c>
      <c r="AF678" s="97" t="n">
        <f aca="false">BR678</f>
        <v>0</v>
      </c>
      <c r="AG678" s="98" t="n">
        <f aca="false">K678-AF678</f>
        <v>8</v>
      </c>
      <c r="AH678" s="99" t="n">
        <f aca="false">IFERROR(AG678/K678," ")</f>
        <v>1</v>
      </c>
      <c r="AI678" s="100" t="n">
        <f aca="false">IFERROR(O678/K678,0)</f>
        <v>912.5</v>
      </c>
      <c r="AJ678" s="101" t="n">
        <f aca="false">VLOOKUP(D678,'Standard Cycle time'!C:D,2,0)</f>
        <v>3.5</v>
      </c>
      <c r="AK678" s="101" t="n">
        <f aca="false">AG678*V678*3600/O678</f>
        <v>3.94520547945205</v>
      </c>
      <c r="AL678" s="102" t="n">
        <f aca="false">AJ678/AK678</f>
        <v>0.887152777777778</v>
      </c>
      <c r="AM678" s="99" t="n">
        <f aca="false">AE678*AL678*AH678</f>
        <v>0.887152777777778</v>
      </c>
      <c r="AN678" s="103" t="s">
        <v>1341</v>
      </c>
      <c r="AO678" s="112"/>
      <c r="AP678" s="105"/>
      <c r="AQ678" s="105" t="n">
        <v>0</v>
      </c>
      <c r="AR678" s="105" t="n">
        <v>0</v>
      </c>
      <c r="AS678" s="105" t="n">
        <v>0</v>
      </c>
      <c r="AT678" s="105" t="n">
        <v>0</v>
      </c>
      <c r="AU678" s="105" t="n">
        <v>0</v>
      </c>
      <c r="AV678" s="105" t="n">
        <v>0</v>
      </c>
      <c r="AW678" s="105" t="n">
        <v>0</v>
      </c>
      <c r="AX678" s="105" t="n">
        <v>0</v>
      </c>
      <c r="AY678" s="105" t="n">
        <v>0</v>
      </c>
      <c r="AZ678" s="105" t="n">
        <v>0</v>
      </c>
      <c r="BA678" s="105" t="n">
        <v>0</v>
      </c>
      <c r="BB678" s="105" t="n">
        <v>0</v>
      </c>
      <c r="BC678" s="105" t="n">
        <v>0</v>
      </c>
      <c r="BD678" s="105" t="n">
        <v>0</v>
      </c>
      <c r="BE678" s="105" t="n">
        <v>0</v>
      </c>
      <c r="BF678" s="105" t="n">
        <v>0</v>
      </c>
      <c r="BG678" s="105" t="n">
        <v>0</v>
      </c>
      <c r="BH678" s="105" t="n">
        <v>0</v>
      </c>
      <c r="BI678" s="105" t="n">
        <v>0</v>
      </c>
      <c r="BJ678" s="105" t="n">
        <v>0</v>
      </c>
      <c r="BK678" s="105" t="n">
        <v>0</v>
      </c>
      <c r="BL678" s="105" t="n">
        <v>0</v>
      </c>
      <c r="BM678" s="105" t="n">
        <v>0</v>
      </c>
      <c r="BN678" s="105" t="n">
        <v>0</v>
      </c>
      <c r="BO678" s="105" t="n">
        <v>0</v>
      </c>
      <c r="BP678" s="105" t="n">
        <v>0</v>
      </c>
      <c r="BQ678" s="105" t="n">
        <v>0</v>
      </c>
      <c r="BR678" s="106" t="n">
        <v>0</v>
      </c>
      <c r="BS678" s="106" t="n">
        <v>0</v>
      </c>
      <c r="BT678" s="107"/>
      <c r="BU678" s="107"/>
      <c r="BV678" s="107"/>
      <c r="BW678" s="107"/>
      <c r="BX678" s="107"/>
      <c r="BY678" s="107"/>
      <c r="BZ678" s="107"/>
      <c r="CA678" s="107"/>
      <c r="CB678" s="107"/>
      <c r="CC678" s="107"/>
      <c r="CD678" s="107"/>
      <c r="CE678" s="107"/>
      <c r="CF678" s="107"/>
      <c r="CG678" s="107"/>
      <c r="CH678" s="107"/>
      <c r="CI678" s="107"/>
      <c r="CJ678" s="107"/>
      <c r="CK678" s="107"/>
      <c r="CL678" s="107"/>
      <c r="CM678" s="107"/>
      <c r="CN678" s="107"/>
      <c r="CO678" s="107"/>
      <c r="CP678" s="107"/>
      <c r="CQ678" s="107"/>
      <c r="CR678" s="107"/>
      <c r="CS678" s="107"/>
      <c r="CT678" s="107"/>
      <c r="CU678" s="107"/>
      <c r="CV678" s="107"/>
    </row>
    <row r="679" customFormat="false" ht="14.9" hidden="false" customHeight="false" outlineLevel="0" collapsed="false">
      <c r="A679" s="74" t="n">
        <f aca="false">MONTH(B679)</f>
        <v>9</v>
      </c>
      <c r="B679" s="135" t="n">
        <v>44463</v>
      </c>
      <c r="C679" s="128" t="s">
        <v>70</v>
      </c>
      <c r="D679" s="77" t="str">
        <f aca="false">IFERROR(VLOOKUP(E:E,'Item Data Support Sheet'!A:O,7,0),"")</f>
        <v>CAP MOLDED</v>
      </c>
      <c r="E679" s="80" t="s">
        <v>343</v>
      </c>
      <c r="F679" s="122"/>
      <c r="G679" s="137" t="s">
        <v>1211</v>
      </c>
      <c r="H679" s="79" t="str">
        <f aca="false">IFERROR(VLOOKUP(E:E,'Item Data Support Sheet'!A:O,2,0),"")</f>
        <v>CAP S TYPE MOLDED BLUE</v>
      </c>
      <c r="I679" s="80" t="s">
        <v>1342</v>
      </c>
      <c r="J679" s="80" t="s">
        <v>155</v>
      </c>
      <c r="K679" s="81" t="n">
        <v>6</v>
      </c>
      <c r="L679" s="124" t="n">
        <v>3200</v>
      </c>
      <c r="M679" s="83" t="n">
        <f aca="false">IFERROR(L679/K679,0)</f>
        <v>533.333333333333</v>
      </c>
      <c r="N679" s="84" t="n">
        <f aca="false">+O679+Q679+T679+U679</f>
        <v>3000</v>
      </c>
      <c r="O679" s="85" t="n">
        <v>3000</v>
      </c>
      <c r="P679" s="86" t="n">
        <v>0</v>
      </c>
      <c r="Q679" s="86" t="n">
        <v>0</v>
      </c>
      <c r="R679" s="132" t="n">
        <v>0</v>
      </c>
      <c r="S679" s="128" t="n">
        <v>0</v>
      </c>
      <c r="T679" s="132" t="n">
        <v>0</v>
      </c>
      <c r="U679" s="128" t="n">
        <v>0</v>
      </c>
      <c r="V679" s="128" t="n">
        <v>1</v>
      </c>
      <c r="W679" s="90" t="n">
        <f aca="false">IFERROR(O679/V679,0)</f>
        <v>3000</v>
      </c>
      <c r="X679" s="91" t="n">
        <f aca="false">O679/L679</f>
        <v>0.9375</v>
      </c>
      <c r="Y679" s="92" t="str">
        <f aca="false">IFERROR(VLOOKUP(E:E,'Item Data Support Sheet'!A:J,6,0),0)</f>
        <v>RM000114</v>
      </c>
      <c r="Z679" s="93" t="n">
        <f aca="false">IFERROR(VLOOKUP(E:E,'Item Data Support Sheet'!A:O,4,0),0)</f>
        <v>7.3</v>
      </c>
      <c r="AA679" s="93" t="n">
        <f aca="false">IFERROR(((N679)*(Z679/1000))+P679,0)</f>
        <v>21.9</v>
      </c>
      <c r="AB679" s="94" t="n">
        <f aca="false">IFERROR((O679*(Z679/1000)/(AA679))," ")</f>
        <v>1</v>
      </c>
      <c r="AC679" s="95" t="n">
        <f aca="false">IFERROR((T679)/((T679)+O679),0)</f>
        <v>0</v>
      </c>
      <c r="AD679" s="96" t="n">
        <f aca="false">IFERROR(Q679/(Q679+N679),0)</f>
        <v>0</v>
      </c>
      <c r="AE679" s="91" t="n">
        <f aca="false">(N679-T679)/N679</f>
        <v>1</v>
      </c>
      <c r="AF679" s="97" t="n">
        <f aca="false">BR679</f>
        <v>0</v>
      </c>
      <c r="AG679" s="98" t="n">
        <f aca="false">K679-AF679</f>
        <v>6</v>
      </c>
      <c r="AH679" s="99" t="n">
        <f aca="false">IFERROR(AG679/K679," ")</f>
        <v>1</v>
      </c>
      <c r="AI679" s="100" t="n">
        <f aca="false">IFERROR(O679/K679,0)</f>
        <v>500</v>
      </c>
      <c r="AJ679" s="101" t="n">
        <f aca="false">VLOOKUP(D679,'Standard Cycle time'!C:D,2,0)</f>
        <v>6</v>
      </c>
      <c r="AK679" s="101" t="n">
        <f aca="false">AG679*V679*3600/O679</f>
        <v>7.2</v>
      </c>
      <c r="AL679" s="102" t="n">
        <f aca="false">AJ679/AK679</f>
        <v>0.833333333333333</v>
      </c>
      <c r="AM679" s="99" t="n">
        <f aca="false">AE679*AL679*AH679</f>
        <v>0.833333333333333</v>
      </c>
      <c r="AN679" s="103" t="n">
        <v>3769</v>
      </c>
      <c r="AO679" s="112"/>
      <c r="AP679" s="105" t="n">
        <v>0</v>
      </c>
      <c r="AQ679" s="105" t="n">
        <v>0</v>
      </c>
      <c r="AR679" s="105" t="n">
        <v>0</v>
      </c>
      <c r="AS679" s="105" t="n">
        <v>0</v>
      </c>
      <c r="AT679" s="105" t="n">
        <v>0</v>
      </c>
      <c r="AU679" s="105" t="n">
        <v>0</v>
      </c>
      <c r="AV679" s="105" t="n">
        <v>0</v>
      </c>
      <c r="AW679" s="105" t="n">
        <v>0</v>
      </c>
      <c r="AX679" s="105" t="n">
        <v>0</v>
      </c>
      <c r="AY679" s="105" t="n">
        <v>0</v>
      </c>
      <c r="AZ679" s="105" t="n">
        <v>0</v>
      </c>
      <c r="BA679" s="105" t="n">
        <v>0</v>
      </c>
      <c r="BB679" s="105" t="n">
        <v>0</v>
      </c>
      <c r="BC679" s="105" t="n">
        <v>0</v>
      </c>
      <c r="BD679" s="105" t="n">
        <v>0</v>
      </c>
      <c r="BE679" s="105" t="n">
        <v>0</v>
      </c>
      <c r="BF679" s="105" t="n">
        <v>0</v>
      </c>
      <c r="BG679" s="105" t="n">
        <v>0</v>
      </c>
      <c r="BH679" s="105" t="n">
        <v>0</v>
      </c>
      <c r="BI679" s="105" t="n">
        <v>0</v>
      </c>
      <c r="BJ679" s="105" t="n">
        <v>0</v>
      </c>
      <c r="BK679" s="105" t="n">
        <v>0</v>
      </c>
      <c r="BL679" s="105" t="n">
        <v>0</v>
      </c>
      <c r="BM679" s="105" t="n">
        <v>0</v>
      </c>
      <c r="BN679" s="105" t="n">
        <v>0</v>
      </c>
      <c r="BO679" s="105" t="n">
        <v>0</v>
      </c>
      <c r="BP679" s="105" t="n">
        <v>0</v>
      </c>
      <c r="BQ679" s="105" t="n">
        <v>0</v>
      </c>
      <c r="BR679" s="106" t="n">
        <v>0</v>
      </c>
      <c r="BS679" s="106" t="n">
        <v>0</v>
      </c>
      <c r="BT679" s="107"/>
      <c r="BU679" s="107"/>
      <c r="BV679" s="107"/>
      <c r="BW679" s="107"/>
      <c r="BX679" s="107"/>
      <c r="BY679" s="107"/>
      <c r="BZ679" s="107"/>
      <c r="CA679" s="107"/>
      <c r="CB679" s="107"/>
      <c r="CC679" s="107"/>
      <c r="CD679" s="107"/>
      <c r="CE679" s="107"/>
      <c r="CF679" s="107"/>
      <c r="CG679" s="107"/>
      <c r="CH679" s="107"/>
      <c r="CI679" s="107"/>
      <c r="CJ679" s="107"/>
      <c r="CK679" s="107"/>
      <c r="CL679" s="107"/>
      <c r="CM679" s="107"/>
      <c r="CN679" s="107"/>
      <c r="CO679" s="107"/>
      <c r="CP679" s="107"/>
      <c r="CQ679" s="107"/>
      <c r="CR679" s="107"/>
      <c r="CS679" s="107"/>
      <c r="CT679" s="107"/>
      <c r="CU679" s="107"/>
      <c r="CV679" s="107"/>
    </row>
    <row r="680" customFormat="false" ht="14.9" hidden="false" customHeight="false" outlineLevel="0" collapsed="false">
      <c r="A680" s="74" t="n">
        <f aca="false">MONTH(B680)</f>
        <v>9</v>
      </c>
      <c r="B680" s="135" t="n">
        <v>44463</v>
      </c>
      <c r="C680" s="128" t="s">
        <v>152</v>
      </c>
      <c r="D680" s="77" t="str">
        <f aca="false">IFERROR(VLOOKUP(E:E,'Item Data Support Sheet'!A:O,7,0),"")</f>
        <v>CAP MOLDED</v>
      </c>
      <c r="E680" s="80" t="s">
        <v>343</v>
      </c>
      <c r="F680" s="122"/>
      <c r="G680" s="137" t="s">
        <v>1211</v>
      </c>
      <c r="H680" s="79" t="str">
        <f aca="false">IFERROR(VLOOKUP(E:E,'Item Data Support Sheet'!A:O,2,0),"")</f>
        <v>CAP S TYPE MOLDED BLUE</v>
      </c>
      <c r="I680" s="80" t="s">
        <v>1343</v>
      </c>
      <c r="J680" s="80" t="s">
        <v>815</v>
      </c>
      <c r="K680" s="81" t="n">
        <v>6</v>
      </c>
      <c r="L680" s="124" t="n">
        <v>3137</v>
      </c>
      <c r="M680" s="83" t="n">
        <f aca="false">IFERROR(L680/K680,0)</f>
        <v>522.833333333333</v>
      </c>
      <c r="N680" s="84" t="n">
        <f aca="false">+O680+Q680+T680+U680</f>
        <v>3750</v>
      </c>
      <c r="O680" s="85" t="n">
        <v>3750</v>
      </c>
      <c r="P680" s="86" t="n">
        <v>0</v>
      </c>
      <c r="Q680" s="86" t="n">
        <v>0</v>
      </c>
      <c r="R680" s="132" t="n">
        <v>0</v>
      </c>
      <c r="S680" s="128" t="n">
        <v>0</v>
      </c>
      <c r="T680" s="132" t="n">
        <v>0</v>
      </c>
      <c r="U680" s="128" t="n">
        <v>0</v>
      </c>
      <c r="V680" s="128" t="n">
        <v>1</v>
      </c>
      <c r="W680" s="90" t="n">
        <f aca="false">IFERROR(O680/V680,0)</f>
        <v>3750</v>
      </c>
      <c r="X680" s="91" t="n">
        <f aca="false">O680/L680</f>
        <v>1.1954096270322</v>
      </c>
      <c r="Y680" s="92" t="str">
        <f aca="false">IFERROR(VLOOKUP(E:E,'Item Data Support Sheet'!A:J,6,0),0)</f>
        <v>RM000114</v>
      </c>
      <c r="Z680" s="93" t="n">
        <f aca="false">IFERROR(VLOOKUP(E:E,'Item Data Support Sheet'!A:O,4,0),0)</f>
        <v>7.3</v>
      </c>
      <c r="AA680" s="93" t="n">
        <f aca="false">IFERROR(((N680)*(Z680/1000))+P680,0)</f>
        <v>27.375</v>
      </c>
      <c r="AB680" s="94" t="n">
        <f aca="false">IFERROR((O680*(Z680/1000)/(AA680))," ")</f>
        <v>1</v>
      </c>
      <c r="AC680" s="95" t="n">
        <f aca="false">IFERROR((T680)/((T680)+O680),0)</f>
        <v>0</v>
      </c>
      <c r="AD680" s="96" t="n">
        <f aca="false">IFERROR(Q680/(Q680+N680),0)</f>
        <v>0</v>
      </c>
      <c r="AE680" s="91" t="n">
        <f aca="false">(N680-T680)/N680</f>
        <v>1</v>
      </c>
      <c r="AF680" s="97" t="n">
        <f aca="false">BR680</f>
        <v>0</v>
      </c>
      <c r="AG680" s="98" t="n">
        <f aca="false">K680-AF680</f>
        <v>6</v>
      </c>
      <c r="AH680" s="99" t="n">
        <f aca="false">IFERROR(AG680/K680," ")</f>
        <v>1</v>
      </c>
      <c r="AI680" s="100" t="n">
        <f aca="false">IFERROR(O680/K680,0)</f>
        <v>625</v>
      </c>
      <c r="AJ680" s="101" t="n">
        <f aca="false">VLOOKUP(D680,'Standard Cycle time'!C:D,2,0)</f>
        <v>6</v>
      </c>
      <c r="AK680" s="101" t="n">
        <f aca="false">AG680*V680*3600/O680</f>
        <v>5.76</v>
      </c>
      <c r="AL680" s="102" t="n">
        <f aca="false">AJ680/AK680</f>
        <v>1.04166666666667</v>
      </c>
      <c r="AM680" s="99" t="n">
        <f aca="false">AE680*AL680*AH680</f>
        <v>1.04166666666667</v>
      </c>
      <c r="AN680" s="103" t="n">
        <v>3771</v>
      </c>
      <c r="AO680" s="112"/>
      <c r="AP680" s="105" t="n">
        <v>0</v>
      </c>
      <c r="AQ680" s="105" t="n">
        <v>0</v>
      </c>
      <c r="AR680" s="105" t="n">
        <v>0</v>
      </c>
      <c r="AS680" s="105" t="n">
        <v>0</v>
      </c>
      <c r="AT680" s="105" t="n">
        <v>0</v>
      </c>
      <c r="AU680" s="105" t="n">
        <v>0</v>
      </c>
      <c r="AV680" s="105" t="n">
        <v>0</v>
      </c>
      <c r="AW680" s="105" t="n">
        <v>0</v>
      </c>
      <c r="AX680" s="105" t="n">
        <v>0</v>
      </c>
      <c r="AY680" s="105" t="n">
        <v>0</v>
      </c>
      <c r="AZ680" s="105" t="n">
        <v>0</v>
      </c>
      <c r="BA680" s="105" t="n">
        <v>0</v>
      </c>
      <c r="BB680" s="105" t="n">
        <v>0</v>
      </c>
      <c r="BC680" s="105" t="n">
        <v>0</v>
      </c>
      <c r="BD680" s="105" t="n">
        <v>0</v>
      </c>
      <c r="BE680" s="105" t="n">
        <v>0</v>
      </c>
      <c r="BF680" s="105" t="n">
        <v>0</v>
      </c>
      <c r="BG680" s="105" t="n">
        <v>0</v>
      </c>
      <c r="BH680" s="105" t="n">
        <v>0</v>
      </c>
      <c r="BI680" s="105" t="n">
        <v>0</v>
      </c>
      <c r="BJ680" s="105" t="n">
        <v>0</v>
      </c>
      <c r="BK680" s="105" t="n">
        <v>0</v>
      </c>
      <c r="BL680" s="105" t="n">
        <v>0</v>
      </c>
      <c r="BM680" s="105" t="n">
        <v>0</v>
      </c>
      <c r="BN680" s="105" t="n">
        <v>0</v>
      </c>
      <c r="BO680" s="105" t="n">
        <v>0</v>
      </c>
      <c r="BP680" s="105" t="n">
        <v>0</v>
      </c>
      <c r="BQ680" s="105" t="n">
        <v>0</v>
      </c>
      <c r="BR680" s="106" t="n">
        <v>0</v>
      </c>
      <c r="BS680" s="106" t="n">
        <v>0</v>
      </c>
      <c r="BT680" s="107"/>
      <c r="BU680" s="107"/>
      <c r="BV680" s="107"/>
      <c r="BW680" s="107"/>
      <c r="BX680" s="107"/>
      <c r="BY680" s="107"/>
      <c r="BZ680" s="107"/>
      <c r="CA680" s="107"/>
      <c r="CB680" s="107"/>
      <c r="CC680" s="107"/>
      <c r="CD680" s="107"/>
      <c r="CE680" s="107"/>
      <c r="CF680" s="107"/>
      <c r="CG680" s="107"/>
      <c r="CH680" s="107"/>
      <c r="CI680" s="107"/>
      <c r="CJ680" s="107"/>
      <c r="CK680" s="107"/>
      <c r="CL680" s="107"/>
      <c r="CM680" s="107"/>
      <c r="CN680" s="107"/>
      <c r="CO680" s="107"/>
      <c r="CP680" s="107"/>
      <c r="CQ680" s="107"/>
      <c r="CR680" s="107"/>
      <c r="CS680" s="107"/>
      <c r="CT680" s="107"/>
      <c r="CU680" s="107"/>
      <c r="CV680" s="107"/>
    </row>
    <row r="681" customFormat="false" ht="14.9" hidden="false" customHeight="false" outlineLevel="0" collapsed="false">
      <c r="A681" s="74" t="n">
        <f aca="false">MONTH(B681)</f>
        <v>9</v>
      </c>
      <c r="B681" s="135" t="n">
        <v>44463</v>
      </c>
      <c r="C681" s="128" t="s">
        <v>152</v>
      </c>
      <c r="D681" s="77" t="str">
        <f aca="false">IFERROR(VLOOKUP(E:E,'Item Data Support Sheet'!A:O,7,0),"")</f>
        <v>CAP MOLDED</v>
      </c>
      <c r="E681" s="80" t="s">
        <v>343</v>
      </c>
      <c r="F681" s="122"/>
      <c r="G681" s="137" t="s">
        <v>1215</v>
      </c>
      <c r="H681" s="79" t="str">
        <f aca="false">IFERROR(VLOOKUP(E:E,'Item Data Support Sheet'!A:O,2,0),"")</f>
        <v>CAP S TYPE MOLDED BLUE</v>
      </c>
      <c r="I681" s="80" t="s">
        <v>1344</v>
      </c>
      <c r="J681" s="80" t="s">
        <v>815</v>
      </c>
      <c r="K681" s="81" t="n">
        <v>2</v>
      </c>
      <c r="L681" s="124" t="n">
        <v>1000</v>
      </c>
      <c r="M681" s="83" t="n">
        <f aca="false">IFERROR(L681/K681,0)</f>
        <v>500</v>
      </c>
      <c r="N681" s="84" t="n">
        <f aca="false">+O681+Q681+T681+U681</f>
        <v>1005</v>
      </c>
      <c r="O681" s="85" t="n">
        <v>1000</v>
      </c>
      <c r="P681" s="86" t="n">
        <v>0</v>
      </c>
      <c r="Q681" s="86" t="n">
        <v>0</v>
      </c>
      <c r="R681" s="132" t="n">
        <v>0</v>
      </c>
      <c r="S681" s="128" t="n">
        <v>0</v>
      </c>
      <c r="T681" s="132" t="n">
        <v>5</v>
      </c>
      <c r="U681" s="128" t="n">
        <v>0</v>
      </c>
      <c r="V681" s="128" t="n">
        <v>1</v>
      </c>
      <c r="W681" s="90" t="n">
        <f aca="false">IFERROR(O681/V681,0)</f>
        <v>1000</v>
      </c>
      <c r="X681" s="91" t="n">
        <f aca="false">O681/L681</f>
        <v>1</v>
      </c>
      <c r="Y681" s="92" t="str">
        <f aca="false">IFERROR(VLOOKUP(E:E,'Item Data Support Sheet'!A:J,6,0),0)</f>
        <v>RM000114</v>
      </c>
      <c r="Z681" s="93" t="n">
        <f aca="false">IFERROR(VLOOKUP(E:E,'Item Data Support Sheet'!A:O,4,0),0)</f>
        <v>7.3</v>
      </c>
      <c r="AA681" s="93" t="n">
        <f aca="false">IFERROR(((N681)*(Z681/1000))+P681,0)</f>
        <v>7.3365</v>
      </c>
      <c r="AB681" s="94" t="n">
        <f aca="false">IFERROR((O681*(Z681/1000)/(AA681))," ")</f>
        <v>0.99502487562189</v>
      </c>
      <c r="AC681" s="95" t="n">
        <f aca="false">IFERROR((T681)/((T681)+O681),0)</f>
        <v>0.00497512437810945</v>
      </c>
      <c r="AD681" s="96" t="n">
        <f aca="false">IFERROR(Q681/(Q681+N681),0)</f>
        <v>0</v>
      </c>
      <c r="AE681" s="91" t="n">
        <f aca="false">(N681-T681)/N681</f>
        <v>0.99502487562189</v>
      </c>
      <c r="AF681" s="97" t="n">
        <f aca="false">BR681</f>
        <v>0</v>
      </c>
      <c r="AG681" s="98" t="n">
        <f aca="false">K681-AF681</f>
        <v>2</v>
      </c>
      <c r="AH681" s="99" t="n">
        <f aca="false">IFERROR(AG681/K681," ")</f>
        <v>1</v>
      </c>
      <c r="AI681" s="100" t="n">
        <f aca="false">IFERROR(O681/K681,0)</f>
        <v>500</v>
      </c>
      <c r="AJ681" s="101" t="n">
        <f aca="false">VLOOKUP(D681,'Standard Cycle time'!C:D,2,0)</f>
        <v>6</v>
      </c>
      <c r="AK681" s="101" t="n">
        <f aca="false">AG681*V681*3600/O681</f>
        <v>7.2</v>
      </c>
      <c r="AL681" s="102" t="n">
        <f aca="false">AJ681/AK681</f>
        <v>0.833333333333333</v>
      </c>
      <c r="AM681" s="99" t="n">
        <f aca="false">AE681*AL681*AH681</f>
        <v>0.829187396351575</v>
      </c>
      <c r="AN681" s="103" t="n">
        <v>3770</v>
      </c>
      <c r="AO681" s="112"/>
      <c r="AP681" s="105" t="n">
        <v>0</v>
      </c>
      <c r="AQ681" s="105" t="n">
        <v>0</v>
      </c>
      <c r="AR681" s="105" t="n">
        <v>0</v>
      </c>
      <c r="AS681" s="105" t="n">
        <v>0</v>
      </c>
      <c r="AT681" s="105" t="n">
        <v>0</v>
      </c>
      <c r="AU681" s="105" t="n">
        <v>0</v>
      </c>
      <c r="AV681" s="105" t="n">
        <v>0</v>
      </c>
      <c r="AW681" s="105" t="n">
        <v>0</v>
      </c>
      <c r="AX681" s="105" t="n">
        <v>0</v>
      </c>
      <c r="AY681" s="105" t="n">
        <v>0</v>
      </c>
      <c r="AZ681" s="105" t="n">
        <v>0</v>
      </c>
      <c r="BA681" s="105" t="n">
        <v>0</v>
      </c>
      <c r="BB681" s="105" t="n">
        <v>0</v>
      </c>
      <c r="BC681" s="105" t="n">
        <v>0</v>
      </c>
      <c r="BD681" s="105" t="n">
        <v>0</v>
      </c>
      <c r="BE681" s="105" t="n">
        <v>0</v>
      </c>
      <c r="BF681" s="105" t="n">
        <v>0</v>
      </c>
      <c r="BG681" s="105" t="n">
        <v>0</v>
      </c>
      <c r="BH681" s="105" t="n">
        <v>0</v>
      </c>
      <c r="BI681" s="105" t="n">
        <v>0</v>
      </c>
      <c r="BJ681" s="105" t="n">
        <v>0</v>
      </c>
      <c r="BK681" s="105" t="n">
        <v>0</v>
      </c>
      <c r="BL681" s="105" t="n">
        <v>0</v>
      </c>
      <c r="BM681" s="105" t="n">
        <v>0</v>
      </c>
      <c r="BN681" s="105" t="n">
        <v>0</v>
      </c>
      <c r="BO681" s="105" t="n">
        <v>0</v>
      </c>
      <c r="BP681" s="105" t="n">
        <v>0</v>
      </c>
      <c r="BQ681" s="105" t="n">
        <v>0</v>
      </c>
      <c r="BR681" s="106" t="n">
        <v>0</v>
      </c>
      <c r="BS681" s="106" t="n">
        <v>0</v>
      </c>
      <c r="BT681" s="107"/>
      <c r="BU681" s="107"/>
      <c r="BV681" s="107"/>
      <c r="BW681" s="107"/>
      <c r="BX681" s="107"/>
      <c r="BY681" s="107"/>
      <c r="BZ681" s="107"/>
      <c r="CA681" s="107"/>
      <c r="CB681" s="107"/>
      <c r="CC681" s="107"/>
      <c r="CD681" s="107"/>
      <c r="CE681" s="107"/>
      <c r="CF681" s="107"/>
      <c r="CG681" s="107"/>
      <c r="CH681" s="107"/>
      <c r="CI681" s="107"/>
      <c r="CJ681" s="107"/>
      <c r="CK681" s="107"/>
      <c r="CL681" s="107"/>
      <c r="CM681" s="107"/>
      <c r="CN681" s="107"/>
      <c r="CO681" s="107"/>
      <c r="CP681" s="107"/>
      <c r="CQ681" s="107"/>
      <c r="CR681" s="107"/>
      <c r="CS681" s="107"/>
      <c r="CT681" s="107"/>
      <c r="CU681" s="107"/>
      <c r="CV681" s="107"/>
    </row>
    <row r="682" customFormat="false" ht="14.9" hidden="false" customHeight="false" outlineLevel="0" collapsed="false">
      <c r="A682" s="74" t="n">
        <f aca="false">MONTH(B682)</f>
        <v>9</v>
      </c>
      <c r="B682" s="135" t="n">
        <v>44463</v>
      </c>
      <c r="C682" s="128" t="s">
        <v>152</v>
      </c>
      <c r="D682" s="77" t="str">
        <f aca="false">IFERROR(VLOOKUP(E:E,'Item Data Support Sheet'!A:O,7,0),"")</f>
        <v>NIPPLE MOLDED</v>
      </c>
      <c r="E682" s="80" t="s">
        <v>244</v>
      </c>
      <c r="F682" s="122" t="s">
        <v>137</v>
      </c>
      <c r="G682" s="137" t="s">
        <v>138</v>
      </c>
      <c r="H682" s="79" t="str">
        <f aca="false">IFERROR(VLOOKUP(E:E,'Item Data Support Sheet'!A:O,2,0),"")</f>
        <v>NIPPLE S TYPE S SIZE INJECTION</v>
      </c>
      <c r="I682" s="80" t="s">
        <v>1345</v>
      </c>
      <c r="J682" s="80" t="s">
        <v>815</v>
      </c>
      <c r="K682" s="81" t="n">
        <v>8</v>
      </c>
      <c r="L682" s="124" t="n">
        <v>4815</v>
      </c>
      <c r="M682" s="83" t="n">
        <f aca="false">IFERROR(L682/K682,0)</f>
        <v>601.875</v>
      </c>
      <c r="N682" s="84" t="n">
        <f aca="false">+O682+Q682+T682+U682</f>
        <v>5413</v>
      </c>
      <c r="O682" s="85" t="n">
        <v>5300</v>
      </c>
      <c r="P682" s="86" t="n">
        <v>0</v>
      </c>
      <c r="Q682" s="86" t="n">
        <v>37</v>
      </c>
      <c r="R682" s="132" t="n">
        <v>0</v>
      </c>
      <c r="S682" s="128" t="n">
        <v>0</v>
      </c>
      <c r="T682" s="132" t="n">
        <v>68</v>
      </c>
      <c r="U682" s="128" t="n">
        <v>8</v>
      </c>
      <c r="V682" s="128" t="n">
        <v>1</v>
      </c>
      <c r="W682" s="90" t="n">
        <f aca="false">IFERROR(O682/V682,0)</f>
        <v>5300</v>
      </c>
      <c r="X682" s="91" t="n">
        <f aca="false">O682/L682</f>
        <v>1.10072689511942</v>
      </c>
      <c r="Y682" s="92" t="str">
        <f aca="false">IFERROR(VLOOKUP(E:E,'Item Data Support Sheet'!A:J,6,0),0)</f>
        <v>Silicon</v>
      </c>
      <c r="Z682" s="93" t="n">
        <f aca="false">IFERROR(VLOOKUP(E:E,'Item Data Support Sheet'!A:O,4,0),0)</f>
        <v>6.8</v>
      </c>
      <c r="AA682" s="93" t="n">
        <f aca="false">IFERROR(((N682)*(Z682/1000))+P682,0)</f>
        <v>36.8084</v>
      </c>
      <c r="AB682" s="94" t="n">
        <f aca="false">IFERROR((O682*(Z682/1000)/(AA682))," ")</f>
        <v>0.979124330315906</v>
      </c>
      <c r="AC682" s="95" t="n">
        <f aca="false">IFERROR((T682)/((T682)+O682),0)</f>
        <v>0.0126676602086438</v>
      </c>
      <c r="AD682" s="96" t="n">
        <f aca="false">IFERROR(Q682/(Q682+N682),0)</f>
        <v>0.00678899082568807</v>
      </c>
      <c r="AE682" s="91" t="n">
        <f aca="false">(N682-T682)/N682</f>
        <v>0.987437650101607</v>
      </c>
      <c r="AF682" s="97" t="n">
        <f aca="false">BR682</f>
        <v>0</v>
      </c>
      <c r="AG682" s="98" t="n">
        <f aca="false">K682-AF682</f>
        <v>8</v>
      </c>
      <c r="AH682" s="99" t="n">
        <f aca="false">IFERROR(AG682/K682," ")</f>
        <v>1</v>
      </c>
      <c r="AI682" s="100" t="n">
        <f aca="false">IFERROR(O682/K682,0)</f>
        <v>662.5</v>
      </c>
      <c r="AJ682" s="101" t="n">
        <f aca="false">VLOOKUP(D682,'Standard Cycle time'!C:D,2,0)</f>
        <v>5.25</v>
      </c>
      <c r="AK682" s="101" t="n">
        <f aca="false">AG682*V682*3600/O682</f>
        <v>5.43396226415094</v>
      </c>
      <c r="AL682" s="102" t="n">
        <f aca="false">AJ682/AK682</f>
        <v>0.966145833333333</v>
      </c>
      <c r="AM682" s="99" t="n">
        <f aca="false">AE682*AL682*AH682</f>
        <v>0.954008771322126</v>
      </c>
      <c r="AN682" s="103" t="n">
        <v>3562</v>
      </c>
      <c r="AO682" s="112"/>
      <c r="AP682" s="105" t="n">
        <v>0</v>
      </c>
      <c r="AQ682" s="105" t="n">
        <v>0</v>
      </c>
      <c r="AR682" s="105" t="n">
        <v>0</v>
      </c>
      <c r="AS682" s="105" t="n">
        <v>0</v>
      </c>
      <c r="AT682" s="105" t="n">
        <v>0</v>
      </c>
      <c r="AU682" s="105" t="n">
        <v>0</v>
      </c>
      <c r="AV682" s="105" t="n">
        <v>0</v>
      </c>
      <c r="AW682" s="105" t="n">
        <v>0</v>
      </c>
      <c r="AX682" s="105" t="n">
        <v>0</v>
      </c>
      <c r="AY682" s="105" t="n">
        <v>0</v>
      </c>
      <c r="AZ682" s="105" t="n">
        <v>0</v>
      </c>
      <c r="BA682" s="105" t="n">
        <v>0</v>
      </c>
      <c r="BB682" s="105" t="n">
        <v>0</v>
      </c>
      <c r="BC682" s="105" t="n">
        <v>0</v>
      </c>
      <c r="BD682" s="105" t="n">
        <v>0</v>
      </c>
      <c r="BE682" s="105" t="n">
        <v>0</v>
      </c>
      <c r="BF682" s="105" t="n">
        <v>0</v>
      </c>
      <c r="BG682" s="105" t="n">
        <v>0</v>
      </c>
      <c r="BH682" s="105" t="n">
        <v>0</v>
      </c>
      <c r="BI682" s="105" t="n">
        <v>0</v>
      </c>
      <c r="BJ682" s="105" t="n">
        <v>0</v>
      </c>
      <c r="BK682" s="105" t="n">
        <v>0</v>
      </c>
      <c r="BL682" s="105" t="n">
        <v>0</v>
      </c>
      <c r="BM682" s="105" t="n">
        <v>0</v>
      </c>
      <c r="BN682" s="105" t="n">
        <v>0</v>
      </c>
      <c r="BO682" s="105" t="n">
        <v>0</v>
      </c>
      <c r="BP682" s="105" t="n">
        <v>0</v>
      </c>
      <c r="BQ682" s="105" t="n">
        <v>0</v>
      </c>
      <c r="BR682" s="106" t="n">
        <v>0</v>
      </c>
      <c r="BS682" s="106" t="n">
        <v>0</v>
      </c>
      <c r="BT682" s="107"/>
      <c r="BU682" s="107"/>
      <c r="BV682" s="107"/>
      <c r="BW682" s="107"/>
      <c r="BX682" s="107"/>
      <c r="BY682" s="107"/>
      <c r="BZ682" s="107"/>
      <c r="CA682" s="107"/>
      <c r="CB682" s="107"/>
      <c r="CC682" s="107"/>
      <c r="CD682" s="107"/>
      <c r="CE682" s="107"/>
      <c r="CF682" s="107"/>
      <c r="CG682" s="107"/>
      <c r="CH682" s="107"/>
      <c r="CI682" s="107"/>
      <c r="CJ682" s="107"/>
      <c r="CK682" s="107"/>
      <c r="CL682" s="107"/>
      <c r="CM682" s="107"/>
      <c r="CN682" s="107"/>
      <c r="CO682" s="107"/>
      <c r="CP682" s="107"/>
      <c r="CQ682" s="107"/>
      <c r="CR682" s="107"/>
      <c r="CS682" s="107"/>
      <c r="CT682" s="107"/>
      <c r="CU682" s="107"/>
      <c r="CV682" s="107"/>
    </row>
    <row r="683" customFormat="false" ht="14.9" hidden="false" customHeight="false" outlineLevel="0" collapsed="false">
      <c r="A683" s="74" t="n">
        <f aca="false">MONTH(B683)</f>
        <v>9</v>
      </c>
      <c r="B683" s="135" t="n">
        <v>44464</v>
      </c>
      <c r="C683" s="128" t="s">
        <v>51</v>
      </c>
      <c r="D683" s="77" t="str">
        <f aca="false">IFERROR(VLOOKUP(E:E,'Item Data Support Sheet'!A:O,7,0),"")</f>
        <v>NIPPLE MOLDED</v>
      </c>
      <c r="E683" s="80" t="s">
        <v>244</v>
      </c>
      <c r="F683" s="122" t="s">
        <v>137</v>
      </c>
      <c r="G683" s="137" t="s">
        <v>138</v>
      </c>
      <c r="H683" s="79" t="str">
        <f aca="false">IFERROR(VLOOKUP(E:E,'Item Data Support Sheet'!A:O,2,0),"")</f>
        <v>NIPPLE S TYPE S SIZE INJECTION</v>
      </c>
      <c r="I683" s="80" t="s">
        <v>1346</v>
      </c>
      <c r="J683" s="80" t="s">
        <v>143</v>
      </c>
      <c r="K683" s="81" t="n">
        <v>8</v>
      </c>
      <c r="L683" s="124" t="n">
        <v>4815</v>
      </c>
      <c r="M683" s="83" t="n">
        <f aca="false">IFERROR(L683/K683,0)</f>
        <v>601.875</v>
      </c>
      <c r="N683" s="84" t="n">
        <f aca="false">+O683+Q683+T683+U683</f>
        <v>4308</v>
      </c>
      <c r="O683" s="85" t="n">
        <v>4200</v>
      </c>
      <c r="P683" s="86" t="n">
        <v>0</v>
      </c>
      <c r="Q683" s="86" t="n">
        <v>40</v>
      </c>
      <c r="R683" s="132" t="n">
        <v>0</v>
      </c>
      <c r="S683" s="128" t="n">
        <v>0</v>
      </c>
      <c r="T683" s="132" t="n">
        <v>60</v>
      </c>
      <c r="U683" s="128" t="n">
        <v>8</v>
      </c>
      <c r="V683" s="128" t="n">
        <v>1</v>
      </c>
      <c r="W683" s="90" t="n">
        <f aca="false">IFERROR(O683/V683,0)</f>
        <v>4200</v>
      </c>
      <c r="X683" s="91" t="n">
        <f aca="false">O683/L683</f>
        <v>0.872274143302181</v>
      </c>
      <c r="Y683" s="92" t="str">
        <f aca="false">IFERROR(VLOOKUP(E:E,'Item Data Support Sheet'!A:J,6,0),0)</f>
        <v>Silicon</v>
      </c>
      <c r="Z683" s="93" t="n">
        <f aca="false">IFERROR(VLOOKUP(E:E,'Item Data Support Sheet'!A:O,4,0),0)</f>
        <v>6.8</v>
      </c>
      <c r="AA683" s="93" t="n">
        <f aca="false">IFERROR(((N683)*(Z683/1000))+P683,0)</f>
        <v>29.2944</v>
      </c>
      <c r="AB683" s="94" t="n">
        <f aca="false">IFERROR((O683*(Z683/1000)/(AA683))," ")</f>
        <v>0.974930362116992</v>
      </c>
      <c r="AC683" s="95" t="n">
        <f aca="false">IFERROR((T683)/((T683)+O683),0)</f>
        <v>0.0140845070422535</v>
      </c>
      <c r="AD683" s="96" t="n">
        <f aca="false">IFERROR(Q683/(Q683+N683),0)</f>
        <v>0.00919963201471941</v>
      </c>
      <c r="AE683" s="91" t="n">
        <f aca="false">(N683-T683)/N683</f>
        <v>0.986072423398329</v>
      </c>
      <c r="AF683" s="97" t="n">
        <f aca="false">BR683</f>
        <v>1.83333333333333</v>
      </c>
      <c r="AG683" s="98" t="n">
        <f aca="false">K683-AF683</f>
        <v>6.16666666666667</v>
      </c>
      <c r="AH683" s="99" t="n">
        <f aca="false">IFERROR(AG683/K683," ")</f>
        <v>0.770833333333334</v>
      </c>
      <c r="AI683" s="100" t="n">
        <f aca="false">IFERROR(O683/K683,0)</f>
        <v>525</v>
      </c>
      <c r="AJ683" s="101" t="n">
        <f aca="false">VLOOKUP(D683,'Standard Cycle time'!C:D,2,0)</f>
        <v>5.25</v>
      </c>
      <c r="AK683" s="101" t="n">
        <f aca="false">AG683*V683*3600/O683</f>
        <v>5.28571428571429</v>
      </c>
      <c r="AL683" s="102" t="n">
        <f aca="false">AJ683/AK683</f>
        <v>0.993243243243243</v>
      </c>
      <c r="AM683" s="99" t="n">
        <f aca="false">AE683*AL683*AH683</f>
        <v>0.754961699164345</v>
      </c>
      <c r="AN683" s="103" t="n">
        <v>3593</v>
      </c>
      <c r="AO683" s="112" t="s">
        <v>1347</v>
      </c>
      <c r="AP683" s="105" t="n">
        <v>0</v>
      </c>
      <c r="AQ683" s="105" t="n">
        <v>0</v>
      </c>
      <c r="AR683" s="105" t="n">
        <v>0</v>
      </c>
      <c r="AS683" s="105" t="n">
        <v>0</v>
      </c>
      <c r="AT683" s="105" t="n">
        <v>0</v>
      </c>
      <c r="AU683" s="105" t="n">
        <v>80</v>
      </c>
      <c r="AV683" s="105" t="n">
        <v>0</v>
      </c>
      <c r="AW683" s="105" t="n">
        <v>30</v>
      </c>
      <c r="AX683" s="105" t="n">
        <v>0</v>
      </c>
      <c r="AY683" s="105" t="n">
        <v>0</v>
      </c>
      <c r="AZ683" s="105" t="n">
        <v>0</v>
      </c>
      <c r="BA683" s="105" t="n">
        <v>0</v>
      </c>
      <c r="BB683" s="105" t="n">
        <v>0</v>
      </c>
      <c r="BC683" s="105" t="n">
        <v>0</v>
      </c>
      <c r="BD683" s="105" t="n">
        <v>0</v>
      </c>
      <c r="BE683" s="105" t="n">
        <v>0</v>
      </c>
      <c r="BF683" s="105" t="n">
        <v>0</v>
      </c>
      <c r="BG683" s="105" t="n">
        <v>0</v>
      </c>
      <c r="BH683" s="105" t="n">
        <v>0</v>
      </c>
      <c r="BI683" s="105" t="n">
        <v>0</v>
      </c>
      <c r="BJ683" s="105" t="n">
        <v>0</v>
      </c>
      <c r="BK683" s="105" t="n">
        <v>0</v>
      </c>
      <c r="BL683" s="105" t="n">
        <v>0</v>
      </c>
      <c r="BM683" s="105" t="n">
        <v>0</v>
      </c>
      <c r="BN683" s="105" t="n">
        <v>0</v>
      </c>
      <c r="BO683" s="105" t="n">
        <v>0</v>
      </c>
      <c r="BP683" s="105" t="n">
        <v>0</v>
      </c>
      <c r="BQ683" s="105" t="n">
        <v>0</v>
      </c>
      <c r="BR683" s="106" t="n">
        <v>1.83333333333333</v>
      </c>
      <c r="BS683" s="106" t="n">
        <v>1.86388888888889</v>
      </c>
      <c r="BT683" s="107"/>
      <c r="BU683" s="107"/>
      <c r="BV683" s="107"/>
      <c r="BW683" s="107"/>
      <c r="BX683" s="107"/>
      <c r="BY683" s="107"/>
      <c r="BZ683" s="107"/>
      <c r="CA683" s="107"/>
      <c r="CB683" s="107"/>
      <c r="CC683" s="107"/>
      <c r="CD683" s="107"/>
      <c r="CE683" s="107"/>
      <c r="CF683" s="107"/>
      <c r="CG683" s="107"/>
      <c r="CH683" s="107"/>
      <c r="CI683" s="107"/>
      <c r="CJ683" s="107"/>
      <c r="CK683" s="107"/>
      <c r="CL683" s="107"/>
      <c r="CM683" s="107"/>
      <c r="CN683" s="107"/>
      <c r="CO683" s="107"/>
      <c r="CP683" s="107"/>
      <c r="CQ683" s="107"/>
      <c r="CR683" s="107"/>
      <c r="CS683" s="107"/>
      <c r="CT683" s="107"/>
      <c r="CU683" s="107"/>
      <c r="CV683" s="107"/>
    </row>
    <row r="684" customFormat="false" ht="14.9" hidden="false" customHeight="false" outlineLevel="0" collapsed="false">
      <c r="A684" s="74" t="n">
        <f aca="false">MONTH(B684)</f>
        <v>9</v>
      </c>
      <c r="B684" s="135" t="n">
        <v>44464</v>
      </c>
      <c r="C684" s="128" t="s">
        <v>51</v>
      </c>
      <c r="D684" s="77" t="str">
        <f aca="false">IFERROR(VLOOKUP(E:E,'Item Data Support Sheet'!A:O,7,0),"")</f>
        <v>NIPPLE PUNCH</v>
      </c>
      <c r="E684" s="80" t="s">
        <v>53</v>
      </c>
      <c r="F684" s="122"/>
      <c r="G684" s="137" t="s">
        <v>54</v>
      </c>
      <c r="H684" s="79" t="str">
        <f aca="false">IFERROR(VLOOKUP(E:E,'Item Data Support Sheet'!A:O,2,0),"")</f>
        <v>NIPPLE S TYPE S SIZE PUNCHED</v>
      </c>
      <c r="I684" s="80" t="s">
        <v>1348</v>
      </c>
      <c r="J684" s="80" t="s">
        <v>143</v>
      </c>
      <c r="K684" s="81" t="n">
        <v>8</v>
      </c>
      <c r="L684" s="124" t="n">
        <v>7000</v>
      </c>
      <c r="M684" s="83" t="n">
        <f aca="false">IFERROR(L684/K684,0)</f>
        <v>875</v>
      </c>
      <c r="N684" s="84" t="n">
        <f aca="false">+O684+Q684+T684+U684</f>
        <v>7150</v>
      </c>
      <c r="O684" s="85" t="n">
        <v>7150</v>
      </c>
      <c r="P684" s="86" t="n">
        <v>0</v>
      </c>
      <c r="Q684" s="86" t="n">
        <v>0</v>
      </c>
      <c r="R684" s="132" t="n">
        <v>0</v>
      </c>
      <c r="S684" s="128" t="n">
        <v>0</v>
      </c>
      <c r="T684" s="132" t="n">
        <v>0</v>
      </c>
      <c r="U684" s="128" t="n">
        <v>0</v>
      </c>
      <c r="V684" s="128" t="n">
        <v>1</v>
      </c>
      <c r="W684" s="90" t="n">
        <f aca="false">IFERROR(O684/V684,0)</f>
        <v>7150</v>
      </c>
      <c r="X684" s="91" t="n">
        <f aca="false">O684/L684</f>
        <v>1.02142857142857</v>
      </c>
      <c r="Y684" s="92" t="str">
        <f aca="false">IFERROR(VLOOKUP(E:E,'Item Data Support Sheet'!A:J,6,0),0)</f>
        <v>FO015</v>
      </c>
      <c r="Z684" s="93" t="n">
        <f aca="false">IFERROR(VLOOKUP(E:E,'Item Data Support Sheet'!A:O,4,0),0)</f>
        <v>0</v>
      </c>
      <c r="AA684" s="93" t="n">
        <f aca="false">IFERROR(((N684)*(Z684/1000))+P684,0)</f>
        <v>0</v>
      </c>
      <c r="AB684" s="94" t="str">
        <f aca="false">IFERROR((O684*(Z684/1000)/(AA684))," ")</f>
        <v> </v>
      </c>
      <c r="AC684" s="95" t="n">
        <f aca="false">IFERROR((T684)/((T684)+O684),0)</f>
        <v>0</v>
      </c>
      <c r="AD684" s="96" t="n">
        <f aca="false">IFERROR(Q684/(Q684+N684),0)</f>
        <v>0</v>
      </c>
      <c r="AE684" s="91" t="n">
        <f aca="false">(N684-T684)/N684</f>
        <v>1</v>
      </c>
      <c r="AF684" s="97" t="n">
        <f aca="false">BR684</f>
        <v>0.666666666666667</v>
      </c>
      <c r="AG684" s="98" t="n">
        <f aca="false">K684-AF684</f>
        <v>7.33333333333333</v>
      </c>
      <c r="AH684" s="99" t="n">
        <f aca="false">IFERROR(AG684/K684," ")</f>
        <v>0.916666666666667</v>
      </c>
      <c r="AI684" s="100" t="n">
        <f aca="false">IFERROR(O684/K684,0)</f>
        <v>893.75</v>
      </c>
      <c r="AJ684" s="101" t="n">
        <f aca="false">VLOOKUP(D684,'Standard Cycle time'!C:D,2,0)</f>
        <v>3.5</v>
      </c>
      <c r="AK684" s="101" t="n">
        <f aca="false">AG684*V684*3600/O684</f>
        <v>3.69230769230769</v>
      </c>
      <c r="AL684" s="102" t="n">
        <f aca="false">AJ684/AK684</f>
        <v>0.947916666666667</v>
      </c>
      <c r="AM684" s="99" t="n">
        <f aca="false">AE684*AL684*AH684</f>
        <v>0.868923611111111</v>
      </c>
      <c r="AN684" s="103" t="s">
        <v>1349</v>
      </c>
      <c r="AO684" s="112"/>
      <c r="AP684" s="105" t="n">
        <v>40</v>
      </c>
      <c r="AQ684" s="105" t="n">
        <v>0</v>
      </c>
      <c r="AR684" s="105" t="n">
        <v>0</v>
      </c>
      <c r="AS684" s="105" t="n">
        <v>0</v>
      </c>
      <c r="AT684" s="105" t="n">
        <v>0</v>
      </c>
      <c r="AU684" s="105" t="n">
        <v>0</v>
      </c>
      <c r="AV684" s="105" t="n">
        <v>0</v>
      </c>
      <c r="AW684" s="105" t="n">
        <v>0</v>
      </c>
      <c r="AX684" s="105" t="n">
        <v>0</v>
      </c>
      <c r="AY684" s="105" t="n">
        <v>0</v>
      </c>
      <c r="AZ684" s="105" t="n">
        <v>0</v>
      </c>
      <c r="BA684" s="105" t="n">
        <v>0</v>
      </c>
      <c r="BB684" s="105" t="n">
        <v>0</v>
      </c>
      <c r="BC684" s="105" t="n">
        <v>0</v>
      </c>
      <c r="BD684" s="105" t="n">
        <v>0</v>
      </c>
      <c r="BE684" s="105" t="n">
        <v>0</v>
      </c>
      <c r="BF684" s="105" t="n">
        <v>0</v>
      </c>
      <c r="BG684" s="105" t="n">
        <v>0</v>
      </c>
      <c r="BH684" s="105" t="n">
        <v>0</v>
      </c>
      <c r="BI684" s="105" t="n">
        <v>0</v>
      </c>
      <c r="BJ684" s="105" t="n">
        <v>0</v>
      </c>
      <c r="BK684" s="105" t="n">
        <v>0</v>
      </c>
      <c r="BL684" s="105" t="n">
        <v>0</v>
      </c>
      <c r="BM684" s="105" t="n">
        <v>0</v>
      </c>
      <c r="BN684" s="105" t="n">
        <v>0</v>
      </c>
      <c r="BO684" s="105" t="n">
        <v>0</v>
      </c>
      <c r="BP684" s="105" t="n">
        <v>0</v>
      </c>
      <c r="BQ684" s="105" t="n">
        <v>0</v>
      </c>
      <c r="BR684" s="106" t="n">
        <v>0.666666666666667</v>
      </c>
      <c r="BS684" s="106" t="n">
        <v>0.677777777777778</v>
      </c>
      <c r="BT684" s="107"/>
      <c r="BU684" s="107"/>
      <c r="BV684" s="107"/>
      <c r="BW684" s="107"/>
      <c r="BX684" s="107"/>
      <c r="BY684" s="107"/>
      <c r="BZ684" s="107"/>
      <c r="CA684" s="107"/>
      <c r="CB684" s="107"/>
      <c r="CC684" s="107"/>
      <c r="CD684" s="107"/>
      <c r="CE684" s="107"/>
      <c r="CF684" s="107"/>
      <c r="CG684" s="107"/>
      <c r="CH684" s="107"/>
      <c r="CI684" s="107"/>
      <c r="CJ684" s="107"/>
      <c r="CK684" s="107"/>
      <c r="CL684" s="107"/>
      <c r="CM684" s="107"/>
      <c r="CN684" s="107"/>
      <c r="CO684" s="107"/>
      <c r="CP684" s="107"/>
      <c r="CQ684" s="107"/>
      <c r="CR684" s="107"/>
      <c r="CS684" s="107"/>
      <c r="CT684" s="107"/>
      <c r="CU684" s="107"/>
      <c r="CV684" s="107"/>
    </row>
    <row r="685" customFormat="false" ht="14.9" hidden="false" customHeight="false" outlineLevel="0" collapsed="false">
      <c r="A685" s="74" t="n">
        <f aca="false">MONTH(B685)</f>
        <v>9</v>
      </c>
      <c r="B685" s="135" t="n">
        <v>44464</v>
      </c>
      <c r="C685" s="128" t="s">
        <v>51</v>
      </c>
      <c r="D685" s="77" t="str">
        <f aca="false">IFERROR(VLOOKUP(E:E,'Item Data Support Sheet'!A:O,7,0),"")</f>
        <v>NIPPLE LASER MARKING</v>
      </c>
      <c r="E685" s="80" t="s">
        <v>444</v>
      </c>
      <c r="F685" s="122"/>
      <c r="G685" s="137" t="s">
        <v>517</v>
      </c>
      <c r="H685" s="79" t="str">
        <f aca="false">IFERROR(VLOOKUP(E:E,'Item Data Support Sheet'!A:O,2,0),"")</f>
        <v>NIPPLE S TYPE S SIZE PUNCHED LASER MARKED</v>
      </c>
      <c r="I685" s="80"/>
      <c r="J685" s="80" t="s">
        <v>143</v>
      </c>
      <c r="K685" s="81" t="n">
        <v>8</v>
      </c>
      <c r="L685" s="124" t="n">
        <v>7000</v>
      </c>
      <c r="M685" s="83" t="n">
        <f aca="false">IFERROR(L685/K685,0)</f>
        <v>875</v>
      </c>
      <c r="N685" s="84" t="n">
        <f aca="false">+O685+Q685+T685+U685</f>
        <v>6700</v>
      </c>
      <c r="O685" s="85" t="n">
        <v>6700</v>
      </c>
      <c r="P685" s="86" t="n">
        <v>0</v>
      </c>
      <c r="Q685" s="86" t="n">
        <v>0</v>
      </c>
      <c r="R685" s="132" t="n">
        <v>0</v>
      </c>
      <c r="S685" s="128" t="n">
        <v>0</v>
      </c>
      <c r="T685" s="132" t="n">
        <v>0</v>
      </c>
      <c r="U685" s="128" t="n">
        <v>0</v>
      </c>
      <c r="V685" s="128" t="n">
        <v>1</v>
      </c>
      <c r="W685" s="90" t="n">
        <f aca="false">IFERROR(O685/V685,0)</f>
        <v>6700</v>
      </c>
      <c r="X685" s="91" t="n">
        <f aca="false">O685/L685</f>
        <v>0.957142857142857</v>
      </c>
      <c r="Y685" s="92" t="str">
        <f aca="false">IFERROR(VLOOKUP(E:E,'Item Data Support Sheet'!A:J,6,0),0)</f>
        <v>FO019</v>
      </c>
      <c r="Z685" s="93" t="n">
        <f aca="false">IFERROR(VLOOKUP(E:E,'Item Data Support Sheet'!A:O,4,0),0)</f>
        <v>0</v>
      </c>
      <c r="AA685" s="93" t="n">
        <f aca="false">IFERROR(((N685)*(Z685/1000))+P685,0)</f>
        <v>0</v>
      </c>
      <c r="AB685" s="94" t="str">
        <f aca="false">IFERROR((O685*(Z685/1000)/(AA685))," ")</f>
        <v> </v>
      </c>
      <c r="AC685" s="95" t="n">
        <f aca="false">IFERROR((T685)/((T685)+O685),0)</f>
        <v>0</v>
      </c>
      <c r="AD685" s="96" t="n">
        <f aca="false">IFERROR(Q685/(Q685+N685),0)</f>
        <v>0</v>
      </c>
      <c r="AE685" s="91" t="n">
        <f aca="false">(N685-T685)/N685</f>
        <v>1</v>
      </c>
      <c r="AF685" s="97" t="n">
        <f aca="false">BR685</f>
        <v>0.666666666666667</v>
      </c>
      <c r="AG685" s="98" t="n">
        <f aca="false">K685-AF685</f>
        <v>7.33333333333333</v>
      </c>
      <c r="AH685" s="99" t="n">
        <f aca="false">IFERROR(AG685/K685," ")</f>
        <v>0.916666666666667</v>
      </c>
      <c r="AI685" s="100" t="n">
        <f aca="false">IFERROR(O685/K685,0)</f>
        <v>837.5</v>
      </c>
      <c r="AJ685" s="101" t="n">
        <f aca="false">VLOOKUP(D685,'Standard Cycle time'!C:D,2,0)</f>
        <v>3.5</v>
      </c>
      <c r="AK685" s="101" t="n">
        <f aca="false">AG685*V685*3600/O685</f>
        <v>3.94029850746269</v>
      </c>
      <c r="AL685" s="102" t="n">
        <f aca="false">AJ685/AK685</f>
        <v>0.888257575757576</v>
      </c>
      <c r="AM685" s="99" t="n">
        <f aca="false">AE685*AL685*AH685</f>
        <v>0.814236111111111</v>
      </c>
      <c r="AN685" s="103" t="s">
        <v>1350</v>
      </c>
      <c r="AO685" s="112" t="s">
        <v>1351</v>
      </c>
      <c r="AP685" s="105" t="n">
        <v>40</v>
      </c>
      <c r="AQ685" s="105" t="n">
        <v>0</v>
      </c>
      <c r="AR685" s="105" t="n">
        <v>0</v>
      </c>
      <c r="AS685" s="105" t="n">
        <v>0</v>
      </c>
      <c r="AT685" s="105" t="n">
        <v>0</v>
      </c>
      <c r="AU685" s="105" t="n">
        <v>0</v>
      </c>
      <c r="AV685" s="105" t="n">
        <v>0</v>
      </c>
      <c r="AW685" s="105" t="n">
        <v>0</v>
      </c>
      <c r="AX685" s="105" t="n">
        <v>0</v>
      </c>
      <c r="AY685" s="105" t="n">
        <v>0</v>
      </c>
      <c r="AZ685" s="105" t="n">
        <v>0</v>
      </c>
      <c r="BA685" s="105" t="n">
        <v>0</v>
      </c>
      <c r="BB685" s="105" t="n">
        <v>0</v>
      </c>
      <c r="BC685" s="105" t="n">
        <v>0</v>
      </c>
      <c r="BD685" s="105" t="n">
        <v>0</v>
      </c>
      <c r="BE685" s="105" t="n">
        <v>0</v>
      </c>
      <c r="BF685" s="105" t="n">
        <v>0</v>
      </c>
      <c r="BG685" s="105" t="n">
        <v>0</v>
      </c>
      <c r="BH685" s="105" t="n">
        <v>0</v>
      </c>
      <c r="BI685" s="105" t="n">
        <v>0</v>
      </c>
      <c r="BJ685" s="105" t="n">
        <v>0</v>
      </c>
      <c r="BK685" s="105" t="n">
        <v>0</v>
      </c>
      <c r="BL685" s="105" t="n">
        <v>0</v>
      </c>
      <c r="BM685" s="105" t="n">
        <v>0</v>
      </c>
      <c r="BN685" s="105" t="n">
        <v>0</v>
      </c>
      <c r="BO685" s="105" t="n">
        <v>0</v>
      </c>
      <c r="BP685" s="105" t="n">
        <v>0</v>
      </c>
      <c r="BQ685" s="105" t="n">
        <v>0</v>
      </c>
      <c r="BR685" s="106" t="n">
        <v>0.666666666666667</v>
      </c>
      <c r="BS685" s="106" t="n">
        <v>0.677777777777778</v>
      </c>
      <c r="BT685" s="107"/>
      <c r="BU685" s="107"/>
      <c r="BV685" s="107"/>
      <c r="BW685" s="107"/>
      <c r="BX685" s="107"/>
      <c r="BY685" s="107"/>
      <c r="BZ685" s="107"/>
      <c r="CA685" s="107"/>
      <c r="CB685" s="107"/>
      <c r="CC685" s="107"/>
      <c r="CD685" s="107"/>
      <c r="CE685" s="107"/>
      <c r="CF685" s="107"/>
      <c r="CG685" s="107"/>
      <c r="CH685" s="107"/>
      <c r="CI685" s="107"/>
      <c r="CJ685" s="107"/>
      <c r="CK685" s="107"/>
      <c r="CL685" s="107"/>
      <c r="CM685" s="107"/>
      <c r="CN685" s="107"/>
      <c r="CO685" s="107"/>
      <c r="CP685" s="107"/>
      <c r="CQ685" s="107"/>
      <c r="CR685" s="107"/>
      <c r="CS685" s="107"/>
      <c r="CT685" s="107"/>
      <c r="CU685" s="107"/>
      <c r="CV685" s="107"/>
    </row>
    <row r="686" customFormat="false" ht="14.9" hidden="false" customHeight="false" outlineLevel="0" collapsed="false">
      <c r="A686" s="74" t="n">
        <f aca="false">MONTH(B686)</f>
        <v>9</v>
      </c>
      <c r="B686" s="135" t="n">
        <v>44464</v>
      </c>
      <c r="C686" s="128" t="s">
        <v>51</v>
      </c>
      <c r="D686" s="77" t="str">
        <f aca="false">IFERROR(VLOOKUP(E:E,'Item Data Support Sheet'!A:O,7,0),"")</f>
        <v>BOTTLE MOLDED</v>
      </c>
      <c r="E686" s="80" t="s">
        <v>1352</v>
      </c>
      <c r="F686" s="122" t="s">
        <v>144</v>
      </c>
      <c r="G686" s="137" t="s">
        <v>74</v>
      </c>
      <c r="H686" s="79" t="str">
        <f aca="false">IFERROR(VLOOKUP(E:E,'Item Data Support Sheet'!A:O,2,0),"")</f>
        <v>KPP BOTTLE 120 ML MOULDED-WMG3B</v>
      </c>
      <c r="I686" s="80" t="s">
        <v>1353</v>
      </c>
      <c r="J686" s="80" t="s">
        <v>143</v>
      </c>
      <c r="K686" s="81" t="n">
        <v>5</v>
      </c>
      <c r="L686" s="124" t="n">
        <v>1575</v>
      </c>
      <c r="M686" s="83" t="n">
        <f aca="false">IFERROR(L686/K686,0)</f>
        <v>315</v>
      </c>
      <c r="N686" s="84" t="n">
        <f aca="false">+O686+Q686+T686+U686</f>
        <v>1524</v>
      </c>
      <c r="O686" s="85" t="n">
        <v>1440</v>
      </c>
      <c r="P686" s="86" t="n">
        <v>1.4</v>
      </c>
      <c r="Q686" s="86" t="n">
        <v>44</v>
      </c>
      <c r="R686" s="132" t="n">
        <v>0</v>
      </c>
      <c r="S686" s="128" t="n">
        <v>0</v>
      </c>
      <c r="T686" s="132" t="n">
        <v>32</v>
      </c>
      <c r="U686" s="128" t="n">
        <v>8</v>
      </c>
      <c r="V686" s="128" t="n">
        <v>1</v>
      </c>
      <c r="W686" s="90" t="n">
        <f aca="false">IFERROR(O686/V686,0)</f>
        <v>1440</v>
      </c>
      <c r="X686" s="91" t="n">
        <f aca="false">O686/L686</f>
        <v>0.914285714285714</v>
      </c>
      <c r="Y686" s="92" t="str">
        <f aca="false">IFERROR(VLOOKUP(E:E,'Item Data Support Sheet'!A:J,6,0),0)</f>
        <v>WMG3B</v>
      </c>
      <c r="Z686" s="93" t="n">
        <f aca="false">IFERROR(VLOOKUP(E:E,'Item Data Support Sheet'!A:O,4,0),0)</f>
        <v>22.7</v>
      </c>
      <c r="AA686" s="93" t="n">
        <f aca="false">IFERROR(((N686)*(Z686/1000))+P686,0)</f>
        <v>35.9948</v>
      </c>
      <c r="AB686" s="94" t="n">
        <f aca="false">IFERROR((O686*(Z686/1000)/(AA686))," ")</f>
        <v>0.908131174502984</v>
      </c>
      <c r="AC686" s="95" t="n">
        <f aca="false">IFERROR((T686)/((T686)+O686),0)</f>
        <v>0.0217391304347826</v>
      </c>
      <c r="AD686" s="96" t="n">
        <f aca="false">IFERROR(Q686/(Q686+N686),0)</f>
        <v>0.0280612244897959</v>
      </c>
      <c r="AE686" s="91" t="n">
        <f aca="false">(N686-T686)/N686</f>
        <v>0.979002624671916</v>
      </c>
      <c r="AF686" s="97" t="n">
        <f aca="false">BR686</f>
        <v>1</v>
      </c>
      <c r="AG686" s="98" t="n">
        <f aca="false">K686-AF686</f>
        <v>4</v>
      </c>
      <c r="AH686" s="99" t="n">
        <f aca="false">IFERROR(AG686/K686," ")</f>
        <v>0.8</v>
      </c>
      <c r="AI686" s="100" t="n">
        <f aca="false">IFERROR(O686/K686,0)</f>
        <v>288</v>
      </c>
      <c r="AJ686" s="101" t="n">
        <f aca="false">VLOOKUP(D686,'Standard Cycle time'!C:D,2,0)</f>
        <v>9</v>
      </c>
      <c r="AK686" s="101" t="n">
        <f aca="false">AG686*V686*3600/O686</f>
        <v>10</v>
      </c>
      <c r="AL686" s="102" t="n">
        <f aca="false">AJ686/AK686</f>
        <v>0.9</v>
      </c>
      <c r="AM686" s="99" t="n">
        <f aca="false">AE686*AL686*AH686</f>
        <v>0.70488188976378</v>
      </c>
      <c r="AN686" s="103" t="n">
        <v>3591</v>
      </c>
      <c r="AO686" s="112" t="s">
        <v>1354</v>
      </c>
      <c r="AP686" s="105" t="n">
        <v>0</v>
      </c>
      <c r="AQ686" s="105" t="n">
        <v>0</v>
      </c>
      <c r="AR686" s="105" t="n">
        <v>0</v>
      </c>
      <c r="AS686" s="105" t="n">
        <v>0</v>
      </c>
      <c r="AT686" s="105" t="n">
        <v>0</v>
      </c>
      <c r="AU686" s="105" t="n">
        <v>0</v>
      </c>
      <c r="AV686" s="105" t="n">
        <v>0</v>
      </c>
      <c r="AW686" s="105" t="n">
        <v>0</v>
      </c>
      <c r="AX686" s="105" t="n">
        <v>0</v>
      </c>
      <c r="AY686" s="105" t="n">
        <v>0</v>
      </c>
      <c r="AZ686" s="105" t="n">
        <v>0</v>
      </c>
      <c r="BA686" s="105" t="n">
        <v>0</v>
      </c>
      <c r="BB686" s="105" t="n">
        <v>0</v>
      </c>
      <c r="BC686" s="105" t="n">
        <v>0</v>
      </c>
      <c r="BD686" s="105" t="n">
        <v>0</v>
      </c>
      <c r="BE686" s="105" t="n">
        <v>0</v>
      </c>
      <c r="BF686" s="105" t="n">
        <v>0</v>
      </c>
      <c r="BG686" s="105" t="n">
        <v>0</v>
      </c>
      <c r="BH686" s="105" t="n">
        <v>0</v>
      </c>
      <c r="BI686" s="105" t="n">
        <v>0</v>
      </c>
      <c r="BJ686" s="105" t="n">
        <v>0</v>
      </c>
      <c r="BK686" s="105" t="n">
        <v>0</v>
      </c>
      <c r="BL686" s="105" t="n">
        <v>0</v>
      </c>
      <c r="BM686" s="105" t="n">
        <v>60</v>
      </c>
      <c r="BN686" s="105" t="n">
        <v>0</v>
      </c>
      <c r="BO686" s="105" t="n">
        <v>0</v>
      </c>
      <c r="BP686" s="105" t="n">
        <v>0</v>
      </c>
      <c r="BQ686" s="105" t="n">
        <v>0</v>
      </c>
      <c r="BR686" s="106" t="n">
        <v>1</v>
      </c>
      <c r="BS686" s="106" t="n">
        <v>1.01666666666667</v>
      </c>
      <c r="BT686" s="107"/>
      <c r="BU686" s="107"/>
      <c r="BV686" s="107"/>
      <c r="BW686" s="107"/>
      <c r="BX686" s="107"/>
      <c r="BY686" s="107"/>
      <c r="BZ686" s="107"/>
      <c r="CA686" s="107"/>
      <c r="CB686" s="107"/>
      <c r="CC686" s="107"/>
      <c r="CD686" s="107"/>
      <c r="CE686" s="107"/>
      <c r="CF686" s="107"/>
      <c r="CG686" s="107"/>
      <c r="CH686" s="107"/>
      <c r="CI686" s="107"/>
      <c r="CJ686" s="107"/>
      <c r="CK686" s="107"/>
      <c r="CL686" s="107"/>
      <c r="CM686" s="107"/>
      <c r="CN686" s="107"/>
      <c r="CO686" s="107"/>
      <c r="CP686" s="107"/>
      <c r="CQ686" s="107"/>
      <c r="CR686" s="107"/>
      <c r="CS686" s="107"/>
      <c r="CT686" s="107"/>
      <c r="CU686" s="107"/>
      <c r="CV686" s="107"/>
    </row>
    <row r="687" customFormat="false" ht="14.9" hidden="false" customHeight="false" outlineLevel="0" collapsed="false">
      <c r="A687" s="74" t="n">
        <f aca="false">MONTH(B687)</f>
        <v>9</v>
      </c>
      <c r="B687" s="135" t="n">
        <v>44464</v>
      </c>
      <c r="C687" s="128" t="s">
        <v>51</v>
      </c>
      <c r="D687" s="77" t="str">
        <f aca="false">IFERROR(VLOOKUP(E:E,'Item Data Support Sheet'!A:O,7,0),"")</f>
        <v>CAP MOLDED</v>
      </c>
      <c r="E687" s="80" t="s">
        <v>343</v>
      </c>
      <c r="F687" s="122"/>
      <c r="G687" s="137" t="s">
        <v>1215</v>
      </c>
      <c r="H687" s="79" t="str">
        <f aca="false">IFERROR(VLOOKUP(E:E,'Item Data Support Sheet'!A:O,2,0),"")</f>
        <v>CAP S TYPE MOLDED BLUE</v>
      </c>
      <c r="I687" s="80" t="s">
        <v>1355</v>
      </c>
      <c r="J687" s="80" t="s">
        <v>143</v>
      </c>
      <c r="K687" s="81" t="n">
        <v>8</v>
      </c>
      <c r="L687" s="124" t="n">
        <v>4137</v>
      </c>
      <c r="M687" s="83" t="n">
        <f aca="false">IFERROR(L687/K687,0)</f>
        <v>517.125</v>
      </c>
      <c r="N687" s="84" t="n">
        <f aca="false">+O687+Q687+T687+U687</f>
        <v>4300</v>
      </c>
      <c r="O687" s="85" t="n">
        <v>4300</v>
      </c>
      <c r="P687" s="86" t="n">
        <v>0</v>
      </c>
      <c r="Q687" s="86" t="n">
        <v>0</v>
      </c>
      <c r="R687" s="132" t="n">
        <v>0</v>
      </c>
      <c r="S687" s="128" t="n">
        <v>0</v>
      </c>
      <c r="T687" s="132" t="n">
        <v>0</v>
      </c>
      <c r="U687" s="128" t="n">
        <v>0</v>
      </c>
      <c r="V687" s="128" t="n">
        <v>1</v>
      </c>
      <c r="W687" s="90" t="n">
        <f aca="false">IFERROR(O687/V687,0)</f>
        <v>4300</v>
      </c>
      <c r="X687" s="91" t="n">
        <f aca="false">O687/L687</f>
        <v>1.03940053178632</v>
      </c>
      <c r="Y687" s="92" t="str">
        <f aca="false">IFERROR(VLOOKUP(E:E,'Item Data Support Sheet'!A:J,6,0),0)</f>
        <v>RM000114</v>
      </c>
      <c r="Z687" s="93" t="n">
        <f aca="false">IFERROR(VLOOKUP(E:E,'Item Data Support Sheet'!A:O,4,0),0)</f>
        <v>7.3</v>
      </c>
      <c r="AA687" s="93" t="n">
        <f aca="false">IFERROR(((N687)*(Z687/1000))+P687,0)</f>
        <v>31.39</v>
      </c>
      <c r="AB687" s="94" t="n">
        <f aca="false">IFERROR((O687*(Z687/1000)/(AA687))," ")</f>
        <v>1</v>
      </c>
      <c r="AC687" s="95" t="n">
        <f aca="false">IFERROR((T687)/((T687)+O687),0)</f>
        <v>0</v>
      </c>
      <c r="AD687" s="96" t="n">
        <f aca="false">IFERROR(Q687/(Q687+N687),0)</f>
        <v>0</v>
      </c>
      <c r="AE687" s="91" t="n">
        <f aca="false">(N687-T687)/N687</f>
        <v>1</v>
      </c>
      <c r="AF687" s="97" t="n">
        <f aca="false">BR687</f>
        <v>0</v>
      </c>
      <c r="AG687" s="98" t="n">
        <f aca="false">K687-AF687</f>
        <v>8</v>
      </c>
      <c r="AH687" s="99" t="n">
        <f aca="false">IFERROR(AG687/K687," ")</f>
        <v>1</v>
      </c>
      <c r="AI687" s="100" t="n">
        <f aca="false">IFERROR(O687/K687,0)</f>
        <v>537.5</v>
      </c>
      <c r="AJ687" s="101" t="n">
        <f aca="false">VLOOKUP(D687,'Standard Cycle time'!C:D,2,0)</f>
        <v>6</v>
      </c>
      <c r="AK687" s="101" t="n">
        <f aca="false">AG687*V687*3600/O687</f>
        <v>6.69767441860465</v>
      </c>
      <c r="AL687" s="102" t="n">
        <f aca="false">AJ687/AK687</f>
        <v>0.895833333333333</v>
      </c>
      <c r="AM687" s="99" t="n">
        <f aca="false">AE687*AL687*AH687</f>
        <v>0.895833333333333</v>
      </c>
      <c r="AN687" s="103" t="n">
        <v>3592</v>
      </c>
      <c r="AO687" s="112"/>
      <c r="AP687" s="105" t="n">
        <v>0</v>
      </c>
      <c r="AQ687" s="105" t="n">
        <v>0</v>
      </c>
      <c r="AR687" s="105" t="n">
        <v>0</v>
      </c>
      <c r="AS687" s="105" t="n">
        <v>0</v>
      </c>
      <c r="AT687" s="105" t="n">
        <v>0</v>
      </c>
      <c r="AU687" s="105" t="n">
        <v>0</v>
      </c>
      <c r="AV687" s="105" t="n">
        <v>0</v>
      </c>
      <c r="AW687" s="105" t="n">
        <v>0</v>
      </c>
      <c r="AX687" s="105" t="n">
        <v>0</v>
      </c>
      <c r="AY687" s="105" t="n">
        <v>0</v>
      </c>
      <c r="AZ687" s="105" t="n">
        <v>0</v>
      </c>
      <c r="BA687" s="105" t="n">
        <v>0</v>
      </c>
      <c r="BB687" s="105" t="n">
        <v>0</v>
      </c>
      <c r="BC687" s="105" t="n">
        <v>0</v>
      </c>
      <c r="BD687" s="105" t="n">
        <v>0</v>
      </c>
      <c r="BE687" s="105" t="n">
        <v>0</v>
      </c>
      <c r="BF687" s="105" t="n">
        <v>0</v>
      </c>
      <c r="BG687" s="105" t="n">
        <v>0</v>
      </c>
      <c r="BH687" s="105" t="n">
        <v>0</v>
      </c>
      <c r="BI687" s="105" t="n">
        <v>0</v>
      </c>
      <c r="BJ687" s="105" t="n">
        <v>0</v>
      </c>
      <c r="BK687" s="105" t="n">
        <v>0</v>
      </c>
      <c r="BL687" s="105" t="n">
        <v>0</v>
      </c>
      <c r="BM687" s="105" t="n">
        <v>0</v>
      </c>
      <c r="BN687" s="105" t="n">
        <v>0</v>
      </c>
      <c r="BO687" s="105" t="n">
        <v>0</v>
      </c>
      <c r="BP687" s="105" t="n">
        <v>0</v>
      </c>
      <c r="BQ687" s="105" t="n">
        <v>0</v>
      </c>
      <c r="BR687" s="106" t="n">
        <v>0</v>
      </c>
      <c r="BS687" s="106" t="n">
        <v>0</v>
      </c>
      <c r="BT687" s="107"/>
      <c r="BU687" s="107"/>
      <c r="BV687" s="107"/>
      <c r="BW687" s="107"/>
      <c r="BX687" s="107"/>
      <c r="BY687" s="107"/>
      <c r="BZ687" s="107"/>
      <c r="CA687" s="107"/>
      <c r="CB687" s="107"/>
      <c r="CC687" s="107"/>
      <c r="CD687" s="107"/>
      <c r="CE687" s="107"/>
      <c r="CF687" s="107"/>
      <c r="CG687" s="107"/>
      <c r="CH687" s="107"/>
      <c r="CI687" s="107"/>
      <c r="CJ687" s="107"/>
      <c r="CK687" s="107"/>
      <c r="CL687" s="107"/>
      <c r="CM687" s="107"/>
      <c r="CN687" s="107"/>
      <c r="CO687" s="107"/>
      <c r="CP687" s="107"/>
      <c r="CQ687" s="107"/>
      <c r="CR687" s="107"/>
      <c r="CS687" s="107"/>
      <c r="CT687" s="107"/>
      <c r="CU687" s="107"/>
      <c r="CV687" s="107"/>
    </row>
    <row r="688" customFormat="false" ht="14.9" hidden="false" customHeight="false" outlineLevel="0" collapsed="false">
      <c r="A688" s="74" t="n">
        <f aca="false">MONTH(B688)</f>
        <v>9</v>
      </c>
      <c r="B688" s="135" t="n">
        <v>44464</v>
      </c>
      <c r="C688" s="128" t="s">
        <v>63</v>
      </c>
      <c r="D688" s="77" t="str">
        <f aca="false">IFERROR(VLOOKUP(E:E,'Item Data Support Sheet'!A:O,7,0),"")</f>
        <v>BOTTLE PRINTED</v>
      </c>
      <c r="E688" s="80" t="s">
        <v>650</v>
      </c>
      <c r="F688" s="122"/>
      <c r="G688" s="137"/>
      <c r="H688" s="79" t="str">
        <f aca="false">IFERROR(VLOOKUP(E:E,'Item Data Support Sheet'!A:O,2,0),"")</f>
        <v>RPP 120ML FLORAL PNK BOTLE PNTD WM3GB W/BIS LOGO</v>
      </c>
      <c r="I688" s="80" t="s">
        <v>1356</v>
      </c>
      <c r="J688" s="80" t="s">
        <v>161</v>
      </c>
      <c r="K688" s="81" t="n">
        <v>3</v>
      </c>
      <c r="L688" s="124" t="n">
        <v>1300</v>
      </c>
      <c r="M688" s="83" t="n">
        <f aca="false">IFERROR(L688/K688,0)</f>
        <v>433.333333333333</v>
      </c>
      <c r="N688" s="84" t="n">
        <f aca="false">+O688+Q688+T688+U688</f>
        <v>1193</v>
      </c>
      <c r="O688" s="85" t="n">
        <v>1175</v>
      </c>
      <c r="P688" s="86" t="n">
        <v>0</v>
      </c>
      <c r="Q688" s="86" t="n">
        <v>0</v>
      </c>
      <c r="R688" s="132" t="n">
        <v>21</v>
      </c>
      <c r="S688" s="128" t="n">
        <v>0</v>
      </c>
      <c r="T688" s="132" t="n">
        <v>18</v>
      </c>
      <c r="U688" s="128" t="n">
        <v>0</v>
      </c>
      <c r="V688" s="128" t="n">
        <v>5</v>
      </c>
      <c r="W688" s="90" t="n">
        <f aca="false">IFERROR(O688/V688,0)</f>
        <v>235</v>
      </c>
      <c r="X688" s="91" t="n">
        <f aca="false">O688/L688</f>
        <v>0.903846153846154</v>
      </c>
      <c r="Y688" s="92" t="str">
        <f aca="false">IFERROR(VLOOKUP(E:E,'Item Data Support Sheet'!A:J,6,0),0)</f>
        <v>FO052</v>
      </c>
      <c r="Z688" s="93" t="n">
        <f aca="false">IFERROR(VLOOKUP(E:E,'Item Data Support Sheet'!A:O,4,0),0)</f>
        <v>0</v>
      </c>
      <c r="AA688" s="93" t="n">
        <f aca="false">IFERROR(((N688)*(Z688/1000))+P688,0)</f>
        <v>0</v>
      </c>
      <c r="AB688" s="94" t="str">
        <f aca="false">IFERROR((O688*(Z688/1000)/(AA688))," ")</f>
        <v> </v>
      </c>
      <c r="AC688" s="95" t="n">
        <f aca="false">IFERROR((T688)/((T688)+O688),0)</f>
        <v>0.0150880134115675</v>
      </c>
      <c r="AD688" s="96" t="n">
        <f aca="false">IFERROR(Q688/(Q688+N688),0)</f>
        <v>0</v>
      </c>
      <c r="AE688" s="91" t="n">
        <f aca="false">(N688-T688)/N688</f>
        <v>0.984911986588432</v>
      </c>
      <c r="AF688" s="97" t="n">
        <f aca="false">BR688</f>
        <v>0.666666666666667</v>
      </c>
      <c r="AG688" s="98" t="n">
        <f aca="false">K688-AF688</f>
        <v>2.33333333333333</v>
      </c>
      <c r="AH688" s="99" t="n">
        <f aca="false">IFERROR(AG688/K688," ")</f>
        <v>0.777777777777778</v>
      </c>
      <c r="AI688" s="100" t="n">
        <f aca="false">IFERROR(O688/K688,0)</f>
        <v>391.666666666667</v>
      </c>
      <c r="AJ688" s="101" t="n">
        <f aca="false">VLOOKUP(D688,'Standard Cycle time'!C:D,2,0)</f>
        <v>32.4</v>
      </c>
      <c r="AK688" s="101" t="n">
        <f aca="false">AG688*V688*3600/O688</f>
        <v>35.7446808510638</v>
      </c>
      <c r="AL688" s="102" t="n">
        <f aca="false">AJ688/AK688</f>
        <v>0.906428571428572</v>
      </c>
      <c r="AM688" s="99" t="n">
        <f aca="false">AE688*AL688*AH688</f>
        <v>0.694362950544845</v>
      </c>
      <c r="AN688" s="103" t="s">
        <v>869</v>
      </c>
      <c r="AO688" s="112" t="s">
        <v>1357</v>
      </c>
      <c r="AP688" s="105" t="n">
        <v>10</v>
      </c>
      <c r="AQ688" s="105" t="n">
        <v>30</v>
      </c>
      <c r="AR688" s="105" t="n">
        <v>0</v>
      </c>
      <c r="AS688" s="105" t="n">
        <v>0</v>
      </c>
      <c r="AT688" s="105" t="n">
        <v>0</v>
      </c>
      <c r="AU688" s="105" t="n">
        <v>0</v>
      </c>
      <c r="AV688" s="105" t="n">
        <v>0</v>
      </c>
      <c r="AW688" s="105" t="n">
        <v>0</v>
      </c>
      <c r="AX688" s="105" t="n">
        <v>0</v>
      </c>
      <c r="AY688" s="105" t="n">
        <v>0</v>
      </c>
      <c r="AZ688" s="105" t="n">
        <v>0</v>
      </c>
      <c r="BA688" s="105" t="n">
        <v>0</v>
      </c>
      <c r="BB688" s="105" t="n">
        <v>0</v>
      </c>
      <c r="BC688" s="105" t="n">
        <v>0</v>
      </c>
      <c r="BD688" s="105" t="n">
        <v>0</v>
      </c>
      <c r="BE688" s="105" t="n">
        <v>0</v>
      </c>
      <c r="BF688" s="105" t="n">
        <v>0</v>
      </c>
      <c r="BG688" s="105" t="n">
        <v>0</v>
      </c>
      <c r="BH688" s="105" t="n">
        <v>0</v>
      </c>
      <c r="BI688" s="105" t="n">
        <v>0</v>
      </c>
      <c r="BJ688" s="105" t="n">
        <v>0</v>
      </c>
      <c r="BK688" s="105" t="n">
        <v>0</v>
      </c>
      <c r="BL688" s="105" t="n">
        <v>0</v>
      </c>
      <c r="BM688" s="105" t="n">
        <v>0</v>
      </c>
      <c r="BN688" s="105" t="n">
        <v>0</v>
      </c>
      <c r="BO688" s="105" t="n">
        <v>0</v>
      </c>
      <c r="BP688" s="105" t="n">
        <v>0</v>
      </c>
      <c r="BQ688" s="105" t="n">
        <v>0</v>
      </c>
      <c r="BR688" s="106" t="n">
        <v>0.666666666666667</v>
      </c>
      <c r="BS688" s="106" t="n">
        <v>0.677777777777778</v>
      </c>
      <c r="BT688" s="107"/>
      <c r="BU688" s="107"/>
      <c r="BV688" s="107"/>
      <c r="BW688" s="107"/>
      <c r="BX688" s="107"/>
      <c r="BY688" s="107"/>
      <c r="BZ688" s="107"/>
      <c r="CA688" s="107"/>
      <c r="CB688" s="107"/>
      <c r="CC688" s="107"/>
      <c r="CD688" s="107"/>
      <c r="CE688" s="107"/>
      <c r="CF688" s="107"/>
      <c r="CG688" s="107"/>
      <c r="CH688" s="107"/>
      <c r="CI688" s="107"/>
      <c r="CJ688" s="107"/>
      <c r="CK688" s="107"/>
      <c r="CL688" s="107"/>
      <c r="CM688" s="107"/>
      <c r="CN688" s="107"/>
      <c r="CO688" s="107"/>
      <c r="CP688" s="107"/>
      <c r="CQ688" s="107"/>
      <c r="CR688" s="107"/>
      <c r="CS688" s="107"/>
      <c r="CT688" s="107"/>
      <c r="CU688" s="107"/>
      <c r="CV688" s="107"/>
    </row>
    <row r="689" customFormat="false" ht="14.9" hidden="false" customHeight="false" outlineLevel="0" collapsed="false">
      <c r="A689" s="74" t="n">
        <f aca="false">MONTH(B689)</f>
        <v>9</v>
      </c>
      <c r="B689" s="135" t="n">
        <v>44464</v>
      </c>
      <c r="C689" s="128" t="s">
        <v>63</v>
      </c>
      <c r="D689" s="77" t="str">
        <f aca="false">IFERROR(VLOOKUP(E:E,'Item Data Support Sheet'!A:O,7,0),"")</f>
        <v>BOTTLE PRINTED</v>
      </c>
      <c r="E689" s="80" t="s">
        <v>646</v>
      </c>
      <c r="F689" s="122"/>
      <c r="G689" s="137"/>
      <c r="H689" s="79" t="str">
        <f aca="false">IFERROR(VLOOKUP(E:E,'Item Data Support Sheet'!A:O,2,0),"")</f>
        <v>RPP 240ML FLORAL PNK BOTLE PNTD WM3GB W/BIS LOGO</v>
      </c>
      <c r="I689" s="80" t="s">
        <v>1358</v>
      </c>
      <c r="J689" s="80" t="s">
        <v>161</v>
      </c>
      <c r="K689" s="81" t="n">
        <v>2.5</v>
      </c>
      <c r="L689" s="124" t="n">
        <v>1050</v>
      </c>
      <c r="M689" s="83" t="n">
        <f aca="false">IFERROR(L689/K689,0)</f>
        <v>420</v>
      </c>
      <c r="N689" s="84" t="n">
        <f aca="false">+O689+Q689+T689+U689</f>
        <v>913</v>
      </c>
      <c r="O689" s="85" t="n">
        <v>902</v>
      </c>
      <c r="P689" s="86" t="n">
        <v>0</v>
      </c>
      <c r="Q689" s="86" t="n">
        <v>0</v>
      </c>
      <c r="R689" s="132" t="n">
        <v>4</v>
      </c>
      <c r="S689" s="128" t="n">
        <v>0</v>
      </c>
      <c r="T689" s="132" t="n">
        <v>11</v>
      </c>
      <c r="U689" s="128" t="n">
        <v>0</v>
      </c>
      <c r="V689" s="128" t="n">
        <v>5</v>
      </c>
      <c r="W689" s="90" t="n">
        <f aca="false">IFERROR(O689/V689,0)</f>
        <v>180.4</v>
      </c>
      <c r="X689" s="91" t="n">
        <f aca="false">O689/L689</f>
        <v>0.859047619047619</v>
      </c>
      <c r="Y689" s="92" t="str">
        <f aca="false">IFERROR(VLOOKUP(E:E,'Item Data Support Sheet'!A:J,6,0),0)</f>
        <v>FO053</v>
      </c>
      <c r="Z689" s="93" t="n">
        <f aca="false">IFERROR(VLOOKUP(E:E,'Item Data Support Sheet'!A:O,4,0),0)</f>
        <v>0</v>
      </c>
      <c r="AA689" s="93" t="n">
        <f aca="false">IFERROR(((N689)*(Z689/1000))+P689,0)</f>
        <v>0</v>
      </c>
      <c r="AB689" s="94" t="str">
        <f aca="false">IFERROR((O689*(Z689/1000)/(AA689))," ")</f>
        <v> </v>
      </c>
      <c r="AC689" s="95" t="n">
        <f aca="false">IFERROR((T689)/((T689)+O689),0)</f>
        <v>0.0120481927710843</v>
      </c>
      <c r="AD689" s="96" t="n">
        <f aca="false">IFERROR(Q689/(Q689+N689),0)</f>
        <v>0</v>
      </c>
      <c r="AE689" s="91" t="n">
        <f aca="false">(N689-T689)/N689</f>
        <v>0.987951807228916</v>
      </c>
      <c r="AF689" s="97" t="n">
        <f aca="false">BR689</f>
        <v>0.5</v>
      </c>
      <c r="AG689" s="98" t="n">
        <f aca="false">K689-AF689</f>
        <v>2</v>
      </c>
      <c r="AH689" s="99" t="n">
        <f aca="false">IFERROR(AG689/K689," ")</f>
        <v>0.8</v>
      </c>
      <c r="AI689" s="100" t="n">
        <f aca="false">IFERROR(O689/K689,0)</f>
        <v>360.8</v>
      </c>
      <c r="AJ689" s="101" t="n">
        <f aca="false">VLOOKUP(D689,'Standard Cycle time'!C:D,2,0)</f>
        <v>32.4</v>
      </c>
      <c r="AK689" s="101" t="n">
        <f aca="false">AG689*V689*3600/O689</f>
        <v>39.9113082039911</v>
      </c>
      <c r="AL689" s="102" t="n">
        <f aca="false">AJ689/AK689</f>
        <v>0.8118</v>
      </c>
      <c r="AM689" s="99" t="n">
        <f aca="false">AE689*AL689*AH689</f>
        <v>0.641615421686747</v>
      </c>
      <c r="AN689" s="103" t="s">
        <v>869</v>
      </c>
      <c r="AO689" s="112"/>
      <c r="AP689" s="105" t="n">
        <v>30</v>
      </c>
      <c r="AQ689" s="105" t="n">
        <v>0</v>
      </c>
      <c r="AR689" s="105" t="n">
        <v>0</v>
      </c>
      <c r="AS689" s="105" t="n">
        <v>0</v>
      </c>
      <c r="AT689" s="105" t="n">
        <v>0</v>
      </c>
      <c r="AU689" s="105" t="n">
        <v>0</v>
      </c>
      <c r="AV689" s="105" t="n">
        <v>0</v>
      </c>
      <c r="AW689" s="105" t="n">
        <v>0</v>
      </c>
      <c r="AX689" s="105" t="n">
        <v>0</v>
      </c>
      <c r="AY689" s="105" t="n">
        <v>0</v>
      </c>
      <c r="AZ689" s="105" t="n">
        <v>0</v>
      </c>
      <c r="BA689" s="105" t="n">
        <v>0</v>
      </c>
      <c r="BB689" s="105" t="n">
        <v>0</v>
      </c>
      <c r="BC689" s="105" t="n">
        <v>0</v>
      </c>
      <c r="BD689" s="105" t="n">
        <v>0</v>
      </c>
      <c r="BE689" s="105" t="n">
        <v>0</v>
      </c>
      <c r="BF689" s="105" t="n">
        <v>0</v>
      </c>
      <c r="BG689" s="105" t="n">
        <v>0</v>
      </c>
      <c r="BH689" s="105" t="n">
        <v>0</v>
      </c>
      <c r="BI689" s="105" t="n">
        <v>0</v>
      </c>
      <c r="BJ689" s="105" t="n">
        <v>0</v>
      </c>
      <c r="BK689" s="105" t="n">
        <v>0</v>
      </c>
      <c r="BL689" s="105" t="n">
        <v>0</v>
      </c>
      <c r="BM689" s="105" t="n">
        <v>0</v>
      </c>
      <c r="BN689" s="105" t="n">
        <v>0</v>
      </c>
      <c r="BO689" s="105" t="n">
        <v>0</v>
      </c>
      <c r="BP689" s="105" t="n">
        <v>0</v>
      </c>
      <c r="BQ689" s="105" t="n">
        <v>0</v>
      </c>
      <c r="BR689" s="106" t="n">
        <v>0.5</v>
      </c>
      <c r="BS689" s="106" t="n">
        <v>0.508333333333333</v>
      </c>
      <c r="BT689" s="107"/>
      <c r="BU689" s="107"/>
      <c r="BV689" s="107"/>
      <c r="BW689" s="107"/>
      <c r="BX689" s="107"/>
      <c r="BY689" s="107"/>
      <c r="BZ689" s="107"/>
      <c r="CA689" s="107"/>
      <c r="CB689" s="107"/>
      <c r="CC689" s="107"/>
      <c r="CD689" s="107"/>
      <c r="CE689" s="107"/>
      <c r="CF689" s="107"/>
      <c r="CG689" s="107"/>
      <c r="CH689" s="107"/>
      <c r="CI689" s="107"/>
      <c r="CJ689" s="107"/>
      <c r="CK689" s="107"/>
      <c r="CL689" s="107"/>
      <c r="CM689" s="107"/>
      <c r="CN689" s="107"/>
      <c r="CO689" s="107"/>
      <c r="CP689" s="107"/>
      <c r="CQ689" s="107"/>
      <c r="CR689" s="107"/>
      <c r="CS689" s="107"/>
      <c r="CT689" s="107"/>
      <c r="CU689" s="107"/>
      <c r="CV689" s="107"/>
    </row>
    <row r="690" customFormat="false" ht="14.9" hidden="false" customHeight="false" outlineLevel="0" collapsed="false">
      <c r="A690" s="74" t="n">
        <f aca="false">MONTH(B690)</f>
        <v>9</v>
      </c>
      <c r="B690" s="135" t="n">
        <v>44464</v>
      </c>
      <c r="C690" s="128" t="s">
        <v>63</v>
      </c>
      <c r="D690" s="77" t="str">
        <f aca="false">IFERROR(VLOOKUP(E:E,'Item Data Support Sheet'!A:O,7,0),"")</f>
        <v>BOTTLE PRINTED</v>
      </c>
      <c r="E690" s="80" t="s">
        <v>1359</v>
      </c>
      <c r="F690" s="122"/>
      <c r="G690" s="137"/>
      <c r="H690" s="79" t="str">
        <f aca="false">IFERROR(VLOOKUP(E:E,'Item Data Support Sheet'!A:O,2,0),"")</f>
        <v>RPP 240ML FLORAL BLUE BOTLE PNTD WM3GB W/BIS LOGO</v>
      </c>
      <c r="I690" s="80"/>
      <c r="J690" s="80" t="s">
        <v>161</v>
      </c>
      <c r="K690" s="81" t="n">
        <v>3</v>
      </c>
      <c r="L690" s="124" t="n">
        <v>1300</v>
      </c>
      <c r="M690" s="83" t="n">
        <f aca="false">IFERROR(L690/K690,0)</f>
        <v>433.333333333333</v>
      </c>
      <c r="N690" s="84" t="n">
        <f aca="false">+O690+Q690+T690+U690</f>
        <v>988</v>
      </c>
      <c r="O690" s="85" t="n">
        <v>972</v>
      </c>
      <c r="P690" s="86" t="n">
        <v>0</v>
      </c>
      <c r="Q690" s="86" t="n">
        <v>0</v>
      </c>
      <c r="R690" s="132" t="n">
        <v>19</v>
      </c>
      <c r="S690" s="128" t="n">
        <v>0</v>
      </c>
      <c r="T690" s="132" t="n">
        <v>16</v>
      </c>
      <c r="U690" s="128" t="n">
        <v>0</v>
      </c>
      <c r="V690" s="128" t="n">
        <v>5</v>
      </c>
      <c r="W690" s="90" t="n">
        <f aca="false">IFERROR(O690/V690,0)</f>
        <v>194.4</v>
      </c>
      <c r="X690" s="91" t="n">
        <f aca="false">O690/L690</f>
        <v>0.747692307692308</v>
      </c>
      <c r="Y690" s="92" t="str">
        <f aca="false">IFERROR(VLOOKUP(E:E,'Item Data Support Sheet'!A:J,6,0),0)</f>
        <v>FO055</v>
      </c>
      <c r="Z690" s="93" t="n">
        <f aca="false">IFERROR(VLOOKUP(E:E,'Item Data Support Sheet'!A:O,4,0),0)</f>
        <v>0</v>
      </c>
      <c r="AA690" s="93" t="n">
        <f aca="false">IFERROR(((N690)*(Z690/1000))+P690,0)</f>
        <v>0</v>
      </c>
      <c r="AB690" s="94" t="str">
        <f aca="false">IFERROR((O690*(Z690/1000)/(AA690))," ")</f>
        <v> </v>
      </c>
      <c r="AC690" s="95" t="n">
        <f aca="false">IFERROR((T690)/((T690)+O690),0)</f>
        <v>0.0161943319838057</v>
      </c>
      <c r="AD690" s="96" t="n">
        <f aca="false">IFERROR(Q690/(Q690+N690),0)</f>
        <v>0</v>
      </c>
      <c r="AE690" s="91" t="n">
        <f aca="false">(N690-T690)/N690</f>
        <v>0.983805668016194</v>
      </c>
      <c r="AF690" s="97" t="n">
        <f aca="false">BR690</f>
        <v>0.833333333333333</v>
      </c>
      <c r="AG690" s="98" t="n">
        <f aca="false">K690-AF690</f>
        <v>2.16666666666667</v>
      </c>
      <c r="AH690" s="99" t="n">
        <f aca="false">IFERROR(AG690/K690," ")</f>
        <v>0.722222222222222</v>
      </c>
      <c r="AI690" s="100" t="n">
        <f aca="false">IFERROR(O690/K690,0)</f>
        <v>324</v>
      </c>
      <c r="AJ690" s="101" t="n">
        <f aca="false">VLOOKUP(D690,'Standard Cycle time'!C:D,2,0)</f>
        <v>32.4</v>
      </c>
      <c r="AK690" s="101" t="n">
        <f aca="false">AG690*V690*3600/O690</f>
        <v>40.1234567901235</v>
      </c>
      <c r="AL690" s="102" t="n">
        <f aca="false">AJ690/AK690</f>
        <v>0.807507692307692</v>
      </c>
      <c r="AM690" s="99" t="n">
        <f aca="false">AE690*AL690*AH690</f>
        <v>0.573755465587044</v>
      </c>
      <c r="AN690" s="103" t="s">
        <v>869</v>
      </c>
      <c r="AO690" s="112" t="s">
        <v>1360</v>
      </c>
      <c r="AP690" s="105" t="n">
        <v>10</v>
      </c>
      <c r="AQ690" s="105" t="n">
        <v>40</v>
      </c>
      <c r="AR690" s="105" t="n">
        <v>0</v>
      </c>
      <c r="AS690" s="105" t="n">
        <v>0</v>
      </c>
      <c r="AT690" s="105" t="n">
        <v>0</v>
      </c>
      <c r="AU690" s="105" t="n">
        <v>0</v>
      </c>
      <c r="AV690" s="105" t="n">
        <v>0</v>
      </c>
      <c r="AW690" s="105" t="n">
        <v>0</v>
      </c>
      <c r="AX690" s="105" t="n">
        <v>0</v>
      </c>
      <c r="AY690" s="105" t="n">
        <v>0</v>
      </c>
      <c r="AZ690" s="105" t="n">
        <v>0</v>
      </c>
      <c r="BA690" s="105" t="n">
        <v>0</v>
      </c>
      <c r="BB690" s="105" t="n">
        <v>0</v>
      </c>
      <c r="BC690" s="105" t="n">
        <v>0</v>
      </c>
      <c r="BD690" s="105" t="n">
        <v>0</v>
      </c>
      <c r="BE690" s="105" t="n">
        <v>0</v>
      </c>
      <c r="BF690" s="105" t="n">
        <v>0</v>
      </c>
      <c r="BG690" s="105" t="n">
        <v>0</v>
      </c>
      <c r="BH690" s="105" t="n">
        <v>0</v>
      </c>
      <c r="BI690" s="105" t="n">
        <v>0</v>
      </c>
      <c r="BJ690" s="105" t="n">
        <v>0</v>
      </c>
      <c r="BK690" s="105" t="n">
        <v>0</v>
      </c>
      <c r="BL690" s="105" t="n">
        <v>0</v>
      </c>
      <c r="BM690" s="105" t="n">
        <v>0</v>
      </c>
      <c r="BN690" s="105" t="n">
        <v>0</v>
      </c>
      <c r="BO690" s="105" t="n">
        <v>0</v>
      </c>
      <c r="BP690" s="105" t="n">
        <v>0</v>
      </c>
      <c r="BQ690" s="105" t="n">
        <v>0</v>
      </c>
      <c r="BR690" s="106" t="n">
        <v>0.833333333333333</v>
      </c>
      <c r="BS690" s="106" t="n">
        <v>0.847222222222222</v>
      </c>
      <c r="BT690" s="107"/>
      <c r="BU690" s="107"/>
      <c r="BV690" s="107"/>
      <c r="BW690" s="107"/>
      <c r="BX690" s="107"/>
      <c r="BY690" s="107"/>
      <c r="BZ690" s="107"/>
      <c r="CA690" s="107"/>
      <c r="CB690" s="107"/>
      <c r="CC690" s="107"/>
      <c r="CD690" s="107"/>
      <c r="CE690" s="107"/>
      <c r="CF690" s="107"/>
      <c r="CG690" s="107"/>
      <c r="CH690" s="107"/>
      <c r="CI690" s="107"/>
      <c r="CJ690" s="107"/>
      <c r="CK690" s="107"/>
      <c r="CL690" s="107"/>
      <c r="CM690" s="107"/>
      <c r="CN690" s="107"/>
      <c r="CO690" s="107"/>
      <c r="CP690" s="107"/>
      <c r="CQ690" s="107"/>
      <c r="CR690" s="107"/>
      <c r="CS690" s="107"/>
      <c r="CT690" s="107"/>
      <c r="CU690" s="107"/>
      <c r="CV690" s="107"/>
    </row>
    <row r="691" customFormat="false" ht="14.9" hidden="false" customHeight="false" outlineLevel="0" collapsed="false">
      <c r="A691" s="74" t="n">
        <f aca="false">MONTH(B691)</f>
        <v>9</v>
      </c>
      <c r="B691" s="135" t="n">
        <v>44464</v>
      </c>
      <c r="C691" s="128" t="s">
        <v>63</v>
      </c>
      <c r="D691" s="77" t="str">
        <f aca="false">IFERROR(VLOOKUP(E:E,'Item Data Support Sheet'!A:O,7,0),"")</f>
        <v>NIPPLE PUNCH INSPECTED</v>
      </c>
      <c r="E691" s="80" t="s">
        <v>297</v>
      </c>
      <c r="F691" s="122"/>
      <c r="G691" s="137"/>
      <c r="H691" s="79" t="str">
        <f aca="false">IFERROR(VLOOKUP(E:E,'Item Data Support Sheet'!A:O,2,0),"")</f>
        <v>NIPPLE S TYPE S SIZE PUNCHED INSPECTED</v>
      </c>
      <c r="I691" s="80" t="s">
        <v>1334</v>
      </c>
      <c r="J691" s="80" t="s">
        <v>155</v>
      </c>
      <c r="K691" s="81" t="n">
        <v>8</v>
      </c>
      <c r="L691" s="124" t="n">
        <v>14182</v>
      </c>
      <c r="M691" s="83" t="n">
        <f aca="false">IFERROR(L691/K691,0)</f>
        <v>1772.75</v>
      </c>
      <c r="N691" s="84" t="n">
        <f aca="false">+O691+Q691+T691+U691</f>
        <v>14000</v>
      </c>
      <c r="O691" s="85" t="n">
        <v>13816</v>
      </c>
      <c r="P691" s="86" t="n">
        <v>0</v>
      </c>
      <c r="Q691" s="86" t="n">
        <v>0</v>
      </c>
      <c r="R691" s="132" t="n">
        <v>0</v>
      </c>
      <c r="S691" s="128" t="n">
        <v>0</v>
      </c>
      <c r="T691" s="132" t="n">
        <v>184</v>
      </c>
      <c r="U691" s="128" t="n">
        <v>0</v>
      </c>
      <c r="V691" s="128" t="n">
        <v>2</v>
      </c>
      <c r="W691" s="90" t="n">
        <f aca="false">IFERROR(O691/V691,0)</f>
        <v>6908</v>
      </c>
      <c r="X691" s="91" t="n">
        <f aca="false">O691/L691</f>
        <v>0.974192638555916</v>
      </c>
      <c r="Y691" s="92" t="str">
        <f aca="false">IFERROR(VLOOKUP(E:E,'Item Data Support Sheet'!A:J,6,0),0)</f>
        <v>FO104</v>
      </c>
      <c r="Z691" s="93" t="n">
        <f aca="false">IFERROR(VLOOKUP(E:E,'Item Data Support Sheet'!A:O,4,0),0)</f>
        <v>0</v>
      </c>
      <c r="AA691" s="93" t="n">
        <f aca="false">IFERROR(((N691)*(Z691/1000))+P691,0)</f>
        <v>0</v>
      </c>
      <c r="AB691" s="94" t="str">
        <f aca="false">IFERROR((O691*(Z691/1000)/(AA691))," ")</f>
        <v> </v>
      </c>
      <c r="AC691" s="95" t="n">
        <f aca="false">IFERROR((T691)/((T691)+O691),0)</f>
        <v>0.0131428571428571</v>
      </c>
      <c r="AD691" s="96" t="n">
        <f aca="false">IFERROR(Q691/(Q691+N691),0)</f>
        <v>0</v>
      </c>
      <c r="AE691" s="91" t="n">
        <f aca="false">(N691-T691)/N691</f>
        <v>0.986857142857143</v>
      </c>
      <c r="AF691" s="97" t="n">
        <f aca="false">BR691</f>
        <v>0.833333333333333</v>
      </c>
      <c r="AG691" s="98" t="n">
        <f aca="false">K691-AF691</f>
        <v>7.16666666666667</v>
      </c>
      <c r="AH691" s="99" t="n">
        <f aca="false">IFERROR(AG691/K691," ")</f>
        <v>0.895833333333333</v>
      </c>
      <c r="AI691" s="100" t="n">
        <f aca="false">IFERROR(O691/K691,0)</f>
        <v>1727</v>
      </c>
      <c r="AJ691" s="101" t="n">
        <f aca="false">VLOOKUP(D691,'Standard Cycle time'!C:D,2,0)</f>
        <v>4</v>
      </c>
      <c r="AK691" s="101" t="n">
        <f aca="false">AG691*V691*3600/O691</f>
        <v>3.73480023161552</v>
      </c>
      <c r="AL691" s="102" t="n">
        <f aca="false">AJ691/AK691</f>
        <v>1.07100775193798</v>
      </c>
      <c r="AM691" s="99" t="n">
        <f aca="false">AE691*AL691*AH691</f>
        <v>0.946834603174603</v>
      </c>
      <c r="AN691" s="103" t="s">
        <v>1361</v>
      </c>
      <c r="AO691" s="112"/>
      <c r="AP691" s="105" t="n">
        <v>50</v>
      </c>
      <c r="AQ691" s="105" t="n">
        <v>0</v>
      </c>
      <c r="AR691" s="105" t="n">
        <v>0</v>
      </c>
      <c r="AS691" s="105" t="n">
        <v>0</v>
      </c>
      <c r="AT691" s="105" t="n">
        <v>0</v>
      </c>
      <c r="AU691" s="105" t="n">
        <v>0</v>
      </c>
      <c r="AV691" s="105" t="n">
        <v>0</v>
      </c>
      <c r="AW691" s="105" t="n">
        <v>0</v>
      </c>
      <c r="AX691" s="105" t="n">
        <v>0</v>
      </c>
      <c r="AY691" s="105" t="n">
        <v>0</v>
      </c>
      <c r="AZ691" s="105" t="n">
        <v>0</v>
      </c>
      <c r="BA691" s="105" t="n">
        <v>0</v>
      </c>
      <c r="BB691" s="105" t="n">
        <v>0</v>
      </c>
      <c r="BC691" s="105" t="n">
        <v>0</v>
      </c>
      <c r="BD691" s="105" t="n">
        <v>0</v>
      </c>
      <c r="BE691" s="105" t="n">
        <v>0</v>
      </c>
      <c r="BF691" s="105" t="n">
        <v>0</v>
      </c>
      <c r="BG691" s="105" t="n">
        <v>0</v>
      </c>
      <c r="BH691" s="105" t="n">
        <v>0</v>
      </c>
      <c r="BI691" s="105" t="n">
        <v>0</v>
      </c>
      <c r="BJ691" s="105" t="n">
        <v>0</v>
      </c>
      <c r="BK691" s="105" t="n">
        <v>0</v>
      </c>
      <c r="BL691" s="105" t="n">
        <v>0</v>
      </c>
      <c r="BM691" s="105" t="n">
        <v>0</v>
      </c>
      <c r="BN691" s="105" t="n">
        <v>0</v>
      </c>
      <c r="BO691" s="105" t="n">
        <v>0</v>
      </c>
      <c r="BP691" s="105" t="n">
        <v>0</v>
      </c>
      <c r="BQ691" s="105" t="n">
        <v>0</v>
      </c>
      <c r="BR691" s="106" t="n">
        <v>0.833333333333333</v>
      </c>
      <c r="BS691" s="106" t="n">
        <v>0.847222222222222</v>
      </c>
      <c r="BT691" s="107"/>
      <c r="BU691" s="107"/>
      <c r="BV691" s="107"/>
      <c r="BW691" s="107"/>
      <c r="BX691" s="107"/>
      <c r="BY691" s="107"/>
      <c r="BZ691" s="107"/>
      <c r="CA691" s="107"/>
      <c r="CB691" s="107"/>
      <c r="CC691" s="107"/>
      <c r="CD691" s="107"/>
      <c r="CE691" s="107"/>
      <c r="CF691" s="107"/>
      <c r="CG691" s="107"/>
      <c r="CH691" s="107"/>
      <c r="CI691" s="107"/>
      <c r="CJ691" s="107"/>
      <c r="CK691" s="107"/>
      <c r="CL691" s="107"/>
      <c r="CM691" s="107"/>
      <c r="CN691" s="107"/>
      <c r="CO691" s="107"/>
      <c r="CP691" s="107"/>
      <c r="CQ691" s="107"/>
      <c r="CR691" s="107"/>
      <c r="CS691" s="107"/>
      <c r="CT691" s="107"/>
      <c r="CU691" s="107"/>
      <c r="CV691" s="107"/>
    </row>
    <row r="692" customFormat="false" ht="14.9" hidden="false" customHeight="false" outlineLevel="0" collapsed="false">
      <c r="A692" s="74" t="n">
        <f aca="false">MONTH(B692)</f>
        <v>9</v>
      </c>
      <c r="B692" s="135" t="n">
        <v>44464</v>
      </c>
      <c r="C692" s="128" t="s">
        <v>63</v>
      </c>
      <c r="D692" s="77" t="str">
        <f aca="false">IFERROR(VLOOKUP(E:E,'Item Data Support Sheet'!A:O,7,0),"")</f>
        <v>NIPPLE WRAP PRINTED</v>
      </c>
      <c r="E692" s="80" t="s">
        <v>937</v>
      </c>
      <c r="F692" s="122"/>
      <c r="G692" s="137"/>
      <c r="H692" s="79" t="str">
        <f aca="false">IFERROR(VLOOKUP(E:E,'Item Data Support Sheet'!A:O,2,0),"")</f>
        <v>NIPPLE S TYPE Y SIZE WITH PRINTED WRAP</v>
      </c>
      <c r="I692" s="80" t="s">
        <v>1299</v>
      </c>
      <c r="J692" s="80" t="s">
        <v>155</v>
      </c>
      <c r="K692" s="81" t="n">
        <v>2</v>
      </c>
      <c r="L692" s="124" t="n">
        <v>4034</v>
      </c>
      <c r="M692" s="83" t="n">
        <f aca="false">IFERROR(L692/K692,0)</f>
        <v>2017</v>
      </c>
      <c r="N692" s="84" t="n">
        <f aca="false">+O692+Q692+T692+U692</f>
        <v>6377</v>
      </c>
      <c r="O692" s="85" t="n">
        <v>6377</v>
      </c>
      <c r="P692" s="86" t="n">
        <v>0</v>
      </c>
      <c r="Q692" s="86" t="n">
        <v>0</v>
      </c>
      <c r="R692" s="132" t="n">
        <v>0</v>
      </c>
      <c r="S692" s="128" t="n">
        <v>0</v>
      </c>
      <c r="T692" s="132" t="n">
        <v>0</v>
      </c>
      <c r="U692" s="128" t="n">
        <v>0</v>
      </c>
      <c r="V692" s="128" t="n">
        <v>2</v>
      </c>
      <c r="W692" s="90" t="n">
        <f aca="false">IFERROR(O692/V692,0)</f>
        <v>3188.5</v>
      </c>
      <c r="X692" s="91" t="n">
        <f aca="false">O692/L692</f>
        <v>1.58081308874566</v>
      </c>
      <c r="Y692" s="92" t="str">
        <f aca="false">IFERROR(VLOOKUP(E:E,'Item Data Support Sheet'!A:J,6,0),0)</f>
        <v>FO022</v>
      </c>
      <c r="Z692" s="93" t="n">
        <f aca="false">IFERROR(VLOOKUP(E:E,'Item Data Support Sheet'!A:O,4,0),0)</f>
        <v>0</v>
      </c>
      <c r="AA692" s="93" t="n">
        <f aca="false">IFERROR(((N692)*(Z692/1000))+P692,0)</f>
        <v>0</v>
      </c>
      <c r="AB692" s="94" t="str">
        <f aca="false">IFERROR((O692*(Z692/1000)/(AA692))," ")</f>
        <v> </v>
      </c>
      <c r="AC692" s="95" t="n">
        <f aca="false">IFERROR((T692)/((T692)+O692),0)</f>
        <v>0</v>
      </c>
      <c r="AD692" s="96" t="n">
        <f aca="false">IFERROR(Q692/(Q692+N692),0)</f>
        <v>0</v>
      </c>
      <c r="AE692" s="91" t="n">
        <f aca="false">(N692-T692)/N692</f>
        <v>1</v>
      </c>
      <c r="AF692" s="97" t="n">
        <f aca="false">BR692</f>
        <v>0.833333333333333</v>
      </c>
      <c r="AG692" s="98" t="n">
        <f aca="false">K692-AF692</f>
        <v>1.16666666666667</v>
      </c>
      <c r="AH692" s="99" t="n">
        <f aca="false">IFERROR(AG692/K692," ")</f>
        <v>0.583333333333334</v>
      </c>
      <c r="AI692" s="100" t="n">
        <f aca="false">IFERROR(O692/K692,0)</f>
        <v>3188.5</v>
      </c>
      <c r="AJ692" s="101" t="n">
        <f aca="false">VLOOKUP(D692,'Standard Cycle time'!C:D,2,0)</f>
        <v>2.5</v>
      </c>
      <c r="AK692" s="101" t="n">
        <f aca="false">AG692*V692*3600/O692</f>
        <v>1.3172338090011</v>
      </c>
      <c r="AL692" s="102" t="n">
        <f aca="false">AJ692/AK692</f>
        <v>1.89791666666667</v>
      </c>
      <c r="AM692" s="99" t="n">
        <f aca="false">AE692*AL692*AH692</f>
        <v>1.10711805555556</v>
      </c>
      <c r="AN692" s="103" t="s">
        <v>1362</v>
      </c>
      <c r="AO692" s="112"/>
      <c r="AP692" s="105" t="n">
        <v>50</v>
      </c>
      <c r="AQ692" s="105" t="n">
        <v>0</v>
      </c>
      <c r="AR692" s="105" t="n">
        <v>0</v>
      </c>
      <c r="AS692" s="105" t="n">
        <v>0</v>
      </c>
      <c r="AT692" s="105" t="n">
        <v>0</v>
      </c>
      <c r="AU692" s="105" t="n">
        <v>0</v>
      </c>
      <c r="AV692" s="105" t="n">
        <v>0</v>
      </c>
      <c r="AW692" s="105" t="n">
        <v>0</v>
      </c>
      <c r="AX692" s="105" t="n">
        <v>0</v>
      </c>
      <c r="AY692" s="105" t="n">
        <v>0</v>
      </c>
      <c r="AZ692" s="105" t="n">
        <v>0</v>
      </c>
      <c r="BA692" s="105" t="n">
        <v>0</v>
      </c>
      <c r="BB692" s="105" t="n">
        <v>0</v>
      </c>
      <c r="BC692" s="105" t="n">
        <v>0</v>
      </c>
      <c r="BD692" s="105" t="n">
        <v>0</v>
      </c>
      <c r="BE692" s="105" t="n">
        <v>0</v>
      </c>
      <c r="BF692" s="105" t="n">
        <v>0</v>
      </c>
      <c r="BG692" s="105" t="n">
        <v>0</v>
      </c>
      <c r="BH692" s="105" t="n">
        <v>0</v>
      </c>
      <c r="BI692" s="105" t="n">
        <v>0</v>
      </c>
      <c r="BJ692" s="105" t="n">
        <v>0</v>
      </c>
      <c r="BK692" s="105" t="n">
        <v>0</v>
      </c>
      <c r="BL692" s="105" t="n">
        <v>0</v>
      </c>
      <c r="BM692" s="105" t="n">
        <v>0</v>
      </c>
      <c r="BN692" s="105" t="n">
        <v>0</v>
      </c>
      <c r="BO692" s="105" t="n">
        <v>0</v>
      </c>
      <c r="BP692" s="105" t="n">
        <v>0</v>
      </c>
      <c r="BQ692" s="105" t="n">
        <v>0</v>
      </c>
      <c r="BR692" s="106" t="n">
        <v>0.833333333333333</v>
      </c>
      <c r="BS692" s="106" t="n">
        <v>0.847222222222222</v>
      </c>
      <c r="BT692" s="107"/>
      <c r="BU692" s="107"/>
      <c r="BV692" s="107"/>
      <c r="BW692" s="107"/>
      <c r="BX692" s="107"/>
      <c r="BY692" s="107"/>
      <c r="BZ692" s="107"/>
      <c r="CA692" s="107"/>
      <c r="CB692" s="107"/>
      <c r="CC692" s="107"/>
      <c r="CD692" s="107"/>
      <c r="CE692" s="107"/>
      <c r="CF692" s="107"/>
      <c r="CG692" s="107"/>
      <c r="CH692" s="107"/>
      <c r="CI692" s="107"/>
      <c r="CJ692" s="107"/>
      <c r="CK692" s="107"/>
      <c r="CL692" s="107"/>
      <c r="CM692" s="107"/>
      <c r="CN692" s="107"/>
      <c r="CO692" s="107"/>
      <c r="CP692" s="107"/>
      <c r="CQ692" s="107"/>
      <c r="CR692" s="107"/>
      <c r="CS692" s="107"/>
      <c r="CT692" s="107"/>
      <c r="CU692" s="107"/>
      <c r="CV692" s="107"/>
    </row>
    <row r="693" customFormat="false" ht="14.9" hidden="false" customHeight="false" outlineLevel="0" collapsed="false">
      <c r="A693" s="74" t="n">
        <f aca="false">MONTH(B693)</f>
        <v>9</v>
      </c>
      <c r="B693" s="135" t="n">
        <v>44464</v>
      </c>
      <c r="C693" s="128" t="s">
        <v>63</v>
      </c>
      <c r="D693" s="77" t="str">
        <f aca="false">IFERROR(VLOOKUP(E:E,'Item Data Support Sheet'!A:O,7,0),"")</f>
        <v>NIPPLE WRAP PRINTED</v>
      </c>
      <c r="E693" s="80" t="s">
        <v>474</v>
      </c>
      <c r="F693" s="122"/>
      <c r="G693" s="137"/>
      <c r="H693" s="79" t="str">
        <f aca="false">IFERROR(VLOOKUP(E:E,'Item Data Support Sheet'!A:O,2,0),"")</f>
        <v>NIPPLE S TYPE L SIZE WITH PRINTED WRAP</v>
      </c>
      <c r="I693" s="80" t="s">
        <v>1363</v>
      </c>
      <c r="J693" s="80" t="s">
        <v>155</v>
      </c>
      <c r="K693" s="81" t="n">
        <v>6</v>
      </c>
      <c r="L693" s="124" t="n">
        <v>12108</v>
      </c>
      <c r="M693" s="83" t="n">
        <f aca="false">IFERROR(L693/K693,0)</f>
        <v>2018</v>
      </c>
      <c r="N693" s="84" t="n">
        <f aca="false">+O693+Q693+T693+U693</f>
        <v>11590</v>
      </c>
      <c r="O693" s="85" t="n">
        <v>11580</v>
      </c>
      <c r="P693" s="86" t="n">
        <v>0</v>
      </c>
      <c r="Q693" s="86" t="n">
        <v>0</v>
      </c>
      <c r="R693" s="132" t="n">
        <v>0</v>
      </c>
      <c r="S693" s="128" t="n">
        <v>0</v>
      </c>
      <c r="T693" s="132" t="n">
        <v>10</v>
      </c>
      <c r="U693" s="128" t="n">
        <v>0</v>
      </c>
      <c r="V693" s="128" t="n">
        <v>2</v>
      </c>
      <c r="W693" s="90" t="n">
        <f aca="false">IFERROR(O693/V693,0)</f>
        <v>5790</v>
      </c>
      <c r="X693" s="91" t="n">
        <f aca="false">O693/L693</f>
        <v>0.956392467789891</v>
      </c>
      <c r="Y693" s="92" t="str">
        <f aca="false">IFERROR(VLOOKUP(E:E,'Item Data Support Sheet'!A:J,6,0),0)</f>
        <v>FO021</v>
      </c>
      <c r="Z693" s="93" t="n">
        <f aca="false">IFERROR(VLOOKUP(E:E,'Item Data Support Sheet'!A:O,4,0),0)</f>
        <v>0</v>
      </c>
      <c r="AA693" s="93" t="n">
        <f aca="false">IFERROR(((N693)*(Z693/1000))+P693,0)</f>
        <v>0</v>
      </c>
      <c r="AB693" s="94" t="str">
        <f aca="false">IFERROR((O693*(Z693/1000)/(AA693))," ")</f>
        <v> </v>
      </c>
      <c r="AC693" s="95" t="n">
        <f aca="false">IFERROR((T693)/((T693)+O693),0)</f>
        <v>0.000862812769628991</v>
      </c>
      <c r="AD693" s="96" t="n">
        <f aca="false">IFERROR(Q693/(Q693+N693),0)</f>
        <v>0</v>
      </c>
      <c r="AE693" s="91" t="n">
        <f aca="false">(N693-T693)/N693</f>
        <v>0.999137187230371</v>
      </c>
      <c r="AF693" s="97" t="n">
        <f aca="false">BR693</f>
        <v>0</v>
      </c>
      <c r="AG693" s="98" t="n">
        <f aca="false">K693-AF693</f>
        <v>6</v>
      </c>
      <c r="AH693" s="99" t="n">
        <f aca="false">IFERROR(AG693/K693," ")</f>
        <v>1</v>
      </c>
      <c r="AI693" s="100" t="n">
        <f aca="false">IFERROR(O693/K693,0)</f>
        <v>1930</v>
      </c>
      <c r="AJ693" s="101" t="n">
        <f aca="false">VLOOKUP(D693,'Standard Cycle time'!C:D,2,0)</f>
        <v>2.5</v>
      </c>
      <c r="AK693" s="101" t="n">
        <f aca="false">AG693*V693*3600/O693</f>
        <v>3.73056994818653</v>
      </c>
      <c r="AL693" s="102" t="n">
        <f aca="false">AJ693/AK693</f>
        <v>0.670138888888889</v>
      </c>
      <c r="AM693" s="99" t="n">
        <f aca="false">AE693*AL693*AH693</f>
        <v>0.669560684498131</v>
      </c>
      <c r="AN693" s="103" t="s">
        <v>1364</v>
      </c>
      <c r="AO693" s="112"/>
      <c r="AP693" s="105" t="n">
        <v>0</v>
      </c>
      <c r="AQ693" s="105" t="n">
        <v>0</v>
      </c>
      <c r="AR693" s="105" t="n">
        <v>0</v>
      </c>
      <c r="AS693" s="105" t="n">
        <v>0</v>
      </c>
      <c r="AT693" s="105" t="n">
        <v>0</v>
      </c>
      <c r="AU693" s="105" t="n">
        <v>0</v>
      </c>
      <c r="AV693" s="105" t="n">
        <v>0</v>
      </c>
      <c r="AW693" s="105" t="n">
        <v>0</v>
      </c>
      <c r="AX693" s="105" t="n">
        <v>0</v>
      </c>
      <c r="AY693" s="105" t="n">
        <v>0</v>
      </c>
      <c r="AZ693" s="105" t="n">
        <v>0</v>
      </c>
      <c r="BA693" s="105" t="n">
        <v>0</v>
      </c>
      <c r="BB693" s="105" t="n">
        <v>0</v>
      </c>
      <c r="BC693" s="105" t="n">
        <v>0</v>
      </c>
      <c r="BD693" s="105" t="n">
        <v>0</v>
      </c>
      <c r="BE693" s="105" t="n">
        <v>0</v>
      </c>
      <c r="BF693" s="105" t="n">
        <v>0</v>
      </c>
      <c r="BG693" s="105" t="n">
        <v>0</v>
      </c>
      <c r="BH693" s="105" t="n">
        <v>0</v>
      </c>
      <c r="BI693" s="105" t="n">
        <v>0</v>
      </c>
      <c r="BJ693" s="105" t="n">
        <v>0</v>
      </c>
      <c r="BK693" s="105" t="n">
        <v>0</v>
      </c>
      <c r="BL693" s="105" t="n">
        <v>0</v>
      </c>
      <c r="BM693" s="105" t="n">
        <v>0</v>
      </c>
      <c r="BN693" s="105" t="n">
        <v>0</v>
      </c>
      <c r="BO693" s="105" t="n">
        <v>0</v>
      </c>
      <c r="BP693" s="105" t="n">
        <v>0</v>
      </c>
      <c r="BQ693" s="105" t="n">
        <v>0</v>
      </c>
      <c r="BR693" s="106" t="n">
        <v>0</v>
      </c>
      <c r="BS693" s="106" t="n">
        <v>0</v>
      </c>
      <c r="BT693" s="107"/>
      <c r="BU693" s="107"/>
      <c r="BV693" s="107"/>
      <c r="BW693" s="107"/>
      <c r="BX693" s="107"/>
      <c r="BY693" s="107"/>
      <c r="BZ693" s="107"/>
      <c r="CA693" s="107"/>
      <c r="CB693" s="107"/>
      <c r="CC693" s="107"/>
      <c r="CD693" s="107"/>
      <c r="CE693" s="107"/>
      <c r="CF693" s="107"/>
      <c r="CG693" s="107"/>
      <c r="CH693" s="107"/>
      <c r="CI693" s="107"/>
      <c r="CJ693" s="107"/>
      <c r="CK693" s="107"/>
      <c r="CL693" s="107"/>
      <c r="CM693" s="107"/>
      <c r="CN693" s="107"/>
      <c r="CO693" s="107"/>
      <c r="CP693" s="107"/>
      <c r="CQ693" s="107"/>
      <c r="CR693" s="107"/>
      <c r="CS693" s="107"/>
      <c r="CT693" s="107"/>
      <c r="CU693" s="107"/>
      <c r="CV693" s="107"/>
    </row>
    <row r="694" customFormat="false" ht="14.9" hidden="false" customHeight="false" outlineLevel="0" collapsed="false">
      <c r="A694" s="74" t="n">
        <f aca="false">MONTH(B694)</f>
        <v>9</v>
      </c>
      <c r="B694" s="135" t="n">
        <v>44464</v>
      </c>
      <c r="C694" s="128" t="s">
        <v>70</v>
      </c>
      <c r="D694" s="77" t="str">
        <f aca="false">IFERROR(VLOOKUP(E:E,'Item Data Support Sheet'!A:O,7,0),"")</f>
        <v>BOTTLE MOLDED</v>
      </c>
      <c r="E694" s="80" t="s">
        <v>1352</v>
      </c>
      <c r="F694" s="122"/>
      <c r="G694" s="137" t="s">
        <v>74</v>
      </c>
      <c r="H694" s="79" t="str">
        <f aca="false">IFERROR(VLOOKUP(E:E,'Item Data Support Sheet'!A:O,2,0),"")</f>
        <v>KPP BOTTLE 120 ML MOULDED-WMG3B</v>
      </c>
      <c r="I694" s="80" t="s">
        <v>1365</v>
      </c>
      <c r="J694" s="80" t="s">
        <v>155</v>
      </c>
      <c r="K694" s="81" t="n">
        <v>4</v>
      </c>
      <c r="L694" s="124" t="n">
        <v>1260</v>
      </c>
      <c r="M694" s="83" t="n">
        <f aca="false">IFERROR(L694/K694,0)</f>
        <v>315</v>
      </c>
      <c r="N694" s="84" t="n">
        <f aca="false">+O694+Q694+T694+U694</f>
        <v>938</v>
      </c>
      <c r="O694" s="85" t="n">
        <v>808</v>
      </c>
      <c r="P694" s="86" t="n">
        <v>0</v>
      </c>
      <c r="Q694" s="86" t="n">
        <v>80</v>
      </c>
      <c r="R694" s="132" t="n">
        <v>0</v>
      </c>
      <c r="S694" s="128" t="n">
        <v>0</v>
      </c>
      <c r="T694" s="132" t="n">
        <v>50</v>
      </c>
      <c r="U694" s="128" t="n">
        <v>0</v>
      </c>
      <c r="V694" s="128" t="n">
        <v>1</v>
      </c>
      <c r="W694" s="90" t="n">
        <f aca="false">IFERROR(O694/V694,0)</f>
        <v>808</v>
      </c>
      <c r="X694" s="91" t="n">
        <f aca="false">O694/L694</f>
        <v>0.641269841269841</v>
      </c>
      <c r="Y694" s="92" t="str">
        <f aca="false">IFERROR(VLOOKUP(E:E,'Item Data Support Sheet'!A:J,6,0),0)</f>
        <v>WMG3B</v>
      </c>
      <c r="Z694" s="93" t="n">
        <f aca="false">IFERROR(VLOOKUP(E:E,'Item Data Support Sheet'!A:O,4,0),0)</f>
        <v>22.7</v>
      </c>
      <c r="AA694" s="93" t="n">
        <f aca="false">IFERROR(((N694)*(Z694/1000))+P694,0)</f>
        <v>21.2926</v>
      </c>
      <c r="AB694" s="94" t="n">
        <f aca="false">IFERROR((O694*(Z694/1000)/(AA694))," ")</f>
        <v>0.861407249466951</v>
      </c>
      <c r="AC694" s="95" t="n">
        <f aca="false">IFERROR((T694)/((T694)+O694),0)</f>
        <v>0.0582750582750583</v>
      </c>
      <c r="AD694" s="96" t="n">
        <f aca="false">IFERROR(Q694/(Q694+N694),0)</f>
        <v>0.0785854616895874</v>
      </c>
      <c r="AE694" s="91" t="n">
        <f aca="false">(N694-T694)/N694</f>
        <v>0.946695095948827</v>
      </c>
      <c r="AF694" s="97" t="n">
        <f aca="false">BR694</f>
        <v>2</v>
      </c>
      <c r="AG694" s="98" t="n">
        <f aca="false">K694-AF694</f>
        <v>2</v>
      </c>
      <c r="AH694" s="99" t="n">
        <f aca="false">IFERROR(AG694/K694," ")</f>
        <v>0.5</v>
      </c>
      <c r="AI694" s="100" t="n">
        <f aca="false">IFERROR(O694/K694,0)</f>
        <v>202</v>
      </c>
      <c r="AJ694" s="101" t="n">
        <f aca="false">VLOOKUP(D694,'Standard Cycle time'!C:D,2,0)</f>
        <v>9</v>
      </c>
      <c r="AK694" s="101" t="n">
        <f aca="false">AG694*V694*3600/O694</f>
        <v>8.91089108910891</v>
      </c>
      <c r="AL694" s="102" t="n">
        <f aca="false">AJ694/AK694</f>
        <v>1.01</v>
      </c>
      <c r="AM694" s="99" t="n">
        <f aca="false">AE694*AL694*AH694</f>
        <v>0.478081023454158</v>
      </c>
      <c r="AN694" s="103" t="n">
        <v>3607</v>
      </c>
      <c r="AO694" s="112" t="s">
        <v>1366</v>
      </c>
      <c r="AP694" s="105" t="n">
        <v>0</v>
      </c>
      <c r="AQ694" s="105" t="n">
        <v>0</v>
      </c>
      <c r="AR694" s="105" t="n">
        <v>0</v>
      </c>
      <c r="AS694" s="105" t="n">
        <v>0</v>
      </c>
      <c r="AT694" s="105" t="n">
        <v>0</v>
      </c>
      <c r="AU694" s="105" t="n">
        <v>0</v>
      </c>
      <c r="AV694" s="105" t="n">
        <v>60</v>
      </c>
      <c r="AW694" s="105" t="n">
        <v>60</v>
      </c>
      <c r="AX694" s="105" t="n">
        <v>0</v>
      </c>
      <c r="AY694" s="105" t="n">
        <v>0</v>
      </c>
      <c r="AZ694" s="105" t="n">
        <v>0</v>
      </c>
      <c r="BA694" s="105" t="n">
        <v>0</v>
      </c>
      <c r="BB694" s="105" t="n">
        <v>0</v>
      </c>
      <c r="BC694" s="105" t="n">
        <v>0</v>
      </c>
      <c r="BD694" s="105" t="n">
        <v>0</v>
      </c>
      <c r="BE694" s="105" t="n">
        <v>0</v>
      </c>
      <c r="BF694" s="105" t="n">
        <v>0</v>
      </c>
      <c r="BG694" s="105" t="n">
        <v>0</v>
      </c>
      <c r="BH694" s="105" t="n">
        <v>0</v>
      </c>
      <c r="BI694" s="105" t="n">
        <v>0</v>
      </c>
      <c r="BJ694" s="105" t="n">
        <v>0</v>
      </c>
      <c r="BK694" s="105" t="n">
        <v>0</v>
      </c>
      <c r="BL694" s="105" t="n">
        <v>0</v>
      </c>
      <c r="BM694" s="105" t="n">
        <v>0</v>
      </c>
      <c r="BN694" s="105" t="n">
        <v>0</v>
      </c>
      <c r="BO694" s="105" t="n">
        <v>0</v>
      </c>
      <c r="BP694" s="105" t="n">
        <v>0</v>
      </c>
      <c r="BQ694" s="105" t="n">
        <v>0</v>
      </c>
      <c r="BR694" s="106" t="n">
        <v>2</v>
      </c>
      <c r="BS694" s="106" t="n">
        <v>2.03333333333333</v>
      </c>
      <c r="BT694" s="107"/>
      <c r="BU694" s="107"/>
      <c r="BV694" s="107"/>
      <c r="BW694" s="107"/>
      <c r="BX694" s="107"/>
      <c r="BY694" s="107"/>
      <c r="BZ694" s="107"/>
      <c r="CA694" s="107"/>
      <c r="CB694" s="107"/>
      <c r="CC694" s="107"/>
      <c r="CD694" s="107"/>
      <c r="CE694" s="107"/>
      <c r="CF694" s="107"/>
      <c r="CG694" s="107"/>
      <c r="CH694" s="107"/>
      <c r="CI694" s="107"/>
      <c r="CJ694" s="107"/>
      <c r="CK694" s="107"/>
      <c r="CL694" s="107"/>
      <c r="CM694" s="107"/>
      <c r="CN694" s="107"/>
      <c r="CO694" s="107"/>
      <c r="CP694" s="107"/>
      <c r="CQ694" s="107"/>
      <c r="CR694" s="107"/>
      <c r="CS694" s="107"/>
      <c r="CT694" s="107"/>
      <c r="CU694" s="107"/>
      <c r="CV694" s="107"/>
    </row>
    <row r="695" customFormat="false" ht="14.9" hidden="false" customHeight="false" outlineLevel="0" collapsed="false">
      <c r="A695" s="74" t="n">
        <f aca="false">MONTH(B695)</f>
        <v>9</v>
      </c>
      <c r="B695" s="135" t="n">
        <v>44464</v>
      </c>
      <c r="C695" s="128" t="s">
        <v>70</v>
      </c>
      <c r="D695" s="77" t="str">
        <f aca="false">IFERROR(VLOOKUP(E:E,'Item Data Support Sheet'!A:O,7,0),"")</f>
        <v>CAP MOLDED</v>
      </c>
      <c r="E695" s="80" t="s">
        <v>343</v>
      </c>
      <c r="F695" s="122"/>
      <c r="G695" s="137" t="s">
        <v>1215</v>
      </c>
      <c r="H695" s="79" t="str">
        <f aca="false">IFERROR(VLOOKUP(E:E,'Item Data Support Sheet'!A:O,2,0),"")</f>
        <v>CAP S TYPE MOLDED BLUE</v>
      </c>
      <c r="I695" s="80" t="s">
        <v>1367</v>
      </c>
      <c r="J695" s="80" t="s">
        <v>155</v>
      </c>
      <c r="K695" s="81" t="n">
        <v>7</v>
      </c>
      <c r="L695" s="124" t="n">
        <v>3619</v>
      </c>
      <c r="M695" s="83" t="n">
        <f aca="false">IFERROR(L695/K695,0)</f>
        <v>517</v>
      </c>
      <c r="N695" s="84" t="n">
        <f aca="false">+O695+Q695+T695+U695</f>
        <v>3235</v>
      </c>
      <c r="O695" s="85" t="n">
        <v>3235</v>
      </c>
      <c r="P695" s="86" t="n">
        <v>2.3</v>
      </c>
      <c r="Q695" s="86" t="n">
        <v>0</v>
      </c>
      <c r="R695" s="132" t="n">
        <v>0</v>
      </c>
      <c r="S695" s="128" t="n">
        <v>0</v>
      </c>
      <c r="T695" s="132" t="n">
        <v>0</v>
      </c>
      <c r="U695" s="128" t="n">
        <v>0</v>
      </c>
      <c r="V695" s="128" t="n">
        <v>1</v>
      </c>
      <c r="W695" s="90" t="n">
        <f aca="false">IFERROR(O695/V695,0)</f>
        <v>3235</v>
      </c>
      <c r="X695" s="91" t="n">
        <f aca="false">O695/L695</f>
        <v>0.893893340701851</v>
      </c>
      <c r="Y695" s="92" t="str">
        <f aca="false">IFERROR(VLOOKUP(E:E,'Item Data Support Sheet'!A:J,6,0),0)</f>
        <v>RM000114</v>
      </c>
      <c r="Z695" s="93" t="n">
        <f aca="false">IFERROR(VLOOKUP(E:E,'Item Data Support Sheet'!A:O,4,0),0)</f>
        <v>7.3</v>
      </c>
      <c r="AA695" s="93" t="n">
        <f aca="false">IFERROR(((N695)*(Z695/1000))+P695,0)</f>
        <v>25.9155</v>
      </c>
      <c r="AB695" s="94" t="n">
        <f aca="false">IFERROR((O695*(Z695/1000)/(AA695))," ")</f>
        <v>0.911250024116841</v>
      </c>
      <c r="AC695" s="95" t="n">
        <f aca="false">IFERROR((T695)/((T695)+O695),0)</f>
        <v>0</v>
      </c>
      <c r="AD695" s="96" t="n">
        <f aca="false">IFERROR(Q695/(Q695+N695),0)</f>
        <v>0</v>
      </c>
      <c r="AE695" s="91" t="n">
        <f aca="false">(N695-T695)/N695</f>
        <v>1</v>
      </c>
      <c r="AF695" s="97" t="n">
        <f aca="false">BR695</f>
        <v>0</v>
      </c>
      <c r="AG695" s="98" t="n">
        <f aca="false">K695-AF695</f>
        <v>7</v>
      </c>
      <c r="AH695" s="99" t="n">
        <f aca="false">IFERROR(AG695/K695," ")</f>
        <v>1</v>
      </c>
      <c r="AI695" s="100" t="n">
        <f aca="false">IFERROR(O695/K695,0)</f>
        <v>462.142857142857</v>
      </c>
      <c r="AJ695" s="101" t="n">
        <f aca="false">VLOOKUP(D695,'Standard Cycle time'!C:D,2,0)</f>
        <v>6</v>
      </c>
      <c r="AK695" s="101" t="n">
        <f aca="false">AG695*V695*3600/O695</f>
        <v>7.78979907264297</v>
      </c>
      <c r="AL695" s="102" t="n">
        <f aca="false">AJ695/AK695</f>
        <v>0.770238095238095</v>
      </c>
      <c r="AM695" s="99" t="n">
        <f aca="false">AE695*AL695*AH695</f>
        <v>0.770238095238095</v>
      </c>
      <c r="AN695" s="103" t="n">
        <v>3608</v>
      </c>
      <c r="AO695" s="112"/>
      <c r="AP695" s="105" t="n">
        <v>0</v>
      </c>
      <c r="AQ695" s="105" t="n">
        <v>0</v>
      </c>
      <c r="AR695" s="105" t="n">
        <v>0</v>
      </c>
      <c r="AS695" s="105" t="n">
        <v>0</v>
      </c>
      <c r="AT695" s="105" t="n">
        <v>0</v>
      </c>
      <c r="AU695" s="105" t="n">
        <v>0</v>
      </c>
      <c r="AV695" s="105" t="n">
        <v>0</v>
      </c>
      <c r="AW695" s="105" t="n">
        <v>0</v>
      </c>
      <c r="AX695" s="105" t="n">
        <v>0</v>
      </c>
      <c r="AY695" s="105" t="n">
        <v>0</v>
      </c>
      <c r="AZ695" s="105" t="n">
        <v>0</v>
      </c>
      <c r="BA695" s="105" t="n">
        <v>0</v>
      </c>
      <c r="BB695" s="105" t="n">
        <v>0</v>
      </c>
      <c r="BC695" s="105" t="n">
        <v>0</v>
      </c>
      <c r="BD695" s="105" t="n">
        <v>0</v>
      </c>
      <c r="BE695" s="105" t="n">
        <v>0</v>
      </c>
      <c r="BF695" s="105" t="n">
        <v>0</v>
      </c>
      <c r="BG695" s="105" t="n">
        <v>0</v>
      </c>
      <c r="BH695" s="105" t="n">
        <v>0</v>
      </c>
      <c r="BI695" s="105" t="n">
        <v>0</v>
      </c>
      <c r="BJ695" s="105" t="n">
        <v>0</v>
      </c>
      <c r="BK695" s="105" t="n">
        <v>0</v>
      </c>
      <c r="BL695" s="105" t="n">
        <v>0</v>
      </c>
      <c r="BM695" s="105" t="n">
        <v>0</v>
      </c>
      <c r="BN695" s="105" t="n">
        <v>0</v>
      </c>
      <c r="BO695" s="105" t="n">
        <v>0</v>
      </c>
      <c r="BP695" s="105" t="n">
        <v>0</v>
      </c>
      <c r="BQ695" s="105" t="n">
        <v>0</v>
      </c>
      <c r="BR695" s="106" t="n">
        <v>0</v>
      </c>
      <c r="BS695" s="106" t="n">
        <v>0</v>
      </c>
      <c r="BT695" s="107"/>
      <c r="BU695" s="107"/>
      <c r="BV695" s="107"/>
      <c r="BW695" s="107"/>
      <c r="BX695" s="107"/>
      <c r="BY695" s="107"/>
      <c r="BZ695" s="107"/>
      <c r="CA695" s="107"/>
      <c r="CB695" s="107"/>
      <c r="CC695" s="107"/>
      <c r="CD695" s="107"/>
      <c r="CE695" s="107"/>
      <c r="CF695" s="107"/>
      <c r="CG695" s="107"/>
      <c r="CH695" s="107"/>
      <c r="CI695" s="107"/>
      <c r="CJ695" s="107"/>
      <c r="CK695" s="107"/>
      <c r="CL695" s="107"/>
      <c r="CM695" s="107"/>
      <c r="CN695" s="107"/>
      <c r="CO695" s="107"/>
      <c r="CP695" s="107"/>
      <c r="CQ695" s="107"/>
      <c r="CR695" s="107"/>
      <c r="CS695" s="107"/>
      <c r="CT695" s="107"/>
      <c r="CU695" s="107"/>
      <c r="CV695" s="107"/>
    </row>
    <row r="696" customFormat="false" ht="14.9" hidden="false" customHeight="false" outlineLevel="0" collapsed="false">
      <c r="A696" s="74" t="n">
        <f aca="false">MONTH(B696)</f>
        <v>9</v>
      </c>
      <c r="B696" s="135" t="n">
        <v>44464</v>
      </c>
      <c r="C696" s="128" t="s">
        <v>70</v>
      </c>
      <c r="D696" s="77" t="str">
        <f aca="false">IFERROR(VLOOKUP(E:E,'Item Data Support Sheet'!A:O,7,0),"")</f>
        <v>NIPPLE MOLDED</v>
      </c>
      <c r="E696" s="80" t="s">
        <v>244</v>
      </c>
      <c r="F696" s="122" t="s">
        <v>137</v>
      </c>
      <c r="G696" s="137" t="s">
        <v>138</v>
      </c>
      <c r="H696" s="79" t="str">
        <f aca="false">IFERROR(VLOOKUP(E:E,'Item Data Support Sheet'!A:O,2,0),"")</f>
        <v>NIPPLE S TYPE S SIZE INJECTION</v>
      </c>
      <c r="I696" s="80" t="s">
        <v>1368</v>
      </c>
      <c r="J696" s="80" t="s">
        <v>155</v>
      </c>
      <c r="K696" s="81" t="n">
        <v>8</v>
      </c>
      <c r="L696" s="124" t="n">
        <v>4815</v>
      </c>
      <c r="M696" s="83" t="n">
        <f aca="false">IFERROR(L696/K696,0)</f>
        <v>601.875</v>
      </c>
      <c r="N696" s="84" t="n">
        <f aca="false">+O696+Q696+T696+U696</f>
        <v>5298</v>
      </c>
      <c r="O696" s="85" t="n">
        <v>5200</v>
      </c>
      <c r="P696" s="86" t="n">
        <v>0</v>
      </c>
      <c r="Q696" s="86" t="n">
        <v>45</v>
      </c>
      <c r="R696" s="132" t="n">
        <v>0</v>
      </c>
      <c r="S696" s="128" t="n">
        <v>0</v>
      </c>
      <c r="T696" s="132" t="n">
        <v>53</v>
      </c>
      <c r="U696" s="128" t="n">
        <v>0</v>
      </c>
      <c r="V696" s="128" t="n">
        <v>1</v>
      </c>
      <c r="W696" s="90" t="n">
        <f aca="false">IFERROR(O696/V696,0)</f>
        <v>5200</v>
      </c>
      <c r="X696" s="91" t="n">
        <f aca="false">O696/L696</f>
        <v>1.07995846313603</v>
      </c>
      <c r="Y696" s="92" t="str">
        <f aca="false">IFERROR(VLOOKUP(E:E,'Item Data Support Sheet'!A:J,6,0),0)</f>
        <v>Silicon</v>
      </c>
      <c r="Z696" s="93" t="n">
        <f aca="false">IFERROR(VLOOKUP(E:E,'Item Data Support Sheet'!A:O,4,0),0)</f>
        <v>6.8</v>
      </c>
      <c r="AA696" s="93" t="n">
        <f aca="false">IFERROR(((N696)*(Z696/1000))+P696,0)</f>
        <v>36.0264</v>
      </c>
      <c r="AB696" s="94" t="n">
        <f aca="false">IFERROR((O696*(Z696/1000)/(AA696))," ")</f>
        <v>0.981502453756134</v>
      </c>
      <c r="AC696" s="95" t="n">
        <f aca="false">IFERROR((T696)/((T696)+O696),0)</f>
        <v>0.0100894726822768</v>
      </c>
      <c r="AD696" s="96" t="n">
        <f aca="false">IFERROR(Q696/(Q696+N696),0)</f>
        <v>0.00842223469960696</v>
      </c>
      <c r="AE696" s="91" t="n">
        <f aca="false">(N696-T696)/N696</f>
        <v>0.989996224990562</v>
      </c>
      <c r="AF696" s="97" t="n">
        <f aca="false">BR696</f>
        <v>0</v>
      </c>
      <c r="AG696" s="98" t="n">
        <f aca="false">K696-AF696</f>
        <v>8</v>
      </c>
      <c r="AH696" s="99" t="n">
        <f aca="false">IFERROR(AG696/K696," ")</f>
        <v>1</v>
      </c>
      <c r="AI696" s="100" t="n">
        <f aca="false">IFERROR(O696/K696,0)</f>
        <v>650</v>
      </c>
      <c r="AJ696" s="101" t="n">
        <f aca="false">VLOOKUP(D696,'Standard Cycle time'!C:D,2,0)</f>
        <v>5.25</v>
      </c>
      <c r="AK696" s="101" t="n">
        <f aca="false">AG696*V696*3600/O696</f>
        <v>5.53846153846154</v>
      </c>
      <c r="AL696" s="102" t="n">
        <f aca="false">AJ696/AK696</f>
        <v>0.947916666666667</v>
      </c>
      <c r="AM696" s="99" t="n">
        <f aca="false">AE696*AL696*AH696</f>
        <v>0.938433921605637</v>
      </c>
      <c r="AN696" s="103" t="n">
        <v>3609</v>
      </c>
      <c r="AO696" s="112"/>
      <c r="AP696" s="105" t="n">
        <v>0</v>
      </c>
      <c r="AQ696" s="105" t="n">
        <v>0</v>
      </c>
      <c r="AR696" s="105" t="n">
        <v>0</v>
      </c>
      <c r="AS696" s="105" t="n">
        <v>0</v>
      </c>
      <c r="AT696" s="105" t="n">
        <v>0</v>
      </c>
      <c r="AU696" s="105" t="n">
        <v>0</v>
      </c>
      <c r="AV696" s="105" t="n">
        <v>0</v>
      </c>
      <c r="AW696" s="105" t="n">
        <v>0</v>
      </c>
      <c r="AX696" s="105" t="n">
        <v>0</v>
      </c>
      <c r="AY696" s="105" t="n">
        <v>0</v>
      </c>
      <c r="AZ696" s="105" t="n">
        <v>0</v>
      </c>
      <c r="BA696" s="105" t="n">
        <v>0</v>
      </c>
      <c r="BB696" s="105" t="n">
        <v>0</v>
      </c>
      <c r="BC696" s="105" t="n">
        <v>0</v>
      </c>
      <c r="BD696" s="105" t="n">
        <v>0</v>
      </c>
      <c r="BE696" s="105" t="n">
        <v>0</v>
      </c>
      <c r="BF696" s="105" t="n">
        <v>0</v>
      </c>
      <c r="BG696" s="105" t="n">
        <v>0</v>
      </c>
      <c r="BH696" s="105" t="n">
        <v>0</v>
      </c>
      <c r="BI696" s="105" t="n">
        <v>0</v>
      </c>
      <c r="BJ696" s="105" t="n">
        <v>0</v>
      </c>
      <c r="BK696" s="105" t="n">
        <v>0</v>
      </c>
      <c r="BL696" s="105" t="n">
        <v>0</v>
      </c>
      <c r="BM696" s="105" t="n">
        <v>0</v>
      </c>
      <c r="BN696" s="105" t="n">
        <v>0</v>
      </c>
      <c r="BO696" s="105" t="n">
        <v>0</v>
      </c>
      <c r="BP696" s="105" t="n">
        <v>0</v>
      </c>
      <c r="BQ696" s="105" t="n">
        <v>0</v>
      </c>
      <c r="BR696" s="106" t="n">
        <v>0</v>
      </c>
      <c r="BS696" s="106" t="n">
        <v>0</v>
      </c>
      <c r="BT696" s="107"/>
      <c r="BU696" s="107"/>
      <c r="BV696" s="107"/>
      <c r="BW696" s="107"/>
      <c r="BX696" s="107"/>
      <c r="BY696" s="107"/>
      <c r="BZ696" s="107"/>
      <c r="CA696" s="107"/>
      <c r="CB696" s="107"/>
      <c r="CC696" s="107"/>
      <c r="CD696" s="107"/>
      <c r="CE696" s="107"/>
      <c r="CF696" s="107"/>
      <c r="CG696" s="107"/>
      <c r="CH696" s="107"/>
      <c r="CI696" s="107"/>
      <c r="CJ696" s="107"/>
      <c r="CK696" s="107"/>
      <c r="CL696" s="107"/>
      <c r="CM696" s="107"/>
      <c r="CN696" s="107"/>
      <c r="CO696" s="107"/>
      <c r="CP696" s="107"/>
      <c r="CQ696" s="107"/>
      <c r="CR696" s="107"/>
      <c r="CS696" s="107"/>
      <c r="CT696" s="107"/>
      <c r="CU696" s="107"/>
      <c r="CV696" s="107"/>
    </row>
    <row r="697" customFormat="false" ht="14.9" hidden="false" customHeight="false" outlineLevel="0" collapsed="false">
      <c r="A697" s="74" t="n">
        <f aca="false">MONTH(B697)</f>
        <v>9</v>
      </c>
      <c r="B697" s="135" t="n">
        <v>44464</v>
      </c>
      <c r="C697" s="128" t="s">
        <v>70</v>
      </c>
      <c r="D697" s="77" t="str">
        <f aca="false">IFERROR(VLOOKUP(E:E,'Item Data Support Sheet'!A:O,7,0),"")</f>
        <v>NIPPLE PUNCH</v>
      </c>
      <c r="E697" s="80" t="s">
        <v>53</v>
      </c>
      <c r="F697" s="122"/>
      <c r="G697" s="137"/>
      <c r="H697" s="79" t="str">
        <f aca="false">IFERROR(VLOOKUP(E:E,'Item Data Support Sheet'!A:O,2,0),"")</f>
        <v>NIPPLE S TYPE S SIZE PUNCHED</v>
      </c>
      <c r="I697" s="80" t="s">
        <v>1369</v>
      </c>
      <c r="J697" s="80" t="s">
        <v>155</v>
      </c>
      <c r="K697" s="81" t="n">
        <v>8</v>
      </c>
      <c r="L697" s="124" t="n">
        <v>7000</v>
      </c>
      <c r="M697" s="83" t="n">
        <f aca="false">IFERROR(L697/K697,0)</f>
        <v>875</v>
      </c>
      <c r="N697" s="84" t="n">
        <f aca="false">+O697+Q697+T697+U697</f>
        <v>7000</v>
      </c>
      <c r="O697" s="85" t="n">
        <v>7000</v>
      </c>
      <c r="P697" s="86" t="n">
        <v>0</v>
      </c>
      <c r="Q697" s="86" t="n">
        <v>0</v>
      </c>
      <c r="R697" s="132" t="n">
        <v>0</v>
      </c>
      <c r="S697" s="128" t="n">
        <v>0</v>
      </c>
      <c r="T697" s="132" t="n">
        <v>0</v>
      </c>
      <c r="U697" s="128" t="n">
        <v>0</v>
      </c>
      <c r="V697" s="128" t="n">
        <v>1</v>
      </c>
      <c r="W697" s="90" t="n">
        <f aca="false">IFERROR(O697/V697,0)</f>
        <v>7000</v>
      </c>
      <c r="X697" s="91" t="n">
        <f aca="false">O697/L697</f>
        <v>1</v>
      </c>
      <c r="Y697" s="92" t="str">
        <f aca="false">IFERROR(VLOOKUP(E:E,'Item Data Support Sheet'!A:J,6,0),0)</f>
        <v>FO015</v>
      </c>
      <c r="Z697" s="93" t="n">
        <f aca="false">IFERROR(VLOOKUP(E:E,'Item Data Support Sheet'!A:O,4,0),0)</f>
        <v>0</v>
      </c>
      <c r="AA697" s="93" t="n">
        <f aca="false">IFERROR(((N697)*(Z697/1000))+P697,0)</f>
        <v>0</v>
      </c>
      <c r="AB697" s="94" t="str">
        <f aca="false">IFERROR((O697*(Z697/1000)/(AA697))," ")</f>
        <v> </v>
      </c>
      <c r="AC697" s="95" t="n">
        <f aca="false">IFERROR((T697)/((T697)+O697),0)</f>
        <v>0</v>
      </c>
      <c r="AD697" s="96" t="n">
        <f aca="false">IFERROR(Q697/(Q697+N697),0)</f>
        <v>0</v>
      </c>
      <c r="AE697" s="91" t="n">
        <f aca="false">(N697-T697)/N697</f>
        <v>1</v>
      </c>
      <c r="AF697" s="97" t="n">
        <f aca="false">BR697</f>
        <v>0.666666666666667</v>
      </c>
      <c r="AG697" s="98" t="n">
        <f aca="false">K697-AF697</f>
        <v>7.33333333333333</v>
      </c>
      <c r="AH697" s="99" t="n">
        <f aca="false">IFERROR(AG697/K697," ")</f>
        <v>0.916666666666667</v>
      </c>
      <c r="AI697" s="100" t="n">
        <f aca="false">IFERROR(O697/K697,0)</f>
        <v>875</v>
      </c>
      <c r="AJ697" s="101" t="n">
        <f aca="false">VLOOKUP(D697,'Standard Cycle time'!C:D,2,0)</f>
        <v>3.5</v>
      </c>
      <c r="AK697" s="101" t="n">
        <f aca="false">AG697*V697*3600/O697</f>
        <v>3.77142857142857</v>
      </c>
      <c r="AL697" s="102" t="n">
        <f aca="false">AJ697/AK697</f>
        <v>0.928030303030303</v>
      </c>
      <c r="AM697" s="99" t="n">
        <f aca="false">AE697*AL697*AH697</f>
        <v>0.850694444444444</v>
      </c>
      <c r="AN697" s="103" t="s">
        <v>1370</v>
      </c>
      <c r="AO697" s="112"/>
      <c r="AP697" s="105" t="n">
        <v>40</v>
      </c>
      <c r="AQ697" s="105" t="n">
        <v>0</v>
      </c>
      <c r="AR697" s="105" t="n">
        <v>0</v>
      </c>
      <c r="AS697" s="105" t="n">
        <v>0</v>
      </c>
      <c r="AT697" s="105" t="n">
        <v>0</v>
      </c>
      <c r="AU697" s="105" t="n">
        <v>0</v>
      </c>
      <c r="AV697" s="105" t="n">
        <v>0</v>
      </c>
      <c r="AW697" s="105" t="n">
        <v>0</v>
      </c>
      <c r="AX697" s="105" t="n">
        <v>0</v>
      </c>
      <c r="AY697" s="105" t="n">
        <v>0</v>
      </c>
      <c r="AZ697" s="105" t="n">
        <v>0</v>
      </c>
      <c r="BA697" s="105" t="n">
        <v>0</v>
      </c>
      <c r="BB697" s="105" t="n">
        <v>0</v>
      </c>
      <c r="BC697" s="105" t="n">
        <v>0</v>
      </c>
      <c r="BD697" s="105" t="n">
        <v>0</v>
      </c>
      <c r="BE697" s="105" t="n">
        <v>0</v>
      </c>
      <c r="BF697" s="105" t="n">
        <v>0</v>
      </c>
      <c r="BG697" s="105" t="n">
        <v>0</v>
      </c>
      <c r="BH697" s="105" t="n">
        <v>0</v>
      </c>
      <c r="BI697" s="105" t="n">
        <v>0</v>
      </c>
      <c r="BJ697" s="105" t="n">
        <v>0</v>
      </c>
      <c r="BK697" s="105" t="n">
        <v>0</v>
      </c>
      <c r="BL697" s="105" t="n">
        <v>0</v>
      </c>
      <c r="BM697" s="105" t="n">
        <v>0</v>
      </c>
      <c r="BN697" s="105" t="n">
        <v>0</v>
      </c>
      <c r="BO697" s="105" t="n">
        <v>0</v>
      </c>
      <c r="BP697" s="105" t="n">
        <v>0</v>
      </c>
      <c r="BQ697" s="105" t="n">
        <v>0</v>
      </c>
      <c r="BR697" s="106" t="n">
        <v>0.666666666666667</v>
      </c>
      <c r="BS697" s="106" t="n">
        <v>0.677777777777778</v>
      </c>
      <c r="BT697" s="107"/>
      <c r="BU697" s="107"/>
      <c r="BV697" s="107"/>
      <c r="BW697" s="107"/>
      <c r="BX697" s="107"/>
      <c r="BY697" s="107"/>
      <c r="BZ697" s="107"/>
      <c r="CA697" s="107"/>
      <c r="CB697" s="107"/>
      <c r="CC697" s="107"/>
      <c r="CD697" s="107"/>
      <c r="CE697" s="107"/>
      <c r="CF697" s="107"/>
      <c r="CG697" s="107"/>
      <c r="CH697" s="107"/>
      <c r="CI697" s="107"/>
      <c r="CJ697" s="107"/>
      <c r="CK697" s="107"/>
      <c r="CL697" s="107"/>
      <c r="CM697" s="107"/>
      <c r="CN697" s="107"/>
      <c r="CO697" s="107"/>
      <c r="CP697" s="107"/>
      <c r="CQ697" s="107"/>
      <c r="CR697" s="107"/>
      <c r="CS697" s="107"/>
      <c r="CT697" s="107"/>
      <c r="CU697" s="107"/>
      <c r="CV697" s="107"/>
    </row>
    <row r="698" customFormat="false" ht="14.9" hidden="false" customHeight="false" outlineLevel="0" collapsed="false">
      <c r="A698" s="74" t="n">
        <f aca="false">MONTH(B698)</f>
        <v>9</v>
      </c>
      <c r="B698" s="135" t="n">
        <v>44464</v>
      </c>
      <c r="C698" s="128" t="s">
        <v>70</v>
      </c>
      <c r="D698" s="77" t="str">
        <f aca="false">IFERROR(VLOOKUP(E:E,'Item Data Support Sheet'!A:O,7,0),"")</f>
        <v>NIPPLE LASER MARKING</v>
      </c>
      <c r="E698" s="80" t="s">
        <v>444</v>
      </c>
      <c r="F698" s="122"/>
      <c r="G698" s="137"/>
      <c r="H698" s="79" t="str">
        <f aca="false">IFERROR(VLOOKUP(E:E,'Item Data Support Sheet'!A:O,2,0),"")</f>
        <v>NIPPLE S TYPE S SIZE PUNCHED LASER MARKED</v>
      </c>
      <c r="I698" s="80" t="s">
        <v>1371</v>
      </c>
      <c r="J698" s="80" t="s">
        <v>155</v>
      </c>
      <c r="K698" s="81" t="n">
        <v>8</v>
      </c>
      <c r="L698" s="124" t="n">
        <v>7000</v>
      </c>
      <c r="M698" s="83" t="n">
        <f aca="false">IFERROR(L698/K698,0)</f>
        <v>875</v>
      </c>
      <c r="N698" s="84" t="n">
        <f aca="false">+O698+Q698+T698+U698</f>
        <v>6800</v>
      </c>
      <c r="O698" s="85" t="n">
        <v>6800</v>
      </c>
      <c r="P698" s="86" t="n">
        <v>0</v>
      </c>
      <c r="Q698" s="86" t="n">
        <v>0</v>
      </c>
      <c r="R698" s="132" t="n">
        <v>0</v>
      </c>
      <c r="S698" s="128" t="n">
        <v>0</v>
      </c>
      <c r="T698" s="132" t="n">
        <v>0</v>
      </c>
      <c r="U698" s="128" t="n">
        <v>0</v>
      </c>
      <c r="V698" s="128" t="n">
        <v>1</v>
      </c>
      <c r="W698" s="90" t="n">
        <f aca="false">IFERROR(O698/V698,0)</f>
        <v>6800</v>
      </c>
      <c r="X698" s="91" t="n">
        <f aca="false">O698/L698</f>
        <v>0.971428571428571</v>
      </c>
      <c r="Y698" s="92" t="str">
        <f aca="false">IFERROR(VLOOKUP(E:E,'Item Data Support Sheet'!A:J,6,0),0)</f>
        <v>FO019</v>
      </c>
      <c r="Z698" s="93" t="n">
        <f aca="false">IFERROR(VLOOKUP(E:E,'Item Data Support Sheet'!A:O,4,0),0)</f>
        <v>0</v>
      </c>
      <c r="AA698" s="93" t="n">
        <f aca="false">IFERROR(((N698)*(Z698/1000))+P698,0)</f>
        <v>0</v>
      </c>
      <c r="AB698" s="94" t="str">
        <f aca="false">IFERROR((O698*(Z698/1000)/(AA698))," ")</f>
        <v> </v>
      </c>
      <c r="AC698" s="95" t="n">
        <f aca="false">IFERROR((T698)/((T698)+O698),0)</f>
        <v>0</v>
      </c>
      <c r="AD698" s="96" t="n">
        <f aca="false">IFERROR(Q698/(Q698+N698),0)</f>
        <v>0</v>
      </c>
      <c r="AE698" s="91" t="n">
        <f aca="false">(N698-T698)/N698</f>
        <v>1</v>
      </c>
      <c r="AF698" s="97" t="n">
        <f aca="false">BR698</f>
        <v>0.666666666666667</v>
      </c>
      <c r="AG698" s="98" t="n">
        <f aca="false">K698-AF698</f>
        <v>7.33333333333333</v>
      </c>
      <c r="AH698" s="99" t="n">
        <f aca="false">IFERROR(AG698/K698," ")</f>
        <v>0.916666666666667</v>
      </c>
      <c r="AI698" s="100" t="n">
        <f aca="false">IFERROR(O698/K698,0)</f>
        <v>850</v>
      </c>
      <c r="AJ698" s="101" t="n">
        <f aca="false">VLOOKUP(D698,'Standard Cycle time'!C:D,2,0)</f>
        <v>3.5</v>
      </c>
      <c r="AK698" s="101" t="n">
        <f aca="false">AG698*V698*3600/O698</f>
        <v>3.88235294117647</v>
      </c>
      <c r="AL698" s="102" t="n">
        <f aca="false">AJ698/AK698</f>
        <v>0.901515151515151</v>
      </c>
      <c r="AM698" s="99" t="n">
        <f aca="false">AE698*AL698*AH698</f>
        <v>0.826388888888889</v>
      </c>
      <c r="AN698" s="103" t="s">
        <v>1372</v>
      </c>
      <c r="AO698" s="112" t="s">
        <v>1373</v>
      </c>
      <c r="AP698" s="105" t="n">
        <v>40</v>
      </c>
      <c r="AQ698" s="105" t="n">
        <v>0</v>
      </c>
      <c r="AR698" s="105" t="n">
        <v>0</v>
      </c>
      <c r="AS698" s="105" t="n">
        <v>0</v>
      </c>
      <c r="AT698" s="105" t="n">
        <v>0</v>
      </c>
      <c r="AU698" s="105" t="n">
        <v>0</v>
      </c>
      <c r="AV698" s="105" t="n">
        <v>0</v>
      </c>
      <c r="AW698" s="105" t="n">
        <v>0</v>
      </c>
      <c r="AX698" s="105" t="n">
        <v>0</v>
      </c>
      <c r="AY698" s="105" t="n">
        <v>0</v>
      </c>
      <c r="AZ698" s="105" t="n">
        <v>0</v>
      </c>
      <c r="BA698" s="105" t="n">
        <v>0</v>
      </c>
      <c r="BB698" s="105" t="n">
        <v>0</v>
      </c>
      <c r="BC698" s="105" t="n">
        <v>0</v>
      </c>
      <c r="BD698" s="105" t="n">
        <v>0</v>
      </c>
      <c r="BE698" s="105" t="n">
        <v>0</v>
      </c>
      <c r="BF698" s="105" t="n">
        <v>0</v>
      </c>
      <c r="BG698" s="105" t="n">
        <v>0</v>
      </c>
      <c r="BH698" s="105" t="n">
        <v>0</v>
      </c>
      <c r="BI698" s="105" t="n">
        <v>0</v>
      </c>
      <c r="BJ698" s="105" t="n">
        <v>0</v>
      </c>
      <c r="BK698" s="105" t="n">
        <v>0</v>
      </c>
      <c r="BL698" s="105" t="n">
        <v>0</v>
      </c>
      <c r="BM698" s="105" t="n">
        <v>0</v>
      </c>
      <c r="BN698" s="105" t="n">
        <v>0</v>
      </c>
      <c r="BO698" s="105" t="n">
        <v>0</v>
      </c>
      <c r="BP698" s="105" t="n">
        <v>0</v>
      </c>
      <c r="BQ698" s="105" t="n">
        <v>0</v>
      </c>
      <c r="BR698" s="106" t="n">
        <v>0.666666666666667</v>
      </c>
      <c r="BS698" s="106" t="n">
        <v>0.677777777777778</v>
      </c>
      <c r="BT698" s="107"/>
      <c r="BU698" s="107"/>
      <c r="BV698" s="107"/>
      <c r="BW698" s="107"/>
      <c r="BX698" s="107"/>
      <c r="BY698" s="107"/>
      <c r="BZ698" s="107"/>
      <c r="CA698" s="107"/>
      <c r="CB698" s="107"/>
      <c r="CC698" s="107"/>
      <c r="CD698" s="107"/>
      <c r="CE698" s="107"/>
      <c r="CF698" s="107"/>
      <c r="CG698" s="107"/>
      <c r="CH698" s="107"/>
      <c r="CI698" s="107"/>
      <c r="CJ698" s="107"/>
      <c r="CK698" s="107"/>
      <c r="CL698" s="107"/>
      <c r="CM698" s="107"/>
      <c r="CN698" s="107"/>
      <c r="CO698" s="107"/>
      <c r="CP698" s="107"/>
      <c r="CQ698" s="107"/>
      <c r="CR698" s="107"/>
      <c r="CS698" s="107"/>
      <c r="CT698" s="107"/>
      <c r="CU698" s="107"/>
      <c r="CV698" s="107"/>
    </row>
    <row r="699" customFormat="false" ht="14.9" hidden="false" customHeight="false" outlineLevel="0" collapsed="false">
      <c r="A699" s="74" t="n">
        <f aca="false">MONTH(B699)</f>
        <v>9</v>
      </c>
      <c r="B699" s="135" t="n">
        <v>44464</v>
      </c>
      <c r="C699" s="128" t="s">
        <v>152</v>
      </c>
      <c r="D699" s="77" t="str">
        <f aca="false">IFERROR(VLOOKUP(E:E,'Item Data Support Sheet'!A:O,7,0),"")</f>
        <v>NIPPLE MOLDED</v>
      </c>
      <c r="E699" s="80" t="s">
        <v>244</v>
      </c>
      <c r="F699" s="122" t="s">
        <v>137</v>
      </c>
      <c r="G699" s="137" t="s">
        <v>138</v>
      </c>
      <c r="H699" s="79" t="str">
        <f aca="false">IFERROR(VLOOKUP(E:E,'Item Data Support Sheet'!A:O,2,0),"")</f>
        <v>NIPPLE S TYPE S SIZE INJECTION</v>
      </c>
      <c r="I699" s="80" t="s">
        <v>1374</v>
      </c>
      <c r="J699" s="80" t="s">
        <v>815</v>
      </c>
      <c r="K699" s="81" t="n">
        <v>8</v>
      </c>
      <c r="L699" s="124" t="n">
        <v>4815</v>
      </c>
      <c r="M699" s="83" t="n">
        <f aca="false">IFERROR(L699/K699,0)</f>
        <v>601.875</v>
      </c>
      <c r="N699" s="84" t="n">
        <f aca="false">+O699+Q699+T699+U699</f>
        <v>4108</v>
      </c>
      <c r="O699" s="85" t="n">
        <v>4000</v>
      </c>
      <c r="P699" s="86" t="n">
        <v>0.7</v>
      </c>
      <c r="Q699" s="86" t="n">
        <v>38</v>
      </c>
      <c r="R699" s="132" t="n">
        <v>0</v>
      </c>
      <c r="S699" s="128" t="n">
        <v>0</v>
      </c>
      <c r="T699" s="132" t="n">
        <v>62</v>
      </c>
      <c r="U699" s="128" t="n">
        <v>8</v>
      </c>
      <c r="V699" s="128" t="n">
        <v>1</v>
      </c>
      <c r="W699" s="90" t="n">
        <f aca="false">IFERROR(O699/V699,0)</f>
        <v>4000</v>
      </c>
      <c r="X699" s="91" t="n">
        <f aca="false">O699/L699</f>
        <v>0.83073727933541</v>
      </c>
      <c r="Y699" s="92" t="str">
        <f aca="false">IFERROR(VLOOKUP(E:E,'Item Data Support Sheet'!A:J,6,0),0)</f>
        <v>Silicon</v>
      </c>
      <c r="Z699" s="93" t="n">
        <f aca="false">IFERROR(VLOOKUP(E:E,'Item Data Support Sheet'!A:O,4,0),0)</f>
        <v>6.8</v>
      </c>
      <c r="AA699" s="93" t="n">
        <f aca="false">IFERROR(((N699)*(Z699/1000))+P699,0)</f>
        <v>28.6344</v>
      </c>
      <c r="AB699" s="94" t="n">
        <f aca="false">IFERROR((O699*(Z699/1000)/(AA699))," ")</f>
        <v>0.949906406280558</v>
      </c>
      <c r="AC699" s="95" t="n">
        <f aca="false">IFERROR((T699)/((T699)+O699),0)</f>
        <v>0.0152634170359429</v>
      </c>
      <c r="AD699" s="96" t="n">
        <f aca="false">IFERROR(Q699/(Q699+N699),0)</f>
        <v>0.00916546068499759</v>
      </c>
      <c r="AE699" s="91" t="n">
        <f aca="false">(N699-T699)/N699</f>
        <v>0.984907497565725</v>
      </c>
      <c r="AF699" s="97" t="n">
        <f aca="false">BR699</f>
        <v>1</v>
      </c>
      <c r="AG699" s="98" t="n">
        <f aca="false">K699-AF699</f>
        <v>7</v>
      </c>
      <c r="AH699" s="99" t="n">
        <f aca="false">IFERROR(AG699/K699," ")</f>
        <v>0.875</v>
      </c>
      <c r="AI699" s="100" t="n">
        <f aca="false">IFERROR(O699/K699,0)</f>
        <v>500</v>
      </c>
      <c r="AJ699" s="101" t="n">
        <f aca="false">VLOOKUP(D699,'Standard Cycle time'!C:D,2,0)</f>
        <v>5.25</v>
      </c>
      <c r="AK699" s="101" t="n">
        <f aca="false">AG699*V699*3600/O699</f>
        <v>6.3</v>
      </c>
      <c r="AL699" s="102" t="n">
        <f aca="false">AJ699/AK699</f>
        <v>0.833333333333333</v>
      </c>
      <c r="AM699" s="99" t="n">
        <f aca="false">AE699*AL699*AH699</f>
        <v>0.718161716975008</v>
      </c>
      <c r="AN699" s="103" t="n">
        <v>3615</v>
      </c>
      <c r="AO699" s="112" t="s">
        <v>1375</v>
      </c>
      <c r="AP699" s="105" t="n">
        <v>0</v>
      </c>
      <c r="AQ699" s="105" t="n">
        <v>0</v>
      </c>
      <c r="AR699" s="105" t="n">
        <v>0</v>
      </c>
      <c r="AS699" s="105" t="n">
        <v>0</v>
      </c>
      <c r="AT699" s="105" t="n">
        <v>0</v>
      </c>
      <c r="AU699" s="105" t="n">
        <v>30</v>
      </c>
      <c r="AV699" s="105" t="n">
        <v>30</v>
      </c>
      <c r="AW699" s="105" t="n">
        <v>0</v>
      </c>
      <c r="AX699" s="105" t="n">
        <v>0</v>
      </c>
      <c r="AY699" s="105" t="n">
        <v>0</v>
      </c>
      <c r="AZ699" s="105" t="n">
        <v>0</v>
      </c>
      <c r="BA699" s="105" t="n">
        <v>0</v>
      </c>
      <c r="BB699" s="105" t="n">
        <v>0</v>
      </c>
      <c r="BC699" s="105" t="n">
        <v>0</v>
      </c>
      <c r="BD699" s="105" t="n">
        <v>0</v>
      </c>
      <c r="BE699" s="105" t="n">
        <v>0</v>
      </c>
      <c r="BF699" s="105" t="n">
        <v>0</v>
      </c>
      <c r="BG699" s="105" t="n">
        <v>0</v>
      </c>
      <c r="BH699" s="105" t="n">
        <v>0</v>
      </c>
      <c r="BI699" s="105" t="n">
        <v>0</v>
      </c>
      <c r="BJ699" s="105" t="n">
        <v>0</v>
      </c>
      <c r="BK699" s="105" t="n">
        <v>0</v>
      </c>
      <c r="BL699" s="105" t="n">
        <v>0</v>
      </c>
      <c r="BM699" s="105" t="n">
        <v>0</v>
      </c>
      <c r="BN699" s="105" t="n">
        <v>0</v>
      </c>
      <c r="BO699" s="105" t="n">
        <v>0</v>
      </c>
      <c r="BP699" s="105" t="n">
        <v>0</v>
      </c>
      <c r="BQ699" s="105" t="n">
        <v>0</v>
      </c>
      <c r="BR699" s="106" t="n">
        <v>1</v>
      </c>
      <c r="BS699" s="106" t="n">
        <v>1.01666666666667</v>
      </c>
      <c r="BT699" s="107"/>
      <c r="BU699" s="107"/>
      <c r="BV699" s="107"/>
      <c r="BW699" s="107"/>
      <c r="BX699" s="107"/>
      <c r="BY699" s="107"/>
      <c r="BZ699" s="107"/>
      <c r="CA699" s="107"/>
      <c r="CB699" s="107"/>
      <c r="CC699" s="107"/>
      <c r="CD699" s="107"/>
      <c r="CE699" s="107"/>
      <c r="CF699" s="107"/>
      <c r="CG699" s="107"/>
      <c r="CH699" s="107"/>
      <c r="CI699" s="107"/>
      <c r="CJ699" s="107"/>
      <c r="CK699" s="107"/>
      <c r="CL699" s="107"/>
      <c r="CM699" s="107"/>
      <c r="CN699" s="107"/>
      <c r="CO699" s="107"/>
      <c r="CP699" s="107"/>
      <c r="CQ699" s="107"/>
      <c r="CR699" s="107"/>
      <c r="CS699" s="107"/>
      <c r="CT699" s="107"/>
      <c r="CU699" s="107"/>
      <c r="CV699" s="107"/>
    </row>
    <row r="700" customFormat="false" ht="14.9" hidden="false" customHeight="false" outlineLevel="0" collapsed="false">
      <c r="A700" s="74" t="n">
        <f aca="false">MONTH(B700)</f>
        <v>9</v>
      </c>
      <c r="B700" s="135" t="n">
        <v>44464</v>
      </c>
      <c r="C700" s="128" t="s">
        <v>152</v>
      </c>
      <c r="D700" s="77" t="str">
        <f aca="false">IFERROR(VLOOKUP(E:E,'Item Data Support Sheet'!A:O,7,0),"")</f>
        <v>CAP MOLDED</v>
      </c>
      <c r="E700" s="80" t="s">
        <v>343</v>
      </c>
      <c r="F700" s="122"/>
      <c r="G700" s="137" t="s">
        <v>1211</v>
      </c>
      <c r="H700" s="79" t="str">
        <f aca="false">IFERROR(VLOOKUP(E:E,'Item Data Support Sheet'!A:O,2,0),"")</f>
        <v>CAP S TYPE MOLDED BLUE</v>
      </c>
      <c r="I700" s="80" t="s">
        <v>1376</v>
      </c>
      <c r="J700" s="80" t="s">
        <v>815</v>
      </c>
      <c r="K700" s="81" t="n">
        <v>6</v>
      </c>
      <c r="L700" s="124" t="n">
        <v>3102</v>
      </c>
      <c r="M700" s="83" t="n">
        <f aca="false">IFERROR(L700/K700,0)</f>
        <v>517</v>
      </c>
      <c r="N700" s="84" t="n">
        <f aca="false">+O700+Q700+T700+U700</f>
        <v>3180</v>
      </c>
      <c r="O700" s="85" t="n">
        <v>3180</v>
      </c>
      <c r="P700" s="86" t="n">
        <v>0</v>
      </c>
      <c r="Q700" s="86" t="n">
        <v>0</v>
      </c>
      <c r="R700" s="132" t="n">
        <v>0</v>
      </c>
      <c r="S700" s="128" t="n">
        <v>0</v>
      </c>
      <c r="T700" s="132" t="n">
        <v>0</v>
      </c>
      <c r="U700" s="128" t="n">
        <v>0</v>
      </c>
      <c r="V700" s="128" t="n">
        <v>1</v>
      </c>
      <c r="W700" s="90" t="n">
        <f aca="false">IFERROR(O700/V700,0)</f>
        <v>3180</v>
      </c>
      <c r="X700" s="91" t="n">
        <f aca="false">O700/L700</f>
        <v>1.02514506769826</v>
      </c>
      <c r="Y700" s="92" t="str">
        <f aca="false">IFERROR(VLOOKUP(E:E,'Item Data Support Sheet'!A:J,6,0),0)</f>
        <v>RM000114</v>
      </c>
      <c r="Z700" s="93" t="n">
        <f aca="false">IFERROR(VLOOKUP(E:E,'Item Data Support Sheet'!A:O,4,0),0)</f>
        <v>7.3</v>
      </c>
      <c r="AA700" s="93" t="n">
        <f aca="false">IFERROR(((N700)*(Z700/1000))+P700,0)</f>
        <v>23.214</v>
      </c>
      <c r="AB700" s="94" t="n">
        <f aca="false">IFERROR((O700*(Z700/1000)/(AA700))," ")</f>
        <v>1</v>
      </c>
      <c r="AC700" s="95" t="n">
        <f aca="false">IFERROR((T700)/((T700)+O700),0)</f>
        <v>0</v>
      </c>
      <c r="AD700" s="96" t="n">
        <f aca="false">IFERROR(Q700/(Q700+N700),0)</f>
        <v>0</v>
      </c>
      <c r="AE700" s="91" t="n">
        <f aca="false">(N700-T700)/N700</f>
        <v>1</v>
      </c>
      <c r="AF700" s="97" t="n">
        <f aca="false">BR700</f>
        <v>0</v>
      </c>
      <c r="AG700" s="98" t="n">
        <f aca="false">K700-AF700</f>
        <v>6</v>
      </c>
      <c r="AH700" s="99" t="n">
        <f aca="false">IFERROR(AG700/K700," ")</f>
        <v>1</v>
      </c>
      <c r="AI700" s="100" t="n">
        <f aca="false">IFERROR(O700/K700,0)</f>
        <v>530</v>
      </c>
      <c r="AJ700" s="101" t="n">
        <f aca="false">VLOOKUP(D700,'Standard Cycle time'!C:D,2,0)</f>
        <v>6</v>
      </c>
      <c r="AK700" s="101" t="n">
        <f aca="false">AG700*V700*3600/O700</f>
        <v>6.79245283018868</v>
      </c>
      <c r="AL700" s="102" t="n">
        <f aca="false">AJ700/AK700</f>
        <v>0.883333333333333</v>
      </c>
      <c r="AM700" s="99" t="n">
        <f aca="false">AE700*AL700*AH700</f>
        <v>0.883333333333333</v>
      </c>
      <c r="AN700" s="103" t="n">
        <v>3772</v>
      </c>
      <c r="AO700" s="112"/>
      <c r="AP700" s="105" t="n">
        <v>0</v>
      </c>
      <c r="AQ700" s="105" t="n">
        <v>0</v>
      </c>
      <c r="AR700" s="105" t="n">
        <v>0</v>
      </c>
      <c r="AS700" s="105" t="n">
        <v>0</v>
      </c>
      <c r="AT700" s="105" t="n">
        <v>0</v>
      </c>
      <c r="AU700" s="105" t="n">
        <v>0</v>
      </c>
      <c r="AV700" s="105" t="n">
        <v>0</v>
      </c>
      <c r="AW700" s="105" t="n">
        <v>0</v>
      </c>
      <c r="AX700" s="105" t="n">
        <v>0</v>
      </c>
      <c r="AY700" s="105" t="n">
        <v>0</v>
      </c>
      <c r="AZ700" s="105" t="n">
        <v>0</v>
      </c>
      <c r="BA700" s="105" t="n">
        <v>0</v>
      </c>
      <c r="BB700" s="105" t="n">
        <v>0</v>
      </c>
      <c r="BC700" s="105" t="n">
        <v>0</v>
      </c>
      <c r="BD700" s="105" t="n">
        <v>0</v>
      </c>
      <c r="BE700" s="105" t="n">
        <v>0</v>
      </c>
      <c r="BF700" s="105" t="n">
        <v>0</v>
      </c>
      <c r="BG700" s="105" t="n">
        <v>0</v>
      </c>
      <c r="BH700" s="105" t="n">
        <v>0</v>
      </c>
      <c r="BI700" s="105" t="n">
        <v>0</v>
      </c>
      <c r="BJ700" s="105" t="n">
        <v>0</v>
      </c>
      <c r="BK700" s="105" t="n">
        <v>0</v>
      </c>
      <c r="BL700" s="105" t="n">
        <v>0</v>
      </c>
      <c r="BM700" s="105" t="n">
        <v>0</v>
      </c>
      <c r="BN700" s="105" t="n">
        <v>0</v>
      </c>
      <c r="BO700" s="105" t="n">
        <v>0</v>
      </c>
      <c r="BP700" s="105" t="n">
        <v>0</v>
      </c>
      <c r="BQ700" s="105" t="n">
        <v>0</v>
      </c>
      <c r="BR700" s="106" t="n">
        <v>0</v>
      </c>
      <c r="BS700" s="106" t="n">
        <v>0</v>
      </c>
      <c r="BT700" s="107"/>
      <c r="BU700" s="107"/>
      <c r="BV700" s="107"/>
      <c r="BW700" s="107"/>
      <c r="BX700" s="107"/>
      <c r="BY700" s="107"/>
      <c r="BZ700" s="107"/>
      <c r="CA700" s="107"/>
      <c r="CB700" s="107"/>
      <c r="CC700" s="107"/>
      <c r="CD700" s="107"/>
      <c r="CE700" s="107"/>
      <c r="CF700" s="107"/>
      <c r="CG700" s="107"/>
      <c r="CH700" s="107"/>
      <c r="CI700" s="107"/>
      <c r="CJ700" s="107"/>
      <c r="CK700" s="107"/>
      <c r="CL700" s="107"/>
      <c r="CM700" s="107"/>
      <c r="CN700" s="107"/>
      <c r="CO700" s="107"/>
      <c r="CP700" s="107"/>
      <c r="CQ700" s="107"/>
      <c r="CR700" s="107"/>
      <c r="CS700" s="107"/>
      <c r="CT700" s="107"/>
      <c r="CU700" s="107"/>
      <c r="CV700" s="107"/>
    </row>
    <row r="701" customFormat="false" ht="14.9" hidden="false" customHeight="false" outlineLevel="0" collapsed="false">
      <c r="A701" s="74" t="n">
        <f aca="false">MONTH(B701)</f>
        <v>9</v>
      </c>
      <c r="B701" s="135" t="n">
        <v>44464</v>
      </c>
      <c r="C701" s="128" t="s">
        <v>152</v>
      </c>
      <c r="D701" s="77" t="str">
        <f aca="false">IFERROR(VLOOKUP(E:E,'Item Data Support Sheet'!A:O,7,0),"")</f>
        <v>CAP MOLDED</v>
      </c>
      <c r="E701" s="80" t="s">
        <v>343</v>
      </c>
      <c r="F701" s="122"/>
      <c r="G701" s="137" t="s">
        <v>1215</v>
      </c>
      <c r="H701" s="79" t="str">
        <f aca="false">IFERROR(VLOOKUP(E:E,'Item Data Support Sheet'!A:O,2,0),"")</f>
        <v>CAP S TYPE MOLDED BLUE</v>
      </c>
      <c r="I701" s="80" t="s">
        <v>1377</v>
      </c>
      <c r="J701" s="80" t="s">
        <v>815</v>
      </c>
      <c r="K701" s="81" t="n">
        <v>2</v>
      </c>
      <c r="L701" s="124" t="n">
        <v>1034</v>
      </c>
      <c r="M701" s="83" t="n">
        <f aca="false">IFERROR(L701/K701,0)</f>
        <v>517</v>
      </c>
      <c r="N701" s="84" t="n">
        <f aca="false">+O701+Q701+T701+U701</f>
        <v>1326</v>
      </c>
      <c r="O701" s="85" t="n">
        <v>1320</v>
      </c>
      <c r="P701" s="86" t="n">
        <v>0</v>
      </c>
      <c r="Q701" s="86" t="n">
        <v>0</v>
      </c>
      <c r="R701" s="132" t="n">
        <v>0</v>
      </c>
      <c r="S701" s="128" t="n">
        <v>0</v>
      </c>
      <c r="T701" s="132" t="n">
        <v>6</v>
      </c>
      <c r="U701" s="128" t="n">
        <v>0</v>
      </c>
      <c r="V701" s="128" t="n">
        <v>1</v>
      </c>
      <c r="W701" s="90" t="n">
        <f aca="false">IFERROR(O701/V701,0)</f>
        <v>1320</v>
      </c>
      <c r="X701" s="91" t="n">
        <f aca="false">O701/L701</f>
        <v>1.27659574468085</v>
      </c>
      <c r="Y701" s="92" t="str">
        <f aca="false">IFERROR(VLOOKUP(E:E,'Item Data Support Sheet'!A:J,6,0),0)</f>
        <v>RM000114</v>
      </c>
      <c r="Z701" s="93" t="n">
        <f aca="false">IFERROR(VLOOKUP(E:E,'Item Data Support Sheet'!A:O,4,0),0)</f>
        <v>7.3</v>
      </c>
      <c r="AA701" s="93" t="n">
        <f aca="false">IFERROR(((N701)*(Z701/1000))+P701,0)</f>
        <v>9.6798</v>
      </c>
      <c r="AB701" s="94" t="n">
        <f aca="false">IFERROR((O701*(Z701/1000)/(AA701))," ")</f>
        <v>0.995475113122172</v>
      </c>
      <c r="AC701" s="95" t="n">
        <f aca="false">IFERROR((T701)/((T701)+O701),0)</f>
        <v>0.00452488687782805</v>
      </c>
      <c r="AD701" s="96" t="n">
        <f aca="false">IFERROR(Q701/(Q701+N701),0)</f>
        <v>0</v>
      </c>
      <c r="AE701" s="91" t="n">
        <f aca="false">(N701-T701)/N701</f>
        <v>0.995475113122172</v>
      </c>
      <c r="AF701" s="97" t="n">
        <f aca="false">BR701</f>
        <v>0</v>
      </c>
      <c r="AG701" s="98" t="n">
        <f aca="false">K701-AF701</f>
        <v>2</v>
      </c>
      <c r="AH701" s="99" t="n">
        <f aca="false">IFERROR(AG701/K701," ")</f>
        <v>1</v>
      </c>
      <c r="AI701" s="100" t="n">
        <f aca="false">IFERROR(O701/K701,0)</f>
        <v>660</v>
      </c>
      <c r="AJ701" s="101" t="n">
        <f aca="false">VLOOKUP(D701,'Standard Cycle time'!C:D,2,0)</f>
        <v>6</v>
      </c>
      <c r="AK701" s="101" t="n">
        <f aca="false">AG701*V701*3600/O701</f>
        <v>5.45454545454545</v>
      </c>
      <c r="AL701" s="102" t="n">
        <f aca="false">AJ701/AK701</f>
        <v>1.1</v>
      </c>
      <c r="AM701" s="99" t="n">
        <f aca="false">AE701*AL701*AH701</f>
        <v>1.09502262443439</v>
      </c>
      <c r="AN701" s="103" t="n">
        <v>3773</v>
      </c>
      <c r="AO701" s="112"/>
      <c r="AP701" s="105" t="n">
        <v>0</v>
      </c>
      <c r="AQ701" s="105" t="n">
        <v>0</v>
      </c>
      <c r="AR701" s="105" t="n">
        <v>0</v>
      </c>
      <c r="AS701" s="105" t="n">
        <v>0</v>
      </c>
      <c r="AT701" s="105" t="n">
        <v>0</v>
      </c>
      <c r="AU701" s="105" t="n">
        <v>0</v>
      </c>
      <c r="AV701" s="105" t="n">
        <v>0</v>
      </c>
      <c r="AW701" s="105" t="n">
        <v>0</v>
      </c>
      <c r="AX701" s="105" t="n">
        <v>0</v>
      </c>
      <c r="AY701" s="105" t="n">
        <v>0</v>
      </c>
      <c r="AZ701" s="105" t="n">
        <v>0</v>
      </c>
      <c r="BA701" s="105" t="n">
        <v>0</v>
      </c>
      <c r="BB701" s="105" t="n">
        <v>0</v>
      </c>
      <c r="BC701" s="105" t="n">
        <v>0</v>
      </c>
      <c r="BD701" s="105" t="n">
        <v>0</v>
      </c>
      <c r="BE701" s="105" t="n">
        <v>0</v>
      </c>
      <c r="BF701" s="105" t="n">
        <v>0</v>
      </c>
      <c r="BG701" s="105" t="n">
        <v>0</v>
      </c>
      <c r="BH701" s="105" t="n">
        <v>0</v>
      </c>
      <c r="BI701" s="105" t="n">
        <v>0</v>
      </c>
      <c r="BJ701" s="105" t="n">
        <v>0</v>
      </c>
      <c r="BK701" s="105" t="n">
        <v>0</v>
      </c>
      <c r="BL701" s="105" t="n">
        <v>0</v>
      </c>
      <c r="BM701" s="105" t="n">
        <v>0</v>
      </c>
      <c r="BN701" s="105" t="n">
        <v>0</v>
      </c>
      <c r="BO701" s="105" t="n">
        <v>0</v>
      </c>
      <c r="BP701" s="105" t="n">
        <v>0</v>
      </c>
      <c r="BQ701" s="105" t="n">
        <v>0</v>
      </c>
      <c r="BR701" s="106" t="n">
        <v>0</v>
      </c>
      <c r="BS701" s="106" t="n">
        <v>0</v>
      </c>
      <c r="BT701" s="107"/>
      <c r="BU701" s="107"/>
      <c r="BV701" s="107"/>
      <c r="BW701" s="107"/>
      <c r="BX701" s="107"/>
      <c r="BY701" s="107"/>
      <c r="BZ701" s="107"/>
      <c r="CA701" s="107"/>
      <c r="CB701" s="107"/>
      <c r="CC701" s="107"/>
      <c r="CD701" s="107"/>
      <c r="CE701" s="107"/>
      <c r="CF701" s="107"/>
      <c r="CG701" s="107"/>
      <c r="CH701" s="107"/>
      <c r="CI701" s="107"/>
      <c r="CJ701" s="107"/>
      <c r="CK701" s="107"/>
      <c r="CL701" s="107"/>
      <c r="CM701" s="107"/>
      <c r="CN701" s="107"/>
      <c r="CO701" s="107"/>
      <c r="CP701" s="107"/>
      <c r="CQ701" s="107"/>
      <c r="CR701" s="107"/>
      <c r="CS701" s="107"/>
      <c r="CT701" s="107"/>
      <c r="CU701" s="107"/>
      <c r="CV701" s="107"/>
    </row>
    <row r="702" customFormat="false" ht="14.9" hidden="false" customHeight="false" outlineLevel="0" collapsed="false">
      <c r="A702" s="74" t="n">
        <f aca="false">MONTH(B702)</f>
        <v>9</v>
      </c>
      <c r="B702" s="135" t="n">
        <v>44466</v>
      </c>
      <c r="C702" s="128" t="s">
        <v>51</v>
      </c>
      <c r="D702" s="77" t="str">
        <f aca="false">IFERROR(VLOOKUP(E:E,'Item Data Support Sheet'!A:O,7,0),"")</f>
        <v>NIPPLE PUNCH</v>
      </c>
      <c r="E702" s="80" t="s">
        <v>53</v>
      </c>
      <c r="F702" s="122"/>
      <c r="G702" s="137"/>
      <c r="H702" s="79" t="str">
        <f aca="false">IFERROR(VLOOKUP(E:E,'Item Data Support Sheet'!A:O,2,0),"")</f>
        <v>NIPPLE S TYPE S SIZE PUNCHED</v>
      </c>
      <c r="I702" s="80" t="s">
        <v>1378</v>
      </c>
      <c r="J702" s="80" t="s">
        <v>155</v>
      </c>
      <c r="K702" s="81" t="n">
        <v>8</v>
      </c>
      <c r="L702" s="124" t="n">
        <v>7000</v>
      </c>
      <c r="M702" s="83" t="n">
        <f aca="false">IFERROR(L702/K702,0)</f>
        <v>875</v>
      </c>
      <c r="N702" s="84" t="n">
        <f aca="false">+O702+Q702+T702+U702</f>
        <v>6400</v>
      </c>
      <c r="O702" s="85" t="n">
        <v>6400</v>
      </c>
      <c r="P702" s="86" t="n">
        <v>0</v>
      </c>
      <c r="Q702" s="86" t="n">
        <v>0</v>
      </c>
      <c r="R702" s="132" t="n">
        <v>0</v>
      </c>
      <c r="S702" s="128" t="n">
        <v>0</v>
      </c>
      <c r="T702" s="132" t="n">
        <v>0</v>
      </c>
      <c r="U702" s="128" t="n">
        <v>0</v>
      </c>
      <c r="V702" s="128" t="n">
        <v>1</v>
      </c>
      <c r="W702" s="90" t="n">
        <f aca="false">IFERROR(O702/V702,0)</f>
        <v>6400</v>
      </c>
      <c r="X702" s="91" t="n">
        <f aca="false">O702/L702</f>
        <v>0.914285714285714</v>
      </c>
      <c r="Y702" s="92" t="str">
        <f aca="false">IFERROR(VLOOKUP(E:E,'Item Data Support Sheet'!A:J,6,0),0)</f>
        <v>FO015</v>
      </c>
      <c r="Z702" s="93" t="n">
        <f aca="false">IFERROR(VLOOKUP(E:E,'Item Data Support Sheet'!A:O,4,0),0)</f>
        <v>0</v>
      </c>
      <c r="AA702" s="93" t="n">
        <f aca="false">IFERROR(((N702)*(Z702/1000))+P702,0)</f>
        <v>0</v>
      </c>
      <c r="AB702" s="94" t="str">
        <f aca="false">IFERROR((O702*(Z702/1000)/(AA702))," ")</f>
        <v> </v>
      </c>
      <c r="AC702" s="95" t="n">
        <f aca="false">IFERROR((T702)/((T702)+O702),0)</f>
        <v>0</v>
      </c>
      <c r="AD702" s="96" t="n">
        <f aca="false">IFERROR(Q702/(Q702+N702),0)</f>
        <v>0</v>
      </c>
      <c r="AE702" s="91" t="n">
        <f aca="false">(N702-T702)/N702</f>
        <v>1</v>
      </c>
      <c r="AF702" s="97" t="n">
        <f aca="false">BR702</f>
        <v>0.666666666666667</v>
      </c>
      <c r="AG702" s="98" t="n">
        <f aca="false">K702-AF702</f>
        <v>7.33333333333333</v>
      </c>
      <c r="AH702" s="99" t="n">
        <f aca="false">IFERROR(AG702/K702," ")</f>
        <v>0.916666666666667</v>
      </c>
      <c r="AI702" s="100" t="n">
        <f aca="false">IFERROR(O702/K702,0)</f>
        <v>800</v>
      </c>
      <c r="AJ702" s="101" t="n">
        <f aca="false">VLOOKUP(D702,'Standard Cycle time'!C:D,2,0)</f>
        <v>3.5</v>
      </c>
      <c r="AK702" s="101" t="n">
        <f aca="false">AG702*V702*3600/O702</f>
        <v>4.125</v>
      </c>
      <c r="AL702" s="102" t="n">
        <f aca="false">AJ702/AK702</f>
        <v>0.848484848484848</v>
      </c>
      <c r="AM702" s="99" t="n">
        <f aca="false">AE702*AL702*AH702</f>
        <v>0.777777777777778</v>
      </c>
      <c r="AN702" s="103" t="s">
        <v>1379</v>
      </c>
      <c r="AO702" s="112" t="s">
        <v>1380</v>
      </c>
      <c r="AP702" s="105" t="n">
        <v>40</v>
      </c>
      <c r="AQ702" s="105" t="n">
        <v>0</v>
      </c>
      <c r="AR702" s="105" t="n">
        <v>0</v>
      </c>
      <c r="AS702" s="105" t="n">
        <v>0</v>
      </c>
      <c r="AT702" s="105" t="n">
        <v>0</v>
      </c>
      <c r="AU702" s="105" t="n">
        <v>0</v>
      </c>
      <c r="AV702" s="105" t="n">
        <v>0</v>
      </c>
      <c r="AW702" s="105" t="n">
        <v>0</v>
      </c>
      <c r="AX702" s="105" t="n">
        <v>0</v>
      </c>
      <c r="AY702" s="105" t="n">
        <v>0</v>
      </c>
      <c r="AZ702" s="105" t="n">
        <v>0</v>
      </c>
      <c r="BA702" s="105" t="n">
        <v>0</v>
      </c>
      <c r="BB702" s="105" t="n">
        <v>0</v>
      </c>
      <c r="BC702" s="105" t="n">
        <v>0</v>
      </c>
      <c r="BD702" s="105" t="n">
        <v>0</v>
      </c>
      <c r="BE702" s="105" t="n">
        <v>0</v>
      </c>
      <c r="BF702" s="105" t="n">
        <v>0</v>
      </c>
      <c r="BG702" s="105" t="n">
        <v>0</v>
      </c>
      <c r="BH702" s="105" t="n">
        <v>0</v>
      </c>
      <c r="BI702" s="105" t="n">
        <v>0</v>
      </c>
      <c r="BJ702" s="105" t="n">
        <v>0</v>
      </c>
      <c r="BK702" s="105" t="n">
        <v>0</v>
      </c>
      <c r="BL702" s="105" t="n">
        <v>0</v>
      </c>
      <c r="BM702" s="105" t="n">
        <v>0</v>
      </c>
      <c r="BN702" s="105" t="n">
        <v>0</v>
      </c>
      <c r="BO702" s="105" t="n">
        <v>0</v>
      </c>
      <c r="BP702" s="105" t="n">
        <v>0</v>
      </c>
      <c r="BQ702" s="105" t="n">
        <v>0</v>
      </c>
      <c r="BR702" s="106" t="n">
        <v>0.666666666666667</v>
      </c>
      <c r="BS702" s="106" t="n">
        <v>0.677777777777778</v>
      </c>
      <c r="BT702" s="107"/>
      <c r="BU702" s="107"/>
      <c r="BV702" s="107"/>
      <c r="BW702" s="107"/>
      <c r="BX702" s="107"/>
      <c r="BY702" s="107"/>
      <c r="BZ702" s="107"/>
      <c r="CA702" s="107"/>
      <c r="CB702" s="107"/>
      <c r="CC702" s="107"/>
      <c r="CD702" s="107"/>
      <c r="CE702" s="107"/>
      <c r="CF702" s="107"/>
      <c r="CG702" s="107"/>
      <c r="CH702" s="107"/>
      <c r="CI702" s="107"/>
      <c r="CJ702" s="107"/>
      <c r="CK702" s="107"/>
      <c r="CL702" s="107"/>
      <c r="CM702" s="107"/>
      <c r="CN702" s="107"/>
      <c r="CO702" s="107"/>
      <c r="CP702" s="107"/>
      <c r="CQ702" s="107"/>
      <c r="CR702" s="107"/>
      <c r="CS702" s="107"/>
      <c r="CT702" s="107"/>
      <c r="CU702" s="107"/>
      <c r="CV702" s="107"/>
    </row>
    <row r="703" customFormat="false" ht="14.9" hidden="false" customHeight="false" outlineLevel="0" collapsed="false">
      <c r="A703" s="74" t="n">
        <f aca="false">MONTH(B703)</f>
        <v>9</v>
      </c>
      <c r="B703" s="135" t="n">
        <v>44466</v>
      </c>
      <c r="C703" s="128" t="s">
        <v>51</v>
      </c>
      <c r="D703" s="77" t="str">
        <f aca="false">IFERROR(VLOOKUP(E:E,'Item Data Support Sheet'!A:O,7,0),"")</f>
        <v>NIPPLE LASER MARKING</v>
      </c>
      <c r="E703" s="80" t="s">
        <v>444</v>
      </c>
      <c r="F703" s="122"/>
      <c r="G703" s="137"/>
      <c r="H703" s="79" t="str">
        <f aca="false">IFERROR(VLOOKUP(E:E,'Item Data Support Sheet'!A:O,2,0),"")</f>
        <v>NIPPLE S TYPE S SIZE PUNCHED LASER MARKED</v>
      </c>
      <c r="I703" s="80" t="s">
        <v>1381</v>
      </c>
      <c r="J703" s="80" t="s">
        <v>155</v>
      </c>
      <c r="K703" s="81" t="n">
        <v>8</v>
      </c>
      <c r="L703" s="124" t="n">
        <v>7000</v>
      </c>
      <c r="M703" s="83" t="n">
        <f aca="false">IFERROR(L703/K703,0)</f>
        <v>875</v>
      </c>
      <c r="N703" s="84" t="n">
        <f aca="false">+O703+Q703+T703+U703</f>
        <v>6350</v>
      </c>
      <c r="O703" s="85" t="n">
        <v>6350</v>
      </c>
      <c r="P703" s="86" t="n">
        <v>0</v>
      </c>
      <c r="Q703" s="86" t="n">
        <v>0</v>
      </c>
      <c r="R703" s="132" t="n">
        <v>0</v>
      </c>
      <c r="S703" s="128" t="n">
        <v>0</v>
      </c>
      <c r="T703" s="132" t="n">
        <v>0</v>
      </c>
      <c r="U703" s="128" t="n">
        <v>0</v>
      </c>
      <c r="V703" s="128" t="n">
        <v>1</v>
      </c>
      <c r="W703" s="90" t="n">
        <f aca="false">IFERROR(O703/V703,0)</f>
        <v>6350</v>
      </c>
      <c r="X703" s="91" t="n">
        <f aca="false">O703/L703</f>
        <v>0.907142857142857</v>
      </c>
      <c r="Y703" s="92" t="str">
        <f aca="false">IFERROR(VLOOKUP(E:E,'Item Data Support Sheet'!A:J,6,0),0)</f>
        <v>FO019</v>
      </c>
      <c r="Z703" s="93" t="n">
        <f aca="false">IFERROR(VLOOKUP(E:E,'Item Data Support Sheet'!A:O,4,0),0)</f>
        <v>0</v>
      </c>
      <c r="AA703" s="93" t="n">
        <f aca="false">IFERROR(((N703)*(Z703/1000))+P703,0)</f>
        <v>0</v>
      </c>
      <c r="AB703" s="94" t="str">
        <f aca="false">IFERROR((O703*(Z703/1000)/(AA703))," ")</f>
        <v> </v>
      </c>
      <c r="AC703" s="95" t="n">
        <f aca="false">IFERROR((T703)/((T703)+O703),0)</f>
        <v>0</v>
      </c>
      <c r="AD703" s="96" t="n">
        <f aca="false">IFERROR(Q703/(Q703+N703),0)</f>
        <v>0</v>
      </c>
      <c r="AE703" s="91" t="n">
        <f aca="false">(N703-T703)/N703</f>
        <v>1</v>
      </c>
      <c r="AF703" s="97" t="n">
        <f aca="false">BR703</f>
        <v>0.666666666666667</v>
      </c>
      <c r="AG703" s="98" t="n">
        <f aca="false">K703-AF703</f>
        <v>7.33333333333333</v>
      </c>
      <c r="AH703" s="99" t="n">
        <f aca="false">IFERROR(AG703/K703," ")</f>
        <v>0.916666666666667</v>
      </c>
      <c r="AI703" s="100" t="n">
        <f aca="false">IFERROR(O703/K703,0)</f>
        <v>793.75</v>
      </c>
      <c r="AJ703" s="101" t="n">
        <f aca="false">VLOOKUP(D703,'Standard Cycle time'!C:D,2,0)</f>
        <v>3.5</v>
      </c>
      <c r="AK703" s="101" t="n">
        <f aca="false">AG703*V703*3600/O703</f>
        <v>4.15748031496063</v>
      </c>
      <c r="AL703" s="102" t="n">
        <f aca="false">AJ703/AK703</f>
        <v>0.841856060606061</v>
      </c>
      <c r="AM703" s="99" t="n">
        <f aca="false">AE703*AL703*AH703</f>
        <v>0.771701388888889</v>
      </c>
      <c r="AN703" s="103" t="s">
        <v>1382</v>
      </c>
      <c r="AO703" s="112" t="s">
        <v>1380</v>
      </c>
      <c r="AP703" s="105" t="n">
        <v>40</v>
      </c>
      <c r="AQ703" s="105" t="n">
        <v>0</v>
      </c>
      <c r="AR703" s="105" t="n">
        <v>0</v>
      </c>
      <c r="AS703" s="105" t="n">
        <v>0</v>
      </c>
      <c r="AT703" s="105" t="n">
        <v>0</v>
      </c>
      <c r="AU703" s="105" t="n">
        <v>0</v>
      </c>
      <c r="AV703" s="105" t="n">
        <v>0</v>
      </c>
      <c r="AW703" s="105" t="n">
        <v>0</v>
      </c>
      <c r="AX703" s="105" t="n">
        <v>0</v>
      </c>
      <c r="AY703" s="105" t="n">
        <v>0</v>
      </c>
      <c r="AZ703" s="105" t="n">
        <v>0</v>
      </c>
      <c r="BA703" s="105" t="n">
        <v>0</v>
      </c>
      <c r="BB703" s="105" t="n">
        <v>0</v>
      </c>
      <c r="BC703" s="105" t="n">
        <v>0</v>
      </c>
      <c r="BD703" s="105" t="n">
        <v>0</v>
      </c>
      <c r="BE703" s="105" t="n">
        <v>0</v>
      </c>
      <c r="BF703" s="105" t="n">
        <v>0</v>
      </c>
      <c r="BG703" s="105" t="n">
        <v>0</v>
      </c>
      <c r="BH703" s="105" t="n">
        <v>0</v>
      </c>
      <c r="BI703" s="105" t="n">
        <v>0</v>
      </c>
      <c r="BJ703" s="105" t="n">
        <v>0</v>
      </c>
      <c r="BK703" s="105" t="n">
        <v>0</v>
      </c>
      <c r="BL703" s="105" t="n">
        <v>0</v>
      </c>
      <c r="BM703" s="105" t="n">
        <v>0</v>
      </c>
      <c r="BN703" s="105" t="n">
        <v>0</v>
      </c>
      <c r="BO703" s="105" t="n">
        <v>0</v>
      </c>
      <c r="BP703" s="105" t="n">
        <v>0</v>
      </c>
      <c r="BQ703" s="105" t="n">
        <v>0</v>
      </c>
      <c r="BR703" s="106" t="n">
        <v>0.666666666666667</v>
      </c>
      <c r="BS703" s="106" t="n">
        <v>0.677777777777778</v>
      </c>
      <c r="BT703" s="107"/>
      <c r="BU703" s="107"/>
      <c r="BV703" s="107"/>
      <c r="BW703" s="107"/>
      <c r="BX703" s="107"/>
      <c r="BY703" s="107"/>
      <c r="BZ703" s="107"/>
      <c r="CA703" s="107"/>
      <c r="CB703" s="107"/>
      <c r="CC703" s="107"/>
      <c r="CD703" s="107"/>
      <c r="CE703" s="107"/>
      <c r="CF703" s="107"/>
      <c r="CG703" s="107"/>
      <c r="CH703" s="107"/>
      <c r="CI703" s="107"/>
      <c r="CJ703" s="107"/>
      <c r="CK703" s="107"/>
      <c r="CL703" s="107"/>
      <c r="CM703" s="107"/>
      <c r="CN703" s="107"/>
      <c r="CO703" s="107"/>
      <c r="CP703" s="107"/>
      <c r="CQ703" s="107"/>
      <c r="CR703" s="107"/>
      <c r="CS703" s="107"/>
      <c r="CT703" s="107"/>
      <c r="CU703" s="107"/>
      <c r="CV703" s="107"/>
    </row>
    <row r="704" customFormat="false" ht="14.9" hidden="false" customHeight="false" outlineLevel="0" collapsed="false">
      <c r="A704" s="74" t="n">
        <f aca="false">MONTH(B704)</f>
        <v>9</v>
      </c>
      <c r="B704" s="135" t="n">
        <v>44466</v>
      </c>
      <c r="C704" s="128" t="s">
        <v>51</v>
      </c>
      <c r="D704" s="77" t="str">
        <f aca="false">IFERROR(VLOOKUP(E:E,'Item Data Support Sheet'!A:O,7,0),"")</f>
        <v>BOTTLE MOLDED</v>
      </c>
      <c r="E704" s="80" t="s">
        <v>572</v>
      </c>
      <c r="F704" s="122"/>
      <c r="G704" s="137" t="s">
        <v>80</v>
      </c>
      <c r="H704" s="79" t="str">
        <f aca="false">IFERROR(VLOOKUP(E:E,'Item Data Support Sheet'!A:O,2,0),"")</f>
        <v>RPP 240 ML BOTTLE MOLDED</v>
      </c>
      <c r="I704" s="80" t="s">
        <v>1383</v>
      </c>
      <c r="J704" s="80" t="s">
        <v>155</v>
      </c>
      <c r="K704" s="81" t="n">
        <v>8</v>
      </c>
      <c r="L704" s="124" t="n">
        <v>1930</v>
      </c>
      <c r="M704" s="83" t="n">
        <f aca="false">IFERROR(L704/K704,0)</f>
        <v>241.25</v>
      </c>
      <c r="N704" s="84" t="n">
        <f aca="false">+O704+Q704+T704+U704</f>
        <v>1734</v>
      </c>
      <c r="O704" s="85" t="n">
        <v>1560</v>
      </c>
      <c r="P704" s="86" t="n">
        <v>0</v>
      </c>
      <c r="Q704" s="86" t="n">
        <v>92</v>
      </c>
      <c r="R704" s="132" t="n">
        <v>0</v>
      </c>
      <c r="S704" s="128" t="n">
        <v>0</v>
      </c>
      <c r="T704" s="132" t="n">
        <v>74</v>
      </c>
      <c r="U704" s="128" t="n">
        <v>8</v>
      </c>
      <c r="V704" s="128" t="n">
        <v>1</v>
      </c>
      <c r="W704" s="90" t="n">
        <f aca="false">IFERROR(O704/V704,0)</f>
        <v>1560</v>
      </c>
      <c r="X704" s="91" t="n">
        <f aca="false">O704/L704</f>
        <v>0.808290155440414</v>
      </c>
      <c r="Y704" s="92" t="str">
        <f aca="false">IFERROR(VLOOKUP(E:E,'Item Data Support Sheet'!A:J,6,0),0)</f>
        <v>HMC</v>
      </c>
      <c r="Z704" s="93" t="n">
        <f aca="false">IFERROR(VLOOKUP(E:E,'Item Data Support Sheet'!A:O,4,0),0)</f>
        <v>32.1</v>
      </c>
      <c r="AA704" s="93" t="n">
        <f aca="false">IFERROR(((N704)*(Z704/1000))+P704,0)</f>
        <v>55.6614</v>
      </c>
      <c r="AB704" s="94" t="n">
        <f aca="false">IFERROR((O704*(Z704/1000)/(AA704))," ")</f>
        <v>0.899653979238754</v>
      </c>
      <c r="AC704" s="95" t="n">
        <f aca="false">IFERROR((T704)/((T704)+O704),0)</f>
        <v>0.0452876376988984</v>
      </c>
      <c r="AD704" s="96" t="n">
        <f aca="false">IFERROR(Q704/(Q704+N704),0)</f>
        <v>0.0503833515881709</v>
      </c>
      <c r="AE704" s="91" t="n">
        <f aca="false">(N704-T704)/N704</f>
        <v>0.957324106113033</v>
      </c>
      <c r="AF704" s="97" t="n">
        <f aca="false">BR704</f>
        <v>3.5</v>
      </c>
      <c r="AG704" s="98" t="n">
        <f aca="false">K704-AF704</f>
        <v>4.5</v>
      </c>
      <c r="AH704" s="99" t="n">
        <f aca="false">IFERROR(AG704/K704," ")</f>
        <v>0.5625</v>
      </c>
      <c r="AI704" s="100" t="n">
        <f aca="false">IFERROR(O704/K704,0)</f>
        <v>195</v>
      </c>
      <c r="AJ704" s="101" t="n">
        <f aca="false">VLOOKUP(D704,'Standard Cycle time'!C:D,2,0)</f>
        <v>9</v>
      </c>
      <c r="AK704" s="101" t="n">
        <f aca="false">AG704*V704*3600/O704</f>
        <v>10.3846153846154</v>
      </c>
      <c r="AL704" s="102" t="n">
        <f aca="false">AJ704/AK704</f>
        <v>0.866666666666667</v>
      </c>
      <c r="AM704" s="99" t="n">
        <f aca="false">AE704*AL704*AH704</f>
        <v>0.466695501730104</v>
      </c>
      <c r="AN704" s="103" t="n">
        <v>3692</v>
      </c>
      <c r="AO704" s="112" t="s">
        <v>1384</v>
      </c>
      <c r="AP704" s="105" t="n">
        <v>0</v>
      </c>
      <c r="AQ704" s="105" t="n">
        <v>0</v>
      </c>
      <c r="AR704" s="105" t="n">
        <v>120</v>
      </c>
      <c r="AS704" s="105" t="n">
        <v>0</v>
      </c>
      <c r="AT704" s="105" t="n">
        <v>0</v>
      </c>
      <c r="AU704" s="105" t="n">
        <v>0</v>
      </c>
      <c r="AV704" s="105" t="n">
        <v>60</v>
      </c>
      <c r="AW704" s="105" t="n">
        <v>30</v>
      </c>
      <c r="AX704" s="105" t="n">
        <v>0</v>
      </c>
      <c r="AY704" s="105" t="n">
        <v>0</v>
      </c>
      <c r="AZ704" s="105" t="n">
        <v>0</v>
      </c>
      <c r="BA704" s="105" t="n">
        <v>0</v>
      </c>
      <c r="BB704" s="105" t="n">
        <v>0</v>
      </c>
      <c r="BC704" s="105" t="n">
        <v>0</v>
      </c>
      <c r="BD704" s="105" t="n">
        <v>0</v>
      </c>
      <c r="BE704" s="105" t="n">
        <v>0</v>
      </c>
      <c r="BF704" s="105" t="n">
        <v>0</v>
      </c>
      <c r="BG704" s="105" t="n">
        <v>0</v>
      </c>
      <c r="BH704" s="105" t="n">
        <v>0</v>
      </c>
      <c r="BI704" s="105" t="n">
        <v>0</v>
      </c>
      <c r="BJ704" s="105" t="n">
        <v>0</v>
      </c>
      <c r="BK704" s="105" t="n">
        <v>0</v>
      </c>
      <c r="BL704" s="105" t="n">
        <v>0</v>
      </c>
      <c r="BM704" s="105" t="n">
        <v>0</v>
      </c>
      <c r="BN704" s="105" t="n">
        <v>0</v>
      </c>
      <c r="BO704" s="105" t="n">
        <v>0</v>
      </c>
      <c r="BP704" s="105" t="n">
        <v>0</v>
      </c>
      <c r="BQ704" s="105" t="n">
        <v>0</v>
      </c>
      <c r="BR704" s="106" t="n">
        <v>3.5</v>
      </c>
      <c r="BS704" s="106" t="n">
        <v>3.55833333333333</v>
      </c>
      <c r="BT704" s="107"/>
      <c r="BU704" s="107"/>
      <c r="BV704" s="107"/>
      <c r="BW704" s="107"/>
      <c r="BX704" s="107"/>
      <c r="BY704" s="107"/>
      <c r="BZ704" s="107"/>
      <c r="CA704" s="107"/>
      <c r="CB704" s="107"/>
      <c r="CC704" s="107"/>
      <c r="CD704" s="107"/>
      <c r="CE704" s="107"/>
      <c r="CF704" s="107"/>
      <c r="CG704" s="107"/>
      <c r="CH704" s="107"/>
      <c r="CI704" s="107"/>
      <c r="CJ704" s="107"/>
      <c r="CK704" s="107"/>
      <c r="CL704" s="107"/>
      <c r="CM704" s="107"/>
      <c r="CN704" s="107"/>
      <c r="CO704" s="107"/>
      <c r="CP704" s="107"/>
      <c r="CQ704" s="107"/>
      <c r="CR704" s="107"/>
      <c r="CS704" s="107"/>
      <c r="CT704" s="107"/>
      <c r="CU704" s="107"/>
      <c r="CV704" s="107"/>
    </row>
    <row r="705" customFormat="false" ht="14.9" hidden="false" customHeight="false" outlineLevel="0" collapsed="false">
      <c r="A705" s="74" t="n">
        <f aca="false">MONTH(B705)</f>
        <v>9</v>
      </c>
      <c r="B705" s="135" t="n">
        <v>44466</v>
      </c>
      <c r="C705" s="128" t="s">
        <v>51</v>
      </c>
      <c r="D705" s="77" t="str">
        <f aca="false">IFERROR(VLOOKUP(E:E,'Item Data Support Sheet'!A:O,7,0),"")</f>
        <v>CAP MOLDED</v>
      </c>
      <c r="E705" s="80" t="s">
        <v>343</v>
      </c>
      <c r="F705" s="122"/>
      <c r="G705" s="137" t="s">
        <v>1215</v>
      </c>
      <c r="H705" s="79" t="str">
        <f aca="false">IFERROR(VLOOKUP(E:E,'Item Data Support Sheet'!A:O,2,0),"")</f>
        <v>CAP S TYPE MOLDED BLUE</v>
      </c>
      <c r="I705" s="80" t="s">
        <v>1385</v>
      </c>
      <c r="J705" s="80" t="s">
        <v>155</v>
      </c>
      <c r="K705" s="81" t="n">
        <v>8</v>
      </c>
      <c r="L705" s="124" t="n">
        <v>4137</v>
      </c>
      <c r="M705" s="83" t="n">
        <f aca="false">IFERROR(L705/K705,0)</f>
        <v>517.125</v>
      </c>
      <c r="N705" s="84" t="n">
        <f aca="false">+O705+Q705+T705+U705</f>
        <v>2828</v>
      </c>
      <c r="O705" s="85" t="n">
        <v>2825</v>
      </c>
      <c r="P705" s="86" t="s">
        <v>1386</v>
      </c>
      <c r="Q705" s="86" t="n">
        <v>0</v>
      </c>
      <c r="R705" s="132" t="n">
        <v>0</v>
      </c>
      <c r="S705" s="128" t="n">
        <v>0</v>
      </c>
      <c r="T705" s="132" t="n">
        <v>3</v>
      </c>
      <c r="U705" s="128" t="n">
        <v>0</v>
      </c>
      <c r="V705" s="128" t="n">
        <v>1</v>
      </c>
      <c r="W705" s="90" t="n">
        <f aca="false">IFERROR(O705/V705,0)</f>
        <v>2825</v>
      </c>
      <c r="X705" s="91" t="n">
        <f aca="false">O705/L705</f>
        <v>0.682861977278221</v>
      </c>
      <c r="Y705" s="92" t="str">
        <f aca="false">IFERROR(VLOOKUP(E:E,'Item Data Support Sheet'!A:J,6,0),0)</f>
        <v>RM000114</v>
      </c>
      <c r="Z705" s="93" t="n">
        <f aca="false">IFERROR(VLOOKUP(E:E,'Item Data Support Sheet'!A:O,4,0),0)</f>
        <v>7.3</v>
      </c>
      <c r="AA705" s="93" t="n">
        <f aca="false">IFERROR(((N705)*(Z705/1000))+P705,0)</f>
        <v>0</v>
      </c>
      <c r="AB705" s="94" t="str">
        <f aca="false">IFERROR((O705*(Z705/1000)/(AA705))," ")</f>
        <v> </v>
      </c>
      <c r="AC705" s="95" t="n">
        <f aca="false">IFERROR((T705)/((T705)+O705),0)</f>
        <v>0.00106082036775106</v>
      </c>
      <c r="AD705" s="96" t="n">
        <f aca="false">IFERROR(Q705/(Q705+N705),0)</f>
        <v>0</v>
      </c>
      <c r="AE705" s="91" t="n">
        <f aca="false">(N705-T705)/N705</f>
        <v>0.998939179632249</v>
      </c>
      <c r="AF705" s="97" t="n">
        <f aca="false">BR705</f>
        <v>3</v>
      </c>
      <c r="AG705" s="98" t="n">
        <f aca="false">K705-AF705</f>
        <v>5</v>
      </c>
      <c r="AH705" s="99" t="n">
        <f aca="false">IFERROR(AG705/K705," ")</f>
        <v>0.625</v>
      </c>
      <c r="AI705" s="100" t="n">
        <f aca="false">IFERROR(O705/K705,0)</f>
        <v>353.125</v>
      </c>
      <c r="AJ705" s="101" t="n">
        <f aca="false">VLOOKUP(D705,'Standard Cycle time'!C:D,2,0)</f>
        <v>6</v>
      </c>
      <c r="AK705" s="101" t="n">
        <f aca="false">AG705*V705*3600/O705</f>
        <v>6.3716814159292</v>
      </c>
      <c r="AL705" s="102" t="n">
        <f aca="false">AJ705/AK705</f>
        <v>0.941666666666667</v>
      </c>
      <c r="AM705" s="99" t="n">
        <f aca="false">AE705*AL705*AH705</f>
        <v>0.587917329679396</v>
      </c>
      <c r="AN705" s="103" t="n">
        <v>3636</v>
      </c>
      <c r="AO705" s="112" t="s">
        <v>1387</v>
      </c>
      <c r="AP705" s="105" t="n">
        <v>0</v>
      </c>
      <c r="AQ705" s="105" t="n">
        <v>0</v>
      </c>
      <c r="AR705" s="105" t="n">
        <v>0</v>
      </c>
      <c r="AS705" s="105" t="n">
        <v>0</v>
      </c>
      <c r="AT705" s="105" t="n">
        <v>0</v>
      </c>
      <c r="AU705" s="105" t="n">
        <v>0</v>
      </c>
      <c r="AV705" s="105" t="n">
        <v>60</v>
      </c>
      <c r="AW705" s="105" t="n">
        <v>120</v>
      </c>
      <c r="AX705" s="105" t="n">
        <v>0</v>
      </c>
      <c r="AY705" s="105" t="n">
        <v>0</v>
      </c>
      <c r="AZ705" s="105" t="n">
        <v>0</v>
      </c>
      <c r="BA705" s="105" t="n">
        <v>0</v>
      </c>
      <c r="BB705" s="105" t="n">
        <v>0</v>
      </c>
      <c r="BC705" s="105" t="n">
        <v>0</v>
      </c>
      <c r="BD705" s="105" t="n">
        <v>0</v>
      </c>
      <c r="BE705" s="105" t="n">
        <v>0</v>
      </c>
      <c r="BF705" s="105" t="n">
        <v>0</v>
      </c>
      <c r="BG705" s="105" t="n">
        <v>0</v>
      </c>
      <c r="BH705" s="105" t="n">
        <v>0</v>
      </c>
      <c r="BI705" s="105" t="n">
        <v>0</v>
      </c>
      <c r="BJ705" s="105" t="n">
        <v>0</v>
      </c>
      <c r="BK705" s="105" t="n">
        <v>0</v>
      </c>
      <c r="BL705" s="105" t="n">
        <v>0</v>
      </c>
      <c r="BM705" s="105" t="n">
        <v>0</v>
      </c>
      <c r="BN705" s="105" t="n">
        <v>0</v>
      </c>
      <c r="BO705" s="105" t="n">
        <v>0</v>
      </c>
      <c r="BP705" s="105" t="n">
        <v>0</v>
      </c>
      <c r="BQ705" s="105" t="n">
        <v>0</v>
      </c>
      <c r="BR705" s="106" t="n">
        <v>3</v>
      </c>
      <c r="BS705" s="106" t="n">
        <v>3.05</v>
      </c>
      <c r="BT705" s="107"/>
      <c r="BU705" s="107"/>
      <c r="BV705" s="107"/>
      <c r="BW705" s="107"/>
      <c r="BX705" s="107"/>
      <c r="BY705" s="107"/>
      <c r="BZ705" s="107"/>
      <c r="CA705" s="107"/>
      <c r="CB705" s="107"/>
      <c r="CC705" s="107"/>
      <c r="CD705" s="107"/>
      <c r="CE705" s="107"/>
      <c r="CF705" s="107"/>
      <c r="CG705" s="107"/>
      <c r="CH705" s="107"/>
      <c r="CI705" s="107"/>
      <c r="CJ705" s="107"/>
      <c r="CK705" s="107"/>
      <c r="CL705" s="107"/>
      <c r="CM705" s="107"/>
      <c r="CN705" s="107"/>
      <c r="CO705" s="107"/>
      <c r="CP705" s="107"/>
      <c r="CQ705" s="107"/>
      <c r="CR705" s="107"/>
      <c r="CS705" s="107"/>
      <c r="CT705" s="107"/>
      <c r="CU705" s="107"/>
      <c r="CV705" s="107"/>
    </row>
    <row r="706" customFormat="false" ht="14.9" hidden="false" customHeight="false" outlineLevel="0" collapsed="false">
      <c r="A706" s="74" t="n">
        <f aca="false">MONTH(B706)</f>
        <v>9</v>
      </c>
      <c r="B706" s="135" t="n">
        <v>44466</v>
      </c>
      <c r="C706" s="128" t="s">
        <v>51</v>
      </c>
      <c r="D706" s="77" t="str">
        <f aca="false">IFERROR(VLOOKUP(E:E,'Item Data Support Sheet'!A:O,7,0),"")</f>
        <v>NIPPLE MOLDED</v>
      </c>
      <c r="E706" s="80" t="s">
        <v>492</v>
      </c>
      <c r="F706" s="122" t="s">
        <v>137</v>
      </c>
      <c r="G706" s="137" t="s">
        <v>138</v>
      </c>
      <c r="H706" s="79" t="str">
        <f aca="false">IFERROR(VLOOKUP(E:E,'Item Data Support Sheet'!A:O,2,0),"")</f>
        <v>NIPPLE S TYPE LL SIZE INJECTION</v>
      </c>
      <c r="I706" s="80" t="s">
        <v>1388</v>
      </c>
      <c r="J706" s="80" t="s">
        <v>155</v>
      </c>
      <c r="K706" s="81" t="n">
        <v>8</v>
      </c>
      <c r="L706" s="124" t="n">
        <v>3611</v>
      </c>
      <c r="M706" s="83" t="n">
        <f aca="false">IFERROR(L706/K706,0)</f>
        <v>451.375</v>
      </c>
      <c r="N706" s="84" t="n">
        <f aca="false">+O706+Q706+T706+U706</f>
        <v>4329</v>
      </c>
      <c r="O706" s="85" t="n">
        <v>4000</v>
      </c>
      <c r="P706" s="86" t="n">
        <v>0</v>
      </c>
      <c r="Q706" s="86" t="n">
        <v>171</v>
      </c>
      <c r="R706" s="132" t="n">
        <v>0</v>
      </c>
      <c r="S706" s="128" t="n">
        <v>0</v>
      </c>
      <c r="T706" s="132" t="n">
        <v>150</v>
      </c>
      <c r="U706" s="128" t="n">
        <v>8</v>
      </c>
      <c r="V706" s="128" t="n">
        <v>1</v>
      </c>
      <c r="W706" s="90" t="n">
        <f aca="false">IFERROR(O706/V706,0)</f>
        <v>4000</v>
      </c>
      <c r="X706" s="91" t="n">
        <f aca="false">O706/L706</f>
        <v>1.10772639158128</v>
      </c>
      <c r="Y706" s="92" t="str">
        <f aca="false">IFERROR(VLOOKUP(E:E,'Item Data Support Sheet'!A:J,6,0),0)</f>
        <v>FO148</v>
      </c>
      <c r="Z706" s="93" t="n">
        <f aca="false">IFERROR(VLOOKUP(E:E,'Item Data Support Sheet'!A:O,4,0),0)</f>
        <v>6.8</v>
      </c>
      <c r="AA706" s="93" t="n">
        <f aca="false">IFERROR(((N706)*(Z706/1000))+P706,0)</f>
        <v>29.4372</v>
      </c>
      <c r="AB706" s="94" t="n">
        <f aca="false">IFERROR((O706*(Z706/1000)/(AA706))," ")</f>
        <v>0.924000924000924</v>
      </c>
      <c r="AC706" s="95" t="n">
        <f aca="false">IFERROR((T706)/((T706)+O706),0)</f>
        <v>0.036144578313253</v>
      </c>
      <c r="AD706" s="96" t="n">
        <f aca="false">IFERROR(Q706/(Q706+N706),0)</f>
        <v>0.038</v>
      </c>
      <c r="AE706" s="91" t="n">
        <f aca="false">(N706-T706)/N706</f>
        <v>0.965349965349965</v>
      </c>
      <c r="AF706" s="97" t="n">
        <f aca="false">BR706</f>
        <v>1.5</v>
      </c>
      <c r="AG706" s="98" t="n">
        <f aca="false">K706-AF706</f>
        <v>6.5</v>
      </c>
      <c r="AH706" s="99" t="n">
        <f aca="false">IFERROR(AG706/K706," ")</f>
        <v>0.8125</v>
      </c>
      <c r="AI706" s="100" t="n">
        <f aca="false">IFERROR(O706/K706,0)</f>
        <v>500</v>
      </c>
      <c r="AJ706" s="101" t="n">
        <f aca="false">VLOOKUP(D706,'Standard Cycle time'!C:D,2,0)</f>
        <v>5.25</v>
      </c>
      <c r="AK706" s="101" t="n">
        <f aca="false">AG706*V706*3600/O706</f>
        <v>5.85</v>
      </c>
      <c r="AL706" s="102" t="n">
        <f aca="false">AJ706/AK706</f>
        <v>0.897435897435897</v>
      </c>
      <c r="AM706" s="99" t="n">
        <f aca="false">AE706*AL706*AH706</f>
        <v>0.703901016401016</v>
      </c>
      <c r="AN706" s="103" t="n">
        <v>3639</v>
      </c>
      <c r="AO706" s="112" t="s">
        <v>1389</v>
      </c>
      <c r="AP706" s="105" t="n">
        <v>0</v>
      </c>
      <c r="AQ706" s="105" t="n">
        <v>0</v>
      </c>
      <c r="AR706" s="105" t="n">
        <v>0</v>
      </c>
      <c r="AS706" s="105" t="n">
        <v>0</v>
      </c>
      <c r="AT706" s="105" t="n">
        <v>0</v>
      </c>
      <c r="AU706" s="105" t="n">
        <v>30</v>
      </c>
      <c r="AV706" s="105" t="n">
        <v>0</v>
      </c>
      <c r="AW706" s="105" t="n">
        <v>60</v>
      </c>
      <c r="AX706" s="105" t="n">
        <v>0</v>
      </c>
      <c r="AY706" s="105" t="n">
        <v>0</v>
      </c>
      <c r="AZ706" s="105" t="n">
        <v>0</v>
      </c>
      <c r="BA706" s="105" t="n">
        <v>0</v>
      </c>
      <c r="BB706" s="105" t="n">
        <v>0</v>
      </c>
      <c r="BC706" s="105" t="n">
        <v>0</v>
      </c>
      <c r="BD706" s="105" t="n">
        <v>0</v>
      </c>
      <c r="BE706" s="105" t="n">
        <v>0</v>
      </c>
      <c r="BF706" s="105" t="n">
        <v>0</v>
      </c>
      <c r="BG706" s="105" t="n">
        <v>0</v>
      </c>
      <c r="BH706" s="105" t="n">
        <v>0</v>
      </c>
      <c r="BI706" s="105" t="n">
        <v>0</v>
      </c>
      <c r="BJ706" s="105" t="n">
        <v>0</v>
      </c>
      <c r="BK706" s="105" t="n">
        <v>0</v>
      </c>
      <c r="BL706" s="105" t="n">
        <v>0</v>
      </c>
      <c r="BM706" s="105" t="n">
        <v>0</v>
      </c>
      <c r="BN706" s="105" t="n">
        <v>0</v>
      </c>
      <c r="BO706" s="105" t="n">
        <v>0</v>
      </c>
      <c r="BP706" s="105" t="n">
        <v>0</v>
      </c>
      <c r="BQ706" s="105" t="n">
        <v>0</v>
      </c>
      <c r="BR706" s="106" t="n">
        <v>1.5</v>
      </c>
      <c r="BS706" s="106" t="n">
        <v>1.525</v>
      </c>
      <c r="BT706" s="107"/>
      <c r="BU706" s="107"/>
      <c r="BV706" s="107"/>
      <c r="BW706" s="107"/>
      <c r="BX706" s="107"/>
      <c r="BY706" s="107"/>
      <c r="BZ706" s="107"/>
      <c r="CA706" s="107"/>
      <c r="CB706" s="107"/>
      <c r="CC706" s="107"/>
      <c r="CD706" s="107"/>
      <c r="CE706" s="107"/>
      <c r="CF706" s="107"/>
      <c r="CG706" s="107"/>
      <c r="CH706" s="107"/>
      <c r="CI706" s="107"/>
      <c r="CJ706" s="107"/>
      <c r="CK706" s="107"/>
      <c r="CL706" s="107"/>
      <c r="CM706" s="107"/>
      <c r="CN706" s="107"/>
      <c r="CO706" s="107"/>
      <c r="CP706" s="107"/>
      <c r="CQ706" s="107"/>
      <c r="CR706" s="107"/>
      <c r="CS706" s="107"/>
      <c r="CT706" s="107"/>
      <c r="CU706" s="107"/>
      <c r="CV706" s="107"/>
    </row>
    <row r="707" customFormat="false" ht="14.9" hidden="false" customHeight="false" outlineLevel="0" collapsed="false">
      <c r="A707" s="74" t="n">
        <f aca="false">MONTH(B707)</f>
        <v>9</v>
      </c>
      <c r="B707" s="135" t="n">
        <v>44466</v>
      </c>
      <c r="C707" s="128" t="s">
        <v>51</v>
      </c>
      <c r="D707" s="77" t="str">
        <f aca="false">IFERROR(VLOOKUP(E:E,'Item Data Support Sheet'!A:O,7,0),"")</f>
        <v>NIPPLE MOLDED</v>
      </c>
      <c r="E707" s="80" t="s">
        <v>244</v>
      </c>
      <c r="F707" s="122" t="s">
        <v>1286</v>
      </c>
      <c r="G707" s="137" t="s">
        <v>848</v>
      </c>
      <c r="H707" s="79" t="str">
        <f aca="false">IFERROR(VLOOKUP(E:E,'Item Data Support Sheet'!A:O,2,0),"")</f>
        <v>NIPPLE S TYPE S SIZE INJECTION</v>
      </c>
      <c r="I707" s="80" t="s">
        <v>1388</v>
      </c>
      <c r="J707" s="80" t="s">
        <v>148</v>
      </c>
      <c r="K707" s="81" t="n">
        <v>4</v>
      </c>
      <c r="L707" s="124" t="n">
        <v>1200</v>
      </c>
      <c r="M707" s="83" t="n">
        <f aca="false">IFERROR(L707/K707,0)</f>
        <v>300</v>
      </c>
      <c r="N707" s="84" t="n">
        <f aca="false">+O707+Q707+T707+U707</f>
        <v>1140</v>
      </c>
      <c r="O707" s="85" t="n">
        <v>790</v>
      </c>
      <c r="P707" s="86" t="n">
        <v>0.6</v>
      </c>
      <c r="Q707" s="86" t="n">
        <v>308</v>
      </c>
      <c r="R707" s="132" t="n">
        <v>0</v>
      </c>
      <c r="S707" s="128" t="n">
        <v>0</v>
      </c>
      <c r="T707" s="132" t="n">
        <v>42</v>
      </c>
      <c r="U707" s="128" t="n">
        <v>0</v>
      </c>
      <c r="V707" s="128" t="n">
        <v>1</v>
      </c>
      <c r="W707" s="90" t="n">
        <f aca="false">IFERROR(O707/V707,0)</f>
        <v>790</v>
      </c>
      <c r="X707" s="91" t="n">
        <f aca="false">O707/L707</f>
        <v>0.658333333333333</v>
      </c>
      <c r="Y707" s="92" t="str">
        <f aca="false">IFERROR(VLOOKUP(E:E,'Item Data Support Sheet'!A:J,6,0),0)</f>
        <v>Silicon</v>
      </c>
      <c r="Z707" s="93" t="n">
        <f aca="false">IFERROR(VLOOKUP(E:E,'Item Data Support Sheet'!A:O,4,0),0)</f>
        <v>6.8</v>
      </c>
      <c r="AA707" s="93" t="n">
        <f aca="false">IFERROR(((N707)*(Z707/1000))+P707,0)</f>
        <v>8.352</v>
      </c>
      <c r="AB707" s="94" t="n">
        <f aca="false">IFERROR((O707*(Z707/1000)/(AA707))," ")</f>
        <v>0.643199233716475</v>
      </c>
      <c r="AC707" s="95" t="n">
        <f aca="false">IFERROR((T707)/((T707)+O707),0)</f>
        <v>0.0504807692307692</v>
      </c>
      <c r="AD707" s="96" t="n">
        <f aca="false">IFERROR(Q707/(Q707+N707),0)</f>
        <v>0.212707182320442</v>
      </c>
      <c r="AE707" s="91" t="n">
        <f aca="false">(N707-T707)/N707</f>
        <v>0.963157894736842</v>
      </c>
      <c r="AF707" s="97" t="n">
        <f aca="false">BR707</f>
        <v>0</v>
      </c>
      <c r="AG707" s="98" t="n">
        <f aca="false">K707-AF707</f>
        <v>4</v>
      </c>
      <c r="AH707" s="99" t="n">
        <f aca="false">IFERROR(AG707/K707," ")</f>
        <v>1</v>
      </c>
      <c r="AI707" s="100" t="n">
        <f aca="false">IFERROR(O707/K707,0)</f>
        <v>197.5</v>
      </c>
      <c r="AJ707" s="101" t="n">
        <f aca="false">VLOOKUP(D707,'Standard Cycle time'!C:D,2,0)</f>
        <v>5.25</v>
      </c>
      <c r="AK707" s="101" t="n">
        <f aca="false">AG707*V707*3600/O707</f>
        <v>18.2278481012658</v>
      </c>
      <c r="AL707" s="102" t="n">
        <f aca="false">AJ707/AK707</f>
        <v>0.288020833333333</v>
      </c>
      <c r="AM707" s="99" t="n">
        <f aca="false">AE707*AL707*AH707</f>
        <v>0.277409539473684</v>
      </c>
      <c r="AN707" s="103" t="n">
        <v>3719</v>
      </c>
      <c r="AO707" s="112" t="s">
        <v>1390</v>
      </c>
      <c r="AP707" s="105"/>
      <c r="AQ707" s="105"/>
      <c r="AR707" s="105"/>
      <c r="AS707" s="105"/>
      <c r="AT707" s="105"/>
      <c r="AU707" s="105" t="n">
        <v>30</v>
      </c>
      <c r="AV707" s="105"/>
      <c r="AW707" s="105" t="n">
        <v>30</v>
      </c>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6"/>
      <c r="BS707" s="106"/>
      <c r="BT707" s="107"/>
      <c r="BU707" s="107"/>
      <c r="BV707" s="107"/>
      <c r="BW707" s="107"/>
      <c r="BX707" s="107"/>
      <c r="BY707" s="107"/>
      <c r="BZ707" s="107"/>
      <c r="CA707" s="107"/>
      <c r="CB707" s="107"/>
      <c r="CC707" s="107"/>
      <c r="CD707" s="107"/>
      <c r="CE707" s="107"/>
      <c r="CF707" s="107"/>
      <c r="CG707" s="107"/>
      <c r="CH707" s="107"/>
      <c r="CI707" s="107"/>
      <c r="CJ707" s="107"/>
      <c r="CK707" s="107"/>
      <c r="CL707" s="107"/>
      <c r="CM707" s="107"/>
      <c r="CN707" s="107"/>
      <c r="CO707" s="107"/>
      <c r="CP707" s="107"/>
      <c r="CQ707" s="107"/>
      <c r="CR707" s="107"/>
      <c r="CS707" s="107"/>
      <c r="CT707" s="107"/>
      <c r="CU707" s="107"/>
      <c r="CV707" s="107"/>
    </row>
    <row r="708" customFormat="false" ht="14.9" hidden="false" customHeight="false" outlineLevel="0" collapsed="false">
      <c r="A708" s="74" t="n">
        <f aca="false">MONTH(B708)</f>
        <v>9</v>
      </c>
      <c r="B708" s="135" t="n">
        <v>44466</v>
      </c>
      <c r="C708" s="128" t="s">
        <v>51</v>
      </c>
      <c r="D708" s="77" t="str">
        <f aca="false">IFERROR(VLOOKUP(E:E,'Item Data Support Sheet'!A:O,7,0),"")</f>
        <v>BOTTLE PRINTED</v>
      </c>
      <c r="E708" s="80" t="s">
        <v>65</v>
      </c>
      <c r="F708" s="122"/>
      <c r="G708" s="137"/>
      <c r="H708" s="79" t="str">
        <f aca="false">IFERROR(VLOOKUP(E:E,'Item Data Support Sheet'!A:O,2,0),"")</f>
        <v>KPP 240 ML BOTTLE PRINTED</v>
      </c>
      <c r="I708" s="80" t="s">
        <v>1391</v>
      </c>
      <c r="J708" s="80" t="s">
        <v>161</v>
      </c>
      <c r="K708" s="81" t="n">
        <v>8.5</v>
      </c>
      <c r="L708" s="124" t="n">
        <v>5100</v>
      </c>
      <c r="M708" s="83" t="n">
        <f aca="false">IFERROR(L708/K708,0)</f>
        <v>600</v>
      </c>
      <c r="N708" s="84" t="n">
        <f aca="false">+O708+Q708+T708+U708</f>
        <v>3576</v>
      </c>
      <c r="O708" s="85" t="n">
        <v>3564</v>
      </c>
      <c r="P708" s="86" t="n">
        <v>0</v>
      </c>
      <c r="Q708" s="86" t="n">
        <v>0</v>
      </c>
      <c r="R708" s="132" t="n">
        <v>32</v>
      </c>
      <c r="S708" s="128" t="n">
        <v>0</v>
      </c>
      <c r="T708" s="132" t="n">
        <v>12</v>
      </c>
      <c r="U708" s="128" t="n">
        <v>0</v>
      </c>
      <c r="V708" s="128" t="n">
        <v>6</v>
      </c>
      <c r="W708" s="90" t="n">
        <f aca="false">IFERROR(O708/V708,0)</f>
        <v>594</v>
      </c>
      <c r="X708" s="91" t="n">
        <f aca="false">O708/L708</f>
        <v>0.698823529411765</v>
      </c>
      <c r="Y708" s="92" t="str">
        <f aca="false">IFERROR(VLOOKUP(E:E,'Item Data Support Sheet'!A:J,6,0),0)</f>
        <v>FO003</v>
      </c>
      <c r="Z708" s="93" t="n">
        <f aca="false">IFERROR(VLOOKUP(E:E,'Item Data Support Sheet'!A:O,4,0),0)</f>
        <v>0</v>
      </c>
      <c r="AA708" s="93" t="n">
        <f aca="false">IFERROR(((N708)*(Z708/1000))+P708,0)</f>
        <v>0</v>
      </c>
      <c r="AB708" s="94" t="str">
        <f aca="false">IFERROR((O708*(Z708/1000)/(AA708))," ")</f>
        <v> </v>
      </c>
      <c r="AC708" s="95" t="n">
        <f aca="false">IFERROR((T708)/((T708)+O708),0)</f>
        <v>0.00335570469798658</v>
      </c>
      <c r="AD708" s="96" t="n">
        <f aca="false">IFERROR(Q708/(Q708+N708),0)</f>
        <v>0</v>
      </c>
      <c r="AE708" s="91" t="n">
        <f aca="false">(N708-T708)/N708</f>
        <v>0.996644295302013</v>
      </c>
      <c r="AF708" s="97" t="n">
        <f aca="false">BR708</f>
        <v>3.5</v>
      </c>
      <c r="AG708" s="98" t="n">
        <f aca="false">K708-AF708</f>
        <v>5</v>
      </c>
      <c r="AH708" s="99" t="n">
        <f aca="false">IFERROR(AG708/K708," ")</f>
        <v>0.588235294117647</v>
      </c>
      <c r="AI708" s="100" t="n">
        <f aca="false">IFERROR(O708/K708,0)</f>
        <v>419.294117647059</v>
      </c>
      <c r="AJ708" s="101" t="n">
        <f aca="false">VLOOKUP(D708,'Standard Cycle time'!C:D,2,0)</f>
        <v>32.4</v>
      </c>
      <c r="AK708" s="101" t="n">
        <f aca="false">AG708*V708*3600/O708</f>
        <v>30.3030303030303</v>
      </c>
      <c r="AL708" s="102" t="n">
        <f aca="false">AJ708/AK708</f>
        <v>1.0692</v>
      </c>
      <c r="AM708" s="99" t="n">
        <f aca="false">AE708*AL708*AH708</f>
        <v>0.626830635609949</v>
      </c>
      <c r="AN708" s="103" t="s">
        <v>869</v>
      </c>
      <c r="AO708" s="112" t="s">
        <v>1392</v>
      </c>
      <c r="AP708" s="105" t="n">
        <v>40</v>
      </c>
      <c r="AQ708" s="105" t="n">
        <v>50</v>
      </c>
      <c r="AR708" s="105" t="n">
        <v>0</v>
      </c>
      <c r="AS708" s="105" t="n">
        <v>0</v>
      </c>
      <c r="AT708" s="105" t="n">
        <v>0</v>
      </c>
      <c r="AU708" s="105" t="n">
        <v>0</v>
      </c>
      <c r="AV708" s="105" t="n">
        <v>0</v>
      </c>
      <c r="AW708" s="105" t="n">
        <v>0</v>
      </c>
      <c r="AX708" s="105" t="n">
        <v>0</v>
      </c>
      <c r="AY708" s="105" t="n">
        <v>0</v>
      </c>
      <c r="AZ708" s="105" t="n">
        <v>0</v>
      </c>
      <c r="BA708" s="105" t="n">
        <v>0</v>
      </c>
      <c r="BB708" s="105" t="n">
        <v>0</v>
      </c>
      <c r="BC708" s="105" t="n">
        <v>0</v>
      </c>
      <c r="BD708" s="105" t="n">
        <v>0</v>
      </c>
      <c r="BE708" s="105" t="n">
        <v>0</v>
      </c>
      <c r="BF708" s="105" t="n">
        <v>0</v>
      </c>
      <c r="BG708" s="105" t="n">
        <v>0</v>
      </c>
      <c r="BH708" s="105" t="n">
        <v>0</v>
      </c>
      <c r="BI708" s="105" t="n">
        <v>0</v>
      </c>
      <c r="BJ708" s="105" t="n">
        <v>0</v>
      </c>
      <c r="BK708" s="105" t="n">
        <v>0</v>
      </c>
      <c r="BL708" s="105" t="n">
        <v>0</v>
      </c>
      <c r="BM708" s="105" t="n">
        <v>0</v>
      </c>
      <c r="BN708" s="105" t="n">
        <v>0</v>
      </c>
      <c r="BO708" s="105" t="n">
        <v>120</v>
      </c>
      <c r="BP708" s="105" t="n">
        <v>0</v>
      </c>
      <c r="BQ708" s="105" t="n">
        <v>0</v>
      </c>
      <c r="BR708" s="106" t="n">
        <v>3.5</v>
      </c>
      <c r="BS708" s="106" t="n">
        <v>3.55833333333333</v>
      </c>
      <c r="BT708" s="107"/>
      <c r="BU708" s="107"/>
      <c r="BV708" s="107"/>
      <c r="BW708" s="107"/>
      <c r="BX708" s="107"/>
      <c r="BY708" s="107"/>
      <c r="BZ708" s="107"/>
      <c r="CA708" s="107"/>
      <c r="CB708" s="107"/>
      <c r="CC708" s="107"/>
      <c r="CD708" s="107"/>
      <c r="CE708" s="107"/>
      <c r="CF708" s="107"/>
      <c r="CG708" s="107"/>
      <c r="CH708" s="107"/>
      <c r="CI708" s="107"/>
      <c r="CJ708" s="107"/>
      <c r="CK708" s="107"/>
      <c r="CL708" s="107"/>
      <c r="CM708" s="107"/>
      <c r="CN708" s="107"/>
      <c r="CO708" s="107"/>
      <c r="CP708" s="107"/>
      <c r="CQ708" s="107"/>
      <c r="CR708" s="107"/>
      <c r="CS708" s="107"/>
      <c r="CT708" s="107"/>
      <c r="CU708" s="107"/>
      <c r="CV708" s="107"/>
    </row>
    <row r="709" customFormat="false" ht="14.9" hidden="false" customHeight="false" outlineLevel="0" collapsed="false">
      <c r="A709" s="74" t="n">
        <f aca="false">MONTH(B709)</f>
        <v>9</v>
      </c>
      <c r="B709" s="135" t="n">
        <v>44466</v>
      </c>
      <c r="C709" s="128" t="s">
        <v>63</v>
      </c>
      <c r="D709" s="77" t="str">
        <f aca="false">IFERROR(VLOOKUP(E:E,'Item Data Support Sheet'!A:O,7,0),"")</f>
        <v>NIPPLE PUNCH INSPECTED</v>
      </c>
      <c r="E709" s="80" t="s">
        <v>297</v>
      </c>
      <c r="F709" s="122"/>
      <c r="G709" s="137"/>
      <c r="H709" s="79" t="str">
        <f aca="false">IFERROR(VLOOKUP(E:E,'Item Data Support Sheet'!A:O,2,0),"")</f>
        <v>NIPPLE S TYPE S SIZE PUNCHED INSPECTED</v>
      </c>
      <c r="I709" s="80" t="s">
        <v>1393</v>
      </c>
      <c r="J709" s="80" t="s">
        <v>815</v>
      </c>
      <c r="K709" s="81" t="n">
        <v>7.5</v>
      </c>
      <c r="L709" s="124" t="n">
        <v>12500</v>
      </c>
      <c r="M709" s="83" t="n">
        <f aca="false">IFERROR(L709/K709,0)</f>
        <v>1666.66666666667</v>
      </c>
      <c r="N709" s="84" t="n">
        <f aca="false">+O709+Q709+T709+U709</f>
        <v>12150</v>
      </c>
      <c r="O709" s="85" t="n">
        <v>12028</v>
      </c>
      <c r="P709" s="86" t="n">
        <v>0</v>
      </c>
      <c r="Q709" s="86" t="n">
        <v>0</v>
      </c>
      <c r="R709" s="132" t="n">
        <v>0</v>
      </c>
      <c r="S709" s="128" t="n">
        <v>0</v>
      </c>
      <c r="T709" s="132" t="n">
        <v>122</v>
      </c>
      <c r="U709" s="128" t="n">
        <v>0</v>
      </c>
      <c r="V709" s="128" t="n">
        <v>1</v>
      </c>
      <c r="W709" s="90" t="n">
        <f aca="false">IFERROR(O709/V709,0)</f>
        <v>12028</v>
      </c>
      <c r="X709" s="91" t="n">
        <f aca="false">O709/L709</f>
        <v>0.96224</v>
      </c>
      <c r="Y709" s="92" t="str">
        <f aca="false">IFERROR(VLOOKUP(E:E,'Item Data Support Sheet'!A:J,6,0),0)</f>
        <v>FO104</v>
      </c>
      <c r="Z709" s="93" t="n">
        <f aca="false">IFERROR(VLOOKUP(E:E,'Item Data Support Sheet'!A:O,4,0),0)</f>
        <v>0</v>
      </c>
      <c r="AA709" s="93" t="n">
        <f aca="false">IFERROR(((N709)*(Z709/1000))+P709,0)</f>
        <v>0</v>
      </c>
      <c r="AB709" s="94" t="str">
        <f aca="false">IFERROR((O709*(Z709/1000)/(AA709))," ")</f>
        <v> </v>
      </c>
      <c r="AC709" s="95" t="n">
        <f aca="false">IFERROR((T709)/((T709)+O709),0)</f>
        <v>0.0100411522633745</v>
      </c>
      <c r="AD709" s="96" t="n">
        <f aca="false">IFERROR(Q709/(Q709+N709),0)</f>
        <v>0</v>
      </c>
      <c r="AE709" s="91" t="n">
        <f aca="false">(N709-T709)/N709</f>
        <v>0.989958847736625</v>
      </c>
      <c r="AF709" s="97" t="n">
        <f aca="false">BR709</f>
        <v>0.833333333333333</v>
      </c>
      <c r="AG709" s="98" t="n">
        <f aca="false">K709-AF709</f>
        <v>6.66666666666667</v>
      </c>
      <c r="AH709" s="99" t="n">
        <f aca="false">IFERROR(AG709/K709," ")</f>
        <v>0.888888888888889</v>
      </c>
      <c r="AI709" s="100" t="n">
        <f aca="false">IFERROR(O709/K709,0)</f>
        <v>1603.73333333333</v>
      </c>
      <c r="AJ709" s="101" t="n">
        <f aca="false">VLOOKUP(D709,'Standard Cycle time'!C:D,2,0)</f>
        <v>4</v>
      </c>
      <c r="AK709" s="101" t="n">
        <f aca="false">AG709*V709*3600/O709</f>
        <v>1.99534419687396</v>
      </c>
      <c r="AL709" s="102" t="n">
        <f aca="false">AJ709/AK709</f>
        <v>2.00466666666667</v>
      </c>
      <c r="AM709" s="99" t="n">
        <f aca="false">AE709*AL709*AH709</f>
        <v>1.76403333638165</v>
      </c>
      <c r="AN709" s="103" t="s">
        <v>1394</v>
      </c>
      <c r="AO709" s="112"/>
      <c r="AP709" s="105" t="n">
        <v>50</v>
      </c>
      <c r="AQ709" s="105" t="n">
        <v>0</v>
      </c>
      <c r="AR709" s="105" t="n">
        <v>0</v>
      </c>
      <c r="AS709" s="105" t="n">
        <v>0</v>
      </c>
      <c r="AT709" s="105" t="n">
        <v>0</v>
      </c>
      <c r="AU709" s="105" t="n">
        <v>0</v>
      </c>
      <c r="AV709" s="105" t="n">
        <v>0</v>
      </c>
      <c r="AW709" s="105" t="n">
        <v>0</v>
      </c>
      <c r="AX709" s="105" t="n">
        <v>0</v>
      </c>
      <c r="AY709" s="105" t="n">
        <v>0</v>
      </c>
      <c r="AZ709" s="105" t="n">
        <v>0</v>
      </c>
      <c r="BA709" s="105" t="n">
        <v>0</v>
      </c>
      <c r="BB709" s="105" t="n">
        <v>0</v>
      </c>
      <c r="BC709" s="105" t="n">
        <v>0</v>
      </c>
      <c r="BD709" s="105" t="n">
        <v>0</v>
      </c>
      <c r="BE709" s="105" t="n">
        <v>0</v>
      </c>
      <c r="BF709" s="105" t="n">
        <v>0</v>
      </c>
      <c r="BG709" s="105" t="n">
        <v>0</v>
      </c>
      <c r="BH709" s="105" t="n">
        <v>0</v>
      </c>
      <c r="BI709" s="105" t="n">
        <v>0</v>
      </c>
      <c r="BJ709" s="105" t="n">
        <v>0</v>
      </c>
      <c r="BK709" s="105" t="n">
        <v>0</v>
      </c>
      <c r="BL709" s="105" t="n">
        <v>0</v>
      </c>
      <c r="BM709" s="105" t="n">
        <v>0</v>
      </c>
      <c r="BN709" s="105" t="n">
        <v>0</v>
      </c>
      <c r="BO709" s="105" t="n">
        <v>0</v>
      </c>
      <c r="BP709" s="105" t="n">
        <v>0</v>
      </c>
      <c r="BQ709" s="105" t="n">
        <v>0</v>
      </c>
      <c r="BR709" s="106" t="n">
        <v>0.833333333333333</v>
      </c>
      <c r="BS709" s="106" t="n">
        <v>0.847222222222222</v>
      </c>
      <c r="BT709" s="107"/>
      <c r="BU709" s="107"/>
      <c r="BV709" s="107"/>
      <c r="BW709" s="107"/>
      <c r="BX709" s="107"/>
      <c r="BY709" s="107"/>
      <c r="BZ709" s="107"/>
      <c r="CA709" s="107"/>
      <c r="CB709" s="107"/>
      <c r="CC709" s="107"/>
      <c r="CD709" s="107"/>
      <c r="CE709" s="107"/>
      <c r="CF709" s="107"/>
      <c r="CG709" s="107"/>
      <c r="CH709" s="107"/>
      <c r="CI709" s="107"/>
      <c r="CJ709" s="107"/>
      <c r="CK709" s="107"/>
      <c r="CL709" s="107"/>
      <c r="CM709" s="107"/>
      <c r="CN709" s="107"/>
      <c r="CO709" s="107"/>
      <c r="CP709" s="107"/>
      <c r="CQ709" s="107"/>
      <c r="CR709" s="107"/>
      <c r="CS709" s="107"/>
      <c r="CT709" s="107"/>
      <c r="CU709" s="107"/>
      <c r="CV709" s="107"/>
    </row>
    <row r="710" customFormat="false" ht="14.9" hidden="false" customHeight="false" outlineLevel="0" collapsed="false">
      <c r="A710" s="74" t="n">
        <f aca="false">MONTH(B710)</f>
        <v>9</v>
      </c>
      <c r="B710" s="135" t="n">
        <v>44466</v>
      </c>
      <c r="C710" s="128" t="s">
        <v>63</v>
      </c>
      <c r="D710" s="77" t="str">
        <f aca="false">IFERROR(VLOOKUP(E:E,'Item Data Support Sheet'!A:O,7,0),"")</f>
        <v>NIPPLE WRAP PRINTED</v>
      </c>
      <c r="E710" s="80" t="s">
        <v>474</v>
      </c>
      <c r="F710" s="122"/>
      <c r="G710" s="137" t="s">
        <v>432</v>
      </c>
      <c r="H710" s="79" t="str">
        <f aca="false">IFERROR(VLOOKUP(E:E,'Item Data Support Sheet'!A:O,2,0),"")</f>
        <v>NIPPLE S TYPE L SIZE WITH PRINTED WRAP</v>
      </c>
      <c r="I710" s="80" t="s">
        <v>1395</v>
      </c>
      <c r="J710" s="80" t="s">
        <v>815</v>
      </c>
      <c r="K710" s="81" t="n">
        <v>8.5</v>
      </c>
      <c r="L710" s="124" t="n">
        <v>16132</v>
      </c>
      <c r="M710" s="83" t="n">
        <f aca="false">IFERROR(L710/K710,0)</f>
        <v>1897.88235294118</v>
      </c>
      <c r="N710" s="84" t="n">
        <f aca="false">+O710+Q710+T710+U710</f>
        <v>17212</v>
      </c>
      <c r="O710" s="85" t="n">
        <v>17198</v>
      </c>
      <c r="P710" s="86" t="n">
        <v>0</v>
      </c>
      <c r="Q710" s="86" t="n">
        <v>0</v>
      </c>
      <c r="R710" s="132" t="n">
        <v>0</v>
      </c>
      <c r="S710" s="128" t="n">
        <v>0</v>
      </c>
      <c r="T710" s="132" t="n">
        <v>14</v>
      </c>
      <c r="U710" s="128" t="n">
        <v>0</v>
      </c>
      <c r="V710" s="128" t="n">
        <v>2</v>
      </c>
      <c r="W710" s="90" t="n">
        <f aca="false">IFERROR(O710/V710,0)</f>
        <v>8599</v>
      </c>
      <c r="X710" s="91" t="n">
        <f aca="false">O710/L710</f>
        <v>1.0660798413092</v>
      </c>
      <c r="Y710" s="92" t="str">
        <f aca="false">IFERROR(VLOOKUP(E:E,'Item Data Support Sheet'!A:J,6,0),0)</f>
        <v>FO021</v>
      </c>
      <c r="Z710" s="93" t="n">
        <f aca="false">IFERROR(VLOOKUP(E:E,'Item Data Support Sheet'!A:O,4,0),0)</f>
        <v>0</v>
      </c>
      <c r="AA710" s="93" t="n">
        <f aca="false">IFERROR(((N710)*(Z710/1000))+P710,0)</f>
        <v>0</v>
      </c>
      <c r="AB710" s="94" t="str">
        <f aca="false">IFERROR((O710*(Z710/1000)/(AA710))," ")</f>
        <v> </v>
      </c>
      <c r="AC710" s="95" t="n">
        <f aca="false">IFERROR((T710)/((T710)+O710),0)</f>
        <v>0.000813386009760632</v>
      </c>
      <c r="AD710" s="96" t="n">
        <f aca="false">IFERROR(Q710/(Q710+N710),0)</f>
        <v>0</v>
      </c>
      <c r="AE710" s="91" t="n">
        <f aca="false">(N710-T710)/N710</f>
        <v>0.999186613990239</v>
      </c>
      <c r="AF710" s="97" t="n">
        <f aca="false">BR710</f>
        <v>0</v>
      </c>
      <c r="AG710" s="98" t="n">
        <f aca="false">K710-AF710</f>
        <v>8.5</v>
      </c>
      <c r="AH710" s="99" t="n">
        <f aca="false">IFERROR(AG710/K710," ")</f>
        <v>1</v>
      </c>
      <c r="AI710" s="100" t="n">
        <f aca="false">IFERROR(O710/K710,0)</f>
        <v>2023.29411764706</v>
      </c>
      <c r="AJ710" s="101" t="n">
        <f aca="false">VLOOKUP(D710,'Standard Cycle time'!C:D,2,0)</f>
        <v>2.5</v>
      </c>
      <c r="AK710" s="101" t="n">
        <f aca="false">AG710*V710*3600/O710</f>
        <v>3.55855332015351</v>
      </c>
      <c r="AL710" s="102" t="n">
        <f aca="false">AJ710/AK710</f>
        <v>0.702532679738562</v>
      </c>
      <c r="AM710" s="99" t="n">
        <f aca="false">AE710*AL710*AH710</f>
        <v>0.701961249485463</v>
      </c>
      <c r="AN710" s="103" t="s">
        <v>1396</v>
      </c>
      <c r="AO710" s="112"/>
      <c r="AP710" s="105" t="n">
        <v>50</v>
      </c>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6"/>
      <c r="BS710" s="106"/>
      <c r="BT710" s="107"/>
      <c r="BU710" s="107"/>
      <c r="BV710" s="107"/>
      <c r="BW710" s="107"/>
      <c r="BX710" s="107"/>
      <c r="BY710" s="107"/>
      <c r="BZ710" s="107"/>
      <c r="CA710" s="107"/>
      <c r="CB710" s="107"/>
      <c r="CC710" s="107"/>
      <c r="CD710" s="107"/>
      <c r="CE710" s="107"/>
      <c r="CF710" s="107"/>
      <c r="CG710" s="107"/>
      <c r="CH710" s="107"/>
      <c r="CI710" s="107"/>
      <c r="CJ710" s="107"/>
      <c r="CK710" s="107"/>
      <c r="CL710" s="107"/>
      <c r="CM710" s="107"/>
      <c r="CN710" s="107"/>
      <c r="CO710" s="107"/>
      <c r="CP710" s="107"/>
      <c r="CQ710" s="107"/>
      <c r="CR710" s="107"/>
      <c r="CS710" s="107"/>
      <c r="CT710" s="107"/>
      <c r="CU710" s="107"/>
      <c r="CV710" s="107"/>
    </row>
    <row r="711" customFormat="false" ht="14.9" hidden="false" customHeight="false" outlineLevel="0" collapsed="false">
      <c r="A711" s="74" t="n">
        <f aca="false">MONTH(B711)</f>
        <v>9</v>
      </c>
      <c r="B711" s="135" t="n">
        <v>44466</v>
      </c>
      <c r="C711" s="128" t="s">
        <v>63</v>
      </c>
      <c r="D711" s="77" t="str">
        <f aca="false">IFERROR(VLOOKUP(E:E,'Item Data Support Sheet'!A:O,7,0),"")</f>
        <v>NIPPLE PUNCH INSPECTED</v>
      </c>
      <c r="E711" s="80" t="s">
        <v>688</v>
      </c>
      <c r="F711" s="122"/>
      <c r="G711" s="137"/>
      <c r="H711" s="79" t="str">
        <f aca="false">IFERROR(VLOOKUP(E:E,'Item Data Support Sheet'!A:O,2,0),"")</f>
        <v>NIPPLE S TYPE L SIZE PUNCHED INSPECTED</v>
      </c>
      <c r="I711" s="80" t="s">
        <v>1199</v>
      </c>
      <c r="J711" s="80" t="s">
        <v>815</v>
      </c>
      <c r="K711" s="81" t="n">
        <v>1</v>
      </c>
      <c r="L711" s="124" t="n">
        <v>1682</v>
      </c>
      <c r="M711" s="83" t="n">
        <f aca="false">IFERROR(L711/K711,0)</f>
        <v>1682</v>
      </c>
      <c r="N711" s="84" t="n">
        <f aca="false">+O711+Q711+T711+U711</f>
        <v>1000</v>
      </c>
      <c r="O711" s="85" t="n">
        <v>993</v>
      </c>
      <c r="P711" s="86" t="n">
        <v>0</v>
      </c>
      <c r="Q711" s="86" t="n">
        <v>0</v>
      </c>
      <c r="R711" s="132" t="n">
        <v>0</v>
      </c>
      <c r="S711" s="128" t="n">
        <v>0</v>
      </c>
      <c r="T711" s="132" t="n">
        <v>7</v>
      </c>
      <c r="U711" s="128" t="n">
        <v>0</v>
      </c>
      <c r="V711" s="128" t="n">
        <v>1</v>
      </c>
      <c r="W711" s="90" t="n">
        <f aca="false">IFERROR(O711/V711,0)</f>
        <v>993</v>
      </c>
      <c r="X711" s="91" t="n">
        <f aca="false">O711/L711</f>
        <v>0.590368608799049</v>
      </c>
      <c r="Y711" s="92" t="str">
        <f aca="false">IFERROR(VLOOKUP(E:E,'Item Data Support Sheet'!A:J,6,0),0)</f>
        <v>FO106</v>
      </c>
      <c r="Z711" s="93" t="n">
        <f aca="false">IFERROR(VLOOKUP(E:E,'Item Data Support Sheet'!A:O,4,0),0)</f>
        <v>0</v>
      </c>
      <c r="AA711" s="93" t="n">
        <f aca="false">IFERROR(((N711)*(Z711/1000))+P711,0)</f>
        <v>0</v>
      </c>
      <c r="AB711" s="94" t="str">
        <f aca="false">IFERROR((O711*(Z711/1000)/(AA711))," ")</f>
        <v> </v>
      </c>
      <c r="AC711" s="95" t="n">
        <f aca="false">IFERROR((T711)/((T711)+O711),0)</f>
        <v>0.007</v>
      </c>
      <c r="AD711" s="96" t="n">
        <f aca="false">IFERROR(Q711/(Q711+N711),0)</f>
        <v>0</v>
      </c>
      <c r="AE711" s="91" t="n">
        <f aca="false">(N711-T711)/N711</f>
        <v>0.993</v>
      </c>
      <c r="AF711" s="97" t="n">
        <f aca="false">BR711</f>
        <v>0.5</v>
      </c>
      <c r="AG711" s="98" t="n">
        <f aca="false">K711-AF711</f>
        <v>0.5</v>
      </c>
      <c r="AH711" s="99" t="n">
        <f aca="false">IFERROR(AG711/K711," ")</f>
        <v>0.5</v>
      </c>
      <c r="AI711" s="100" t="n">
        <f aca="false">IFERROR(O711/K711,0)</f>
        <v>993</v>
      </c>
      <c r="AJ711" s="101" t="n">
        <f aca="false">VLOOKUP(D711,'Standard Cycle time'!C:D,2,0)</f>
        <v>4</v>
      </c>
      <c r="AK711" s="101" t="n">
        <f aca="false">AG711*V711*3600/O711</f>
        <v>1.81268882175227</v>
      </c>
      <c r="AL711" s="102" t="n">
        <f aca="false">AJ711/AK711</f>
        <v>2.20666666666667</v>
      </c>
      <c r="AM711" s="99" t="n">
        <f aca="false">AE711*AL711*AH711</f>
        <v>1.09561</v>
      </c>
      <c r="AN711" s="103" t="n">
        <v>3651</v>
      </c>
      <c r="AO711" s="112" t="s">
        <v>1065</v>
      </c>
      <c r="AP711" s="105" t="n">
        <v>0</v>
      </c>
      <c r="AQ711" s="105" t="n">
        <v>0</v>
      </c>
      <c r="AR711" s="105" t="n">
        <v>0</v>
      </c>
      <c r="AS711" s="105" t="n">
        <v>0</v>
      </c>
      <c r="AT711" s="105" t="n">
        <v>30</v>
      </c>
      <c r="AU711" s="105" t="n">
        <v>0</v>
      </c>
      <c r="AV711" s="105" t="n">
        <v>0</v>
      </c>
      <c r="AW711" s="105" t="n">
        <v>0</v>
      </c>
      <c r="AX711" s="105" t="n">
        <v>0</v>
      </c>
      <c r="AY711" s="105" t="n">
        <v>0</v>
      </c>
      <c r="AZ711" s="105" t="n">
        <v>0</v>
      </c>
      <c r="BA711" s="105" t="n">
        <v>0</v>
      </c>
      <c r="BB711" s="105" t="n">
        <v>0</v>
      </c>
      <c r="BC711" s="105" t="n">
        <v>0</v>
      </c>
      <c r="BD711" s="105" t="n">
        <v>0</v>
      </c>
      <c r="BE711" s="105" t="n">
        <v>0</v>
      </c>
      <c r="BF711" s="105" t="n">
        <v>0</v>
      </c>
      <c r="BG711" s="105" t="n">
        <v>0</v>
      </c>
      <c r="BH711" s="105" t="n">
        <v>0</v>
      </c>
      <c r="BI711" s="105" t="n">
        <v>0</v>
      </c>
      <c r="BJ711" s="105" t="n">
        <v>0</v>
      </c>
      <c r="BK711" s="105" t="n">
        <v>0</v>
      </c>
      <c r="BL711" s="105" t="n">
        <v>0</v>
      </c>
      <c r="BM711" s="105" t="n">
        <v>0</v>
      </c>
      <c r="BN711" s="105" t="n">
        <v>0</v>
      </c>
      <c r="BO711" s="105" t="n">
        <v>0</v>
      </c>
      <c r="BP711" s="105" t="n">
        <v>0</v>
      </c>
      <c r="BQ711" s="105" t="n">
        <v>0</v>
      </c>
      <c r="BR711" s="106" t="n">
        <v>0.5</v>
      </c>
      <c r="BS711" s="106" t="n">
        <v>0.508333333333333</v>
      </c>
      <c r="BT711" s="107"/>
      <c r="BU711" s="107"/>
      <c r="BV711" s="107"/>
      <c r="BW711" s="107"/>
      <c r="BX711" s="107"/>
      <c r="BY711" s="107"/>
      <c r="BZ711" s="107"/>
      <c r="CA711" s="107"/>
      <c r="CB711" s="107"/>
      <c r="CC711" s="107"/>
      <c r="CD711" s="107"/>
      <c r="CE711" s="107"/>
      <c r="CF711" s="107"/>
      <c r="CG711" s="107"/>
      <c r="CH711" s="107"/>
      <c r="CI711" s="107"/>
      <c r="CJ711" s="107"/>
      <c r="CK711" s="107"/>
      <c r="CL711" s="107"/>
      <c r="CM711" s="107"/>
      <c r="CN711" s="107"/>
      <c r="CO711" s="107"/>
      <c r="CP711" s="107"/>
      <c r="CQ711" s="107"/>
      <c r="CR711" s="107"/>
      <c r="CS711" s="107"/>
      <c r="CT711" s="107"/>
      <c r="CU711" s="107"/>
      <c r="CV711" s="107"/>
    </row>
    <row r="712" customFormat="false" ht="14.9" hidden="false" customHeight="false" outlineLevel="0" collapsed="false">
      <c r="A712" s="74" t="n">
        <f aca="false">MONTH(B712)</f>
        <v>9</v>
      </c>
      <c r="B712" s="135" t="n">
        <v>44466</v>
      </c>
      <c r="C712" s="128" t="s">
        <v>70</v>
      </c>
      <c r="D712" s="77" t="str">
        <f aca="false">IFERROR(VLOOKUP(E:E,'Item Data Support Sheet'!A:O,7,0),"")</f>
        <v>NIPPLE LASER MARKING</v>
      </c>
      <c r="E712" s="80" t="s">
        <v>444</v>
      </c>
      <c r="F712" s="122"/>
      <c r="G712" s="137" t="s">
        <v>517</v>
      </c>
      <c r="H712" s="79" t="str">
        <f aca="false">IFERROR(VLOOKUP(E:E,'Item Data Support Sheet'!A:O,2,0),"")</f>
        <v>NIPPLE S TYPE S SIZE PUNCHED LASER MARKED</v>
      </c>
      <c r="I712" s="80" t="s">
        <v>1397</v>
      </c>
      <c r="J712" s="80" t="s">
        <v>815</v>
      </c>
      <c r="K712" s="81" t="n">
        <v>1.2</v>
      </c>
      <c r="L712" s="124" t="n">
        <v>1000</v>
      </c>
      <c r="M712" s="83" t="n">
        <f aca="false">IFERROR(L712/K712,0)</f>
        <v>833.333333333333</v>
      </c>
      <c r="N712" s="84" t="n">
        <f aca="false">+O712+Q712+T712+U712</f>
        <v>1000</v>
      </c>
      <c r="O712" s="85" t="n">
        <v>1000</v>
      </c>
      <c r="P712" s="86" t="n">
        <v>0</v>
      </c>
      <c r="Q712" s="86" t="n">
        <v>0</v>
      </c>
      <c r="R712" s="132" t="n">
        <v>0</v>
      </c>
      <c r="S712" s="128" t="n">
        <v>0</v>
      </c>
      <c r="T712" s="132" t="n">
        <v>0</v>
      </c>
      <c r="U712" s="128" t="n">
        <v>0</v>
      </c>
      <c r="V712" s="128" t="n">
        <v>1</v>
      </c>
      <c r="W712" s="90" t="n">
        <f aca="false">IFERROR(O712/V712,0)</f>
        <v>1000</v>
      </c>
      <c r="X712" s="91" t="n">
        <f aca="false">O712/L712</f>
        <v>1</v>
      </c>
      <c r="Y712" s="92" t="str">
        <f aca="false">IFERROR(VLOOKUP(E:E,'Item Data Support Sheet'!A:J,6,0),0)</f>
        <v>FO019</v>
      </c>
      <c r="Z712" s="93" t="n">
        <f aca="false">IFERROR(VLOOKUP(E:E,'Item Data Support Sheet'!A:O,4,0),0)</f>
        <v>0</v>
      </c>
      <c r="AA712" s="93" t="n">
        <f aca="false">IFERROR(((N712)*(Z712/1000))+P712,0)</f>
        <v>0</v>
      </c>
      <c r="AB712" s="94" t="str">
        <f aca="false">IFERROR((O712*(Z712/1000)/(AA712))," ")</f>
        <v> </v>
      </c>
      <c r="AC712" s="95" t="n">
        <f aca="false">IFERROR((T712)/((T712)+O712),0)</f>
        <v>0</v>
      </c>
      <c r="AD712" s="96" t="n">
        <f aca="false">IFERROR(Q712/(Q712+N712),0)</f>
        <v>0</v>
      </c>
      <c r="AE712" s="91" t="n">
        <f aca="false">(N712-T712)/N712</f>
        <v>1</v>
      </c>
      <c r="AF712" s="97" t="n">
        <f aca="false">BR712</f>
        <v>0.166666666666667</v>
      </c>
      <c r="AG712" s="98" t="n">
        <f aca="false">K712-AF712</f>
        <v>1.03333333333333</v>
      </c>
      <c r="AH712" s="99" t="n">
        <f aca="false">IFERROR(AG712/K712," ")</f>
        <v>0.861111111111111</v>
      </c>
      <c r="AI712" s="100" t="n">
        <f aca="false">IFERROR(O712/K712,0)</f>
        <v>833.333333333333</v>
      </c>
      <c r="AJ712" s="101" t="n">
        <f aca="false">VLOOKUP(D712,'Standard Cycle time'!C:D,2,0)</f>
        <v>3.5</v>
      </c>
      <c r="AK712" s="101" t="n">
        <f aca="false">AG712*V712*3600/O712</f>
        <v>3.72</v>
      </c>
      <c r="AL712" s="102" t="n">
        <f aca="false">AJ712/AK712</f>
        <v>0.940860215053764</v>
      </c>
      <c r="AM712" s="99" t="n">
        <f aca="false">AE712*AL712*AH712</f>
        <v>0.810185185185185</v>
      </c>
      <c r="AN712" s="103" t="n">
        <v>3646</v>
      </c>
      <c r="AO712" s="112"/>
      <c r="AP712" s="105" t="n">
        <v>10</v>
      </c>
      <c r="AQ712" s="105" t="n">
        <v>0</v>
      </c>
      <c r="AR712" s="105" t="n">
        <v>0</v>
      </c>
      <c r="AS712" s="105" t="n">
        <v>0</v>
      </c>
      <c r="AT712" s="105" t="n">
        <v>0</v>
      </c>
      <c r="AU712" s="105" t="n">
        <v>0</v>
      </c>
      <c r="AV712" s="105" t="n">
        <v>0</v>
      </c>
      <c r="AW712" s="105" t="n">
        <v>0</v>
      </c>
      <c r="AX712" s="105" t="n">
        <v>0</v>
      </c>
      <c r="AY712" s="105" t="n">
        <v>0</v>
      </c>
      <c r="AZ712" s="105" t="n">
        <v>0</v>
      </c>
      <c r="BA712" s="105" t="n">
        <v>0</v>
      </c>
      <c r="BB712" s="105" t="n">
        <v>0</v>
      </c>
      <c r="BC712" s="105" t="n">
        <v>0</v>
      </c>
      <c r="BD712" s="105" t="n">
        <v>0</v>
      </c>
      <c r="BE712" s="105" t="n">
        <v>0</v>
      </c>
      <c r="BF712" s="105" t="n">
        <v>0</v>
      </c>
      <c r="BG712" s="105" t="n">
        <v>0</v>
      </c>
      <c r="BH712" s="105" t="n">
        <v>0</v>
      </c>
      <c r="BI712" s="105" t="n">
        <v>0</v>
      </c>
      <c r="BJ712" s="105" t="n">
        <v>0</v>
      </c>
      <c r="BK712" s="105" t="n">
        <v>0</v>
      </c>
      <c r="BL712" s="105" t="n">
        <v>0</v>
      </c>
      <c r="BM712" s="105" t="n">
        <v>0</v>
      </c>
      <c r="BN712" s="105" t="n">
        <v>0</v>
      </c>
      <c r="BO712" s="105" t="n">
        <v>0</v>
      </c>
      <c r="BP712" s="105" t="n">
        <v>0</v>
      </c>
      <c r="BQ712" s="105" t="n">
        <v>0</v>
      </c>
      <c r="BR712" s="106" t="n">
        <v>0.166666666666667</v>
      </c>
      <c r="BS712" s="106" t="n">
        <v>0.169444444444444</v>
      </c>
      <c r="BT712" s="107"/>
      <c r="BU712" s="107"/>
      <c r="BV712" s="107"/>
      <c r="BW712" s="107"/>
      <c r="BX712" s="107"/>
      <c r="BY712" s="107"/>
      <c r="BZ712" s="107"/>
      <c r="CA712" s="107"/>
      <c r="CB712" s="107"/>
      <c r="CC712" s="107"/>
      <c r="CD712" s="107"/>
      <c r="CE712" s="107"/>
      <c r="CF712" s="107"/>
      <c r="CG712" s="107"/>
      <c r="CH712" s="107"/>
      <c r="CI712" s="107"/>
      <c r="CJ712" s="107"/>
      <c r="CK712" s="107"/>
      <c r="CL712" s="107"/>
      <c r="CM712" s="107"/>
      <c r="CN712" s="107"/>
      <c r="CO712" s="107"/>
      <c r="CP712" s="107"/>
      <c r="CQ712" s="107"/>
      <c r="CR712" s="107"/>
      <c r="CS712" s="107"/>
      <c r="CT712" s="107"/>
      <c r="CU712" s="107"/>
      <c r="CV712" s="107"/>
    </row>
    <row r="713" customFormat="false" ht="14.9" hidden="false" customHeight="false" outlineLevel="0" collapsed="false">
      <c r="A713" s="74" t="n">
        <f aca="false">MONTH(B713)</f>
        <v>9</v>
      </c>
      <c r="B713" s="135" t="n">
        <v>44466</v>
      </c>
      <c r="C713" s="128" t="s">
        <v>70</v>
      </c>
      <c r="D713" s="77" t="str">
        <f aca="false">IFERROR(VLOOKUP(E:E,'Item Data Support Sheet'!A:O,7,0),"")</f>
        <v>NIPPLE LASER MARKING</v>
      </c>
      <c r="E713" s="80" t="s">
        <v>681</v>
      </c>
      <c r="F713" s="122"/>
      <c r="G713" s="137" t="s">
        <v>517</v>
      </c>
      <c r="H713" s="79" t="str">
        <f aca="false">IFERROR(VLOOKUP(E:E,'Item Data Support Sheet'!A:O,2,0),"")</f>
        <v>NIPPLE S TYPE L SIZE PUNCHED LASER MARKED</v>
      </c>
      <c r="I713" s="80" t="s">
        <v>1398</v>
      </c>
      <c r="J713" s="80" t="s">
        <v>815</v>
      </c>
      <c r="K713" s="81" t="n">
        <v>6.8</v>
      </c>
      <c r="L713" s="124" t="n">
        <v>6000</v>
      </c>
      <c r="M713" s="83" t="n">
        <f aca="false">IFERROR(L713/K713,0)</f>
        <v>882.352941176471</v>
      </c>
      <c r="N713" s="84" t="n">
        <f aca="false">+O713+Q713+T713+U713</f>
        <v>6200</v>
      </c>
      <c r="O713" s="85" t="n">
        <v>6200</v>
      </c>
      <c r="P713" s="86" t="n">
        <v>0</v>
      </c>
      <c r="Q713" s="86" t="n">
        <v>0</v>
      </c>
      <c r="R713" s="132" t="n">
        <v>0</v>
      </c>
      <c r="S713" s="128" t="n">
        <v>0</v>
      </c>
      <c r="T713" s="132" t="n">
        <v>0</v>
      </c>
      <c r="U713" s="128" t="n">
        <v>0</v>
      </c>
      <c r="V713" s="128" t="n">
        <v>1</v>
      </c>
      <c r="W713" s="90" t="n">
        <f aca="false">IFERROR(O713/V713,0)</f>
        <v>6200</v>
      </c>
      <c r="X713" s="91" t="n">
        <f aca="false">O713/L713</f>
        <v>1.03333333333333</v>
      </c>
      <c r="Y713" s="92" t="str">
        <f aca="false">IFERROR(VLOOKUP(E:E,'Item Data Support Sheet'!A:J,6,0),0)</f>
        <v>FO021</v>
      </c>
      <c r="Z713" s="93" t="n">
        <f aca="false">IFERROR(VLOOKUP(E:E,'Item Data Support Sheet'!A:O,4,0),0)</f>
        <v>0</v>
      </c>
      <c r="AA713" s="93" t="n">
        <f aca="false">IFERROR(((N713)*(Z713/1000))+P713,0)</f>
        <v>0</v>
      </c>
      <c r="AB713" s="94" t="str">
        <f aca="false">IFERROR((O713*(Z713/1000)/(AA713))," ")</f>
        <v> </v>
      </c>
      <c r="AC713" s="95" t="n">
        <f aca="false">IFERROR((T713)/((T713)+O713),0)</f>
        <v>0</v>
      </c>
      <c r="AD713" s="96" t="n">
        <f aca="false">IFERROR(Q713/(Q713+N713),0)</f>
        <v>0</v>
      </c>
      <c r="AE713" s="91" t="n">
        <f aca="false">(N713-T713)/N713</f>
        <v>1</v>
      </c>
      <c r="AF713" s="97" t="n">
        <f aca="false">BR713</f>
        <v>0</v>
      </c>
      <c r="AG713" s="98" t="n">
        <f aca="false">K713-AF713</f>
        <v>6.8</v>
      </c>
      <c r="AH713" s="99" t="n">
        <f aca="false">IFERROR(AG713/K713," ")</f>
        <v>1</v>
      </c>
      <c r="AI713" s="100" t="n">
        <f aca="false">IFERROR(O713/K713,0)</f>
        <v>911.764705882353</v>
      </c>
      <c r="AJ713" s="101" t="n">
        <f aca="false">VLOOKUP(D713,'Standard Cycle time'!C:D,2,0)</f>
        <v>3.5</v>
      </c>
      <c r="AK713" s="101" t="n">
        <f aca="false">AG713*V713*3600/O713</f>
        <v>3.94838709677419</v>
      </c>
      <c r="AL713" s="102" t="n">
        <f aca="false">AJ713/AK713</f>
        <v>0.886437908496732</v>
      </c>
      <c r="AM713" s="99" t="n">
        <f aca="false">AE713*AL713*AH713</f>
        <v>0.886437908496732</v>
      </c>
      <c r="AN713" s="103" t="s">
        <v>1399</v>
      </c>
      <c r="AO713" s="112"/>
      <c r="AP713" s="105" t="n">
        <v>0</v>
      </c>
      <c r="AQ713" s="105" t="n">
        <v>0</v>
      </c>
      <c r="AR713" s="105" t="n">
        <v>0</v>
      </c>
      <c r="AS713" s="105" t="n">
        <v>0</v>
      </c>
      <c r="AT713" s="105" t="n">
        <v>0</v>
      </c>
      <c r="AU713" s="105" t="n">
        <v>0</v>
      </c>
      <c r="AV713" s="105" t="n">
        <v>0</v>
      </c>
      <c r="AW713" s="105" t="n">
        <v>0</v>
      </c>
      <c r="AX713" s="105" t="n">
        <v>0</v>
      </c>
      <c r="AY713" s="105" t="n">
        <v>0</v>
      </c>
      <c r="AZ713" s="105" t="n">
        <v>0</v>
      </c>
      <c r="BA713" s="105" t="n">
        <v>0</v>
      </c>
      <c r="BB713" s="105" t="n">
        <v>0</v>
      </c>
      <c r="BC713" s="105" t="n">
        <v>0</v>
      </c>
      <c r="BD713" s="105" t="n">
        <v>0</v>
      </c>
      <c r="BE713" s="105" t="n">
        <v>0</v>
      </c>
      <c r="BF713" s="105" t="n">
        <v>0</v>
      </c>
      <c r="BG713" s="105" t="n">
        <v>0</v>
      </c>
      <c r="BH713" s="105" t="n">
        <v>0</v>
      </c>
      <c r="BI713" s="105" t="n">
        <v>0</v>
      </c>
      <c r="BJ713" s="105" t="n">
        <v>0</v>
      </c>
      <c r="BK713" s="105" t="n">
        <v>0</v>
      </c>
      <c r="BL713" s="105" t="n">
        <v>0</v>
      </c>
      <c r="BM713" s="105" t="n">
        <v>0</v>
      </c>
      <c r="BN713" s="105" t="n">
        <v>0</v>
      </c>
      <c r="BO713" s="105" t="n">
        <v>0</v>
      </c>
      <c r="BP713" s="105" t="n">
        <v>0</v>
      </c>
      <c r="BQ713" s="105" t="n">
        <v>0</v>
      </c>
      <c r="BR713" s="106" t="n">
        <v>0</v>
      </c>
      <c r="BS713" s="106" t="n">
        <v>0</v>
      </c>
      <c r="BT713" s="107"/>
      <c r="BU713" s="107"/>
      <c r="BV713" s="107"/>
      <c r="BW713" s="107"/>
      <c r="BX713" s="107"/>
      <c r="BY713" s="107"/>
      <c r="BZ713" s="107"/>
      <c r="CA713" s="107"/>
      <c r="CB713" s="107"/>
      <c r="CC713" s="107"/>
      <c r="CD713" s="107"/>
      <c r="CE713" s="107"/>
      <c r="CF713" s="107"/>
      <c r="CG713" s="107"/>
      <c r="CH713" s="107"/>
      <c r="CI713" s="107"/>
      <c r="CJ713" s="107"/>
      <c r="CK713" s="107"/>
      <c r="CL713" s="107"/>
      <c r="CM713" s="107"/>
      <c r="CN713" s="107"/>
      <c r="CO713" s="107"/>
      <c r="CP713" s="107"/>
      <c r="CQ713" s="107"/>
      <c r="CR713" s="107"/>
      <c r="CS713" s="107"/>
      <c r="CT713" s="107"/>
      <c r="CU713" s="107"/>
      <c r="CV713" s="107"/>
    </row>
    <row r="714" customFormat="false" ht="14.9" hidden="false" customHeight="false" outlineLevel="0" collapsed="false">
      <c r="A714" s="74" t="n">
        <f aca="false">MONTH(B714)</f>
        <v>9</v>
      </c>
      <c r="B714" s="135" t="n">
        <v>44466</v>
      </c>
      <c r="C714" s="128" t="s">
        <v>70</v>
      </c>
      <c r="D714" s="77" t="str">
        <f aca="false">IFERROR(VLOOKUP(E:E,'Item Data Support Sheet'!A:O,7,0),"")</f>
        <v>BOTTLE MOLDED</v>
      </c>
      <c r="E714" s="80" t="s">
        <v>572</v>
      </c>
      <c r="F714" s="122" t="s">
        <v>589</v>
      </c>
      <c r="G714" s="137" t="s">
        <v>80</v>
      </c>
      <c r="H714" s="79" t="str">
        <f aca="false">IFERROR(VLOOKUP(E:E,'Item Data Support Sheet'!A:O,2,0),"")</f>
        <v>RPP 240 ML BOTTLE MOLDED</v>
      </c>
      <c r="I714" s="80" t="s">
        <v>1400</v>
      </c>
      <c r="J714" s="80" t="s">
        <v>815</v>
      </c>
      <c r="K714" s="81" t="n">
        <v>8</v>
      </c>
      <c r="L714" s="124" t="n">
        <v>2574</v>
      </c>
      <c r="M714" s="83" t="n">
        <f aca="false">IFERROR(L714/K714,0)</f>
        <v>321.75</v>
      </c>
      <c r="N714" s="84" t="n">
        <f aca="false">+O714+Q714+T714+U714</f>
        <v>1625</v>
      </c>
      <c r="O714" s="85" t="n">
        <v>1560</v>
      </c>
      <c r="P714" s="86" t="n">
        <v>0.3</v>
      </c>
      <c r="Q714" s="86" t="n">
        <v>26</v>
      </c>
      <c r="R714" s="132" t="n">
        <v>0</v>
      </c>
      <c r="S714" s="128" t="n">
        <v>0</v>
      </c>
      <c r="T714" s="132" t="n">
        <v>31</v>
      </c>
      <c r="U714" s="128" t="n">
        <v>8</v>
      </c>
      <c r="V714" s="128" t="n">
        <v>1</v>
      </c>
      <c r="W714" s="90" t="n">
        <f aca="false">IFERROR(O714/V714,0)</f>
        <v>1560</v>
      </c>
      <c r="X714" s="91" t="n">
        <f aca="false">O714/L714</f>
        <v>0.606060606060606</v>
      </c>
      <c r="Y714" s="92" t="str">
        <f aca="false">IFERROR(VLOOKUP(E:E,'Item Data Support Sheet'!A:J,6,0),0)</f>
        <v>HMC</v>
      </c>
      <c r="Z714" s="93" t="n">
        <f aca="false">IFERROR(VLOOKUP(E:E,'Item Data Support Sheet'!A:O,4,0),0)</f>
        <v>32.1</v>
      </c>
      <c r="AA714" s="93" t="n">
        <f aca="false">IFERROR(((N714)*(Z714/1000))+P714,0)</f>
        <v>52.4625</v>
      </c>
      <c r="AB714" s="94" t="n">
        <f aca="false">IFERROR((O714*(Z714/1000)/(AA714))," ")</f>
        <v>0.954510364546104</v>
      </c>
      <c r="AC714" s="95" t="n">
        <f aca="false">IFERROR((T714)/((T714)+O714),0)</f>
        <v>0.0194846008799497</v>
      </c>
      <c r="AD714" s="96" t="n">
        <f aca="false">IFERROR(Q714/(Q714+N714),0)</f>
        <v>0.015748031496063</v>
      </c>
      <c r="AE714" s="91" t="n">
        <f aca="false">(N714-T714)/N714</f>
        <v>0.980923076923077</v>
      </c>
      <c r="AF714" s="97" t="n">
        <f aca="false">BR714</f>
        <v>3</v>
      </c>
      <c r="AG714" s="98" t="n">
        <f aca="false">K714-AF714</f>
        <v>5</v>
      </c>
      <c r="AH714" s="99" t="n">
        <f aca="false">IFERROR(AG714/K714," ")</f>
        <v>0.625</v>
      </c>
      <c r="AI714" s="100" t="n">
        <f aca="false">IFERROR(O714/K714,0)</f>
        <v>195</v>
      </c>
      <c r="AJ714" s="101" t="n">
        <f aca="false">VLOOKUP(D714,'Standard Cycle time'!C:D,2,0)</f>
        <v>9</v>
      </c>
      <c r="AK714" s="101" t="n">
        <f aca="false">AG714*V714*3600/O714</f>
        <v>11.5384615384615</v>
      </c>
      <c r="AL714" s="102" t="n">
        <f aca="false">AJ714/AK714</f>
        <v>0.78</v>
      </c>
      <c r="AM714" s="99" t="n">
        <f aca="false">AE714*AL714*AH714</f>
        <v>0.4782</v>
      </c>
      <c r="AN714" s="103" t="n">
        <v>3693</v>
      </c>
      <c r="AO714" s="112" t="s">
        <v>1401</v>
      </c>
      <c r="AP714" s="105" t="n">
        <v>0</v>
      </c>
      <c r="AQ714" s="105" t="n">
        <v>0</v>
      </c>
      <c r="AR714" s="105" t="n">
        <v>90</v>
      </c>
      <c r="AS714" s="105" t="n">
        <v>0</v>
      </c>
      <c r="AT714" s="105" t="n">
        <v>0</v>
      </c>
      <c r="AU714" s="105" t="n">
        <v>0</v>
      </c>
      <c r="AV714" s="105" t="n">
        <v>0</v>
      </c>
      <c r="AW714" s="105" t="n">
        <v>60</v>
      </c>
      <c r="AX714" s="105" t="n">
        <v>0</v>
      </c>
      <c r="AY714" s="105" t="n">
        <v>0</v>
      </c>
      <c r="AZ714" s="105" t="n">
        <v>30</v>
      </c>
      <c r="BA714" s="105" t="n">
        <v>0</v>
      </c>
      <c r="BB714" s="105" t="n">
        <v>0</v>
      </c>
      <c r="BC714" s="105" t="n">
        <v>0</v>
      </c>
      <c r="BD714" s="105" t="n">
        <v>0</v>
      </c>
      <c r="BE714" s="105" t="n">
        <v>0</v>
      </c>
      <c r="BF714" s="105" t="n">
        <v>0</v>
      </c>
      <c r="BG714" s="105" t="n">
        <v>0</v>
      </c>
      <c r="BH714" s="105" t="n">
        <v>0</v>
      </c>
      <c r="BI714" s="105" t="n">
        <v>0</v>
      </c>
      <c r="BJ714" s="105" t="n">
        <v>0</v>
      </c>
      <c r="BK714" s="105" t="n">
        <v>0</v>
      </c>
      <c r="BL714" s="105" t="n">
        <v>0</v>
      </c>
      <c r="BM714" s="105" t="n">
        <v>0</v>
      </c>
      <c r="BN714" s="105" t="n">
        <v>0</v>
      </c>
      <c r="BO714" s="105" t="n">
        <v>0</v>
      </c>
      <c r="BP714" s="105" t="n">
        <v>0</v>
      </c>
      <c r="BQ714" s="105" t="n">
        <v>0</v>
      </c>
      <c r="BR714" s="106" t="n">
        <v>3</v>
      </c>
      <c r="BS714" s="106" t="n">
        <v>3.05</v>
      </c>
      <c r="BT714" s="107"/>
      <c r="BU714" s="107"/>
      <c r="BV714" s="107"/>
      <c r="BW714" s="107"/>
      <c r="BX714" s="107"/>
      <c r="BY714" s="107"/>
      <c r="BZ714" s="107"/>
      <c r="CA714" s="107"/>
      <c r="CB714" s="107"/>
      <c r="CC714" s="107"/>
      <c r="CD714" s="107"/>
      <c r="CE714" s="107"/>
      <c r="CF714" s="107"/>
      <c r="CG714" s="107"/>
      <c r="CH714" s="107"/>
      <c r="CI714" s="107"/>
      <c r="CJ714" s="107"/>
      <c r="CK714" s="107"/>
      <c r="CL714" s="107"/>
      <c r="CM714" s="107"/>
      <c r="CN714" s="107"/>
      <c r="CO714" s="107"/>
      <c r="CP714" s="107"/>
      <c r="CQ714" s="107"/>
      <c r="CR714" s="107"/>
      <c r="CS714" s="107"/>
      <c r="CT714" s="107"/>
      <c r="CU714" s="107"/>
      <c r="CV714" s="107"/>
    </row>
    <row r="715" customFormat="false" ht="14.9" hidden="false" customHeight="false" outlineLevel="0" collapsed="false">
      <c r="A715" s="74" t="n">
        <f aca="false">MONTH(B715)</f>
        <v>9</v>
      </c>
      <c r="B715" s="135" t="n">
        <v>44466</v>
      </c>
      <c r="C715" s="128" t="s">
        <v>70</v>
      </c>
      <c r="D715" s="77" t="str">
        <f aca="false">IFERROR(VLOOKUP(E:E,'Item Data Support Sheet'!A:O,7,0),"")</f>
        <v>NIPPLE MOLDED</v>
      </c>
      <c r="E715" s="80" t="s">
        <v>492</v>
      </c>
      <c r="F715" s="122" t="s">
        <v>137</v>
      </c>
      <c r="G715" s="137" t="s">
        <v>138</v>
      </c>
      <c r="H715" s="79" t="str">
        <f aca="false">IFERROR(VLOOKUP(E:E,'Item Data Support Sheet'!A:O,2,0),"")</f>
        <v>NIPPLE S TYPE LL SIZE INJECTION</v>
      </c>
      <c r="I715" s="80" t="s">
        <v>1402</v>
      </c>
      <c r="J715" s="80" t="s">
        <v>815</v>
      </c>
      <c r="K715" s="81" t="n">
        <v>8</v>
      </c>
      <c r="L715" s="124" t="n">
        <v>4815</v>
      </c>
      <c r="M715" s="83" t="n">
        <f aca="false">IFERROR(L715/K715,0)</f>
        <v>601.875</v>
      </c>
      <c r="N715" s="84" t="n">
        <f aca="false">+O715+Q715+T715+U715</f>
        <v>4132</v>
      </c>
      <c r="O715" s="85" t="n">
        <v>4040</v>
      </c>
      <c r="P715" s="86" t="n">
        <v>5.9</v>
      </c>
      <c r="Q715" s="86" t="n">
        <v>35</v>
      </c>
      <c r="R715" s="132" t="n">
        <v>0</v>
      </c>
      <c r="S715" s="128" t="n">
        <v>0</v>
      </c>
      <c r="T715" s="132" t="n">
        <v>57</v>
      </c>
      <c r="U715" s="128" t="n">
        <v>0</v>
      </c>
      <c r="V715" s="128" t="n">
        <v>1</v>
      </c>
      <c r="W715" s="90" t="n">
        <f aca="false">IFERROR(O715/V715,0)</f>
        <v>4040</v>
      </c>
      <c r="X715" s="91" t="n">
        <f aca="false">O715/L715</f>
        <v>0.839044652128764</v>
      </c>
      <c r="Y715" s="92" t="str">
        <f aca="false">IFERROR(VLOOKUP(E:E,'Item Data Support Sheet'!A:J,6,0),0)</f>
        <v>FO148</v>
      </c>
      <c r="Z715" s="93" t="n">
        <f aca="false">IFERROR(VLOOKUP(E:E,'Item Data Support Sheet'!A:O,4,0),0)</f>
        <v>6.8</v>
      </c>
      <c r="AA715" s="93" t="n">
        <f aca="false">IFERROR(((N715)*(Z715/1000))+P715,0)</f>
        <v>33.9976</v>
      </c>
      <c r="AB715" s="94" t="n">
        <f aca="false">IFERROR((O715*(Z715/1000)/(AA715))," ")</f>
        <v>0.808057039320423</v>
      </c>
      <c r="AC715" s="95" t="n">
        <f aca="false">IFERROR((T715)/((T715)+O715),0)</f>
        <v>0.0139126189895045</v>
      </c>
      <c r="AD715" s="96" t="n">
        <f aca="false">IFERROR(Q715/(Q715+N715),0)</f>
        <v>0.0083993280537557</v>
      </c>
      <c r="AE715" s="91" t="n">
        <f aca="false">(N715-T715)/N715</f>
        <v>0.98620522749274</v>
      </c>
      <c r="AF715" s="97" t="n">
        <f aca="false">BR715</f>
        <v>1.5</v>
      </c>
      <c r="AG715" s="98" t="n">
        <f aca="false">K715-AF715</f>
        <v>6.5</v>
      </c>
      <c r="AH715" s="99" t="n">
        <f aca="false">IFERROR(AG715/K715," ")</f>
        <v>0.8125</v>
      </c>
      <c r="AI715" s="100" t="n">
        <f aca="false">IFERROR(O715/K715,0)</f>
        <v>505</v>
      </c>
      <c r="AJ715" s="101" t="n">
        <f aca="false">VLOOKUP(D715,'Standard Cycle time'!C:D,2,0)</f>
        <v>5.25</v>
      </c>
      <c r="AK715" s="101" t="n">
        <f aca="false">AG715*V715*3600/O715</f>
        <v>5.79207920792079</v>
      </c>
      <c r="AL715" s="102" t="n">
        <f aca="false">AJ715/AK715</f>
        <v>0.906410256410256</v>
      </c>
      <c r="AM715" s="99" t="n">
        <f aca="false">AE715*AL715*AH715</f>
        <v>0.726299058163924</v>
      </c>
      <c r="AN715" s="103" t="n">
        <v>3660</v>
      </c>
      <c r="AO715" s="112" t="s">
        <v>1403</v>
      </c>
      <c r="AP715" s="105" t="n">
        <v>0</v>
      </c>
      <c r="AQ715" s="105" t="n">
        <v>0</v>
      </c>
      <c r="AR715" s="105" t="n">
        <v>0</v>
      </c>
      <c r="AS715" s="105" t="n">
        <v>0</v>
      </c>
      <c r="AT715" s="105" t="n">
        <v>0</v>
      </c>
      <c r="AU715" s="105" t="n">
        <v>30</v>
      </c>
      <c r="AV715" s="105" t="n">
        <v>0</v>
      </c>
      <c r="AW715" s="105" t="n">
        <v>0</v>
      </c>
      <c r="AX715" s="105" t="n">
        <v>60</v>
      </c>
      <c r="AY715" s="105" t="n">
        <v>0</v>
      </c>
      <c r="AZ715" s="105" t="n">
        <v>0</v>
      </c>
      <c r="BA715" s="105" t="n">
        <v>0</v>
      </c>
      <c r="BB715" s="105" t="n">
        <v>0</v>
      </c>
      <c r="BC715" s="105" t="n">
        <v>0</v>
      </c>
      <c r="BD715" s="105" t="n">
        <v>0</v>
      </c>
      <c r="BE715" s="105" t="n">
        <v>0</v>
      </c>
      <c r="BF715" s="105" t="n">
        <v>0</v>
      </c>
      <c r="BG715" s="105" t="n">
        <v>0</v>
      </c>
      <c r="BH715" s="105" t="n">
        <v>0</v>
      </c>
      <c r="BI715" s="105" t="n">
        <v>0</v>
      </c>
      <c r="BJ715" s="105" t="n">
        <v>0</v>
      </c>
      <c r="BK715" s="105" t="n">
        <v>0</v>
      </c>
      <c r="BL715" s="105" t="n">
        <v>0</v>
      </c>
      <c r="BM715" s="105" t="n">
        <v>0</v>
      </c>
      <c r="BN715" s="105" t="n">
        <v>0</v>
      </c>
      <c r="BO715" s="105" t="n">
        <v>0</v>
      </c>
      <c r="BP715" s="105" t="n">
        <v>0</v>
      </c>
      <c r="BQ715" s="105" t="n">
        <v>0</v>
      </c>
      <c r="BR715" s="106" t="n">
        <v>1.5</v>
      </c>
      <c r="BS715" s="106" t="n">
        <v>1.525</v>
      </c>
      <c r="BT715" s="107"/>
      <c r="BU715" s="107"/>
      <c r="BV715" s="107"/>
      <c r="BW715" s="107"/>
      <c r="BX715" s="107"/>
      <c r="BY715" s="107"/>
      <c r="BZ715" s="107"/>
      <c r="CA715" s="107"/>
      <c r="CB715" s="107"/>
      <c r="CC715" s="107"/>
      <c r="CD715" s="107"/>
      <c r="CE715" s="107"/>
      <c r="CF715" s="107"/>
      <c r="CG715" s="107"/>
      <c r="CH715" s="107"/>
      <c r="CI715" s="107"/>
      <c r="CJ715" s="107"/>
      <c r="CK715" s="107"/>
      <c r="CL715" s="107"/>
      <c r="CM715" s="107"/>
      <c r="CN715" s="107"/>
      <c r="CO715" s="107"/>
      <c r="CP715" s="107"/>
      <c r="CQ715" s="107"/>
      <c r="CR715" s="107"/>
      <c r="CS715" s="107"/>
      <c r="CT715" s="107"/>
      <c r="CU715" s="107"/>
      <c r="CV715" s="107"/>
    </row>
    <row r="716" customFormat="false" ht="14.9" hidden="false" customHeight="false" outlineLevel="0" collapsed="false">
      <c r="A716" s="74" t="n">
        <f aca="false">MONTH(B716)</f>
        <v>9</v>
      </c>
      <c r="B716" s="135" t="n">
        <v>44466</v>
      </c>
      <c r="C716" s="128" t="s">
        <v>70</v>
      </c>
      <c r="D716" s="77" t="str">
        <f aca="false">IFERROR(VLOOKUP(E:E,'Item Data Support Sheet'!A:O,7,0),"")</f>
        <v>NIPPLE PUNCH</v>
      </c>
      <c r="E716" s="80" t="s">
        <v>53</v>
      </c>
      <c r="F716" s="122"/>
      <c r="G716" s="137" t="s">
        <v>54</v>
      </c>
      <c r="H716" s="79" t="str">
        <f aca="false">IFERROR(VLOOKUP(E:E,'Item Data Support Sheet'!A:O,2,0),"")</f>
        <v>NIPPLE S TYPE S SIZE PUNCHED</v>
      </c>
      <c r="I716" s="80" t="s">
        <v>1404</v>
      </c>
      <c r="J716" s="80" t="s">
        <v>815</v>
      </c>
      <c r="K716" s="81" t="n">
        <v>4.5</v>
      </c>
      <c r="L716" s="124" t="n">
        <v>4000</v>
      </c>
      <c r="M716" s="83" t="n">
        <f aca="false">IFERROR(L716/K716,0)</f>
        <v>888.888888888889</v>
      </c>
      <c r="N716" s="84" t="n">
        <f aca="false">+O716+Q716+T716+U716</f>
        <v>4000</v>
      </c>
      <c r="O716" s="85" t="n">
        <v>4000</v>
      </c>
      <c r="P716" s="86" t="n">
        <v>0</v>
      </c>
      <c r="Q716" s="86" t="n">
        <v>0</v>
      </c>
      <c r="R716" s="132" t="n">
        <v>0</v>
      </c>
      <c r="S716" s="128" t="n">
        <v>0</v>
      </c>
      <c r="T716" s="132" t="n">
        <v>0</v>
      </c>
      <c r="U716" s="128" t="n">
        <v>0</v>
      </c>
      <c r="V716" s="128" t="n">
        <v>1</v>
      </c>
      <c r="W716" s="90" t="n">
        <f aca="false">IFERROR(O716/V716,0)</f>
        <v>4000</v>
      </c>
      <c r="X716" s="91" t="n">
        <f aca="false">O716/L716</f>
        <v>1</v>
      </c>
      <c r="Y716" s="92" t="str">
        <f aca="false">IFERROR(VLOOKUP(E:E,'Item Data Support Sheet'!A:J,6,0),0)</f>
        <v>FO015</v>
      </c>
      <c r="Z716" s="93" t="n">
        <f aca="false">IFERROR(VLOOKUP(E:E,'Item Data Support Sheet'!A:O,4,0),0)</f>
        <v>0</v>
      </c>
      <c r="AA716" s="93" t="n">
        <f aca="false">IFERROR(((N716)*(Z716/1000))+P716,0)</f>
        <v>0</v>
      </c>
      <c r="AB716" s="94" t="str">
        <f aca="false">IFERROR((O716*(Z716/1000)/(AA716))," ")</f>
        <v> </v>
      </c>
      <c r="AC716" s="95" t="n">
        <f aca="false">IFERROR((T716)/((T716)+O716),0)</f>
        <v>0</v>
      </c>
      <c r="AD716" s="96" t="n">
        <f aca="false">IFERROR(Q716/(Q716+N716),0)</f>
        <v>0</v>
      </c>
      <c r="AE716" s="91" t="n">
        <f aca="false">(N716-T716)/N716</f>
        <v>1</v>
      </c>
      <c r="AF716" s="97" t="n">
        <f aca="false">BR716</f>
        <v>0</v>
      </c>
      <c r="AG716" s="98" t="n">
        <f aca="false">K716-AF716</f>
        <v>4.5</v>
      </c>
      <c r="AH716" s="99" t="n">
        <f aca="false">IFERROR(AG716/K716," ")</f>
        <v>1</v>
      </c>
      <c r="AI716" s="100" t="n">
        <f aca="false">IFERROR(O716/K716,0)</f>
        <v>888.888888888889</v>
      </c>
      <c r="AJ716" s="101" t="n">
        <f aca="false">VLOOKUP(D716,'Standard Cycle time'!C:D,2,0)</f>
        <v>3.5</v>
      </c>
      <c r="AK716" s="101" t="n">
        <f aca="false">AG716*V716*3600/O716</f>
        <v>4.05</v>
      </c>
      <c r="AL716" s="102" t="n">
        <f aca="false">AJ716/AK716</f>
        <v>0.864197530864197</v>
      </c>
      <c r="AM716" s="99" t="n">
        <f aca="false">AE716*AL716*AH716</f>
        <v>0.864197530864197</v>
      </c>
      <c r="AN716" s="103" t="n">
        <v>3658</v>
      </c>
      <c r="AO716" s="112"/>
      <c r="AP716" s="105" t="n">
        <v>0</v>
      </c>
      <c r="AQ716" s="105" t="n">
        <v>0</v>
      </c>
      <c r="AR716" s="105" t="n">
        <v>0</v>
      </c>
      <c r="AS716" s="105" t="n">
        <v>0</v>
      </c>
      <c r="AT716" s="105" t="n">
        <v>0</v>
      </c>
      <c r="AU716" s="105" t="n">
        <v>0</v>
      </c>
      <c r="AV716" s="105" t="n">
        <v>0</v>
      </c>
      <c r="AW716" s="105" t="n">
        <v>0</v>
      </c>
      <c r="AX716" s="105" t="n">
        <v>0</v>
      </c>
      <c r="AY716" s="105" t="n">
        <v>0</v>
      </c>
      <c r="AZ716" s="105" t="n">
        <v>0</v>
      </c>
      <c r="BA716" s="105" t="n">
        <v>0</v>
      </c>
      <c r="BB716" s="105" t="n">
        <v>0</v>
      </c>
      <c r="BC716" s="105" t="n">
        <v>0</v>
      </c>
      <c r="BD716" s="105" t="n">
        <v>0</v>
      </c>
      <c r="BE716" s="105" t="n">
        <v>0</v>
      </c>
      <c r="BF716" s="105" t="n">
        <v>0</v>
      </c>
      <c r="BG716" s="105" t="n">
        <v>0</v>
      </c>
      <c r="BH716" s="105" t="n">
        <v>0</v>
      </c>
      <c r="BI716" s="105" t="n">
        <v>0</v>
      </c>
      <c r="BJ716" s="105" t="n">
        <v>0</v>
      </c>
      <c r="BK716" s="105" t="n">
        <v>0</v>
      </c>
      <c r="BL716" s="105" t="n">
        <v>0</v>
      </c>
      <c r="BM716" s="105" t="n">
        <v>0</v>
      </c>
      <c r="BN716" s="105" t="n">
        <v>0</v>
      </c>
      <c r="BO716" s="105" t="n">
        <v>0</v>
      </c>
      <c r="BP716" s="105" t="n">
        <v>0</v>
      </c>
      <c r="BQ716" s="105" t="n">
        <v>0</v>
      </c>
      <c r="BR716" s="106" t="n">
        <v>0</v>
      </c>
      <c r="BS716" s="106" t="n">
        <v>0</v>
      </c>
      <c r="BT716" s="107"/>
      <c r="BU716" s="107"/>
      <c r="BV716" s="107"/>
      <c r="BW716" s="107"/>
      <c r="BX716" s="107"/>
      <c r="BY716" s="107"/>
      <c r="BZ716" s="107"/>
      <c r="CA716" s="107"/>
      <c r="CB716" s="107"/>
      <c r="CC716" s="107"/>
      <c r="CD716" s="107"/>
      <c r="CE716" s="107"/>
      <c r="CF716" s="107"/>
      <c r="CG716" s="107"/>
      <c r="CH716" s="107"/>
      <c r="CI716" s="107"/>
      <c r="CJ716" s="107"/>
      <c r="CK716" s="107"/>
      <c r="CL716" s="107"/>
      <c r="CM716" s="107"/>
      <c r="CN716" s="107"/>
      <c r="CO716" s="107"/>
      <c r="CP716" s="107"/>
      <c r="CQ716" s="107"/>
      <c r="CR716" s="107"/>
      <c r="CS716" s="107"/>
      <c r="CT716" s="107"/>
      <c r="CU716" s="107"/>
      <c r="CV716" s="107"/>
    </row>
    <row r="717" customFormat="false" ht="14.9" hidden="false" customHeight="false" outlineLevel="0" collapsed="false">
      <c r="A717" s="74" t="n">
        <f aca="false">MONTH(B717)</f>
        <v>9</v>
      </c>
      <c r="B717" s="135" t="n">
        <v>44466</v>
      </c>
      <c r="C717" s="128" t="s">
        <v>70</v>
      </c>
      <c r="D717" s="77" t="str">
        <f aca="false">IFERROR(VLOOKUP(E:E,'Item Data Support Sheet'!A:O,7,0),"")</f>
        <v>NIPPLE PUNCH</v>
      </c>
      <c r="E717" s="80" t="s">
        <v>563</v>
      </c>
      <c r="F717" s="122"/>
      <c r="G717" s="137" t="s">
        <v>54</v>
      </c>
      <c r="H717" s="79" t="str">
        <f aca="false">IFERROR(VLOOKUP(E:E,'Item Data Support Sheet'!A:O,2,0),"")</f>
        <v>NIPPLE S TYPE LL SIZE PUNCHED</v>
      </c>
      <c r="I717" s="80" t="s">
        <v>1405</v>
      </c>
      <c r="J717" s="80" t="s">
        <v>815</v>
      </c>
      <c r="K717" s="81" t="n">
        <v>3.5</v>
      </c>
      <c r="L717" s="124" t="n">
        <v>3000</v>
      </c>
      <c r="M717" s="83" t="n">
        <f aca="false">IFERROR(L717/K717,0)</f>
        <v>857.142857142857</v>
      </c>
      <c r="N717" s="84" t="n">
        <f aca="false">+O717+Q717+T717+U717</f>
        <v>3000</v>
      </c>
      <c r="O717" s="85" t="n">
        <v>3000</v>
      </c>
      <c r="P717" s="86" t="n">
        <v>0</v>
      </c>
      <c r="Q717" s="86" t="n">
        <v>0</v>
      </c>
      <c r="R717" s="132" t="n">
        <v>0</v>
      </c>
      <c r="S717" s="128" t="n">
        <v>0</v>
      </c>
      <c r="T717" s="132" t="n">
        <v>0</v>
      </c>
      <c r="U717" s="128" t="n">
        <v>0</v>
      </c>
      <c r="V717" s="128" t="n">
        <v>1</v>
      </c>
      <c r="W717" s="90" t="n">
        <f aca="false">IFERROR(O717/V717,0)</f>
        <v>3000</v>
      </c>
      <c r="X717" s="91" t="n">
        <f aca="false">O717/L717</f>
        <v>1</v>
      </c>
      <c r="Y717" s="92" t="str">
        <f aca="false">IFERROR(VLOOKUP(E:E,'Item Data Support Sheet'!A:J,6,0),0)</f>
        <v>FO150</v>
      </c>
      <c r="Z717" s="93" t="n">
        <f aca="false">IFERROR(VLOOKUP(E:E,'Item Data Support Sheet'!A:O,4,0),0)</f>
        <v>0</v>
      </c>
      <c r="AA717" s="93" t="n">
        <f aca="false">IFERROR(((N717)*(Z717/1000))+P717,0)</f>
        <v>0</v>
      </c>
      <c r="AB717" s="94" t="str">
        <f aca="false">IFERROR((O717*(Z717/1000)/(AA717))," ")</f>
        <v> </v>
      </c>
      <c r="AC717" s="95" t="n">
        <f aca="false">IFERROR((T717)/((T717)+O717),0)</f>
        <v>0</v>
      </c>
      <c r="AD717" s="96" t="n">
        <f aca="false">IFERROR(Q717/(Q717+N717),0)</f>
        <v>0</v>
      </c>
      <c r="AE717" s="91" t="n">
        <f aca="false">(N717-T717)/N717</f>
        <v>1</v>
      </c>
      <c r="AF717" s="97" t="n">
        <f aca="false">BR717</f>
        <v>0</v>
      </c>
      <c r="AG717" s="98" t="n">
        <f aca="false">K717-AF717</f>
        <v>3.5</v>
      </c>
      <c r="AH717" s="99" t="n">
        <f aca="false">IFERROR(AG717/K717," ")</f>
        <v>1</v>
      </c>
      <c r="AI717" s="100" t="n">
        <f aca="false">IFERROR(O717/K717,0)</f>
        <v>857.142857142857</v>
      </c>
      <c r="AJ717" s="101" t="n">
        <f aca="false">VLOOKUP(D717,'Standard Cycle time'!C:D,2,0)</f>
        <v>3.5</v>
      </c>
      <c r="AK717" s="101" t="n">
        <f aca="false">AG717*V717*3600/O717</f>
        <v>4.2</v>
      </c>
      <c r="AL717" s="102" t="n">
        <f aca="false">AJ717/AK717</f>
        <v>0.833333333333333</v>
      </c>
      <c r="AM717" s="99" t="n">
        <f aca="false">AE717*AL717*AH717</f>
        <v>0.833333333333333</v>
      </c>
      <c r="AN717" s="103" t="n">
        <v>3659</v>
      </c>
      <c r="AO717" s="112"/>
      <c r="AP717" s="105" t="n">
        <v>0</v>
      </c>
      <c r="AQ717" s="105" t="n">
        <v>0</v>
      </c>
      <c r="AR717" s="105" t="n">
        <v>0</v>
      </c>
      <c r="AS717" s="105" t="n">
        <v>0</v>
      </c>
      <c r="AT717" s="105" t="n">
        <v>0</v>
      </c>
      <c r="AU717" s="105" t="n">
        <v>0</v>
      </c>
      <c r="AV717" s="105" t="n">
        <v>0</v>
      </c>
      <c r="AW717" s="105" t="n">
        <v>0</v>
      </c>
      <c r="AX717" s="105" t="n">
        <v>0</v>
      </c>
      <c r="AY717" s="105" t="n">
        <v>0</v>
      </c>
      <c r="AZ717" s="105" t="n">
        <v>0</v>
      </c>
      <c r="BA717" s="105" t="n">
        <v>0</v>
      </c>
      <c r="BB717" s="105" t="n">
        <v>0</v>
      </c>
      <c r="BC717" s="105" t="n">
        <v>0</v>
      </c>
      <c r="BD717" s="105" t="n">
        <v>0</v>
      </c>
      <c r="BE717" s="105" t="n">
        <v>0</v>
      </c>
      <c r="BF717" s="105" t="n">
        <v>0</v>
      </c>
      <c r="BG717" s="105" t="n">
        <v>0</v>
      </c>
      <c r="BH717" s="105" t="n">
        <v>0</v>
      </c>
      <c r="BI717" s="105" t="n">
        <v>0</v>
      </c>
      <c r="BJ717" s="105" t="n">
        <v>0</v>
      </c>
      <c r="BK717" s="105" t="n">
        <v>0</v>
      </c>
      <c r="BL717" s="105" t="n">
        <v>0</v>
      </c>
      <c r="BM717" s="105" t="n">
        <v>0</v>
      </c>
      <c r="BN717" s="105" t="n">
        <v>0</v>
      </c>
      <c r="BO717" s="105" t="n">
        <v>0</v>
      </c>
      <c r="BP717" s="105" t="n">
        <v>0</v>
      </c>
      <c r="BQ717" s="105" t="n">
        <v>0</v>
      </c>
      <c r="BR717" s="106" t="n">
        <v>0</v>
      </c>
      <c r="BS717" s="106" t="n">
        <v>0</v>
      </c>
      <c r="BT717" s="107"/>
      <c r="BU717" s="107"/>
      <c r="BV717" s="107"/>
      <c r="BW717" s="107"/>
      <c r="BX717" s="107"/>
      <c r="BY717" s="107"/>
      <c r="BZ717" s="107"/>
      <c r="CA717" s="107"/>
      <c r="CB717" s="107"/>
      <c r="CC717" s="107"/>
      <c r="CD717" s="107"/>
      <c r="CE717" s="107"/>
      <c r="CF717" s="107"/>
      <c r="CG717" s="107"/>
      <c r="CH717" s="107"/>
      <c r="CI717" s="107"/>
      <c r="CJ717" s="107"/>
      <c r="CK717" s="107"/>
      <c r="CL717" s="107"/>
      <c r="CM717" s="107"/>
      <c r="CN717" s="107"/>
      <c r="CO717" s="107"/>
      <c r="CP717" s="107"/>
      <c r="CQ717" s="107"/>
      <c r="CR717" s="107"/>
      <c r="CS717" s="107"/>
      <c r="CT717" s="107"/>
      <c r="CU717" s="107"/>
      <c r="CV717" s="107"/>
    </row>
    <row r="718" customFormat="false" ht="14.9" hidden="false" customHeight="false" outlineLevel="0" collapsed="false">
      <c r="A718" s="74" t="n">
        <f aca="false">MONTH(B718)</f>
        <v>9</v>
      </c>
      <c r="B718" s="135" t="n">
        <v>44466</v>
      </c>
      <c r="C718" s="128" t="s">
        <v>70</v>
      </c>
      <c r="D718" s="77" t="str">
        <f aca="false">IFERROR(VLOOKUP(E:E,'Item Data Support Sheet'!A:O,7,0),"")</f>
        <v>CAP MOLDED</v>
      </c>
      <c r="E718" s="80" t="s">
        <v>343</v>
      </c>
      <c r="F718" s="122"/>
      <c r="G718" s="137" t="s">
        <v>1211</v>
      </c>
      <c r="H718" s="79" t="str">
        <f aca="false">IFERROR(VLOOKUP(E:E,'Item Data Support Sheet'!A:O,2,0),"")</f>
        <v>CAP S TYPE MOLDED BLUE</v>
      </c>
      <c r="I718" s="80" t="s">
        <v>1406</v>
      </c>
      <c r="J718" s="80" t="s">
        <v>815</v>
      </c>
      <c r="K718" s="81" t="n">
        <v>8</v>
      </c>
      <c r="L718" s="124" t="n">
        <v>4137</v>
      </c>
      <c r="M718" s="83" t="n">
        <f aca="false">IFERROR(L718/K718,0)</f>
        <v>517.125</v>
      </c>
      <c r="N718" s="84" t="n">
        <f aca="false">+O718+Q718+T718+U718</f>
        <v>4504</v>
      </c>
      <c r="O718" s="85" t="n">
        <v>4500</v>
      </c>
      <c r="P718" s="86" t="n">
        <v>0</v>
      </c>
      <c r="Q718" s="86" t="n">
        <v>0</v>
      </c>
      <c r="R718" s="132" t="n">
        <v>0</v>
      </c>
      <c r="S718" s="128" t="n">
        <v>0</v>
      </c>
      <c r="T718" s="132" t="n">
        <v>4</v>
      </c>
      <c r="U718" s="128" t="n">
        <v>0</v>
      </c>
      <c r="V718" s="128" t="n">
        <v>1</v>
      </c>
      <c r="W718" s="90" t="n">
        <f aca="false">IFERROR(O718/V718,0)</f>
        <v>4500</v>
      </c>
      <c r="X718" s="91" t="n">
        <f aca="false">O718/L718</f>
        <v>1.08774474256708</v>
      </c>
      <c r="Y718" s="92" t="str">
        <f aca="false">IFERROR(VLOOKUP(E:E,'Item Data Support Sheet'!A:J,6,0),0)</f>
        <v>RM000114</v>
      </c>
      <c r="Z718" s="93" t="n">
        <f aca="false">IFERROR(VLOOKUP(E:E,'Item Data Support Sheet'!A:O,4,0),0)</f>
        <v>7.3</v>
      </c>
      <c r="AA718" s="93" t="n">
        <f aca="false">IFERROR(((N718)*(Z718/1000))+P718,0)</f>
        <v>32.8792</v>
      </c>
      <c r="AB718" s="94" t="n">
        <f aca="false">IFERROR((O718*(Z718/1000)/(AA718))," ")</f>
        <v>0.99911190053286</v>
      </c>
      <c r="AC718" s="95" t="n">
        <f aca="false">IFERROR((T718)/((T718)+O718),0)</f>
        <v>0.00088809946714032</v>
      </c>
      <c r="AD718" s="96" t="n">
        <f aca="false">IFERROR(Q718/(Q718+N718),0)</f>
        <v>0</v>
      </c>
      <c r="AE718" s="91" t="n">
        <f aca="false">(N718-T718)/N718</f>
        <v>0.99911190053286</v>
      </c>
      <c r="AF718" s="97" t="n">
        <f aca="false">BR718</f>
        <v>0</v>
      </c>
      <c r="AG718" s="98" t="n">
        <f aca="false">K718-AF718</f>
        <v>8</v>
      </c>
      <c r="AH718" s="99" t="n">
        <f aca="false">IFERROR(AG718/K718," ")</f>
        <v>1</v>
      </c>
      <c r="AI718" s="100" t="n">
        <f aca="false">IFERROR(O718/K718,0)</f>
        <v>562.5</v>
      </c>
      <c r="AJ718" s="101" t="n">
        <f aca="false">VLOOKUP(D718,'Standard Cycle time'!C:D,2,0)</f>
        <v>6</v>
      </c>
      <c r="AK718" s="101" t="n">
        <f aca="false">AG718*V718*3600/O718</f>
        <v>6.4</v>
      </c>
      <c r="AL718" s="102" t="n">
        <f aca="false">AJ718/AK718</f>
        <v>0.9375</v>
      </c>
      <c r="AM718" s="99" t="n">
        <f aca="false">AE718*AL718*AH718</f>
        <v>0.936667406749556</v>
      </c>
      <c r="AN718" s="103" t="n">
        <v>3774</v>
      </c>
      <c r="AO718" s="112"/>
      <c r="AP718" s="105" t="n">
        <v>0</v>
      </c>
      <c r="AQ718" s="105" t="n">
        <v>0</v>
      </c>
      <c r="AR718" s="105" t="n">
        <v>0</v>
      </c>
      <c r="AS718" s="105" t="n">
        <v>0</v>
      </c>
      <c r="AT718" s="105" t="n">
        <v>0</v>
      </c>
      <c r="AU718" s="105" t="n">
        <v>0</v>
      </c>
      <c r="AV718" s="105" t="n">
        <v>0</v>
      </c>
      <c r="AW718" s="105" t="n">
        <v>0</v>
      </c>
      <c r="AX718" s="105" t="n">
        <v>0</v>
      </c>
      <c r="AY718" s="105" t="n">
        <v>0</v>
      </c>
      <c r="AZ718" s="105" t="n">
        <v>0</v>
      </c>
      <c r="BA718" s="105" t="n">
        <v>0</v>
      </c>
      <c r="BB718" s="105" t="n">
        <v>0</v>
      </c>
      <c r="BC718" s="105" t="n">
        <v>0</v>
      </c>
      <c r="BD718" s="105" t="n">
        <v>0</v>
      </c>
      <c r="BE718" s="105" t="n">
        <v>0</v>
      </c>
      <c r="BF718" s="105" t="n">
        <v>0</v>
      </c>
      <c r="BG718" s="105" t="n">
        <v>0</v>
      </c>
      <c r="BH718" s="105" t="n">
        <v>0</v>
      </c>
      <c r="BI718" s="105" t="n">
        <v>0</v>
      </c>
      <c r="BJ718" s="105" t="n">
        <v>0</v>
      </c>
      <c r="BK718" s="105" t="n">
        <v>0</v>
      </c>
      <c r="BL718" s="105" t="n">
        <v>0</v>
      </c>
      <c r="BM718" s="105" t="n">
        <v>0</v>
      </c>
      <c r="BN718" s="105" t="n">
        <v>0</v>
      </c>
      <c r="BO718" s="105" t="n">
        <v>0</v>
      </c>
      <c r="BP718" s="105" t="n">
        <v>0</v>
      </c>
      <c r="BQ718" s="105" t="n">
        <v>0</v>
      </c>
      <c r="BR718" s="106" t="n">
        <v>0</v>
      </c>
      <c r="BS718" s="106" t="n">
        <v>0</v>
      </c>
      <c r="BT718" s="107"/>
      <c r="BU718" s="107"/>
      <c r="BV718" s="107"/>
      <c r="BW718" s="107"/>
      <c r="BX718" s="107"/>
      <c r="BY718" s="107"/>
      <c r="BZ718" s="107"/>
      <c r="CA718" s="107"/>
      <c r="CB718" s="107"/>
      <c r="CC718" s="107"/>
      <c r="CD718" s="107"/>
      <c r="CE718" s="107"/>
      <c r="CF718" s="107"/>
      <c r="CG718" s="107"/>
      <c r="CH718" s="107"/>
      <c r="CI718" s="107"/>
      <c r="CJ718" s="107"/>
      <c r="CK718" s="107"/>
      <c r="CL718" s="107"/>
      <c r="CM718" s="107"/>
      <c r="CN718" s="107"/>
      <c r="CO718" s="107"/>
      <c r="CP718" s="107"/>
      <c r="CQ718" s="107"/>
      <c r="CR718" s="107"/>
      <c r="CS718" s="107"/>
      <c r="CT718" s="107"/>
      <c r="CU718" s="107"/>
      <c r="CV718" s="107"/>
    </row>
    <row r="719" customFormat="false" ht="14.9" hidden="false" customHeight="false" outlineLevel="0" collapsed="false">
      <c r="A719" s="74" t="n">
        <f aca="false">MONTH(B719)</f>
        <v>9</v>
      </c>
      <c r="B719" s="135" t="n">
        <v>44466</v>
      </c>
      <c r="C719" s="128" t="s">
        <v>152</v>
      </c>
      <c r="D719" s="77" t="str">
        <f aca="false">IFERROR(VLOOKUP(E:E,'Item Data Support Sheet'!A:O,7,0),"")</f>
        <v>NIPPLE MOLDED</v>
      </c>
      <c r="E719" s="80" t="s">
        <v>492</v>
      </c>
      <c r="F719" s="122" t="s">
        <v>137</v>
      </c>
      <c r="G719" s="137" t="s">
        <v>138</v>
      </c>
      <c r="H719" s="79" t="str">
        <f aca="false">IFERROR(VLOOKUP(E:E,'Item Data Support Sheet'!A:O,2,0),"")</f>
        <v>NIPPLE S TYPE LL SIZE INJECTION</v>
      </c>
      <c r="I719" s="80" t="s">
        <v>1407</v>
      </c>
      <c r="J719" s="80" t="s">
        <v>143</v>
      </c>
      <c r="K719" s="81" t="n">
        <v>8</v>
      </c>
      <c r="L719" s="124" t="n">
        <v>4815</v>
      </c>
      <c r="M719" s="83" t="n">
        <f aca="false">IFERROR(L719/K719,0)</f>
        <v>601.875</v>
      </c>
      <c r="N719" s="84" t="n">
        <f aca="false">+O719+Q719+T719+U719</f>
        <v>2108</v>
      </c>
      <c r="O719" s="85" t="n">
        <v>2000</v>
      </c>
      <c r="P719" s="86" t="n">
        <v>0.85</v>
      </c>
      <c r="Q719" s="86" t="n">
        <v>74</v>
      </c>
      <c r="R719" s="132" t="n">
        <v>0</v>
      </c>
      <c r="S719" s="128" t="n">
        <v>0</v>
      </c>
      <c r="T719" s="132" t="n">
        <v>26</v>
      </c>
      <c r="U719" s="128" t="n">
        <v>8</v>
      </c>
      <c r="V719" s="128" t="n">
        <v>1</v>
      </c>
      <c r="W719" s="90" t="n">
        <f aca="false">IFERROR(O719/V719,0)</f>
        <v>2000</v>
      </c>
      <c r="X719" s="91" t="n">
        <f aca="false">O719/L719</f>
        <v>0.415368639667705</v>
      </c>
      <c r="Y719" s="92" t="str">
        <f aca="false">IFERROR(VLOOKUP(E:E,'Item Data Support Sheet'!A:J,6,0),0)</f>
        <v>FO148</v>
      </c>
      <c r="Z719" s="93" t="n">
        <f aca="false">IFERROR(VLOOKUP(E:E,'Item Data Support Sheet'!A:O,4,0),0)</f>
        <v>6.8</v>
      </c>
      <c r="AA719" s="93" t="n">
        <f aca="false">IFERROR(((N719)*(Z719/1000))+P719,0)</f>
        <v>15.1844</v>
      </c>
      <c r="AB719" s="94" t="n">
        <f aca="false">IFERROR((O719*(Z719/1000)/(AA719))," ")</f>
        <v>0.895656068069861</v>
      </c>
      <c r="AC719" s="95" t="n">
        <f aca="false">IFERROR((T719)/((T719)+O719),0)</f>
        <v>0.0128331688055281</v>
      </c>
      <c r="AD719" s="96" t="n">
        <f aca="false">IFERROR(Q719/(Q719+N719),0)</f>
        <v>0.0339138405132906</v>
      </c>
      <c r="AE719" s="91" t="n">
        <f aca="false">(N719-T719)/N719</f>
        <v>0.987666034155598</v>
      </c>
      <c r="AF719" s="97" t="n">
        <f aca="false">BR719</f>
        <v>5</v>
      </c>
      <c r="AG719" s="98" t="n">
        <f aca="false">K719-AF719</f>
        <v>3</v>
      </c>
      <c r="AH719" s="99" t="n">
        <f aca="false">IFERROR(AG719/K719," ")</f>
        <v>0.375</v>
      </c>
      <c r="AI719" s="100" t="n">
        <f aca="false">IFERROR(O719/K719,0)</f>
        <v>250</v>
      </c>
      <c r="AJ719" s="101" t="n">
        <f aca="false">VLOOKUP(D719,'Standard Cycle time'!C:D,2,0)</f>
        <v>5.25</v>
      </c>
      <c r="AK719" s="101" t="n">
        <f aca="false">AG719*V719*3600/O719</f>
        <v>5.4</v>
      </c>
      <c r="AL719" s="102" t="n">
        <f aca="false">AJ719/AK719</f>
        <v>0.972222222222222</v>
      </c>
      <c r="AM719" s="99" t="n">
        <f aca="false">AE719*AL719*AH719</f>
        <v>0.360086574952562</v>
      </c>
      <c r="AN719" s="103" t="n">
        <v>3664</v>
      </c>
      <c r="AO719" s="112" t="s">
        <v>1408</v>
      </c>
      <c r="AP719" s="105" t="n">
        <v>0</v>
      </c>
      <c r="AQ719" s="105" t="n">
        <v>0</v>
      </c>
      <c r="AR719" s="105" t="n">
        <v>0</v>
      </c>
      <c r="AS719" s="105" t="n">
        <v>0</v>
      </c>
      <c r="AT719" s="105" t="n">
        <v>0</v>
      </c>
      <c r="AU719" s="105" t="n">
        <v>160</v>
      </c>
      <c r="AV719" s="105" t="n">
        <v>80</v>
      </c>
      <c r="AW719" s="105" t="n">
        <v>60</v>
      </c>
      <c r="AX719" s="105" t="n">
        <v>0</v>
      </c>
      <c r="AY719" s="105" t="n">
        <v>0</v>
      </c>
      <c r="AZ719" s="105" t="n">
        <v>0</v>
      </c>
      <c r="BA719" s="105" t="n">
        <v>0</v>
      </c>
      <c r="BB719" s="105" t="n">
        <v>0</v>
      </c>
      <c r="BC719" s="105" t="n">
        <v>0</v>
      </c>
      <c r="BD719" s="105" t="n">
        <v>0</v>
      </c>
      <c r="BE719" s="105" t="n">
        <v>0</v>
      </c>
      <c r="BF719" s="105" t="n">
        <v>0</v>
      </c>
      <c r="BG719" s="105" t="n">
        <v>0</v>
      </c>
      <c r="BH719" s="105" t="n">
        <v>0</v>
      </c>
      <c r="BI719" s="105" t="n">
        <v>0</v>
      </c>
      <c r="BJ719" s="105" t="n">
        <v>0</v>
      </c>
      <c r="BK719" s="105" t="n">
        <v>0</v>
      </c>
      <c r="BL719" s="105" t="n">
        <v>0</v>
      </c>
      <c r="BM719" s="105" t="n">
        <v>0</v>
      </c>
      <c r="BN719" s="105" t="n">
        <v>0</v>
      </c>
      <c r="BO719" s="105" t="n">
        <v>0</v>
      </c>
      <c r="BP719" s="105" t="n">
        <v>0</v>
      </c>
      <c r="BQ719" s="105" t="n">
        <v>0</v>
      </c>
      <c r="BR719" s="106" t="n">
        <v>5</v>
      </c>
      <c r="BS719" s="106" t="n">
        <v>5.08333333333333</v>
      </c>
      <c r="BT719" s="107"/>
      <c r="BU719" s="107"/>
      <c r="BV719" s="107"/>
      <c r="BW719" s="107"/>
      <c r="BX719" s="107"/>
      <c r="BY719" s="107"/>
      <c r="BZ719" s="107"/>
      <c r="CA719" s="107"/>
      <c r="CB719" s="107"/>
      <c r="CC719" s="107"/>
      <c r="CD719" s="107"/>
      <c r="CE719" s="107"/>
      <c r="CF719" s="107"/>
      <c r="CG719" s="107"/>
      <c r="CH719" s="107"/>
      <c r="CI719" s="107"/>
      <c r="CJ719" s="107"/>
      <c r="CK719" s="107"/>
      <c r="CL719" s="107"/>
      <c r="CM719" s="107"/>
      <c r="CN719" s="107"/>
      <c r="CO719" s="107"/>
      <c r="CP719" s="107"/>
      <c r="CQ719" s="107"/>
      <c r="CR719" s="107"/>
      <c r="CS719" s="107"/>
      <c r="CT719" s="107"/>
      <c r="CU719" s="107"/>
      <c r="CV719" s="107"/>
    </row>
    <row r="720" customFormat="false" ht="14.9" hidden="false" customHeight="false" outlineLevel="0" collapsed="false">
      <c r="A720" s="74" t="n">
        <f aca="false">MONTH(B720)</f>
        <v>9</v>
      </c>
      <c r="B720" s="135" t="n">
        <v>44466</v>
      </c>
      <c r="C720" s="128" t="s">
        <v>152</v>
      </c>
      <c r="D720" s="77" t="str">
        <f aca="false">IFERROR(VLOOKUP(E:E,'Item Data Support Sheet'!A:O,7,0),"")</f>
        <v>CAP MOLDED</v>
      </c>
      <c r="E720" s="80" t="s">
        <v>343</v>
      </c>
      <c r="F720" s="122"/>
      <c r="G720" s="137" t="s">
        <v>1211</v>
      </c>
      <c r="H720" s="79" t="str">
        <f aca="false">IFERROR(VLOOKUP(E:E,'Item Data Support Sheet'!A:O,2,0),"")</f>
        <v>CAP S TYPE MOLDED BLUE</v>
      </c>
      <c r="I720" s="80" t="s">
        <v>1409</v>
      </c>
      <c r="J720" s="80" t="s">
        <v>143</v>
      </c>
      <c r="K720" s="81" t="n">
        <v>6</v>
      </c>
      <c r="L720" s="124" t="n">
        <v>3000</v>
      </c>
      <c r="M720" s="83" t="n">
        <f aca="false">IFERROR(L720/K720,0)</f>
        <v>500</v>
      </c>
      <c r="N720" s="84" t="n">
        <f aca="false">+O720+Q720+T720+U720</f>
        <v>2893</v>
      </c>
      <c r="O720" s="85" t="n">
        <v>2885</v>
      </c>
      <c r="P720" s="86" t="n">
        <v>0</v>
      </c>
      <c r="Q720" s="86" t="n">
        <v>0</v>
      </c>
      <c r="R720" s="132" t="n">
        <v>0</v>
      </c>
      <c r="S720" s="128" t="n">
        <v>0</v>
      </c>
      <c r="T720" s="132" t="n">
        <v>0</v>
      </c>
      <c r="U720" s="128" t="n">
        <v>8</v>
      </c>
      <c r="V720" s="128" t="n">
        <v>1</v>
      </c>
      <c r="W720" s="90" t="n">
        <f aca="false">IFERROR(O720/V720,0)</f>
        <v>2885</v>
      </c>
      <c r="X720" s="91" t="n">
        <f aca="false">O720/L720</f>
        <v>0.961666666666667</v>
      </c>
      <c r="Y720" s="92" t="str">
        <f aca="false">IFERROR(VLOOKUP(E:E,'Item Data Support Sheet'!A:J,6,0),0)</f>
        <v>RM000114</v>
      </c>
      <c r="Z720" s="93" t="n">
        <f aca="false">IFERROR(VLOOKUP(E:E,'Item Data Support Sheet'!A:O,4,0),0)</f>
        <v>7.3</v>
      </c>
      <c r="AA720" s="93" t="n">
        <f aca="false">IFERROR(((N720)*(Z720/1000))+P720,0)</f>
        <v>21.1189</v>
      </c>
      <c r="AB720" s="94" t="n">
        <f aca="false">IFERROR((O720*(Z720/1000)/(AA720))," ")</f>
        <v>0.997234704459039</v>
      </c>
      <c r="AC720" s="95" t="n">
        <f aca="false">IFERROR((T720)/((T720)+O720),0)</f>
        <v>0</v>
      </c>
      <c r="AD720" s="96" t="n">
        <f aca="false">IFERROR(Q720/(Q720+N720),0)</f>
        <v>0</v>
      </c>
      <c r="AE720" s="91" t="n">
        <f aca="false">(N720-T720)/N720</f>
        <v>1</v>
      </c>
      <c r="AF720" s="97" t="n">
        <f aca="false">BR720</f>
        <v>0</v>
      </c>
      <c r="AG720" s="98" t="n">
        <f aca="false">K720-AF720</f>
        <v>6</v>
      </c>
      <c r="AH720" s="99" t="n">
        <f aca="false">IFERROR(AG720/K720," ")</f>
        <v>1</v>
      </c>
      <c r="AI720" s="100" t="n">
        <f aca="false">IFERROR(O720/K720,0)</f>
        <v>480.833333333333</v>
      </c>
      <c r="AJ720" s="101" t="n">
        <f aca="false">VLOOKUP(D720,'Standard Cycle time'!C:D,2,0)</f>
        <v>6</v>
      </c>
      <c r="AK720" s="101" t="n">
        <f aca="false">AG720*V720*3600/O720</f>
        <v>7.48700173310225</v>
      </c>
      <c r="AL720" s="102" t="n">
        <f aca="false">AJ720/AK720</f>
        <v>0.801388888888889</v>
      </c>
      <c r="AM720" s="99" t="n">
        <f aca="false">AE720*AL720*AH720</f>
        <v>0.801388888888889</v>
      </c>
      <c r="AN720" s="103" t="n">
        <v>3661</v>
      </c>
      <c r="AO720" s="112" t="s">
        <v>1410</v>
      </c>
      <c r="AP720" s="105" t="n">
        <v>0</v>
      </c>
      <c r="AQ720" s="105" t="n">
        <v>0</v>
      </c>
      <c r="AR720" s="105" t="n">
        <v>0</v>
      </c>
      <c r="AS720" s="105" t="n">
        <v>0</v>
      </c>
      <c r="AT720" s="105" t="n">
        <v>0</v>
      </c>
      <c r="AU720" s="105" t="n">
        <v>0</v>
      </c>
      <c r="AV720" s="105" t="n">
        <v>0</v>
      </c>
      <c r="AW720" s="105" t="n">
        <v>0</v>
      </c>
      <c r="AX720" s="105" t="n">
        <v>0</v>
      </c>
      <c r="AY720" s="105" t="n">
        <v>0</v>
      </c>
      <c r="AZ720" s="105" t="n">
        <v>0</v>
      </c>
      <c r="BA720" s="105" t="n">
        <v>0</v>
      </c>
      <c r="BB720" s="105" t="n">
        <v>0</v>
      </c>
      <c r="BC720" s="105" t="n">
        <v>0</v>
      </c>
      <c r="BD720" s="105" t="n">
        <v>0</v>
      </c>
      <c r="BE720" s="105" t="n">
        <v>0</v>
      </c>
      <c r="BF720" s="105" t="n">
        <v>0</v>
      </c>
      <c r="BG720" s="105" t="n">
        <v>0</v>
      </c>
      <c r="BH720" s="105" t="n">
        <v>0</v>
      </c>
      <c r="BI720" s="105" t="n">
        <v>0</v>
      </c>
      <c r="BJ720" s="105" t="n">
        <v>0</v>
      </c>
      <c r="BK720" s="105" t="n">
        <v>0</v>
      </c>
      <c r="BL720" s="105" t="n">
        <v>0</v>
      </c>
      <c r="BM720" s="105" t="n">
        <v>0</v>
      </c>
      <c r="BN720" s="105" t="n">
        <v>0</v>
      </c>
      <c r="BO720" s="105" t="n">
        <v>0</v>
      </c>
      <c r="BP720" s="105" t="n">
        <v>0</v>
      </c>
      <c r="BQ720" s="105" t="n">
        <v>0</v>
      </c>
      <c r="BR720" s="106" t="n">
        <v>0</v>
      </c>
      <c r="BS720" s="106" t="n">
        <v>0</v>
      </c>
      <c r="BT720" s="107"/>
      <c r="BU720" s="107"/>
      <c r="BV720" s="107"/>
      <c r="BW720" s="107"/>
      <c r="BX720" s="107"/>
      <c r="BY720" s="107"/>
      <c r="BZ720" s="107"/>
      <c r="CA720" s="107"/>
      <c r="CB720" s="107"/>
      <c r="CC720" s="107"/>
      <c r="CD720" s="107"/>
      <c r="CE720" s="107"/>
      <c r="CF720" s="107"/>
      <c r="CG720" s="107"/>
      <c r="CH720" s="107"/>
      <c r="CI720" s="107"/>
      <c r="CJ720" s="107"/>
      <c r="CK720" s="107"/>
      <c r="CL720" s="107"/>
      <c r="CM720" s="107"/>
      <c r="CN720" s="107"/>
      <c r="CO720" s="107"/>
      <c r="CP720" s="107"/>
      <c r="CQ720" s="107"/>
      <c r="CR720" s="107"/>
      <c r="CS720" s="107"/>
      <c r="CT720" s="107"/>
      <c r="CU720" s="107"/>
      <c r="CV720" s="107"/>
    </row>
    <row r="721" customFormat="false" ht="14.9" hidden="false" customHeight="false" outlineLevel="0" collapsed="false">
      <c r="A721" s="74" t="n">
        <f aca="false">MONTH(B721)</f>
        <v>9</v>
      </c>
      <c r="B721" s="135" t="n">
        <v>44466</v>
      </c>
      <c r="C721" s="128" t="s">
        <v>152</v>
      </c>
      <c r="D721" s="77" t="str">
        <f aca="false">IFERROR(VLOOKUP(E:E,'Item Data Support Sheet'!A:O,7,0),"")</f>
        <v>CAP MOLDED</v>
      </c>
      <c r="E721" s="80" t="s">
        <v>343</v>
      </c>
      <c r="F721" s="122"/>
      <c r="G721" s="137" t="s">
        <v>1215</v>
      </c>
      <c r="H721" s="79" t="str">
        <f aca="false">IFERROR(VLOOKUP(E:E,'Item Data Support Sheet'!A:O,2,0),"")</f>
        <v>CAP S TYPE MOLDED BLUE</v>
      </c>
      <c r="I721" s="80" t="s">
        <v>1411</v>
      </c>
      <c r="J721" s="80" t="s">
        <v>143</v>
      </c>
      <c r="K721" s="81" t="n">
        <v>2</v>
      </c>
      <c r="L721" s="124" t="n">
        <v>1137</v>
      </c>
      <c r="M721" s="83" t="n">
        <f aca="false">IFERROR(L721/K721,0)</f>
        <v>568.5</v>
      </c>
      <c r="N721" s="84" t="n">
        <f aca="false">+O721+Q721+T721+U721</f>
        <v>1515</v>
      </c>
      <c r="O721" s="85" t="n">
        <v>1500</v>
      </c>
      <c r="P721" s="86" t="n">
        <v>0</v>
      </c>
      <c r="Q721" s="86" t="n">
        <v>0</v>
      </c>
      <c r="R721" s="132" t="n">
        <v>0</v>
      </c>
      <c r="S721" s="128" t="n">
        <v>0</v>
      </c>
      <c r="T721" s="132" t="n">
        <v>15</v>
      </c>
      <c r="U721" s="128" t="n">
        <v>0</v>
      </c>
      <c r="V721" s="128" t="n">
        <v>1</v>
      </c>
      <c r="W721" s="90" t="n">
        <f aca="false">IFERROR(O721/V721,0)</f>
        <v>1500</v>
      </c>
      <c r="X721" s="91" t="n">
        <f aca="false">O721/L721</f>
        <v>1.31926121372032</v>
      </c>
      <c r="Y721" s="92" t="str">
        <f aca="false">IFERROR(VLOOKUP(E:E,'Item Data Support Sheet'!A:J,6,0),0)</f>
        <v>RM000114</v>
      </c>
      <c r="Z721" s="93" t="n">
        <f aca="false">IFERROR(VLOOKUP(E:E,'Item Data Support Sheet'!A:O,4,0),0)</f>
        <v>7.3</v>
      </c>
      <c r="AA721" s="93" t="n">
        <f aca="false">IFERROR(((N721)*(Z721/1000))+P721,0)</f>
        <v>11.0595</v>
      </c>
      <c r="AB721" s="94" t="n">
        <f aca="false">IFERROR((O721*(Z721/1000)/(AA721))," ")</f>
        <v>0.99009900990099</v>
      </c>
      <c r="AC721" s="95" t="n">
        <f aca="false">IFERROR((T721)/((T721)+O721),0)</f>
        <v>0.0099009900990099</v>
      </c>
      <c r="AD721" s="96" t="n">
        <f aca="false">IFERROR(Q721/(Q721+N721),0)</f>
        <v>0</v>
      </c>
      <c r="AE721" s="91" t="n">
        <f aca="false">(N721-T721)/N721</f>
        <v>0.99009900990099</v>
      </c>
      <c r="AF721" s="97" t="n">
        <f aca="false">BR721</f>
        <v>0</v>
      </c>
      <c r="AG721" s="98" t="n">
        <f aca="false">K721-AF721</f>
        <v>2</v>
      </c>
      <c r="AH721" s="99" t="n">
        <f aca="false">IFERROR(AG721/K721," ")</f>
        <v>1</v>
      </c>
      <c r="AI721" s="100" t="n">
        <f aca="false">IFERROR(O721/K721,0)</f>
        <v>750</v>
      </c>
      <c r="AJ721" s="101" t="n">
        <f aca="false">VLOOKUP(D721,'Standard Cycle time'!C:D,2,0)</f>
        <v>6</v>
      </c>
      <c r="AK721" s="101" t="n">
        <f aca="false">AG721*V721*3600/O721</f>
        <v>4.8</v>
      </c>
      <c r="AL721" s="102" t="n">
        <f aca="false">AJ721/AK721</f>
        <v>1.25</v>
      </c>
      <c r="AM721" s="99" t="n">
        <f aca="false">AE721*AL721*AH721</f>
        <v>1.23762376237624</v>
      </c>
      <c r="AN721" s="103" t="n">
        <v>3665</v>
      </c>
      <c r="AO721" s="112"/>
      <c r="AP721" s="105" t="n">
        <v>0</v>
      </c>
      <c r="AQ721" s="105" t="n">
        <v>0</v>
      </c>
      <c r="AR721" s="105" t="n">
        <v>0</v>
      </c>
      <c r="AS721" s="105" t="n">
        <v>0</v>
      </c>
      <c r="AT721" s="105" t="n">
        <v>0</v>
      </c>
      <c r="AU721" s="105" t="n">
        <v>0</v>
      </c>
      <c r="AV721" s="105" t="n">
        <v>0</v>
      </c>
      <c r="AW721" s="105" t="n">
        <v>0</v>
      </c>
      <c r="AX721" s="105" t="n">
        <v>0</v>
      </c>
      <c r="AY721" s="105" t="n">
        <v>0</v>
      </c>
      <c r="AZ721" s="105" t="n">
        <v>0</v>
      </c>
      <c r="BA721" s="105" t="n">
        <v>0</v>
      </c>
      <c r="BB721" s="105" t="n">
        <v>0</v>
      </c>
      <c r="BC721" s="105" t="n">
        <v>0</v>
      </c>
      <c r="BD721" s="105" t="n">
        <v>0</v>
      </c>
      <c r="BE721" s="105" t="n">
        <v>0</v>
      </c>
      <c r="BF721" s="105" t="n">
        <v>0</v>
      </c>
      <c r="BG721" s="105" t="n">
        <v>0</v>
      </c>
      <c r="BH721" s="105" t="n">
        <v>0</v>
      </c>
      <c r="BI721" s="105" t="n">
        <v>0</v>
      </c>
      <c r="BJ721" s="105" t="n">
        <v>0</v>
      </c>
      <c r="BK721" s="105" t="n">
        <v>0</v>
      </c>
      <c r="BL721" s="105" t="n">
        <v>0</v>
      </c>
      <c r="BM721" s="105" t="n">
        <v>0</v>
      </c>
      <c r="BN721" s="105" t="n">
        <v>0</v>
      </c>
      <c r="BO721" s="105" t="n">
        <v>0</v>
      </c>
      <c r="BP721" s="105" t="n">
        <v>0</v>
      </c>
      <c r="BQ721" s="105" t="n">
        <v>0</v>
      </c>
      <c r="BR721" s="106" t="n">
        <v>0</v>
      </c>
      <c r="BS721" s="106" t="n">
        <v>0</v>
      </c>
      <c r="BT721" s="107"/>
      <c r="BU721" s="107"/>
      <c r="BV721" s="107"/>
      <c r="BW721" s="107"/>
      <c r="BX721" s="107"/>
      <c r="BY721" s="107"/>
      <c r="BZ721" s="107"/>
      <c r="CA721" s="107"/>
      <c r="CB721" s="107"/>
      <c r="CC721" s="107"/>
      <c r="CD721" s="107"/>
      <c r="CE721" s="107"/>
      <c r="CF721" s="107"/>
      <c r="CG721" s="107"/>
      <c r="CH721" s="107"/>
      <c r="CI721" s="107"/>
      <c r="CJ721" s="107"/>
      <c r="CK721" s="107"/>
      <c r="CL721" s="107"/>
      <c r="CM721" s="107"/>
      <c r="CN721" s="107"/>
      <c r="CO721" s="107"/>
      <c r="CP721" s="107"/>
      <c r="CQ721" s="107"/>
      <c r="CR721" s="107"/>
      <c r="CS721" s="107"/>
      <c r="CT721" s="107"/>
      <c r="CU721" s="107"/>
      <c r="CV721" s="107"/>
    </row>
    <row r="722" customFormat="false" ht="14.9" hidden="false" customHeight="false" outlineLevel="0" collapsed="false">
      <c r="A722" s="74" t="n">
        <f aca="false">MONTH(B722)</f>
        <v>9</v>
      </c>
      <c r="B722" s="135" t="n">
        <v>44466</v>
      </c>
      <c r="C722" s="128" t="s">
        <v>152</v>
      </c>
      <c r="D722" s="77" t="str">
        <f aca="false">IFERROR(VLOOKUP(E:E,'Item Data Support Sheet'!A:O,7,0),"")</f>
        <v>NIPPLE LASER MARKING</v>
      </c>
      <c r="E722" s="80" t="s">
        <v>681</v>
      </c>
      <c r="F722" s="122"/>
      <c r="G722" s="137" t="s">
        <v>517</v>
      </c>
      <c r="H722" s="79" t="str">
        <f aca="false">IFERROR(VLOOKUP(E:E,'Item Data Support Sheet'!A:O,2,0),"")</f>
        <v>NIPPLE S TYPE L SIZE PUNCHED LASER MARKED</v>
      </c>
      <c r="I722" s="80" t="s">
        <v>1412</v>
      </c>
      <c r="J722" s="80" t="s">
        <v>143</v>
      </c>
      <c r="K722" s="81" t="n">
        <v>8</v>
      </c>
      <c r="L722" s="124" t="n">
        <v>7000</v>
      </c>
      <c r="M722" s="83" t="n">
        <f aca="false">IFERROR(L722/K722,0)</f>
        <v>875</v>
      </c>
      <c r="N722" s="84" t="n">
        <f aca="false">+O722+Q722+T722+U722</f>
        <v>7300</v>
      </c>
      <c r="O722" s="85" t="n">
        <v>7300</v>
      </c>
      <c r="P722" s="86" t="n">
        <v>0</v>
      </c>
      <c r="Q722" s="86" t="n">
        <v>0</v>
      </c>
      <c r="R722" s="132" t="n">
        <v>0</v>
      </c>
      <c r="S722" s="128" t="n">
        <v>0</v>
      </c>
      <c r="T722" s="132" t="n">
        <v>0</v>
      </c>
      <c r="U722" s="128" t="n">
        <v>0</v>
      </c>
      <c r="V722" s="128" t="n">
        <v>1</v>
      </c>
      <c r="W722" s="90" t="n">
        <f aca="false">IFERROR(O722/V722,0)</f>
        <v>7300</v>
      </c>
      <c r="X722" s="91" t="n">
        <f aca="false">O722/L722</f>
        <v>1.04285714285714</v>
      </c>
      <c r="Y722" s="92" t="str">
        <f aca="false">IFERROR(VLOOKUP(E:E,'Item Data Support Sheet'!A:J,6,0),0)</f>
        <v>FO021</v>
      </c>
      <c r="Z722" s="93" t="n">
        <f aca="false">IFERROR(VLOOKUP(E:E,'Item Data Support Sheet'!A:O,4,0),0)</f>
        <v>0</v>
      </c>
      <c r="AA722" s="93" t="n">
        <f aca="false">IFERROR(((N722)*(Z722/1000))+P722,0)</f>
        <v>0</v>
      </c>
      <c r="AB722" s="94" t="str">
        <f aca="false">IFERROR((O722*(Z722/1000)/(AA722))," ")</f>
        <v> </v>
      </c>
      <c r="AC722" s="95" t="n">
        <f aca="false">IFERROR((T722)/((T722)+O722),0)</f>
        <v>0</v>
      </c>
      <c r="AD722" s="96" t="n">
        <f aca="false">IFERROR(Q722/(Q722+N722),0)</f>
        <v>0</v>
      </c>
      <c r="AE722" s="91" t="n">
        <f aca="false">(N722-T722)/N722</f>
        <v>1</v>
      </c>
      <c r="AF722" s="97" t="n">
        <f aca="false">BR722</f>
        <v>0.333333333333333</v>
      </c>
      <c r="AG722" s="98" t="n">
        <f aca="false">K722-AF722</f>
        <v>7.66666666666667</v>
      </c>
      <c r="AH722" s="99" t="n">
        <f aca="false">IFERROR(AG722/K722," ")</f>
        <v>0.958333333333333</v>
      </c>
      <c r="AI722" s="100" t="n">
        <f aca="false">IFERROR(O722/K722,0)</f>
        <v>912.5</v>
      </c>
      <c r="AJ722" s="101" t="n">
        <f aca="false">VLOOKUP(D722,'Standard Cycle time'!C:D,2,0)</f>
        <v>3.5</v>
      </c>
      <c r="AK722" s="101" t="n">
        <f aca="false">AG722*V722*3600/O722</f>
        <v>3.78082191780822</v>
      </c>
      <c r="AL722" s="102" t="n">
        <f aca="false">AJ722/AK722</f>
        <v>0.925724637681159</v>
      </c>
      <c r="AM722" s="99" t="n">
        <f aca="false">AE722*AL722*AH722</f>
        <v>0.887152777777778</v>
      </c>
      <c r="AN722" s="103" t="s">
        <v>1413</v>
      </c>
      <c r="AO722" s="112"/>
      <c r="AP722" s="105" t="n">
        <v>20</v>
      </c>
      <c r="AQ722" s="105" t="n">
        <v>0</v>
      </c>
      <c r="AR722" s="105" t="n">
        <v>0</v>
      </c>
      <c r="AS722" s="105" t="n">
        <v>0</v>
      </c>
      <c r="AT722" s="105" t="n">
        <v>0</v>
      </c>
      <c r="AU722" s="105" t="n">
        <v>0</v>
      </c>
      <c r="AV722" s="105" t="n">
        <v>0</v>
      </c>
      <c r="AW722" s="105" t="n">
        <v>0</v>
      </c>
      <c r="AX722" s="105" t="n">
        <v>0</v>
      </c>
      <c r="AY722" s="105" t="n">
        <v>0</v>
      </c>
      <c r="AZ722" s="105" t="n">
        <v>0</v>
      </c>
      <c r="BA722" s="105" t="n">
        <v>0</v>
      </c>
      <c r="BB722" s="105" t="n">
        <v>0</v>
      </c>
      <c r="BC722" s="105" t="n">
        <v>0</v>
      </c>
      <c r="BD722" s="105" t="n">
        <v>0</v>
      </c>
      <c r="BE722" s="105" t="n">
        <v>0</v>
      </c>
      <c r="BF722" s="105" t="n">
        <v>0</v>
      </c>
      <c r="BG722" s="105" t="n">
        <v>0</v>
      </c>
      <c r="BH722" s="105" t="n">
        <v>0</v>
      </c>
      <c r="BI722" s="105" t="n">
        <v>0</v>
      </c>
      <c r="BJ722" s="105" t="n">
        <v>0</v>
      </c>
      <c r="BK722" s="105" t="n">
        <v>0</v>
      </c>
      <c r="BL722" s="105" t="n">
        <v>0</v>
      </c>
      <c r="BM722" s="105" t="n">
        <v>0</v>
      </c>
      <c r="BN722" s="105" t="n">
        <v>0</v>
      </c>
      <c r="BO722" s="105" t="n">
        <v>0</v>
      </c>
      <c r="BP722" s="105" t="n">
        <v>0</v>
      </c>
      <c r="BQ722" s="105" t="n">
        <v>0</v>
      </c>
      <c r="BR722" s="106" t="n">
        <v>0.333333333333333</v>
      </c>
      <c r="BS722" s="106" t="n">
        <v>0.338888888888889</v>
      </c>
      <c r="BT722" s="107"/>
      <c r="BU722" s="107"/>
      <c r="BV722" s="107"/>
      <c r="BW722" s="107"/>
      <c r="BX722" s="107"/>
      <c r="BY722" s="107"/>
      <c r="BZ722" s="107"/>
      <c r="CA722" s="107"/>
      <c r="CB722" s="107"/>
      <c r="CC722" s="107"/>
      <c r="CD722" s="107"/>
      <c r="CE722" s="107"/>
      <c r="CF722" s="107"/>
      <c r="CG722" s="107"/>
      <c r="CH722" s="107"/>
      <c r="CI722" s="107"/>
      <c r="CJ722" s="107"/>
      <c r="CK722" s="107"/>
      <c r="CL722" s="107"/>
      <c r="CM722" s="107"/>
      <c r="CN722" s="107"/>
      <c r="CO722" s="107"/>
      <c r="CP722" s="107"/>
      <c r="CQ722" s="107"/>
      <c r="CR722" s="107"/>
      <c r="CS722" s="107"/>
      <c r="CT722" s="107"/>
      <c r="CU722" s="107"/>
      <c r="CV722" s="107"/>
    </row>
    <row r="723" customFormat="false" ht="14.9" hidden="false" customHeight="false" outlineLevel="0" collapsed="false">
      <c r="A723" s="74" t="n">
        <f aca="false">MONTH(B723)</f>
        <v>9</v>
      </c>
      <c r="B723" s="135" t="n">
        <v>44466</v>
      </c>
      <c r="C723" s="128" t="s">
        <v>152</v>
      </c>
      <c r="D723" s="77" t="str">
        <f aca="false">IFERROR(VLOOKUP(E:E,'Item Data Support Sheet'!A:O,7,0),"")</f>
        <v>BOTTLE MOLDED</v>
      </c>
      <c r="E723" s="80" t="s">
        <v>572</v>
      </c>
      <c r="F723" s="122" t="s">
        <v>589</v>
      </c>
      <c r="G723" s="137" t="s">
        <v>80</v>
      </c>
      <c r="H723" s="79" t="str">
        <f aca="false">IFERROR(VLOOKUP(E:E,'Item Data Support Sheet'!A:O,2,0),"")</f>
        <v>RPP 240 ML BOTTLE MOLDED</v>
      </c>
      <c r="I723" s="80" t="s">
        <v>1400</v>
      </c>
      <c r="J723" s="80" t="s">
        <v>143</v>
      </c>
      <c r="K723" s="81" t="n">
        <v>6</v>
      </c>
      <c r="L723" s="124" t="n">
        <v>1420</v>
      </c>
      <c r="M723" s="83" t="n">
        <f aca="false">IFERROR(L723/K723,0)</f>
        <v>236.666666666667</v>
      </c>
      <c r="N723" s="84" t="n">
        <f aca="false">+O723+Q723+T723+U723</f>
        <v>2004</v>
      </c>
      <c r="O723" s="85" t="n">
        <v>1920</v>
      </c>
      <c r="P723" s="86" t="n">
        <v>0.12</v>
      </c>
      <c r="Q723" s="86" t="n">
        <v>44</v>
      </c>
      <c r="R723" s="132" t="n">
        <v>0</v>
      </c>
      <c r="S723" s="128" t="n">
        <v>0</v>
      </c>
      <c r="T723" s="132" t="n">
        <v>32</v>
      </c>
      <c r="U723" s="128" t="n">
        <v>8</v>
      </c>
      <c r="V723" s="128" t="n">
        <v>1</v>
      </c>
      <c r="W723" s="90" t="n">
        <f aca="false">IFERROR(O723/V723,0)</f>
        <v>1920</v>
      </c>
      <c r="X723" s="91" t="n">
        <f aca="false">O723/L723</f>
        <v>1.35211267605634</v>
      </c>
      <c r="Y723" s="92" t="str">
        <f aca="false">IFERROR(VLOOKUP(E:E,'Item Data Support Sheet'!A:J,6,0),0)</f>
        <v>HMC</v>
      </c>
      <c r="Z723" s="93" t="n">
        <f aca="false">IFERROR(VLOOKUP(E:E,'Item Data Support Sheet'!A:O,4,0),0)</f>
        <v>32.1</v>
      </c>
      <c r="AA723" s="93" t="n">
        <f aca="false">IFERROR(((N723)*(Z723/1000))+P723,0)</f>
        <v>64.4484</v>
      </c>
      <c r="AB723" s="94" t="n">
        <f aca="false">IFERROR((O723*(Z723/1000)/(AA723))," ")</f>
        <v>0.956299923659858</v>
      </c>
      <c r="AC723" s="95" t="n">
        <f aca="false">IFERROR((T723)/((T723)+O723),0)</f>
        <v>0.0163934426229508</v>
      </c>
      <c r="AD723" s="96" t="n">
        <f aca="false">IFERROR(Q723/(Q723+N723),0)</f>
        <v>0.021484375</v>
      </c>
      <c r="AE723" s="91" t="n">
        <f aca="false">(N723-T723)/N723</f>
        <v>0.984031936127744</v>
      </c>
      <c r="AF723" s="97" t="n">
        <f aca="false">BR723</f>
        <v>0</v>
      </c>
      <c r="AG723" s="98" t="n">
        <f aca="false">K723-AF723</f>
        <v>6</v>
      </c>
      <c r="AH723" s="99" t="n">
        <f aca="false">IFERROR(AG723/K723," ")</f>
        <v>1</v>
      </c>
      <c r="AI723" s="100" t="n">
        <f aca="false">IFERROR(O723/K723,0)</f>
        <v>320</v>
      </c>
      <c r="AJ723" s="101" t="n">
        <f aca="false">VLOOKUP(D723,'Standard Cycle time'!C:D,2,0)</f>
        <v>9</v>
      </c>
      <c r="AK723" s="101" t="n">
        <f aca="false">AG723*V723*3600/O723</f>
        <v>11.25</v>
      </c>
      <c r="AL723" s="102" t="n">
        <f aca="false">AJ723/AK723</f>
        <v>0.8</v>
      </c>
      <c r="AM723" s="99" t="n">
        <f aca="false">AE723*AL723*AH723</f>
        <v>0.787225548902196</v>
      </c>
      <c r="AN723" s="103" t="n">
        <v>3694</v>
      </c>
      <c r="AO723" s="112" t="s">
        <v>1401</v>
      </c>
      <c r="AP723" s="105" t="n">
        <v>0</v>
      </c>
      <c r="AQ723" s="105" t="n">
        <v>0</v>
      </c>
      <c r="AR723" s="105" t="n">
        <v>0</v>
      </c>
      <c r="AS723" s="105" t="n">
        <v>0</v>
      </c>
      <c r="AT723" s="105" t="n">
        <v>0</v>
      </c>
      <c r="AU723" s="105" t="n">
        <v>0</v>
      </c>
      <c r="AV723" s="105" t="n">
        <v>0</v>
      </c>
      <c r="AW723" s="105" t="n">
        <v>0</v>
      </c>
      <c r="AX723" s="105" t="n">
        <v>0</v>
      </c>
      <c r="AY723" s="105" t="n">
        <v>0</v>
      </c>
      <c r="AZ723" s="105" t="n">
        <v>0</v>
      </c>
      <c r="BA723" s="105" t="n">
        <v>0</v>
      </c>
      <c r="BB723" s="105" t="n">
        <v>0</v>
      </c>
      <c r="BC723" s="105" t="n">
        <v>0</v>
      </c>
      <c r="BD723" s="105" t="n">
        <v>0</v>
      </c>
      <c r="BE723" s="105" t="n">
        <v>0</v>
      </c>
      <c r="BF723" s="105" t="n">
        <v>0</v>
      </c>
      <c r="BG723" s="105" t="n">
        <v>0</v>
      </c>
      <c r="BH723" s="105" t="n">
        <v>0</v>
      </c>
      <c r="BI723" s="105" t="n">
        <v>0</v>
      </c>
      <c r="BJ723" s="105" t="n">
        <v>0</v>
      </c>
      <c r="BK723" s="105" t="n">
        <v>0</v>
      </c>
      <c r="BL723" s="105" t="n">
        <v>0</v>
      </c>
      <c r="BM723" s="105" t="n">
        <v>0</v>
      </c>
      <c r="BN723" s="105" t="n">
        <v>0</v>
      </c>
      <c r="BO723" s="105" t="n">
        <v>0</v>
      </c>
      <c r="BP723" s="105" t="n">
        <v>0</v>
      </c>
      <c r="BQ723" s="105" t="n">
        <v>0</v>
      </c>
      <c r="BR723" s="106" t="n">
        <v>0</v>
      </c>
      <c r="BS723" s="106" t="n">
        <v>0</v>
      </c>
      <c r="BT723" s="107"/>
      <c r="BU723" s="107"/>
      <c r="BV723" s="107"/>
      <c r="BW723" s="107"/>
      <c r="BX723" s="107"/>
      <c r="BY723" s="107"/>
      <c r="BZ723" s="107"/>
      <c r="CA723" s="107"/>
      <c r="CB723" s="107"/>
      <c r="CC723" s="107"/>
      <c r="CD723" s="107"/>
      <c r="CE723" s="107"/>
      <c r="CF723" s="107"/>
      <c r="CG723" s="107"/>
      <c r="CH723" s="107"/>
      <c r="CI723" s="107"/>
      <c r="CJ723" s="107"/>
      <c r="CK723" s="107"/>
      <c r="CL723" s="107"/>
      <c r="CM723" s="107"/>
      <c r="CN723" s="107"/>
      <c r="CO723" s="107"/>
      <c r="CP723" s="107"/>
      <c r="CQ723" s="107"/>
      <c r="CR723" s="107"/>
      <c r="CS723" s="107"/>
      <c r="CT723" s="107"/>
      <c r="CU723" s="107"/>
      <c r="CV723" s="107"/>
    </row>
    <row r="724" customFormat="false" ht="14.9" hidden="false" customHeight="false" outlineLevel="0" collapsed="false">
      <c r="A724" s="74" t="n">
        <f aca="false">MONTH(B724)</f>
        <v>9</v>
      </c>
      <c r="B724" s="135" t="n">
        <v>44467</v>
      </c>
      <c r="C724" s="128" t="s">
        <v>1414</v>
      </c>
      <c r="D724" s="77" t="str">
        <f aca="false">IFERROR(VLOOKUP(E:E,'Item Data Support Sheet'!A:O,7,0),"")</f>
        <v>BOTTLE MOLDED</v>
      </c>
      <c r="E724" s="80" t="s">
        <v>572</v>
      </c>
      <c r="F724" s="122"/>
      <c r="G724" s="137" t="s">
        <v>80</v>
      </c>
      <c r="H724" s="79" t="str">
        <f aca="false">IFERROR(VLOOKUP(E:E,'Item Data Support Sheet'!A:O,2,0),"")</f>
        <v>RPP 240 ML BOTTLE MOLDED</v>
      </c>
      <c r="I724" s="80" t="s">
        <v>1415</v>
      </c>
      <c r="J724" s="80" t="s">
        <v>155</v>
      </c>
      <c r="K724" s="81" t="n">
        <v>8</v>
      </c>
      <c r="L724" s="124" t="n">
        <v>2574</v>
      </c>
      <c r="M724" s="83" t="n">
        <f aca="false">IFERROR(L724/K724,0)</f>
        <v>321.75</v>
      </c>
      <c r="N724" s="84" t="n">
        <f aca="false">+O724+Q724+T724+U724</f>
        <v>2288</v>
      </c>
      <c r="O724" s="85" t="n">
        <v>2160</v>
      </c>
      <c r="P724" s="86" t="n">
        <v>0.3</v>
      </c>
      <c r="Q724" s="86" t="n">
        <v>51</v>
      </c>
      <c r="R724" s="132" t="n">
        <v>0</v>
      </c>
      <c r="S724" s="128" t="n">
        <v>0</v>
      </c>
      <c r="T724" s="132" t="n">
        <v>69</v>
      </c>
      <c r="U724" s="128" t="n">
        <v>8</v>
      </c>
      <c r="V724" s="128" t="n">
        <v>1</v>
      </c>
      <c r="W724" s="90" t="n">
        <f aca="false">IFERROR(O724/V724,0)</f>
        <v>2160</v>
      </c>
      <c r="X724" s="91" t="n">
        <f aca="false">O724/L724</f>
        <v>0.839160839160839</v>
      </c>
      <c r="Y724" s="92" t="str">
        <f aca="false">IFERROR(VLOOKUP(E:E,'Item Data Support Sheet'!A:J,6,0),0)</f>
        <v>HMC</v>
      </c>
      <c r="Z724" s="93" t="n">
        <f aca="false">IFERROR(VLOOKUP(E:E,'Item Data Support Sheet'!A:O,4,0),0)</f>
        <v>32.1</v>
      </c>
      <c r="AA724" s="93" t="n">
        <f aca="false">IFERROR(((N724)*(Z724/1000))+P724,0)</f>
        <v>73.7448</v>
      </c>
      <c r="AB724" s="94" t="n">
        <f aca="false">IFERROR((O724*(Z724/1000)/(AA724))," ")</f>
        <v>0.940215445699222</v>
      </c>
      <c r="AC724" s="95" t="n">
        <f aca="false">IFERROR((T724)/((T724)+O724),0)</f>
        <v>0.0309555854643338</v>
      </c>
      <c r="AD724" s="96" t="n">
        <f aca="false">IFERROR(Q724/(Q724+N724),0)</f>
        <v>0.0218041898247114</v>
      </c>
      <c r="AE724" s="91" t="n">
        <f aca="false">(N724-T724)/N724</f>
        <v>0.969842657342657</v>
      </c>
      <c r="AF724" s="97" t="n">
        <f aca="false">BR724</f>
        <v>1.5</v>
      </c>
      <c r="AG724" s="98" t="n">
        <f aca="false">K724-AF724</f>
        <v>6.5</v>
      </c>
      <c r="AH724" s="99" t="n">
        <f aca="false">IFERROR(AG724/K724," ")</f>
        <v>0.8125</v>
      </c>
      <c r="AI724" s="100" t="n">
        <f aca="false">IFERROR(O724/K724,0)</f>
        <v>270</v>
      </c>
      <c r="AJ724" s="101" t="n">
        <f aca="false">VLOOKUP(D724,'Standard Cycle time'!C:D,2,0)</f>
        <v>9</v>
      </c>
      <c r="AK724" s="101" t="n">
        <f aca="false">AG724*V724*3600/O724</f>
        <v>10.8333333333333</v>
      </c>
      <c r="AL724" s="102" t="n">
        <f aca="false">AJ724/AK724</f>
        <v>0.830769230769231</v>
      </c>
      <c r="AM724" s="99" t="n">
        <f aca="false">AE724*AL724*AH724</f>
        <v>0.654643793706294</v>
      </c>
      <c r="AN724" s="103" t="n">
        <v>3695</v>
      </c>
      <c r="AO724" s="112" t="s">
        <v>1416</v>
      </c>
      <c r="AP724" s="105" t="n">
        <v>0</v>
      </c>
      <c r="AQ724" s="105" t="n">
        <v>0</v>
      </c>
      <c r="AR724" s="105" t="n">
        <v>0</v>
      </c>
      <c r="AS724" s="105" t="n">
        <v>0</v>
      </c>
      <c r="AT724" s="105" t="n">
        <v>0</v>
      </c>
      <c r="AU724" s="105" t="n">
        <v>0</v>
      </c>
      <c r="AV724" s="105" t="n">
        <v>0</v>
      </c>
      <c r="AW724" s="105" t="n">
        <v>90</v>
      </c>
      <c r="AX724" s="105" t="n">
        <v>0</v>
      </c>
      <c r="AY724" s="105" t="n">
        <v>0</v>
      </c>
      <c r="AZ724" s="105" t="n">
        <v>0</v>
      </c>
      <c r="BA724" s="105" t="n">
        <v>0</v>
      </c>
      <c r="BB724" s="105" t="n">
        <v>0</v>
      </c>
      <c r="BC724" s="105" t="n">
        <v>0</v>
      </c>
      <c r="BD724" s="105" t="n">
        <v>0</v>
      </c>
      <c r="BE724" s="105" t="n">
        <v>0</v>
      </c>
      <c r="BF724" s="105" t="n">
        <v>0</v>
      </c>
      <c r="BG724" s="105" t="n">
        <v>0</v>
      </c>
      <c r="BH724" s="105" t="n">
        <v>0</v>
      </c>
      <c r="BI724" s="105" t="n">
        <v>0</v>
      </c>
      <c r="BJ724" s="105" t="n">
        <v>0</v>
      </c>
      <c r="BK724" s="105" t="n">
        <v>0</v>
      </c>
      <c r="BL724" s="105" t="n">
        <v>0</v>
      </c>
      <c r="BM724" s="105" t="n">
        <v>0</v>
      </c>
      <c r="BN724" s="105" t="n">
        <v>0</v>
      </c>
      <c r="BO724" s="105" t="n">
        <v>0</v>
      </c>
      <c r="BP724" s="105" t="n">
        <v>0</v>
      </c>
      <c r="BQ724" s="105" t="n">
        <v>0</v>
      </c>
      <c r="BR724" s="106" t="n">
        <v>1.5</v>
      </c>
      <c r="BS724" s="106" t="n">
        <v>1.525</v>
      </c>
      <c r="BT724" s="107"/>
      <c r="BU724" s="107"/>
      <c r="BV724" s="107"/>
      <c r="BW724" s="107"/>
      <c r="BX724" s="107"/>
      <c r="BY724" s="107"/>
      <c r="BZ724" s="107"/>
      <c r="CA724" s="107"/>
      <c r="CB724" s="107"/>
      <c r="CC724" s="107"/>
      <c r="CD724" s="107"/>
      <c r="CE724" s="107"/>
      <c r="CF724" s="107"/>
      <c r="CG724" s="107"/>
      <c r="CH724" s="107"/>
      <c r="CI724" s="107"/>
      <c r="CJ724" s="107"/>
      <c r="CK724" s="107"/>
      <c r="CL724" s="107"/>
      <c r="CM724" s="107"/>
      <c r="CN724" s="107"/>
      <c r="CO724" s="107"/>
      <c r="CP724" s="107"/>
      <c r="CQ724" s="107"/>
      <c r="CR724" s="107"/>
      <c r="CS724" s="107"/>
      <c r="CT724" s="107"/>
      <c r="CU724" s="107"/>
      <c r="CV724" s="107"/>
    </row>
    <row r="725" customFormat="false" ht="14.9" hidden="false" customHeight="false" outlineLevel="0" collapsed="false">
      <c r="A725" s="74" t="n">
        <f aca="false">MONTH(B725)</f>
        <v>9</v>
      </c>
      <c r="B725" s="135" t="n">
        <v>44467</v>
      </c>
      <c r="C725" s="128" t="s">
        <v>1414</v>
      </c>
      <c r="D725" s="77" t="str">
        <f aca="false">IFERROR(VLOOKUP(E:E,'Item Data Support Sheet'!A:O,7,0),"")</f>
        <v>NIPPLE PUNCH</v>
      </c>
      <c r="E725" s="80" t="s">
        <v>563</v>
      </c>
      <c r="F725" s="122"/>
      <c r="G725" s="137"/>
      <c r="H725" s="79" t="str">
        <f aca="false">IFERROR(VLOOKUP(E:E,'Item Data Support Sheet'!A:O,2,0),"")</f>
        <v>NIPPLE S TYPE LL SIZE PUNCHED</v>
      </c>
      <c r="I725" s="80" t="s">
        <v>1417</v>
      </c>
      <c r="J725" s="80" t="s">
        <v>155</v>
      </c>
      <c r="K725" s="81" t="n">
        <v>8</v>
      </c>
      <c r="L725" s="124" t="n">
        <v>7000</v>
      </c>
      <c r="M725" s="83" t="n">
        <f aca="false">IFERROR(L725/K725,0)</f>
        <v>875</v>
      </c>
      <c r="N725" s="84" t="n">
        <f aca="false">+O725+Q725+T725+U725</f>
        <v>7040</v>
      </c>
      <c r="O725" s="85" t="n">
        <v>7040</v>
      </c>
      <c r="P725" s="86" t="n">
        <v>0</v>
      </c>
      <c r="Q725" s="86" t="n">
        <v>0</v>
      </c>
      <c r="R725" s="132" t="n">
        <v>0</v>
      </c>
      <c r="S725" s="128" t="n">
        <v>0</v>
      </c>
      <c r="T725" s="132" t="n">
        <v>0</v>
      </c>
      <c r="U725" s="128" t="n">
        <v>0</v>
      </c>
      <c r="V725" s="128" t="n">
        <v>1</v>
      </c>
      <c r="W725" s="90" t="n">
        <f aca="false">IFERROR(O725/V725,0)</f>
        <v>7040</v>
      </c>
      <c r="X725" s="91" t="n">
        <f aca="false">O725/L725</f>
        <v>1.00571428571429</v>
      </c>
      <c r="Y725" s="92" t="str">
        <f aca="false">IFERROR(VLOOKUP(E:E,'Item Data Support Sheet'!A:J,6,0),0)</f>
        <v>FO150</v>
      </c>
      <c r="Z725" s="93" t="n">
        <f aca="false">IFERROR(VLOOKUP(E:E,'Item Data Support Sheet'!A:O,4,0),0)</f>
        <v>0</v>
      </c>
      <c r="AA725" s="93" t="n">
        <f aca="false">IFERROR(((N725)*(Z725/1000))+P725,0)</f>
        <v>0</v>
      </c>
      <c r="AB725" s="94" t="str">
        <f aca="false">IFERROR((O725*(Z725/1000)/(AA725))," ")</f>
        <v> </v>
      </c>
      <c r="AC725" s="95" t="n">
        <f aca="false">IFERROR((T725)/((T725)+O725),0)</f>
        <v>0</v>
      </c>
      <c r="AD725" s="96" t="n">
        <f aca="false">IFERROR(Q725/(Q725+N725),0)</f>
        <v>0</v>
      </c>
      <c r="AE725" s="91" t="n">
        <f aca="false">(N725-T725)/N725</f>
        <v>1</v>
      </c>
      <c r="AF725" s="97" t="n">
        <f aca="false">BR725</f>
        <v>0.666666666666667</v>
      </c>
      <c r="AG725" s="98" t="n">
        <f aca="false">K725-AF725</f>
        <v>7.33333333333333</v>
      </c>
      <c r="AH725" s="99" t="n">
        <f aca="false">IFERROR(AG725/K725," ")</f>
        <v>0.916666666666667</v>
      </c>
      <c r="AI725" s="100" t="n">
        <f aca="false">IFERROR(O725/K725,0)</f>
        <v>880</v>
      </c>
      <c r="AJ725" s="101" t="n">
        <f aca="false">VLOOKUP(D725,'Standard Cycle time'!C:D,2,0)</f>
        <v>3.5</v>
      </c>
      <c r="AK725" s="101" t="n">
        <f aca="false">AG725*V725*3600/O725</f>
        <v>3.75</v>
      </c>
      <c r="AL725" s="102" t="n">
        <f aca="false">AJ725/AK725</f>
        <v>0.933333333333333</v>
      </c>
      <c r="AM725" s="99" t="n">
        <f aca="false">AE725*AL725*AH725</f>
        <v>0.855555555555556</v>
      </c>
      <c r="AN725" s="103" t="s">
        <v>1418</v>
      </c>
      <c r="AO725" s="112"/>
      <c r="AP725" s="105" t="n">
        <v>40</v>
      </c>
      <c r="AQ725" s="105" t="n">
        <v>0</v>
      </c>
      <c r="AR725" s="105" t="n">
        <v>0</v>
      </c>
      <c r="AS725" s="105" t="n">
        <v>0</v>
      </c>
      <c r="AT725" s="105" t="n">
        <v>0</v>
      </c>
      <c r="AU725" s="105" t="n">
        <v>0</v>
      </c>
      <c r="AV725" s="105" t="n">
        <v>0</v>
      </c>
      <c r="AW725" s="105" t="n">
        <v>0</v>
      </c>
      <c r="AX725" s="105" t="n">
        <v>0</v>
      </c>
      <c r="AY725" s="105" t="n">
        <v>0</v>
      </c>
      <c r="AZ725" s="105" t="n">
        <v>0</v>
      </c>
      <c r="BA725" s="105" t="n">
        <v>0</v>
      </c>
      <c r="BB725" s="105" t="n">
        <v>0</v>
      </c>
      <c r="BC725" s="105" t="n">
        <v>0</v>
      </c>
      <c r="BD725" s="105" t="n">
        <v>0</v>
      </c>
      <c r="BE725" s="105" t="n">
        <v>0</v>
      </c>
      <c r="BF725" s="105" t="n">
        <v>0</v>
      </c>
      <c r="BG725" s="105" t="n">
        <v>0</v>
      </c>
      <c r="BH725" s="105" t="n">
        <v>0</v>
      </c>
      <c r="BI725" s="105" t="n">
        <v>0</v>
      </c>
      <c r="BJ725" s="105" t="n">
        <v>0</v>
      </c>
      <c r="BK725" s="105" t="n">
        <v>0</v>
      </c>
      <c r="BL725" s="105" t="n">
        <v>0</v>
      </c>
      <c r="BM725" s="105" t="n">
        <v>0</v>
      </c>
      <c r="BN725" s="105" t="n">
        <v>0</v>
      </c>
      <c r="BO725" s="105" t="n">
        <v>0</v>
      </c>
      <c r="BP725" s="105" t="n">
        <v>0</v>
      </c>
      <c r="BQ725" s="105" t="n">
        <v>0</v>
      </c>
      <c r="BR725" s="106" t="n">
        <v>0.666666666666667</v>
      </c>
      <c r="BS725" s="106" t="n">
        <v>0.677777777777778</v>
      </c>
      <c r="BT725" s="107"/>
      <c r="BU725" s="107"/>
      <c r="BV725" s="107"/>
      <c r="BW725" s="107"/>
      <c r="BX725" s="107"/>
      <c r="BY725" s="107"/>
      <c r="BZ725" s="107"/>
      <c r="CA725" s="107"/>
      <c r="CB725" s="107"/>
      <c r="CC725" s="107"/>
      <c r="CD725" s="107"/>
      <c r="CE725" s="107"/>
      <c r="CF725" s="107"/>
      <c r="CG725" s="107"/>
      <c r="CH725" s="107"/>
      <c r="CI725" s="107"/>
      <c r="CJ725" s="107"/>
      <c r="CK725" s="107"/>
      <c r="CL725" s="107"/>
      <c r="CM725" s="107"/>
      <c r="CN725" s="107"/>
      <c r="CO725" s="107"/>
      <c r="CP725" s="107"/>
      <c r="CQ725" s="107"/>
      <c r="CR725" s="107"/>
      <c r="CS725" s="107"/>
      <c r="CT725" s="107"/>
      <c r="CU725" s="107"/>
      <c r="CV725" s="107"/>
    </row>
    <row r="726" customFormat="false" ht="14.9" hidden="false" customHeight="false" outlineLevel="0" collapsed="false">
      <c r="A726" s="74" t="n">
        <f aca="false">MONTH(B726)</f>
        <v>9</v>
      </c>
      <c r="B726" s="135" t="n">
        <v>44467</v>
      </c>
      <c r="C726" s="128" t="s">
        <v>1414</v>
      </c>
      <c r="D726" s="77" t="str">
        <f aca="false">IFERROR(VLOOKUP(E:E,'Item Data Support Sheet'!A:O,7,0),"")</f>
        <v>NIPPLE LASER MARKING</v>
      </c>
      <c r="E726" s="80" t="s">
        <v>681</v>
      </c>
      <c r="F726" s="122"/>
      <c r="G726" s="137"/>
      <c r="H726" s="79" t="str">
        <f aca="false">IFERROR(VLOOKUP(E:E,'Item Data Support Sheet'!A:O,2,0),"")</f>
        <v>NIPPLE S TYPE L SIZE PUNCHED LASER MARKED</v>
      </c>
      <c r="I726" s="80"/>
      <c r="J726" s="80" t="s">
        <v>155</v>
      </c>
      <c r="K726" s="81" t="n">
        <v>8</v>
      </c>
      <c r="L726" s="124" t="n">
        <v>7000</v>
      </c>
      <c r="M726" s="83" t="n">
        <f aca="false">IFERROR(L726/K726,0)</f>
        <v>875</v>
      </c>
      <c r="N726" s="84" t="n">
        <f aca="false">+O726+Q726+T726+U726</f>
        <v>6850</v>
      </c>
      <c r="O726" s="85" t="n">
        <v>6850</v>
      </c>
      <c r="P726" s="86" t="n">
        <v>0</v>
      </c>
      <c r="Q726" s="86" t="n">
        <v>0</v>
      </c>
      <c r="R726" s="132" t="n">
        <v>0</v>
      </c>
      <c r="S726" s="128" t="n">
        <v>0</v>
      </c>
      <c r="T726" s="132" t="n">
        <v>0</v>
      </c>
      <c r="U726" s="128" t="n">
        <v>0</v>
      </c>
      <c r="V726" s="128" t="n">
        <v>1</v>
      </c>
      <c r="W726" s="90" t="n">
        <f aca="false">IFERROR(O726/V726,0)</f>
        <v>6850</v>
      </c>
      <c r="X726" s="91" t="n">
        <f aca="false">O726/L726</f>
        <v>0.978571428571429</v>
      </c>
      <c r="Y726" s="92" t="str">
        <f aca="false">IFERROR(VLOOKUP(E:E,'Item Data Support Sheet'!A:J,6,0),0)</f>
        <v>FO021</v>
      </c>
      <c r="Z726" s="93" t="n">
        <f aca="false">IFERROR(VLOOKUP(E:E,'Item Data Support Sheet'!A:O,4,0),0)</f>
        <v>0</v>
      </c>
      <c r="AA726" s="93" t="n">
        <f aca="false">IFERROR(((N726)*(Z726/1000))+P726,0)</f>
        <v>0</v>
      </c>
      <c r="AB726" s="94" t="str">
        <f aca="false">IFERROR((O726*(Z726/1000)/(AA726))," ")</f>
        <v> </v>
      </c>
      <c r="AC726" s="95" t="n">
        <f aca="false">IFERROR((T726)/((T726)+O726),0)</f>
        <v>0</v>
      </c>
      <c r="AD726" s="96" t="n">
        <f aca="false">IFERROR(Q726/(Q726+N726),0)</f>
        <v>0</v>
      </c>
      <c r="AE726" s="91" t="n">
        <f aca="false">(N726-T726)/N726</f>
        <v>1</v>
      </c>
      <c r="AF726" s="97" t="n">
        <f aca="false">BR726</f>
        <v>0.666666666666667</v>
      </c>
      <c r="AG726" s="98" t="n">
        <f aca="false">K726-AF726</f>
        <v>7.33333333333333</v>
      </c>
      <c r="AH726" s="99" t="n">
        <f aca="false">IFERROR(AG726/K726," ")</f>
        <v>0.916666666666667</v>
      </c>
      <c r="AI726" s="100" t="n">
        <f aca="false">IFERROR(O726/K726,0)</f>
        <v>856.25</v>
      </c>
      <c r="AJ726" s="101" t="n">
        <f aca="false">VLOOKUP(D726,'Standard Cycle time'!C:D,2,0)</f>
        <v>3.5</v>
      </c>
      <c r="AK726" s="101" t="n">
        <f aca="false">AG726*V726*3600/O726</f>
        <v>3.85401459854015</v>
      </c>
      <c r="AL726" s="102" t="n">
        <f aca="false">AJ726/AK726</f>
        <v>0.908143939393939</v>
      </c>
      <c r="AM726" s="99" t="n">
        <f aca="false">AE726*AL726*AH726</f>
        <v>0.832465277777778</v>
      </c>
      <c r="AN726" s="103" t="s">
        <v>1419</v>
      </c>
      <c r="AO726" s="112"/>
      <c r="AP726" s="105" t="n">
        <v>40</v>
      </c>
      <c r="AQ726" s="105" t="n">
        <v>0</v>
      </c>
      <c r="AR726" s="105" t="n">
        <v>0</v>
      </c>
      <c r="AS726" s="105" t="n">
        <v>0</v>
      </c>
      <c r="AT726" s="105" t="n">
        <v>0</v>
      </c>
      <c r="AU726" s="105" t="n">
        <v>0</v>
      </c>
      <c r="AV726" s="105" t="n">
        <v>0</v>
      </c>
      <c r="AW726" s="105" t="n">
        <v>0</v>
      </c>
      <c r="AX726" s="105" t="n">
        <v>0</v>
      </c>
      <c r="AY726" s="105" t="n">
        <v>0</v>
      </c>
      <c r="AZ726" s="105" t="n">
        <v>0</v>
      </c>
      <c r="BA726" s="105" t="n">
        <v>0</v>
      </c>
      <c r="BB726" s="105" t="n">
        <v>0</v>
      </c>
      <c r="BC726" s="105" t="n">
        <v>0</v>
      </c>
      <c r="BD726" s="105" t="n">
        <v>0</v>
      </c>
      <c r="BE726" s="105" t="n">
        <v>0</v>
      </c>
      <c r="BF726" s="105" t="n">
        <v>0</v>
      </c>
      <c r="BG726" s="105" t="n">
        <v>0</v>
      </c>
      <c r="BH726" s="105" t="n">
        <v>0</v>
      </c>
      <c r="BI726" s="105" t="n">
        <v>0</v>
      </c>
      <c r="BJ726" s="105" t="n">
        <v>0</v>
      </c>
      <c r="BK726" s="105" t="n">
        <v>0</v>
      </c>
      <c r="BL726" s="105" t="n">
        <v>0</v>
      </c>
      <c r="BM726" s="105" t="n">
        <v>0</v>
      </c>
      <c r="BN726" s="105" t="n">
        <v>0</v>
      </c>
      <c r="BO726" s="105" t="n">
        <v>0</v>
      </c>
      <c r="BP726" s="105" t="n">
        <v>0</v>
      </c>
      <c r="BQ726" s="105" t="n">
        <v>0</v>
      </c>
      <c r="BR726" s="106" t="n">
        <v>0.666666666666667</v>
      </c>
      <c r="BS726" s="106" t="n">
        <v>0.677777777777778</v>
      </c>
      <c r="BT726" s="107"/>
      <c r="BU726" s="107"/>
      <c r="BV726" s="107"/>
      <c r="BW726" s="107"/>
      <c r="BX726" s="107"/>
      <c r="BY726" s="107"/>
      <c r="BZ726" s="107"/>
      <c r="CA726" s="107"/>
      <c r="CB726" s="107"/>
      <c r="CC726" s="107"/>
      <c r="CD726" s="107"/>
      <c r="CE726" s="107"/>
      <c r="CF726" s="107"/>
      <c r="CG726" s="107"/>
      <c r="CH726" s="107"/>
      <c r="CI726" s="107"/>
      <c r="CJ726" s="107"/>
      <c r="CK726" s="107"/>
      <c r="CL726" s="107"/>
      <c r="CM726" s="107"/>
      <c r="CN726" s="107"/>
      <c r="CO726" s="107"/>
      <c r="CP726" s="107"/>
      <c r="CQ726" s="107"/>
      <c r="CR726" s="107"/>
      <c r="CS726" s="107"/>
      <c r="CT726" s="107"/>
      <c r="CU726" s="107"/>
      <c r="CV726" s="107"/>
    </row>
    <row r="727" customFormat="false" ht="14.9" hidden="false" customHeight="false" outlineLevel="0" collapsed="false">
      <c r="A727" s="74" t="n">
        <f aca="false">MONTH(B727)</f>
        <v>9</v>
      </c>
      <c r="B727" s="135" t="n">
        <v>44467</v>
      </c>
      <c r="C727" s="128" t="s">
        <v>1414</v>
      </c>
      <c r="D727" s="77" t="str">
        <f aca="false">IFERROR(VLOOKUP(E:E,'Item Data Support Sheet'!A:O,7,0),"")</f>
        <v>CAP MOLDED</v>
      </c>
      <c r="E727" s="80" t="s">
        <v>343</v>
      </c>
      <c r="F727" s="122"/>
      <c r="G727" s="137" t="s">
        <v>1215</v>
      </c>
      <c r="H727" s="79" t="str">
        <f aca="false">IFERROR(VLOOKUP(E:E,'Item Data Support Sheet'!A:O,2,0),"")</f>
        <v>CAP S TYPE MOLDED BLUE</v>
      </c>
      <c r="I727" s="80" t="s">
        <v>1420</v>
      </c>
      <c r="J727" s="80" t="s">
        <v>155</v>
      </c>
      <c r="K727" s="81" t="n">
        <v>4</v>
      </c>
      <c r="L727" s="124" t="n">
        <v>2074</v>
      </c>
      <c r="M727" s="83" t="n">
        <f aca="false">IFERROR(L727/K727,0)</f>
        <v>518.5</v>
      </c>
      <c r="N727" s="84" t="n">
        <f aca="false">+O727+Q727+T727+U727</f>
        <v>2640</v>
      </c>
      <c r="O727" s="85" t="n">
        <v>2640</v>
      </c>
      <c r="P727" s="86" t="n">
        <v>0</v>
      </c>
      <c r="Q727" s="86" t="n">
        <v>0</v>
      </c>
      <c r="R727" s="132" t="n">
        <v>0</v>
      </c>
      <c r="S727" s="128" t="n">
        <v>0</v>
      </c>
      <c r="T727" s="132" t="n">
        <v>0</v>
      </c>
      <c r="U727" s="128" t="n">
        <v>0</v>
      </c>
      <c r="V727" s="128" t="n">
        <v>1</v>
      </c>
      <c r="W727" s="90" t="n">
        <f aca="false">IFERROR(O727/V727,0)</f>
        <v>2640</v>
      </c>
      <c r="X727" s="91" t="n">
        <f aca="false">O727/L727</f>
        <v>1.27290260366442</v>
      </c>
      <c r="Y727" s="92" t="str">
        <f aca="false">IFERROR(VLOOKUP(E:E,'Item Data Support Sheet'!A:J,6,0),0)</f>
        <v>RM000114</v>
      </c>
      <c r="Z727" s="93" t="n">
        <f aca="false">IFERROR(VLOOKUP(E:E,'Item Data Support Sheet'!A:O,4,0),0)</f>
        <v>7.3</v>
      </c>
      <c r="AA727" s="93" t="n">
        <f aca="false">IFERROR(((N727)*(Z727/1000))+P727,0)</f>
        <v>19.272</v>
      </c>
      <c r="AB727" s="94" t="n">
        <f aca="false">IFERROR((O727*(Z727/1000)/(AA727))," ")</f>
        <v>1</v>
      </c>
      <c r="AC727" s="95" t="n">
        <f aca="false">IFERROR((T727)/((T727)+O727),0)</f>
        <v>0</v>
      </c>
      <c r="AD727" s="96" t="n">
        <f aca="false">IFERROR(Q727/(Q727+N727),0)</f>
        <v>0</v>
      </c>
      <c r="AE727" s="91" t="n">
        <f aca="false">(N727-T727)/N727</f>
        <v>1</v>
      </c>
      <c r="AF727" s="97" t="n">
        <f aca="false">BR727</f>
        <v>0</v>
      </c>
      <c r="AG727" s="98" t="n">
        <f aca="false">K727-AF727</f>
        <v>4</v>
      </c>
      <c r="AH727" s="99" t="n">
        <f aca="false">IFERROR(AG727/K727," ")</f>
        <v>1</v>
      </c>
      <c r="AI727" s="100" t="n">
        <f aca="false">IFERROR(O727/K727,0)</f>
        <v>660</v>
      </c>
      <c r="AJ727" s="101" t="n">
        <f aca="false">VLOOKUP(D727,'Standard Cycle time'!C:D,2,0)</f>
        <v>6</v>
      </c>
      <c r="AK727" s="101" t="n">
        <f aca="false">AG727*V727*3600/O727</f>
        <v>5.45454545454545</v>
      </c>
      <c r="AL727" s="102" t="n">
        <f aca="false">AJ727/AK727</f>
        <v>1.1</v>
      </c>
      <c r="AM727" s="99" t="n">
        <f aca="false">AE727*AL727*AH727</f>
        <v>1.1</v>
      </c>
      <c r="AN727" s="103" t="n">
        <v>3683</v>
      </c>
      <c r="AO727" s="112" t="s">
        <v>1421</v>
      </c>
      <c r="AP727" s="105" t="n">
        <v>0</v>
      </c>
      <c r="AQ727" s="105" t="n">
        <v>0</v>
      </c>
      <c r="AR727" s="105" t="n">
        <v>0</v>
      </c>
      <c r="AS727" s="105" t="n">
        <v>0</v>
      </c>
      <c r="AT727" s="105" t="n">
        <v>0</v>
      </c>
      <c r="AU727" s="105" t="n">
        <v>0</v>
      </c>
      <c r="AV727" s="105" t="n">
        <v>0</v>
      </c>
      <c r="AW727" s="105" t="n">
        <v>0</v>
      </c>
      <c r="AX727" s="105" t="n">
        <v>0</v>
      </c>
      <c r="AY727" s="105" t="n">
        <v>0</v>
      </c>
      <c r="AZ727" s="105" t="n">
        <v>0</v>
      </c>
      <c r="BA727" s="105" t="n">
        <v>0</v>
      </c>
      <c r="BB727" s="105" t="n">
        <v>0</v>
      </c>
      <c r="BC727" s="105" t="n">
        <v>0</v>
      </c>
      <c r="BD727" s="105" t="n">
        <v>0</v>
      </c>
      <c r="BE727" s="105" t="n">
        <v>0</v>
      </c>
      <c r="BF727" s="105" t="n">
        <v>0</v>
      </c>
      <c r="BG727" s="105" t="n">
        <v>0</v>
      </c>
      <c r="BH727" s="105" t="n">
        <v>0</v>
      </c>
      <c r="BI727" s="105" t="n">
        <v>0</v>
      </c>
      <c r="BJ727" s="105" t="n">
        <v>0</v>
      </c>
      <c r="BK727" s="105" t="n">
        <v>0</v>
      </c>
      <c r="BL727" s="105" t="n">
        <v>0</v>
      </c>
      <c r="BM727" s="105" t="n">
        <v>0</v>
      </c>
      <c r="BN727" s="105" t="n">
        <v>0</v>
      </c>
      <c r="BO727" s="105" t="n">
        <v>0</v>
      </c>
      <c r="BP727" s="105" t="n">
        <v>0</v>
      </c>
      <c r="BQ727" s="105" t="n">
        <v>0</v>
      </c>
      <c r="BR727" s="106" t="n">
        <v>0</v>
      </c>
      <c r="BS727" s="106" t="n">
        <v>0</v>
      </c>
      <c r="BT727" s="107"/>
      <c r="BU727" s="107"/>
      <c r="BV727" s="107"/>
      <c r="BW727" s="107"/>
      <c r="BX727" s="107"/>
      <c r="BY727" s="107"/>
      <c r="BZ727" s="107"/>
      <c r="CA727" s="107"/>
      <c r="CB727" s="107"/>
      <c r="CC727" s="107"/>
      <c r="CD727" s="107"/>
      <c r="CE727" s="107"/>
      <c r="CF727" s="107"/>
      <c r="CG727" s="107"/>
      <c r="CH727" s="107"/>
      <c r="CI727" s="107"/>
      <c r="CJ727" s="107"/>
      <c r="CK727" s="107"/>
      <c r="CL727" s="107"/>
      <c r="CM727" s="107"/>
      <c r="CN727" s="107"/>
      <c r="CO727" s="107"/>
      <c r="CP727" s="107"/>
      <c r="CQ727" s="107"/>
      <c r="CR727" s="107"/>
      <c r="CS727" s="107"/>
      <c r="CT727" s="107"/>
      <c r="CU727" s="107"/>
      <c r="CV727" s="107"/>
    </row>
    <row r="728" customFormat="false" ht="14.9" hidden="false" customHeight="false" outlineLevel="0" collapsed="false">
      <c r="A728" s="74" t="n">
        <f aca="false">MONTH(B728)</f>
        <v>9</v>
      </c>
      <c r="B728" s="135" t="n">
        <v>44467</v>
      </c>
      <c r="C728" s="128" t="s">
        <v>1414</v>
      </c>
      <c r="D728" s="77" t="str">
        <f aca="false">IFERROR(VLOOKUP(E:E,'Item Data Support Sheet'!A:O,7,0),"")</f>
        <v>CAP MOLDED</v>
      </c>
      <c r="E728" s="80" t="s">
        <v>343</v>
      </c>
      <c r="F728" s="122"/>
      <c r="G728" s="137" t="s">
        <v>1211</v>
      </c>
      <c r="H728" s="79" t="str">
        <f aca="false">IFERROR(VLOOKUP(E:E,'Item Data Support Sheet'!A:O,2,0),"")</f>
        <v>CAP S TYPE MOLDED BLUE</v>
      </c>
      <c r="I728" s="80" t="s">
        <v>1422</v>
      </c>
      <c r="J728" s="80" t="s">
        <v>155</v>
      </c>
      <c r="K728" s="81" t="n">
        <v>4</v>
      </c>
      <c r="L728" s="124" t="n">
        <v>2074</v>
      </c>
      <c r="M728" s="83" t="n">
        <f aca="false">IFERROR(L728/K728,0)</f>
        <v>518.5</v>
      </c>
      <c r="N728" s="84" t="n">
        <f aca="false">+O728+Q728+T728+U728</f>
        <v>1312</v>
      </c>
      <c r="O728" s="85" t="n">
        <v>1300</v>
      </c>
      <c r="P728" s="86" t="n">
        <v>0</v>
      </c>
      <c r="Q728" s="86" t="n">
        <v>0</v>
      </c>
      <c r="R728" s="132" t="n">
        <v>0</v>
      </c>
      <c r="S728" s="128" t="n">
        <v>0</v>
      </c>
      <c r="T728" s="132" t="n">
        <v>4</v>
      </c>
      <c r="U728" s="128" t="n">
        <v>8</v>
      </c>
      <c r="V728" s="128" t="n">
        <v>1</v>
      </c>
      <c r="W728" s="90" t="n">
        <f aca="false">IFERROR(O728/V728,0)</f>
        <v>1300</v>
      </c>
      <c r="X728" s="91" t="n">
        <f aca="false">O728/L728</f>
        <v>0.626808100289296</v>
      </c>
      <c r="Y728" s="92" t="str">
        <f aca="false">IFERROR(VLOOKUP(E:E,'Item Data Support Sheet'!A:J,6,0),0)</f>
        <v>RM000114</v>
      </c>
      <c r="Z728" s="93" t="n">
        <f aca="false">IFERROR(VLOOKUP(E:E,'Item Data Support Sheet'!A:O,4,0),0)</f>
        <v>7.3</v>
      </c>
      <c r="AA728" s="93" t="n">
        <f aca="false">IFERROR(((N728)*(Z728/1000))+P728,0)</f>
        <v>9.5776</v>
      </c>
      <c r="AB728" s="94" t="n">
        <f aca="false">IFERROR((O728*(Z728/1000)/(AA728))," ")</f>
        <v>0.990853658536585</v>
      </c>
      <c r="AC728" s="95" t="n">
        <f aca="false">IFERROR((T728)/((T728)+O728),0)</f>
        <v>0.00306748466257669</v>
      </c>
      <c r="AD728" s="96" t="n">
        <f aca="false">IFERROR(Q728/(Q728+N728),0)</f>
        <v>0</v>
      </c>
      <c r="AE728" s="91" t="n">
        <f aca="false">(N728-T728)/N728</f>
        <v>0.996951219512195</v>
      </c>
      <c r="AF728" s="97" t="n">
        <f aca="false">BR728</f>
        <v>1.66666666666667</v>
      </c>
      <c r="AG728" s="98" t="n">
        <f aca="false">K728-AF728</f>
        <v>2.33333333333333</v>
      </c>
      <c r="AH728" s="99" t="n">
        <f aca="false">IFERROR(AG728/K728," ")</f>
        <v>0.583333333333332</v>
      </c>
      <c r="AI728" s="100" t="n">
        <f aca="false">IFERROR(O728/K728,0)</f>
        <v>325</v>
      </c>
      <c r="AJ728" s="101" t="n">
        <f aca="false">VLOOKUP(D728,'Standard Cycle time'!C:D,2,0)</f>
        <v>6</v>
      </c>
      <c r="AK728" s="101" t="n">
        <f aca="false">AG728*V728*3600/O728</f>
        <v>6.46153846153845</v>
      </c>
      <c r="AL728" s="102" t="n">
        <f aca="false">AJ728/AK728</f>
        <v>0.92857142857143</v>
      </c>
      <c r="AM728" s="99" t="n">
        <f aca="false">AE728*AL728*AH728</f>
        <v>0.540015243902439</v>
      </c>
      <c r="AN728" s="103" t="n">
        <v>3684</v>
      </c>
      <c r="AO728" s="112"/>
      <c r="AP728" s="105" t="n">
        <v>0</v>
      </c>
      <c r="AQ728" s="105" t="n">
        <v>0</v>
      </c>
      <c r="AR728" s="105" t="n">
        <v>0</v>
      </c>
      <c r="AS728" s="105" t="n">
        <v>0</v>
      </c>
      <c r="AT728" s="105" t="n">
        <v>0</v>
      </c>
      <c r="AU728" s="105" t="n">
        <v>0</v>
      </c>
      <c r="AV728" s="105" t="n">
        <v>60</v>
      </c>
      <c r="AW728" s="105" t="n">
        <v>40</v>
      </c>
      <c r="AX728" s="105" t="n">
        <v>0</v>
      </c>
      <c r="AY728" s="105" t="n">
        <v>0</v>
      </c>
      <c r="AZ728" s="105" t="n">
        <v>0</v>
      </c>
      <c r="BA728" s="105" t="n">
        <v>0</v>
      </c>
      <c r="BB728" s="105" t="n">
        <v>0</v>
      </c>
      <c r="BC728" s="105" t="n">
        <v>0</v>
      </c>
      <c r="BD728" s="105" t="n">
        <v>0</v>
      </c>
      <c r="BE728" s="105" t="n">
        <v>0</v>
      </c>
      <c r="BF728" s="105" t="n">
        <v>0</v>
      </c>
      <c r="BG728" s="105" t="n">
        <v>0</v>
      </c>
      <c r="BH728" s="105" t="n">
        <v>0</v>
      </c>
      <c r="BI728" s="105" t="n">
        <v>0</v>
      </c>
      <c r="BJ728" s="105" t="n">
        <v>0</v>
      </c>
      <c r="BK728" s="105" t="n">
        <v>0</v>
      </c>
      <c r="BL728" s="105" t="n">
        <v>0</v>
      </c>
      <c r="BM728" s="105" t="n">
        <v>0</v>
      </c>
      <c r="BN728" s="105" t="n">
        <v>0</v>
      </c>
      <c r="BO728" s="105" t="n">
        <v>0</v>
      </c>
      <c r="BP728" s="105" t="n">
        <v>0</v>
      </c>
      <c r="BQ728" s="105" t="n">
        <v>0</v>
      </c>
      <c r="BR728" s="106" t="n">
        <v>1.66666666666667</v>
      </c>
      <c r="BS728" s="106" t="n">
        <v>1.69444444444444</v>
      </c>
      <c r="BT728" s="107"/>
      <c r="BU728" s="107"/>
      <c r="BV728" s="107"/>
      <c r="BW728" s="107"/>
      <c r="BX728" s="107"/>
      <c r="BY728" s="107"/>
      <c r="BZ728" s="107"/>
      <c r="CA728" s="107"/>
      <c r="CB728" s="107"/>
      <c r="CC728" s="107"/>
      <c r="CD728" s="107"/>
      <c r="CE728" s="107"/>
      <c r="CF728" s="107"/>
      <c r="CG728" s="107"/>
      <c r="CH728" s="107"/>
      <c r="CI728" s="107"/>
      <c r="CJ728" s="107"/>
      <c r="CK728" s="107"/>
      <c r="CL728" s="107"/>
      <c r="CM728" s="107"/>
      <c r="CN728" s="107"/>
      <c r="CO728" s="107"/>
      <c r="CP728" s="107"/>
      <c r="CQ728" s="107"/>
      <c r="CR728" s="107"/>
      <c r="CS728" s="107"/>
      <c r="CT728" s="107"/>
      <c r="CU728" s="107"/>
      <c r="CV728" s="107"/>
    </row>
    <row r="729" customFormat="false" ht="14.9" hidden="false" customHeight="false" outlineLevel="0" collapsed="false">
      <c r="A729" s="74" t="n">
        <f aca="false">MONTH(B729)</f>
        <v>9</v>
      </c>
      <c r="B729" s="135" t="n">
        <v>44467</v>
      </c>
      <c r="C729" s="128" t="s">
        <v>1414</v>
      </c>
      <c r="D729" s="77" t="str">
        <f aca="false">IFERROR(VLOOKUP(E:E,'Item Data Support Sheet'!A:O,7,0),"")</f>
        <v>NIPPLE MOLDED</v>
      </c>
      <c r="E729" s="80" t="s">
        <v>492</v>
      </c>
      <c r="F729" s="122" t="s">
        <v>137</v>
      </c>
      <c r="G729" s="137" t="s">
        <v>138</v>
      </c>
      <c r="H729" s="79" t="str">
        <f aca="false">IFERROR(VLOOKUP(E:E,'Item Data Support Sheet'!A:O,2,0),"")</f>
        <v>NIPPLE S TYPE LL SIZE INJECTION</v>
      </c>
      <c r="I729" s="80" t="s">
        <v>1423</v>
      </c>
      <c r="J729" s="80" t="s">
        <v>155</v>
      </c>
      <c r="K729" s="81" t="n">
        <v>1</v>
      </c>
      <c r="L729" s="124" t="n">
        <v>1204</v>
      </c>
      <c r="M729" s="83" t="n">
        <f aca="false">IFERROR(L729/K729,0)</f>
        <v>1204</v>
      </c>
      <c r="N729" s="84" t="n">
        <f aca="false">+O729+Q729+T729+U729</f>
        <v>1310</v>
      </c>
      <c r="O729" s="85" t="n">
        <v>500</v>
      </c>
      <c r="P729" s="86" t="n">
        <v>0</v>
      </c>
      <c r="Q729" s="86" t="n">
        <v>700</v>
      </c>
      <c r="R729" s="132" t="n">
        <v>0</v>
      </c>
      <c r="S729" s="128" t="n">
        <v>0</v>
      </c>
      <c r="T729" s="132" t="n">
        <v>110</v>
      </c>
      <c r="U729" s="128" t="n">
        <v>0</v>
      </c>
      <c r="V729" s="128" t="n">
        <v>1</v>
      </c>
      <c r="W729" s="90" t="n">
        <f aca="false">IFERROR(O729/V729,0)</f>
        <v>500</v>
      </c>
      <c r="X729" s="91" t="n">
        <f aca="false">O729/L729</f>
        <v>0.415282392026578</v>
      </c>
      <c r="Y729" s="92" t="str">
        <f aca="false">IFERROR(VLOOKUP(E:E,'Item Data Support Sheet'!A:J,6,0),0)</f>
        <v>FO148</v>
      </c>
      <c r="Z729" s="93" t="n">
        <f aca="false">IFERROR(VLOOKUP(E:E,'Item Data Support Sheet'!A:O,4,0),0)</f>
        <v>6.8</v>
      </c>
      <c r="AA729" s="93" t="n">
        <f aca="false">IFERROR(((N729)*(Z729/1000))+P729,0)</f>
        <v>8.908</v>
      </c>
      <c r="AB729" s="94" t="n">
        <f aca="false">IFERROR((O729*(Z729/1000)/(AA729))," ")</f>
        <v>0.381679389312977</v>
      </c>
      <c r="AC729" s="95" t="n">
        <f aca="false">IFERROR((T729)/((T729)+O729),0)</f>
        <v>0.180327868852459</v>
      </c>
      <c r="AD729" s="96" t="n">
        <f aca="false">IFERROR(Q729/(Q729+N729),0)</f>
        <v>0.348258706467662</v>
      </c>
      <c r="AE729" s="91" t="n">
        <f aca="false">(N729-T729)/N729</f>
        <v>0.916030534351145</v>
      </c>
      <c r="AF729" s="97" t="n">
        <f aca="false">BR729</f>
        <v>0.25</v>
      </c>
      <c r="AG729" s="98" t="n">
        <f aca="false">K729-AF729</f>
        <v>0.75</v>
      </c>
      <c r="AH729" s="99" t="n">
        <f aca="false">IFERROR(AG729/K729," ")</f>
        <v>0.75</v>
      </c>
      <c r="AI729" s="100" t="n">
        <f aca="false">IFERROR(O729/K729,0)</f>
        <v>500</v>
      </c>
      <c r="AJ729" s="101" t="n">
        <f aca="false">VLOOKUP(D729,'Standard Cycle time'!C:D,2,0)</f>
        <v>5.25</v>
      </c>
      <c r="AK729" s="101" t="n">
        <f aca="false">AG729*V729*3600/O729</f>
        <v>5.4</v>
      </c>
      <c r="AL729" s="102" t="n">
        <f aca="false">AJ729/AK729</f>
        <v>0.972222222222222</v>
      </c>
      <c r="AM729" s="99" t="n">
        <f aca="false">AE729*AL729*AH729</f>
        <v>0.66793893129771</v>
      </c>
      <c r="AN729" s="103" t="n">
        <v>3685</v>
      </c>
      <c r="AO729" s="112" t="s">
        <v>1424</v>
      </c>
      <c r="AP729" s="105" t="n">
        <v>0</v>
      </c>
      <c r="AQ729" s="105" t="n">
        <v>0</v>
      </c>
      <c r="AR729" s="105" t="n">
        <v>0</v>
      </c>
      <c r="AS729" s="105" t="n">
        <v>0</v>
      </c>
      <c r="AT729" s="105" t="n">
        <v>0</v>
      </c>
      <c r="AU729" s="105" t="n">
        <v>0</v>
      </c>
      <c r="AV729" s="105" t="n">
        <v>15</v>
      </c>
      <c r="AW729" s="105" t="n">
        <v>0</v>
      </c>
      <c r="AX729" s="105" t="n">
        <v>0</v>
      </c>
      <c r="AY729" s="105" t="n">
        <v>0</v>
      </c>
      <c r="AZ729" s="105" t="n">
        <v>0</v>
      </c>
      <c r="BA729" s="105" t="n">
        <v>0</v>
      </c>
      <c r="BB729" s="105" t="n">
        <v>0</v>
      </c>
      <c r="BC729" s="105" t="n">
        <v>0</v>
      </c>
      <c r="BD729" s="105" t="n">
        <v>0</v>
      </c>
      <c r="BE729" s="105" t="n">
        <v>0</v>
      </c>
      <c r="BF729" s="105" t="n">
        <v>0</v>
      </c>
      <c r="BG729" s="105" t="n">
        <v>0</v>
      </c>
      <c r="BH729" s="105" t="n">
        <v>0</v>
      </c>
      <c r="BI729" s="105" t="n">
        <v>0</v>
      </c>
      <c r="BJ729" s="105" t="n">
        <v>0</v>
      </c>
      <c r="BK729" s="105" t="n">
        <v>0</v>
      </c>
      <c r="BL729" s="105" t="n">
        <v>0</v>
      </c>
      <c r="BM729" s="105" t="n">
        <v>0</v>
      </c>
      <c r="BN729" s="105" t="n">
        <v>0</v>
      </c>
      <c r="BO729" s="105" t="n">
        <v>0</v>
      </c>
      <c r="BP729" s="105" t="n">
        <v>0</v>
      </c>
      <c r="BQ729" s="105" t="n">
        <v>0</v>
      </c>
      <c r="BR729" s="106" t="n">
        <v>0.25</v>
      </c>
      <c r="BS729" s="106" t="n">
        <v>0.254166666666667</v>
      </c>
      <c r="BT729" s="107"/>
      <c r="BU729" s="107"/>
      <c r="BV729" s="107"/>
      <c r="BW729" s="107"/>
      <c r="BX729" s="107"/>
      <c r="BY729" s="107"/>
      <c r="BZ729" s="107"/>
      <c r="CA729" s="107"/>
      <c r="CB729" s="107"/>
      <c r="CC729" s="107"/>
      <c r="CD729" s="107"/>
      <c r="CE729" s="107"/>
      <c r="CF729" s="107"/>
      <c r="CG729" s="107"/>
      <c r="CH729" s="107"/>
      <c r="CI729" s="107"/>
      <c r="CJ729" s="107"/>
      <c r="CK729" s="107"/>
      <c r="CL729" s="107"/>
      <c r="CM729" s="107"/>
      <c r="CN729" s="107"/>
      <c r="CO729" s="107"/>
      <c r="CP729" s="107"/>
      <c r="CQ729" s="107"/>
      <c r="CR729" s="107"/>
      <c r="CS729" s="107"/>
      <c r="CT729" s="107"/>
      <c r="CU729" s="107"/>
      <c r="CV729" s="107"/>
    </row>
    <row r="730" customFormat="false" ht="14.9" hidden="false" customHeight="false" outlineLevel="0" collapsed="false">
      <c r="A730" s="74" t="n">
        <f aca="false">MONTH(B730)</f>
        <v>9</v>
      </c>
      <c r="B730" s="135" t="n">
        <v>44467</v>
      </c>
      <c r="C730" s="128" t="s">
        <v>63</v>
      </c>
      <c r="D730" s="77" t="str">
        <f aca="false">IFERROR(VLOOKUP(E:E,'Item Data Support Sheet'!A:O,7,0),"")</f>
        <v>NIPPLE PUNCH INSPECTED</v>
      </c>
      <c r="E730" s="80" t="s">
        <v>688</v>
      </c>
      <c r="F730" s="122"/>
      <c r="G730" s="137"/>
      <c r="H730" s="79" t="str">
        <f aca="false">IFERROR(VLOOKUP(E:E,'Item Data Support Sheet'!A:O,2,0),"")</f>
        <v>NIPPLE S TYPE L SIZE PUNCHED INSPECTED</v>
      </c>
      <c r="I730" s="80" t="s">
        <v>1199</v>
      </c>
      <c r="J730" s="80" t="s">
        <v>815</v>
      </c>
      <c r="K730" s="81" t="n">
        <v>8.5</v>
      </c>
      <c r="L730" s="124" t="n">
        <v>14182</v>
      </c>
      <c r="M730" s="83" t="n">
        <f aca="false">IFERROR(L730/K730,0)</f>
        <v>1668.47058823529</v>
      </c>
      <c r="N730" s="84" t="n">
        <f aca="false">+O730+Q730+T730+U730</f>
        <v>22365</v>
      </c>
      <c r="O730" s="85" t="n">
        <v>22125</v>
      </c>
      <c r="P730" s="86" t="n">
        <v>0</v>
      </c>
      <c r="Q730" s="86" t="n">
        <v>0</v>
      </c>
      <c r="R730" s="132" t="n">
        <v>0</v>
      </c>
      <c r="S730" s="128" t="n">
        <v>0</v>
      </c>
      <c r="T730" s="132" t="n">
        <v>240</v>
      </c>
      <c r="U730" s="128" t="n">
        <v>0</v>
      </c>
      <c r="V730" s="128" t="n">
        <v>2</v>
      </c>
      <c r="W730" s="90" t="n">
        <f aca="false">IFERROR(O730/V730,0)</f>
        <v>11062.5</v>
      </c>
      <c r="X730" s="91" t="n">
        <f aca="false">O730/L730</f>
        <v>1.56007615286984</v>
      </c>
      <c r="Y730" s="92" t="str">
        <f aca="false">IFERROR(VLOOKUP(E:E,'Item Data Support Sheet'!A:J,6,0),0)</f>
        <v>FO106</v>
      </c>
      <c r="Z730" s="93" t="n">
        <f aca="false">IFERROR(VLOOKUP(E:E,'Item Data Support Sheet'!A:O,4,0),0)</f>
        <v>0</v>
      </c>
      <c r="AA730" s="93" t="n">
        <f aca="false">IFERROR(((N730)*(Z730/1000))+P730,0)</f>
        <v>0</v>
      </c>
      <c r="AB730" s="94" t="str">
        <f aca="false">IFERROR((O730*(Z730/1000)/(AA730))," ")</f>
        <v> </v>
      </c>
      <c r="AC730" s="95" t="n">
        <f aca="false">IFERROR((T730)/((T730)+O730),0)</f>
        <v>0.0107310529845741</v>
      </c>
      <c r="AD730" s="96" t="n">
        <f aca="false">IFERROR(Q730/(Q730+N730),0)</f>
        <v>0</v>
      </c>
      <c r="AE730" s="91" t="n">
        <f aca="false">(N730-T730)/N730</f>
        <v>0.989268947015426</v>
      </c>
      <c r="AF730" s="97" t="n">
        <f aca="false">BR730</f>
        <v>0.833333333333333</v>
      </c>
      <c r="AG730" s="98" t="n">
        <f aca="false">K730-AF730</f>
        <v>7.66666666666667</v>
      </c>
      <c r="AH730" s="99" t="n">
        <f aca="false">IFERROR(AG730/K730," ")</f>
        <v>0.901960784313726</v>
      </c>
      <c r="AI730" s="100" t="n">
        <f aca="false">IFERROR(O730/K730,0)</f>
        <v>2602.94117647059</v>
      </c>
      <c r="AJ730" s="101" t="n">
        <f aca="false">VLOOKUP(D730,'Standard Cycle time'!C:D,2,0)</f>
        <v>4</v>
      </c>
      <c r="AK730" s="101" t="n">
        <f aca="false">AG730*V730*3600/O730</f>
        <v>2.49491525423729</v>
      </c>
      <c r="AL730" s="102" t="n">
        <f aca="false">AJ730/AK730</f>
        <v>1.60326086956522</v>
      </c>
      <c r="AM730" s="99" t="n">
        <f aca="false">AE730*AL730*AH730</f>
        <v>1.43056048710564</v>
      </c>
      <c r="AN730" s="103" t="s">
        <v>1425</v>
      </c>
      <c r="AO730" s="112"/>
      <c r="AP730" s="105" t="n">
        <v>50</v>
      </c>
      <c r="AQ730" s="105" t="n">
        <v>0</v>
      </c>
      <c r="AR730" s="105" t="n">
        <v>0</v>
      </c>
      <c r="AS730" s="105" t="n">
        <v>0</v>
      </c>
      <c r="AT730" s="105" t="n">
        <v>0</v>
      </c>
      <c r="AU730" s="105" t="n">
        <v>0</v>
      </c>
      <c r="AV730" s="105" t="n">
        <v>0</v>
      </c>
      <c r="AW730" s="105" t="n">
        <v>0</v>
      </c>
      <c r="AX730" s="105" t="n">
        <v>0</v>
      </c>
      <c r="AY730" s="105" t="n">
        <v>0</v>
      </c>
      <c r="AZ730" s="105" t="n">
        <v>0</v>
      </c>
      <c r="BA730" s="105" t="n">
        <v>0</v>
      </c>
      <c r="BB730" s="105" t="n">
        <v>0</v>
      </c>
      <c r="BC730" s="105" t="n">
        <v>0</v>
      </c>
      <c r="BD730" s="105" t="n">
        <v>0</v>
      </c>
      <c r="BE730" s="105" t="n">
        <v>0</v>
      </c>
      <c r="BF730" s="105" t="n">
        <v>0</v>
      </c>
      <c r="BG730" s="105" t="n">
        <v>0</v>
      </c>
      <c r="BH730" s="105" t="n">
        <v>0</v>
      </c>
      <c r="BI730" s="105" t="n">
        <v>0</v>
      </c>
      <c r="BJ730" s="105" t="n">
        <v>0</v>
      </c>
      <c r="BK730" s="105" t="n">
        <v>0</v>
      </c>
      <c r="BL730" s="105" t="n">
        <v>0</v>
      </c>
      <c r="BM730" s="105" t="n">
        <v>0</v>
      </c>
      <c r="BN730" s="105" t="n">
        <v>0</v>
      </c>
      <c r="BO730" s="105" t="n">
        <v>0</v>
      </c>
      <c r="BP730" s="105" t="n">
        <v>0</v>
      </c>
      <c r="BQ730" s="105" t="n">
        <v>0</v>
      </c>
      <c r="BR730" s="106" t="n">
        <v>0.833333333333333</v>
      </c>
      <c r="BS730" s="106" t="n">
        <v>0.847222222222222</v>
      </c>
      <c r="BT730" s="107"/>
      <c r="BU730" s="107"/>
      <c r="BV730" s="107"/>
      <c r="BW730" s="107"/>
      <c r="BX730" s="107"/>
      <c r="BY730" s="107"/>
      <c r="BZ730" s="107"/>
      <c r="CA730" s="107"/>
      <c r="CB730" s="107"/>
      <c r="CC730" s="107"/>
      <c r="CD730" s="107"/>
      <c r="CE730" s="107"/>
      <c r="CF730" s="107"/>
      <c r="CG730" s="107"/>
      <c r="CH730" s="107"/>
      <c r="CI730" s="107"/>
      <c r="CJ730" s="107"/>
      <c r="CK730" s="107"/>
      <c r="CL730" s="107"/>
      <c r="CM730" s="107"/>
      <c r="CN730" s="107"/>
      <c r="CO730" s="107"/>
      <c r="CP730" s="107"/>
      <c r="CQ730" s="107"/>
      <c r="CR730" s="107"/>
      <c r="CS730" s="107"/>
      <c r="CT730" s="107"/>
      <c r="CU730" s="107"/>
      <c r="CV730" s="107"/>
    </row>
    <row r="731" customFormat="false" ht="14.9" hidden="false" customHeight="false" outlineLevel="0" collapsed="false">
      <c r="A731" s="74" t="n">
        <f aca="false">MONTH(B731)</f>
        <v>9</v>
      </c>
      <c r="B731" s="135" t="n">
        <v>44467</v>
      </c>
      <c r="C731" s="128" t="s">
        <v>63</v>
      </c>
      <c r="D731" s="77" t="str">
        <f aca="false">IFERROR(VLOOKUP(E:E,'Item Data Support Sheet'!A:O,7,0),"")</f>
        <v>NIPPLE WRAP PRINTED</v>
      </c>
      <c r="E731" s="80" t="s">
        <v>551</v>
      </c>
      <c r="F731" s="122"/>
      <c r="G731" s="137" t="s">
        <v>432</v>
      </c>
      <c r="H731" s="79" t="str">
        <f aca="false">IFERROR(VLOOKUP(E:E,'Item Data Support Sheet'!A:O,2,0),"")</f>
        <v>NIPPLE S TYPE S SIZE WITH PRINTED WRAP</v>
      </c>
      <c r="I731" s="80" t="s">
        <v>1426</v>
      </c>
      <c r="J731" s="80" t="s">
        <v>815</v>
      </c>
      <c r="K731" s="81" t="n">
        <v>4</v>
      </c>
      <c r="L731" s="124" t="n">
        <v>8080</v>
      </c>
      <c r="M731" s="83" t="n">
        <f aca="false">IFERROR(L731/K731,0)</f>
        <v>2020</v>
      </c>
      <c r="N731" s="84" t="n">
        <f aca="false">+O731+Q731+T731+U731</f>
        <v>8276</v>
      </c>
      <c r="O731" s="85" t="n">
        <v>8276</v>
      </c>
      <c r="P731" s="86" t="n">
        <v>0</v>
      </c>
      <c r="Q731" s="86" t="n">
        <v>0</v>
      </c>
      <c r="R731" s="132" t="n">
        <v>0</v>
      </c>
      <c r="S731" s="128" t="n">
        <v>0</v>
      </c>
      <c r="T731" s="132" t="n">
        <v>0</v>
      </c>
      <c r="U731" s="128" t="n">
        <v>0</v>
      </c>
      <c r="V731" s="128" t="n">
        <v>2</v>
      </c>
      <c r="W731" s="90" t="n">
        <f aca="false">IFERROR(O731/V731,0)</f>
        <v>4138</v>
      </c>
      <c r="X731" s="91" t="n">
        <f aca="false">O731/L731</f>
        <v>1.02425742574257</v>
      </c>
      <c r="Y731" s="92" t="str">
        <f aca="false">IFERROR(VLOOKUP(E:E,'Item Data Support Sheet'!A:J,6,0),0)</f>
        <v>FO108</v>
      </c>
      <c r="Z731" s="93" t="n">
        <f aca="false">IFERROR(VLOOKUP(E:E,'Item Data Support Sheet'!A:O,4,0),0)</f>
        <v>0</v>
      </c>
      <c r="AA731" s="93" t="n">
        <f aca="false">IFERROR(((N731)*(Z731/1000))+P731,0)</f>
        <v>0</v>
      </c>
      <c r="AB731" s="94" t="str">
        <f aca="false">IFERROR((O731*(Z731/1000)/(AA731))," ")</f>
        <v> </v>
      </c>
      <c r="AC731" s="95" t="n">
        <f aca="false">IFERROR((T731)/((T731)+O731),0)</f>
        <v>0</v>
      </c>
      <c r="AD731" s="96" t="n">
        <f aca="false">IFERROR(Q731/(Q731+N731),0)</f>
        <v>0</v>
      </c>
      <c r="AE731" s="91" t="n">
        <f aca="false">(N731-T731)/N731</f>
        <v>1</v>
      </c>
      <c r="AF731" s="97" t="n">
        <f aca="false">BR731</f>
        <v>0</v>
      </c>
      <c r="AG731" s="98" t="n">
        <f aca="false">K731-AF731</f>
        <v>4</v>
      </c>
      <c r="AH731" s="99" t="n">
        <f aca="false">IFERROR(AG731/K731," ")</f>
        <v>1</v>
      </c>
      <c r="AI731" s="100" t="n">
        <f aca="false">IFERROR(O731/K731,0)</f>
        <v>2069</v>
      </c>
      <c r="AJ731" s="101" t="n">
        <f aca="false">VLOOKUP(D731,'Standard Cycle time'!C:D,2,0)</f>
        <v>2.5</v>
      </c>
      <c r="AK731" s="101" t="n">
        <f aca="false">AG731*V731*3600/O731</f>
        <v>3.47994200096665</v>
      </c>
      <c r="AL731" s="102" t="n">
        <f aca="false">AJ731/AK731</f>
        <v>0.718402777777778</v>
      </c>
      <c r="AM731" s="99" t="n">
        <f aca="false">AE731*AL731*AH731</f>
        <v>0.718402777777778</v>
      </c>
      <c r="AN731" s="103" t="s">
        <v>1427</v>
      </c>
      <c r="AO731" s="112"/>
      <c r="AP731" s="105" t="n">
        <v>10</v>
      </c>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6"/>
      <c r="BS731" s="106"/>
      <c r="BT731" s="107"/>
      <c r="BU731" s="107"/>
      <c r="BV731" s="107"/>
      <c r="BW731" s="107"/>
      <c r="BX731" s="107"/>
      <c r="BY731" s="107"/>
      <c r="BZ731" s="107"/>
      <c r="CA731" s="107"/>
      <c r="CB731" s="107"/>
      <c r="CC731" s="107"/>
      <c r="CD731" s="107"/>
      <c r="CE731" s="107"/>
      <c r="CF731" s="107"/>
      <c r="CG731" s="107"/>
      <c r="CH731" s="107"/>
      <c r="CI731" s="107"/>
      <c r="CJ731" s="107"/>
      <c r="CK731" s="107"/>
      <c r="CL731" s="107"/>
      <c r="CM731" s="107"/>
      <c r="CN731" s="107"/>
      <c r="CO731" s="107"/>
      <c r="CP731" s="107"/>
      <c r="CQ731" s="107"/>
      <c r="CR731" s="107"/>
      <c r="CS731" s="107"/>
      <c r="CT731" s="107"/>
      <c r="CU731" s="107"/>
      <c r="CV731" s="107"/>
    </row>
    <row r="732" customFormat="false" ht="14.9" hidden="false" customHeight="false" outlineLevel="0" collapsed="false">
      <c r="A732" s="74" t="n">
        <f aca="false">MONTH(B732)</f>
        <v>9</v>
      </c>
      <c r="B732" s="135" t="n">
        <v>44467</v>
      </c>
      <c r="C732" s="128" t="s">
        <v>63</v>
      </c>
      <c r="D732" s="77" t="str">
        <f aca="false">IFERROR(VLOOKUP(E:E,'Item Data Support Sheet'!A:O,7,0),"")</f>
        <v>NIPPLE WRAP PRINTED</v>
      </c>
      <c r="E732" s="80" t="s">
        <v>474</v>
      </c>
      <c r="F732" s="122"/>
      <c r="G732" s="137" t="s">
        <v>1428</v>
      </c>
      <c r="H732" s="79" t="str">
        <f aca="false">IFERROR(VLOOKUP(E:E,'Item Data Support Sheet'!A:O,2,0),"")</f>
        <v>NIPPLE S TYPE L SIZE WITH PRINTED WRAP</v>
      </c>
      <c r="I732" s="80" t="s">
        <v>1429</v>
      </c>
      <c r="J732" s="80" t="s">
        <v>815</v>
      </c>
      <c r="K732" s="81" t="n">
        <v>0.5</v>
      </c>
      <c r="L732" s="124" t="n">
        <v>1000</v>
      </c>
      <c r="M732" s="83" t="n">
        <f aca="false">IFERROR(L732/K732,0)</f>
        <v>2000</v>
      </c>
      <c r="N732" s="84" t="n">
        <f aca="false">+O732+Q732+T732+U732</f>
        <v>998</v>
      </c>
      <c r="O732" s="85" t="n">
        <v>990</v>
      </c>
      <c r="P732" s="86" t="n">
        <v>0</v>
      </c>
      <c r="Q732" s="86" t="n">
        <v>0</v>
      </c>
      <c r="R732" s="132" t="n">
        <v>0</v>
      </c>
      <c r="S732" s="128" t="n">
        <v>0</v>
      </c>
      <c r="T732" s="132" t="n">
        <v>8</v>
      </c>
      <c r="U732" s="128" t="n">
        <v>0</v>
      </c>
      <c r="V732" s="128" t="n">
        <v>2</v>
      </c>
      <c r="W732" s="90" t="n">
        <f aca="false">IFERROR(O732/V732,0)</f>
        <v>495</v>
      </c>
      <c r="X732" s="91" t="n">
        <f aca="false">O732/L732</f>
        <v>0.99</v>
      </c>
      <c r="Y732" s="92" t="str">
        <f aca="false">IFERROR(VLOOKUP(E:E,'Item Data Support Sheet'!A:J,6,0),0)</f>
        <v>FO021</v>
      </c>
      <c r="Z732" s="93" t="n">
        <f aca="false">IFERROR(VLOOKUP(E:E,'Item Data Support Sheet'!A:O,4,0),0)</f>
        <v>0</v>
      </c>
      <c r="AA732" s="93" t="n">
        <f aca="false">IFERROR(((N732)*(Z732/1000))+P732,0)</f>
        <v>0</v>
      </c>
      <c r="AB732" s="94" t="str">
        <f aca="false">IFERROR((O732*(Z732/1000)/(AA732))," ")</f>
        <v> </v>
      </c>
      <c r="AC732" s="95" t="n">
        <f aca="false">IFERROR((T732)/((T732)+O732),0)</f>
        <v>0.00801603206412826</v>
      </c>
      <c r="AD732" s="96" t="n">
        <f aca="false">IFERROR(Q732/(Q732+N732),0)</f>
        <v>0</v>
      </c>
      <c r="AE732" s="91" t="n">
        <f aca="false">(N732-T732)/N732</f>
        <v>0.991983967935872</v>
      </c>
      <c r="AF732" s="97" t="n">
        <f aca="false">BR732</f>
        <v>0</v>
      </c>
      <c r="AG732" s="98" t="n">
        <f aca="false">K732-AF732</f>
        <v>0.5</v>
      </c>
      <c r="AH732" s="99" t="n">
        <f aca="false">IFERROR(AG732/K732," ")</f>
        <v>1</v>
      </c>
      <c r="AI732" s="100" t="n">
        <f aca="false">IFERROR(O732/K732,0)</f>
        <v>1980</v>
      </c>
      <c r="AJ732" s="101" t="n">
        <f aca="false">VLOOKUP(D732,'Standard Cycle time'!C:D,2,0)</f>
        <v>2.5</v>
      </c>
      <c r="AK732" s="101" t="n">
        <f aca="false">AG732*V732*3600/O732</f>
        <v>3.63636363636364</v>
      </c>
      <c r="AL732" s="102" t="n">
        <f aca="false">AJ732/AK732</f>
        <v>0.6875</v>
      </c>
      <c r="AM732" s="99" t="n">
        <f aca="false">AE732*AL732*AH732</f>
        <v>0.681988977955912</v>
      </c>
      <c r="AN732" s="103" t="n">
        <v>3713</v>
      </c>
      <c r="AO732" s="112"/>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6"/>
      <c r="BS732" s="106"/>
      <c r="BT732" s="107"/>
      <c r="BU732" s="107"/>
      <c r="BV732" s="107"/>
      <c r="BW732" s="107"/>
      <c r="BX732" s="107"/>
      <c r="BY732" s="107"/>
      <c r="BZ732" s="107"/>
      <c r="CA732" s="107"/>
      <c r="CB732" s="107"/>
      <c r="CC732" s="107"/>
      <c r="CD732" s="107"/>
      <c r="CE732" s="107"/>
      <c r="CF732" s="107"/>
      <c r="CG732" s="107"/>
      <c r="CH732" s="107"/>
      <c r="CI732" s="107"/>
      <c r="CJ732" s="107"/>
      <c r="CK732" s="107"/>
      <c r="CL732" s="107"/>
      <c r="CM732" s="107"/>
      <c r="CN732" s="107"/>
      <c r="CO732" s="107"/>
      <c r="CP732" s="107"/>
      <c r="CQ732" s="107"/>
      <c r="CR732" s="107"/>
      <c r="CS732" s="107"/>
      <c r="CT732" s="107"/>
      <c r="CU732" s="107"/>
      <c r="CV732" s="107"/>
    </row>
    <row r="733" customFormat="false" ht="14.9" hidden="false" customHeight="false" outlineLevel="0" collapsed="false">
      <c r="A733" s="74" t="n">
        <f aca="false">MONTH(B733)</f>
        <v>9</v>
      </c>
      <c r="B733" s="135" t="n">
        <v>44467</v>
      </c>
      <c r="C733" s="128" t="s">
        <v>63</v>
      </c>
      <c r="D733" s="77" t="str">
        <f aca="false">IFERROR(VLOOKUP(E:E,'Item Data Support Sheet'!A:O,7,0),"")</f>
        <v>BOTTLE PRINTED</v>
      </c>
      <c r="E733" s="80" t="s">
        <v>65</v>
      </c>
      <c r="F733" s="122"/>
      <c r="G733" s="137" t="s">
        <v>66</v>
      </c>
      <c r="H733" s="79" t="str">
        <f aca="false">IFERROR(VLOOKUP(E:E,'Item Data Support Sheet'!A:O,2,0),"")</f>
        <v>KPP 240 ML BOTTLE PRINTED</v>
      </c>
      <c r="I733" s="80" t="s">
        <v>1430</v>
      </c>
      <c r="J733" s="80" t="s">
        <v>815</v>
      </c>
      <c r="K733" s="81" t="n">
        <v>8.5</v>
      </c>
      <c r="L733" s="124" t="n">
        <v>5100</v>
      </c>
      <c r="M733" s="83" t="n">
        <f aca="false">IFERROR(L733/K733,0)</f>
        <v>600</v>
      </c>
      <c r="N733" s="84" t="n">
        <f aca="false">+O733+Q733+T733+U733</f>
        <v>5534</v>
      </c>
      <c r="O733" s="85" t="n">
        <v>5508</v>
      </c>
      <c r="P733" s="86" t="n">
        <v>0</v>
      </c>
      <c r="Q733" s="86" t="n">
        <v>0</v>
      </c>
      <c r="R733" s="132" t="n">
        <v>53</v>
      </c>
      <c r="S733" s="128" t="n">
        <v>0</v>
      </c>
      <c r="T733" s="132" t="n">
        <v>26</v>
      </c>
      <c r="U733" s="128" t="n">
        <v>0</v>
      </c>
      <c r="V733" s="128" t="n">
        <v>5</v>
      </c>
      <c r="W733" s="90" t="n">
        <f aca="false">IFERROR(O733/V733,0)</f>
        <v>1101.6</v>
      </c>
      <c r="X733" s="91" t="n">
        <f aca="false">O733/L733</f>
        <v>1.08</v>
      </c>
      <c r="Y733" s="92" t="str">
        <f aca="false">IFERROR(VLOOKUP(E:E,'Item Data Support Sheet'!A:J,6,0),0)</f>
        <v>FO003</v>
      </c>
      <c r="Z733" s="93" t="n">
        <f aca="false">IFERROR(VLOOKUP(E:E,'Item Data Support Sheet'!A:O,4,0),0)</f>
        <v>0</v>
      </c>
      <c r="AA733" s="93" t="n">
        <f aca="false">IFERROR(((N733)*(Z733/1000))+P733,0)</f>
        <v>0</v>
      </c>
      <c r="AB733" s="94" t="str">
        <f aca="false">IFERROR((O733*(Z733/1000)/(AA733))," ")</f>
        <v> </v>
      </c>
      <c r="AC733" s="95" t="n">
        <f aca="false">IFERROR((T733)/((T733)+O733),0)</f>
        <v>0.0046982291290206</v>
      </c>
      <c r="AD733" s="96" t="n">
        <f aca="false">IFERROR(Q733/(Q733+N733),0)</f>
        <v>0</v>
      </c>
      <c r="AE733" s="91" t="n">
        <f aca="false">(N733-T733)/N733</f>
        <v>0.995301770870979</v>
      </c>
      <c r="AF733" s="97" t="n">
        <f aca="false">BR733</f>
        <v>0.833333333333333</v>
      </c>
      <c r="AG733" s="98" t="n">
        <f aca="false">K733-AF733</f>
        <v>7.66666666666667</v>
      </c>
      <c r="AH733" s="99" t="n">
        <f aca="false">IFERROR(AG733/K733," ")</f>
        <v>0.901960784313726</v>
      </c>
      <c r="AI733" s="100" t="n">
        <f aca="false">IFERROR(O733/K733,0)</f>
        <v>648</v>
      </c>
      <c r="AJ733" s="101" t="n">
        <f aca="false">VLOOKUP(D733,'Standard Cycle time'!C:D,2,0)</f>
        <v>32.4</v>
      </c>
      <c r="AK733" s="101" t="n">
        <f aca="false">AG733*V733*3600/O733</f>
        <v>25.0544662309368</v>
      </c>
      <c r="AL733" s="102" t="n">
        <f aca="false">AJ733/AK733</f>
        <v>1.29318260869565</v>
      </c>
      <c r="AM733" s="99" t="n">
        <f aca="false">AE733*AL733*AH733</f>
        <v>1.16091998554391</v>
      </c>
      <c r="AN733" s="103" t="s">
        <v>869</v>
      </c>
      <c r="AO733" s="112"/>
      <c r="AP733" s="105" t="n">
        <v>50</v>
      </c>
      <c r="AQ733" s="105" t="n">
        <v>0</v>
      </c>
      <c r="AR733" s="105" t="n">
        <v>0</v>
      </c>
      <c r="AS733" s="105" t="n">
        <v>0</v>
      </c>
      <c r="AT733" s="105" t="n">
        <v>0</v>
      </c>
      <c r="AU733" s="105" t="n">
        <v>0</v>
      </c>
      <c r="AV733" s="105" t="n">
        <v>0</v>
      </c>
      <c r="AW733" s="105" t="n">
        <v>0</v>
      </c>
      <c r="AX733" s="105" t="n">
        <v>0</v>
      </c>
      <c r="AY733" s="105" t="n">
        <v>0</v>
      </c>
      <c r="AZ733" s="105" t="n">
        <v>0</v>
      </c>
      <c r="BA733" s="105" t="n">
        <v>0</v>
      </c>
      <c r="BB733" s="105" t="n">
        <v>0</v>
      </c>
      <c r="BC733" s="105" t="n">
        <v>0</v>
      </c>
      <c r="BD733" s="105" t="n">
        <v>0</v>
      </c>
      <c r="BE733" s="105" t="n">
        <v>0</v>
      </c>
      <c r="BF733" s="105" t="n">
        <v>0</v>
      </c>
      <c r="BG733" s="105" t="n">
        <v>0</v>
      </c>
      <c r="BH733" s="105" t="n">
        <v>0</v>
      </c>
      <c r="BI733" s="105" t="n">
        <v>0</v>
      </c>
      <c r="BJ733" s="105" t="n">
        <v>0</v>
      </c>
      <c r="BK733" s="105" t="n">
        <v>0</v>
      </c>
      <c r="BL733" s="105" t="n">
        <v>0</v>
      </c>
      <c r="BM733" s="105" t="n">
        <v>0</v>
      </c>
      <c r="BN733" s="105" t="n">
        <v>0</v>
      </c>
      <c r="BO733" s="105" t="n">
        <v>0</v>
      </c>
      <c r="BP733" s="105" t="n">
        <v>0</v>
      </c>
      <c r="BQ733" s="105" t="n">
        <v>0</v>
      </c>
      <c r="BR733" s="106" t="n">
        <v>0.833333333333333</v>
      </c>
      <c r="BS733" s="106" t="n">
        <v>0.847222222222222</v>
      </c>
      <c r="BT733" s="107"/>
      <c r="BU733" s="107"/>
      <c r="BV733" s="107"/>
      <c r="BW733" s="107"/>
      <c r="BX733" s="107"/>
      <c r="BY733" s="107"/>
      <c r="BZ733" s="107"/>
      <c r="CA733" s="107"/>
      <c r="CB733" s="107"/>
      <c r="CC733" s="107"/>
      <c r="CD733" s="107"/>
      <c r="CE733" s="107"/>
      <c r="CF733" s="107"/>
      <c r="CG733" s="107"/>
      <c r="CH733" s="107"/>
      <c r="CI733" s="107"/>
      <c r="CJ733" s="107"/>
      <c r="CK733" s="107"/>
      <c r="CL733" s="107"/>
      <c r="CM733" s="107"/>
      <c r="CN733" s="107"/>
      <c r="CO733" s="107"/>
      <c r="CP733" s="107"/>
      <c r="CQ733" s="107"/>
      <c r="CR733" s="107"/>
      <c r="CS733" s="107"/>
      <c r="CT733" s="107"/>
      <c r="CU733" s="107"/>
      <c r="CV733" s="107"/>
    </row>
    <row r="734" customFormat="false" ht="14.9" hidden="false" customHeight="false" outlineLevel="0" collapsed="false">
      <c r="A734" s="74" t="n">
        <f aca="false">MONTH(B734)</f>
        <v>9</v>
      </c>
      <c r="B734" s="135" t="n">
        <v>44467</v>
      </c>
      <c r="C734" s="128" t="s">
        <v>70</v>
      </c>
      <c r="D734" s="77" t="str">
        <f aca="false">IFERROR(VLOOKUP(E:E,'Item Data Support Sheet'!A:O,7,0),"")</f>
        <v>NIPPLE LASER MARKING</v>
      </c>
      <c r="E734" s="80" t="s">
        <v>681</v>
      </c>
      <c r="F734" s="122"/>
      <c r="G734" s="137" t="s">
        <v>517</v>
      </c>
      <c r="H734" s="79" t="str">
        <f aca="false">IFERROR(VLOOKUP(E:E,'Item Data Support Sheet'!A:O,2,0),"")</f>
        <v>NIPPLE S TYPE L SIZE PUNCHED LASER MARKED</v>
      </c>
      <c r="I734" s="80" t="s">
        <v>1431</v>
      </c>
      <c r="J734" s="80" t="s">
        <v>815</v>
      </c>
      <c r="K734" s="81" t="n">
        <v>8</v>
      </c>
      <c r="L734" s="124" t="n">
        <v>7000</v>
      </c>
      <c r="M734" s="83" t="n">
        <f aca="false">IFERROR(L734/K734,0)</f>
        <v>875</v>
      </c>
      <c r="N734" s="84" t="n">
        <f aca="false">+O734+Q734+T734+U734</f>
        <v>7300</v>
      </c>
      <c r="O734" s="85" t="n">
        <v>7300</v>
      </c>
      <c r="P734" s="86" t="n">
        <v>0</v>
      </c>
      <c r="Q734" s="86" t="n">
        <v>0</v>
      </c>
      <c r="R734" s="132" t="n">
        <v>0</v>
      </c>
      <c r="S734" s="128" t="n">
        <v>0</v>
      </c>
      <c r="T734" s="132" t="n">
        <v>0</v>
      </c>
      <c r="U734" s="128" t="n">
        <v>0</v>
      </c>
      <c r="V734" s="128" t="n">
        <v>1</v>
      </c>
      <c r="W734" s="90" t="n">
        <f aca="false">IFERROR(O734/V734,0)</f>
        <v>7300</v>
      </c>
      <c r="X734" s="91" t="n">
        <f aca="false">O734/L734</f>
        <v>1.04285714285714</v>
      </c>
      <c r="Y734" s="92" t="str">
        <f aca="false">IFERROR(VLOOKUP(E:E,'Item Data Support Sheet'!A:J,6,0),0)</f>
        <v>FO021</v>
      </c>
      <c r="Z734" s="93" t="n">
        <f aca="false">IFERROR(VLOOKUP(E:E,'Item Data Support Sheet'!A:O,4,0),0)</f>
        <v>0</v>
      </c>
      <c r="AA734" s="93" t="n">
        <f aca="false">IFERROR(((N734)*(Z734/1000))+P734,0)</f>
        <v>0</v>
      </c>
      <c r="AB734" s="94" t="str">
        <f aca="false">IFERROR((O734*(Z734/1000)/(AA734))," ")</f>
        <v> </v>
      </c>
      <c r="AC734" s="95" t="n">
        <f aca="false">IFERROR((T734)/((T734)+O734),0)</f>
        <v>0</v>
      </c>
      <c r="AD734" s="96" t="n">
        <f aca="false">IFERROR(Q734/(Q734+N734),0)</f>
        <v>0</v>
      </c>
      <c r="AE734" s="91" t="n">
        <f aca="false">(N734-T734)/N734</f>
        <v>1</v>
      </c>
      <c r="AF734" s="97" t="n">
        <f aca="false">BR734</f>
        <v>0.666666666666667</v>
      </c>
      <c r="AG734" s="98" t="n">
        <f aca="false">K734-AF734</f>
        <v>7.33333333333333</v>
      </c>
      <c r="AH734" s="99" t="n">
        <f aca="false">IFERROR(AG734/K734," ")</f>
        <v>0.916666666666667</v>
      </c>
      <c r="AI734" s="100" t="n">
        <f aca="false">IFERROR(O734/K734,0)</f>
        <v>912.5</v>
      </c>
      <c r="AJ734" s="101" t="n">
        <f aca="false">VLOOKUP(D734,'Standard Cycle time'!C:D,2,0)</f>
        <v>3.5</v>
      </c>
      <c r="AK734" s="101" t="n">
        <f aca="false">AG734*V734*3600/O734</f>
        <v>3.61643835616438</v>
      </c>
      <c r="AL734" s="102" t="n">
        <f aca="false">AJ734/AK734</f>
        <v>0.96780303030303</v>
      </c>
      <c r="AM734" s="99" t="n">
        <f aca="false">AE734*AL734*AH734</f>
        <v>0.887152777777778</v>
      </c>
      <c r="AN734" s="103" t="s">
        <v>1432</v>
      </c>
      <c r="AO734" s="112"/>
      <c r="AP734" s="105" t="n">
        <v>40</v>
      </c>
      <c r="AQ734" s="105" t="n">
        <v>0</v>
      </c>
      <c r="AR734" s="105" t="n">
        <v>0</v>
      </c>
      <c r="AS734" s="105" t="n">
        <v>0</v>
      </c>
      <c r="AT734" s="105" t="n">
        <v>0</v>
      </c>
      <c r="AU734" s="105" t="n">
        <v>0</v>
      </c>
      <c r="AV734" s="105" t="n">
        <v>0</v>
      </c>
      <c r="AW734" s="105" t="n">
        <v>0</v>
      </c>
      <c r="AX734" s="105" t="n">
        <v>0</v>
      </c>
      <c r="AY734" s="105" t="n">
        <v>0</v>
      </c>
      <c r="AZ734" s="105" t="n">
        <v>0</v>
      </c>
      <c r="BA734" s="105" t="n">
        <v>0</v>
      </c>
      <c r="BB734" s="105" t="n">
        <v>0</v>
      </c>
      <c r="BC734" s="105" t="n">
        <v>0</v>
      </c>
      <c r="BD734" s="105" t="n">
        <v>0</v>
      </c>
      <c r="BE734" s="105" t="n">
        <v>0</v>
      </c>
      <c r="BF734" s="105" t="n">
        <v>0</v>
      </c>
      <c r="BG734" s="105" t="n">
        <v>0</v>
      </c>
      <c r="BH734" s="105" t="n">
        <v>0</v>
      </c>
      <c r="BI734" s="105" t="n">
        <v>0</v>
      </c>
      <c r="BJ734" s="105" t="n">
        <v>0</v>
      </c>
      <c r="BK734" s="105" t="n">
        <v>0</v>
      </c>
      <c r="BL734" s="105" t="n">
        <v>0</v>
      </c>
      <c r="BM734" s="105" t="n">
        <v>0</v>
      </c>
      <c r="BN734" s="105" t="n">
        <v>0</v>
      </c>
      <c r="BO734" s="105" t="n">
        <v>0</v>
      </c>
      <c r="BP734" s="105" t="n">
        <v>0</v>
      </c>
      <c r="BQ734" s="105" t="n">
        <v>0</v>
      </c>
      <c r="BR734" s="106" t="n">
        <v>0.666666666666667</v>
      </c>
      <c r="BS734" s="106" t="n">
        <v>0.677777777777778</v>
      </c>
      <c r="BT734" s="107"/>
      <c r="BU734" s="107"/>
      <c r="BV734" s="107"/>
      <c r="BW734" s="107"/>
      <c r="BX734" s="107"/>
      <c r="BY734" s="107"/>
      <c r="BZ734" s="107"/>
      <c r="CA734" s="107"/>
      <c r="CB734" s="107"/>
      <c r="CC734" s="107"/>
      <c r="CD734" s="107"/>
      <c r="CE734" s="107"/>
      <c r="CF734" s="107"/>
      <c r="CG734" s="107"/>
      <c r="CH734" s="107"/>
      <c r="CI734" s="107"/>
      <c r="CJ734" s="107"/>
      <c r="CK734" s="107"/>
      <c r="CL734" s="107"/>
      <c r="CM734" s="107"/>
      <c r="CN734" s="107"/>
      <c r="CO734" s="107"/>
      <c r="CP734" s="107"/>
      <c r="CQ734" s="107"/>
      <c r="CR734" s="107"/>
      <c r="CS734" s="107"/>
      <c r="CT734" s="107"/>
      <c r="CU734" s="107"/>
      <c r="CV734" s="107"/>
    </row>
    <row r="735" customFormat="false" ht="14.9" hidden="false" customHeight="false" outlineLevel="0" collapsed="false">
      <c r="A735" s="74" t="n">
        <f aca="false">MONTH(B735)</f>
        <v>9</v>
      </c>
      <c r="B735" s="135" t="n">
        <v>44467</v>
      </c>
      <c r="C735" s="128" t="s">
        <v>70</v>
      </c>
      <c r="D735" s="77" t="str">
        <f aca="false">IFERROR(VLOOKUP(E:E,'Item Data Support Sheet'!A:O,7,0),"")</f>
        <v>BOTTLE MOLDED</v>
      </c>
      <c r="E735" s="80" t="s">
        <v>572</v>
      </c>
      <c r="F735" s="122" t="s">
        <v>589</v>
      </c>
      <c r="G735" s="137" t="s">
        <v>80</v>
      </c>
      <c r="H735" s="79" t="str">
        <f aca="false">IFERROR(VLOOKUP(E:E,'Item Data Support Sheet'!A:O,2,0),"")</f>
        <v>RPP 240 ML BOTTLE MOLDED</v>
      </c>
      <c r="I735" s="80" t="s">
        <v>1433</v>
      </c>
      <c r="J735" s="80" t="s">
        <v>815</v>
      </c>
      <c r="K735" s="81" t="n">
        <v>5</v>
      </c>
      <c r="L735" s="124" t="n">
        <v>1500</v>
      </c>
      <c r="M735" s="83" t="n">
        <f aca="false">IFERROR(L735/K735,0)</f>
        <v>300</v>
      </c>
      <c r="N735" s="84" t="n">
        <f aca="false">+O735+Q735+T735+U735</f>
        <v>1510</v>
      </c>
      <c r="O735" s="85" t="n">
        <v>1440</v>
      </c>
      <c r="P735" s="86" t="n">
        <v>0.21</v>
      </c>
      <c r="Q735" s="86" t="n">
        <v>28</v>
      </c>
      <c r="R735" s="132" t="n">
        <v>0</v>
      </c>
      <c r="S735" s="128" t="n">
        <v>0</v>
      </c>
      <c r="T735" s="132" t="n">
        <v>42</v>
      </c>
      <c r="U735" s="128" t="n">
        <v>0</v>
      </c>
      <c r="V735" s="128" t="n">
        <v>1</v>
      </c>
      <c r="W735" s="90" t="n">
        <f aca="false">IFERROR(O735/V735,0)</f>
        <v>1440</v>
      </c>
      <c r="X735" s="91" t="n">
        <f aca="false">O735/L735</f>
        <v>0.96</v>
      </c>
      <c r="Y735" s="92" t="str">
        <f aca="false">IFERROR(VLOOKUP(E:E,'Item Data Support Sheet'!A:J,6,0),0)</f>
        <v>HMC</v>
      </c>
      <c r="Z735" s="93" t="n">
        <f aca="false">IFERROR(VLOOKUP(E:E,'Item Data Support Sheet'!A:O,4,0),0)</f>
        <v>32.1</v>
      </c>
      <c r="AA735" s="93" t="n">
        <f aca="false">IFERROR(((N735)*(Z735/1000))+P735,0)</f>
        <v>48.681</v>
      </c>
      <c r="AB735" s="94" t="n">
        <f aca="false">IFERROR((O735*(Z735/1000)/(AA735))," ")</f>
        <v>0.949528563505269</v>
      </c>
      <c r="AC735" s="95" t="n">
        <f aca="false">IFERROR((T735)/((T735)+O735),0)</f>
        <v>0.0283400809716599</v>
      </c>
      <c r="AD735" s="96" t="n">
        <f aca="false">IFERROR(Q735/(Q735+N735),0)</f>
        <v>0.0182054616384915</v>
      </c>
      <c r="AE735" s="91" t="n">
        <f aca="false">(N735-T735)/N735</f>
        <v>0.972185430463576</v>
      </c>
      <c r="AF735" s="97" t="n">
        <f aca="false">BR735</f>
        <v>1.5</v>
      </c>
      <c r="AG735" s="98" t="n">
        <f aca="false">K735-AF735</f>
        <v>3.5</v>
      </c>
      <c r="AH735" s="99" t="n">
        <f aca="false">IFERROR(AG735/K735," ")</f>
        <v>0.7</v>
      </c>
      <c r="AI735" s="100" t="n">
        <f aca="false">IFERROR(O735/K735,0)</f>
        <v>288</v>
      </c>
      <c r="AJ735" s="101" t="n">
        <f aca="false">VLOOKUP(D735,'Standard Cycle time'!C:D,2,0)</f>
        <v>9</v>
      </c>
      <c r="AK735" s="101" t="n">
        <f aca="false">AG735*V735*3600/O735</f>
        <v>8.75</v>
      </c>
      <c r="AL735" s="102" t="n">
        <f aca="false">AJ735/AK735</f>
        <v>1.02857142857143</v>
      </c>
      <c r="AM735" s="99" t="n">
        <f aca="false">AE735*AL735*AH735</f>
        <v>0.699973509933775</v>
      </c>
      <c r="AN735" s="103" t="n">
        <v>3709</v>
      </c>
      <c r="AO735" s="112"/>
      <c r="AP735" s="105" t="s">
        <v>1434</v>
      </c>
      <c r="AQ735" s="105" t="n">
        <v>0</v>
      </c>
      <c r="AR735" s="105" t="n">
        <v>0</v>
      </c>
      <c r="AS735" s="105" t="n">
        <v>0</v>
      </c>
      <c r="AT735" s="105" t="n">
        <v>0</v>
      </c>
      <c r="AU735" s="105" t="n">
        <v>0</v>
      </c>
      <c r="AV735" s="105" t="n">
        <v>0</v>
      </c>
      <c r="AW735" s="105" t="n">
        <v>90</v>
      </c>
      <c r="AX735" s="105" t="n">
        <v>0</v>
      </c>
      <c r="AY735" s="105" t="n">
        <v>0</v>
      </c>
      <c r="AZ735" s="105" t="n">
        <v>0</v>
      </c>
      <c r="BA735" s="105" t="n">
        <v>0</v>
      </c>
      <c r="BB735" s="105" t="n">
        <v>0</v>
      </c>
      <c r="BC735" s="105" t="n">
        <v>0</v>
      </c>
      <c r="BD735" s="105" t="n">
        <v>0</v>
      </c>
      <c r="BE735" s="105" t="n">
        <v>0</v>
      </c>
      <c r="BF735" s="105" t="n">
        <v>0</v>
      </c>
      <c r="BG735" s="105" t="n">
        <v>0</v>
      </c>
      <c r="BH735" s="105" t="n">
        <v>0</v>
      </c>
      <c r="BI735" s="105" t="n">
        <v>0</v>
      </c>
      <c r="BJ735" s="105" t="n">
        <v>0</v>
      </c>
      <c r="BK735" s="105" t="n">
        <v>0</v>
      </c>
      <c r="BL735" s="105" t="n">
        <v>0</v>
      </c>
      <c r="BM735" s="105" t="n">
        <v>0</v>
      </c>
      <c r="BN735" s="105" t="n">
        <v>0</v>
      </c>
      <c r="BO735" s="105" t="n">
        <v>0</v>
      </c>
      <c r="BP735" s="105" t="n">
        <v>0</v>
      </c>
      <c r="BQ735" s="105" t="n">
        <v>0</v>
      </c>
      <c r="BR735" s="106" t="n">
        <v>1.5</v>
      </c>
      <c r="BS735" s="106" t="n">
        <v>1.525</v>
      </c>
      <c r="BT735" s="107"/>
      <c r="BU735" s="107"/>
      <c r="BV735" s="107"/>
      <c r="BW735" s="107"/>
      <c r="BX735" s="107"/>
      <c r="BY735" s="107"/>
      <c r="BZ735" s="107"/>
      <c r="CA735" s="107"/>
      <c r="CB735" s="107"/>
      <c r="CC735" s="107"/>
      <c r="CD735" s="107"/>
      <c r="CE735" s="107"/>
      <c r="CF735" s="107"/>
      <c r="CG735" s="107"/>
      <c r="CH735" s="107"/>
      <c r="CI735" s="107"/>
      <c r="CJ735" s="107"/>
      <c r="CK735" s="107"/>
      <c r="CL735" s="107"/>
      <c r="CM735" s="107"/>
      <c r="CN735" s="107"/>
      <c r="CO735" s="107"/>
      <c r="CP735" s="107"/>
      <c r="CQ735" s="107"/>
      <c r="CR735" s="107"/>
      <c r="CS735" s="107"/>
      <c r="CT735" s="107"/>
      <c r="CU735" s="107"/>
      <c r="CV735" s="107"/>
    </row>
    <row r="736" customFormat="false" ht="14.9" hidden="false" customHeight="false" outlineLevel="0" collapsed="false">
      <c r="A736" s="74" t="n">
        <f aca="false">MONTH(B736)</f>
        <v>9</v>
      </c>
      <c r="B736" s="135" t="n">
        <v>44467</v>
      </c>
      <c r="C736" s="128" t="s">
        <v>70</v>
      </c>
      <c r="D736" s="77" t="str">
        <f aca="false">IFERROR(VLOOKUP(E:E,'Item Data Support Sheet'!A:O,7,0),"")</f>
        <v>NIPPLE PUNCH</v>
      </c>
      <c r="E736" s="80" t="s">
        <v>834</v>
      </c>
      <c r="F736" s="122"/>
      <c r="G736" s="137" t="s">
        <v>54</v>
      </c>
      <c r="H736" s="79" t="str">
        <f aca="false">IFERROR(VLOOKUP(E:E,'Item Data Support Sheet'!A:O,2,0),"")</f>
        <v>NIPPLE S TYPE Y SIZE PUNCHED</v>
      </c>
      <c r="I736" s="80" t="s">
        <v>1435</v>
      </c>
      <c r="J736" s="80" t="s">
        <v>815</v>
      </c>
      <c r="K736" s="81" t="n">
        <v>7.4</v>
      </c>
      <c r="L736" s="124" t="n">
        <v>6500</v>
      </c>
      <c r="M736" s="83" t="n">
        <f aca="false">IFERROR(L736/K736,0)</f>
        <v>878.378378378378</v>
      </c>
      <c r="N736" s="84" t="n">
        <f aca="false">+O736+Q736+T736+U736</f>
        <v>6392</v>
      </c>
      <c r="O736" s="85" t="n">
        <v>6392</v>
      </c>
      <c r="P736" s="86" t="n">
        <v>0</v>
      </c>
      <c r="Q736" s="86" t="n">
        <v>0</v>
      </c>
      <c r="R736" s="132" t="n">
        <v>0</v>
      </c>
      <c r="S736" s="128" t="n">
        <v>0</v>
      </c>
      <c r="T736" s="132" t="n">
        <v>0</v>
      </c>
      <c r="U736" s="128" t="n">
        <v>0</v>
      </c>
      <c r="V736" s="128" t="n">
        <v>1</v>
      </c>
      <c r="W736" s="90" t="n">
        <f aca="false">IFERROR(O736/V736,0)</f>
        <v>6392</v>
      </c>
      <c r="X736" s="91" t="n">
        <f aca="false">O736/L736</f>
        <v>0.983384615384615</v>
      </c>
      <c r="Y736" s="92" t="str">
        <f aca="false">IFERROR(VLOOKUP(E:E,'Item Data Support Sheet'!A:J,6,0),0)</f>
        <v>FO018</v>
      </c>
      <c r="Z736" s="93" t="n">
        <f aca="false">IFERROR(VLOOKUP(E:E,'Item Data Support Sheet'!A:O,4,0),0)</f>
        <v>0</v>
      </c>
      <c r="AA736" s="93" t="n">
        <f aca="false">IFERROR(((N736)*(Z736/1000))+P736,0)</f>
        <v>0</v>
      </c>
      <c r="AB736" s="94" t="str">
        <f aca="false">IFERROR((O736*(Z736/1000)/(AA736))," ")</f>
        <v> </v>
      </c>
      <c r="AC736" s="95" t="n">
        <f aca="false">IFERROR((T736)/((T736)+O736),0)</f>
        <v>0</v>
      </c>
      <c r="AD736" s="96" t="n">
        <f aca="false">IFERROR(Q736/(Q736+N736),0)</f>
        <v>0</v>
      </c>
      <c r="AE736" s="91" t="n">
        <f aca="false">(N736-T736)/N736</f>
        <v>1</v>
      </c>
      <c r="AF736" s="97" t="n">
        <f aca="false">BR736</f>
        <v>0.666666666666667</v>
      </c>
      <c r="AG736" s="98" t="n">
        <f aca="false">K736-AF736</f>
        <v>6.73333333333333</v>
      </c>
      <c r="AH736" s="99" t="n">
        <f aca="false">IFERROR(AG736/K736," ")</f>
        <v>0.90990990990991</v>
      </c>
      <c r="AI736" s="100" t="n">
        <f aca="false">IFERROR(O736/K736,0)</f>
        <v>863.783783783784</v>
      </c>
      <c r="AJ736" s="101" t="n">
        <f aca="false">VLOOKUP(D736,'Standard Cycle time'!C:D,2,0)</f>
        <v>3.5</v>
      </c>
      <c r="AK736" s="101" t="n">
        <f aca="false">AG736*V736*3600/O736</f>
        <v>3.79224030037547</v>
      </c>
      <c r="AL736" s="102" t="n">
        <f aca="false">AJ736/AK736</f>
        <v>0.922937293729373</v>
      </c>
      <c r="AM736" s="99" t="n">
        <f aca="false">AE736*AL736*AH736</f>
        <v>0.83978978978979</v>
      </c>
      <c r="AN736" s="103" t="s">
        <v>1436</v>
      </c>
      <c r="AO736" s="112"/>
      <c r="AP736" s="105" t="n">
        <v>40</v>
      </c>
      <c r="AQ736" s="105" t="n">
        <v>0</v>
      </c>
      <c r="AR736" s="105" t="n">
        <v>0</v>
      </c>
      <c r="AS736" s="105" t="n">
        <v>0</v>
      </c>
      <c r="AT736" s="105" t="n">
        <v>0</v>
      </c>
      <c r="AU736" s="105" t="n">
        <v>0</v>
      </c>
      <c r="AV736" s="105" t="n">
        <v>0</v>
      </c>
      <c r="AW736" s="105" t="n">
        <v>0</v>
      </c>
      <c r="AX736" s="105" t="n">
        <v>0</v>
      </c>
      <c r="AY736" s="105" t="n">
        <v>0</v>
      </c>
      <c r="AZ736" s="105" t="n">
        <v>0</v>
      </c>
      <c r="BA736" s="105" t="n">
        <v>0</v>
      </c>
      <c r="BB736" s="105" t="n">
        <v>0</v>
      </c>
      <c r="BC736" s="105" t="n">
        <v>0</v>
      </c>
      <c r="BD736" s="105" t="n">
        <v>0</v>
      </c>
      <c r="BE736" s="105" t="n">
        <v>0</v>
      </c>
      <c r="BF736" s="105" t="n">
        <v>0</v>
      </c>
      <c r="BG736" s="105" t="n">
        <v>0</v>
      </c>
      <c r="BH736" s="105" t="n">
        <v>0</v>
      </c>
      <c r="BI736" s="105" t="n">
        <v>0</v>
      </c>
      <c r="BJ736" s="105" t="n">
        <v>0</v>
      </c>
      <c r="BK736" s="105" t="n">
        <v>0</v>
      </c>
      <c r="BL736" s="105" t="n">
        <v>0</v>
      </c>
      <c r="BM736" s="105" t="n">
        <v>0</v>
      </c>
      <c r="BN736" s="105" t="n">
        <v>0</v>
      </c>
      <c r="BO736" s="105" t="n">
        <v>0</v>
      </c>
      <c r="BP736" s="105" t="n">
        <v>0</v>
      </c>
      <c r="BQ736" s="105" t="n">
        <v>0</v>
      </c>
      <c r="BR736" s="106" t="n">
        <v>0.666666666666667</v>
      </c>
      <c r="BS736" s="106" t="n">
        <v>0.677777777777778</v>
      </c>
      <c r="BT736" s="107"/>
      <c r="BU736" s="107"/>
      <c r="BV736" s="107"/>
      <c r="BW736" s="107"/>
      <c r="BX736" s="107"/>
      <c r="BY736" s="107"/>
      <c r="BZ736" s="107"/>
      <c r="CA736" s="107"/>
      <c r="CB736" s="107"/>
      <c r="CC736" s="107"/>
      <c r="CD736" s="107"/>
      <c r="CE736" s="107"/>
      <c r="CF736" s="107"/>
      <c r="CG736" s="107"/>
      <c r="CH736" s="107"/>
      <c r="CI736" s="107"/>
      <c r="CJ736" s="107"/>
      <c r="CK736" s="107"/>
      <c r="CL736" s="107"/>
      <c r="CM736" s="107"/>
      <c r="CN736" s="107"/>
      <c r="CO736" s="107"/>
      <c r="CP736" s="107"/>
      <c r="CQ736" s="107"/>
      <c r="CR736" s="107"/>
      <c r="CS736" s="107"/>
      <c r="CT736" s="107"/>
      <c r="CU736" s="107"/>
      <c r="CV736" s="107"/>
    </row>
    <row r="737" customFormat="false" ht="14.9" hidden="false" customHeight="false" outlineLevel="0" collapsed="false">
      <c r="A737" s="74" t="n">
        <f aca="false">MONTH(B737)</f>
        <v>9</v>
      </c>
      <c r="B737" s="135" t="n">
        <v>44467</v>
      </c>
      <c r="C737" s="128" t="s">
        <v>70</v>
      </c>
      <c r="D737" s="77" t="str">
        <f aca="false">IFERROR(VLOOKUP(E:E,'Item Data Support Sheet'!A:O,7,0),"")</f>
        <v>NIPPLE PUNCH</v>
      </c>
      <c r="E737" s="80" t="s">
        <v>563</v>
      </c>
      <c r="F737" s="122"/>
      <c r="G737" s="137" t="s">
        <v>54</v>
      </c>
      <c r="H737" s="79" t="str">
        <f aca="false">IFERROR(VLOOKUP(E:E,'Item Data Support Sheet'!A:O,2,0),"")</f>
        <v>NIPPLE S TYPE LL SIZE PUNCHED</v>
      </c>
      <c r="I737" s="80" t="s">
        <v>1437</v>
      </c>
      <c r="J737" s="80" t="s">
        <v>815</v>
      </c>
      <c r="K737" s="81" t="n">
        <v>0.6</v>
      </c>
      <c r="L737" s="124" t="n">
        <v>500</v>
      </c>
      <c r="M737" s="83" t="n">
        <f aca="false">IFERROR(L737/K737,0)</f>
        <v>833.333333333333</v>
      </c>
      <c r="N737" s="84" t="n">
        <f aca="false">+O737+Q737+T737+U737</f>
        <v>500</v>
      </c>
      <c r="O737" s="85" t="n">
        <v>500</v>
      </c>
      <c r="P737" s="86" t="n">
        <v>0</v>
      </c>
      <c r="Q737" s="86" t="n">
        <v>0</v>
      </c>
      <c r="R737" s="132" t="n">
        <v>0</v>
      </c>
      <c r="S737" s="128" t="n">
        <v>0</v>
      </c>
      <c r="T737" s="132" t="n">
        <v>0</v>
      </c>
      <c r="U737" s="128" t="n">
        <v>0</v>
      </c>
      <c r="V737" s="128" t="n">
        <v>1</v>
      </c>
      <c r="W737" s="90" t="n">
        <f aca="false">IFERROR(O737/V737,0)</f>
        <v>500</v>
      </c>
      <c r="X737" s="91" t="n">
        <f aca="false">O737/L737</f>
        <v>1</v>
      </c>
      <c r="Y737" s="92" t="str">
        <f aca="false">IFERROR(VLOOKUP(E:E,'Item Data Support Sheet'!A:J,6,0),0)</f>
        <v>FO150</v>
      </c>
      <c r="Z737" s="93" t="n">
        <f aca="false">IFERROR(VLOOKUP(E:E,'Item Data Support Sheet'!A:O,4,0),0)</f>
        <v>0</v>
      </c>
      <c r="AA737" s="93" t="n">
        <f aca="false">IFERROR(((N737)*(Z737/1000))+P737,0)</f>
        <v>0</v>
      </c>
      <c r="AB737" s="94" t="str">
        <f aca="false">IFERROR((O737*(Z737/1000)/(AA737))," ")</f>
        <v> </v>
      </c>
      <c r="AC737" s="95" t="n">
        <f aca="false">IFERROR((T737)/((T737)+O737),0)</f>
        <v>0</v>
      </c>
      <c r="AD737" s="96" t="n">
        <f aca="false">IFERROR(Q737/(Q737+N737),0)</f>
        <v>0</v>
      </c>
      <c r="AE737" s="91" t="n">
        <f aca="false">(N737-T737)/N737</f>
        <v>1</v>
      </c>
      <c r="AF737" s="97" t="n">
        <f aca="false">BR737</f>
        <v>0</v>
      </c>
      <c r="AG737" s="98" t="n">
        <f aca="false">K737-AF737</f>
        <v>0.6</v>
      </c>
      <c r="AH737" s="99" t="n">
        <f aca="false">IFERROR(AG737/K737," ")</f>
        <v>1</v>
      </c>
      <c r="AI737" s="100" t="n">
        <f aca="false">IFERROR(O737/K737,0)</f>
        <v>833.333333333333</v>
      </c>
      <c r="AJ737" s="101" t="n">
        <f aca="false">VLOOKUP(D737,'Standard Cycle time'!C:D,2,0)</f>
        <v>3.5</v>
      </c>
      <c r="AK737" s="101" t="n">
        <f aca="false">AG737*V737*3600/O737</f>
        <v>4.32</v>
      </c>
      <c r="AL737" s="102" t="n">
        <f aca="false">AJ737/AK737</f>
        <v>0.810185185185185</v>
      </c>
      <c r="AM737" s="99" t="n">
        <f aca="false">AE737*AL737*AH737</f>
        <v>0.810185185185185</v>
      </c>
      <c r="AN737" s="103" t="n">
        <v>3716</v>
      </c>
      <c r="AO737" s="112"/>
      <c r="AP737" s="105" t="n">
        <v>0</v>
      </c>
      <c r="AQ737" s="105" t="n">
        <v>0</v>
      </c>
      <c r="AR737" s="105" t="n">
        <v>0</v>
      </c>
      <c r="AS737" s="105" t="n">
        <v>0</v>
      </c>
      <c r="AT737" s="105" t="n">
        <v>0</v>
      </c>
      <c r="AU737" s="105" t="n">
        <v>0</v>
      </c>
      <c r="AV737" s="105" t="n">
        <v>0</v>
      </c>
      <c r="AW737" s="105" t="n">
        <v>0</v>
      </c>
      <c r="AX737" s="105" t="n">
        <v>0</v>
      </c>
      <c r="AY737" s="105" t="n">
        <v>0</v>
      </c>
      <c r="AZ737" s="105" t="n">
        <v>0</v>
      </c>
      <c r="BA737" s="105" t="n">
        <v>0</v>
      </c>
      <c r="BB737" s="105" t="n">
        <v>0</v>
      </c>
      <c r="BC737" s="105" t="n">
        <v>0</v>
      </c>
      <c r="BD737" s="105" t="n">
        <v>0</v>
      </c>
      <c r="BE737" s="105" t="n">
        <v>0</v>
      </c>
      <c r="BF737" s="105" t="n">
        <v>0</v>
      </c>
      <c r="BG737" s="105" t="n">
        <v>0</v>
      </c>
      <c r="BH737" s="105" t="n">
        <v>0</v>
      </c>
      <c r="BI737" s="105" t="n">
        <v>0</v>
      </c>
      <c r="BJ737" s="105" t="n">
        <v>0</v>
      </c>
      <c r="BK737" s="105" t="n">
        <v>0</v>
      </c>
      <c r="BL737" s="105" t="n">
        <v>0</v>
      </c>
      <c r="BM737" s="105" t="n">
        <v>0</v>
      </c>
      <c r="BN737" s="105" t="n">
        <v>0</v>
      </c>
      <c r="BO737" s="105" t="n">
        <v>0</v>
      </c>
      <c r="BP737" s="105" t="n">
        <v>0</v>
      </c>
      <c r="BQ737" s="105" t="n">
        <v>0</v>
      </c>
      <c r="BR737" s="106" t="n">
        <v>0</v>
      </c>
      <c r="BS737" s="106" t="n">
        <v>0</v>
      </c>
      <c r="BT737" s="107"/>
      <c r="BU737" s="107"/>
      <c r="BV737" s="107"/>
      <c r="BW737" s="107"/>
      <c r="BX737" s="107"/>
      <c r="BY737" s="107"/>
      <c r="BZ737" s="107"/>
      <c r="CA737" s="107"/>
      <c r="CB737" s="107"/>
      <c r="CC737" s="107"/>
      <c r="CD737" s="107"/>
      <c r="CE737" s="107"/>
      <c r="CF737" s="107"/>
      <c r="CG737" s="107"/>
      <c r="CH737" s="107"/>
      <c r="CI737" s="107"/>
      <c r="CJ737" s="107"/>
      <c r="CK737" s="107"/>
      <c r="CL737" s="107"/>
      <c r="CM737" s="107"/>
      <c r="CN737" s="107"/>
      <c r="CO737" s="107"/>
      <c r="CP737" s="107"/>
      <c r="CQ737" s="107"/>
      <c r="CR737" s="107"/>
      <c r="CS737" s="107"/>
      <c r="CT737" s="107"/>
      <c r="CU737" s="107"/>
      <c r="CV737" s="107"/>
    </row>
    <row r="738" customFormat="false" ht="14.9" hidden="false" customHeight="false" outlineLevel="0" collapsed="false">
      <c r="A738" s="74" t="n">
        <f aca="false">MONTH(B738)</f>
        <v>9</v>
      </c>
      <c r="B738" s="135" t="n">
        <v>44467</v>
      </c>
      <c r="C738" s="128" t="s">
        <v>70</v>
      </c>
      <c r="D738" s="77" t="str">
        <f aca="false">IFERROR(VLOOKUP(E:E,'Item Data Support Sheet'!A:O,7,0),"")</f>
        <v>CAP MOLDED</v>
      </c>
      <c r="E738" s="80" t="s">
        <v>343</v>
      </c>
      <c r="F738" s="122"/>
      <c r="G738" s="137" t="s">
        <v>1211</v>
      </c>
      <c r="H738" s="79" t="str">
        <f aca="false">IFERROR(VLOOKUP(E:E,'Item Data Support Sheet'!A:O,2,0),"")</f>
        <v>CAP S TYPE MOLDED BLUE</v>
      </c>
      <c r="I738" s="80" t="s">
        <v>1438</v>
      </c>
      <c r="J738" s="80" t="s">
        <v>815</v>
      </c>
      <c r="K738" s="81" t="n">
        <v>8</v>
      </c>
      <c r="L738" s="124" t="n">
        <v>4137</v>
      </c>
      <c r="M738" s="83" t="n">
        <f aca="false">IFERROR(L738/K738,0)</f>
        <v>517.125</v>
      </c>
      <c r="N738" s="84" t="n">
        <f aca="false">+O738+Q738+T738+U738</f>
        <v>4004</v>
      </c>
      <c r="O738" s="85" t="n">
        <v>4000</v>
      </c>
      <c r="P738" s="86" t="n">
        <v>0</v>
      </c>
      <c r="Q738" s="86" t="n">
        <v>0</v>
      </c>
      <c r="R738" s="132" t="n">
        <v>0</v>
      </c>
      <c r="S738" s="128" t="n">
        <v>0</v>
      </c>
      <c r="T738" s="132" t="n">
        <v>4</v>
      </c>
      <c r="U738" s="128" t="n">
        <v>0</v>
      </c>
      <c r="V738" s="128" t="n">
        <v>1</v>
      </c>
      <c r="W738" s="90" t="n">
        <f aca="false">IFERROR(O738/V738,0)</f>
        <v>4000</v>
      </c>
      <c r="X738" s="91" t="n">
        <f aca="false">O738/L738</f>
        <v>0.96688421561518</v>
      </c>
      <c r="Y738" s="92" t="str">
        <f aca="false">IFERROR(VLOOKUP(E:E,'Item Data Support Sheet'!A:J,6,0),0)</f>
        <v>RM000114</v>
      </c>
      <c r="Z738" s="93" t="n">
        <f aca="false">IFERROR(VLOOKUP(E:E,'Item Data Support Sheet'!A:O,4,0),0)</f>
        <v>7.3</v>
      </c>
      <c r="AA738" s="93" t="n">
        <f aca="false">IFERROR(((N738)*(Z738/1000))+P738,0)</f>
        <v>29.2292</v>
      </c>
      <c r="AB738" s="94" t="n">
        <f aca="false">IFERROR((O738*(Z738/1000)/(AA738))," ")</f>
        <v>0.999000999000999</v>
      </c>
      <c r="AC738" s="95" t="n">
        <f aca="false">IFERROR((T738)/((T738)+O738),0)</f>
        <v>0.000999000999000999</v>
      </c>
      <c r="AD738" s="96" t="n">
        <f aca="false">IFERROR(Q738/(Q738+N738),0)</f>
        <v>0</v>
      </c>
      <c r="AE738" s="91" t="n">
        <f aca="false">(N738-T738)/N738</f>
        <v>0.999000999000999</v>
      </c>
      <c r="AF738" s="97" t="n">
        <f aca="false">BR738</f>
        <v>0</v>
      </c>
      <c r="AG738" s="98" t="n">
        <f aca="false">K738-AF738</f>
        <v>8</v>
      </c>
      <c r="AH738" s="99" t="n">
        <f aca="false">IFERROR(AG738/K738," ")</f>
        <v>1</v>
      </c>
      <c r="AI738" s="100" t="n">
        <f aca="false">IFERROR(O738/K738,0)</f>
        <v>500</v>
      </c>
      <c r="AJ738" s="101" t="n">
        <f aca="false">VLOOKUP(D738,'Standard Cycle time'!C:D,2,0)</f>
        <v>6</v>
      </c>
      <c r="AK738" s="101" t="n">
        <f aca="false">AG738*V738*3600/O738</f>
        <v>7.2</v>
      </c>
      <c r="AL738" s="102" t="n">
        <f aca="false">AJ738/AK738</f>
        <v>0.833333333333333</v>
      </c>
      <c r="AM738" s="99" t="n">
        <f aca="false">AE738*AL738*AH738</f>
        <v>0.832500832500832</v>
      </c>
      <c r="AN738" s="103" t="n">
        <v>3721</v>
      </c>
      <c r="AO738" s="112"/>
      <c r="AP738" s="105" t="n">
        <v>0</v>
      </c>
      <c r="AQ738" s="105" t="n">
        <v>0</v>
      </c>
      <c r="AR738" s="105" t="n">
        <v>0</v>
      </c>
      <c r="AS738" s="105" t="n">
        <v>0</v>
      </c>
      <c r="AT738" s="105" t="n">
        <v>0</v>
      </c>
      <c r="AU738" s="105" t="n">
        <v>0</v>
      </c>
      <c r="AV738" s="105" t="n">
        <v>0</v>
      </c>
      <c r="AW738" s="105" t="n">
        <v>0</v>
      </c>
      <c r="AX738" s="105" t="n">
        <v>0</v>
      </c>
      <c r="AY738" s="105" t="n">
        <v>0</v>
      </c>
      <c r="AZ738" s="105" t="n">
        <v>0</v>
      </c>
      <c r="BA738" s="105" t="n">
        <v>0</v>
      </c>
      <c r="BB738" s="105" t="n">
        <v>0</v>
      </c>
      <c r="BC738" s="105" t="n">
        <v>0</v>
      </c>
      <c r="BD738" s="105" t="n">
        <v>0</v>
      </c>
      <c r="BE738" s="105" t="n">
        <v>0</v>
      </c>
      <c r="BF738" s="105" t="n">
        <v>0</v>
      </c>
      <c r="BG738" s="105" t="n">
        <v>0</v>
      </c>
      <c r="BH738" s="105" t="n">
        <v>0</v>
      </c>
      <c r="BI738" s="105" t="n">
        <v>0</v>
      </c>
      <c r="BJ738" s="105" t="n">
        <v>0</v>
      </c>
      <c r="BK738" s="105" t="n">
        <v>0</v>
      </c>
      <c r="BL738" s="105" t="n">
        <v>0</v>
      </c>
      <c r="BM738" s="105" t="n">
        <v>0</v>
      </c>
      <c r="BN738" s="105" t="n">
        <v>0</v>
      </c>
      <c r="BO738" s="105" t="n">
        <v>0</v>
      </c>
      <c r="BP738" s="105" t="n">
        <v>0</v>
      </c>
      <c r="BQ738" s="105" t="n">
        <v>0</v>
      </c>
      <c r="BR738" s="106" t="n">
        <v>0</v>
      </c>
      <c r="BS738" s="106" t="n">
        <v>0</v>
      </c>
      <c r="BT738" s="107"/>
      <c r="BU738" s="107"/>
      <c r="BV738" s="107"/>
      <c r="BW738" s="107"/>
      <c r="BX738" s="107"/>
      <c r="BY738" s="107"/>
      <c r="BZ738" s="107"/>
      <c r="CA738" s="107"/>
      <c r="CB738" s="107"/>
      <c r="CC738" s="107"/>
      <c r="CD738" s="107"/>
      <c r="CE738" s="107"/>
      <c r="CF738" s="107"/>
      <c r="CG738" s="107"/>
      <c r="CH738" s="107"/>
      <c r="CI738" s="107"/>
      <c r="CJ738" s="107"/>
      <c r="CK738" s="107"/>
      <c r="CL738" s="107"/>
      <c r="CM738" s="107"/>
      <c r="CN738" s="107"/>
      <c r="CO738" s="107"/>
      <c r="CP738" s="107"/>
      <c r="CQ738" s="107"/>
      <c r="CR738" s="107"/>
      <c r="CS738" s="107"/>
      <c r="CT738" s="107"/>
      <c r="CU738" s="107"/>
      <c r="CV738" s="107"/>
    </row>
    <row r="739" customFormat="false" ht="14.9" hidden="false" customHeight="false" outlineLevel="0" collapsed="false">
      <c r="A739" s="74" t="n">
        <f aca="false">MONTH(B739)</f>
        <v>9</v>
      </c>
      <c r="B739" s="135" t="n">
        <v>44467</v>
      </c>
      <c r="C739" s="128" t="s">
        <v>152</v>
      </c>
      <c r="D739" s="77" t="str">
        <f aca="false">IFERROR(VLOOKUP(E:E,'Item Data Support Sheet'!A:O,7,0),"")</f>
        <v>CAP MOLDED</v>
      </c>
      <c r="E739" s="80" t="s">
        <v>343</v>
      </c>
      <c r="F739" s="122"/>
      <c r="G739" s="137" t="s">
        <v>1211</v>
      </c>
      <c r="H739" s="79" t="str">
        <f aca="false">IFERROR(VLOOKUP(E:E,'Item Data Support Sheet'!A:O,2,0),"")</f>
        <v>CAP S TYPE MOLDED BLUE</v>
      </c>
      <c r="I739" s="80" t="s">
        <v>1439</v>
      </c>
      <c r="J739" s="80" t="s">
        <v>143</v>
      </c>
      <c r="K739" s="81" t="n">
        <v>3</v>
      </c>
      <c r="L739" s="124" t="n">
        <v>1600</v>
      </c>
      <c r="M739" s="83" t="n">
        <f aca="false">IFERROR(L739/K739,0)</f>
        <v>533.333333333333</v>
      </c>
      <c r="N739" s="84" t="n">
        <f aca="false">+O739+Q739+T739+U739</f>
        <v>1608</v>
      </c>
      <c r="O739" s="85" t="n">
        <v>1600</v>
      </c>
      <c r="P739" s="86" t="n">
        <v>0</v>
      </c>
      <c r="Q739" s="86" t="n">
        <v>0</v>
      </c>
      <c r="R739" s="132" t="n">
        <v>0</v>
      </c>
      <c r="S739" s="128" t="n">
        <v>0</v>
      </c>
      <c r="T739" s="132" t="n">
        <v>0</v>
      </c>
      <c r="U739" s="128" t="n">
        <v>8</v>
      </c>
      <c r="V739" s="128" t="n">
        <v>1</v>
      </c>
      <c r="W739" s="90" t="n">
        <f aca="false">IFERROR(O739/V739,0)</f>
        <v>1600</v>
      </c>
      <c r="X739" s="91" t="n">
        <f aca="false">O739/L739</f>
        <v>1</v>
      </c>
      <c r="Y739" s="92" t="str">
        <f aca="false">IFERROR(VLOOKUP(E:E,'Item Data Support Sheet'!A:J,6,0),0)</f>
        <v>RM000114</v>
      </c>
      <c r="Z739" s="93" t="n">
        <f aca="false">IFERROR(VLOOKUP(E:E,'Item Data Support Sheet'!A:O,4,0),0)</f>
        <v>7.3</v>
      </c>
      <c r="AA739" s="93" t="n">
        <f aca="false">IFERROR(((N739)*(Z739/1000))+P739,0)</f>
        <v>11.7384</v>
      </c>
      <c r="AB739" s="94" t="n">
        <f aca="false">IFERROR((O739*(Z739/1000)/(AA739))," ")</f>
        <v>0.99502487562189</v>
      </c>
      <c r="AC739" s="95" t="n">
        <f aca="false">IFERROR((T739)/((T739)+O739),0)</f>
        <v>0</v>
      </c>
      <c r="AD739" s="96" t="n">
        <f aca="false">IFERROR(Q739/(Q739+N739),0)</f>
        <v>0</v>
      </c>
      <c r="AE739" s="91" t="n">
        <f aca="false">(N739-T739)/N739</f>
        <v>1</v>
      </c>
      <c r="AF739" s="97" t="n">
        <f aca="false">BR739</f>
        <v>0</v>
      </c>
      <c r="AG739" s="98" t="n">
        <f aca="false">K739-AF739</f>
        <v>3</v>
      </c>
      <c r="AH739" s="99" t="n">
        <f aca="false">IFERROR(AG739/K739," ")</f>
        <v>1</v>
      </c>
      <c r="AI739" s="100" t="n">
        <f aca="false">IFERROR(O739/K739,0)</f>
        <v>533.333333333333</v>
      </c>
      <c r="AJ739" s="101" t="n">
        <f aca="false">VLOOKUP(D739,'Standard Cycle time'!C:D,2,0)</f>
        <v>6</v>
      </c>
      <c r="AK739" s="101" t="n">
        <f aca="false">AG739*V739*3600/O739</f>
        <v>6.75</v>
      </c>
      <c r="AL739" s="102" t="n">
        <f aca="false">AJ739/AK739</f>
        <v>0.888888888888889</v>
      </c>
      <c r="AM739" s="99" t="n">
        <f aca="false">AE739*AL739*AH739</f>
        <v>0.888888888888889</v>
      </c>
      <c r="AN739" s="103" t="n">
        <v>3722</v>
      </c>
      <c r="AO739" s="112"/>
      <c r="AP739" s="105" t="n">
        <v>0</v>
      </c>
      <c r="AQ739" s="105" t="n">
        <v>0</v>
      </c>
      <c r="AR739" s="105" t="n">
        <v>0</v>
      </c>
      <c r="AS739" s="105" t="n">
        <v>0</v>
      </c>
      <c r="AT739" s="105" t="n">
        <v>0</v>
      </c>
      <c r="AU739" s="105" t="n">
        <v>0</v>
      </c>
      <c r="AV739" s="105" t="n">
        <v>0</v>
      </c>
      <c r="AW739" s="105" t="n">
        <v>0</v>
      </c>
      <c r="AX739" s="105" t="n">
        <v>0</v>
      </c>
      <c r="AY739" s="105" t="n">
        <v>0</v>
      </c>
      <c r="AZ739" s="105" t="n">
        <v>0</v>
      </c>
      <c r="BA739" s="105" t="n">
        <v>0</v>
      </c>
      <c r="BB739" s="105" t="n">
        <v>0</v>
      </c>
      <c r="BC739" s="105" t="n">
        <v>0</v>
      </c>
      <c r="BD739" s="105" t="n">
        <v>0</v>
      </c>
      <c r="BE739" s="105" t="n">
        <v>0</v>
      </c>
      <c r="BF739" s="105" t="n">
        <v>0</v>
      </c>
      <c r="BG739" s="105" t="n">
        <v>0</v>
      </c>
      <c r="BH739" s="105" t="n">
        <v>0</v>
      </c>
      <c r="BI739" s="105" t="n">
        <v>0</v>
      </c>
      <c r="BJ739" s="105" t="n">
        <v>0</v>
      </c>
      <c r="BK739" s="105" t="n">
        <v>0</v>
      </c>
      <c r="BL739" s="105" t="n">
        <v>0</v>
      </c>
      <c r="BM739" s="105" t="n">
        <v>0</v>
      </c>
      <c r="BN739" s="105" t="n">
        <v>0</v>
      </c>
      <c r="BO739" s="105" t="n">
        <v>0</v>
      </c>
      <c r="BP739" s="105" t="n">
        <v>0</v>
      </c>
      <c r="BQ739" s="105" t="n">
        <v>0</v>
      </c>
      <c r="BR739" s="106" t="n">
        <v>0</v>
      </c>
      <c r="BS739" s="106" t="n">
        <v>0</v>
      </c>
      <c r="BT739" s="107"/>
      <c r="BU739" s="107"/>
      <c r="BV739" s="107"/>
      <c r="BW739" s="107"/>
      <c r="BX739" s="107"/>
      <c r="BY739" s="107"/>
      <c r="BZ739" s="107"/>
      <c r="CA739" s="107"/>
      <c r="CB739" s="107"/>
      <c r="CC739" s="107"/>
      <c r="CD739" s="107"/>
      <c r="CE739" s="107"/>
      <c r="CF739" s="107"/>
      <c r="CG739" s="107"/>
      <c r="CH739" s="107"/>
      <c r="CI739" s="107"/>
      <c r="CJ739" s="107"/>
      <c r="CK739" s="107"/>
      <c r="CL739" s="107"/>
      <c r="CM739" s="107"/>
      <c r="CN739" s="107"/>
      <c r="CO739" s="107"/>
      <c r="CP739" s="107"/>
      <c r="CQ739" s="107"/>
      <c r="CR739" s="107"/>
      <c r="CS739" s="107"/>
      <c r="CT739" s="107"/>
      <c r="CU739" s="107"/>
      <c r="CV739" s="107"/>
    </row>
    <row r="740" customFormat="false" ht="14.9" hidden="false" customHeight="false" outlineLevel="0" collapsed="false">
      <c r="A740" s="74" t="n">
        <f aca="false">MONTH(B740)</f>
        <v>9</v>
      </c>
      <c r="B740" s="135" t="n">
        <v>44467</v>
      </c>
      <c r="C740" s="128" t="s">
        <v>152</v>
      </c>
      <c r="D740" s="77" t="str">
        <f aca="false">IFERROR(VLOOKUP(E:E,'Item Data Support Sheet'!A:O,7,0),"")</f>
        <v>CAP MOLDED</v>
      </c>
      <c r="E740" s="80" t="s">
        <v>199</v>
      </c>
      <c r="F740" s="122"/>
      <c r="G740" s="137" t="s">
        <v>1215</v>
      </c>
      <c r="H740" s="79" t="str">
        <f aca="false">IFERROR(VLOOKUP(E:E,'Item Data Support Sheet'!A:O,2,0),"")</f>
        <v>CAP S TYPE MOLDED RED</v>
      </c>
      <c r="I740" s="80" t="s">
        <v>1440</v>
      </c>
      <c r="J740" s="80" t="s">
        <v>143</v>
      </c>
      <c r="K740" s="81" t="n">
        <v>5</v>
      </c>
      <c r="L740" s="124" t="n">
        <v>2537</v>
      </c>
      <c r="M740" s="83" t="n">
        <f aca="false">IFERROR(L740/K740,0)</f>
        <v>507.4</v>
      </c>
      <c r="N740" s="84" t="n">
        <f aca="false">+O740+Q740+T740+U740</f>
        <v>2512</v>
      </c>
      <c r="O740" s="85" t="n">
        <v>2500</v>
      </c>
      <c r="P740" s="86" t="n">
        <v>0</v>
      </c>
      <c r="Q740" s="86" t="n">
        <v>4</v>
      </c>
      <c r="R740" s="132" t="n">
        <v>0</v>
      </c>
      <c r="S740" s="128" t="n">
        <v>0</v>
      </c>
      <c r="T740" s="132" t="n">
        <v>0</v>
      </c>
      <c r="U740" s="128" t="n">
        <v>8</v>
      </c>
      <c r="V740" s="128" t="n">
        <v>1</v>
      </c>
      <c r="W740" s="90" t="n">
        <f aca="false">IFERROR(O740/V740,0)</f>
        <v>2500</v>
      </c>
      <c r="X740" s="91" t="n">
        <f aca="false">O740/L740</f>
        <v>0.985415845486795</v>
      </c>
      <c r="Y740" s="92" t="str">
        <f aca="false">IFERROR(VLOOKUP(E:E,'Item Data Support Sheet'!A:J,6,0),0)</f>
        <v>FO153</v>
      </c>
      <c r="Z740" s="93" t="n">
        <f aca="false">IFERROR(VLOOKUP(E:E,'Item Data Support Sheet'!A:O,4,0),0)</f>
        <v>7.3</v>
      </c>
      <c r="AA740" s="93" t="n">
        <f aca="false">IFERROR(((N740)*(Z740/1000))+P740,0)</f>
        <v>18.3376</v>
      </c>
      <c r="AB740" s="94" t="n">
        <f aca="false">IFERROR((O740*(Z740/1000)/(AA740))," ")</f>
        <v>0.995222929936306</v>
      </c>
      <c r="AC740" s="95" t="n">
        <f aca="false">IFERROR((T740)/((T740)+O740),0)</f>
        <v>0</v>
      </c>
      <c r="AD740" s="96" t="n">
        <f aca="false">IFERROR(Q740/(Q740+N740),0)</f>
        <v>0.00158982511923688</v>
      </c>
      <c r="AE740" s="91" t="n">
        <f aca="false">(N740-T740)/N740</f>
        <v>1</v>
      </c>
      <c r="AF740" s="97" t="n">
        <f aca="false">BR740</f>
        <v>0.5</v>
      </c>
      <c r="AG740" s="98" t="n">
        <f aca="false">K740-AF740</f>
        <v>4.5</v>
      </c>
      <c r="AH740" s="99" t="n">
        <f aca="false">IFERROR(AG740/K740," ")</f>
        <v>0.9</v>
      </c>
      <c r="AI740" s="100" t="n">
        <f aca="false">IFERROR(O740/K740,0)</f>
        <v>500</v>
      </c>
      <c r="AJ740" s="101" t="n">
        <f aca="false">VLOOKUP(D740,'Standard Cycle time'!C:D,2,0)</f>
        <v>6</v>
      </c>
      <c r="AK740" s="101" t="n">
        <f aca="false">AG740*V740*3600/O740</f>
        <v>6.48</v>
      </c>
      <c r="AL740" s="102" t="n">
        <f aca="false">AJ740/AK740</f>
        <v>0.925925925925926</v>
      </c>
      <c r="AM740" s="99" t="n">
        <f aca="false">AE740*AL740*AH740</f>
        <v>0.833333333333333</v>
      </c>
      <c r="AN740" s="103" t="n">
        <v>3768</v>
      </c>
      <c r="AO740" s="112"/>
      <c r="AP740" s="105" t="n">
        <v>0</v>
      </c>
      <c r="AQ740" s="105" t="n">
        <v>30</v>
      </c>
      <c r="AR740" s="105" t="n">
        <v>0</v>
      </c>
      <c r="AS740" s="105" t="n">
        <v>0</v>
      </c>
      <c r="AT740" s="105" t="n">
        <v>0</v>
      </c>
      <c r="AU740" s="105" t="n">
        <v>0</v>
      </c>
      <c r="AV740" s="105" t="n">
        <v>0</v>
      </c>
      <c r="AW740" s="105" t="n">
        <v>0</v>
      </c>
      <c r="AX740" s="105" t="n">
        <v>0</v>
      </c>
      <c r="AY740" s="105" t="n">
        <v>0</v>
      </c>
      <c r="AZ740" s="105" t="n">
        <v>0</v>
      </c>
      <c r="BA740" s="105" t="n">
        <v>0</v>
      </c>
      <c r="BB740" s="105" t="n">
        <v>0</v>
      </c>
      <c r="BC740" s="105" t="n">
        <v>0</v>
      </c>
      <c r="BD740" s="105" t="n">
        <v>0</v>
      </c>
      <c r="BE740" s="105" t="n">
        <v>0</v>
      </c>
      <c r="BF740" s="105" t="n">
        <v>0</v>
      </c>
      <c r="BG740" s="105" t="n">
        <v>0</v>
      </c>
      <c r="BH740" s="105" t="n">
        <v>0</v>
      </c>
      <c r="BI740" s="105" t="n">
        <v>0</v>
      </c>
      <c r="BJ740" s="105" t="n">
        <v>0</v>
      </c>
      <c r="BK740" s="105" t="n">
        <v>0</v>
      </c>
      <c r="BL740" s="105" t="n">
        <v>0</v>
      </c>
      <c r="BM740" s="105" t="n">
        <v>0</v>
      </c>
      <c r="BN740" s="105" t="n">
        <v>0</v>
      </c>
      <c r="BO740" s="105" t="n">
        <v>0</v>
      </c>
      <c r="BP740" s="105" t="n">
        <v>0</v>
      </c>
      <c r="BQ740" s="105" t="n">
        <v>0</v>
      </c>
      <c r="BR740" s="106" t="n">
        <v>0.5</v>
      </c>
      <c r="BS740" s="106" t="n">
        <v>0.508333333333333</v>
      </c>
      <c r="BT740" s="107"/>
      <c r="BU740" s="107"/>
      <c r="BV740" s="107"/>
      <c r="BW740" s="107"/>
      <c r="BX740" s="107"/>
      <c r="BY740" s="107"/>
      <c r="BZ740" s="107"/>
      <c r="CA740" s="107"/>
      <c r="CB740" s="107"/>
      <c r="CC740" s="107"/>
      <c r="CD740" s="107"/>
      <c r="CE740" s="107"/>
      <c r="CF740" s="107"/>
      <c r="CG740" s="107"/>
      <c r="CH740" s="107"/>
      <c r="CI740" s="107"/>
      <c r="CJ740" s="107"/>
      <c r="CK740" s="107"/>
      <c r="CL740" s="107"/>
      <c r="CM740" s="107"/>
      <c r="CN740" s="107"/>
      <c r="CO740" s="107"/>
      <c r="CP740" s="107"/>
      <c r="CQ740" s="107"/>
      <c r="CR740" s="107"/>
      <c r="CS740" s="107"/>
      <c r="CT740" s="107"/>
      <c r="CU740" s="107"/>
      <c r="CV740" s="107"/>
    </row>
    <row r="741" customFormat="false" ht="14.9" hidden="false" customHeight="false" outlineLevel="0" collapsed="false">
      <c r="A741" s="74" t="n">
        <f aca="false">MONTH(B741)</f>
        <v>9</v>
      </c>
      <c r="B741" s="135" t="n">
        <v>44467</v>
      </c>
      <c r="C741" s="128" t="s">
        <v>152</v>
      </c>
      <c r="D741" s="77" t="str">
        <f aca="false">IFERROR(VLOOKUP(E:E,'Item Data Support Sheet'!A:O,7,0),"")</f>
        <v>NIPPLE LASER MARKING</v>
      </c>
      <c r="E741" s="80" t="s">
        <v>681</v>
      </c>
      <c r="F741" s="122"/>
      <c r="G741" s="137" t="s">
        <v>517</v>
      </c>
      <c r="H741" s="79" t="str">
        <f aca="false">IFERROR(VLOOKUP(E:E,'Item Data Support Sheet'!A:O,2,0),"")</f>
        <v>NIPPLE S TYPE L SIZE PUNCHED LASER MARKED</v>
      </c>
      <c r="I741" s="80" t="s">
        <v>1441</v>
      </c>
      <c r="J741" s="80" t="s">
        <v>143</v>
      </c>
      <c r="K741" s="81" t="n">
        <v>7</v>
      </c>
      <c r="L741" s="124" t="n">
        <v>6125</v>
      </c>
      <c r="M741" s="83" t="n">
        <f aca="false">IFERROR(L741/K741,0)</f>
        <v>875</v>
      </c>
      <c r="N741" s="84" t="n">
        <f aca="false">+O741+Q741+T741+U741</f>
        <v>6065</v>
      </c>
      <c r="O741" s="85" t="n">
        <v>6065</v>
      </c>
      <c r="P741" s="86" t="n">
        <v>0</v>
      </c>
      <c r="Q741" s="86" t="n">
        <v>0</v>
      </c>
      <c r="R741" s="132" t="n">
        <v>0</v>
      </c>
      <c r="S741" s="128" t="n">
        <v>0</v>
      </c>
      <c r="T741" s="132" t="n">
        <v>0</v>
      </c>
      <c r="U741" s="128" t="n">
        <v>0</v>
      </c>
      <c r="V741" s="128" t="n">
        <v>1</v>
      </c>
      <c r="W741" s="90" t="n">
        <f aca="false">IFERROR(O741/V741,0)</f>
        <v>6065</v>
      </c>
      <c r="X741" s="91" t="n">
        <f aca="false">O741/L741</f>
        <v>0.990204081632653</v>
      </c>
      <c r="Y741" s="92" t="str">
        <f aca="false">IFERROR(VLOOKUP(E:E,'Item Data Support Sheet'!A:J,6,0),0)</f>
        <v>FO021</v>
      </c>
      <c r="Z741" s="93" t="n">
        <f aca="false">IFERROR(VLOOKUP(E:E,'Item Data Support Sheet'!A:O,4,0),0)</f>
        <v>0</v>
      </c>
      <c r="AA741" s="93" t="n">
        <f aca="false">IFERROR(((N741)*(Z741/1000))+P741,0)</f>
        <v>0</v>
      </c>
      <c r="AB741" s="94" t="str">
        <f aca="false">IFERROR((O741*(Z741/1000)/(AA741))," ")</f>
        <v> </v>
      </c>
      <c r="AC741" s="95" t="n">
        <f aca="false">IFERROR((T741)/((T741)+O741),0)</f>
        <v>0</v>
      </c>
      <c r="AD741" s="96" t="n">
        <f aca="false">IFERROR(Q741/(Q741+N741),0)</f>
        <v>0</v>
      </c>
      <c r="AE741" s="91" t="n">
        <f aca="false">(N741-T741)/N741</f>
        <v>1</v>
      </c>
      <c r="AF741" s="97" t="n">
        <f aca="false">BR741</f>
        <v>0.333333333333333</v>
      </c>
      <c r="AG741" s="98" t="n">
        <f aca="false">K741-AF741</f>
        <v>6.66666666666667</v>
      </c>
      <c r="AH741" s="99" t="n">
        <f aca="false">IFERROR(AG741/K741," ")</f>
        <v>0.952380952380952</v>
      </c>
      <c r="AI741" s="100" t="n">
        <f aca="false">IFERROR(O741/K741,0)</f>
        <v>866.428571428571</v>
      </c>
      <c r="AJ741" s="101" t="n">
        <f aca="false">VLOOKUP(D741,'Standard Cycle time'!C:D,2,0)</f>
        <v>3.5</v>
      </c>
      <c r="AK741" s="101" t="n">
        <f aca="false">AG741*V741*3600/O741</f>
        <v>3.95713107996702</v>
      </c>
      <c r="AL741" s="102" t="n">
        <f aca="false">AJ741/AK741</f>
        <v>0.884479166666667</v>
      </c>
      <c r="AM741" s="99" t="n">
        <f aca="false">AE741*AL741*AH741</f>
        <v>0.842361111111111</v>
      </c>
      <c r="AN741" s="103" t="s">
        <v>1442</v>
      </c>
      <c r="AO741" s="112"/>
      <c r="AP741" s="105" t="n">
        <v>20</v>
      </c>
      <c r="AQ741" s="105" t="n">
        <v>0</v>
      </c>
      <c r="AR741" s="105" t="n">
        <v>0</v>
      </c>
      <c r="AS741" s="105" t="n">
        <v>0</v>
      </c>
      <c r="AT741" s="105" t="n">
        <v>0</v>
      </c>
      <c r="AU741" s="105" t="n">
        <v>0</v>
      </c>
      <c r="AV741" s="105" t="n">
        <v>0</v>
      </c>
      <c r="AW741" s="105" t="n">
        <v>0</v>
      </c>
      <c r="AX741" s="105" t="n">
        <v>0</v>
      </c>
      <c r="AY741" s="105" t="n">
        <v>0</v>
      </c>
      <c r="AZ741" s="105" t="n">
        <v>0</v>
      </c>
      <c r="BA741" s="105" t="n">
        <v>0</v>
      </c>
      <c r="BB741" s="105" t="n">
        <v>0</v>
      </c>
      <c r="BC741" s="105" t="n">
        <v>0</v>
      </c>
      <c r="BD741" s="105" t="n">
        <v>0</v>
      </c>
      <c r="BE741" s="105" t="n">
        <v>0</v>
      </c>
      <c r="BF741" s="105" t="n">
        <v>0</v>
      </c>
      <c r="BG741" s="105" t="n">
        <v>0</v>
      </c>
      <c r="BH741" s="105" t="n">
        <v>0</v>
      </c>
      <c r="BI741" s="105" t="n">
        <v>0</v>
      </c>
      <c r="BJ741" s="105" t="n">
        <v>0</v>
      </c>
      <c r="BK741" s="105" t="n">
        <v>0</v>
      </c>
      <c r="BL741" s="105" t="n">
        <v>0</v>
      </c>
      <c r="BM741" s="105" t="n">
        <v>0</v>
      </c>
      <c r="BN741" s="105" t="n">
        <v>0</v>
      </c>
      <c r="BO741" s="105" t="n">
        <v>0</v>
      </c>
      <c r="BP741" s="105" t="n">
        <v>0</v>
      </c>
      <c r="BQ741" s="105" t="n">
        <v>0</v>
      </c>
      <c r="BR741" s="106" t="n">
        <v>0.333333333333333</v>
      </c>
      <c r="BS741" s="106" t="n">
        <v>0.338888888888889</v>
      </c>
      <c r="BT741" s="107"/>
      <c r="BU741" s="107"/>
      <c r="BV741" s="107"/>
      <c r="BW741" s="107"/>
      <c r="BX741" s="107"/>
      <c r="BY741" s="107"/>
      <c r="BZ741" s="107"/>
      <c r="CA741" s="107"/>
      <c r="CB741" s="107"/>
      <c r="CC741" s="107"/>
      <c r="CD741" s="107"/>
      <c r="CE741" s="107"/>
      <c r="CF741" s="107"/>
      <c r="CG741" s="107"/>
      <c r="CH741" s="107"/>
      <c r="CI741" s="107"/>
      <c r="CJ741" s="107"/>
      <c r="CK741" s="107"/>
      <c r="CL741" s="107"/>
      <c r="CM741" s="107"/>
      <c r="CN741" s="107"/>
      <c r="CO741" s="107"/>
      <c r="CP741" s="107"/>
      <c r="CQ741" s="107"/>
      <c r="CR741" s="107"/>
      <c r="CS741" s="107"/>
      <c r="CT741" s="107"/>
      <c r="CU741" s="107"/>
      <c r="CV741" s="107"/>
    </row>
    <row r="742" customFormat="false" ht="14.9" hidden="false" customHeight="false" outlineLevel="0" collapsed="false">
      <c r="A742" s="74" t="n">
        <f aca="false">MONTH(B742)</f>
        <v>9</v>
      </c>
      <c r="B742" s="135" t="n">
        <v>44467</v>
      </c>
      <c r="C742" s="128" t="s">
        <v>152</v>
      </c>
      <c r="D742" s="77" t="str">
        <f aca="false">IFERROR(VLOOKUP(E:E,'Item Data Support Sheet'!A:O,7,0),"")</f>
        <v>NIPPLE LASER MARKING</v>
      </c>
      <c r="E742" s="80" t="s">
        <v>600</v>
      </c>
      <c r="F742" s="122"/>
      <c r="G742" s="137" t="s">
        <v>517</v>
      </c>
      <c r="H742" s="79" t="str">
        <f aca="false">IFERROR(VLOOKUP(E:E,'Item Data Support Sheet'!A:O,2,0),"")</f>
        <v>NIPPLE S TYPE LL SIZE LASER MARKED</v>
      </c>
      <c r="I742" s="80" t="s">
        <v>1412</v>
      </c>
      <c r="J742" s="80" t="s">
        <v>143</v>
      </c>
      <c r="K742" s="81" t="n">
        <v>1</v>
      </c>
      <c r="L742" s="124" t="n">
        <v>875</v>
      </c>
      <c r="M742" s="83" t="n">
        <f aca="false">IFERROR(L742/K742,0)</f>
        <v>875</v>
      </c>
      <c r="N742" s="84" t="n">
        <f aca="false">+O742+Q742+T742+U742</f>
        <v>1000</v>
      </c>
      <c r="O742" s="85" t="n">
        <v>1000</v>
      </c>
      <c r="P742" s="86" t="n">
        <v>0</v>
      </c>
      <c r="Q742" s="86" t="n">
        <v>0</v>
      </c>
      <c r="R742" s="132" t="n">
        <v>0</v>
      </c>
      <c r="S742" s="128" t="n">
        <v>0</v>
      </c>
      <c r="T742" s="132" t="n">
        <v>0</v>
      </c>
      <c r="U742" s="128" t="n">
        <v>0</v>
      </c>
      <c r="V742" s="128" t="n">
        <v>1</v>
      </c>
      <c r="W742" s="90" t="n">
        <f aca="false">IFERROR(O742/V742,0)</f>
        <v>1000</v>
      </c>
      <c r="X742" s="91" t="n">
        <f aca="false">O742/L742</f>
        <v>1.14285714285714</v>
      </c>
      <c r="Y742" s="92" t="str">
        <f aca="false">IFERROR(VLOOKUP(E:E,'Item Data Support Sheet'!A:J,6,0),0)</f>
        <v>FO151</v>
      </c>
      <c r="Z742" s="93" t="n">
        <f aca="false">IFERROR(VLOOKUP(E:E,'Item Data Support Sheet'!A:O,4,0),0)</f>
        <v>0</v>
      </c>
      <c r="AA742" s="93" t="n">
        <f aca="false">IFERROR(((N742)*(Z742/1000))+P742,0)</f>
        <v>0</v>
      </c>
      <c r="AB742" s="94" t="str">
        <f aca="false">IFERROR((O742*(Z742/1000)/(AA742))," ")</f>
        <v> </v>
      </c>
      <c r="AC742" s="95" t="n">
        <f aca="false">IFERROR((T742)/((T742)+O742),0)</f>
        <v>0</v>
      </c>
      <c r="AD742" s="96" t="n">
        <f aca="false">IFERROR(Q742/(Q742+N742),0)</f>
        <v>0</v>
      </c>
      <c r="AE742" s="91" t="n">
        <f aca="false">(N742-T742)/N742</f>
        <v>1</v>
      </c>
      <c r="AF742" s="97" t="n">
        <f aca="false">BR742</f>
        <v>0.166666666666667</v>
      </c>
      <c r="AG742" s="98" t="n">
        <f aca="false">K742-AF742</f>
        <v>0.833333333333333</v>
      </c>
      <c r="AH742" s="99" t="n">
        <f aca="false">IFERROR(AG742/K742," ")</f>
        <v>0.833333333333333</v>
      </c>
      <c r="AI742" s="100" t="n">
        <f aca="false">IFERROR(O742/K742,0)</f>
        <v>1000</v>
      </c>
      <c r="AJ742" s="101" t="n">
        <f aca="false">VLOOKUP(D742,'Standard Cycle time'!C:D,2,0)</f>
        <v>3.5</v>
      </c>
      <c r="AK742" s="101" t="n">
        <f aca="false">AG742*V742*3600/O742</f>
        <v>3</v>
      </c>
      <c r="AL742" s="102" t="n">
        <f aca="false">AJ742/AK742</f>
        <v>1.16666666666667</v>
      </c>
      <c r="AM742" s="99" t="n">
        <f aca="false">AE742*AL742*AH742</f>
        <v>0.972222222222222</v>
      </c>
      <c r="AN742" s="103" t="n">
        <v>3725</v>
      </c>
      <c r="AO742" s="112" t="s">
        <v>1443</v>
      </c>
      <c r="AP742" s="105" t="n">
        <v>0</v>
      </c>
      <c r="AQ742" s="105" t="n">
        <v>10</v>
      </c>
      <c r="AR742" s="105" t="n">
        <v>0</v>
      </c>
      <c r="AS742" s="105" t="n">
        <v>0</v>
      </c>
      <c r="AT742" s="105" t="n">
        <v>0</v>
      </c>
      <c r="AU742" s="105" t="n">
        <v>0</v>
      </c>
      <c r="AV742" s="105" t="n">
        <v>0</v>
      </c>
      <c r="AW742" s="105" t="n">
        <v>0</v>
      </c>
      <c r="AX742" s="105" t="n">
        <v>0</v>
      </c>
      <c r="AY742" s="105" t="n">
        <v>0</v>
      </c>
      <c r="AZ742" s="105" t="n">
        <v>0</v>
      </c>
      <c r="BA742" s="105" t="n">
        <v>0</v>
      </c>
      <c r="BB742" s="105" t="n">
        <v>0</v>
      </c>
      <c r="BC742" s="105" t="n">
        <v>0</v>
      </c>
      <c r="BD742" s="105" t="n">
        <v>0</v>
      </c>
      <c r="BE742" s="105" t="n">
        <v>0</v>
      </c>
      <c r="BF742" s="105" t="n">
        <v>0</v>
      </c>
      <c r="BG742" s="105" t="n">
        <v>0</v>
      </c>
      <c r="BH742" s="105" t="n">
        <v>0</v>
      </c>
      <c r="BI742" s="105" t="n">
        <v>0</v>
      </c>
      <c r="BJ742" s="105" t="n">
        <v>0</v>
      </c>
      <c r="BK742" s="105" t="n">
        <v>0</v>
      </c>
      <c r="BL742" s="105" t="n">
        <v>0</v>
      </c>
      <c r="BM742" s="105" t="n">
        <v>0</v>
      </c>
      <c r="BN742" s="105" t="n">
        <v>0</v>
      </c>
      <c r="BO742" s="105" t="n">
        <v>0</v>
      </c>
      <c r="BP742" s="105" t="n">
        <v>0</v>
      </c>
      <c r="BQ742" s="105" t="n">
        <v>0</v>
      </c>
      <c r="BR742" s="106" t="n">
        <v>0.166666666666667</v>
      </c>
      <c r="BS742" s="106" t="n">
        <v>0.169444444444444</v>
      </c>
      <c r="BT742" s="107"/>
      <c r="BU742" s="107"/>
      <c r="BV742" s="107"/>
      <c r="BW742" s="107"/>
      <c r="BX742" s="107"/>
      <c r="BY742" s="107"/>
      <c r="BZ742" s="107"/>
      <c r="CA742" s="107"/>
      <c r="CB742" s="107"/>
      <c r="CC742" s="107"/>
      <c r="CD742" s="107"/>
      <c r="CE742" s="107"/>
      <c r="CF742" s="107"/>
      <c r="CG742" s="107"/>
      <c r="CH742" s="107"/>
      <c r="CI742" s="107"/>
      <c r="CJ742" s="107"/>
      <c r="CK742" s="107"/>
      <c r="CL742" s="107"/>
      <c r="CM742" s="107"/>
      <c r="CN742" s="107"/>
      <c r="CO742" s="107"/>
      <c r="CP742" s="107"/>
      <c r="CQ742" s="107"/>
      <c r="CR742" s="107"/>
      <c r="CS742" s="107"/>
      <c r="CT742" s="107"/>
      <c r="CU742" s="107"/>
      <c r="CV742" s="107"/>
    </row>
    <row r="743" customFormat="false" ht="14.9" hidden="false" customHeight="false" outlineLevel="0" collapsed="false">
      <c r="A743" s="74" t="n">
        <f aca="false">MONTH(B743)</f>
        <v>9</v>
      </c>
      <c r="B743" s="135" t="n">
        <v>44468</v>
      </c>
      <c r="C743" s="128" t="s">
        <v>51</v>
      </c>
      <c r="D743" s="77" t="str">
        <f aca="false">IFERROR(VLOOKUP(E:E,'Item Data Support Sheet'!A:O,7,0),"")</f>
        <v>NIPPLE PUNCH</v>
      </c>
      <c r="E743" s="80" t="s">
        <v>834</v>
      </c>
      <c r="F743" s="122"/>
      <c r="G743" s="137" t="s">
        <v>54</v>
      </c>
      <c r="H743" s="79" t="str">
        <f aca="false">IFERROR(VLOOKUP(E:E,'Item Data Support Sheet'!A:O,2,0),"")</f>
        <v>NIPPLE S TYPE Y SIZE PUNCHED</v>
      </c>
      <c r="I743" s="80" t="s">
        <v>1444</v>
      </c>
      <c r="J743" s="80" t="s">
        <v>155</v>
      </c>
      <c r="K743" s="81" t="n">
        <v>8</v>
      </c>
      <c r="L743" s="124" t="n">
        <v>7000</v>
      </c>
      <c r="M743" s="83" t="n">
        <f aca="false">IFERROR(L743/K743,0)</f>
        <v>875</v>
      </c>
      <c r="N743" s="84" t="n">
        <f aca="false">+O743+Q743+T743+U743</f>
        <v>7040</v>
      </c>
      <c r="O743" s="85" t="n">
        <v>7040</v>
      </c>
      <c r="P743" s="86" t="n">
        <v>0</v>
      </c>
      <c r="Q743" s="86" t="n">
        <v>0</v>
      </c>
      <c r="R743" s="132" t="n">
        <v>0</v>
      </c>
      <c r="S743" s="128" t="n">
        <v>0</v>
      </c>
      <c r="T743" s="132" t="n">
        <v>0</v>
      </c>
      <c r="U743" s="128" t="n">
        <v>0</v>
      </c>
      <c r="V743" s="128" t="n">
        <v>1</v>
      </c>
      <c r="W743" s="90" t="n">
        <f aca="false">IFERROR(O743/V743,0)</f>
        <v>7040</v>
      </c>
      <c r="X743" s="91" t="n">
        <f aca="false">O743/L743</f>
        <v>1.00571428571429</v>
      </c>
      <c r="Y743" s="92" t="str">
        <f aca="false">IFERROR(VLOOKUP(E:E,'Item Data Support Sheet'!A:J,6,0),0)</f>
        <v>FO018</v>
      </c>
      <c r="Z743" s="93" t="n">
        <f aca="false">IFERROR(VLOOKUP(E:E,'Item Data Support Sheet'!A:O,4,0),0)</f>
        <v>0</v>
      </c>
      <c r="AA743" s="93" t="n">
        <f aca="false">IFERROR(((N743)*(Z743/1000))+P743,0)</f>
        <v>0</v>
      </c>
      <c r="AB743" s="94" t="str">
        <f aca="false">IFERROR((O743*(Z743/1000)/(AA743))," ")</f>
        <v> </v>
      </c>
      <c r="AC743" s="95" t="n">
        <f aca="false">IFERROR((T743)/((T743)+O743),0)</f>
        <v>0</v>
      </c>
      <c r="AD743" s="96" t="n">
        <f aca="false">IFERROR(Q743/(Q743+N743),0)</f>
        <v>0</v>
      </c>
      <c r="AE743" s="91" t="n">
        <f aca="false">(N743-T743)/N743</f>
        <v>1</v>
      </c>
      <c r="AF743" s="97" t="n">
        <f aca="false">BR743</f>
        <v>0.666666666666667</v>
      </c>
      <c r="AG743" s="98" t="n">
        <f aca="false">K743-AF743</f>
        <v>7.33333333333333</v>
      </c>
      <c r="AH743" s="99" t="n">
        <f aca="false">IFERROR(AG743/K743," ")</f>
        <v>0.916666666666667</v>
      </c>
      <c r="AI743" s="100" t="n">
        <f aca="false">IFERROR(O743/K743,0)</f>
        <v>880</v>
      </c>
      <c r="AJ743" s="101" t="n">
        <f aca="false">VLOOKUP(D743,'Standard Cycle time'!C:D,2,0)</f>
        <v>3.5</v>
      </c>
      <c r="AK743" s="101" t="n">
        <f aca="false">AG743*V743*3600/O743</f>
        <v>3.75</v>
      </c>
      <c r="AL743" s="102" t="n">
        <f aca="false">AJ743/AK743</f>
        <v>0.933333333333333</v>
      </c>
      <c r="AM743" s="99" t="n">
        <f aca="false">AE743*AL743*AH743</f>
        <v>0.855555555555556</v>
      </c>
      <c r="AN743" s="103" t="s">
        <v>1445</v>
      </c>
      <c r="AO743" s="112"/>
      <c r="AP743" s="105" t="n">
        <v>40</v>
      </c>
      <c r="AQ743" s="105" t="n">
        <v>0</v>
      </c>
      <c r="AR743" s="105" t="n">
        <v>0</v>
      </c>
      <c r="AS743" s="105" t="n">
        <v>0</v>
      </c>
      <c r="AT743" s="105" t="n">
        <v>0</v>
      </c>
      <c r="AU743" s="105" t="n">
        <v>0</v>
      </c>
      <c r="AV743" s="105" t="n">
        <v>0</v>
      </c>
      <c r="AW743" s="105" t="n">
        <v>0</v>
      </c>
      <c r="AX743" s="105" t="n">
        <v>0</v>
      </c>
      <c r="AY743" s="105" t="n">
        <v>0</v>
      </c>
      <c r="AZ743" s="105" t="n">
        <v>0</v>
      </c>
      <c r="BA743" s="105" t="n">
        <v>0</v>
      </c>
      <c r="BB743" s="105" t="n">
        <v>0</v>
      </c>
      <c r="BC743" s="105" t="n">
        <v>0</v>
      </c>
      <c r="BD743" s="105" t="n">
        <v>0</v>
      </c>
      <c r="BE743" s="105" t="n">
        <v>0</v>
      </c>
      <c r="BF743" s="105" t="n">
        <v>0</v>
      </c>
      <c r="BG743" s="105" t="n">
        <v>0</v>
      </c>
      <c r="BH743" s="105" t="n">
        <v>0</v>
      </c>
      <c r="BI743" s="105" t="n">
        <v>0</v>
      </c>
      <c r="BJ743" s="105" t="n">
        <v>0</v>
      </c>
      <c r="BK743" s="105" t="n">
        <v>0</v>
      </c>
      <c r="BL743" s="105" t="n">
        <v>0</v>
      </c>
      <c r="BM743" s="105" t="n">
        <v>0</v>
      </c>
      <c r="BN743" s="105" t="n">
        <v>0</v>
      </c>
      <c r="BO743" s="105" t="n">
        <v>0</v>
      </c>
      <c r="BP743" s="105" t="n">
        <v>0</v>
      </c>
      <c r="BQ743" s="105" t="n">
        <v>0</v>
      </c>
      <c r="BR743" s="106" t="n">
        <v>0.666666666666667</v>
      </c>
      <c r="BS743" s="106" t="n">
        <v>0.677777777777778</v>
      </c>
      <c r="BT743" s="107"/>
      <c r="BU743" s="107"/>
      <c r="BV743" s="107"/>
      <c r="BW743" s="107"/>
      <c r="BX743" s="107"/>
      <c r="BY743" s="107"/>
      <c r="BZ743" s="107"/>
      <c r="CA743" s="107"/>
      <c r="CB743" s="107"/>
      <c r="CC743" s="107"/>
      <c r="CD743" s="107"/>
      <c r="CE743" s="107"/>
      <c r="CF743" s="107"/>
      <c r="CG743" s="107"/>
      <c r="CH743" s="107"/>
      <c r="CI743" s="107"/>
      <c r="CJ743" s="107"/>
      <c r="CK743" s="107"/>
      <c r="CL743" s="107"/>
      <c r="CM743" s="107"/>
      <c r="CN743" s="107"/>
      <c r="CO743" s="107"/>
      <c r="CP743" s="107"/>
      <c r="CQ743" s="107"/>
      <c r="CR743" s="107"/>
      <c r="CS743" s="107"/>
      <c r="CT743" s="107"/>
      <c r="CU743" s="107"/>
      <c r="CV743" s="107"/>
    </row>
    <row r="744" customFormat="false" ht="14.9" hidden="false" customHeight="false" outlineLevel="0" collapsed="false">
      <c r="A744" s="74" t="n">
        <f aca="false">MONTH(B744)</f>
        <v>9</v>
      </c>
      <c r="B744" s="135" t="n">
        <v>44468</v>
      </c>
      <c r="C744" s="128" t="s">
        <v>51</v>
      </c>
      <c r="D744" s="77" t="str">
        <f aca="false">IFERROR(VLOOKUP(E:E,'Item Data Support Sheet'!A:O,7,0),"")</f>
        <v>NIPPLE LASER MARKING</v>
      </c>
      <c r="E744" s="80" t="s">
        <v>600</v>
      </c>
      <c r="F744" s="122"/>
      <c r="G744" s="137" t="s">
        <v>517</v>
      </c>
      <c r="H744" s="79" t="str">
        <f aca="false">IFERROR(VLOOKUP(E:E,'Item Data Support Sheet'!A:O,2,0),"")</f>
        <v>NIPPLE S TYPE LL SIZE LASER MARKED</v>
      </c>
      <c r="I744" s="80" t="s">
        <v>1446</v>
      </c>
      <c r="J744" s="80" t="s">
        <v>155</v>
      </c>
      <c r="K744" s="81" t="n">
        <v>8</v>
      </c>
      <c r="L744" s="124" t="n">
        <v>7000</v>
      </c>
      <c r="M744" s="83" t="n">
        <f aca="false">IFERROR(L744/K744,0)</f>
        <v>875</v>
      </c>
      <c r="N744" s="84" t="n">
        <f aca="false">+O744+Q744+T744+U744</f>
        <v>7040</v>
      </c>
      <c r="O744" s="85" t="n">
        <v>7040</v>
      </c>
      <c r="P744" s="86" t="n">
        <v>0</v>
      </c>
      <c r="Q744" s="86" t="n">
        <v>0</v>
      </c>
      <c r="R744" s="132" t="n">
        <v>0</v>
      </c>
      <c r="S744" s="128" t="n">
        <v>0</v>
      </c>
      <c r="T744" s="132" t="n">
        <v>0</v>
      </c>
      <c r="U744" s="128" t="n">
        <v>0</v>
      </c>
      <c r="V744" s="128" t="n">
        <v>1</v>
      </c>
      <c r="W744" s="90" t="n">
        <f aca="false">IFERROR(O744/V744,0)</f>
        <v>7040</v>
      </c>
      <c r="X744" s="91" t="n">
        <f aca="false">O744/L744</f>
        <v>1.00571428571429</v>
      </c>
      <c r="Y744" s="92" t="str">
        <f aca="false">IFERROR(VLOOKUP(E:E,'Item Data Support Sheet'!A:J,6,0),0)</f>
        <v>FO151</v>
      </c>
      <c r="Z744" s="93" t="n">
        <f aca="false">IFERROR(VLOOKUP(E:E,'Item Data Support Sheet'!A:O,4,0),0)</f>
        <v>0</v>
      </c>
      <c r="AA744" s="93" t="n">
        <f aca="false">IFERROR(((N744)*(Z744/1000))+P744,0)</f>
        <v>0</v>
      </c>
      <c r="AB744" s="94" t="str">
        <f aca="false">IFERROR((O744*(Z744/1000)/(AA744))," ")</f>
        <v> </v>
      </c>
      <c r="AC744" s="95" t="n">
        <f aca="false">IFERROR((T744)/((T744)+O744),0)</f>
        <v>0</v>
      </c>
      <c r="AD744" s="96" t="n">
        <f aca="false">IFERROR(Q744/(Q744+N744),0)</f>
        <v>0</v>
      </c>
      <c r="AE744" s="91" t="n">
        <f aca="false">(N744-T744)/N744</f>
        <v>1</v>
      </c>
      <c r="AF744" s="97" t="n">
        <f aca="false">BR744</f>
        <v>0.666666666666667</v>
      </c>
      <c r="AG744" s="98" t="n">
        <f aca="false">K744-AF744</f>
        <v>7.33333333333333</v>
      </c>
      <c r="AH744" s="99" t="n">
        <f aca="false">IFERROR(AG744/K744," ")</f>
        <v>0.916666666666667</v>
      </c>
      <c r="AI744" s="100" t="n">
        <f aca="false">IFERROR(O744/K744,0)</f>
        <v>880</v>
      </c>
      <c r="AJ744" s="101" t="n">
        <f aca="false">VLOOKUP(D744,'Standard Cycle time'!C:D,2,0)</f>
        <v>3.5</v>
      </c>
      <c r="AK744" s="101" t="n">
        <f aca="false">AG744*V744*3600/O744</f>
        <v>3.75</v>
      </c>
      <c r="AL744" s="102" t="n">
        <f aca="false">AJ744/AK744</f>
        <v>0.933333333333333</v>
      </c>
      <c r="AM744" s="99" t="n">
        <f aca="false">AE744*AL744*AH744</f>
        <v>0.855555555555556</v>
      </c>
      <c r="AN744" s="103" t="s">
        <v>1447</v>
      </c>
      <c r="AO744" s="112"/>
      <c r="AP744" s="105" t="n">
        <v>40</v>
      </c>
      <c r="AQ744" s="105" t="n">
        <v>0</v>
      </c>
      <c r="AR744" s="105" t="n">
        <v>0</v>
      </c>
      <c r="AS744" s="105" t="n">
        <v>0</v>
      </c>
      <c r="AT744" s="105" t="n">
        <v>0</v>
      </c>
      <c r="AU744" s="105" t="n">
        <v>0</v>
      </c>
      <c r="AV744" s="105" t="n">
        <v>0</v>
      </c>
      <c r="AW744" s="105" t="n">
        <v>0</v>
      </c>
      <c r="AX744" s="105" t="n">
        <v>0</v>
      </c>
      <c r="AY744" s="105" t="n">
        <v>0</v>
      </c>
      <c r="AZ744" s="105" t="n">
        <v>0</v>
      </c>
      <c r="BA744" s="105" t="n">
        <v>0</v>
      </c>
      <c r="BB744" s="105" t="n">
        <v>0</v>
      </c>
      <c r="BC744" s="105" t="n">
        <v>0</v>
      </c>
      <c r="BD744" s="105" t="n">
        <v>0</v>
      </c>
      <c r="BE744" s="105" t="n">
        <v>0</v>
      </c>
      <c r="BF744" s="105" t="n">
        <v>0</v>
      </c>
      <c r="BG744" s="105" t="n">
        <v>0</v>
      </c>
      <c r="BH744" s="105" t="n">
        <v>0</v>
      </c>
      <c r="BI744" s="105" t="n">
        <v>0</v>
      </c>
      <c r="BJ744" s="105" t="n">
        <v>0</v>
      </c>
      <c r="BK744" s="105" t="n">
        <v>0</v>
      </c>
      <c r="BL744" s="105" t="n">
        <v>0</v>
      </c>
      <c r="BM744" s="105" t="n">
        <v>0</v>
      </c>
      <c r="BN744" s="105" t="n">
        <v>0</v>
      </c>
      <c r="BO744" s="105" t="n">
        <v>0</v>
      </c>
      <c r="BP744" s="105" t="n">
        <v>0</v>
      </c>
      <c r="BQ744" s="105" t="n">
        <v>0</v>
      </c>
      <c r="BR744" s="106" t="n">
        <v>0.666666666666667</v>
      </c>
      <c r="BS744" s="106" t="n">
        <v>0.677777777777778</v>
      </c>
      <c r="BT744" s="107"/>
      <c r="BU744" s="107"/>
      <c r="BV744" s="107"/>
      <c r="BW744" s="107"/>
      <c r="BX744" s="107"/>
      <c r="BY744" s="107"/>
      <c r="BZ744" s="107"/>
      <c r="CA744" s="107"/>
      <c r="CB744" s="107"/>
      <c r="CC744" s="107"/>
      <c r="CD744" s="107"/>
      <c r="CE744" s="107"/>
      <c r="CF744" s="107"/>
      <c r="CG744" s="107"/>
      <c r="CH744" s="107"/>
      <c r="CI744" s="107"/>
      <c r="CJ744" s="107"/>
      <c r="CK744" s="107"/>
      <c r="CL744" s="107"/>
      <c r="CM744" s="107"/>
      <c r="CN744" s="107"/>
      <c r="CO744" s="107"/>
      <c r="CP744" s="107"/>
      <c r="CQ744" s="107"/>
      <c r="CR744" s="107"/>
      <c r="CS744" s="107"/>
      <c r="CT744" s="107"/>
      <c r="CU744" s="107"/>
      <c r="CV744" s="107"/>
    </row>
    <row r="745" customFormat="false" ht="14.9" hidden="false" customHeight="false" outlineLevel="0" collapsed="false">
      <c r="A745" s="74" t="n">
        <f aca="false">MONTH(B745)</f>
        <v>9</v>
      </c>
      <c r="B745" s="135" t="n">
        <v>44468</v>
      </c>
      <c r="C745" s="128" t="s">
        <v>51</v>
      </c>
      <c r="D745" s="77" t="str">
        <f aca="false">IFERROR(VLOOKUP(E:E,'Item Data Support Sheet'!A:O,7,0),"")</f>
        <v>CAP MOLDED</v>
      </c>
      <c r="E745" s="80" t="s">
        <v>199</v>
      </c>
      <c r="F745" s="122"/>
      <c r="G745" s="137" t="s">
        <v>1215</v>
      </c>
      <c r="H745" s="79" t="str">
        <f aca="false">IFERROR(VLOOKUP(E:E,'Item Data Support Sheet'!A:O,2,0),"")</f>
        <v>CAP S TYPE MOLDED RED</v>
      </c>
      <c r="I745" s="80" t="s">
        <v>1448</v>
      </c>
      <c r="J745" s="80" t="s">
        <v>155</v>
      </c>
      <c r="K745" s="81" t="n">
        <v>8</v>
      </c>
      <c r="L745" s="124" t="n">
        <v>4137</v>
      </c>
      <c r="M745" s="83" t="n">
        <f aca="false">IFERROR(L745/K745,0)</f>
        <v>517.125</v>
      </c>
      <c r="N745" s="84" t="n">
        <f aca="false">+O745+Q745+T745+U745</f>
        <v>4012</v>
      </c>
      <c r="O745" s="85" t="n">
        <v>4000</v>
      </c>
      <c r="P745" s="86" t="n">
        <v>0</v>
      </c>
      <c r="Q745" s="86" t="n">
        <v>0</v>
      </c>
      <c r="R745" s="132" t="n">
        <v>0</v>
      </c>
      <c r="S745" s="128" t="n">
        <v>0</v>
      </c>
      <c r="T745" s="132" t="n">
        <v>4</v>
      </c>
      <c r="U745" s="128" t="n">
        <v>8</v>
      </c>
      <c r="V745" s="128" t="n">
        <v>1</v>
      </c>
      <c r="W745" s="90" t="n">
        <f aca="false">IFERROR(O745/V745,0)</f>
        <v>4000</v>
      </c>
      <c r="X745" s="91" t="n">
        <f aca="false">O745/L745</f>
        <v>0.96688421561518</v>
      </c>
      <c r="Y745" s="92" t="str">
        <f aca="false">IFERROR(VLOOKUP(E:E,'Item Data Support Sheet'!A:J,6,0),0)</f>
        <v>FO153</v>
      </c>
      <c r="Z745" s="93" t="n">
        <f aca="false">IFERROR(VLOOKUP(E:E,'Item Data Support Sheet'!A:O,4,0),0)</f>
        <v>7.3</v>
      </c>
      <c r="AA745" s="93" t="n">
        <f aca="false">IFERROR(((N745)*(Z745/1000))+P745,0)</f>
        <v>29.2876</v>
      </c>
      <c r="AB745" s="94" t="n">
        <f aca="false">IFERROR((O745*(Z745/1000)/(AA745))," ")</f>
        <v>0.997008973080758</v>
      </c>
      <c r="AC745" s="95" t="n">
        <f aca="false">IFERROR((T745)/((T745)+O745),0)</f>
        <v>0.000999000999000999</v>
      </c>
      <c r="AD745" s="96" t="n">
        <f aca="false">IFERROR(Q745/(Q745+N745),0)</f>
        <v>0</v>
      </c>
      <c r="AE745" s="91" t="n">
        <f aca="false">(N745-T745)/N745</f>
        <v>0.999002991026919</v>
      </c>
      <c r="AF745" s="97" t="n">
        <f aca="false">BR745</f>
        <v>0</v>
      </c>
      <c r="AG745" s="98" t="n">
        <f aca="false">K745-AF745</f>
        <v>8</v>
      </c>
      <c r="AH745" s="99" t="n">
        <f aca="false">IFERROR(AG745/K745," ")</f>
        <v>1</v>
      </c>
      <c r="AI745" s="100" t="n">
        <f aca="false">IFERROR(O745/K745,0)</f>
        <v>500</v>
      </c>
      <c r="AJ745" s="101" t="n">
        <f aca="false">VLOOKUP(D745,'Standard Cycle time'!C:D,2,0)</f>
        <v>6</v>
      </c>
      <c r="AK745" s="101" t="n">
        <f aca="false">AG745*V745*3600/O745</f>
        <v>7.2</v>
      </c>
      <c r="AL745" s="102" t="n">
        <f aca="false">AJ745/AK745</f>
        <v>0.833333333333333</v>
      </c>
      <c r="AM745" s="99" t="n">
        <f aca="false">AE745*AL745*AH745</f>
        <v>0.832502492522433</v>
      </c>
      <c r="AN745" s="103" t="s">
        <v>1449</v>
      </c>
      <c r="AO745" s="112"/>
      <c r="AP745" s="105" t="n">
        <v>0</v>
      </c>
      <c r="AQ745" s="105" t="n">
        <v>0</v>
      </c>
      <c r="AR745" s="105" t="n">
        <v>0</v>
      </c>
      <c r="AS745" s="105" t="n">
        <v>0</v>
      </c>
      <c r="AT745" s="105" t="n">
        <v>0</v>
      </c>
      <c r="AU745" s="105" t="n">
        <v>0</v>
      </c>
      <c r="AV745" s="105" t="n">
        <v>0</v>
      </c>
      <c r="AW745" s="105" t="n">
        <v>0</v>
      </c>
      <c r="AX745" s="105" t="n">
        <v>0</v>
      </c>
      <c r="AY745" s="105" t="n">
        <v>0</v>
      </c>
      <c r="AZ745" s="105" t="n">
        <v>0</v>
      </c>
      <c r="BA745" s="105" t="n">
        <v>0</v>
      </c>
      <c r="BB745" s="105" t="n">
        <v>0</v>
      </c>
      <c r="BC745" s="105" t="n">
        <v>0</v>
      </c>
      <c r="BD745" s="105" t="n">
        <v>0</v>
      </c>
      <c r="BE745" s="105" t="n">
        <v>0</v>
      </c>
      <c r="BF745" s="105" t="n">
        <v>0</v>
      </c>
      <c r="BG745" s="105" t="n">
        <v>0</v>
      </c>
      <c r="BH745" s="105" t="n">
        <v>0</v>
      </c>
      <c r="BI745" s="105" t="n">
        <v>0</v>
      </c>
      <c r="BJ745" s="105" t="n">
        <v>0</v>
      </c>
      <c r="BK745" s="105" t="n">
        <v>0</v>
      </c>
      <c r="BL745" s="105" t="n">
        <v>0</v>
      </c>
      <c r="BM745" s="105" t="n">
        <v>0</v>
      </c>
      <c r="BN745" s="105" t="n">
        <v>0</v>
      </c>
      <c r="BO745" s="105" t="n">
        <v>0</v>
      </c>
      <c r="BP745" s="105" t="n">
        <v>0</v>
      </c>
      <c r="BQ745" s="105" t="n">
        <v>0</v>
      </c>
      <c r="BR745" s="106" t="n">
        <v>0</v>
      </c>
      <c r="BS745" s="106" t="n">
        <v>0</v>
      </c>
      <c r="BT745" s="107"/>
      <c r="BU745" s="107"/>
      <c r="BV745" s="107"/>
      <c r="BW745" s="107"/>
      <c r="BX745" s="107"/>
      <c r="BY745" s="107"/>
      <c r="BZ745" s="107"/>
      <c r="CA745" s="107"/>
      <c r="CB745" s="107"/>
      <c r="CC745" s="107"/>
      <c r="CD745" s="107"/>
      <c r="CE745" s="107"/>
      <c r="CF745" s="107"/>
      <c r="CG745" s="107"/>
      <c r="CH745" s="107"/>
      <c r="CI745" s="107"/>
      <c r="CJ745" s="107"/>
      <c r="CK745" s="107"/>
      <c r="CL745" s="107"/>
      <c r="CM745" s="107"/>
      <c r="CN745" s="107"/>
      <c r="CO745" s="107"/>
      <c r="CP745" s="107"/>
      <c r="CQ745" s="107"/>
      <c r="CR745" s="107"/>
      <c r="CS745" s="107"/>
      <c r="CT745" s="107"/>
      <c r="CU745" s="107"/>
      <c r="CV745" s="107"/>
    </row>
    <row r="746" customFormat="false" ht="14.9" hidden="false" customHeight="false" outlineLevel="0" collapsed="false">
      <c r="A746" s="74" t="n">
        <f aca="false">MONTH(B746)</f>
        <v>9</v>
      </c>
      <c r="B746" s="135" t="n">
        <v>44468</v>
      </c>
      <c r="C746" s="128" t="s">
        <v>63</v>
      </c>
      <c r="D746" s="77" t="str">
        <f aca="false">IFERROR(VLOOKUP(E:E,'Item Data Support Sheet'!A:O,7,0),"")</f>
        <v>NIPPLE PUNCH INSPECTED</v>
      </c>
      <c r="E746" s="80" t="s">
        <v>621</v>
      </c>
      <c r="F746" s="122"/>
      <c r="G746" s="137"/>
      <c r="H746" s="79" t="str">
        <f aca="false">IFERROR(VLOOKUP(E:E,'Item Data Support Sheet'!A:O,2,0),"")</f>
        <v>NIPPLE S TYPE LL SIZE INSPECTED</v>
      </c>
      <c r="I746" s="80" t="s">
        <v>1405</v>
      </c>
      <c r="J746" s="80" t="s">
        <v>815</v>
      </c>
      <c r="K746" s="81" t="n">
        <v>4.5</v>
      </c>
      <c r="L746" s="124" t="n">
        <v>7132</v>
      </c>
      <c r="M746" s="83" t="n">
        <f aca="false">IFERROR(L746/K746,0)</f>
        <v>1584.88888888889</v>
      </c>
      <c r="N746" s="84" t="n">
        <f aca="false">+O746+Q746+T746+U746</f>
        <v>10040</v>
      </c>
      <c r="O746" s="85" t="n">
        <v>9977</v>
      </c>
      <c r="P746" s="86" t="n">
        <v>0</v>
      </c>
      <c r="Q746" s="86" t="n">
        <v>0</v>
      </c>
      <c r="R746" s="132" t="n">
        <v>0</v>
      </c>
      <c r="S746" s="128" t="n">
        <v>0</v>
      </c>
      <c r="T746" s="132" t="n">
        <v>63</v>
      </c>
      <c r="U746" s="128" t="n">
        <v>0</v>
      </c>
      <c r="V746" s="128" t="n">
        <v>2</v>
      </c>
      <c r="W746" s="90" t="n">
        <f aca="false">IFERROR(O746/V746,0)</f>
        <v>4988.5</v>
      </c>
      <c r="X746" s="91" t="n">
        <f aca="false">O746/L746</f>
        <v>1.3989063376332</v>
      </c>
      <c r="Y746" s="92" t="str">
        <f aca="false">IFERROR(VLOOKUP(E:E,'Item Data Support Sheet'!A:J,6,0),0)</f>
        <v>FO152</v>
      </c>
      <c r="Z746" s="93" t="n">
        <f aca="false">IFERROR(VLOOKUP(E:E,'Item Data Support Sheet'!A:O,4,0),0)</f>
        <v>0</v>
      </c>
      <c r="AA746" s="93" t="n">
        <f aca="false">IFERROR(((N746)*(Z746/1000))+P746,0)</f>
        <v>0</v>
      </c>
      <c r="AB746" s="94" t="str">
        <f aca="false">IFERROR((O746*(Z746/1000)/(AA746))," ")</f>
        <v> </v>
      </c>
      <c r="AC746" s="95" t="n">
        <f aca="false">IFERROR((T746)/((T746)+O746),0)</f>
        <v>0.00627490039840637</v>
      </c>
      <c r="AD746" s="96" t="n">
        <f aca="false">IFERROR(Q746/(Q746+N746),0)</f>
        <v>0</v>
      </c>
      <c r="AE746" s="91" t="n">
        <f aca="false">(N746-T746)/N746</f>
        <v>0.993725099601594</v>
      </c>
      <c r="AF746" s="97" t="n">
        <f aca="false">BR746</f>
        <v>0.666666666666667</v>
      </c>
      <c r="AG746" s="98" t="n">
        <f aca="false">K746-AF746</f>
        <v>3.83333333333333</v>
      </c>
      <c r="AH746" s="99" t="n">
        <f aca="false">IFERROR(AG746/K746," ")</f>
        <v>0.851851851851852</v>
      </c>
      <c r="AI746" s="100" t="n">
        <f aca="false">IFERROR(O746/K746,0)</f>
        <v>2217.11111111111</v>
      </c>
      <c r="AJ746" s="101" t="n">
        <f aca="false">VLOOKUP(D746,'Standard Cycle time'!C:D,2,0)</f>
        <v>4</v>
      </c>
      <c r="AK746" s="101" t="n">
        <f aca="false">AG746*V746*3600/O746</f>
        <v>2.76636263405833</v>
      </c>
      <c r="AL746" s="102" t="n">
        <f aca="false">AJ746/AK746</f>
        <v>1.44594202898551</v>
      </c>
      <c r="AM746" s="99" t="n">
        <f aca="false">AE746*AL746*AH746</f>
        <v>1.22399942206483</v>
      </c>
      <c r="AN746" s="103" t="s">
        <v>1450</v>
      </c>
      <c r="AO746" s="112"/>
      <c r="AP746" s="105" t="n">
        <v>40</v>
      </c>
      <c r="AQ746" s="105" t="n">
        <v>0</v>
      </c>
      <c r="AR746" s="105" t="n">
        <v>0</v>
      </c>
      <c r="AS746" s="105" t="n">
        <v>0</v>
      </c>
      <c r="AT746" s="105" t="n">
        <v>0</v>
      </c>
      <c r="AU746" s="105" t="n">
        <v>0</v>
      </c>
      <c r="AV746" s="105" t="n">
        <v>0</v>
      </c>
      <c r="AW746" s="105" t="n">
        <v>0</v>
      </c>
      <c r="AX746" s="105" t="n">
        <v>0</v>
      </c>
      <c r="AY746" s="105" t="n">
        <v>0</v>
      </c>
      <c r="AZ746" s="105" t="n">
        <v>0</v>
      </c>
      <c r="BA746" s="105" t="n">
        <v>0</v>
      </c>
      <c r="BB746" s="105" t="n">
        <v>0</v>
      </c>
      <c r="BC746" s="105" t="n">
        <v>0</v>
      </c>
      <c r="BD746" s="105" t="n">
        <v>0</v>
      </c>
      <c r="BE746" s="105" t="n">
        <v>0</v>
      </c>
      <c r="BF746" s="105" t="n">
        <v>0</v>
      </c>
      <c r="BG746" s="105" t="n">
        <v>0</v>
      </c>
      <c r="BH746" s="105" t="n">
        <v>0</v>
      </c>
      <c r="BI746" s="105" t="n">
        <v>0</v>
      </c>
      <c r="BJ746" s="105" t="n">
        <v>0</v>
      </c>
      <c r="BK746" s="105" t="n">
        <v>0</v>
      </c>
      <c r="BL746" s="105" t="n">
        <v>0</v>
      </c>
      <c r="BM746" s="105" t="n">
        <v>0</v>
      </c>
      <c r="BN746" s="105" t="n">
        <v>0</v>
      </c>
      <c r="BO746" s="105" t="n">
        <v>0</v>
      </c>
      <c r="BP746" s="105" t="n">
        <v>0</v>
      </c>
      <c r="BQ746" s="105" t="n">
        <v>0</v>
      </c>
      <c r="BR746" s="106" t="n">
        <v>0.666666666666667</v>
      </c>
      <c r="BS746" s="106" t="n">
        <v>0.677777777777778</v>
      </c>
      <c r="BT746" s="107"/>
      <c r="BU746" s="107"/>
      <c r="BV746" s="107"/>
      <c r="BW746" s="107"/>
      <c r="BX746" s="107"/>
      <c r="BY746" s="107"/>
      <c r="BZ746" s="107"/>
      <c r="CA746" s="107"/>
      <c r="CB746" s="107"/>
      <c r="CC746" s="107"/>
      <c r="CD746" s="107"/>
      <c r="CE746" s="107"/>
      <c r="CF746" s="107"/>
      <c r="CG746" s="107"/>
      <c r="CH746" s="107"/>
      <c r="CI746" s="107"/>
      <c r="CJ746" s="107"/>
      <c r="CK746" s="107"/>
      <c r="CL746" s="107"/>
      <c r="CM746" s="107"/>
      <c r="CN746" s="107"/>
      <c r="CO746" s="107"/>
      <c r="CP746" s="107"/>
      <c r="CQ746" s="107"/>
      <c r="CR746" s="107"/>
      <c r="CS746" s="107"/>
      <c r="CT746" s="107"/>
      <c r="CU746" s="107"/>
      <c r="CV746" s="107"/>
    </row>
    <row r="747" customFormat="false" ht="14.9" hidden="false" customHeight="false" outlineLevel="0" collapsed="false">
      <c r="A747" s="74" t="n">
        <f aca="false">MONTH(B747)</f>
        <v>9</v>
      </c>
      <c r="B747" s="135" t="n">
        <v>44468</v>
      </c>
      <c r="C747" s="128" t="s">
        <v>63</v>
      </c>
      <c r="D747" s="77" t="str">
        <f aca="false">IFERROR(VLOOKUP(E:E,'Item Data Support Sheet'!A:O,7,0),"")</f>
        <v>NIPPLE PUNCH INSPECTED</v>
      </c>
      <c r="E747" s="80" t="s">
        <v>688</v>
      </c>
      <c r="F747" s="122"/>
      <c r="G747" s="137"/>
      <c r="H747" s="79" t="str">
        <f aca="false">IFERROR(VLOOKUP(E:E,'Item Data Support Sheet'!A:O,2,0),"")</f>
        <v>NIPPLE S TYPE L SIZE PUNCHED INSPECTED</v>
      </c>
      <c r="I747" s="80" t="s">
        <v>1451</v>
      </c>
      <c r="J747" s="80" t="s">
        <v>815</v>
      </c>
      <c r="K747" s="81" t="n">
        <v>4</v>
      </c>
      <c r="L747" s="124" t="n">
        <v>7000</v>
      </c>
      <c r="M747" s="83" t="n">
        <f aca="false">IFERROR(L747/K747,0)</f>
        <v>1750</v>
      </c>
      <c r="N747" s="84" t="n">
        <f aca="false">+O747+Q747+T747+U747</f>
        <v>10350</v>
      </c>
      <c r="O747" s="85" t="n">
        <v>10330</v>
      </c>
      <c r="P747" s="86" t="n">
        <v>0</v>
      </c>
      <c r="Q747" s="86" t="n">
        <v>0</v>
      </c>
      <c r="R747" s="132" t="n">
        <v>0</v>
      </c>
      <c r="S747" s="128" t="n">
        <v>0</v>
      </c>
      <c r="T747" s="132" t="n">
        <v>20</v>
      </c>
      <c r="U747" s="128" t="n">
        <v>0</v>
      </c>
      <c r="V747" s="128" t="n">
        <v>2</v>
      </c>
      <c r="W747" s="90" t="n">
        <f aca="false">IFERROR(O747/V747,0)</f>
        <v>5165</v>
      </c>
      <c r="X747" s="91" t="n">
        <f aca="false">O747/L747</f>
        <v>1.47571428571429</v>
      </c>
      <c r="Y747" s="92" t="str">
        <f aca="false">IFERROR(VLOOKUP(E:E,'Item Data Support Sheet'!A:J,6,0),0)</f>
        <v>FO106</v>
      </c>
      <c r="Z747" s="93" t="n">
        <f aca="false">IFERROR(VLOOKUP(E:E,'Item Data Support Sheet'!A:O,4,0),0)</f>
        <v>0</v>
      </c>
      <c r="AA747" s="93" t="n">
        <f aca="false">IFERROR(((N747)*(Z747/1000))+P747,0)</f>
        <v>0</v>
      </c>
      <c r="AB747" s="94" t="str">
        <f aca="false">IFERROR((O747*(Z747/1000)/(AA747))," ")</f>
        <v> </v>
      </c>
      <c r="AC747" s="95" t="n">
        <f aca="false">IFERROR((T747)/((T747)+O747),0)</f>
        <v>0.00193236714975845</v>
      </c>
      <c r="AD747" s="96" t="n">
        <f aca="false">IFERROR(Q747/(Q747+N747),0)</f>
        <v>0</v>
      </c>
      <c r="AE747" s="91" t="n">
        <f aca="false">(N747-T747)/N747</f>
        <v>0.998067632850242</v>
      </c>
      <c r="AF747" s="97" t="n">
        <f aca="false">BR747</f>
        <v>0.166666666666667</v>
      </c>
      <c r="AG747" s="98" t="n">
        <f aca="false">K747-AF747</f>
        <v>3.83333333333333</v>
      </c>
      <c r="AH747" s="99" t="n">
        <f aca="false">IFERROR(AG747/K747," ")</f>
        <v>0.958333333333333</v>
      </c>
      <c r="AI747" s="100" t="n">
        <f aca="false">IFERROR(O747/K747,0)</f>
        <v>2582.5</v>
      </c>
      <c r="AJ747" s="101" t="n">
        <f aca="false">VLOOKUP(D747,'Standard Cycle time'!C:D,2,0)</f>
        <v>4</v>
      </c>
      <c r="AK747" s="101" t="n">
        <f aca="false">AG747*V747*3600/O747</f>
        <v>2.67182962245886</v>
      </c>
      <c r="AL747" s="102" t="n">
        <f aca="false">AJ747/AK747</f>
        <v>1.49710144927536</v>
      </c>
      <c r="AM747" s="99" t="n">
        <f aca="false">AE747*AL747*AH747</f>
        <v>1.43194981213097</v>
      </c>
      <c r="AN747" s="103" t="s">
        <v>1452</v>
      </c>
      <c r="AO747" s="112"/>
      <c r="AP747" s="105" t="n">
        <v>10</v>
      </c>
      <c r="AQ747" s="105" t="n">
        <v>0</v>
      </c>
      <c r="AR747" s="105" t="n">
        <v>0</v>
      </c>
      <c r="AS747" s="105" t="n">
        <v>0</v>
      </c>
      <c r="AT747" s="105" t="n">
        <v>0</v>
      </c>
      <c r="AU747" s="105" t="n">
        <v>0</v>
      </c>
      <c r="AV747" s="105" t="n">
        <v>0</v>
      </c>
      <c r="AW747" s="105" t="n">
        <v>0</v>
      </c>
      <c r="AX747" s="105" t="n">
        <v>0</v>
      </c>
      <c r="AY747" s="105" t="n">
        <v>0</v>
      </c>
      <c r="AZ747" s="105" t="n">
        <v>0</v>
      </c>
      <c r="BA747" s="105" t="n">
        <v>0</v>
      </c>
      <c r="BB747" s="105" t="n">
        <v>0</v>
      </c>
      <c r="BC747" s="105" t="n">
        <v>0</v>
      </c>
      <c r="BD747" s="105" t="n">
        <v>0</v>
      </c>
      <c r="BE747" s="105" t="n">
        <v>0</v>
      </c>
      <c r="BF747" s="105" t="n">
        <v>0</v>
      </c>
      <c r="BG747" s="105" t="n">
        <v>0</v>
      </c>
      <c r="BH747" s="105" t="n">
        <v>0</v>
      </c>
      <c r="BI747" s="105" t="n">
        <v>0</v>
      </c>
      <c r="BJ747" s="105" t="n">
        <v>0</v>
      </c>
      <c r="BK747" s="105" t="n">
        <v>0</v>
      </c>
      <c r="BL747" s="105" t="n">
        <v>0</v>
      </c>
      <c r="BM747" s="105" t="n">
        <v>0</v>
      </c>
      <c r="BN747" s="105" t="n">
        <v>0</v>
      </c>
      <c r="BO747" s="105" t="n">
        <v>0</v>
      </c>
      <c r="BP747" s="105" t="n">
        <v>0</v>
      </c>
      <c r="BQ747" s="105" t="n">
        <v>0</v>
      </c>
      <c r="BR747" s="106" t="n">
        <v>0.166666666666667</v>
      </c>
      <c r="BS747" s="106" t="n">
        <v>0.169444444444444</v>
      </c>
      <c r="BT747" s="107"/>
      <c r="BU747" s="107"/>
      <c r="BV747" s="107"/>
      <c r="BW747" s="107"/>
      <c r="BX747" s="107"/>
      <c r="BY747" s="107"/>
      <c r="BZ747" s="107"/>
      <c r="CA747" s="107"/>
      <c r="CB747" s="107"/>
      <c r="CC747" s="107"/>
      <c r="CD747" s="107"/>
      <c r="CE747" s="107"/>
      <c r="CF747" s="107"/>
      <c r="CG747" s="107"/>
      <c r="CH747" s="107"/>
      <c r="CI747" s="107"/>
      <c r="CJ747" s="107"/>
      <c r="CK747" s="107"/>
      <c r="CL747" s="107"/>
      <c r="CM747" s="107"/>
      <c r="CN747" s="107"/>
      <c r="CO747" s="107"/>
      <c r="CP747" s="107"/>
      <c r="CQ747" s="107"/>
      <c r="CR747" s="107"/>
      <c r="CS747" s="107"/>
      <c r="CT747" s="107"/>
      <c r="CU747" s="107"/>
      <c r="CV747" s="107"/>
    </row>
    <row r="748" customFormat="false" ht="14.9" hidden="false" customHeight="false" outlineLevel="0" collapsed="false">
      <c r="A748" s="74" t="n">
        <f aca="false">MONTH(B748)</f>
        <v>9</v>
      </c>
      <c r="B748" s="135" t="n">
        <v>44468</v>
      </c>
      <c r="C748" s="128" t="s">
        <v>63</v>
      </c>
      <c r="D748" s="77" t="str">
        <f aca="false">IFERROR(VLOOKUP(E:E,'Item Data Support Sheet'!A:O,7,0),"")</f>
        <v>BOTTLE PRINTED</v>
      </c>
      <c r="E748" s="80" t="s">
        <v>65</v>
      </c>
      <c r="F748" s="122"/>
      <c r="G748" s="137"/>
      <c r="H748" s="79" t="str">
        <f aca="false">IFERROR(VLOOKUP(E:E,'Item Data Support Sheet'!A:O,2,0),"")</f>
        <v>KPP 240 ML BOTTLE PRINTED</v>
      </c>
      <c r="I748" s="80" t="s">
        <v>1453</v>
      </c>
      <c r="J748" s="80" t="s">
        <v>815</v>
      </c>
      <c r="K748" s="81" t="n">
        <v>8.5</v>
      </c>
      <c r="L748" s="124" t="n">
        <v>5100</v>
      </c>
      <c r="M748" s="83" t="n">
        <f aca="false">IFERROR(L748/K748,0)</f>
        <v>600</v>
      </c>
      <c r="N748" s="84" t="n">
        <f aca="false">+O748+Q748+T748+U748</f>
        <v>4211</v>
      </c>
      <c r="O748" s="85" t="n">
        <v>4170</v>
      </c>
      <c r="P748" s="86" t="n">
        <v>0</v>
      </c>
      <c r="Q748" s="86" t="n">
        <v>0</v>
      </c>
      <c r="R748" s="132" t="n">
        <v>46</v>
      </c>
      <c r="S748" s="128" t="n">
        <v>0</v>
      </c>
      <c r="T748" s="132" t="n">
        <v>41</v>
      </c>
      <c r="U748" s="128" t="n">
        <v>0</v>
      </c>
      <c r="V748" s="128" t="n">
        <v>5</v>
      </c>
      <c r="W748" s="90" t="n">
        <f aca="false">IFERROR(O748/V748,0)</f>
        <v>834</v>
      </c>
      <c r="X748" s="91" t="n">
        <f aca="false">O748/L748</f>
        <v>0.817647058823529</v>
      </c>
      <c r="Y748" s="92" t="str">
        <f aca="false">IFERROR(VLOOKUP(E:E,'Item Data Support Sheet'!A:J,6,0),0)</f>
        <v>FO003</v>
      </c>
      <c r="Z748" s="93" t="n">
        <f aca="false">IFERROR(VLOOKUP(E:E,'Item Data Support Sheet'!A:O,4,0),0)</f>
        <v>0</v>
      </c>
      <c r="AA748" s="93" t="n">
        <f aca="false">IFERROR(((N748)*(Z748/1000))+P748,0)</f>
        <v>0</v>
      </c>
      <c r="AB748" s="94" t="str">
        <f aca="false">IFERROR((O748*(Z748/1000)/(AA748))," ")</f>
        <v> </v>
      </c>
      <c r="AC748" s="95" t="n">
        <f aca="false">IFERROR((T748)/((T748)+O748),0)</f>
        <v>0.00973640465447637</v>
      </c>
      <c r="AD748" s="96" t="n">
        <f aca="false">IFERROR(Q748/(Q748+N748),0)</f>
        <v>0</v>
      </c>
      <c r="AE748" s="91" t="n">
        <f aca="false">(N748-T748)/N748</f>
        <v>0.990263595345524</v>
      </c>
      <c r="AF748" s="97" t="n">
        <f aca="false">BR748</f>
        <v>0.833333333333333</v>
      </c>
      <c r="AG748" s="98" t="n">
        <f aca="false">K748-AF748</f>
        <v>7.66666666666667</v>
      </c>
      <c r="AH748" s="99" t="n">
        <f aca="false">IFERROR(AG748/K748," ")</f>
        <v>0.901960784313726</v>
      </c>
      <c r="AI748" s="100" t="n">
        <f aca="false">IFERROR(O748/K748,0)</f>
        <v>490.588235294118</v>
      </c>
      <c r="AJ748" s="101" t="n">
        <f aca="false">VLOOKUP(D748,'Standard Cycle time'!C:D,2,0)</f>
        <v>32.4</v>
      </c>
      <c r="AK748" s="101" t="n">
        <f aca="false">AG748*V748*3600/O748</f>
        <v>33.0935251798561</v>
      </c>
      <c r="AL748" s="102" t="n">
        <f aca="false">AJ748/AK748</f>
        <v>0.979043478260869</v>
      </c>
      <c r="AM748" s="99" t="n">
        <f aca="false">AE748*AL748*AH748</f>
        <v>0.874461005489824</v>
      </c>
      <c r="AN748" s="103" t="s">
        <v>869</v>
      </c>
      <c r="AO748" s="112"/>
      <c r="AP748" s="105" t="n">
        <v>50</v>
      </c>
      <c r="AQ748" s="105" t="n">
        <v>0</v>
      </c>
      <c r="AR748" s="105" t="n">
        <v>0</v>
      </c>
      <c r="AS748" s="105" t="n">
        <v>0</v>
      </c>
      <c r="AT748" s="105" t="n">
        <v>0</v>
      </c>
      <c r="AU748" s="105" t="n">
        <v>0</v>
      </c>
      <c r="AV748" s="105" t="n">
        <v>0</v>
      </c>
      <c r="AW748" s="105" t="n">
        <v>0</v>
      </c>
      <c r="AX748" s="105" t="n">
        <v>0</v>
      </c>
      <c r="AY748" s="105" t="n">
        <v>0</v>
      </c>
      <c r="AZ748" s="105" t="n">
        <v>0</v>
      </c>
      <c r="BA748" s="105" t="n">
        <v>0</v>
      </c>
      <c r="BB748" s="105" t="n">
        <v>0</v>
      </c>
      <c r="BC748" s="105" t="n">
        <v>0</v>
      </c>
      <c r="BD748" s="105" t="n">
        <v>0</v>
      </c>
      <c r="BE748" s="105" t="n">
        <v>0</v>
      </c>
      <c r="BF748" s="105" t="n">
        <v>0</v>
      </c>
      <c r="BG748" s="105" t="n">
        <v>0</v>
      </c>
      <c r="BH748" s="105" t="n">
        <v>0</v>
      </c>
      <c r="BI748" s="105" t="n">
        <v>0</v>
      </c>
      <c r="BJ748" s="105" t="n">
        <v>0</v>
      </c>
      <c r="BK748" s="105" t="n">
        <v>0</v>
      </c>
      <c r="BL748" s="105" t="n">
        <v>0</v>
      </c>
      <c r="BM748" s="105" t="n">
        <v>0</v>
      </c>
      <c r="BN748" s="105" t="n">
        <v>0</v>
      </c>
      <c r="BO748" s="105" t="n">
        <v>0</v>
      </c>
      <c r="BP748" s="105" t="n">
        <v>0</v>
      </c>
      <c r="BQ748" s="105" t="n">
        <v>0</v>
      </c>
      <c r="BR748" s="106" t="n">
        <v>0.833333333333333</v>
      </c>
      <c r="BS748" s="106" t="n">
        <v>0.847222222222222</v>
      </c>
      <c r="BT748" s="107"/>
      <c r="BU748" s="107"/>
      <c r="BV748" s="107"/>
      <c r="BW748" s="107"/>
      <c r="BX748" s="107"/>
      <c r="BY748" s="107"/>
      <c r="BZ748" s="107"/>
      <c r="CA748" s="107"/>
      <c r="CB748" s="107"/>
      <c r="CC748" s="107"/>
      <c r="CD748" s="107"/>
      <c r="CE748" s="107"/>
      <c r="CF748" s="107"/>
      <c r="CG748" s="107"/>
      <c r="CH748" s="107"/>
      <c r="CI748" s="107"/>
      <c r="CJ748" s="107"/>
      <c r="CK748" s="107"/>
      <c r="CL748" s="107"/>
      <c r="CM748" s="107"/>
      <c r="CN748" s="107"/>
      <c r="CO748" s="107"/>
      <c r="CP748" s="107"/>
      <c r="CQ748" s="107"/>
      <c r="CR748" s="107"/>
      <c r="CS748" s="107"/>
      <c r="CT748" s="107"/>
      <c r="CU748" s="107"/>
      <c r="CV748" s="107"/>
    </row>
    <row r="749" customFormat="false" ht="14.9" hidden="false" customHeight="false" outlineLevel="0" collapsed="false">
      <c r="A749" s="74" t="n">
        <f aca="false">MONTH(B749)</f>
        <v>9</v>
      </c>
      <c r="B749" s="135" t="n">
        <v>44468</v>
      </c>
      <c r="C749" s="128" t="s">
        <v>70</v>
      </c>
      <c r="D749" s="77" t="str">
        <f aca="false">IFERROR(VLOOKUP(E:E,'Item Data Support Sheet'!A:O,7,0),"")</f>
        <v>NIPPLE LASER MARKING</v>
      </c>
      <c r="E749" s="80" t="s">
        <v>600</v>
      </c>
      <c r="F749" s="122"/>
      <c r="G749" s="137" t="s">
        <v>517</v>
      </c>
      <c r="H749" s="79" t="str">
        <f aca="false">IFERROR(VLOOKUP(E:E,'Item Data Support Sheet'!A:O,2,0),"")</f>
        <v>NIPPLE S TYPE LL SIZE LASER MARKED</v>
      </c>
      <c r="I749" s="80" t="s">
        <v>1454</v>
      </c>
      <c r="J749" s="80" t="s">
        <v>815</v>
      </c>
      <c r="K749" s="81" t="n">
        <v>3</v>
      </c>
      <c r="L749" s="124" t="n">
        <v>2500</v>
      </c>
      <c r="M749" s="83" t="n">
        <f aca="false">IFERROR(L749/K749,0)</f>
        <v>833.333333333333</v>
      </c>
      <c r="N749" s="84" t="n">
        <f aca="false">+O749+Q749+T749+U749</f>
        <v>2500</v>
      </c>
      <c r="O749" s="85" t="n">
        <v>2500</v>
      </c>
      <c r="P749" s="86" t="n">
        <v>0</v>
      </c>
      <c r="Q749" s="86" t="n">
        <v>0</v>
      </c>
      <c r="R749" s="132" t="n">
        <v>0</v>
      </c>
      <c r="S749" s="128" t="n">
        <v>0</v>
      </c>
      <c r="T749" s="132" t="n">
        <v>0</v>
      </c>
      <c r="U749" s="128" t="n">
        <v>0</v>
      </c>
      <c r="V749" s="128" t="n">
        <v>1</v>
      </c>
      <c r="W749" s="90" t="n">
        <f aca="false">IFERROR(O749/V749,0)</f>
        <v>2500</v>
      </c>
      <c r="X749" s="91" t="n">
        <f aca="false">O749/L749</f>
        <v>1</v>
      </c>
      <c r="Y749" s="92" t="str">
        <f aca="false">IFERROR(VLOOKUP(E:E,'Item Data Support Sheet'!A:J,6,0),0)</f>
        <v>FO151</v>
      </c>
      <c r="Z749" s="93" t="n">
        <f aca="false">IFERROR(VLOOKUP(E:E,'Item Data Support Sheet'!A:O,4,0),0)</f>
        <v>0</v>
      </c>
      <c r="AA749" s="93" t="n">
        <f aca="false">IFERROR(((N749)*(Z749/1000))+P749,0)</f>
        <v>0</v>
      </c>
      <c r="AB749" s="94" t="str">
        <f aca="false">IFERROR((O749*(Z749/1000)/(AA749))," ")</f>
        <v> </v>
      </c>
      <c r="AC749" s="95" t="n">
        <f aca="false">IFERROR((T749)/((T749)+O749),0)</f>
        <v>0</v>
      </c>
      <c r="AD749" s="96" t="n">
        <f aca="false">IFERROR(Q749/(Q749+N749),0)</f>
        <v>0</v>
      </c>
      <c r="AE749" s="91" t="n">
        <f aca="false">(N749-T749)/N749</f>
        <v>1</v>
      </c>
      <c r="AF749" s="97" t="n">
        <f aca="false">BR749</f>
        <v>0.666666666666667</v>
      </c>
      <c r="AG749" s="98" t="n">
        <f aca="false">K749-AF749</f>
        <v>2.33333333333333</v>
      </c>
      <c r="AH749" s="99" t="n">
        <f aca="false">IFERROR(AG749/K749," ")</f>
        <v>0.777777777777778</v>
      </c>
      <c r="AI749" s="100" t="n">
        <f aca="false">IFERROR(O749/K749,0)</f>
        <v>833.333333333333</v>
      </c>
      <c r="AJ749" s="101" t="n">
        <f aca="false">VLOOKUP(D749,'Standard Cycle time'!C:D,2,0)</f>
        <v>3.5</v>
      </c>
      <c r="AK749" s="101" t="n">
        <f aca="false">AG749*V749*3600/O749</f>
        <v>3.36</v>
      </c>
      <c r="AL749" s="102" t="n">
        <f aca="false">AJ749/AK749</f>
        <v>1.04166666666667</v>
      </c>
      <c r="AM749" s="99" t="n">
        <f aca="false">AE749*AL749*AH749</f>
        <v>0.810185185185185</v>
      </c>
      <c r="AN749" s="103" t="s">
        <v>1455</v>
      </c>
      <c r="AO749" s="112"/>
      <c r="AP749" s="105" t="n">
        <v>40</v>
      </c>
      <c r="AQ749" s="105" t="n">
        <v>0</v>
      </c>
      <c r="AR749" s="105" t="n">
        <v>0</v>
      </c>
      <c r="AS749" s="105" t="n">
        <v>0</v>
      </c>
      <c r="AT749" s="105" t="n">
        <v>0</v>
      </c>
      <c r="AU749" s="105" t="n">
        <v>0</v>
      </c>
      <c r="AV749" s="105" t="n">
        <v>0</v>
      </c>
      <c r="AW749" s="105" t="n">
        <v>0</v>
      </c>
      <c r="AX749" s="105" t="n">
        <v>0</v>
      </c>
      <c r="AY749" s="105" t="n">
        <v>0</v>
      </c>
      <c r="AZ749" s="105" t="n">
        <v>0</v>
      </c>
      <c r="BA749" s="105" t="n">
        <v>0</v>
      </c>
      <c r="BB749" s="105" t="n">
        <v>0</v>
      </c>
      <c r="BC749" s="105" t="n">
        <v>0</v>
      </c>
      <c r="BD749" s="105" t="n">
        <v>0</v>
      </c>
      <c r="BE749" s="105" t="n">
        <v>0</v>
      </c>
      <c r="BF749" s="105" t="n">
        <v>0</v>
      </c>
      <c r="BG749" s="105" t="n">
        <v>0</v>
      </c>
      <c r="BH749" s="105" t="n">
        <v>0</v>
      </c>
      <c r="BI749" s="105" t="n">
        <v>0</v>
      </c>
      <c r="BJ749" s="105" t="n">
        <v>0</v>
      </c>
      <c r="BK749" s="105" t="n">
        <v>0</v>
      </c>
      <c r="BL749" s="105" t="n">
        <v>0</v>
      </c>
      <c r="BM749" s="105" t="n">
        <v>0</v>
      </c>
      <c r="BN749" s="105" t="n">
        <v>0</v>
      </c>
      <c r="BO749" s="105" t="n">
        <v>0</v>
      </c>
      <c r="BP749" s="105" t="n">
        <v>0</v>
      </c>
      <c r="BQ749" s="105" t="n">
        <v>0</v>
      </c>
      <c r="BR749" s="106" t="n">
        <v>0.666666666666667</v>
      </c>
      <c r="BS749" s="106" t="n">
        <v>0.677777777777778</v>
      </c>
      <c r="BT749" s="107"/>
      <c r="BU749" s="107"/>
      <c r="BV749" s="107"/>
      <c r="BW749" s="107"/>
      <c r="BX749" s="107"/>
      <c r="BY749" s="107"/>
      <c r="BZ749" s="107"/>
      <c r="CA749" s="107"/>
      <c r="CB749" s="107"/>
      <c r="CC749" s="107"/>
      <c r="CD749" s="107"/>
      <c r="CE749" s="107"/>
      <c r="CF749" s="107"/>
      <c r="CG749" s="107"/>
      <c r="CH749" s="107"/>
      <c r="CI749" s="107"/>
      <c r="CJ749" s="107"/>
      <c r="CK749" s="107"/>
      <c r="CL749" s="107"/>
      <c r="CM749" s="107"/>
      <c r="CN749" s="107"/>
      <c r="CO749" s="107"/>
      <c r="CP749" s="107"/>
      <c r="CQ749" s="107"/>
      <c r="CR749" s="107"/>
      <c r="CS749" s="107"/>
      <c r="CT749" s="107"/>
      <c r="CU749" s="107"/>
      <c r="CV749" s="107"/>
    </row>
    <row r="750" customFormat="false" ht="14.9" hidden="false" customHeight="false" outlineLevel="0" collapsed="false">
      <c r="A750" s="74" t="n">
        <f aca="false">MONTH(B750)</f>
        <v>9</v>
      </c>
      <c r="B750" s="135" t="n">
        <v>44468</v>
      </c>
      <c r="C750" s="128" t="s">
        <v>70</v>
      </c>
      <c r="D750" s="77" t="str">
        <f aca="false">IFERROR(VLOOKUP(E:E,'Item Data Support Sheet'!A:O,7,0),"")</f>
        <v>NIPPLE LASER MARKING</v>
      </c>
      <c r="E750" s="80" t="s">
        <v>885</v>
      </c>
      <c r="F750" s="122"/>
      <c r="G750" s="137" t="s">
        <v>517</v>
      </c>
      <c r="H750" s="79" t="str">
        <f aca="false">IFERROR(VLOOKUP(E:E,'Item Data Support Sheet'!A:O,2,0),"")</f>
        <v>NIPPLE S TYPE Y SIZE PUNCHED LASER MARKED</v>
      </c>
      <c r="I750" s="80"/>
      <c r="J750" s="80" t="s">
        <v>815</v>
      </c>
      <c r="K750" s="81" t="n">
        <v>5</v>
      </c>
      <c r="L750" s="124" t="n">
        <v>4500</v>
      </c>
      <c r="M750" s="83" t="n">
        <f aca="false">IFERROR(L750/K750,0)</f>
        <v>900</v>
      </c>
      <c r="N750" s="84" t="n">
        <f aca="false">+O750+Q750+T750+U750</f>
        <v>4000</v>
      </c>
      <c r="O750" s="85" t="n">
        <v>4000</v>
      </c>
      <c r="P750" s="86" t="n">
        <v>0</v>
      </c>
      <c r="Q750" s="86" t="n">
        <v>0</v>
      </c>
      <c r="R750" s="132" t="n">
        <v>0</v>
      </c>
      <c r="S750" s="128" t="n">
        <v>0</v>
      </c>
      <c r="T750" s="132" t="n">
        <v>0</v>
      </c>
      <c r="U750" s="128" t="n">
        <v>0</v>
      </c>
      <c r="V750" s="128" t="n">
        <v>1</v>
      </c>
      <c r="W750" s="90" t="n">
        <f aca="false">IFERROR(O750/V750,0)</f>
        <v>4000</v>
      </c>
      <c r="X750" s="91" t="n">
        <f aca="false">O750/L750</f>
        <v>0.888888888888889</v>
      </c>
      <c r="Y750" s="92" t="str">
        <f aca="false">IFERROR(VLOOKUP(E:E,'Item Data Support Sheet'!A:J,6,0),0)</f>
        <v>FO022</v>
      </c>
      <c r="Z750" s="93" t="n">
        <f aca="false">IFERROR(VLOOKUP(E:E,'Item Data Support Sheet'!A:O,4,0),0)</f>
        <v>0</v>
      </c>
      <c r="AA750" s="93" t="n">
        <f aca="false">IFERROR(((N750)*(Z750/1000))+P750,0)</f>
        <v>0</v>
      </c>
      <c r="AB750" s="94" t="str">
        <f aca="false">IFERROR((O750*(Z750/1000)/(AA750))," ")</f>
        <v> </v>
      </c>
      <c r="AC750" s="95" t="n">
        <f aca="false">IFERROR((T750)/((T750)+O750),0)</f>
        <v>0</v>
      </c>
      <c r="AD750" s="96" t="n">
        <f aca="false">IFERROR(Q750/(Q750+N750),0)</f>
        <v>0</v>
      </c>
      <c r="AE750" s="91" t="n">
        <f aca="false">(N750-T750)/N750</f>
        <v>1</v>
      </c>
      <c r="AF750" s="97" t="n">
        <f aca="false">BR750</f>
        <v>0.666666666666667</v>
      </c>
      <c r="AG750" s="98" t="n">
        <f aca="false">K750-AF750</f>
        <v>4.33333333333333</v>
      </c>
      <c r="AH750" s="99" t="n">
        <f aca="false">IFERROR(AG750/K750," ")</f>
        <v>0.866666666666667</v>
      </c>
      <c r="AI750" s="100" t="n">
        <f aca="false">IFERROR(O750/K750,0)</f>
        <v>800</v>
      </c>
      <c r="AJ750" s="101" t="n">
        <f aca="false">VLOOKUP(D750,'Standard Cycle time'!C:D,2,0)</f>
        <v>3.5</v>
      </c>
      <c r="AK750" s="101" t="n">
        <f aca="false">AG750*V750*3600/O750</f>
        <v>3.9</v>
      </c>
      <c r="AL750" s="102" t="n">
        <f aca="false">AJ750/AK750</f>
        <v>0.897435897435897</v>
      </c>
      <c r="AM750" s="99" t="n">
        <f aca="false">AE750*AL750*AH750</f>
        <v>0.777777777777778</v>
      </c>
      <c r="AN750" s="103" t="n">
        <v>3762</v>
      </c>
      <c r="AO750" s="112"/>
      <c r="AP750" s="105" t="n">
        <v>40</v>
      </c>
      <c r="AQ750" s="105" t="n">
        <v>0</v>
      </c>
      <c r="AR750" s="105" t="n">
        <v>0</v>
      </c>
      <c r="AS750" s="105" t="n">
        <v>0</v>
      </c>
      <c r="AT750" s="105" t="n">
        <v>0</v>
      </c>
      <c r="AU750" s="105" t="n">
        <v>0</v>
      </c>
      <c r="AV750" s="105" t="n">
        <v>0</v>
      </c>
      <c r="AW750" s="105" t="n">
        <v>0</v>
      </c>
      <c r="AX750" s="105" t="n">
        <v>0</v>
      </c>
      <c r="AY750" s="105" t="n">
        <v>0</v>
      </c>
      <c r="AZ750" s="105" t="n">
        <v>0</v>
      </c>
      <c r="BA750" s="105" t="n">
        <v>0</v>
      </c>
      <c r="BB750" s="105" t="n">
        <v>0</v>
      </c>
      <c r="BC750" s="105" t="n">
        <v>0</v>
      </c>
      <c r="BD750" s="105" t="n">
        <v>0</v>
      </c>
      <c r="BE750" s="105" t="n">
        <v>0</v>
      </c>
      <c r="BF750" s="105" t="n">
        <v>0</v>
      </c>
      <c r="BG750" s="105" t="n">
        <v>0</v>
      </c>
      <c r="BH750" s="105" t="n">
        <v>0</v>
      </c>
      <c r="BI750" s="105" t="n">
        <v>0</v>
      </c>
      <c r="BJ750" s="105" t="n">
        <v>0</v>
      </c>
      <c r="BK750" s="105" t="n">
        <v>0</v>
      </c>
      <c r="BL750" s="105" t="n">
        <v>0</v>
      </c>
      <c r="BM750" s="105" t="n">
        <v>0</v>
      </c>
      <c r="BN750" s="105" t="n">
        <v>0</v>
      </c>
      <c r="BO750" s="105" t="n">
        <v>0</v>
      </c>
      <c r="BP750" s="105" t="n">
        <v>0</v>
      </c>
      <c r="BQ750" s="105" t="n">
        <v>0</v>
      </c>
      <c r="BR750" s="106" t="n">
        <v>0.666666666666667</v>
      </c>
      <c r="BS750" s="106" t="n">
        <v>0.677777777777778</v>
      </c>
      <c r="BT750" s="107"/>
      <c r="BU750" s="107"/>
      <c r="BV750" s="107"/>
      <c r="BW750" s="107"/>
      <c r="BX750" s="107"/>
      <c r="BY750" s="107"/>
      <c r="BZ750" s="107"/>
      <c r="CA750" s="107"/>
      <c r="CB750" s="107"/>
      <c r="CC750" s="107"/>
      <c r="CD750" s="107"/>
      <c r="CE750" s="107"/>
      <c r="CF750" s="107"/>
      <c r="CG750" s="107"/>
      <c r="CH750" s="107"/>
      <c r="CI750" s="107"/>
      <c r="CJ750" s="107"/>
      <c r="CK750" s="107"/>
      <c r="CL750" s="107"/>
      <c r="CM750" s="107"/>
      <c r="CN750" s="107"/>
      <c r="CO750" s="107"/>
      <c r="CP750" s="107"/>
      <c r="CQ750" s="107"/>
      <c r="CR750" s="107"/>
      <c r="CS750" s="107"/>
      <c r="CT750" s="107"/>
      <c r="CU750" s="107"/>
      <c r="CV750" s="107"/>
    </row>
    <row r="751" customFormat="false" ht="14.9" hidden="false" customHeight="false" outlineLevel="0" collapsed="false">
      <c r="A751" s="74" t="n">
        <f aca="false">MONTH(B751)</f>
        <v>9</v>
      </c>
      <c r="B751" s="135" t="n">
        <v>44468</v>
      </c>
      <c r="C751" s="128" t="s">
        <v>70</v>
      </c>
      <c r="D751" s="77" t="str">
        <f aca="false">IFERROR(VLOOKUP(E:E,'Item Data Support Sheet'!A:O,7,0),"")</f>
        <v>NIPPLE PUNCH</v>
      </c>
      <c r="E751" s="80" t="s">
        <v>834</v>
      </c>
      <c r="F751" s="122"/>
      <c r="G751" s="137" t="s">
        <v>54</v>
      </c>
      <c r="H751" s="79" t="str">
        <f aca="false">IFERROR(VLOOKUP(E:E,'Item Data Support Sheet'!A:O,2,0),"")</f>
        <v>NIPPLE S TYPE Y SIZE PUNCHED</v>
      </c>
      <c r="I751" s="80" t="s">
        <v>1456</v>
      </c>
      <c r="J751" s="80" t="s">
        <v>815</v>
      </c>
      <c r="K751" s="81" t="n">
        <v>1.2</v>
      </c>
      <c r="L751" s="124" t="n">
        <v>1000</v>
      </c>
      <c r="M751" s="83" t="n">
        <f aca="false">IFERROR(L751/K751,0)</f>
        <v>833.333333333333</v>
      </c>
      <c r="N751" s="84" t="n">
        <f aca="false">+O751+Q751+T751+U751</f>
        <v>1000</v>
      </c>
      <c r="O751" s="85" t="n">
        <v>1000</v>
      </c>
      <c r="P751" s="86" t="n">
        <v>0</v>
      </c>
      <c r="Q751" s="86" t="n">
        <v>0</v>
      </c>
      <c r="R751" s="132" t="n">
        <v>0</v>
      </c>
      <c r="S751" s="128" t="n">
        <v>0</v>
      </c>
      <c r="T751" s="132" t="n">
        <v>0</v>
      </c>
      <c r="U751" s="128" t="n">
        <v>0</v>
      </c>
      <c r="V751" s="128" t="n">
        <v>1</v>
      </c>
      <c r="W751" s="90" t="n">
        <f aca="false">IFERROR(O751/V751,0)</f>
        <v>1000</v>
      </c>
      <c r="X751" s="91" t="n">
        <f aca="false">O751/L751</f>
        <v>1</v>
      </c>
      <c r="Y751" s="92" t="str">
        <f aca="false">IFERROR(VLOOKUP(E:E,'Item Data Support Sheet'!A:J,6,0),0)</f>
        <v>FO018</v>
      </c>
      <c r="Z751" s="93" t="n">
        <f aca="false">IFERROR(VLOOKUP(E:E,'Item Data Support Sheet'!A:O,4,0),0)</f>
        <v>0</v>
      </c>
      <c r="AA751" s="93" t="n">
        <f aca="false">IFERROR(((N751)*(Z751/1000))+P751,0)</f>
        <v>0</v>
      </c>
      <c r="AB751" s="94" t="str">
        <f aca="false">IFERROR((O751*(Z751/1000)/(AA751))," ")</f>
        <v> </v>
      </c>
      <c r="AC751" s="95" t="n">
        <f aca="false">IFERROR((T751)/((T751)+O751),0)</f>
        <v>0</v>
      </c>
      <c r="AD751" s="96" t="n">
        <f aca="false">IFERROR(Q751/(Q751+N751),0)</f>
        <v>0</v>
      </c>
      <c r="AE751" s="91" t="n">
        <f aca="false">(N751-T751)/N751</f>
        <v>1</v>
      </c>
      <c r="AF751" s="97" t="n">
        <f aca="false">BR751</f>
        <v>0</v>
      </c>
      <c r="AG751" s="98" t="n">
        <f aca="false">K751-AF751</f>
        <v>1.2</v>
      </c>
      <c r="AH751" s="99" t="n">
        <f aca="false">IFERROR(AG751/K751," ")</f>
        <v>1</v>
      </c>
      <c r="AI751" s="100" t="n">
        <f aca="false">IFERROR(O751/K751,0)</f>
        <v>833.333333333333</v>
      </c>
      <c r="AJ751" s="101" t="n">
        <f aca="false">VLOOKUP(D751,'Standard Cycle time'!C:D,2,0)</f>
        <v>3.5</v>
      </c>
      <c r="AK751" s="101" t="n">
        <f aca="false">AG751*V751*3600/O751</f>
        <v>4.32</v>
      </c>
      <c r="AL751" s="102" t="n">
        <f aca="false">AJ751/AK751</f>
        <v>0.810185185185185</v>
      </c>
      <c r="AM751" s="99" t="n">
        <f aca="false">AE751*AL751*AH751</f>
        <v>0.810185185185185</v>
      </c>
      <c r="AN751" s="103" t="n">
        <v>3753</v>
      </c>
      <c r="AO751" s="112"/>
      <c r="AP751" s="105" t="n">
        <v>0</v>
      </c>
      <c r="AQ751" s="105" t="n">
        <v>0</v>
      </c>
      <c r="AR751" s="105" t="n">
        <v>0</v>
      </c>
      <c r="AS751" s="105" t="n">
        <v>0</v>
      </c>
      <c r="AT751" s="105" t="n">
        <v>0</v>
      </c>
      <c r="AU751" s="105" t="n">
        <v>0</v>
      </c>
      <c r="AV751" s="105" t="n">
        <v>0</v>
      </c>
      <c r="AW751" s="105" t="n">
        <v>0</v>
      </c>
      <c r="AX751" s="105" t="n">
        <v>0</v>
      </c>
      <c r="AY751" s="105" t="n">
        <v>0</v>
      </c>
      <c r="AZ751" s="105" t="n">
        <v>0</v>
      </c>
      <c r="BA751" s="105" t="n">
        <v>0</v>
      </c>
      <c r="BB751" s="105" t="n">
        <v>0</v>
      </c>
      <c r="BC751" s="105" t="n">
        <v>0</v>
      </c>
      <c r="BD751" s="105" t="n">
        <v>0</v>
      </c>
      <c r="BE751" s="105" t="n">
        <v>0</v>
      </c>
      <c r="BF751" s="105" t="n">
        <v>0</v>
      </c>
      <c r="BG751" s="105" t="n">
        <v>0</v>
      </c>
      <c r="BH751" s="105" t="n">
        <v>0</v>
      </c>
      <c r="BI751" s="105" t="n">
        <v>0</v>
      </c>
      <c r="BJ751" s="105" t="n">
        <v>0</v>
      </c>
      <c r="BK751" s="105" t="n">
        <v>0</v>
      </c>
      <c r="BL751" s="105" t="n">
        <v>0</v>
      </c>
      <c r="BM751" s="105" t="n">
        <v>0</v>
      </c>
      <c r="BN751" s="105" t="n">
        <v>0</v>
      </c>
      <c r="BO751" s="105" t="n">
        <v>0</v>
      </c>
      <c r="BP751" s="105" t="n">
        <v>0</v>
      </c>
      <c r="BQ751" s="105" t="n">
        <v>0</v>
      </c>
      <c r="BR751" s="106" t="n">
        <v>0</v>
      </c>
      <c r="BS751" s="106" t="n">
        <v>0</v>
      </c>
      <c r="BT751" s="107"/>
      <c r="BU751" s="107"/>
      <c r="BV751" s="107"/>
      <c r="BW751" s="107"/>
      <c r="BX751" s="107"/>
      <c r="BY751" s="107"/>
      <c r="BZ751" s="107"/>
      <c r="CA751" s="107"/>
      <c r="CB751" s="107"/>
      <c r="CC751" s="107"/>
      <c r="CD751" s="107"/>
      <c r="CE751" s="107"/>
      <c r="CF751" s="107"/>
      <c r="CG751" s="107"/>
      <c r="CH751" s="107"/>
      <c r="CI751" s="107"/>
      <c r="CJ751" s="107"/>
      <c r="CK751" s="107"/>
      <c r="CL751" s="107"/>
      <c r="CM751" s="107"/>
      <c r="CN751" s="107"/>
      <c r="CO751" s="107"/>
      <c r="CP751" s="107"/>
      <c r="CQ751" s="107"/>
      <c r="CR751" s="107"/>
      <c r="CS751" s="107"/>
      <c r="CT751" s="107"/>
      <c r="CU751" s="107"/>
      <c r="CV751" s="107"/>
    </row>
    <row r="752" customFormat="false" ht="14.9" hidden="false" customHeight="false" outlineLevel="0" collapsed="false">
      <c r="A752" s="74" t="n">
        <f aca="false">MONTH(B752)</f>
        <v>9</v>
      </c>
      <c r="B752" s="135" t="n">
        <v>44468</v>
      </c>
      <c r="C752" s="128" t="s">
        <v>70</v>
      </c>
      <c r="D752" s="77" t="str">
        <f aca="false">IFERROR(VLOOKUP(E:E,'Item Data Support Sheet'!A:O,7,0),"")</f>
        <v>NIPPLE PUNCH</v>
      </c>
      <c r="E752" s="80" t="s">
        <v>53</v>
      </c>
      <c r="F752" s="122"/>
      <c r="G752" s="137" t="s">
        <v>54</v>
      </c>
      <c r="H752" s="79" t="str">
        <f aca="false">IFERROR(VLOOKUP(E:E,'Item Data Support Sheet'!A:O,2,0),"")</f>
        <v>NIPPLE S TYPE S SIZE PUNCHED</v>
      </c>
      <c r="I752" s="80" t="s">
        <v>1457</v>
      </c>
      <c r="J752" s="80" t="s">
        <v>815</v>
      </c>
      <c r="K752" s="81" t="n">
        <v>1.6</v>
      </c>
      <c r="L752" s="124" t="n">
        <v>1400</v>
      </c>
      <c r="M752" s="83" t="n">
        <f aca="false">IFERROR(L752/K752,0)</f>
        <v>875</v>
      </c>
      <c r="N752" s="84" t="n">
        <f aca="false">+O752+Q752+T752+U752</f>
        <v>1382</v>
      </c>
      <c r="O752" s="85" t="n">
        <v>1382</v>
      </c>
      <c r="P752" s="86" t="n">
        <v>0</v>
      </c>
      <c r="Q752" s="86" t="n">
        <v>0</v>
      </c>
      <c r="R752" s="132" t="n">
        <v>0</v>
      </c>
      <c r="S752" s="128" t="n">
        <v>0</v>
      </c>
      <c r="T752" s="132" t="n">
        <v>0</v>
      </c>
      <c r="U752" s="128" t="n">
        <v>0</v>
      </c>
      <c r="V752" s="128" t="n">
        <v>1</v>
      </c>
      <c r="W752" s="90" t="n">
        <f aca="false">IFERROR(O752/V752,0)</f>
        <v>1382</v>
      </c>
      <c r="X752" s="91" t="n">
        <f aca="false">O752/L752</f>
        <v>0.987142857142857</v>
      </c>
      <c r="Y752" s="92" t="str">
        <f aca="false">IFERROR(VLOOKUP(E:E,'Item Data Support Sheet'!A:J,6,0),0)</f>
        <v>FO015</v>
      </c>
      <c r="Z752" s="93" t="n">
        <f aca="false">IFERROR(VLOOKUP(E:E,'Item Data Support Sheet'!A:O,4,0),0)</f>
        <v>0</v>
      </c>
      <c r="AA752" s="93" t="n">
        <f aca="false">IFERROR(((N752)*(Z752/1000))+P752,0)</f>
        <v>0</v>
      </c>
      <c r="AB752" s="94" t="str">
        <f aca="false">IFERROR((O752*(Z752/1000)/(AA752))," ")</f>
        <v> </v>
      </c>
      <c r="AC752" s="95" t="n">
        <f aca="false">IFERROR((T752)/((T752)+O752),0)</f>
        <v>0</v>
      </c>
      <c r="AD752" s="96" t="n">
        <f aca="false">IFERROR(Q752/(Q752+N752),0)</f>
        <v>0</v>
      </c>
      <c r="AE752" s="91" t="n">
        <f aca="false">(N752-T752)/N752</f>
        <v>1</v>
      </c>
      <c r="AF752" s="97" t="n">
        <f aca="false">BR752</f>
        <v>0</v>
      </c>
      <c r="AG752" s="98" t="n">
        <f aca="false">K752-AF752</f>
        <v>1.6</v>
      </c>
      <c r="AH752" s="99" t="n">
        <f aca="false">IFERROR(AG752/K752," ")</f>
        <v>1</v>
      </c>
      <c r="AI752" s="100" t="n">
        <f aca="false">IFERROR(O752/K752,0)</f>
        <v>863.75</v>
      </c>
      <c r="AJ752" s="101" t="n">
        <f aca="false">VLOOKUP(D752,'Standard Cycle time'!C:D,2,0)</f>
        <v>3.5</v>
      </c>
      <c r="AK752" s="101" t="n">
        <f aca="false">AG752*V752*3600/O752</f>
        <v>4.16787264833575</v>
      </c>
      <c r="AL752" s="102" t="n">
        <f aca="false">AJ752/AK752</f>
        <v>0.839756944444444</v>
      </c>
      <c r="AM752" s="99" t="n">
        <f aca="false">AE752*AL752*AH752</f>
        <v>0.839756944444444</v>
      </c>
      <c r="AN752" s="103" t="s">
        <v>1458</v>
      </c>
      <c r="AO752" s="112"/>
      <c r="AP752" s="105" t="n">
        <v>0</v>
      </c>
      <c r="AQ752" s="105" t="n">
        <v>0</v>
      </c>
      <c r="AR752" s="105" t="n">
        <v>0</v>
      </c>
      <c r="AS752" s="105" t="n">
        <v>0</v>
      </c>
      <c r="AT752" s="105" t="n">
        <v>0</v>
      </c>
      <c r="AU752" s="105" t="n">
        <v>0</v>
      </c>
      <c r="AV752" s="105" t="n">
        <v>0</v>
      </c>
      <c r="AW752" s="105" t="n">
        <v>0</v>
      </c>
      <c r="AX752" s="105" t="n">
        <v>0</v>
      </c>
      <c r="AY752" s="105" t="n">
        <v>0</v>
      </c>
      <c r="AZ752" s="105" t="n">
        <v>0</v>
      </c>
      <c r="BA752" s="105" t="n">
        <v>0</v>
      </c>
      <c r="BB752" s="105" t="n">
        <v>0</v>
      </c>
      <c r="BC752" s="105" t="n">
        <v>0</v>
      </c>
      <c r="BD752" s="105" t="n">
        <v>0</v>
      </c>
      <c r="BE752" s="105" t="n">
        <v>0</v>
      </c>
      <c r="BF752" s="105" t="n">
        <v>0</v>
      </c>
      <c r="BG752" s="105" t="n">
        <v>0</v>
      </c>
      <c r="BH752" s="105" t="n">
        <v>0</v>
      </c>
      <c r="BI752" s="105" t="n">
        <v>0</v>
      </c>
      <c r="BJ752" s="105" t="n">
        <v>0</v>
      </c>
      <c r="BK752" s="105" t="n">
        <v>0</v>
      </c>
      <c r="BL752" s="105" t="n">
        <v>0</v>
      </c>
      <c r="BM752" s="105" t="n">
        <v>0</v>
      </c>
      <c r="BN752" s="105" t="n">
        <v>0</v>
      </c>
      <c r="BO752" s="105" t="n">
        <v>0</v>
      </c>
      <c r="BP752" s="105" t="n">
        <v>0</v>
      </c>
      <c r="BQ752" s="105" t="n">
        <v>0</v>
      </c>
      <c r="BR752" s="106" t="n">
        <v>0</v>
      </c>
      <c r="BS752" s="106" t="n">
        <v>0</v>
      </c>
      <c r="BT752" s="107"/>
      <c r="BU752" s="107"/>
      <c r="BV752" s="107"/>
      <c r="BW752" s="107"/>
      <c r="BX752" s="107"/>
      <c r="BY752" s="107"/>
      <c r="BZ752" s="107"/>
      <c r="CA752" s="107"/>
      <c r="CB752" s="107"/>
      <c r="CC752" s="107"/>
      <c r="CD752" s="107"/>
      <c r="CE752" s="107"/>
      <c r="CF752" s="107"/>
      <c r="CG752" s="107"/>
      <c r="CH752" s="107"/>
      <c r="CI752" s="107"/>
      <c r="CJ752" s="107"/>
      <c r="CK752" s="107"/>
      <c r="CL752" s="107"/>
      <c r="CM752" s="107"/>
      <c r="CN752" s="107"/>
      <c r="CO752" s="107"/>
      <c r="CP752" s="107"/>
      <c r="CQ752" s="107"/>
      <c r="CR752" s="107"/>
      <c r="CS752" s="107"/>
      <c r="CT752" s="107"/>
      <c r="CU752" s="107"/>
      <c r="CV752" s="107"/>
    </row>
    <row r="753" customFormat="false" ht="14.9" hidden="false" customHeight="false" outlineLevel="0" collapsed="false">
      <c r="A753" s="74" t="n">
        <f aca="false">MONTH(B753)</f>
        <v>9</v>
      </c>
      <c r="B753" s="135" t="n">
        <v>44468</v>
      </c>
      <c r="C753" s="128" t="s">
        <v>70</v>
      </c>
      <c r="D753" s="77" t="str">
        <f aca="false">IFERROR(VLOOKUP(E:E,'Item Data Support Sheet'!A:O,7,0),"")</f>
        <v>CAP MOLDED</v>
      </c>
      <c r="E753" s="80" t="s">
        <v>199</v>
      </c>
      <c r="F753" s="122"/>
      <c r="G753" s="137" t="s">
        <v>1215</v>
      </c>
      <c r="H753" s="79" t="str">
        <f aca="false">IFERROR(VLOOKUP(E:E,'Item Data Support Sheet'!A:O,2,0),"")</f>
        <v>CAP S TYPE MOLDED RED</v>
      </c>
      <c r="I753" s="80" t="s">
        <v>1459</v>
      </c>
      <c r="J753" s="80" t="s">
        <v>815</v>
      </c>
      <c r="K753" s="81" t="n">
        <v>8</v>
      </c>
      <c r="L753" s="124" t="n">
        <v>4137</v>
      </c>
      <c r="M753" s="83" t="n">
        <f aca="false">IFERROR(L753/K753,0)</f>
        <v>517.125</v>
      </c>
      <c r="N753" s="84" t="n">
        <f aca="false">+O753+Q753+T753+U753</f>
        <v>4006</v>
      </c>
      <c r="O753" s="85" t="n">
        <v>4000</v>
      </c>
      <c r="P753" s="86" t="n">
        <v>0</v>
      </c>
      <c r="Q753" s="86" t="n">
        <v>0</v>
      </c>
      <c r="R753" s="132" t="n">
        <v>0</v>
      </c>
      <c r="S753" s="128" t="n">
        <v>0</v>
      </c>
      <c r="T753" s="132" t="n">
        <v>6</v>
      </c>
      <c r="U753" s="128" t="n">
        <v>0</v>
      </c>
      <c r="V753" s="128" t="n">
        <v>1</v>
      </c>
      <c r="W753" s="90" t="n">
        <f aca="false">IFERROR(O753/V753,0)</f>
        <v>4000</v>
      </c>
      <c r="X753" s="91" t="n">
        <f aca="false">O753/L753</f>
        <v>0.96688421561518</v>
      </c>
      <c r="Y753" s="92" t="str">
        <f aca="false">IFERROR(VLOOKUP(E:E,'Item Data Support Sheet'!A:J,6,0),0)</f>
        <v>FO153</v>
      </c>
      <c r="Z753" s="93" t="n">
        <f aca="false">IFERROR(VLOOKUP(E:E,'Item Data Support Sheet'!A:O,4,0),0)</f>
        <v>7.3</v>
      </c>
      <c r="AA753" s="93" t="n">
        <f aca="false">IFERROR(((N753)*(Z753/1000))+P753,0)</f>
        <v>29.2438</v>
      </c>
      <c r="AB753" s="94" t="n">
        <f aca="false">IFERROR((O753*(Z753/1000)/(AA753))," ")</f>
        <v>0.998502246630055</v>
      </c>
      <c r="AC753" s="95" t="n">
        <f aca="false">IFERROR((T753)/((T753)+O753),0)</f>
        <v>0.00149775336994508</v>
      </c>
      <c r="AD753" s="96" t="n">
        <f aca="false">IFERROR(Q753/(Q753+N753),0)</f>
        <v>0</v>
      </c>
      <c r="AE753" s="91" t="n">
        <f aca="false">(N753-T753)/N753</f>
        <v>0.998502246630055</v>
      </c>
      <c r="AF753" s="97" t="n">
        <f aca="false">BR753</f>
        <v>0</v>
      </c>
      <c r="AG753" s="98" t="n">
        <f aca="false">K753-AF753</f>
        <v>8</v>
      </c>
      <c r="AH753" s="99" t="n">
        <f aca="false">IFERROR(AG753/K753," ")</f>
        <v>1</v>
      </c>
      <c r="AI753" s="100" t="n">
        <f aca="false">IFERROR(O753/K753,0)</f>
        <v>500</v>
      </c>
      <c r="AJ753" s="101" t="n">
        <f aca="false">VLOOKUP(D753,'Standard Cycle time'!C:D,2,0)</f>
        <v>6</v>
      </c>
      <c r="AK753" s="101" t="n">
        <f aca="false">AG753*V753*3600/O753</f>
        <v>7.2</v>
      </c>
      <c r="AL753" s="102" t="n">
        <f aca="false">AJ753/AK753</f>
        <v>0.833333333333333</v>
      </c>
      <c r="AM753" s="99" t="n">
        <f aca="false">AE753*AL753*AH753</f>
        <v>0.832085205525046</v>
      </c>
      <c r="AN753" s="103" t="n">
        <v>3767</v>
      </c>
      <c r="AO753" s="112"/>
      <c r="AP753" s="105" t="n">
        <v>0</v>
      </c>
      <c r="AQ753" s="105" t="n">
        <v>0</v>
      </c>
      <c r="AR753" s="105" t="n">
        <v>0</v>
      </c>
      <c r="AS753" s="105" t="n">
        <v>0</v>
      </c>
      <c r="AT753" s="105" t="n">
        <v>0</v>
      </c>
      <c r="AU753" s="105" t="n">
        <v>0</v>
      </c>
      <c r="AV753" s="105" t="n">
        <v>0</v>
      </c>
      <c r="AW753" s="105" t="n">
        <v>0</v>
      </c>
      <c r="AX753" s="105" t="n">
        <v>0</v>
      </c>
      <c r="AY753" s="105" t="n">
        <v>0</v>
      </c>
      <c r="AZ753" s="105" t="n">
        <v>0</v>
      </c>
      <c r="BA753" s="105" t="n">
        <v>0</v>
      </c>
      <c r="BB753" s="105" t="n">
        <v>0</v>
      </c>
      <c r="BC753" s="105" t="n">
        <v>0</v>
      </c>
      <c r="BD753" s="105" t="n">
        <v>0</v>
      </c>
      <c r="BE753" s="105" t="n">
        <v>0</v>
      </c>
      <c r="BF753" s="105" t="n">
        <v>0</v>
      </c>
      <c r="BG753" s="105" t="n">
        <v>0</v>
      </c>
      <c r="BH753" s="105" t="n">
        <v>0</v>
      </c>
      <c r="BI753" s="105" t="n">
        <v>0</v>
      </c>
      <c r="BJ753" s="105" t="n">
        <v>0</v>
      </c>
      <c r="BK753" s="105" t="n">
        <v>0</v>
      </c>
      <c r="BL753" s="105" t="n">
        <v>0</v>
      </c>
      <c r="BM753" s="105" t="n">
        <v>0</v>
      </c>
      <c r="BN753" s="105" t="n">
        <v>0</v>
      </c>
      <c r="BO753" s="105" t="n">
        <v>0</v>
      </c>
      <c r="BP753" s="105" t="n">
        <v>0</v>
      </c>
      <c r="BQ753" s="105" t="n">
        <v>0</v>
      </c>
      <c r="BR753" s="106" t="n">
        <v>0</v>
      </c>
      <c r="BS753" s="106" t="n">
        <v>0</v>
      </c>
      <c r="BT753" s="107"/>
      <c r="BU753" s="107"/>
      <c r="BV753" s="107"/>
      <c r="BW753" s="107"/>
      <c r="BX753" s="107"/>
      <c r="BY753" s="107"/>
      <c r="BZ753" s="107"/>
      <c r="CA753" s="107"/>
      <c r="CB753" s="107"/>
      <c r="CC753" s="107"/>
      <c r="CD753" s="107"/>
      <c r="CE753" s="107"/>
      <c r="CF753" s="107"/>
      <c r="CG753" s="107"/>
      <c r="CH753" s="107"/>
      <c r="CI753" s="107"/>
      <c r="CJ753" s="107"/>
      <c r="CK753" s="107"/>
      <c r="CL753" s="107"/>
      <c r="CM753" s="107"/>
      <c r="CN753" s="107"/>
      <c r="CO753" s="107"/>
      <c r="CP753" s="107"/>
      <c r="CQ753" s="107"/>
      <c r="CR753" s="107"/>
      <c r="CS753" s="107"/>
      <c r="CT753" s="107"/>
      <c r="CU753" s="107"/>
      <c r="CV753" s="107"/>
    </row>
    <row r="754" customFormat="false" ht="14.9" hidden="false" customHeight="false" outlineLevel="0" collapsed="false">
      <c r="A754" s="74" t="n">
        <f aca="false">MONTH(B754)</f>
        <v>9</v>
      </c>
      <c r="B754" s="135" t="n">
        <v>44468</v>
      </c>
      <c r="C754" s="128" t="s">
        <v>152</v>
      </c>
      <c r="D754" s="77" t="str">
        <f aca="false">IFERROR(VLOOKUP(E:E,'Item Data Support Sheet'!A:O,7,0),"")</f>
        <v>CAP MOLDED</v>
      </c>
      <c r="E754" s="80" t="s">
        <v>199</v>
      </c>
      <c r="F754" s="122"/>
      <c r="G754" s="137" t="s">
        <v>1215</v>
      </c>
      <c r="H754" s="79" t="str">
        <f aca="false">IFERROR(VLOOKUP(E:E,'Item Data Support Sheet'!A:O,2,0),"")</f>
        <v>CAP S TYPE MOLDED RED</v>
      </c>
      <c r="I754" s="80" t="s">
        <v>1460</v>
      </c>
      <c r="J754" s="80" t="s">
        <v>143</v>
      </c>
      <c r="K754" s="81" t="n">
        <v>8</v>
      </c>
      <c r="L754" s="124" t="n">
        <v>4137</v>
      </c>
      <c r="M754" s="83" t="n">
        <f aca="false">IFERROR(L754/K754,0)</f>
        <v>517.125</v>
      </c>
      <c r="N754" s="84" t="n">
        <f aca="false">+O754+Q754+T754+U754</f>
        <v>4208</v>
      </c>
      <c r="O754" s="85" t="n">
        <v>4200</v>
      </c>
      <c r="P754" s="86" t="n">
        <v>0</v>
      </c>
      <c r="Q754" s="86" t="n">
        <v>0</v>
      </c>
      <c r="R754" s="132" t="n">
        <v>0</v>
      </c>
      <c r="S754" s="128" t="n">
        <v>0</v>
      </c>
      <c r="T754" s="132" t="n">
        <v>0</v>
      </c>
      <c r="U754" s="128" t="n">
        <v>8</v>
      </c>
      <c r="V754" s="128" t="n">
        <v>1</v>
      </c>
      <c r="W754" s="90" t="n">
        <f aca="false">IFERROR(O754/V754,0)</f>
        <v>4200</v>
      </c>
      <c r="X754" s="91" t="n">
        <f aca="false">O754/L754</f>
        <v>1.01522842639594</v>
      </c>
      <c r="Y754" s="92" t="str">
        <f aca="false">IFERROR(VLOOKUP(E:E,'Item Data Support Sheet'!A:J,6,0),0)</f>
        <v>FO153</v>
      </c>
      <c r="Z754" s="93" t="n">
        <f aca="false">IFERROR(VLOOKUP(E:E,'Item Data Support Sheet'!A:O,4,0),0)</f>
        <v>7.3</v>
      </c>
      <c r="AA754" s="93" t="n">
        <f aca="false">IFERROR(((N754)*(Z754/1000))+P754,0)</f>
        <v>30.7184</v>
      </c>
      <c r="AB754" s="94" t="n">
        <f aca="false">IFERROR((O754*(Z754/1000)/(AA754))," ")</f>
        <v>0.998098859315589</v>
      </c>
      <c r="AC754" s="95" t="n">
        <f aca="false">IFERROR((T754)/((T754)+O754),0)</f>
        <v>0</v>
      </c>
      <c r="AD754" s="96" t="n">
        <f aca="false">IFERROR(Q754/(Q754+N754),0)</f>
        <v>0</v>
      </c>
      <c r="AE754" s="91" t="n">
        <f aca="false">(N754-T754)/N754</f>
        <v>1</v>
      </c>
      <c r="AF754" s="97" t="n">
        <f aca="false">BR754</f>
        <v>0</v>
      </c>
      <c r="AG754" s="98" t="n">
        <f aca="false">K754-AF754</f>
        <v>8</v>
      </c>
      <c r="AH754" s="99" t="n">
        <f aca="false">IFERROR(AG754/K754," ")</f>
        <v>1</v>
      </c>
      <c r="AI754" s="100" t="n">
        <f aca="false">IFERROR(O754/K754,0)</f>
        <v>525</v>
      </c>
      <c r="AJ754" s="101" t="n">
        <f aca="false">VLOOKUP(D754,'Standard Cycle time'!C:D,2,0)</f>
        <v>6</v>
      </c>
      <c r="AK754" s="101" t="n">
        <f aca="false">AG754*V754*3600/O754</f>
        <v>6.85714285714286</v>
      </c>
      <c r="AL754" s="102" t="n">
        <f aca="false">AJ754/AK754</f>
        <v>0.875</v>
      </c>
      <c r="AM754" s="99" t="n">
        <f aca="false">AE754*AL754*AH754</f>
        <v>0.875</v>
      </c>
      <c r="AN754" s="103" t="n">
        <v>3766</v>
      </c>
      <c r="AO754" s="112"/>
      <c r="AP754" s="105" t="n">
        <v>0</v>
      </c>
      <c r="AQ754" s="105" t="n">
        <v>0</v>
      </c>
      <c r="AR754" s="105" t="n">
        <v>0</v>
      </c>
      <c r="AS754" s="105" t="n">
        <v>0</v>
      </c>
      <c r="AT754" s="105" t="n">
        <v>0</v>
      </c>
      <c r="AU754" s="105" t="n">
        <v>0</v>
      </c>
      <c r="AV754" s="105" t="n">
        <v>0</v>
      </c>
      <c r="AW754" s="105" t="n">
        <v>0</v>
      </c>
      <c r="AX754" s="105" t="n">
        <v>0</v>
      </c>
      <c r="AY754" s="105" t="n">
        <v>0</v>
      </c>
      <c r="AZ754" s="105" t="n">
        <v>0</v>
      </c>
      <c r="BA754" s="105" t="n">
        <v>0</v>
      </c>
      <c r="BB754" s="105" t="n">
        <v>0</v>
      </c>
      <c r="BC754" s="105" t="n">
        <v>0</v>
      </c>
      <c r="BD754" s="105" t="n">
        <v>0</v>
      </c>
      <c r="BE754" s="105" t="n">
        <v>0</v>
      </c>
      <c r="BF754" s="105" t="n">
        <v>0</v>
      </c>
      <c r="BG754" s="105" t="n">
        <v>0</v>
      </c>
      <c r="BH754" s="105" t="n">
        <v>0</v>
      </c>
      <c r="BI754" s="105" t="n">
        <v>0</v>
      </c>
      <c r="BJ754" s="105" t="n">
        <v>0</v>
      </c>
      <c r="BK754" s="105" t="n">
        <v>0</v>
      </c>
      <c r="BL754" s="105" t="n">
        <v>0</v>
      </c>
      <c r="BM754" s="105" t="n">
        <v>0</v>
      </c>
      <c r="BN754" s="105" t="n">
        <v>0</v>
      </c>
      <c r="BO754" s="105" t="n">
        <v>0</v>
      </c>
      <c r="BP754" s="105" t="n">
        <v>0</v>
      </c>
      <c r="BQ754" s="105" t="n">
        <v>0</v>
      </c>
      <c r="BR754" s="106" t="n">
        <v>0</v>
      </c>
      <c r="BS754" s="106" t="n">
        <v>0</v>
      </c>
      <c r="BT754" s="107"/>
      <c r="BU754" s="107"/>
      <c r="BV754" s="107"/>
      <c r="BW754" s="107"/>
      <c r="BX754" s="107"/>
      <c r="BY754" s="107"/>
      <c r="BZ754" s="107"/>
      <c r="CA754" s="107"/>
      <c r="CB754" s="107"/>
      <c r="CC754" s="107"/>
      <c r="CD754" s="107"/>
      <c r="CE754" s="107"/>
      <c r="CF754" s="107"/>
      <c r="CG754" s="107"/>
      <c r="CH754" s="107"/>
      <c r="CI754" s="107"/>
      <c r="CJ754" s="107"/>
      <c r="CK754" s="107"/>
      <c r="CL754" s="107"/>
      <c r="CM754" s="107"/>
      <c r="CN754" s="107"/>
      <c r="CO754" s="107"/>
      <c r="CP754" s="107"/>
      <c r="CQ754" s="107"/>
      <c r="CR754" s="107"/>
      <c r="CS754" s="107"/>
      <c r="CT754" s="107"/>
      <c r="CU754" s="107"/>
      <c r="CV754" s="107"/>
    </row>
    <row r="755" customFormat="false" ht="14.9" hidden="false" customHeight="false" outlineLevel="0" collapsed="false">
      <c r="A755" s="74" t="n">
        <f aca="false">MONTH(B755)</f>
        <v>9</v>
      </c>
      <c r="B755" s="135" t="n">
        <v>44468</v>
      </c>
      <c r="C755" s="128" t="s">
        <v>152</v>
      </c>
      <c r="D755" s="77" t="str">
        <f aca="false">IFERROR(VLOOKUP(E:E,'Item Data Support Sheet'!A:O,7,0),"")</f>
        <v>NIPPLE LASER MARKING</v>
      </c>
      <c r="E755" s="80" t="s">
        <v>885</v>
      </c>
      <c r="F755" s="122"/>
      <c r="G755" s="137" t="s">
        <v>517</v>
      </c>
      <c r="H755" s="79" t="str">
        <f aca="false">IFERROR(VLOOKUP(E:E,'Item Data Support Sheet'!A:O,2,0),"")</f>
        <v>NIPPLE S TYPE Y SIZE PUNCHED LASER MARKED</v>
      </c>
      <c r="I755" s="80" t="s">
        <v>1461</v>
      </c>
      <c r="J755" s="80" t="s">
        <v>143</v>
      </c>
      <c r="K755" s="81" t="n">
        <v>8</v>
      </c>
      <c r="L755" s="124" t="n">
        <v>7000</v>
      </c>
      <c r="M755" s="83" t="n">
        <f aca="false">IFERROR(L755/K755,0)</f>
        <v>875</v>
      </c>
      <c r="N755" s="84" t="n">
        <f aca="false">+O755+Q755+T755+U755</f>
        <v>7392</v>
      </c>
      <c r="O755" s="85" t="n">
        <v>7392</v>
      </c>
      <c r="P755" s="86" t="n">
        <v>0</v>
      </c>
      <c r="Q755" s="86" t="n">
        <v>0</v>
      </c>
      <c r="R755" s="132" t="n">
        <v>0</v>
      </c>
      <c r="S755" s="128" t="n">
        <v>0</v>
      </c>
      <c r="T755" s="132" t="n">
        <v>0</v>
      </c>
      <c r="U755" s="128" t="n">
        <v>0</v>
      </c>
      <c r="V755" s="128" t="n">
        <v>1</v>
      </c>
      <c r="W755" s="90" t="n">
        <f aca="false">IFERROR(O755/V755,0)</f>
        <v>7392</v>
      </c>
      <c r="X755" s="91" t="n">
        <f aca="false">O755/L755</f>
        <v>1.056</v>
      </c>
      <c r="Y755" s="92" t="str">
        <f aca="false">IFERROR(VLOOKUP(E:E,'Item Data Support Sheet'!A:J,6,0),0)</f>
        <v>FO022</v>
      </c>
      <c r="Z755" s="93" t="n">
        <f aca="false">IFERROR(VLOOKUP(E:E,'Item Data Support Sheet'!A:O,4,0),0)</f>
        <v>0</v>
      </c>
      <c r="AA755" s="93" t="n">
        <f aca="false">IFERROR(((N755)*(Z755/1000))+P755,0)</f>
        <v>0</v>
      </c>
      <c r="AB755" s="94" t="str">
        <f aca="false">IFERROR((O755*(Z755/1000)/(AA755))," ")</f>
        <v> </v>
      </c>
      <c r="AC755" s="95" t="n">
        <f aca="false">IFERROR((T755)/((T755)+O755),0)</f>
        <v>0</v>
      </c>
      <c r="AD755" s="96" t="n">
        <f aca="false">IFERROR(Q755/(Q755+N755),0)</f>
        <v>0</v>
      </c>
      <c r="AE755" s="91" t="n">
        <f aca="false">(N755-T755)/N755</f>
        <v>1</v>
      </c>
      <c r="AF755" s="97" t="n">
        <f aca="false">BR755</f>
        <v>0.666666666666667</v>
      </c>
      <c r="AG755" s="98" t="n">
        <f aca="false">K755-AF755</f>
        <v>7.33333333333333</v>
      </c>
      <c r="AH755" s="99" t="n">
        <f aca="false">IFERROR(AG755/K755," ")</f>
        <v>0.916666666666667</v>
      </c>
      <c r="AI755" s="100" t="n">
        <f aca="false">IFERROR(O755/K755,0)</f>
        <v>924</v>
      </c>
      <c r="AJ755" s="101" t="n">
        <f aca="false">VLOOKUP(D755,'Standard Cycle time'!C:D,2,0)</f>
        <v>3.5</v>
      </c>
      <c r="AK755" s="101" t="n">
        <f aca="false">AG755*V755*3600/O755</f>
        <v>3.57142857142857</v>
      </c>
      <c r="AL755" s="102" t="n">
        <f aca="false">AJ755/AK755</f>
        <v>0.98</v>
      </c>
      <c r="AM755" s="99" t="n">
        <f aca="false">AE755*AL755*AH755</f>
        <v>0.898333333333333</v>
      </c>
      <c r="AN755" s="103" t="s">
        <v>1462</v>
      </c>
      <c r="AO755" s="112"/>
      <c r="AP755" s="105" t="n">
        <v>40</v>
      </c>
      <c r="AQ755" s="105" t="n">
        <v>0</v>
      </c>
      <c r="AR755" s="105" t="n">
        <v>0</v>
      </c>
      <c r="AS755" s="105" t="n">
        <v>0</v>
      </c>
      <c r="AT755" s="105" t="n">
        <v>0</v>
      </c>
      <c r="AU755" s="105" t="n">
        <v>0</v>
      </c>
      <c r="AV755" s="105" t="n">
        <v>0</v>
      </c>
      <c r="AW755" s="105" t="n">
        <v>0</v>
      </c>
      <c r="AX755" s="105" t="n">
        <v>0</v>
      </c>
      <c r="AY755" s="105" t="n">
        <v>0</v>
      </c>
      <c r="AZ755" s="105" t="n">
        <v>0</v>
      </c>
      <c r="BA755" s="105" t="n">
        <v>0</v>
      </c>
      <c r="BB755" s="105" t="n">
        <v>0</v>
      </c>
      <c r="BC755" s="105" t="n">
        <v>0</v>
      </c>
      <c r="BD755" s="105" t="n">
        <v>0</v>
      </c>
      <c r="BE755" s="105" t="n">
        <v>0</v>
      </c>
      <c r="BF755" s="105" t="n">
        <v>0</v>
      </c>
      <c r="BG755" s="105" t="n">
        <v>0</v>
      </c>
      <c r="BH755" s="105" t="n">
        <v>0</v>
      </c>
      <c r="BI755" s="105" t="n">
        <v>0</v>
      </c>
      <c r="BJ755" s="105" t="n">
        <v>0</v>
      </c>
      <c r="BK755" s="105" t="n">
        <v>0</v>
      </c>
      <c r="BL755" s="105" t="n">
        <v>0</v>
      </c>
      <c r="BM755" s="105" t="n">
        <v>0</v>
      </c>
      <c r="BN755" s="105" t="n">
        <v>0</v>
      </c>
      <c r="BO755" s="105" t="n">
        <v>0</v>
      </c>
      <c r="BP755" s="105" t="n">
        <v>0</v>
      </c>
      <c r="BQ755" s="105" t="n">
        <v>0</v>
      </c>
      <c r="BR755" s="106" t="n">
        <v>0.666666666666667</v>
      </c>
      <c r="BS755" s="106" t="n">
        <v>0.677777777777778</v>
      </c>
      <c r="BT755" s="107"/>
      <c r="BU755" s="107"/>
      <c r="BV755" s="107"/>
      <c r="BW755" s="107"/>
      <c r="BX755" s="107"/>
      <c r="BY755" s="107"/>
      <c r="BZ755" s="107"/>
      <c r="CA755" s="107"/>
      <c r="CB755" s="107"/>
      <c r="CC755" s="107"/>
      <c r="CD755" s="107"/>
      <c r="CE755" s="107"/>
      <c r="CF755" s="107"/>
      <c r="CG755" s="107"/>
      <c r="CH755" s="107"/>
      <c r="CI755" s="107"/>
      <c r="CJ755" s="107"/>
      <c r="CK755" s="107"/>
      <c r="CL755" s="107"/>
      <c r="CM755" s="107"/>
      <c r="CN755" s="107"/>
      <c r="CO755" s="107"/>
      <c r="CP755" s="107"/>
      <c r="CQ755" s="107"/>
      <c r="CR755" s="107"/>
      <c r="CS755" s="107"/>
      <c r="CT755" s="107"/>
      <c r="CU755" s="107"/>
      <c r="CV755" s="107"/>
    </row>
    <row r="756" customFormat="false" ht="14.9" hidden="false" customHeight="false" outlineLevel="0" collapsed="false">
      <c r="A756" s="74" t="n">
        <f aca="false">MONTH(B756)</f>
        <v>9</v>
      </c>
      <c r="B756" s="135" t="n">
        <v>44469</v>
      </c>
      <c r="C756" s="128" t="s">
        <v>51</v>
      </c>
      <c r="D756" s="77" t="str">
        <f aca="false">IFERROR(VLOOKUP(E:E,'Item Data Support Sheet'!A:O,7,0),"")</f>
        <v>CAP MOLDED</v>
      </c>
      <c r="E756" s="80" t="s">
        <v>199</v>
      </c>
      <c r="F756" s="122"/>
      <c r="G756" s="137" t="s">
        <v>1215</v>
      </c>
      <c r="H756" s="79" t="str">
        <f aca="false">IFERROR(VLOOKUP(E:E,'Item Data Support Sheet'!A:O,2,0),"")</f>
        <v>CAP S TYPE MOLDED RED</v>
      </c>
      <c r="I756" s="80" t="s">
        <v>1463</v>
      </c>
      <c r="J756" s="80" t="s">
        <v>143</v>
      </c>
      <c r="K756" s="81" t="n">
        <v>5</v>
      </c>
      <c r="L756" s="124" t="n">
        <v>2585</v>
      </c>
      <c r="M756" s="83" t="n">
        <f aca="false">IFERROR(L756/K756,0)</f>
        <v>517</v>
      </c>
      <c r="N756" s="84" t="n">
        <f aca="false">+O756+Q756+T756+U756</f>
        <v>2440</v>
      </c>
      <c r="O756" s="85" t="n">
        <v>2440</v>
      </c>
      <c r="P756" s="86" t="n">
        <v>0</v>
      </c>
      <c r="Q756" s="86" t="n">
        <v>0</v>
      </c>
      <c r="R756" s="132" t="n">
        <v>0</v>
      </c>
      <c r="S756" s="128" t="n">
        <v>0</v>
      </c>
      <c r="T756" s="132" t="n">
        <v>0</v>
      </c>
      <c r="U756" s="128" t="n">
        <v>0</v>
      </c>
      <c r="V756" s="128" t="n">
        <v>1</v>
      </c>
      <c r="W756" s="90" t="n">
        <f aca="false">IFERROR(O756/V756,0)</f>
        <v>2440</v>
      </c>
      <c r="X756" s="91" t="n">
        <f aca="false">O756/L756</f>
        <v>0.943907156673114</v>
      </c>
      <c r="Y756" s="92" t="str">
        <f aca="false">IFERROR(VLOOKUP(E:E,'Item Data Support Sheet'!A:J,6,0),0)</f>
        <v>FO153</v>
      </c>
      <c r="Z756" s="93" t="n">
        <f aca="false">IFERROR(VLOOKUP(E:E,'Item Data Support Sheet'!A:O,4,0),0)</f>
        <v>7.3</v>
      </c>
      <c r="AA756" s="93" t="n">
        <f aca="false">IFERROR(((N756)*(Z756/1000))+P756,0)</f>
        <v>17.812</v>
      </c>
      <c r="AB756" s="94" t="n">
        <f aca="false">IFERROR((O756*(Z756/1000)/(AA756))," ")</f>
        <v>1</v>
      </c>
      <c r="AC756" s="95" t="n">
        <f aca="false">IFERROR((T756)/((T756)+O756),0)</f>
        <v>0</v>
      </c>
      <c r="AD756" s="96" t="n">
        <f aca="false">IFERROR(Q756/(Q756+N756),0)</f>
        <v>0</v>
      </c>
      <c r="AE756" s="91" t="n">
        <f aca="false">(N756-T756)/N756</f>
        <v>1</v>
      </c>
      <c r="AF756" s="97" t="n">
        <f aca="false">BR756</f>
        <v>0</v>
      </c>
      <c r="AG756" s="98" t="n">
        <f aca="false">K756-AF756</f>
        <v>5</v>
      </c>
      <c r="AH756" s="99" t="n">
        <f aca="false">IFERROR(AG756/K756," ")</f>
        <v>1</v>
      </c>
      <c r="AI756" s="100" t="n">
        <f aca="false">IFERROR(O756/K756,0)</f>
        <v>488</v>
      </c>
      <c r="AJ756" s="101" t="n">
        <f aca="false">VLOOKUP(D756,'Standard Cycle time'!C:D,2,0)</f>
        <v>6</v>
      </c>
      <c r="AK756" s="101" t="n">
        <f aca="false">AG756*V756*3600/O756</f>
        <v>7.37704918032787</v>
      </c>
      <c r="AL756" s="102" t="n">
        <f aca="false">AJ756/AK756</f>
        <v>0.813333333333333</v>
      </c>
      <c r="AM756" s="99" t="n">
        <f aca="false">AE756*AL756*AH756</f>
        <v>0.813333333333333</v>
      </c>
      <c r="AN756" s="103" t="n">
        <v>3779</v>
      </c>
      <c r="AO756" s="112"/>
      <c r="AP756" s="105" t="n">
        <v>0</v>
      </c>
      <c r="AQ756" s="105" t="n">
        <v>0</v>
      </c>
      <c r="AR756" s="105" t="n">
        <v>0</v>
      </c>
      <c r="AS756" s="105" t="n">
        <v>0</v>
      </c>
      <c r="AT756" s="105" t="n">
        <v>0</v>
      </c>
      <c r="AU756" s="105" t="n">
        <v>0</v>
      </c>
      <c r="AV756" s="105" t="n">
        <v>0</v>
      </c>
      <c r="AW756" s="105" t="n">
        <v>0</v>
      </c>
      <c r="AX756" s="105" t="n">
        <v>0</v>
      </c>
      <c r="AY756" s="105" t="n">
        <v>0</v>
      </c>
      <c r="AZ756" s="105" t="n">
        <v>0</v>
      </c>
      <c r="BA756" s="105" t="n">
        <v>0</v>
      </c>
      <c r="BB756" s="105" t="n">
        <v>0</v>
      </c>
      <c r="BC756" s="105" t="n">
        <v>0</v>
      </c>
      <c r="BD756" s="105" t="n">
        <v>0</v>
      </c>
      <c r="BE756" s="105" t="n">
        <v>0</v>
      </c>
      <c r="BF756" s="105" t="n">
        <v>0</v>
      </c>
      <c r="BG756" s="105" t="n">
        <v>0</v>
      </c>
      <c r="BH756" s="105" t="n">
        <v>0</v>
      </c>
      <c r="BI756" s="105" t="n">
        <v>0</v>
      </c>
      <c r="BJ756" s="105" t="n">
        <v>0</v>
      </c>
      <c r="BK756" s="105" t="n">
        <v>0</v>
      </c>
      <c r="BL756" s="105" t="n">
        <v>0</v>
      </c>
      <c r="BM756" s="105" t="n">
        <v>0</v>
      </c>
      <c r="BN756" s="105" t="n">
        <v>0</v>
      </c>
      <c r="BO756" s="105" t="n">
        <v>0</v>
      </c>
      <c r="BP756" s="105" t="n">
        <v>0</v>
      </c>
      <c r="BQ756" s="105" t="n">
        <v>0</v>
      </c>
      <c r="BR756" s="106" t="n">
        <v>0</v>
      </c>
      <c r="BS756" s="106" t="n">
        <v>0</v>
      </c>
      <c r="BT756" s="107"/>
      <c r="BU756" s="107"/>
      <c r="BV756" s="107"/>
      <c r="BW756" s="107"/>
      <c r="BX756" s="107"/>
      <c r="BY756" s="107"/>
      <c r="BZ756" s="107"/>
      <c r="CA756" s="107"/>
      <c r="CB756" s="107"/>
      <c r="CC756" s="107"/>
      <c r="CD756" s="107"/>
      <c r="CE756" s="107"/>
      <c r="CF756" s="107"/>
      <c r="CG756" s="107"/>
      <c r="CH756" s="107"/>
      <c r="CI756" s="107"/>
      <c r="CJ756" s="107"/>
      <c r="CK756" s="107"/>
      <c r="CL756" s="107"/>
      <c r="CM756" s="107"/>
      <c r="CN756" s="107"/>
      <c r="CO756" s="107"/>
      <c r="CP756" s="107"/>
      <c r="CQ756" s="107"/>
      <c r="CR756" s="107"/>
      <c r="CS756" s="107"/>
      <c r="CT756" s="107"/>
      <c r="CU756" s="107"/>
      <c r="CV756" s="107"/>
    </row>
    <row r="757" customFormat="false" ht="14.9" hidden="false" customHeight="false" outlineLevel="0" collapsed="false">
      <c r="A757" s="74" t="n">
        <f aca="false">MONTH(B757)</f>
        <v>9</v>
      </c>
      <c r="B757" s="135" t="n">
        <v>44469</v>
      </c>
      <c r="C757" s="128" t="s">
        <v>51</v>
      </c>
      <c r="D757" s="77" t="str">
        <f aca="false">IFERROR(VLOOKUP(E:E,'Item Data Support Sheet'!A:O,7,0),"")</f>
        <v>CAP MOLDED</v>
      </c>
      <c r="E757" s="80" t="s">
        <v>199</v>
      </c>
      <c r="F757" s="122"/>
      <c r="G757" s="137" t="s">
        <v>1211</v>
      </c>
      <c r="H757" s="79" t="str">
        <f aca="false">IFERROR(VLOOKUP(E:E,'Item Data Support Sheet'!A:O,2,0),"")</f>
        <v>CAP S TYPE MOLDED RED</v>
      </c>
      <c r="I757" s="80" t="s">
        <v>1464</v>
      </c>
      <c r="J757" s="80" t="s">
        <v>143</v>
      </c>
      <c r="K757" s="81" t="n">
        <v>3</v>
      </c>
      <c r="L757" s="124" t="n">
        <v>1551</v>
      </c>
      <c r="M757" s="83" t="n">
        <f aca="false">IFERROR(L757/K757,0)</f>
        <v>517</v>
      </c>
      <c r="N757" s="84" t="n">
        <f aca="false">+O757+Q757+T757+U757</f>
        <v>1612</v>
      </c>
      <c r="O757" s="85" t="n">
        <v>1600</v>
      </c>
      <c r="P757" s="86" t="n">
        <v>0</v>
      </c>
      <c r="Q757" s="86" t="n">
        <v>0</v>
      </c>
      <c r="R757" s="132" t="n">
        <v>0</v>
      </c>
      <c r="S757" s="128" t="n">
        <v>0</v>
      </c>
      <c r="T757" s="132" t="n">
        <v>4</v>
      </c>
      <c r="U757" s="128" t="n">
        <v>8</v>
      </c>
      <c r="V757" s="128" t="n">
        <v>1</v>
      </c>
      <c r="W757" s="90" t="n">
        <f aca="false">IFERROR(O757/V757,0)</f>
        <v>1600</v>
      </c>
      <c r="X757" s="91" t="n">
        <f aca="false">O757/L757</f>
        <v>1.03159252095422</v>
      </c>
      <c r="Y757" s="92" t="str">
        <f aca="false">IFERROR(VLOOKUP(E:E,'Item Data Support Sheet'!A:J,6,0),0)</f>
        <v>FO153</v>
      </c>
      <c r="Z757" s="93" t="n">
        <f aca="false">IFERROR(VLOOKUP(E:E,'Item Data Support Sheet'!A:O,4,0),0)</f>
        <v>7.3</v>
      </c>
      <c r="AA757" s="93" t="n">
        <f aca="false">IFERROR(((N757)*(Z757/1000))+P757,0)</f>
        <v>11.7676</v>
      </c>
      <c r="AB757" s="94" t="n">
        <f aca="false">IFERROR((O757*(Z757/1000)/(AA757))," ")</f>
        <v>0.992555831265509</v>
      </c>
      <c r="AC757" s="95" t="n">
        <f aca="false">IFERROR((T757)/((T757)+O757),0)</f>
        <v>0.00249376558603491</v>
      </c>
      <c r="AD757" s="96" t="n">
        <f aca="false">IFERROR(Q757/(Q757+N757),0)</f>
        <v>0</v>
      </c>
      <c r="AE757" s="91" t="n">
        <f aca="false">(N757-T757)/N757</f>
        <v>0.997518610421836</v>
      </c>
      <c r="AF757" s="97" t="n">
        <f aca="false">BR757</f>
        <v>0.333333333333333</v>
      </c>
      <c r="AG757" s="98" t="n">
        <f aca="false">K757-AF757</f>
        <v>2.66666666666667</v>
      </c>
      <c r="AH757" s="99" t="n">
        <f aca="false">IFERROR(AG757/K757," ")</f>
        <v>0.888888888888889</v>
      </c>
      <c r="AI757" s="100" t="n">
        <f aca="false">IFERROR(O757/K757,0)</f>
        <v>533.333333333333</v>
      </c>
      <c r="AJ757" s="101" t="n">
        <f aca="false">VLOOKUP(D757,'Standard Cycle time'!C:D,2,0)</f>
        <v>6</v>
      </c>
      <c r="AK757" s="101" t="n">
        <f aca="false">AG757*V757*3600/O757</f>
        <v>6</v>
      </c>
      <c r="AL757" s="102" t="n">
        <f aca="false">AJ757/AK757</f>
        <v>1</v>
      </c>
      <c r="AM757" s="99" t="n">
        <f aca="false">AE757*AL757*AH757</f>
        <v>0.886683209263854</v>
      </c>
      <c r="AN757" s="103" t="n">
        <v>3780</v>
      </c>
      <c r="AO757" s="112" t="s">
        <v>1421</v>
      </c>
      <c r="AP757" s="105" t="n">
        <v>0</v>
      </c>
      <c r="AQ757" s="105" t="n">
        <v>20</v>
      </c>
      <c r="AR757" s="105" t="n">
        <v>0</v>
      </c>
      <c r="AS757" s="105" t="n">
        <v>0</v>
      </c>
      <c r="AT757" s="105" t="n">
        <v>0</v>
      </c>
      <c r="AU757" s="105" t="n">
        <v>0</v>
      </c>
      <c r="AV757" s="105" t="n">
        <v>0</v>
      </c>
      <c r="AW757" s="105" t="n">
        <v>0</v>
      </c>
      <c r="AX757" s="105" t="n">
        <v>0</v>
      </c>
      <c r="AY757" s="105" t="n">
        <v>0</v>
      </c>
      <c r="AZ757" s="105" t="n">
        <v>0</v>
      </c>
      <c r="BA757" s="105" t="n">
        <v>0</v>
      </c>
      <c r="BB757" s="105" t="n">
        <v>0</v>
      </c>
      <c r="BC757" s="105" t="n">
        <v>0</v>
      </c>
      <c r="BD757" s="105" t="n">
        <v>0</v>
      </c>
      <c r="BE757" s="105" t="n">
        <v>0</v>
      </c>
      <c r="BF757" s="105" t="n">
        <v>0</v>
      </c>
      <c r="BG757" s="105" t="n">
        <v>0</v>
      </c>
      <c r="BH757" s="105" t="n">
        <v>0</v>
      </c>
      <c r="BI757" s="105" t="n">
        <v>0</v>
      </c>
      <c r="BJ757" s="105" t="n">
        <v>0</v>
      </c>
      <c r="BK757" s="105" t="n">
        <v>0</v>
      </c>
      <c r="BL757" s="105" t="n">
        <v>0</v>
      </c>
      <c r="BM757" s="105" t="n">
        <v>0</v>
      </c>
      <c r="BN757" s="105" t="n">
        <v>0</v>
      </c>
      <c r="BO757" s="105" t="n">
        <v>0</v>
      </c>
      <c r="BP757" s="105" t="n">
        <v>0</v>
      </c>
      <c r="BQ757" s="105" t="n">
        <v>0</v>
      </c>
      <c r="BR757" s="106" t="n">
        <v>0.333333333333333</v>
      </c>
      <c r="BS757" s="106" t="n">
        <v>0.338888888888889</v>
      </c>
      <c r="BT757" s="107"/>
      <c r="BU757" s="107"/>
      <c r="BV757" s="107"/>
      <c r="BW757" s="107"/>
      <c r="BX757" s="107"/>
      <c r="BY757" s="107"/>
      <c r="BZ757" s="107"/>
      <c r="CA757" s="107"/>
      <c r="CB757" s="107"/>
      <c r="CC757" s="107"/>
      <c r="CD757" s="107"/>
      <c r="CE757" s="107"/>
      <c r="CF757" s="107"/>
      <c r="CG757" s="107"/>
      <c r="CH757" s="107"/>
      <c r="CI757" s="107"/>
      <c r="CJ757" s="107"/>
      <c r="CK757" s="107"/>
      <c r="CL757" s="107"/>
      <c r="CM757" s="107"/>
      <c r="CN757" s="107"/>
      <c r="CO757" s="107"/>
      <c r="CP757" s="107"/>
      <c r="CQ757" s="107"/>
      <c r="CR757" s="107"/>
      <c r="CS757" s="107"/>
      <c r="CT757" s="107"/>
      <c r="CU757" s="107"/>
      <c r="CV757" s="107"/>
    </row>
    <row r="758" customFormat="false" ht="14.9" hidden="false" customHeight="false" outlineLevel="0" collapsed="false">
      <c r="A758" s="74" t="n">
        <f aca="false">MONTH(B758)</f>
        <v>9</v>
      </c>
      <c r="B758" s="135" t="n">
        <v>44469</v>
      </c>
      <c r="C758" s="128" t="s">
        <v>51</v>
      </c>
      <c r="D758" s="77" t="str">
        <f aca="false">IFERROR(VLOOKUP(E:E,'Item Data Support Sheet'!A:O,7,0),"")</f>
        <v>NIPPLE LASER MARKING</v>
      </c>
      <c r="E758" s="80" t="s">
        <v>885</v>
      </c>
      <c r="F758" s="122"/>
      <c r="G758" s="137" t="s">
        <v>517</v>
      </c>
      <c r="H758" s="79" t="str">
        <f aca="false">IFERROR(VLOOKUP(E:E,'Item Data Support Sheet'!A:O,2,0),"")</f>
        <v>NIPPLE S TYPE Y SIZE PUNCHED LASER MARKED</v>
      </c>
      <c r="I758" s="80" t="s">
        <v>1465</v>
      </c>
      <c r="J758" s="80" t="s">
        <v>143</v>
      </c>
      <c r="K758" s="81" t="n">
        <v>3.5</v>
      </c>
      <c r="L758" s="124" t="n">
        <v>3000</v>
      </c>
      <c r="M758" s="83" t="n">
        <f aca="false">IFERROR(L758/K758,0)</f>
        <v>857.142857142857</v>
      </c>
      <c r="N758" s="84" t="n">
        <f aca="false">+O758+Q758+T758+U758</f>
        <v>3040</v>
      </c>
      <c r="O758" s="85" t="n">
        <v>3040</v>
      </c>
      <c r="P758" s="86" t="n">
        <v>0</v>
      </c>
      <c r="Q758" s="86" t="n">
        <v>0</v>
      </c>
      <c r="R758" s="132" t="n">
        <v>0</v>
      </c>
      <c r="S758" s="128" t="n">
        <v>0</v>
      </c>
      <c r="T758" s="132" t="n">
        <v>0</v>
      </c>
      <c r="U758" s="128" t="n">
        <v>0</v>
      </c>
      <c r="V758" s="128" t="n">
        <v>1</v>
      </c>
      <c r="W758" s="90" t="n">
        <f aca="false">IFERROR(O758/V758,0)</f>
        <v>3040</v>
      </c>
      <c r="X758" s="91" t="n">
        <f aca="false">O758/L758</f>
        <v>1.01333333333333</v>
      </c>
      <c r="Y758" s="92" t="str">
        <f aca="false">IFERROR(VLOOKUP(E:E,'Item Data Support Sheet'!A:J,6,0),0)</f>
        <v>FO022</v>
      </c>
      <c r="Z758" s="93" t="n">
        <f aca="false">IFERROR(VLOOKUP(E:E,'Item Data Support Sheet'!A:O,4,0),0)</f>
        <v>0</v>
      </c>
      <c r="AA758" s="93" t="n">
        <f aca="false">IFERROR(((N758)*(Z758/1000))+P758,0)</f>
        <v>0</v>
      </c>
      <c r="AB758" s="94" t="str">
        <f aca="false">IFERROR((O758*(Z758/1000)/(AA758))," ")</f>
        <v> </v>
      </c>
      <c r="AC758" s="95" t="n">
        <f aca="false">IFERROR((T758)/((T758)+O758),0)</f>
        <v>0</v>
      </c>
      <c r="AD758" s="96" t="n">
        <f aca="false">IFERROR(Q758/(Q758+N758),0)</f>
        <v>0</v>
      </c>
      <c r="AE758" s="91" t="n">
        <f aca="false">(N758-T758)/N758</f>
        <v>1</v>
      </c>
      <c r="AF758" s="97" t="n">
        <f aca="false">BR758</f>
        <v>0.5</v>
      </c>
      <c r="AG758" s="98" t="n">
        <f aca="false">K758-AF758</f>
        <v>3</v>
      </c>
      <c r="AH758" s="99" t="n">
        <f aca="false">IFERROR(AG758/K758," ")</f>
        <v>0.857142857142857</v>
      </c>
      <c r="AI758" s="100" t="n">
        <f aca="false">IFERROR(O758/K758,0)</f>
        <v>868.571428571429</v>
      </c>
      <c r="AJ758" s="101" t="n">
        <f aca="false">VLOOKUP(D758,'Standard Cycle time'!C:D,2,0)</f>
        <v>3.5</v>
      </c>
      <c r="AK758" s="101" t="n">
        <f aca="false">AG758*V758*3600/O758</f>
        <v>3.55263157894737</v>
      </c>
      <c r="AL758" s="102" t="n">
        <f aca="false">AJ758/AK758</f>
        <v>0.985185185185185</v>
      </c>
      <c r="AM758" s="99" t="n">
        <f aca="false">AE758*AL758*AH758</f>
        <v>0.844444444444444</v>
      </c>
      <c r="AN758" s="103" t="s">
        <v>1466</v>
      </c>
      <c r="AO758" s="112"/>
      <c r="AP758" s="105" t="n">
        <v>30</v>
      </c>
      <c r="AQ758" s="105" t="n">
        <v>0</v>
      </c>
      <c r="AR758" s="105" t="n">
        <v>0</v>
      </c>
      <c r="AS758" s="105" t="n">
        <v>0</v>
      </c>
      <c r="AT758" s="105" t="n">
        <v>0</v>
      </c>
      <c r="AU758" s="105" t="n">
        <v>0</v>
      </c>
      <c r="AV758" s="105" t="n">
        <v>0</v>
      </c>
      <c r="AW758" s="105" t="n">
        <v>0</v>
      </c>
      <c r="AX758" s="105" t="n">
        <v>0</v>
      </c>
      <c r="AY758" s="105" t="n">
        <v>0</v>
      </c>
      <c r="AZ758" s="105" t="n">
        <v>0</v>
      </c>
      <c r="BA758" s="105" t="n">
        <v>0</v>
      </c>
      <c r="BB758" s="105" t="n">
        <v>0</v>
      </c>
      <c r="BC758" s="105" t="n">
        <v>0</v>
      </c>
      <c r="BD758" s="105" t="n">
        <v>0</v>
      </c>
      <c r="BE758" s="105" t="n">
        <v>0</v>
      </c>
      <c r="BF758" s="105" t="n">
        <v>0</v>
      </c>
      <c r="BG758" s="105" t="n">
        <v>0</v>
      </c>
      <c r="BH758" s="105" t="n">
        <v>0</v>
      </c>
      <c r="BI758" s="105" t="n">
        <v>0</v>
      </c>
      <c r="BJ758" s="105" t="n">
        <v>0</v>
      </c>
      <c r="BK758" s="105" t="n">
        <v>0</v>
      </c>
      <c r="BL758" s="105" t="n">
        <v>0</v>
      </c>
      <c r="BM758" s="105" t="n">
        <v>0</v>
      </c>
      <c r="BN758" s="105" t="n">
        <v>0</v>
      </c>
      <c r="BO758" s="105" t="n">
        <v>0</v>
      </c>
      <c r="BP758" s="105" t="n">
        <v>0</v>
      </c>
      <c r="BQ758" s="105" t="n">
        <v>0</v>
      </c>
      <c r="BR758" s="106" t="n">
        <v>0.5</v>
      </c>
      <c r="BS758" s="106" t="n">
        <v>0.508333333333333</v>
      </c>
      <c r="BT758" s="107"/>
      <c r="BU758" s="107"/>
      <c r="BV758" s="107"/>
      <c r="BW758" s="107"/>
      <c r="BX758" s="107"/>
      <c r="BY758" s="107"/>
      <c r="BZ758" s="107"/>
      <c r="CA758" s="107"/>
      <c r="CB758" s="107"/>
      <c r="CC758" s="107"/>
      <c r="CD758" s="107"/>
      <c r="CE758" s="107"/>
      <c r="CF758" s="107"/>
      <c r="CG758" s="107"/>
      <c r="CH758" s="107"/>
      <c r="CI758" s="107"/>
      <c r="CJ758" s="107"/>
      <c r="CK758" s="107"/>
      <c r="CL758" s="107"/>
      <c r="CM758" s="107"/>
      <c r="CN758" s="107"/>
      <c r="CO758" s="107"/>
      <c r="CP758" s="107"/>
      <c r="CQ758" s="107"/>
      <c r="CR758" s="107"/>
      <c r="CS758" s="107"/>
      <c r="CT758" s="107"/>
      <c r="CU758" s="107"/>
      <c r="CV758" s="107"/>
    </row>
    <row r="759" customFormat="false" ht="14.9" hidden="false" customHeight="false" outlineLevel="0" collapsed="false">
      <c r="A759" s="74" t="n">
        <f aca="false">MONTH(B759)</f>
        <v>9</v>
      </c>
      <c r="B759" s="135" t="n">
        <v>44469</v>
      </c>
      <c r="C759" s="128" t="s">
        <v>51</v>
      </c>
      <c r="D759" s="77" t="str">
        <f aca="false">IFERROR(VLOOKUP(E:E,'Item Data Support Sheet'!A:O,7,0),"")</f>
        <v>NIPPLE LASER MARKING</v>
      </c>
      <c r="E759" s="80" t="s">
        <v>444</v>
      </c>
      <c r="F759" s="122"/>
      <c r="G759" s="137" t="s">
        <v>517</v>
      </c>
      <c r="H759" s="79" t="str">
        <f aca="false">IFERROR(VLOOKUP(E:E,'Item Data Support Sheet'!A:O,2,0),"")</f>
        <v>NIPPLE S TYPE S SIZE PUNCHED LASER MARKED</v>
      </c>
      <c r="I759" s="80"/>
      <c r="J759" s="80" t="s">
        <v>143</v>
      </c>
      <c r="K759" s="81" t="n">
        <v>4.5</v>
      </c>
      <c r="L759" s="124" t="n">
        <v>4000</v>
      </c>
      <c r="M759" s="83" t="n">
        <f aca="false">IFERROR(L759/K759,0)</f>
        <v>888.888888888889</v>
      </c>
      <c r="N759" s="84" t="n">
        <f aca="false">+O759+Q759+T759+U759</f>
        <v>4000</v>
      </c>
      <c r="O759" s="85" t="n">
        <v>4000</v>
      </c>
      <c r="P759" s="86" t="n">
        <v>0</v>
      </c>
      <c r="Q759" s="86" t="n">
        <v>0</v>
      </c>
      <c r="R759" s="132" t="n">
        <v>0</v>
      </c>
      <c r="S759" s="128" t="n">
        <v>0</v>
      </c>
      <c r="T759" s="132" t="n">
        <v>0</v>
      </c>
      <c r="U759" s="128" t="n">
        <v>0</v>
      </c>
      <c r="V759" s="128" t="n">
        <v>1</v>
      </c>
      <c r="W759" s="90" t="n">
        <f aca="false">IFERROR(O759/V759,0)</f>
        <v>4000</v>
      </c>
      <c r="X759" s="91" t="n">
        <f aca="false">O759/L759</f>
        <v>1</v>
      </c>
      <c r="Y759" s="92" t="str">
        <f aca="false">IFERROR(VLOOKUP(E:E,'Item Data Support Sheet'!A:J,6,0),0)</f>
        <v>FO019</v>
      </c>
      <c r="Z759" s="93" t="n">
        <f aca="false">IFERROR(VLOOKUP(E:E,'Item Data Support Sheet'!A:O,4,0),0)</f>
        <v>0</v>
      </c>
      <c r="AA759" s="93" t="n">
        <f aca="false">IFERROR(((N759)*(Z759/1000))+P759,0)</f>
        <v>0</v>
      </c>
      <c r="AB759" s="94" t="str">
        <f aca="false">IFERROR((O759*(Z759/1000)/(AA759))," ")</f>
        <v> </v>
      </c>
      <c r="AC759" s="95" t="n">
        <f aca="false">IFERROR((T759)/((T759)+O759),0)</f>
        <v>0</v>
      </c>
      <c r="AD759" s="96" t="n">
        <f aca="false">IFERROR(Q759/(Q759+N759),0)</f>
        <v>0</v>
      </c>
      <c r="AE759" s="91" t="n">
        <f aca="false">(N759-T759)/N759</f>
        <v>1</v>
      </c>
      <c r="AF759" s="97" t="n">
        <f aca="false">BR759</f>
        <v>0.166666666666667</v>
      </c>
      <c r="AG759" s="98" t="n">
        <f aca="false">K759-AF759</f>
        <v>4.33333333333333</v>
      </c>
      <c r="AH759" s="99" t="n">
        <f aca="false">IFERROR(AG759/K759," ")</f>
        <v>0.962962962962963</v>
      </c>
      <c r="AI759" s="100" t="n">
        <f aca="false">IFERROR(O759/K759,0)</f>
        <v>888.888888888889</v>
      </c>
      <c r="AJ759" s="101" t="n">
        <f aca="false">VLOOKUP(D759,'Standard Cycle time'!C:D,2,0)</f>
        <v>3.5</v>
      </c>
      <c r="AK759" s="101" t="n">
        <f aca="false">AG759*V759*3600/O759</f>
        <v>3.9</v>
      </c>
      <c r="AL759" s="102" t="n">
        <f aca="false">AJ759/AK759</f>
        <v>0.897435897435897</v>
      </c>
      <c r="AM759" s="99" t="n">
        <f aca="false">AE759*AL759*AH759</f>
        <v>0.864197530864197</v>
      </c>
      <c r="AN759" s="103" t="s">
        <v>1467</v>
      </c>
      <c r="AO759" s="112"/>
      <c r="AP759" s="105" t="n">
        <v>10</v>
      </c>
      <c r="AQ759" s="105" t="n">
        <v>0</v>
      </c>
      <c r="AR759" s="105" t="n">
        <v>0</v>
      </c>
      <c r="AS759" s="105" t="n">
        <v>0</v>
      </c>
      <c r="AT759" s="105" t="n">
        <v>0</v>
      </c>
      <c r="AU759" s="105" t="n">
        <v>0</v>
      </c>
      <c r="AV759" s="105" t="n">
        <v>0</v>
      </c>
      <c r="AW759" s="105" t="n">
        <v>0</v>
      </c>
      <c r="AX759" s="105" t="n">
        <v>0</v>
      </c>
      <c r="AY759" s="105" t="n">
        <v>0</v>
      </c>
      <c r="AZ759" s="105" t="n">
        <v>0</v>
      </c>
      <c r="BA759" s="105" t="n">
        <v>0</v>
      </c>
      <c r="BB759" s="105" t="n">
        <v>0</v>
      </c>
      <c r="BC759" s="105" t="n">
        <v>0</v>
      </c>
      <c r="BD759" s="105" t="n">
        <v>0</v>
      </c>
      <c r="BE759" s="105" t="n">
        <v>0</v>
      </c>
      <c r="BF759" s="105" t="n">
        <v>0</v>
      </c>
      <c r="BG759" s="105" t="n">
        <v>0</v>
      </c>
      <c r="BH759" s="105" t="n">
        <v>0</v>
      </c>
      <c r="BI759" s="105" t="n">
        <v>0</v>
      </c>
      <c r="BJ759" s="105" t="n">
        <v>0</v>
      </c>
      <c r="BK759" s="105" t="n">
        <v>0</v>
      </c>
      <c r="BL759" s="105" t="n">
        <v>0</v>
      </c>
      <c r="BM759" s="105" t="n">
        <v>0</v>
      </c>
      <c r="BN759" s="105" t="n">
        <v>0</v>
      </c>
      <c r="BO759" s="105" t="n">
        <v>0</v>
      </c>
      <c r="BP759" s="105" t="n">
        <v>0</v>
      </c>
      <c r="BQ759" s="105" t="n">
        <v>0</v>
      </c>
      <c r="BR759" s="106" t="n">
        <v>0.166666666666667</v>
      </c>
      <c r="BS759" s="106" t="n">
        <v>0.169444444444444</v>
      </c>
      <c r="BT759" s="107"/>
      <c r="BU759" s="107"/>
      <c r="BV759" s="107"/>
      <c r="BW759" s="107"/>
      <c r="BX759" s="107"/>
      <c r="BY759" s="107"/>
      <c r="BZ759" s="107"/>
      <c r="CA759" s="107"/>
      <c r="CB759" s="107"/>
      <c r="CC759" s="107"/>
      <c r="CD759" s="107"/>
      <c r="CE759" s="107"/>
      <c r="CF759" s="107"/>
      <c r="CG759" s="107"/>
      <c r="CH759" s="107"/>
      <c r="CI759" s="107"/>
      <c r="CJ759" s="107"/>
      <c r="CK759" s="107"/>
      <c r="CL759" s="107"/>
      <c r="CM759" s="107"/>
      <c r="CN759" s="107"/>
      <c r="CO759" s="107"/>
      <c r="CP759" s="107"/>
      <c r="CQ759" s="107"/>
      <c r="CR759" s="107"/>
      <c r="CS759" s="107"/>
      <c r="CT759" s="107"/>
      <c r="CU759" s="107"/>
      <c r="CV759" s="107"/>
    </row>
    <row r="760" customFormat="false" ht="14.9" hidden="false" customHeight="false" outlineLevel="0" collapsed="false">
      <c r="A760" s="74" t="n">
        <f aca="false">MONTH(B760)</f>
        <v>9</v>
      </c>
      <c r="B760" s="135" t="n">
        <v>44469</v>
      </c>
      <c r="C760" s="128" t="s">
        <v>63</v>
      </c>
      <c r="D760" s="77" t="str">
        <f aca="false">IFERROR(VLOOKUP(E:E,'Item Data Support Sheet'!A:O,7,0),"")</f>
        <v>NIPPLE PUNCH INSPECTED</v>
      </c>
      <c r="E760" s="80" t="s">
        <v>901</v>
      </c>
      <c r="F760" s="122"/>
      <c r="G760" s="137"/>
      <c r="H760" s="79" t="str">
        <f aca="false">IFERROR(VLOOKUP(E:E,'Item Data Support Sheet'!A:O,2,0),"")</f>
        <v>NIPPLE S TYPE Y SIZE PUNCHED INSPECTED</v>
      </c>
      <c r="I760" s="80" t="s">
        <v>1468</v>
      </c>
      <c r="J760" s="80" t="s">
        <v>815</v>
      </c>
      <c r="K760" s="81" t="n">
        <v>6</v>
      </c>
      <c r="L760" s="124" t="n">
        <v>11000</v>
      </c>
      <c r="M760" s="83" t="n">
        <f aca="false">IFERROR(L760/K760,0)</f>
        <v>1833.33333333333</v>
      </c>
      <c r="N760" s="84" t="n">
        <f aca="false">+O760+Q760+T760+U760</f>
        <v>14432</v>
      </c>
      <c r="O760" s="85" t="n">
        <v>14396</v>
      </c>
      <c r="P760" s="86" t="n">
        <v>0</v>
      </c>
      <c r="Q760" s="86" t="n">
        <v>0</v>
      </c>
      <c r="R760" s="132" t="n">
        <v>0</v>
      </c>
      <c r="S760" s="128" t="n">
        <v>0</v>
      </c>
      <c r="T760" s="132" t="n">
        <v>36</v>
      </c>
      <c r="U760" s="128" t="n">
        <v>0</v>
      </c>
      <c r="V760" s="128" t="n">
        <v>2</v>
      </c>
      <c r="W760" s="90" t="n">
        <f aca="false">IFERROR(O760/V760,0)</f>
        <v>7198</v>
      </c>
      <c r="X760" s="91" t="n">
        <f aca="false">O760/L760</f>
        <v>1.30872727272727</v>
      </c>
      <c r="Y760" s="92" t="str">
        <f aca="false">IFERROR(VLOOKUP(E:E,'Item Data Support Sheet'!A:J,6,0),0)</f>
        <v>FO107</v>
      </c>
      <c r="Z760" s="93" t="n">
        <f aca="false">IFERROR(VLOOKUP(E:E,'Item Data Support Sheet'!A:O,4,0),0)</f>
        <v>0</v>
      </c>
      <c r="AA760" s="93" t="n">
        <f aca="false">IFERROR(((N760)*(Z760/1000))+P760,0)</f>
        <v>0</v>
      </c>
      <c r="AB760" s="94" t="str">
        <f aca="false">IFERROR((O760*(Z760/1000)/(AA760))," ")</f>
        <v> </v>
      </c>
      <c r="AC760" s="95" t="n">
        <f aca="false">IFERROR((T760)/((T760)+O760),0)</f>
        <v>0.00249445676274945</v>
      </c>
      <c r="AD760" s="96" t="n">
        <f aca="false">IFERROR(Q760/(Q760+N760),0)</f>
        <v>0</v>
      </c>
      <c r="AE760" s="91" t="n">
        <f aca="false">(N760-T760)/N760</f>
        <v>0.997505543237251</v>
      </c>
      <c r="AF760" s="97" t="n">
        <f aca="false">BR760</f>
        <v>0.666666666666667</v>
      </c>
      <c r="AG760" s="98" t="n">
        <f aca="false">K760-AF760</f>
        <v>5.33333333333333</v>
      </c>
      <c r="AH760" s="99" t="n">
        <f aca="false">IFERROR(AG760/K760," ")</f>
        <v>0.888888888888889</v>
      </c>
      <c r="AI760" s="100" t="n">
        <f aca="false">IFERROR(O760/K760,0)</f>
        <v>2399.33333333333</v>
      </c>
      <c r="AJ760" s="101" t="n">
        <f aca="false">VLOOKUP(D760,'Standard Cycle time'!C:D,2,0)</f>
        <v>4</v>
      </c>
      <c r="AK760" s="101" t="n">
        <f aca="false">AG760*V760*3600/O760</f>
        <v>2.6674076132259</v>
      </c>
      <c r="AL760" s="102" t="n">
        <f aca="false">AJ760/AK760</f>
        <v>1.49958333333333</v>
      </c>
      <c r="AM760" s="99" t="n">
        <f aca="false">AE760*AL760*AH760</f>
        <v>1.32963794448551</v>
      </c>
      <c r="AN760" s="103" t="s">
        <v>1469</v>
      </c>
      <c r="AO760" s="112"/>
      <c r="AP760" s="105" t="n">
        <v>40</v>
      </c>
      <c r="AQ760" s="105" t="n">
        <v>0</v>
      </c>
      <c r="AR760" s="105" t="n">
        <v>0</v>
      </c>
      <c r="AS760" s="105" t="n">
        <v>0</v>
      </c>
      <c r="AT760" s="105" t="n">
        <v>0</v>
      </c>
      <c r="AU760" s="105" t="n">
        <v>0</v>
      </c>
      <c r="AV760" s="105" t="n">
        <v>0</v>
      </c>
      <c r="AW760" s="105" t="n">
        <v>0</v>
      </c>
      <c r="AX760" s="105" t="n">
        <v>0</v>
      </c>
      <c r="AY760" s="105" t="n">
        <v>0</v>
      </c>
      <c r="AZ760" s="105" t="n">
        <v>0</v>
      </c>
      <c r="BA760" s="105" t="n">
        <v>0</v>
      </c>
      <c r="BB760" s="105" t="n">
        <v>0</v>
      </c>
      <c r="BC760" s="105" t="n">
        <v>0</v>
      </c>
      <c r="BD760" s="105" t="n">
        <v>0</v>
      </c>
      <c r="BE760" s="105" t="n">
        <v>0</v>
      </c>
      <c r="BF760" s="105" t="n">
        <v>0</v>
      </c>
      <c r="BG760" s="105" t="n">
        <v>0</v>
      </c>
      <c r="BH760" s="105" t="n">
        <v>0</v>
      </c>
      <c r="BI760" s="105" t="n">
        <v>0</v>
      </c>
      <c r="BJ760" s="105" t="n">
        <v>0</v>
      </c>
      <c r="BK760" s="105" t="n">
        <v>0</v>
      </c>
      <c r="BL760" s="105" t="n">
        <v>0</v>
      </c>
      <c r="BM760" s="105" t="n">
        <v>0</v>
      </c>
      <c r="BN760" s="105" t="n">
        <v>0</v>
      </c>
      <c r="BO760" s="105" t="n">
        <v>0</v>
      </c>
      <c r="BP760" s="105" t="n">
        <v>0</v>
      </c>
      <c r="BQ760" s="105" t="n">
        <v>0</v>
      </c>
      <c r="BR760" s="106" t="n">
        <v>0.666666666666667</v>
      </c>
      <c r="BS760" s="106" t="n">
        <v>0.677777777777778</v>
      </c>
      <c r="BT760" s="107"/>
      <c r="BU760" s="107"/>
      <c r="BV760" s="107"/>
      <c r="BW760" s="107"/>
      <c r="BX760" s="107"/>
      <c r="BY760" s="107"/>
      <c r="BZ760" s="107"/>
      <c r="CA760" s="107"/>
      <c r="CB760" s="107"/>
      <c r="CC760" s="107"/>
      <c r="CD760" s="107"/>
      <c r="CE760" s="107"/>
      <c r="CF760" s="107"/>
      <c r="CG760" s="107"/>
      <c r="CH760" s="107"/>
      <c r="CI760" s="107"/>
      <c r="CJ760" s="107"/>
      <c r="CK760" s="107"/>
      <c r="CL760" s="107"/>
      <c r="CM760" s="107"/>
      <c r="CN760" s="107"/>
      <c r="CO760" s="107"/>
      <c r="CP760" s="107"/>
      <c r="CQ760" s="107"/>
      <c r="CR760" s="107"/>
      <c r="CS760" s="107"/>
      <c r="CT760" s="107"/>
      <c r="CU760" s="107"/>
      <c r="CV760" s="107"/>
    </row>
    <row r="761" customFormat="false" ht="14.9" hidden="false" customHeight="false" outlineLevel="0" collapsed="false">
      <c r="A761" s="74" t="n">
        <f aca="false">MONTH(B761)</f>
        <v>9</v>
      </c>
      <c r="B761" s="135" t="n">
        <v>44469</v>
      </c>
      <c r="C761" s="128" t="s">
        <v>63</v>
      </c>
      <c r="D761" s="77" t="str">
        <f aca="false">IFERROR(VLOOKUP(E:E,'Item Data Support Sheet'!A:O,7,0),"")</f>
        <v>NIPPLE PUNCH INSPECTED</v>
      </c>
      <c r="E761" s="80" t="s">
        <v>297</v>
      </c>
      <c r="F761" s="122"/>
      <c r="G761" s="137"/>
      <c r="H761" s="79" t="str">
        <f aca="false">IFERROR(VLOOKUP(E:E,'Item Data Support Sheet'!A:O,2,0),"")</f>
        <v>NIPPLE S TYPE S SIZE PUNCHED INSPECTED</v>
      </c>
      <c r="I761" s="80" t="s">
        <v>1470</v>
      </c>
      <c r="J761" s="80" t="s">
        <v>815</v>
      </c>
      <c r="K761" s="81" t="n">
        <v>1.7</v>
      </c>
      <c r="L761" s="124" t="n">
        <v>2800</v>
      </c>
      <c r="M761" s="83" t="n">
        <f aca="false">IFERROR(L761/K761,0)</f>
        <v>1647.05882352941</v>
      </c>
      <c r="N761" s="84" t="n">
        <f aca="false">+O761+Q761+T761+U761</f>
        <v>5200</v>
      </c>
      <c r="O761" s="85" t="n">
        <v>5179</v>
      </c>
      <c r="P761" s="86" t="n">
        <v>0</v>
      </c>
      <c r="Q761" s="86" t="n">
        <v>0</v>
      </c>
      <c r="R761" s="132" t="n">
        <v>0</v>
      </c>
      <c r="S761" s="128" t="n">
        <v>0</v>
      </c>
      <c r="T761" s="132" t="n">
        <v>21</v>
      </c>
      <c r="U761" s="128" t="n">
        <v>0</v>
      </c>
      <c r="V761" s="128" t="n">
        <v>2</v>
      </c>
      <c r="W761" s="90" t="n">
        <f aca="false">IFERROR(O761/V761,0)</f>
        <v>2589.5</v>
      </c>
      <c r="X761" s="91" t="n">
        <f aca="false">O761/L761</f>
        <v>1.84964285714286</v>
      </c>
      <c r="Y761" s="92" t="str">
        <f aca="false">IFERROR(VLOOKUP(E:E,'Item Data Support Sheet'!A:J,6,0),0)</f>
        <v>FO104</v>
      </c>
      <c r="Z761" s="93" t="n">
        <f aca="false">IFERROR(VLOOKUP(E:E,'Item Data Support Sheet'!A:O,4,0),0)</f>
        <v>0</v>
      </c>
      <c r="AA761" s="93" t="n">
        <f aca="false">IFERROR(((N761)*(Z761/1000))+P761,0)</f>
        <v>0</v>
      </c>
      <c r="AB761" s="94" t="str">
        <f aca="false">IFERROR((O761*(Z761/1000)/(AA761))," ")</f>
        <v> </v>
      </c>
      <c r="AC761" s="95" t="n">
        <f aca="false">IFERROR((T761)/((T761)+O761),0)</f>
        <v>0.00403846153846154</v>
      </c>
      <c r="AD761" s="96" t="n">
        <f aca="false">IFERROR(Q761/(Q761+N761),0)</f>
        <v>0</v>
      </c>
      <c r="AE761" s="91" t="n">
        <f aca="false">(N761-T761)/N761</f>
        <v>0.995961538461538</v>
      </c>
      <c r="AF761" s="97" t="n">
        <f aca="false">BR761</f>
        <v>0.166666666666667</v>
      </c>
      <c r="AG761" s="98" t="n">
        <f aca="false">K761-AF761</f>
        <v>1.53333333333333</v>
      </c>
      <c r="AH761" s="99" t="n">
        <f aca="false">IFERROR(AG761/K761," ")</f>
        <v>0.901960784313725</v>
      </c>
      <c r="AI761" s="100" t="n">
        <f aca="false">IFERROR(O761/K761,0)</f>
        <v>3046.47058823529</v>
      </c>
      <c r="AJ761" s="101" t="n">
        <f aca="false">VLOOKUP(D761,'Standard Cycle time'!C:D,2,0)</f>
        <v>4</v>
      </c>
      <c r="AK761" s="101" t="n">
        <f aca="false">AG761*V761*3600/O761</f>
        <v>2.13168565360108</v>
      </c>
      <c r="AL761" s="102" t="n">
        <f aca="false">AJ761/AK761</f>
        <v>1.87644927536232</v>
      </c>
      <c r="AM761" s="99" t="n">
        <f aca="false">AE761*AL761*AH761</f>
        <v>1.68564862996481</v>
      </c>
      <c r="AN761" s="103" t="s">
        <v>1471</v>
      </c>
      <c r="AO761" s="112"/>
      <c r="AP761" s="105" t="n">
        <v>10</v>
      </c>
      <c r="AQ761" s="105" t="n">
        <v>0</v>
      </c>
      <c r="AR761" s="105" t="n">
        <v>0</v>
      </c>
      <c r="AS761" s="105" t="n">
        <v>0</v>
      </c>
      <c r="AT761" s="105" t="n">
        <v>0</v>
      </c>
      <c r="AU761" s="105" t="n">
        <v>0</v>
      </c>
      <c r="AV761" s="105" t="n">
        <v>0</v>
      </c>
      <c r="AW761" s="105" t="n">
        <v>0</v>
      </c>
      <c r="AX761" s="105" t="n">
        <v>0</v>
      </c>
      <c r="AY761" s="105" t="n">
        <v>0</v>
      </c>
      <c r="AZ761" s="105" t="n">
        <v>0</v>
      </c>
      <c r="BA761" s="105" t="n">
        <v>0</v>
      </c>
      <c r="BB761" s="105" t="n">
        <v>0</v>
      </c>
      <c r="BC761" s="105" t="n">
        <v>0</v>
      </c>
      <c r="BD761" s="105" t="n">
        <v>0</v>
      </c>
      <c r="BE761" s="105" t="n">
        <v>0</v>
      </c>
      <c r="BF761" s="105" t="n">
        <v>0</v>
      </c>
      <c r="BG761" s="105" t="n">
        <v>0</v>
      </c>
      <c r="BH761" s="105" t="n">
        <v>0</v>
      </c>
      <c r="BI761" s="105" t="n">
        <v>0</v>
      </c>
      <c r="BJ761" s="105" t="n">
        <v>0</v>
      </c>
      <c r="BK761" s="105" t="n">
        <v>0</v>
      </c>
      <c r="BL761" s="105" t="n">
        <v>0</v>
      </c>
      <c r="BM761" s="105" t="n">
        <v>0</v>
      </c>
      <c r="BN761" s="105" t="n">
        <v>0</v>
      </c>
      <c r="BO761" s="105" t="n">
        <v>0</v>
      </c>
      <c r="BP761" s="105" t="n">
        <v>0</v>
      </c>
      <c r="BQ761" s="105" t="n">
        <v>0</v>
      </c>
      <c r="BR761" s="106" t="n">
        <v>0.166666666666667</v>
      </c>
      <c r="BS761" s="106" t="n">
        <v>0.169444444444444</v>
      </c>
      <c r="BT761" s="107"/>
      <c r="BU761" s="107"/>
      <c r="BV761" s="107"/>
      <c r="BW761" s="107"/>
      <c r="BX761" s="107"/>
      <c r="BY761" s="107"/>
      <c r="BZ761" s="107"/>
      <c r="CA761" s="107"/>
      <c r="CB761" s="107"/>
      <c r="CC761" s="107"/>
      <c r="CD761" s="107"/>
      <c r="CE761" s="107"/>
      <c r="CF761" s="107"/>
      <c r="CG761" s="107"/>
      <c r="CH761" s="107"/>
      <c r="CI761" s="107"/>
      <c r="CJ761" s="107"/>
      <c r="CK761" s="107"/>
      <c r="CL761" s="107"/>
      <c r="CM761" s="107"/>
      <c r="CN761" s="107"/>
      <c r="CO761" s="107"/>
      <c r="CP761" s="107"/>
      <c r="CQ761" s="107"/>
      <c r="CR761" s="107"/>
      <c r="CS761" s="107"/>
      <c r="CT761" s="107"/>
      <c r="CU761" s="107"/>
      <c r="CV761" s="107"/>
    </row>
    <row r="762" customFormat="false" ht="14.9" hidden="false" customHeight="false" outlineLevel="0" collapsed="false">
      <c r="A762" s="74" t="n">
        <f aca="false">MONTH(B762)</f>
        <v>9</v>
      </c>
      <c r="B762" s="135" t="n">
        <v>44469</v>
      </c>
      <c r="C762" s="128" t="s">
        <v>63</v>
      </c>
      <c r="D762" s="77" t="str">
        <f aca="false">IFERROR(VLOOKUP(E:E,'Item Data Support Sheet'!A:O,7,0),"")</f>
        <v>NIPPLE PUNCH INSPECTED</v>
      </c>
      <c r="E762" s="80" t="s">
        <v>621</v>
      </c>
      <c r="F762" s="122"/>
      <c r="G762" s="137"/>
      <c r="H762" s="79" t="str">
        <f aca="false">IFERROR(VLOOKUP(E:E,'Item Data Support Sheet'!A:O,2,0),"")</f>
        <v>NIPPLE S TYPE LL SIZE INSPECTED</v>
      </c>
      <c r="I762" s="80" t="s">
        <v>1472</v>
      </c>
      <c r="J762" s="80" t="s">
        <v>815</v>
      </c>
      <c r="K762" s="81" t="n">
        <v>0.3</v>
      </c>
      <c r="L762" s="124" t="n">
        <v>332</v>
      </c>
      <c r="M762" s="83" t="n">
        <f aca="false">IFERROR(L762/K762,0)</f>
        <v>1106.66666666667</v>
      </c>
      <c r="N762" s="84" t="n">
        <f aca="false">+O762+Q762+T762+U762</f>
        <v>500</v>
      </c>
      <c r="O762" s="85" t="n">
        <v>488</v>
      </c>
      <c r="P762" s="86" t="n">
        <v>0</v>
      </c>
      <c r="Q762" s="86" t="n">
        <v>0</v>
      </c>
      <c r="R762" s="132" t="n">
        <v>0</v>
      </c>
      <c r="S762" s="128" t="n">
        <v>0</v>
      </c>
      <c r="T762" s="132" t="n">
        <v>12</v>
      </c>
      <c r="U762" s="128" t="n">
        <v>0</v>
      </c>
      <c r="V762" s="128" t="n">
        <v>2</v>
      </c>
      <c r="W762" s="90" t="n">
        <f aca="false">IFERROR(O762/V762,0)</f>
        <v>244</v>
      </c>
      <c r="X762" s="91" t="n">
        <f aca="false">O762/L762</f>
        <v>1.46987951807229</v>
      </c>
      <c r="Y762" s="92" t="str">
        <f aca="false">IFERROR(VLOOKUP(E:E,'Item Data Support Sheet'!A:J,6,0),0)</f>
        <v>FO152</v>
      </c>
      <c r="Z762" s="93" t="n">
        <f aca="false">IFERROR(VLOOKUP(E:E,'Item Data Support Sheet'!A:O,4,0),0)</f>
        <v>0</v>
      </c>
      <c r="AA762" s="93" t="n">
        <f aca="false">IFERROR(((N762)*(Z762/1000))+P762,0)</f>
        <v>0</v>
      </c>
      <c r="AB762" s="94" t="str">
        <f aca="false">IFERROR((O762*(Z762/1000)/(AA762))," ")</f>
        <v> </v>
      </c>
      <c r="AC762" s="95" t="n">
        <f aca="false">IFERROR((T762)/((T762)+O762),0)</f>
        <v>0.024</v>
      </c>
      <c r="AD762" s="96" t="n">
        <f aca="false">IFERROR(Q762/(Q762+N762),0)</f>
        <v>0</v>
      </c>
      <c r="AE762" s="91" t="n">
        <f aca="false">(N762-T762)/N762</f>
        <v>0.976</v>
      </c>
      <c r="AF762" s="97" t="n">
        <f aca="false">BR762</f>
        <v>0</v>
      </c>
      <c r="AG762" s="98" t="n">
        <f aca="false">K762-AF762</f>
        <v>0.3</v>
      </c>
      <c r="AH762" s="99" t="n">
        <f aca="false">IFERROR(AG762/K762," ")</f>
        <v>1</v>
      </c>
      <c r="AI762" s="100" t="n">
        <f aca="false">IFERROR(O762/K762,0)</f>
        <v>1626.66666666667</v>
      </c>
      <c r="AJ762" s="101" t="n">
        <f aca="false">VLOOKUP(D762,'Standard Cycle time'!C:D,2,0)</f>
        <v>4</v>
      </c>
      <c r="AK762" s="101" t="n">
        <f aca="false">AG762*V762*3600/O762</f>
        <v>4.42622950819672</v>
      </c>
      <c r="AL762" s="102" t="n">
        <f aca="false">AJ762/AK762</f>
        <v>0.903703703703703</v>
      </c>
      <c r="AM762" s="99" t="n">
        <f aca="false">AE762*AL762*AH762</f>
        <v>0.882014814814815</v>
      </c>
      <c r="AN762" s="103" t="n">
        <v>3796</v>
      </c>
      <c r="AO762" s="112"/>
      <c r="AP762" s="105" t="n">
        <v>0</v>
      </c>
      <c r="AQ762" s="105" t="n">
        <v>0</v>
      </c>
      <c r="AR762" s="105" t="n">
        <v>0</v>
      </c>
      <c r="AS762" s="105" t="n">
        <v>0</v>
      </c>
      <c r="AT762" s="105" t="n">
        <v>0</v>
      </c>
      <c r="AU762" s="105" t="n">
        <v>0</v>
      </c>
      <c r="AV762" s="105" t="n">
        <v>0</v>
      </c>
      <c r="AW762" s="105" t="n">
        <v>0</v>
      </c>
      <c r="AX762" s="105" t="n">
        <v>0</v>
      </c>
      <c r="AY762" s="105" t="n">
        <v>0</v>
      </c>
      <c r="AZ762" s="105" t="n">
        <v>0</v>
      </c>
      <c r="BA762" s="105" t="n">
        <v>0</v>
      </c>
      <c r="BB762" s="105" t="n">
        <v>0</v>
      </c>
      <c r="BC762" s="105" t="n">
        <v>0</v>
      </c>
      <c r="BD762" s="105" t="n">
        <v>0</v>
      </c>
      <c r="BE762" s="105" t="n">
        <v>0</v>
      </c>
      <c r="BF762" s="105" t="n">
        <v>0</v>
      </c>
      <c r="BG762" s="105" t="n">
        <v>0</v>
      </c>
      <c r="BH762" s="105" t="n">
        <v>0</v>
      </c>
      <c r="BI762" s="105" t="n">
        <v>0</v>
      </c>
      <c r="BJ762" s="105" t="n">
        <v>0</v>
      </c>
      <c r="BK762" s="105" t="n">
        <v>0</v>
      </c>
      <c r="BL762" s="105" t="n">
        <v>0</v>
      </c>
      <c r="BM762" s="105" t="n">
        <v>0</v>
      </c>
      <c r="BN762" s="105" t="n">
        <v>0</v>
      </c>
      <c r="BO762" s="105" t="n">
        <v>0</v>
      </c>
      <c r="BP762" s="105" t="n">
        <v>0</v>
      </c>
      <c r="BQ762" s="105" t="n">
        <v>0</v>
      </c>
      <c r="BR762" s="106" t="n">
        <v>0</v>
      </c>
      <c r="BS762" s="106" t="n">
        <v>0</v>
      </c>
      <c r="BT762" s="107"/>
      <c r="BU762" s="107"/>
      <c r="BV762" s="107"/>
      <c r="BW762" s="107"/>
      <c r="BX762" s="107"/>
      <c r="BY762" s="107"/>
      <c r="BZ762" s="107"/>
      <c r="CA762" s="107"/>
      <c r="CB762" s="107"/>
      <c r="CC762" s="107"/>
      <c r="CD762" s="107"/>
      <c r="CE762" s="107"/>
      <c r="CF762" s="107"/>
      <c r="CG762" s="107"/>
      <c r="CH762" s="107"/>
      <c r="CI762" s="107"/>
      <c r="CJ762" s="107"/>
      <c r="CK762" s="107"/>
      <c r="CL762" s="107"/>
      <c r="CM762" s="107"/>
      <c r="CN762" s="107"/>
      <c r="CO762" s="107"/>
      <c r="CP762" s="107"/>
      <c r="CQ762" s="107"/>
      <c r="CR762" s="107"/>
      <c r="CS762" s="107"/>
      <c r="CT762" s="107"/>
      <c r="CU762" s="107"/>
      <c r="CV762" s="107"/>
    </row>
    <row r="763" customFormat="false" ht="14.9" hidden="false" customHeight="false" outlineLevel="0" collapsed="false">
      <c r="A763" s="74" t="n">
        <f aca="false">MONTH(B763)</f>
        <v>9</v>
      </c>
      <c r="B763" s="135" t="n">
        <v>44469</v>
      </c>
      <c r="C763" s="128" t="s">
        <v>70</v>
      </c>
      <c r="D763" s="77" t="str">
        <f aca="false">IFERROR(VLOOKUP(E:E,'Item Data Support Sheet'!A:O,7,0),"")</f>
        <v>NIPPLE LASER MARKING</v>
      </c>
      <c r="E763" s="80" t="s">
        <v>444</v>
      </c>
      <c r="F763" s="122"/>
      <c r="G763" s="137" t="s">
        <v>517</v>
      </c>
      <c r="H763" s="79" t="str">
        <f aca="false">IFERROR(VLOOKUP(E:E,'Item Data Support Sheet'!A:O,2,0),"")</f>
        <v>NIPPLE S TYPE S SIZE PUNCHED LASER MARKED</v>
      </c>
      <c r="I763" s="80" t="s">
        <v>1465</v>
      </c>
      <c r="J763" s="80" t="s">
        <v>815</v>
      </c>
      <c r="K763" s="81" t="n">
        <v>8</v>
      </c>
      <c r="L763" s="124" t="n">
        <v>7000</v>
      </c>
      <c r="M763" s="83" t="n">
        <f aca="false">IFERROR(L763/K763,0)</f>
        <v>875</v>
      </c>
      <c r="N763" s="84" t="n">
        <f aca="false">+O763+Q763+T763+U763</f>
        <v>6200</v>
      </c>
      <c r="O763" s="85" t="n">
        <v>6200</v>
      </c>
      <c r="P763" s="86" t="n">
        <v>0</v>
      </c>
      <c r="Q763" s="86" t="n">
        <v>0</v>
      </c>
      <c r="R763" s="132" t="n">
        <v>0</v>
      </c>
      <c r="S763" s="128" t="n">
        <v>0</v>
      </c>
      <c r="T763" s="132" t="n">
        <v>0</v>
      </c>
      <c r="U763" s="128" t="n">
        <v>0</v>
      </c>
      <c r="V763" s="128" t="n">
        <v>1</v>
      </c>
      <c r="W763" s="90" t="n">
        <f aca="false">IFERROR(O763/V763,0)</f>
        <v>6200</v>
      </c>
      <c r="X763" s="91" t="n">
        <f aca="false">O763/L763</f>
        <v>0.885714285714286</v>
      </c>
      <c r="Y763" s="92" t="str">
        <f aca="false">IFERROR(VLOOKUP(E:E,'Item Data Support Sheet'!A:J,6,0),0)</f>
        <v>FO019</v>
      </c>
      <c r="Z763" s="93" t="n">
        <f aca="false">IFERROR(VLOOKUP(E:E,'Item Data Support Sheet'!A:O,4,0),0)</f>
        <v>0</v>
      </c>
      <c r="AA763" s="93" t="n">
        <f aca="false">IFERROR(((N763)*(Z763/1000))+P763,0)</f>
        <v>0</v>
      </c>
      <c r="AB763" s="94" t="str">
        <f aca="false">IFERROR((O763*(Z763/1000)/(AA763))," ")</f>
        <v> </v>
      </c>
      <c r="AC763" s="95" t="n">
        <f aca="false">IFERROR((T763)/((T763)+O763),0)</f>
        <v>0</v>
      </c>
      <c r="AD763" s="96" t="n">
        <f aca="false">IFERROR(Q763/(Q763+N763),0)</f>
        <v>0</v>
      </c>
      <c r="AE763" s="91" t="n">
        <f aca="false">(N763-T763)/N763</f>
        <v>1</v>
      </c>
      <c r="AF763" s="97" t="n">
        <f aca="false">BR763</f>
        <v>1.66666666666667</v>
      </c>
      <c r="AG763" s="98" t="n">
        <f aca="false">K763-AF763</f>
        <v>6.33333333333333</v>
      </c>
      <c r="AH763" s="99" t="n">
        <f aca="false">IFERROR(AG763/K763," ")</f>
        <v>0.791666666666666</v>
      </c>
      <c r="AI763" s="100" t="n">
        <f aca="false">IFERROR(O763/K763,0)</f>
        <v>775</v>
      </c>
      <c r="AJ763" s="101" t="n">
        <f aca="false">VLOOKUP(D763,'Standard Cycle time'!C:D,2,0)</f>
        <v>3.5</v>
      </c>
      <c r="AK763" s="101" t="n">
        <f aca="false">AG763*V763*3600/O763</f>
        <v>3.67741935483871</v>
      </c>
      <c r="AL763" s="102" t="n">
        <f aca="false">AJ763/AK763</f>
        <v>0.951754385964913</v>
      </c>
      <c r="AM763" s="99" t="n">
        <f aca="false">AE763*AL763*AH763</f>
        <v>0.753472222222222</v>
      </c>
      <c r="AN763" s="103" t="s">
        <v>1473</v>
      </c>
      <c r="AO763" s="112"/>
      <c r="AP763" s="105" t="n">
        <v>40</v>
      </c>
      <c r="AQ763" s="105" t="n">
        <v>60</v>
      </c>
      <c r="AR763" s="105" t="n">
        <v>0</v>
      </c>
      <c r="AS763" s="105" t="n">
        <v>0</v>
      </c>
      <c r="AT763" s="105" t="n">
        <v>0</v>
      </c>
      <c r="AU763" s="105" t="n">
        <v>0</v>
      </c>
      <c r="AV763" s="105" t="n">
        <v>0</v>
      </c>
      <c r="AW763" s="105" t="n">
        <v>0</v>
      </c>
      <c r="AX763" s="105" t="n">
        <v>0</v>
      </c>
      <c r="AY763" s="105" t="n">
        <v>0</v>
      </c>
      <c r="AZ763" s="105" t="n">
        <v>0</v>
      </c>
      <c r="BA763" s="105" t="n">
        <v>0</v>
      </c>
      <c r="BB763" s="105" t="n">
        <v>0</v>
      </c>
      <c r="BC763" s="105" t="n">
        <v>0</v>
      </c>
      <c r="BD763" s="105" t="n">
        <v>0</v>
      </c>
      <c r="BE763" s="105" t="n">
        <v>0</v>
      </c>
      <c r="BF763" s="105" t="n">
        <v>0</v>
      </c>
      <c r="BG763" s="105" t="n">
        <v>0</v>
      </c>
      <c r="BH763" s="105" t="n">
        <v>0</v>
      </c>
      <c r="BI763" s="105" t="n">
        <v>0</v>
      </c>
      <c r="BJ763" s="105" t="n">
        <v>0</v>
      </c>
      <c r="BK763" s="105" t="n">
        <v>0</v>
      </c>
      <c r="BL763" s="105" t="n">
        <v>0</v>
      </c>
      <c r="BM763" s="105" t="n">
        <v>0</v>
      </c>
      <c r="BN763" s="105" t="n">
        <v>0</v>
      </c>
      <c r="BO763" s="105" t="n">
        <v>0</v>
      </c>
      <c r="BP763" s="105" t="n">
        <v>0</v>
      </c>
      <c r="BQ763" s="105" t="n">
        <v>0</v>
      </c>
      <c r="BR763" s="106" t="n">
        <v>1.66666666666667</v>
      </c>
      <c r="BS763" s="106" t="n">
        <v>1.69444444444444</v>
      </c>
      <c r="BT763" s="107"/>
      <c r="BU763" s="107"/>
      <c r="BV763" s="107"/>
      <c r="BW763" s="107"/>
      <c r="BX763" s="107"/>
      <c r="BY763" s="107"/>
      <c r="BZ763" s="107"/>
      <c r="CA763" s="107"/>
      <c r="CB763" s="107"/>
      <c r="CC763" s="107"/>
      <c r="CD763" s="107"/>
      <c r="CE763" s="107"/>
      <c r="CF763" s="107"/>
      <c r="CG763" s="107"/>
      <c r="CH763" s="107"/>
      <c r="CI763" s="107"/>
      <c r="CJ763" s="107"/>
      <c r="CK763" s="107"/>
      <c r="CL763" s="107"/>
      <c r="CM763" s="107"/>
      <c r="CN763" s="107"/>
      <c r="CO763" s="107"/>
      <c r="CP763" s="107"/>
      <c r="CQ763" s="107"/>
      <c r="CR763" s="107"/>
      <c r="CS763" s="107"/>
      <c r="CT763" s="107"/>
      <c r="CU763" s="107"/>
      <c r="CV763" s="107"/>
    </row>
    <row r="764" customFormat="false" ht="14.9" hidden="false" customHeight="false" outlineLevel="0" collapsed="false">
      <c r="A764" s="74" t="n">
        <f aca="false">MONTH(B764)</f>
        <v>9</v>
      </c>
      <c r="B764" s="135" t="n">
        <v>44469</v>
      </c>
      <c r="C764" s="128" t="s">
        <v>70</v>
      </c>
      <c r="D764" s="77" t="str">
        <f aca="false">IFERROR(VLOOKUP(E:E,'Item Data Support Sheet'!A:O,7,0),"")</f>
        <v>CAP MOLDED</v>
      </c>
      <c r="E764" s="80" t="s">
        <v>199</v>
      </c>
      <c r="F764" s="122"/>
      <c r="G764" s="137" t="s">
        <v>1211</v>
      </c>
      <c r="H764" s="79" t="str">
        <f aca="false">IFERROR(VLOOKUP(E:E,'Item Data Support Sheet'!A:O,2,0),"")</f>
        <v>CAP S TYPE MOLDED RED</v>
      </c>
      <c r="I764" s="80" t="s">
        <v>1474</v>
      </c>
      <c r="J764" s="80" t="s">
        <v>815</v>
      </c>
      <c r="K764" s="81" t="n">
        <v>8</v>
      </c>
      <c r="L764" s="124" t="n">
        <v>4137</v>
      </c>
      <c r="M764" s="83" t="n">
        <f aca="false">IFERROR(L764/K764,0)</f>
        <v>517.125</v>
      </c>
      <c r="N764" s="84" t="n">
        <f aca="false">+O764+Q764+T764+U764</f>
        <v>4220</v>
      </c>
      <c r="O764" s="85" t="n">
        <v>4220</v>
      </c>
      <c r="P764" s="86" t="n">
        <v>0</v>
      </c>
      <c r="Q764" s="86" t="n">
        <v>0</v>
      </c>
      <c r="R764" s="132" t="n">
        <v>0</v>
      </c>
      <c r="S764" s="128" t="n">
        <v>0</v>
      </c>
      <c r="T764" s="132" t="n">
        <v>0</v>
      </c>
      <c r="U764" s="128" t="n">
        <v>0</v>
      </c>
      <c r="V764" s="128" t="n">
        <v>1</v>
      </c>
      <c r="W764" s="90" t="n">
        <f aca="false">IFERROR(O764/V764,0)</f>
        <v>4220</v>
      </c>
      <c r="X764" s="91" t="n">
        <f aca="false">O764/L764</f>
        <v>1.02006284747402</v>
      </c>
      <c r="Y764" s="92" t="str">
        <f aca="false">IFERROR(VLOOKUP(E:E,'Item Data Support Sheet'!A:J,6,0),0)</f>
        <v>FO153</v>
      </c>
      <c r="Z764" s="93" t="n">
        <f aca="false">IFERROR(VLOOKUP(E:E,'Item Data Support Sheet'!A:O,4,0),0)</f>
        <v>7.3</v>
      </c>
      <c r="AA764" s="93" t="n">
        <f aca="false">IFERROR(((N764)*(Z764/1000))+P764,0)</f>
        <v>30.806</v>
      </c>
      <c r="AB764" s="94" t="n">
        <f aca="false">IFERROR((O764*(Z764/1000)/(AA764))," ")</f>
        <v>1</v>
      </c>
      <c r="AC764" s="95" t="n">
        <f aca="false">IFERROR((T764)/((T764)+O764),0)</f>
        <v>0</v>
      </c>
      <c r="AD764" s="96" t="n">
        <f aca="false">IFERROR(Q764/(Q764+N764),0)</f>
        <v>0</v>
      </c>
      <c r="AE764" s="91" t="n">
        <f aca="false">(N764-T764)/N764</f>
        <v>1</v>
      </c>
      <c r="AF764" s="97" t="n">
        <f aca="false">BR764</f>
        <v>0</v>
      </c>
      <c r="AG764" s="98" t="n">
        <f aca="false">K764-AF764</f>
        <v>8</v>
      </c>
      <c r="AH764" s="99" t="n">
        <f aca="false">IFERROR(AG764/K764," ")</f>
        <v>1</v>
      </c>
      <c r="AI764" s="100" t="n">
        <f aca="false">IFERROR(O764/K764,0)</f>
        <v>527.5</v>
      </c>
      <c r="AJ764" s="101" t="n">
        <f aca="false">VLOOKUP(D764,'Standard Cycle time'!C:D,2,0)</f>
        <v>6</v>
      </c>
      <c r="AK764" s="101" t="n">
        <f aca="false">AG764*V764*3600/O764</f>
        <v>6.82464454976303</v>
      </c>
      <c r="AL764" s="102" t="n">
        <f aca="false">AJ764/AK764</f>
        <v>0.879166666666667</v>
      </c>
      <c r="AM764" s="99" t="n">
        <f aca="false">AE764*AL764*AH764</f>
        <v>0.879166666666667</v>
      </c>
      <c r="AN764" s="103" t="s">
        <v>1475</v>
      </c>
      <c r="AO764" s="112"/>
      <c r="AP764" s="105" t="n">
        <v>0</v>
      </c>
      <c r="AQ764" s="105" t="n">
        <v>0</v>
      </c>
      <c r="AR764" s="105" t="n">
        <v>0</v>
      </c>
      <c r="AS764" s="105" t="n">
        <v>0</v>
      </c>
      <c r="AT764" s="105" t="n">
        <v>0</v>
      </c>
      <c r="AU764" s="105" t="n">
        <v>0</v>
      </c>
      <c r="AV764" s="105" t="n">
        <v>0</v>
      </c>
      <c r="AW764" s="105" t="n">
        <v>0</v>
      </c>
      <c r="AX764" s="105" t="n">
        <v>0</v>
      </c>
      <c r="AY764" s="105" t="n">
        <v>0</v>
      </c>
      <c r="AZ764" s="105" t="n">
        <v>0</v>
      </c>
      <c r="BA764" s="105" t="n">
        <v>0</v>
      </c>
      <c r="BB764" s="105" t="n">
        <v>0</v>
      </c>
      <c r="BC764" s="105" t="n">
        <v>0</v>
      </c>
      <c r="BD764" s="105" t="n">
        <v>0</v>
      </c>
      <c r="BE764" s="105" t="n">
        <v>0</v>
      </c>
      <c r="BF764" s="105" t="n">
        <v>0</v>
      </c>
      <c r="BG764" s="105" t="n">
        <v>0</v>
      </c>
      <c r="BH764" s="105" t="n">
        <v>0</v>
      </c>
      <c r="BI764" s="105" t="n">
        <v>0</v>
      </c>
      <c r="BJ764" s="105" t="n">
        <v>0</v>
      </c>
      <c r="BK764" s="105" t="n">
        <v>0</v>
      </c>
      <c r="BL764" s="105" t="n">
        <v>0</v>
      </c>
      <c r="BM764" s="105" t="n">
        <v>0</v>
      </c>
      <c r="BN764" s="105" t="n">
        <v>0</v>
      </c>
      <c r="BO764" s="105" t="n">
        <v>0</v>
      </c>
      <c r="BP764" s="105" t="n">
        <v>0</v>
      </c>
      <c r="BQ764" s="105" t="n">
        <v>0</v>
      </c>
      <c r="BR764" s="106" t="n">
        <v>0</v>
      </c>
      <c r="BS764" s="106" t="n">
        <v>0</v>
      </c>
      <c r="BT764" s="107"/>
      <c r="BU764" s="107"/>
      <c r="BV764" s="107"/>
      <c r="BW764" s="107"/>
      <c r="BX764" s="107"/>
      <c r="BY764" s="107"/>
      <c r="BZ764" s="107"/>
      <c r="CA764" s="107"/>
      <c r="CB764" s="107"/>
      <c r="CC764" s="107"/>
      <c r="CD764" s="107"/>
      <c r="CE764" s="107"/>
      <c r="CF764" s="107"/>
      <c r="CG764" s="107"/>
      <c r="CH764" s="107"/>
      <c r="CI764" s="107"/>
      <c r="CJ764" s="107"/>
      <c r="CK764" s="107"/>
      <c r="CL764" s="107"/>
      <c r="CM764" s="107"/>
      <c r="CN764" s="107"/>
      <c r="CO764" s="107"/>
      <c r="CP764" s="107"/>
      <c r="CQ764" s="107"/>
      <c r="CR764" s="107"/>
      <c r="CS764" s="107"/>
      <c r="CT764" s="107"/>
      <c r="CU764" s="107"/>
      <c r="CV764" s="107"/>
    </row>
    <row r="765" customFormat="false" ht="14.9" hidden="false" customHeight="false" outlineLevel="0" collapsed="false">
      <c r="A765" s="74" t="n">
        <f aca="false">MONTH(B765)</f>
        <v>9</v>
      </c>
      <c r="B765" s="135" t="n">
        <v>44469</v>
      </c>
      <c r="C765" s="128" t="s">
        <v>63</v>
      </c>
      <c r="D765" s="77" t="str">
        <f aca="false">IFERROR(VLOOKUP(E:E,'Item Data Support Sheet'!A:O,7,0),"")</f>
        <v>BOTTLE PRINTED</v>
      </c>
      <c r="E765" s="80" t="s">
        <v>829</v>
      </c>
      <c r="F765" s="122"/>
      <c r="G765" s="137"/>
      <c r="H765" s="79" t="str">
        <f aca="false">IFERROR(VLOOKUP(E:E,'Item Data Support Sheet'!A:O,2,0),"")</f>
        <v>KPP 120 BOTTLE PRINTED-WMG3B (OZ SCALE)</v>
      </c>
      <c r="I765" s="80"/>
      <c r="J765" s="80" t="s">
        <v>161</v>
      </c>
      <c r="K765" s="81" t="n">
        <v>8.5</v>
      </c>
      <c r="L765" s="124" t="n">
        <v>5100</v>
      </c>
      <c r="M765" s="83" t="n">
        <f aca="false">IFERROR(L765/K765,0)</f>
        <v>600</v>
      </c>
      <c r="N765" s="84" t="n">
        <f aca="false">+O765+Q765+T765+U765</f>
        <v>2126</v>
      </c>
      <c r="O765" s="85" t="n">
        <v>2102</v>
      </c>
      <c r="P765" s="86" t="n">
        <v>0</v>
      </c>
      <c r="Q765" s="86" t="n">
        <v>0</v>
      </c>
      <c r="R765" s="132" t="n">
        <v>0</v>
      </c>
      <c r="S765" s="128" t="n">
        <v>0</v>
      </c>
      <c r="T765" s="132" t="n">
        <v>24</v>
      </c>
      <c r="U765" s="128" t="n">
        <v>0</v>
      </c>
      <c r="V765" s="128" t="n">
        <v>5</v>
      </c>
      <c r="W765" s="90" t="n">
        <f aca="false">IFERROR(O765/V765,0)</f>
        <v>420.4</v>
      </c>
      <c r="X765" s="91" t="n">
        <f aca="false">O765/L765</f>
        <v>0.412156862745098</v>
      </c>
      <c r="Y765" s="92" t="str">
        <f aca="false">IFERROR(VLOOKUP(E:E,'Item Data Support Sheet'!A:J,6,0),0)</f>
        <v>FO042</v>
      </c>
      <c r="Z765" s="93" t="n">
        <f aca="false">IFERROR(VLOOKUP(E:E,'Item Data Support Sheet'!A:O,4,0),0)</f>
        <v>0</v>
      </c>
      <c r="AA765" s="93" t="n">
        <f aca="false">IFERROR(((N765)*(Z765/1000))+P765,0)</f>
        <v>0</v>
      </c>
      <c r="AB765" s="94" t="str">
        <f aca="false">IFERROR((O765*(Z765/1000)/(AA765))," ")</f>
        <v> </v>
      </c>
      <c r="AC765" s="95" t="n">
        <f aca="false">IFERROR((T765)/((T765)+O765),0)</f>
        <v>0.0112888052681091</v>
      </c>
      <c r="AD765" s="96" t="n">
        <f aca="false">IFERROR(Q765/(Q765+N765),0)</f>
        <v>0</v>
      </c>
      <c r="AE765" s="91" t="n">
        <f aca="false">(N765-T765)/N765</f>
        <v>0.988711194731891</v>
      </c>
      <c r="AF765" s="97" t="n">
        <f aca="false">BR765</f>
        <v>4.83333333333333</v>
      </c>
      <c r="AG765" s="98" t="n">
        <f aca="false">K765-AF765</f>
        <v>3.66666666666667</v>
      </c>
      <c r="AH765" s="99" t="n">
        <f aca="false">IFERROR(AG765/K765," ")</f>
        <v>0.431372549019608</v>
      </c>
      <c r="AI765" s="100" t="n">
        <f aca="false">IFERROR(O765/K765,0)</f>
        <v>247.294117647059</v>
      </c>
      <c r="AJ765" s="101" t="n">
        <f aca="false">VLOOKUP(D765,'Standard Cycle time'!C:D,2,0)</f>
        <v>32.4</v>
      </c>
      <c r="AK765" s="101" t="n">
        <f aca="false">AG765*V765*3600/O765</f>
        <v>31.3986679352997</v>
      </c>
      <c r="AL765" s="102" t="n">
        <f aca="false">AJ765/AK765</f>
        <v>1.03189090909091</v>
      </c>
      <c r="AM765" s="99" t="n">
        <f aca="false">AE765*AL765*AH765</f>
        <v>0.440104432516186</v>
      </c>
      <c r="AN765" s="103" t="s">
        <v>1476</v>
      </c>
      <c r="AO765" s="112" t="s">
        <v>1477</v>
      </c>
      <c r="AP765" s="105" t="n">
        <v>50</v>
      </c>
      <c r="AQ765" s="105" t="n">
        <v>0</v>
      </c>
      <c r="AR765" s="105" t="n">
        <v>0</v>
      </c>
      <c r="AS765" s="105" t="n">
        <v>0</v>
      </c>
      <c r="AT765" s="105" t="n">
        <v>0</v>
      </c>
      <c r="AU765" s="105" t="n">
        <v>0</v>
      </c>
      <c r="AV765" s="105" t="n">
        <v>0</v>
      </c>
      <c r="AW765" s="105" t="n">
        <v>0</v>
      </c>
      <c r="AX765" s="105" t="n">
        <v>0</v>
      </c>
      <c r="AY765" s="105" t="n">
        <v>0</v>
      </c>
      <c r="AZ765" s="105" t="n">
        <v>0</v>
      </c>
      <c r="BA765" s="105" t="n">
        <v>0</v>
      </c>
      <c r="BB765" s="105" t="n">
        <v>0</v>
      </c>
      <c r="BC765" s="105" t="n">
        <v>0</v>
      </c>
      <c r="BD765" s="105" t="n">
        <v>0</v>
      </c>
      <c r="BE765" s="105" t="n">
        <v>240</v>
      </c>
      <c r="BF765" s="105" t="n">
        <v>0</v>
      </c>
      <c r="BG765" s="105" t="n">
        <v>0</v>
      </c>
      <c r="BH765" s="105" t="n">
        <v>0</v>
      </c>
      <c r="BI765" s="105" t="n">
        <v>0</v>
      </c>
      <c r="BJ765" s="105" t="n">
        <v>0</v>
      </c>
      <c r="BK765" s="105" t="n">
        <v>0</v>
      </c>
      <c r="BL765" s="105" t="n">
        <v>0</v>
      </c>
      <c r="BM765" s="105" t="n">
        <v>0</v>
      </c>
      <c r="BN765" s="105" t="n">
        <v>0</v>
      </c>
      <c r="BO765" s="105" t="n">
        <v>0</v>
      </c>
      <c r="BP765" s="105" t="n">
        <v>0</v>
      </c>
      <c r="BQ765" s="105" t="n">
        <v>0</v>
      </c>
      <c r="BR765" s="106" t="n">
        <v>4.83333333333333</v>
      </c>
      <c r="BS765" s="106" t="n">
        <v>4.91388888888889</v>
      </c>
      <c r="BT765" s="107"/>
      <c r="BU765" s="107"/>
      <c r="BV765" s="107"/>
      <c r="BW765" s="107"/>
      <c r="BX765" s="107"/>
      <c r="BY765" s="107"/>
      <c r="BZ765" s="107"/>
      <c r="CA765" s="107"/>
      <c r="CB765" s="107"/>
      <c r="CC765" s="107"/>
      <c r="CD765" s="107"/>
      <c r="CE765" s="107"/>
      <c r="CF765" s="107"/>
      <c r="CG765" s="107"/>
      <c r="CH765" s="107"/>
      <c r="CI765" s="107"/>
      <c r="CJ765" s="107"/>
      <c r="CK765" s="107"/>
      <c r="CL765" s="107"/>
      <c r="CM765" s="107"/>
      <c r="CN765" s="107"/>
      <c r="CO765" s="107"/>
      <c r="CP765" s="107"/>
      <c r="CQ765" s="107"/>
      <c r="CR765" s="107"/>
      <c r="CS765" s="107"/>
      <c r="CT765" s="107"/>
      <c r="CU765" s="107"/>
      <c r="CV765" s="107"/>
    </row>
    <row r="766" customFormat="false" ht="14.9" hidden="false" customHeight="false" outlineLevel="0" collapsed="false">
      <c r="A766" s="74" t="n">
        <f aca="false">MONTH(B766)</f>
        <v>10</v>
      </c>
      <c r="B766" s="135" t="n">
        <v>44473</v>
      </c>
      <c r="C766" s="128" t="s">
        <v>51</v>
      </c>
      <c r="D766" s="77" t="str">
        <f aca="false">IFERROR(VLOOKUP(E:E,'Item Data Support Sheet'!A:O,7,0),"")</f>
        <v>CAP MOLDED</v>
      </c>
      <c r="E766" s="80" t="s">
        <v>199</v>
      </c>
      <c r="F766" s="122"/>
      <c r="G766" s="137" t="s">
        <v>1478</v>
      </c>
      <c r="H766" s="79" t="str">
        <f aca="false">IFERROR(VLOOKUP(E:E,'Item Data Support Sheet'!A:O,2,0),"")</f>
        <v>CAP S TYPE MOLDED RED</v>
      </c>
      <c r="I766" s="80" t="s">
        <v>1479</v>
      </c>
      <c r="J766" s="80" t="s">
        <v>143</v>
      </c>
      <c r="K766" s="124" t="n">
        <v>3</v>
      </c>
      <c r="L766" s="124" t="n">
        <v>1551</v>
      </c>
      <c r="M766" s="83" t="n">
        <v>517</v>
      </c>
      <c r="N766" s="84" t="n">
        <f aca="false">+O766+Q766+T766+U766</f>
        <v>800</v>
      </c>
      <c r="O766" s="85" t="n">
        <v>800</v>
      </c>
      <c r="P766" s="86" t="n">
        <v>0.2</v>
      </c>
      <c r="Q766" s="86" t="n">
        <v>0</v>
      </c>
      <c r="R766" s="132" t="n">
        <v>0</v>
      </c>
      <c r="S766" s="128" t="n">
        <v>0</v>
      </c>
      <c r="T766" s="132" t="n">
        <v>0</v>
      </c>
      <c r="U766" s="128" t="n">
        <v>0</v>
      </c>
      <c r="V766" s="128" t="n">
        <v>1</v>
      </c>
      <c r="W766" s="90" t="n">
        <f aca="false">IFERROR(O766/V766,0)</f>
        <v>800</v>
      </c>
      <c r="X766" s="91" t="n">
        <f aca="false">O766/L766</f>
        <v>0.515796260477112</v>
      </c>
      <c r="Y766" s="92" t="str">
        <f aca="false">IFERROR(VLOOKUP(E:E,'Item Data Support Sheet'!A:J,6,0),0)</f>
        <v>FO153</v>
      </c>
      <c r="Z766" s="93" t="n">
        <f aca="false">IFERROR(VLOOKUP(E:E,'Item Data Support Sheet'!A:O,4,0),0)</f>
        <v>7.3</v>
      </c>
      <c r="AA766" s="93" t="n">
        <f aca="false">IFERROR(((N766)*(Z766/1000))+P766,0)</f>
        <v>6.04</v>
      </c>
      <c r="AB766" s="94" t="n">
        <f aca="false">IFERROR((O766*(Z766/1000)/(AA766))," ")</f>
        <v>0.966887417218543</v>
      </c>
      <c r="AC766" s="95" t="n">
        <f aca="false">IFERROR((T766)/((T766)+O766),0)</f>
        <v>0</v>
      </c>
      <c r="AD766" s="96" t="n">
        <f aca="false">IFERROR(Q766/(Q766+N766),0)</f>
        <v>0</v>
      </c>
      <c r="AE766" s="91" t="n">
        <f aca="false">(N766-T766)/N766</f>
        <v>1</v>
      </c>
      <c r="AF766" s="97" t="n">
        <f aca="false">BR766</f>
        <v>1.66666666666667</v>
      </c>
      <c r="AG766" s="98" t="n">
        <f aca="false">K766-AF766</f>
        <v>1.33333333333333</v>
      </c>
      <c r="AH766" s="99" t="n">
        <f aca="false">IFERROR(AG766/K766," ")</f>
        <v>0.444444444444443</v>
      </c>
      <c r="AI766" s="100" t="n">
        <f aca="false">IFERROR(O766/K766,0)</f>
        <v>266.666666666667</v>
      </c>
      <c r="AJ766" s="101" t="n">
        <f aca="false">VLOOKUP(D766,'Standard Cycle time'!C:D,2,0)</f>
        <v>6</v>
      </c>
      <c r="AK766" s="101" t="n">
        <f aca="false">AG766*V766*3600/O766</f>
        <v>5.99999999999999</v>
      </c>
      <c r="AL766" s="102" t="n">
        <f aca="false">AJ766/AK766</f>
        <v>1</v>
      </c>
      <c r="AM766" s="99" t="n">
        <f aca="false">AE766*AL766*AH766</f>
        <v>0.444444444444444</v>
      </c>
      <c r="AN766" s="103" t="n">
        <v>0.444444444444444</v>
      </c>
      <c r="AO766" s="112" t="s">
        <v>1480</v>
      </c>
      <c r="AP766" s="105" t="n">
        <v>0</v>
      </c>
      <c r="AQ766" s="105" t="n">
        <v>0</v>
      </c>
      <c r="AR766" s="105" t="n">
        <v>0</v>
      </c>
      <c r="AS766" s="105" t="n">
        <v>0</v>
      </c>
      <c r="AT766" s="105" t="n">
        <v>0</v>
      </c>
      <c r="AU766" s="105" t="n">
        <v>0</v>
      </c>
      <c r="AV766" s="105" t="n">
        <v>45</v>
      </c>
      <c r="AW766" s="105" t="n">
        <v>0</v>
      </c>
      <c r="AX766" s="105" t="n">
        <v>0</v>
      </c>
      <c r="AY766" s="105" t="n">
        <v>0</v>
      </c>
      <c r="AZ766" s="105" t="n">
        <v>0</v>
      </c>
      <c r="BA766" s="105" t="n">
        <v>0</v>
      </c>
      <c r="BB766" s="105" t="n">
        <v>30</v>
      </c>
      <c r="BC766" s="105" t="n">
        <v>0</v>
      </c>
      <c r="BD766" s="105" t="n">
        <v>0</v>
      </c>
      <c r="BE766" s="105" t="n">
        <v>0</v>
      </c>
      <c r="BF766" s="105" t="n">
        <v>0</v>
      </c>
      <c r="BG766" s="105" t="n">
        <v>0</v>
      </c>
      <c r="BH766" s="105" t="n">
        <v>0</v>
      </c>
      <c r="BI766" s="105" t="n">
        <v>0</v>
      </c>
      <c r="BJ766" s="105" t="n">
        <v>0</v>
      </c>
      <c r="BK766" s="105" t="n">
        <v>0</v>
      </c>
      <c r="BL766" s="105" t="n">
        <v>0</v>
      </c>
      <c r="BM766" s="105" t="n">
        <v>15</v>
      </c>
      <c r="BN766" s="105" t="n">
        <v>10</v>
      </c>
      <c r="BO766" s="105" t="n">
        <v>0</v>
      </c>
      <c r="BP766" s="105" t="n">
        <v>0</v>
      </c>
      <c r="BQ766" s="105" t="n">
        <v>0</v>
      </c>
      <c r="BR766" s="106" t="n">
        <v>1.66666666666667</v>
      </c>
      <c r="BS766" s="106" t="n">
        <v>1.66666666666667</v>
      </c>
      <c r="BT766" s="107"/>
      <c r="BU766" s="107"/>
      <c r="BV766" s="107"/>
      <c r="BW766" s="107"/>
      <c r="BX766" s="107"/>
      <c r="BY766" s="107"/>
      <c r="BZ766" s="107"/>
      <c r="CA766" s="107"/>
      <c r="CB766" s="107"/>
      <c r="CC766" s="107"/>
      <c r="CD766" s="107"/>
      <c r="CE766" s="107"/>
      <c r="CF766" s="107"/>
      <c r="CG766" s="107"/>
      <c r="CH766" s="107"/>
      <c r="CI766" s="107"/>
      <c r="CJ766" s="107"/>
      <c r="CK766" s="107"/>
      <c r="CL766" s="107"/>
      <c r="CM766" s="107"/>
      <c r="CN766" s="107"/>
      <c r="CO766" s="107"/>
      <c r="CP766" s="107"/>
      <c r="CQ766" s="107"/>
      <c r="CR766" s="107"/>
      <c r="CS766" s="107"/>
      <c r="CT766" s="107"/>
      <c r="CU766" s="107"/>
      <c r="CV766" s="107"/>
      <c r="CX766" s="0" t="s">
        <v>143</v>
      </c>
      <c r="CY766" s="0" t="s">
        <v>1481</v>
      </c>
    </row>
    <row r="767" customFormat="false" ht="14.9" hidden="false" customHeight="false" outlineLevel="0" collapsed="false">
      <c r="A767" s="74" t="n">
        <f aca="false">MONTH(B767)</f>
        <v>10</v>
      </c>
      <c r="B767" s="135" t="n">
        <v>44473</v>
      </c>
      <c r="C767" s="128" t="s">
        <v>51</v>
      </c>
      <c r="D767" s="77" t="str">
        <f aca="false">IFERROR(VLOOKUP(E:E,'Item Data Support Sheet'!A:O,7,0),"")</f>
        <v>CAP MOLDED</v>
      </c>
      <c r="E767" s="80" t="s">
        <v>199</v>
      </c>
      <c r="F767" s="122"/>
      <c r="G767" s="137" t="s">
        <v>1215</v>
      </c>
      <c r="H767" s="79" t="str">
        <f aca="false">IFERROR(VLOOKUP(E:E,'Item Data Support Sheet'!A:O,2,0),"")</f>
        <v>CAP S TYPE MOLDED RED</v>
      </c>
      <c r="I767" s="80" t="s">
        <v>1482</v>
      </c>
      <c r="J767" s="80" t="s">
        <v>143</v>
      </c>
      <c r="K767" s="124" t="n">
        <v>5</v>
      </c>
      <c r="L767" s="124" t="n">
        <v>2586</v>
      </c>
      <c r="M767" s="83" t="n">
        <v>517.2</v>
      </c>
      <c r="N767" s="84" t="n">
        <f aca="false">+O767+Q767+T767+U767</f>
        <v>2812</v>
      </c>
      <c r="O767" s="85" t="n">
        <v>2800</v>
      </c>
      <c r="P767" s="86" t="n">
        <v>0</v>
      </c>
      <c r="Q767" s="86" t="n">
        <v>0</v>
      </c>
      <c r="R767" s="132" t="n">
        <v>0</v>
      </c>
      <c r="S767" s="128" t="n">
        <v>0</v>
      </c>
      <c r="T767" s="132" t="n">
        <v>4</v>
      </c>
      <c r="U767" s="128" t="n">
        <v>8</v>
      </c>
      <c r="V767" s="128" t="n">
        <v>1</v>
      </c>
      <c r="W767" s="90" t="n">
        <f aca="false">IFERROR(O767/V767,0)</f>
        <v>2800</v>
      </c>
      <c r="X767" s="91" t="n">
        <f aca="false">O767/L767</f>
        <v>1.08275328692962</v>
      </c>
      <c r="Y767" s="92" t="str">
        <f aca="false">IFERROR(VLOOKUP(E:E,'Item Data Support Sheet'!A:J,6,0),0)</f>
        <v>FO153</v>
      </c>
      <c r="Z767" s="93" t="n">
        <f aca="false">IFERROR(VLOOKUP(E:E,'Item Data Support Sheet'!A:O,4,0),0)</f>
        <v>7.3</v>
      </c>
      <c r="AA767" s="93" t="n">
        <f aca="false">IFERROR(((N767)*(Z767/1000))+P767,0)</f>
        <v>20.5276</v>
      </c>
      <c r="AB767" s="94" t="n">
        <f aca="false">IFERROR((O767*(Z767/1000)/(AA767))," ")</f>
        <v>0.995732574679943</v>
      </c>
      <c r="AC767" s="95" t="n">
        <f aca="false">IFERROR((T767)/((T767)+O767),0)</f>
        <v>0.0014265335235378</v>
      </c>
      <c r="AD767" s="96" t="n">
        <f aca="false">IFERROR(Q767/(Q767+N767),0)</f>
        <v>0</v>
      </c>
      <c r="AE767" s="91" t="n">
        <f aca="false">(N767-T767)/N767</f>
        <v>0.998577524893314</v>
      </c>
      <c r="AF767" s="97" t="n">
        <f aca="false">BR767</f>
        <v>0</v>
      </c>
      <c r="AG767" s="98" t="n">
        <f aca="false">K767-AF767</f>
        <v>5</v>
      </c>
      <c r="AH767" s="99" t="n">
        <f aca="false">IFERROR(AG767/K767," ")</f>
        <v>1</v>
      </c>
      <c r="AI767" s="100" t="n">
        <f aca="false">IFERROR(O767/K767,0)</f>
        <v>560</v>
      </c>
      <c r="AJ767" s="101" t="n">
        <f aca="false">VLOOKUP(D767,'Standard Cycle time'!C:D,2,0)</f>
        <v>6</v>
      </c>
      <c r="AK767" s="101" t="n">
        <f aca="false">AG767*V767*3600/O767</f>
        <v>6.42857142857143</v>
      </c>
      <c r="AL767" s="102" t="n">
        <f aca="false">AJ767/AK767</f>
        <v>0.933333333333333</v>
      </c>
      <c r="AM767" s="99" t="n">
        <f aca="false">AE767*AL767*AH767</f>
        <v>0.932005689900427</v>
      </c>
      <c r="AN767" s="103" t="n">
        <v>0.932005689900427</v>
      </c>
      <c r="AO767" s="112"/>
      <c r="AP767" s="105" t="n">
        <v>0</v>
      </c>
      <c r="AQ767" s="105" t="n">
        <v>0</v>
      </c>
      <c r="AR767" s="105" t="n">
        <v>0</v>
      </c>
      <c r="AS767" s="105" t="n">
        <v>0</v>
      </c>
      <c r="AT767" s="105" t="n">
        <v>0</v>
      </c>
      <c r="AU767" s="105" t="n">
        <v>0</v>
      </c>
      <c r="AV767" s="105" t="n">
        <v>0</v>
      </c>
      <c r="AW767" s="105" t="n">
        <v>0</v>
      </c>
      <c r="AX767" s="105" t="n">
        <v>0</v>
      </c>
      <c r="AY767" s="105" t="n">
        <v>0</v>
      </c>
      <c r="AZ767" s="105" t="n">
        <v>0</v>
      </c>
      <c r="BA767" s="105" t="n">
        <v>0</v>
      </c>
      <c r="BB767" s="105" t="n">
        <v>0</v>
      </c>
      <c r="BC767" s="105" t="n">
        <v>0</v>
      </c>
      <c r="BD767" s="105" t="n">
        <v>0</v>
      </c>
      <c r="BE767" s="105" t="n">
        <v>0</v>
      </c>
      <c r="BF767" s="105" t="n">
        <v>0</v>
      </c>
      <c r="BG767" s="105" t="n">
        <v>0</v>
      </c>
      <c r="BH767" s="105" t="n">
        <v>0</v>
      </c>
      <c r="BI767" s="105" t="n">
        <v>0</v>
      </c>
      <c r="BJ767" s="105" t="n">
        <v>0</v>
      </c>
      <c r="BK767" s="105" t="n">
        <v>0</v>
      </c>
      <c r="BL767" s="105" t="n">
        <v>0</v>
      </c>
      <c r="BM767" s="105" t="n">
        <v>0</v>
      </c>
      <c r="BN767" s="105" t="n">
        <v>0</v>
      </c>
      <c r="BO767" s="105" t="n">
        <v>0</v>
      </c>
      <c r="BP767" s="105" t="n">
        <v>0</v>
      </c>
      <c r="BQ767" s="105" t="n">
        <v>0</v>
      </c>
      <c r="BR767" s="106" t="n">
        <v>0</v>
      </c>
      <c r="BS767" s="106" t="n">
        <v>0</v>
      </c>
      <c r="BT767" s="107"/>
      <c r="BU767" s="107"/>
      <c r="BV767" s="107"/>
      <c r="BW767" s="107"/>
      <c r="BX767" s="107"/>
      <c r="BY767" s="107"/>
      <c r="BZ767" s="107"/>
      <c r="CA767" s="107"/>
      <c r="CB767" s="107"/>
      <c r="CC767" s="107"/>
      <c r="CD767" s="107"/>
      <c r="CE767" s="107"/>
      <c r="CF767" s="107"/>
      <c r="CG767" s="107"/>
      <c r="CH767" s="107"/>
      <c r="CI767" s="107"/>
      <c r="CJ767" s="107"/>
      <c r="CK767" s="107"/>
      <c r="CL767" s="107"/>
      <c r="CM767" s="107"/>
      <c r="CN767" s="107"/>
      <c r="CO767" s="107"/>
      <c r="CP767" s="107"/>
      <c r="CQ767" s="107"/>
      <c r="CR767" s="107"/>
      <c r="CS767" s="107"/>
      <c r="CT767" s="107"/>
      <c r="CU767" s="107"/>
      <c r="CV767" s="107"/>
      <c r="CX767" s="0" t="s">
        <v>815</v>
      </c>
      <c r="CY767" s="0" t="s">
        <v>1483</v>
      </c>
    </row>
    <row r="768" customFormat="false" ht="14.9" hidden="false" customHeight="false" outlineLevel="0" collapsed="false">
      <c r="A768" s="74" t="n">
        <f aca="false">MONTH(B768)</f>
        <v>10</v>
      </c>
      <c r="B768" s="135" t="n">
        <v>44473</v>
      </c>
      <c r="C768" s="128" t="s">
        <v>51</v>
      </c>
      <c r="D768" s="77" t="str">
        <f aca="false">IFERROR(VLOOKUP(E:E,'Item Data Support Sheet'!A:O,7,0),"")</f>
        <v>BOTTLE MOLDED</v>
      </c>
      <c r="E768" s="80" t="s">
        <v>78</v>
      </c>
      <c r="F768" s="122" t="s">
        <v>79</v>
      </c>
      <c r="G768" s="137" t="s">
        <v>74</v>
      </c>
      <c r="H768" s="79" t="str">
        <f aca="false">IFERROR(VLOOKUP(E:E,'Item Data Support Sheet'!A:O,2,0),"")</f>
        <v>RPP 120 ML BOTTLE MOLDED</v>
      </c>
      <c r="I768" s="80" t="s">
        <v>1484</v>
      </c>
      <c r="J768" s="80" t="s">
        <v>143</v>
      </c>
      <c r="K768" s="124" t="n">
        <v>8</v>
      </c>
      <c r="L768" s="124" t="n">
        <v>2574</v>
      </c>
      <c r="M768" s="83" t="n">
        <v>321.75</v>
      </c>
      <c r="N768" s="84" t="n">
        <f aca="false">+O768+Q768+T768+U768</f>
        <v>2256</v>
      </c>
      <c r="O768" s="85" t="n">
        <v>2160</v>
      </c>
      <c r="P768" s="86" t="n">
        <v>0.36</v>
      </c>
      <c r="Q768" s="86" t="n">
        <v>56</v>
      </c>
      <c r="R768" s="132" t="n">
        <v>0</v>
      </c>
      <c r="S768" s="128" t="n">
        <v>0</v>
      </c>
      <c r="T768" s="132" t="n">
        <v>32</v>
      </c>
      <c r="U768" s="128" t="n">
        <v>8</v>
      </c>
      <c r="V768" s="128" t="n">
        <v>1</v>
      </c>
      <c r="W768" s="90" t="n">
        <f aca="false">IFERROR(O768/V768,0)</f>
        <v>2160</v>
      </c>
      <c r="X768" s="91" t="n">
        <f aca="false">O768/L768</f>
        <v>0.839160839160839</v>
      </c>
      <c r="Y768" s="92" t="str">
        <f aca="false">IFERROR(VLOOKUP(E:E,'Item Data Support Sheet'!A:J,6,0),0)</f>
        <v>HMC</v>
      </c>
      <c r="Z768" s="93" t="n">
        <f aca="false">IFERROR(VLOOKUP(E:E,'Item Data Support Sheet'!A:O,4,0),0)</f>
        <v>21.3</v>
      </c>
      <c r="AA768" s="93" t="n">
        <f aca="false">IFERROR(((N768)*(Z768/1000))+P768,0)</f>
        <v>48.4128</v>
      </c>
      <c r="AB768" s="94" t="n">
        <f aca="false">IFERROR((O768*(Z768/1000)/(AA768))," ")</f>
        <v>0.950327186198691</v>
      </c>
      <c r="AC768" s="95" t="n">
        <f aca="false">IFERROR((T768)/((T768)+O768),0)</f>
        <v>0.0145985401459854</v>
      </c>
      <c r="AD768" s="96" t="n">
        <f aca="false">IFERROR(Q768/(Q768+N768),0)</f>
        <v>0.0242214532871972</v>
      </c>
      <c r="AE768" s="91" t="n">
        <f aca="false">(N768-T768)/N768</f>
        <v>0.985815602836879</v>
      </c>
      <c r="AF768" s="97" t="n">
        <f aca="false">BR768</f>
        <v>2.41666666666667</v>
      </c>
      <c r="AG768" s="98" t="n">
        <f aca="false">K768-AF768</f>
        <v>5.58333333333333</v>
      </c>
      <c r="AH768" s="99" t="n">
        <f aca="false">IFERROR(AG768/K768," ")</f>
        <v>0.697916666666666</v>
      </c>
      <c r="AI768" s="100" t="n">
        <f aca="false">IFERROR(O768/K768,0)</f>
        <v>270</v>
      </c>
      <c r="AJ768" s="101" t="n">
        <f aca="false">VLOOKUP(D768,'Standard Cycle time'!C:D,2,0)</f>
        <v>9</v>
      </c>
      <c r="AK768" s="101" t="n">
        <f aca="false">AG768*V768*3600/O768</f>
        <v>9.30555555555555</v>
      </c>
      <c r="AL768" s="102" t="n">
        <f aca="false">AJ768/AK768</f>
        <v>0.967164179104478</v>
      </c>
      <c r="AM768" s="99" t="n">
        <f aca="false">AE768*AL768*AH768</f>
        <v>0.665425531914894</v>
      </c>
      <c r="AN768" s="103" t="n">
        <v>0.665425531914894</v>
      </c>
      <c r="AO768" s="112" t="s">
        <v>1485</v>
      </c>
      <c r="AP768" s="105" t="n">
        <v>0</v>
      </c>
      <c r="AQ768" s="105" t="n">
        <v>0</v>
      </c>
      <c r="AR768" s="105" t="n">
        <v>90</v>
      </c>
      <c r="AS768" s="105" t="n">
        <v>0</v>
      </c>
      <c r="AT768" s="105" t="n">
        <v>0</v>
      </c>
      <c r="AU768" s="105" t="n">
        <v>0</v>
      </c>
      <c r="AV768" s="105" t="n">
        <v>15</v>
      </c>
      <c r="AW768" s="105" t="n">
        <v>20</v>
      </c>
      <c r="AX768" s="105" t="n">
        <v>0</v>
      </c>
      <c r="AY768" s="105" t="n">
        <v>0</v>
      </c>
      <c r="AZ768" s="105" t="n">
        <v>0</v>
      </c>
      <c r="BA768" s="105" t="n">
        <v>0</v>
      </c>
      <c r="BB768" s="105" t="n">
        <v>20</v>
      </c>
      <c r="BC768" s="105" t="n">
        <v>0</v>
      </c>
      <c r="BD768" s="105" t="n">
        <v>0</v>
      </c>
      <c r="BE768" s="105" t="n">
        <v>0</v>
      </c>
      <c r="BF768" s="105" t="n">
        <v>0</v>
      </c>
      <c r="BG768" s="105" t="n">
        <v>0</v>
      </c>
      <c r="BH768" s="105" t="n">
        <v>0</v>
      </c>
      <c r="BI768" s="105" t="n">
        <v>0</v>
      </c>
      <c r="BJ768" s="105" t="n">
        <v>0</v>
      </c>
      <c r="BK768" s="105" t="n">
        <v>0</v>
      </c>
      <c r="BL768" s="105" t="n">
        <v>0</v>
      </c>
      <c r="BM768" s="105" t="n">
        <v>0</v>
      </c>
      <c r="BN768" s="105" t="n">
        <v>0</v>
      </c>
      <c r="BO768" s="105" t="n">
        <v>0</v>
      </c>
      <c r="BP768" s="105" t="n">
        <v>0</v>
      </c>
      <c r="BQ768" s="105" t="n">
        <v>0</v>
      </c>
      <c r="BR768" s="106" t="n">
        <v>2.41666666666667</v>
      </c>
      <c r="BS768" s="106" t="n">
        <v>2.41666666666667</v>
      </c>
      <c r="BT768" s="107"/>
      <c r="BU768" s="107"/>
      <c r="BV768" s="107"/>
      <c r="BW768" s="107"/>
      <c r="BX768" s="107"/>
      <c r="BY768" s="107"/>
      <c r="BZ768" s="107"/>
      <c r="CA768" s="107"/>
      <c r="CB768" s="107"/>
      <c r="CC768" s="107"/>
      <c r="CD768" s="107"/>
      <c r="CE768" s="107"/>
      <c r="CF768" s="107"/>
      <c r="CG768" s="107"/>
      <c r="CH768" s="107"/>
      <c r="CI768" s="107"/>
      <c r="CJ768" s="107"/>
      <c r="CK768" s="107"/>
      <c r="CL768" s="107"/>
      <c r="CM768" s="107"/>
      <c r="CN768" s="107"/>
      <c r="CO768" s="107"/>
      <c r="CP768" s="107"/>
      <c r="CQ768" s="107"/>
      <c r="CR768" s="107"/>
      <c r="CS768" s="107"/>
      <c r="CT768" s="107"/>
      <c r="CU768" s="107"/>
      <c r="CV768" s="107"/>
      <c r="CX768" s="0" t="s">
        <v>155</v>
      </c>
      <c r="CY768" s="0" t="s">
        <v>1486</v>
      </c>
      <c r="CZ768" s="0" t="n">
        <v>48.4128</v>
      </c>
    </row>
    <row r="769" customFormat="false" ht="14.9" hidden="false" customHeight="false" outlineLevel="0" collapsed="false">
      <c r="A769" s="74" t="n">
        <f aca="false">MONTH(B769)</f>
        <v>10</v>
      </c>
      <c r="B769" s="135" t="n">
        <v>44473</v>
      </c>
      <c r="C769" s="128" t="s">
        <v>51</v>
      </c>
      <c r="D769" s="77" t="str">
        <f aca="false">IFERROR(VLOOKUP(E:E,'Item Data Support Sheet'!A:O,7,0),"")</f>
        <v>NIPPLE LASER MARKING</v>
      </c>
      <c r="E769" s="80" t="s">
        <v>444</v>
      </c>
      <c r="F769" s="122"/>
      <c r="G769" s="137" t="s">
        <v>517</v>
      </c>
      <c r="H769" s="79" t="str">
        <f aca="false">IFERROR(VLOOKUP(E:E,'Item Data Support Sheet'!A:O,2,0),"")</f>
        <v>NIPPLE S TYPE S SIZE PUNCHED LASER MARKED</v>
      </c>
      <c r="I769" s="80" t="s">
        <v>1487</v>
      </c>
      <c r="J769" s="80" t="s">
        <v>143</v>
      </c>
      <c r="K769" s="124" t="n">
        <v>8</v>
      </c>
      <c r="L769" s="124" t="n">
        <v>7000</v>
      </c>
      <c r="M769" s="83" t="n">
        <v>875</v>
      </c>
      <c r="N769" s="84" t="n">
        <f aca="false">+O769+Q769+T769+U769</f>
        <v>5582</v>
      </c>
      <c r="O769" s="85" t="n">
        <v>5569</v>
      </c>
      <c r="P769" s="86" t="n">
        <v>0</v>
      </c>
      <c r="Q769" s="86" t="n">
        <v>0</v>
      </c>
      <c r="R769" s="132" t="n">
        <v>0</v>
      </c>
      <c r="S769" s="128" t="n">
        <v>0</v>
      </c>
      <c r="T769" s="132" t="n">
        <v>13</v>
      </c>
      <c r="U769" s="128" t="n">
        <v>0</v>
      </c>
      <c r="V769" s="128" t="n">
        <v>1</v>
      </c>
      <c r="W769" s="90" t="n">
        <f aca="false">IFERROR(O769/V769,0)</f>
        <v>5569</v>
      </c>
      <c r="X769" s="91" t="n">
        <f aca="false">O769/L769</f>
        <v>0.795571428571429</v>
      </c>
      <c r="Y769" s="92" t="str">
        <f aca="false">IFERROR(VLOOKUP(E:E,'Item Data Support Sheet'!A:J,6,0),0)</f>
        <v>FO019</v>
      </c>
      <c r="Z769" s="93" t="n">
        <f aca="false">IFERROR(VLOOKUP(E:E,'Item Data Support Sheet'!A:O,4,0),0)</f>
        <v>0</v>
      </c>
      <c r="AA769" s="93" t="n">
        <f aca="false">IFERROR(((N769)*(Z769/1000))+P769,0)</f>
        <v>0</v>
      </c>
      <c r="AB769" s="94" t="str">
        <f aca="false">IFERROR((O769*(Z769/1000)/(AA769))," ")</f>
        <v> </v>
      </c>
      <c r="AC769" s="95" t="n">
        <f aca="false">IFERROR((T769)/((T769)+O769),0)</f>
        <v>0.00232891436761018</v>
      </c>
      <c r="AD769" s="96" t="n">
        <f aca="false">IFERROR(Q769/(Q769+N769),0)</f>
        <v>0</v>
      </c>
      <c r="AE769" s="91" t="n">
        <f aca="false">(N769-T769)/N769</f>
        <v>0.99767108563239</v>
      </c>
      <c r="AF769" s="97" t="n">
        <f aca="false">BR769</f>
        <v>1.66666666666667</v>
      </c>
      <c r="AG769" s="98" t="n">
        <f aca="false">K769-AF769</f>
        <v>6.33333333333333</v>
      </c>
      <c r="AH769" s="99" t="n">
        <f aca="false">IFERROR(AG769/K769," ")</f>
        <v>0.791666666666666</v>
      </c>
      <c r="AI769" s="100" t="n">
        <f aca="false">IFERROR(O769/K769,0)</f>
        <v>696.125</v>
      </c>
      <c r="AJ769" s="101" t="n">
        <f aca="false">VLOOKUP(D769,'Standard Cycle time'!C:D,2,0)</f>
        <v>3.5</v>
      </c>
      <c r="AK769" s="101" t="n">
        <f aca="false">AG769*V769*3600/O769</f>
        <v>4.09409229664212</v>
      </c>
      <c r="AL769" s="102" t="n">
        <f aca="false">AJ769/AK769</f>
        <v>0.854890350877193</v>
      </c>
      <c r="AM769" s="99" t="n">
        <f aca="false">AE769*AL769*AH769</f>
        <v>0.675212012694574</v>
      </c>
      <c r="AN769" s="103" t="n">
        <v>0.675212012694574</v>
      </c>
      <c r="AO769" s="112" t="s">
        <v>1488</v>
      </c>
      <c r="AP769" s="105" t="n">
        <v>40</v>
      </c>
      <c r="AQ769" s="105" t="n">
        <v>0</v>
      </c>
      <c r="AR769" s="105" t="n">
        <v>0</v>
      </c>
      <c r="AS769" s="105" t="n">
        <v>60</v>
      </c>
      <c r="AT769" s="105" t="n">
        <v>0</v>
      </c>
      <c r="AU769" s="105" t="n">
        <v>0</v>
      </c>
      <c r="AV769" s="105" t="n">
        <v>0</v>
      </c>
      <c r="AW769" s="105" t="n">
        <v>0</v>
      </c>
      <c r="AX769" s="105" t="n">
        <v>0</v>
      </c>
      <c r="AY769" s="105" t="n">
        <v>0</v>
      </c>
      <c r="AZ769" s="105" t="n">
        <v>0</v>
      </c>
      <c r="BA769" s="105" t="n">
        <v>0</v>
      </c>
      <c r="BB769" s="105" t="n">
        <v>0</v>
      </c>
      <c r="BC769" s="105" t="n">
        <v>0</v>
      </c>
      <c r="BD769" s="105" t="n">
        <v>0</v>
      </c>
      <c r="BE769" s="105" t="n">
        <v>0</v>
      </c>
      <c r="BF769" s="105" t="n">
        <v>0</v>
      </c>
      <c r="BG769" s="105" t="n">
        <v>0</v>
      </c>
      <c r="BH769" s="105" t="n">
        <v>0</v>
      </c>
      <c r="BI769" s="105" t="n">
        <v>0</v>
      </c>
      <c r="BJ769" s="105" t="n">
        <v>0</v>
      </c>
      <c r="BK769" s="105" t="n">
        <v>0</v>
      </c>
      <c r="BL769" s="105" t="n">
        <v>0</v>
      </c>
      <c r="BM769" s="105" t="n">
        <v>0</v>
      </c>
      <c r="BN769" s="105" t="n">
        <v>0</v>
      </c>
      <c r="BO769" s="105" t="n">
        <v>0</v>
      </c>
      <c r="BP769" s="105" t="n">
        <v>0</v>
      </c>
      <c r="BQ769" s="105" t="n">
        <v>0</v>
      </c>
      <c r="BR769" s="106" t="n">
        <v>1.66666666666667</v>
      </c>
      <c r="BS769" s="106" t="n">
        <v>1.66666666666667</v>
      </c>
      <c r="BT769" s="107"/>
      <c r="BU769" s="107"/>
      <c r="BV769" s="107"/>
      <c r="BW769" s="107"/>
      <c r="BX769" s="107"/>
      <c r="BY769" s="107"/>
      <c r="BZ769" s="107"/>
      <c r="CA769" s="107"/>
      <c r="CB769" s="107"/>
      <c r="CC769" s="107"/>
      <c r="CD769" s="107"/>
      <c r="CE769" s="107"/>
      <c r="CF769" s="107"/>
      <c r="CG769" s="107"/>
      <c r="CH769" s="107"/>
      <c r="CI769" s="107"/>
      <c r="CJ769" s="107"/>
      <c r="CK769" s="107"/>
      <c r="CL769" s="107"/>
      <c r="CM769" s="107"/>
      <c r="CN769" s="107"/>
      <c r="CO769" s="107"/>
      <c r="CP769" s="107"/>
      <c r="CQ769" s="107"/>
      <c r="CR769" s="107"/>
      <c r="CS769" s="107"/>
      <c r="CT769" s="107"/>
      <c r="CU769" s="107"/>
      <c r="CV769" s="107"/>
      <c r="CX769" s="0" t="s">
        <v>148</v>
      </c>
      <c r="CY769" s="0" t="s">
        <v>1489</v>
      </c>
    </row>
    <row r="770" customFormat="false" ht="14.9" hidden="false" customHeight="false" outlineLevel="0" collapsed="false">
      <c r="A770" s="74" t="n">
        <f aca="false">MONTH(B770)</f>
        <v>10</v>
      </c>
      <c r="B770" s="135" t="n">
        <v>44473</v>
      </c>
      <c r="C770" s="128" t="s">
        <v>51</v>
      </c>
      <c r="D770" s="77" t="str">
        <f aca="false">IFERROR(VLOOKUP(E:E,'Item Data Support Sheet'!A:O,7,0),"")</f>
        <v>BOTTLE PRINTED</v>
      </c>
      <c r="E770" s="80" t="s">
        <v>591</v>
      </c>
      <c r="F770" s="122"/>
      <c r="G770" s="137" t="s">
        <v>66</v>
      </c>
      <c r="H770" s="79" t="str">
        <f aca="false">IFERROR(VLOOKUP(E:E,'Item Data Support Sheet'!A:O,2,0),"")</f>
        <v>RPP 240 ML BOTTLE PRINTED</v>
      </c>
      <c r="I770" s="80" t="s">
        <v>1490</v>
      </c>
      <c r="J770" s="80" t="s">
        <v>161</v>
      </c>
      <c r="K770" s="124" t="n">
        <v>8</v>
      </c>
      <c r="L770" s="124" t="n">
        <v>5800</v>
      </c>
      <c r="M770" s="83" t="n">
        <v>725</v>
      </c>
      <c r="N770" s="84" t="n">
        <f aca="false">+O770+Q770+T770+U770</f>
        <v>5054</v>
      </c>
      <c r="O770" s="85" t="n">
        <v>5040</v>
      </c>
      <c r="P770" s="86" t="n">
        <v>0</v>
      </c>
      <c r="Q770" s="86" t="n">
        <v>0</v>
      </c>
      <c r="R770" s="132" t="n">
        <v>32</v>
      </c>
      <c r="S770" s="128" t="n">
        <v>0</v>
      </c>
      <c r="T770" s="132" t="n">
        <v>14</v>
      </c>
      <c r="U770" s="128" t="n">
        <v>0</v>
      </c>
      <c r="V770" s="128" t="n">
        <v>5</v>
      </c>
      <c r="W770" s="90" t="n">
        <f aca="false">IFERROR(O770/V770,0)</f>
        <v>1008</v>
      </c>
      <c r="X770" s="91" t="n">
        <f aca="false">O770/L770</f>
        <v>0.868965517241379</v>
      </c>
      <c r="Y770" s="92" t="str">
        <f aca="false">IFERROR(VLOOKUP(E:E,'Item Data Support Sheet'!A:J,6,0),0)</f>
        <v>FO005</v>
      </c>
      <c r="Z770" s="93" t="n">
        <f aca="false">IFERROR(VLOOKUP(E:E,'Item Data Support Sheet'!A:O,4,0),0)</f>
        <v>0</v>
      </c>
      <c r="AA770" s="93" t="n">
        <f aca="false">IFERROR(((N770)*(Z770/1000))+P770,0)</f>
        <v>0</v>
      </c>
      <c r="AB770" s="94" t="str">
        <f aca="false">IFERROR((O770*(Z770/1000)/(AA770))," ")</f>
        <v> </v>
      </c>
      <c r="AC770" s="95" t="n">
        <f aca="false">IFERROR((T770)/((T770)+O770),0)</f>
        <v>0.00277008310249307</v>
      </c>
      <c r="AD770" s="96" t="n">
        <f aca="false">IFERROR(Q770/(Q770+N770),0)</f>
        <v>0</v>
      </c>
      <c r="AE770" s="91" t="n">
        <f aca="false">(N770-T770)/N770</f>
        <v>0.997229916897507</v>
      </c>
      <c r="AF770" s="97" t="n">
        <f aca="false">BR770</f>
        <v>0.666666666666667</v>
      </c>
      <c r="AG770" s="98" t="n">
        <f aca="false">K770-AF770</f>
        <v>7.33333333333333</v>
      </c>
      <c r="AH770" s="99" t="n">
        <f aca="false">IFERROR(AG770/K770," ")</f>
        <v>0.916666666666667</v>
      </c>
      <c r="AI770" s="100" t="n">
        <f aca="false">IFERROR(O770/K770,0)</f>
        <v>630</v>
      </c>
      <c r="AJ770" s="101" t="n">
        <f aca="false">VLOOKUP(D770,'Standard Cycle time'!C:D,2,0)</f>
        <v>32.4</v>
      </c>
      <c r="AK770" s="101" t="n">
        <f aca="false">AG770*V770*3600/O770</f>
        <v>26.1904761904762</v>
      </c>
      <c r="AL770" s="102" t="n">
        <f aca="false">AJ770/AK770</f>
        <v>1.23709090909091</v>
      </c>
      <c r="AM770" s="99" t="n">
        <f aca="false">AE770*AL770*AH770</f>
        <v>1.13085872576177</v>
      </c>
      <c r="AN770" s="103" t="n">
        <v>1.13085872576177</v>
      </c>
      <c r="AO770" s="112" t="s">
        <v>1491</v>
      </c>
      <c r="AP770" s="105" t="n">
        <v>40</v>
      </c>
      <c r="AQ770" s="105" t="n">
        <v>0</v>
      </c>
      <c r="AR770" s="105" t="n">
        <v>0</v>
      </c>
      <c r="AS770" s="105" t="n">
        <v>0</v>
      </c>
      <c r="AT770" s="105" t="n">
        <v>0</v>
      </c>
      <c r="AU770" s="105" t="n">
        <v>0</v>
      </c>
      <c r="AV770" s="105" t="n">
        <v>0</v>
      </c>
      <c r="AW770" s="105" t="n">
        <v>0</v>
      </c>
      <c r="AX770" s="105" t="n">
        <v>0</v>
      </c>
      <c r="AY770" s="105" t="n">
        <v>0</v>
      </c>
      <c r="AZ770" s="105" t="n">
        <v>0</v>
      </c>
      <c r="BA770" s="105" t="n">
        <v>0</v>
      </c>
      <c r="BB770" s="105" t="n">
        <v>0</v>
      </c>
      <c r="BC770" s="105" t="n">
        <v>0</v>
      </c>
      <c r="BD770" s="105" t="n">
        <v>0</v>
      </c>
      <c r="BE770" s="105" t="n">
        <v>0</v>
      </c>
      <c r="BF770" s="105" t="n">
        <v>0</v>
      </c>
      <c r="BG770" s="105" t="n">
        <v>0</v>
      </c>
      <c r="BH770" s="105" t="n">
        <v>0</v>
      </c>
      <c r="BI770" s="105" t="n">
        <v>0</v>
      </c>
      <c r="BJ770" s="105" t="n">
        <v>0</v>
      </c>
      <c r="BK770" s="105" t="n">
        <v>0</v>
      </c>
      <c r="BL770" s="105" t="n">
        <v>0</v>
      </c>
      <c r="BM770" s="105" t="n">
        <v>0</v>
      </c>
      <c r="BN770" s="105" t="n">
        <v>0</v>
      </c>
      <c r="BO770" s="105" t="n">
        <v>0</v>
      </c>
      <c r="BP770" s="105" t="n">
        <v>0</v>
      </c>
      <c r="BQ770" s="105" t="n">
        <v>0</v>
      </c>
      <c r="BR770" s="106" t="n">
        <v>0.666666666666667</v>
      </c>
      <c r="BS770" s="106" t="n">
        <v>0.666666666666667</v>
      </c>
      <c r="BT770" s="107"/>
      <c r="BU770" s="107"/>
      <c r="BV770" s="107"/>
      <c r="BW770" s="107"/>
      <c r="BX770" s="107"/>
      <c r="BY770" s="107"/>
      <c r="BZ770" s="107"/>
      <c r="CA770" s="107"/>
      <c r="CB770" s="107"/>
      <c r="CC770" s="107"/>
      <c r="CD770" s="107"/>
      <c r="CE770" s="107"/>
      <c r="CF770" s="107"/>
      <c r="CG770" s="107"/>
      <c r="CH770" s="107"/>
      <c r="CI770" s="107"/>
      <c r="CJ770" s="107"/>
      <c r="CK770" s="107"/>
      <c r="CL770" s="107"/>
      <c r="CM770" s="107"/>
      <c r="CN770" s="107"/>
      <c r="CO770" s="107"/>
      <c r="CP770" s="107"/>
      <c r="CQ770" s="107"/>
      <c r="CR770" s="107"/>
      <c r="CS770" s="107"/>
      <c r="CT770" s="107"/>
      <c r="CU770" s="107"/>
      <c r="CV770" s="107"/>
      <c r="CX770" s="0" t="s">
        <v>161</v>
      </c>
      <c r="CY770" s="0" t="s">
        <v>1492</v>
      </c>
    </row>
    <row r="771" customFormat="false" ht="14.9" hidden="false" customHeight="false" outlineLevel="0" collapsed="false">
      <c r="A771" s="74" t="n">
        <f aca="false">MONTH(B771)</f>
        <v>10</v>
      </c>
      <c r="B771" s="135" t="n">
        <v>44473</v>
      </c>
      <c r="C771" s="128" t="s">
        <v>51</v>
      </c>
      <c r="D771" s="77" t="str">
        <f aca="false">IFERROR(VLOOKUP(E:E,'Item Data Support Sheet'!A:O,7,0),"")</f>
        <v>NIPPLE MOLDED</v>
      </c>
      <c r="E771" s="80" t="s">
        <v>492</v>
      </c>
      <c r="F771" s="122" t="s">
        <v>137</v>
      </c>
      <c r="G771" s="137" t="s">
        <v>138</v>
      </c>
      <c r="H771" s="79" t="str">
        <f aca="false">IFERROR(VLOOKUP(E:E,'Item Data Support Sheet'!A:O,2,0),"")</f>
        <v>NIPPLE S TYPE LL SIZE INJECTION</v>
      </c>
      <c r="I771" s="80" t="s">
        <v>1493</v>
      </c>
      <c r="J771" s="80" t="s">
        <v>143</v>
      </c>
      <c r="K771" s="124" t="n">
        <v>8</v>
      </c>
      <c r="L771" s="124" t="n">
        <v>3600</v>
      </c>
      <c r="M771" s="83" t="n">
        <v>450</v>
      </c>
      <c r="N771" s="84" t="n">
        <f aca="false">+O771+Q771+T771+U771</f>
        <v>1246</v>
      </c>
      <c r="O771" s="85" t="n">
        <v>600</v>
      </c>
      <c r="P771" s="86" t="n">
        <v>0</v>
      </c>
      <c r="Q771" s="86" t="n">
        <v>630</v>
      </c>
      <c r="R771" s="132" t="n">
        <v>0</v>
      </c>
      <c r="S771" s="128" t="n">
        <v>0</v>
      </c>
      <c r="T771" s="132" t="n">
        <v>8</v>
      </c>
      <c r="U771" s="128" t="n">
        <v>8</v>
      </c>
      <c r="V771" s="128" t="n">
        <v>1</v>
      </c>
      <c r="W771" s="90" t="n">
        <f aca="false">IFERROR(O771/V771,0)</f>
        <v>600</v>
      </c>
      <c r="X771" s="91" t="n">
        <f aca="false">O771/L771</f>
        <v>0.166666666666667</v>
      </c>
      <c r="Y771" s="92" t="str">
        <f aca="false">IFERROR(VLOOKUP(E:E,'Item Data Support Sheet'!A:J,6,0),0)</f>
        <v>FO148</v>
      </c>
      <c r="Z771" s="93" t="n">
        <f aca="false">IFERROR(VLOOKUP(E:E,'Item Data Support Sheet'!A:O,4,0),0)</f>
        <v>6.8</v>
      </c>
      <c r="AA771" s="93" t="n">
        <f aca="false">IFERROR(((N771)*(Z771/1000))+P771,0)</f>
        <v>8.4728</v>
      </c>
      <c r="AB771" s="94" t="n">
        <f aca="false">IFERROR((O771*(Z771/1000)/(AA771))," ")</f>
        <v>0.481540930979133</v>
      </c>
      <c r="AC771" s="95" t="n">
        <f aca="false">IFERROR((T771)/((T771)+O771),0)</f>
        <v>0.0131578947368421</v>
      </c>
      <c r="AD771" s="96" t="n">
        <f aca="false">IFERROR(Q771/(Q771+N771),0)</f>
        <v>0.335820895522388</v>
      </c>
      <c r="AE771" s="91" t="n">
        <f aca="false">(N771-T771)/N771</f>
        <v>0.993579454253612</v>
      </c>
      <c r="AF771" s="97" t="n">
        <f aca="false">BR771</f>
        <v>7.16666666666667</v>
      </c>
      <c r="AG771" s="98" t="n">
        <f aca="false">K771-AF771</f>
        <v>0.83333333333333</v>
      </c>
      <c r="AH771" s="99" t="n">
        <f aca="false">IFERROR(AG771/K771," ")</f>
        <v>0.104166666666666</v>
      </c>
      <c r="AI771" s="100" t="n">
        <f aca="false">IFERROR(O771/K771,0)</f>
        <v>75</v>
      </c>
      <c r="AJ771" s="101" t="n">
        <f aca="false">VLOOKUP(D771,'Standard Cycle time'!C:D,2,0)</f>
        <v>5.25</v>
      </c>
      <c r="AK771" s="101" t="n">
        <f aca="false">AG771*V771*3600/O771</f>
        <v>4.99999999999998</v>
      </c>
      <c r="AL771" s="102" t="n">
        <f aca="false">AJ771/AK771</f>
        <v>1.05</v>
      </c>
      <c r="AM771" s="99" t="n">
        <f aca="false">AE771*AL771*AH771</f>
        <v>0.108672752808989</v>
      </c>
      <c r="AN771" s="103" t="n">
        <v>0.108672752808989</v>
      </c>
      <c r="AO771" s="112" t="s">
        <v>1494</v>
      </c>
      <c r="AP771" s="105" t="n">
        <v>0</v>
      </c>
      <c r="AQ771" s="105" t="n">
        <v>0</v>
      </c>
      <c r="AR771" s="105"/>
      <c r="AS771" s="105" t="n">
        <v>0</v>
      </c>
      <c r="AT771" s="105" t="n">
        <v>0</v>
      </c>
      <c r="AU771" s="105" t="n">
        <v>60</v>
      </c>
      <c r="AV771" s="105" t="n">
        <v>60</v>
      </c>
      <c r="AW771" s="105" t="n">
        <v>10</v>
      </c>
      <c r="AX771" s="105" t="n">
        <v>0</v>
      </c>
      <c r="AY771" s="105" t="n">
        <v>0</v>
      </c>
      <c r="AZ771" s="105" t="n">
        <v>0</v>
      </c>
      <c r="BA771" s="105" t="n">
        <v>0</v>
      </c>
      <c r="BB771" s="105" t="n">
        <v>120</v>
      </c>
      <c r="BC771" s="105" t="n">
        <v>0</v>
      </c>
      <c r="BD771" s="105" t="n">
        <v>0</v>
      </c>
      <c r="BE771" s="105" t="n">
        <v>0</v>
      </c>
      <c r="BF771" s="105" t="n">
        <v>0</v>
      </c>
      <c r="BG771" s="105" t="n">
        <v>0</v>
      </c>
      <c r="BH771" s="105" t="n">
        <v>0</v>
      </c>
      <c r="BI771" s="105" t="n">
        <v>0</v>
      </c>
      <c r="BJ771" s="105" t="n">
        <v>0</v>
      </c>
      <c r="BK771" s="105" t="n">
        <v>180</v>
      </c>
      <c r="BL771" s="105" t="n">
        <v>0</v>
      </c>
      <c r="BM771" s="105" t="n">
        <v>0</v>
      </c>
      <c r="BN771" s="105" t="n">
        <v>0</v>
      </c>
      <c r="BO771" s="105" t="n">
        <v>0</v>
      </c>
      <c r="BP771" s="105" t="n">
        <v>0</v>
      </c>
      <c r="BQ771" s="105" t="n">
        <v>0</v>
      </c>
      <c r="BR771" s="106" t="n">
        <v>7.16666666666667</v>
      </c>
      <c r="BS771" s="106" t="n">
        <v>7.16666666666667</v>
      </c>
      <c r="BT771" s="107"/>
      <c r="BU771" s="107"/>
      <c r="BV771" s="107"/>
      <c r="BW771" s="107"/>
      <c r="BX771" s="107"/>
      <c r="BY771" s="107"/>
      <c r="BZ771" s="107"/>
      <c r="CA771" s="107"/>
      <c r="CB771" s="107"/>
      <c r="CC771" s="107"/>
      <c r="CD771" s="107"/>
      <c r="CE771" s="107"/>
      <c r="CF771" s="107"/>
      <c r="CG771" s="107"/>
      <c r="CH771" s="107"/>
      <c r="CI771" s="107"/>
      <c r="CJ771" s="107"/>
      <c r="CK771" s="107"/>
      <c r="CL771" s="107"/>
      <c r="CM771" s="107"/>
      <c r="CN771" s="107"/>
      <c r="CO771" s="107"/>
      <c r="CP771" s="107"/>
      <c r="CQ771" s="107"/>
      <c r="CR771" s="107"/>
      <c r="CS771" s="107"/>
      <c r="CT771" s="107"/>
      <c r="CU771" s="107"/>
      <c r="CV771" s="107"/>
      <c r="CX771" s="0" t="s">
        <v>158</v>
      </c>
      <c r="CY771" s="0" t="s">
        <v>1495</v>
      </c>
    </row>
    <row r="772" customFormat="false" ht="14.9" hidden="false" customHeight="false" outlineLevel="0" collapsed="false">
      <c r="A772" s="74" t="n">
        <f aca="false">MONTH(B772)</f>
        <v>10</v>
      </c>
      <c r="B772" s="135" t="n">
        <v>44473</v>
      </c>
      <c r="C772" s="128" t="s">
        <v>63</v>
      </c>
      <c r="D772" s="77" t="str">
        <f aca="false">IFERROR(VLOOKUP(E:E,'Item Data Support Sheet'!A:O,7,0),"")</f>
        <v>NIPPLE PUNCH INSPECTED</v>
      </c>
      <c r="E772" s="80" t="s">
        <v>297</v>
      </c>
      <c r="F772" s="122"/>
      <c r="G772" s="137"/>
      <c r="H772" s="79" t="str">
        <f aca="false">IFERROR(VLOOKUP(E:E,'Item Data Support Sheet'!A:O,2,0),"")</f>
        <v>NIPPLE S TYPE S SIZE PUNCHED INSPECTED</v>
      </c>
      <c r="I772" s="80" t="s">
        <v>1378</v>
      </c>
      <c r="J772" s="80" t="s">
        <v>158</v>
      </c>
      <c r="K772" s="124" t="n">
        <v>8</v>
      </c>
      <c r="L772" s="124" t="n">
        <v>14132</v>
      </c>
      <c r="M772" s="83" t="n">
        <v>1766.5</v>
      </c>
      <c r="N772" s="84" t="n">
        <f aca="false">+O772+Q772+T772+U772</f>
        <v>9150</v>
      </c>
      <c r="O772" s="85" t="n">
        <v>9131</v>
      </c>
      <c r="P772" s="86" t="n">
        <v>0</v>
      </c>
      <c r="Q772" s="86" t="n">
        <v>0</v>
      </c>
      <c r="R772" s="132" t="n">
        <v>0</v>
      </c>
      <c r="S772" s="128" t="n">
        <v>0</v>
      </c>
      <c r="T772" s="132" t="n">
        <v>19</v>
      </c>
      <c r="U772" s="128" t="n">
        <v>0</v>
      </c>
      <c r="V772" s="128" t="n">
        <v>1</v>
      </c>
      <c r="W772" s="90" t="n">
        <f aca="false">IFERROR(O772/V772,0)</f>
        <v>9131</v>
      </c>
      <c r="X772" s="91" t="n">
        <f aca="false">O772/L772</f>
        <v>0.646122275686385</v>
      </c>
      <c r="Y772" s="92" t="str">
        <f aca="false">IFERROR(VLOOKUP(E:E,'Item Data Support Sheet'!A:J,6,0),0)</f>
        <v>FO104</v>
      </c>
      <c r="Z772" s="93" t="n">
        <f aca="false">IFERROR(VLOOKUP(E:E,'Item Data Support Sheet'!A:O,4,0),0)</f>
        <v>0</v>
      </c>
      <c r="AA772" s="93" t="n">
        <f aca="false">IFERROR(((N772)*(Z772/1000))+P772,0)</f>
        <v>0</v>
      </c>
      <c r="AB772" s="94" t="str">
        <f aca="false">IFERROR((O772*(Z772/1000)/(AA772))," ")</f>
        <v> </v>
      </c>
      <c r="AC772" s="95" t="n">
        <f aca="false">IFERROR((T772)/((T772)+O772),0)</f>
        <v>0.00207650273224044</v>
      </c>
      <c r="AD772" s="96" t="n">
        <f aca="false">IFERROR(Q772/(Q772+N772),0)</f>
        <v>0</v>
      </c>
      <c r="AE772" s="91" t="n">
        <f aca="false">(N772-T772)/N772</f>
        <v>0.99792349726776</v>
      </c>
      <c r="AF772" s="97" t="n">
        <f aca="false">BR772</f>
        <v>0.833333333333333</v>
      </c>
      <c r="AG772" s="98" t="n">
        <f aca="false">K772-AF772</f>
        <v>7.16666666666667</v>
      </c>
      <c r="AH772" s="99" t="n">
        <f aca="false">IFERROR(AG772/K772," ")</f>
        <v>0.895833333333333</v>
      </c>
      <c r="AI772" s="100" t="n">
        <f aca="false">IFERROR(O772/K772,0)</f>
        <v>1141.375</v>
      </c>
      <c r="AJ772" s="101" t="n">
        <f aca="false">VLOOKUP(D772,'Standard Cycle time'!C:D,2,0)</f>
        <v>4</v>
      </c>
      <c r="AK772" s="101" t="n">
        <f aca="false">AG772*V772*3600/O772</f>
        <v>2.82553937137225</v>
      </c>
      <c r="AL772" s="102" t="n">
        <f aca="false">AJ772/AK772</f>
        <v>1.41565891472868</v>
      </c>
      <c r="AM772" s="99" t="n">
        <f aca="false">AE772*AL772*AH772</f>
        <v>1.26556103521554</v>
      </c>
      <c r="AN772" s="103" t="n">
        <v>1.26556103521554</v>
      </c>
      <c r="AO772" s="112" t="s">
        <v>1496</v>
      </c>
      <c r="AP772" s="105" t="n">
        <v>50</v>
      </c>
      <c r="AQ772" s="105" t="n">
        <v>0</v>
      </c>
      <c r="AR772" s="105" t="n">
        <v>0</v>
      </c>
      <c r="AS772" s="105" t="n">
        <v>0</v>
      </c>
      <c r="AT772" s="105" t="n">
        <v>0</v>
      </c>
      <c r="AU772" s="105" t="n">
        <v>0</v>
      </c>
      <c r="AV772" s="105" t="n">
        <v>0</v>
      </c>
      <c r="AW772" s="105" t="n">
        <v>0</v>
      </c>
      <c r="AX772" s="105" t="n">
        <v>0</v>
      </c>
      <c r="AY772" s="105" t="n">
        <v>0</v>
      </c>
      <c r="AZ772" s="105" t="n">
        <v>0</v>
      </c>
      <c r="BA772" s="105" t="n">
        <v>0</v>
      </c>
      <c r="BB772" s="105" t="n">
        <v>0</v>
      </c>
      <c r="BC772" s="105" t="n">
        <v>0</v>
      </c>
      <c r="BD772" s="105" t="n">
        <v>0</v>
      </c>
      <c r="BE772" s="105" t="n">
        <v>0</v>
      </c>
      <c r="BF772" s="105" t="n">
        <v>0</v>
      </c>
      <c r="BG772" s="105" t="n">
        <v>0</v>
      </c>
      <c r="BH772" s="105" t="n">
        <v>0</v>
      </c>
      <c r="BI772" s="105" t="n">
        <v>0</v>
      </c>
      <c r="BJ772" s="105" t="n">
        <v>0</v>
      </c>
      <c r="BK772" s="105" t="n">
        <v>0</v>
      </c>
      <c r="BL772" s="105" t="n">
        <v>0</v>
      </c>
      <c r="BM772" s="105" t="n">
        <v>0</v>
      </c>
      <c r="BN772" s="105" t="n">
        <v>0</v>
      </c>
      <c r="BO772" s="105" t="n">
        <v>0</v>
      </c>
      <c r="BP772" s="105" t="n">
        <v>0</v>
      </c>
      <c r="BQ772" s="105" t="n">
        <v>0</v>
      </c>
      <c r="BR772" s="106" t="n">
        <v>0.833333333333333</v>
      </c>
      <c r="BS772" s="106" t="n">
        <v>0.833333333333333</v>
      </c>
      <c r="BT772" s="107"/>
      <c r="BU772" s="107"/>
      <c r="BV772" s="107"/>
      <c r="BW772" s="107"/>
      <c r="BX772" s="107"/>
      <c r="BY772" s="107"/>
      <c r="BZ772" s="107"/>
      <c r="CA772" s="107"/>
      <c r="CB772" s="107"/>
      <c r="CC772" s="107"/>
      <c r="CD772" s="107"/>
      <c r="CE772" s="107"/>
      <c r="CF772" s="107"/>
      <c r="CG772" s="107"/>
      <c r="CH772" s="107"/>
      <c r="CI772" s="107"/>
      <c r="CJ772" s="107"/>
      <c r="CK772" s="107"/>
      <c r="CL772" s="107"/>
      <c r="CM772" s="107"/>
      <c r="CN772" s="107"/>
      <c r="CO772" s="107"/>
      <c r="CP772" s="107"/>
      <c r="CQ772" s="107"/>
      <c r="CR772" s="107"/>
      <c r="CS772" s="107"/>
      <c r="CT772" s="107"/>
      <c r="CU772" s="107"/>
      <c r="CV772" s="107"/>
      <c r="CY772" s="0" t="s">
        <v>1497</v>
      </c>
    </row>
    <row r="773" customFormat="false" ht="14.9" hidden="false" customHeight="false" outlineLevel="0" collapsed="false">
      <c r="A773" s="74" t="n">
        <f aca="false">MONTH(B773)</f>
        <v>10</v>
      </c>
      <c r="B773" s="135" t="n">
        <v>44473</v>
      </c>
      <c r="C773" s="128" t="s">
        <v>70</v>
      </c>
      <c r="D773" s="77" t="str">
        <f aca="false">IFERROR(VLOOKUP(E:E,'Item Data Support Sheet'!A:O,7,0),"")</f>
        <v>NIPPLE MOLDED</v>
      </c>
      <c r="E773" s="80" t="s">
        <v>492</v>
      </c>
      <c r="F773" s="122" t="s">
        <v>137</v>
      </c>
      <c r="G773" s="137" t="s">
        <v>138</v>
      </c>
      <c r="H773" s="79" t="str">
        <f aca="false">IFERROR(VLOOKUP(E:E,'Item Data Support Sheet'!A:O,2,0),"")</f>
        <v>NIPPLE S TYPE LL SIZE INJECTION</v>
      </c>
      <c r="I773" s="80" t="s">
        <v>1498</v>
      </c>
      <c r="J773" s="80" t="s">
        <v>815</v>
      </c>
      <c r="K773" s="124" t="n">
        <v>8</v>
      </c>
      <c r="L773" s="124" t="n">
        <v>4815</v>
      </c>
      <c r="M773" s="83" t="n">
        <v>601.875</v>
      </c>
      <c r="N773" s="84" t="n">
        <f aca="false">+O773+Q773+T773+U773</f>
        <v>3585</v>
      </c>
      <c r="O773" s="85" t="n">
        <v>3200</v>
      </c>
      <c r="P773" s="86" t="n">
        <v>0</v>
      </c>
      <c r="Q773" s="86" t="n">
        <v>325</v>
      </c>
      <c r="R773" s="132" t="n">
        <v>0</v>
      </c>
      <c r="S773" s="128" t="n">
        <v>0</v>
      </c>
      <c r="T773" s="132" t="n">
        <v>60</v>
      </c>
      <c r="U773" s="128" t="n">
        <v>0</v>
      </c>
      <c r="V773" s="128" t="n">
        <v>1</v>
      </c>
      <c r="W773" s="90" t="n">
        <f aca="false">IFERROR(O773/V773,0)</f>
        <v>3200</v>
      </c>
      <c r="X773" s="91" t="n">
        <f aca="false">O773/L773</f>
        <v>0.664589823468328</v>
      </c>
      <c r="Y773" s="92" t="str">
        <f aca="false">IFERROR(VLOOKUP(E:E,'Item Data Support Sheet'!A:J,6,0),0)</f>
        <v>FO148</v>
      </c>
      <c r="Z773" s="93" t="n">
        <f aca="false">IFERROR(VLOOKUP(E:E,'Item Data Support Sheet'!A:O,4,0),0)</f>
        <v>6.8</v>
      </c>
      <c r="AA773" s="93" t="n">
        <f aca="false">IFERROR(((N773)*(Z773/1000))+P773,0)</f>
        <v>24.378</v>
      </c>
      <c r="AB773" s="94" t="n">
        <f aca="false">IFERROR((O773*(Z773/1000)/(AA773))," ")</f>
        <v>0.892608089260809</v>
      </c>
      <c r="AC773" s="95" t="n">
        <f aca="false">IFERROR((T773)/((T773)+O773),0)</f>
        <v>0.0184049079754601</v>
      </c>
      <c r="AD773" s="96" t="n">
        <f aca="false">IFERROR(Q773/(Q773+N773),0)</f>
        <v>0.0831202046035806</v>
      </c>
      <c r="AE773" s="91" t="n">
        <f aca="false">(N773-T773)/N773</f>
        <v>0.98326359832636</v>
      </c>
      <c r="AF773" s="97" t="n">
        <f aca="false">BR773</f>
        <v>2.5</v>
      </c>
      <c r="AG773" s="98" t="n">
        <f aca="false">K773-AF773</f>
        <v>5.5</v>
      </c>
      <c r="AH773" s="99" t="n">
        <f aca="false">IFERROR(AG773/K773," ")</f>
        <v>0.6875</v>
      </c>
      <c r="AI773" s="100" t="n">
        <f aca="false">IFERROR(O773/K773,0)</f>
        <v>400</v>
      </c>
      <c r="AJ773" s="101" t="n">
        <f aca="false">VLOOKUP(D773,'Standard Cycle time'!C:D,2,0)</f>
        <v>5.25</v>
      </c>
      <c r="AK773" s="101" t="n">
        <f aca="false">AG773*V773*3600/O773</f>
        <v>6.1875</v>
      </c>
      <c r="AL773" s="102" t="n">
        <f aca="false">AJ773/AK773</f>
        <v>0.848484848484848</v>
      </c>
      <c r="AM773" s="99" t="n">
        <f aca="false">AE773*AL773*AH773</f>
        <v>0.573570432357043</v>
      </c>
      <c r="AN773" s="103" t="n">
        <v>0.573570432357043</v>
      </c>
      <c r="AO773" s="112" t="s">
        <v>1499</v>
      </c>
      <c r="AP773" s="105" t="n">
        <v>0</v>
      </c>
      <c r="AQ773" s="105" t="n">
        <v>0</v>
      </c>
      <c r="AR773" s="105" t="n">
        <v>0</v>
      </c>
      <c r="AS773" s="105" t="n">
        <v>0</v>
      </c>
      <c r="AT773" s="105" t="n">
        <v>0</v>
      </c>
      <c r="AU773" s="105" t="n">
        <v>60</v>
      </c>
      <c r="AV773" s="105" t="n">
        <v>60</v>
      </c>
      <c r="AW773" s="105" t="n">
        <v>30</v>
      </c>
      <c r="AX773" s="105" t="n">
        <v>0</v>
      </c>
      <c r="AY773" s="105" t="n">
        <v>0</v>
      </c>
      <c r="AZ773" s="105" t="n">
        <v>0</v>
      </c>
      <c r="BA773" s="105" t="n">
        <v>0</v>
      </c>
      <c r="BB773" s="105" t="n">
        <v>0</v>
      </c>
      <c r="BC773" s="105" t="n">
        <v>0</v>
      </c>
      <c r="BD773" s="105" t="n">
        <v>0</v>
      </c>
      <c r="BE773" s="105" t="n">
        <v>0</v>
      </c>
      <c r="BF773" s="105" t="n">
        <v>0</v>
      </c>
      <c r="BG773" s="105" t="n">
        <v>0</v>
      </c>
      <c r="BH773" s="105" t="n">
        <v>0</v>
      </c>
      <c r="BI773" s="105" t="n">
        <v>0</v>
      </c>
      <c r="BJ773" s="105" t="n">
        <v>0</v>
      </c>
      <c r="BK773" s="105" t="n">
        <v>0</v>
      </c>
      <c r="BL773" s="105" t="n">
        <v>0</v>
      </c>
      <c r="BM773" s="105" t="n">
        <v>0</v>
      </c>
      <c r="BN773" s="105" t="n">
        <v>0</v>
      </c>
      <c r="BO773" s="105" t="n">
        <v>0</v>
      </c>
      <c r="BP773" s="105" t="n">
        <v>0</v>
      </c>
      <c r="BQ773" s="105" t="n">
        <v>0</v>
      </c>
      <c r="BR773" s="106" t="n">
        <v>2.5</v>
      </c>
      <c r="BS773" s="106" t="n">
        <v>2.5</v>
      </c>
      <c r="BT773" s="107"/>
      <c r="BU773" s="107"/>
      <c r="BV773" s="107"/>
      <c r="BW773" s="107"/>
      <c r="BX773" s="107"/>
      <c r="BY773" s="107"/>
      <c r="BZ773" s="107"/>
      <c r="CA773" s="107"/>
      <c r="CB773" s="107"/>
      <c r="CC773" s="107"/>
      <c r="CD773" s="107"/>
      <c r="CE773" s="107"/>
      <c r="CF773" s="107"/>
      <c r="CG773" s="107"/>
      <c r="CH773" s="107"/>
      <c r="CI773" s="107"/>
      <c r="CJ773" s="107"/>
      <c r="CK773" s="107"/>
      <c r="CL773" s="107"/>
      <c r="CM773" s="107"/>
      <c r="CN773" s="107"/>
      <c r="CO773" s="107"/>
      <c r="CP773" s="107"/>
      <c r="CQ773" s="107"/>
      <c r="CR773" s="107"/>
      <c r="CS773" s="107"/>
      <c r="CT773" s="107"/>
      <c r="CU773" s="107"/>
      <c r="CV773" s="107"/>
      <c r="CY773" s="0" t="s">
        <v>1500</v>
      </c>
    </row>
    <row r="774" customFormat="false" ht="14.9" hidden="false" customHeight="false" outlineLevel="0" collapsed="false">
      <c r="A774" s="74" t="n">
        <f aca="false">MONTH(B774)</f>
        <v>10</v>
      </c>
      <c r="B774" s="135" t="n">
        <v>44473</v>
      </c>
      <c r="C774" s="128" t="s">
        <v>70</v>
      </c>
      <c r="D774" s="77" t="str">
        <f aca="false">IFERROR(VLOOKUP(E:E,'Item Data Support Sheet'!A:O,7,0),"")</f>
        <v>BOTTLE MOLDED</v>
      </c>
      <c r="E774" s="80" t="s">
        <v>78</v>
      </c>
      <c r="F774" s="122" t="s">
        <v>79</v>
      </c>
      <c r="G774" s="137" t="s">
        <v>74</v>
      </c>
      <c r="H774" s="79" t="str">
        <f aca="false">IFERROR(VLOOKUP(E:E,'Item Data Support Sheet'!A:O,2,0),"")</f>
        <v>RPP 120 ML BOTTLE MOLDED</v>
      </c>
      <c r="I774" s="80" t="s">
        <v>1501</v>
      </c>
      <c r="J774" s="80" t="s">
        <v>815</v>
      </c>
      <c r="K774" s="124" t="n">
        <v>8</v>
      </c>
      <c r="L774" s="124" t="n">
        <v>2574</v>
      </c>
      <c r="M774" s="83" t="n">
        <v>321.75</v>
      </c>
      <c r="N774" s="84" t="n">
        <f aca="false">+O774+Q774+T774+U774</f>
        <v>3280</v>
      </c>
      <c r="O774" s="85" t="n">
        <v>3240</v>
      </c>
      <c r="P774" s="86" t="n">
        <v>0.2</v>
      </c>
      <c r="Q774" s="86" t="n">
        <v>0</v>
      </c>
      <c r="R774" s="132" t="n">
        <v>0</v>
      </c>
      <c r="S774" s="128" t="n">
        <v>0</v>
      </c>
      <c r="T774" s="132" t="n">
        <v>40</v>
      </c>
      <c r="U774" s="128" t="n">
        <v>0</v>
      </c>
      <c r="V774" s="128" t="n">
        <v>1</v>
      </c>
      <c r="W774" s="90" t="n">
        <f aca="false">IFERROR(O774/V774,0)</f>
        <v>3240</v>
      </c>
      <c r="X774" s="91" t="n">
        <f aca="false">O774/L774</f>
        <v>1.25874125874126</v>
      </c>
      <c r="Y774" s="92" t="str">
        <f aca="false">IFERROR(VLOOKUP(E:E,'Item Data Support Sheet'!A:J,6,0),0)</f>
        <v>HMC</v>
      </c>
      <c r="Z774" s="93" t="n">
        <f aca="false">IFERROR(VLOOKUP(E:E,'Item Data Support Sheet'!A:O,4,0),0)</f>
        <v>21.3</v>
      </c>
      <c r="AA774" s="93" t="n">
        <f aca="false">IFERROR(((N774)*(Z774/1000))+P774,0)</f>
        <v>70.064</v>
      </c>
      <c r="AB774" s="94" t="n">
        <f aca="false">IFERROR((O774*(Z774/1000)/(AA774))," ")</f>
        <v>0.984985156428408</v>
      </c>
      <c r="AC774" s="95" t="n">
        <f aca="false">IFERROR((T774)/((T774)+O774),0)</f>
        <v>0.0121951219512195</v>
      </c>
      <c r="AD774" s="96" t="n">
        <f aca="false">IFERROR(Q774/(Q774+N774),0)</f>
        <v>0</v>
      </c>
      <c r="AE774" s="91" t="n">
        <f aca="false">(N774-T774)/N774</f>
        <v>0.98780487804878</v>
      </c>
      <c r="AF774" s="97" t="n">
        <f aca="false">BR774</f>
        <v>0</v>
      </c>
      <c r="AG774" s="98" t="n">
        <f aca="false">K774-AF774</f>
        <v>8</v>
      </c>
      <c r="AH774" s="99" t="n">
        <f aca="false">IFERROR(AG774/K774," ")</f>
        <v>1</v>
      </c>
      <c r="AI774" s="100" t="n">
        <f aca="false">IFERROR(O774/K774,0)</f>
        <v>405</v>
      </c>
      <c r="AJ774" s="101" t="n">
        <f aca="false">VLOOKUP(D774,'Standard Cycle time'!C:D,2,0)</f>
        <v>9</v>
      </c>
      <c r="AK774" s="101" t="n">
        <f aca="false">AG774*V774*3600/O774</f>
        <v>8.88888888888889</v>
      </c>
      <c r="AL774" s="102" t="n">
        <f aca="false">AJ774/AK774</f>
        <v>1.0125</v>
      </c>
      <c r="AM774" s="99" t="n">
        <f aca="false">AE774*AL774*AH774</f>
        <v>1.00015243902439</v>
      </c>
      <c r="AN774" s="103" t="n">
        <v>1.00015243902439</v>
      </c>
      <c r="AO774" s="112"/>
      <c r="AP774" s="105" t="n">
        <v>0</v>
      </c>
      <c r="AQ774" s="105" t="n">
        <v>0</v>
      </c>
      <c r="AR774" s="105" t="n">
        <v>0</v>
      </c>
      <c r="AS774" s="105" t="n">
        <v>0</v>
      </c>
      <c r="AT774" s="105" t="n">
        <v>0</v>
      </c>
      <c r="AU774" s="105" t="n">
        <v>0</v>
      </c>
      <c r="AV774" s="105" t="n">
        <v>0</v>
      </c>
      <c r="AW774" s="105" t="n">
        <v>0</v>
      </c>
      <c r="AX774" s="105" t="n">
        <v>0</v>
      </c>
      <c r="AY774" s="105" t="n">
        <v>0</v>
      </c>
      <c r="AZ774" s="105" t="n">
        <v>0</v>
      </c>
      <c r="BA774" s="105" t="n">
        <v>0</v>
      </c>
      <c r="BB774" s="105" t="n">
        <v>0</v>
      </c>
      <c r="BC774" s="105" t="n">
        <v>0</v>
      </c>
      <c r="BD774" s="105" t="n">
        <v>0</v>
      </c>
      <c r="BE774" s="105" t="n">
        <v>0</v>
      </c>
      <c r="BF774" s="105" t="n">
        <v>0</v>
      </c>
      <c r="BG774" s="105" t="n">
        <v>0</v>
      </c>
      <c r="BH774" s="105" t="n">
        <v>0</v>
      </c>
      <c r="BI774" s="105" t="n">
        <v>0</v>
      </c>
      <c r="BJ774" s="105" t="n">
        <v>0</v>
      </c>
      <c r="BK774" s="105" t="n">
        <v>0</v>
      </c>
      <c r="BL774" s="105" t="n">
        <v>0</v>
      </c>
      <c r="BM774" s="105" t="n">
        <v>0</v>
      </c>
      <c r="BN774" s="105" t="n">
        <v>0</v>
      </c>
      <c r="BO774" s="105" t="n">
        <v>0</v>
      </c>
      <c r="BP774" s="105" t="n">
        <v>0</v>
      </c>
      <c r="BQ774" s="105" t="n">
        <v>0</v>
      </c>
      <c r="BR774" s="106" t="n">
        <v>0</v>
      </c>
      <c r="BS774" s="106" t="n">
        <v>0</v>
      </c>
      <c r="BT774" s="107"/>
      <c r="BU774" s="107"/>
      <c r="BV774" s="107"/>
      <c r="BW774" s="107"/>
      <c r="BX774" s="107"/>
      <c r="BY774" s="107"/>
      <c r="BZ774" s="107"/>
      <c r="CA774" s="107"/>
      <c r="CB774" s="107"/>
      <c r="CC774" s="107"/>
      <c r="CD774" s="107"/>
      <c r="CE774" s="107"/>
      <c r="CF774" s="107"/>
      <c r="CG774" s="107"/>
      <c r="CH774" s="107"/>
      <c r="CI774" s="107"/>
      <c r="CJ774" s="107"/>
      <c r="CK774" s="107"/>
      <c r="CL774" s="107"/>
      <c r="CM774" s="107"/>
      <c r="CN774" s="107"/>
      <c r="CO774" s="107"/>
      <c r="CP774" s="107"/>
      <c r="CQ774" s="107"/>
      <c r="CR774" s="107"/>
      <c r="CS774" s="107"/>
      <c r="CT774" s="107"/>
      <c r="CU774" s="107"/>
      <c r="CV774" s="107"/>
      <c r="CY774" s="0" t="s">
        <v>1502</v>
      </c>
      <c r="CZ774" s="0" t="n">
        <v>70.064</v>
      </c>
    </row>
    <row r="775" customFormat="false" ht="14.9" hidden="false" customHeight="false" outlineLevel="0" collapsed="false">
      <c r="A775" s="74" t="n">
        <f aca="false">MONTH(B775)</f>
        <v>10</v>
      </c>
      <c r="B775" s="135" t="n">
        <v>44473</v>
      </c>
      <c r="C775" s="128" t="s">
        <v>70</v>
      </c>
      <c r="D775" s="77" t="str">
        <f aca="false">IFERROR(VLOOKUP(E:E,'Item Data Support Sheet'!A:O,7,0),"")</f>
        <v>CAP MOLDED</v>
      </c>
      <c r="E775" s="80" t="s">
        <v>199</v>
      </c>
      <c r="F775" s="122"/>
      <c r="G775" s="137" t="s">
        <v>1215</v>
      </c>
      <c r="H775" s="79" t="str">
        <f aca="false">IFERROR(VLOOKUP(E:E,'Item Data Support Sheet'!A:O,2,0),"")</f>
        <v>CAP S TYPE MOLDED RED</v>
      </c>
      <c r="I775" s="80" t="s">
        <v>1503</v>
      </c>
      <c r="J775" s="80" t="s">
        <v>815</v>
      </c>
      <c r="K775" s="124" t="n">
        <v>8</v>
      </c>
      <c r="L775" s="124" t="n">
        <v>4137</v>
      </c>
      <c r="M775" s="83" t="n">
        <v>517.125</v>
      </c>
      <c r="N775" s="84" t="n">
        <f aca="false">+O775+Q775+T775+U775</f>
        <v>4100</v>
      </c>
      <c r="O775" s="85" t="n">
        <v>4100</v>
      </c>
      <c r="P775" s="86" t="n">
        <v>0</v>
      </c>
      <c r="Q775" s="86" t="n">
        <v>0</v>
      </c>
      <c r="R775" s="132" t="n">
        <v>0</v>
      </c>
      <c r="S775" s="128" t="n">
        <v>0</v>
      </c>
      <c r="T775" s="132" t="n">
        <v>0</v>
      </c>
      <c r="U775" s="128" t="n">
        <v>0</v>
      </c>
      <c r="V775" s="128" t="n">
        <v>1</v>
      </c>
      <c r="W775" s="90" t="n">
        <f aca="false">IFERROR(O775/V775,0)</f>
        <v>4100</v>
      </c>
      <c r="X775" s="91" t="n">
        <f aca="false">O775/L775</f>
        <v>0.99105632100556</v>
      </c>
      <c r="Y775" s="92" t="str">
        <f aca="false">IFERROR(VLOOKUP(E:E,'Item Data Support Sheet'!A:J,6,0),0)</f>
        <v>FO153</v>
      </c>
      <c r="Z775" s="93" t="n">
        <f aca="false">IFERROR(VLOOKUP(E:E,'Item Data Support Sheet'!A:O,4,0),0)</f>
        <v>7.3</v>
      </c>
      <c r="AA775" s="93" t="n">
        <f aca="false">IFERROR(((N775)*(Z775/1000))+P775,0)</f>
        <v>29.93</v>
      </c>
      <c r="AB775" s="94" t="n">
        <f aca="false">IFERROR((O775*(Z775/1000)/(AA775))," ")</f>
        <v>1</v>
      </c>
      <c r="AC775" s="95" t="n">
        <f aca="false">IFERROR((T775)/((T775)+O775),0)</f>
        <v>0</v>
      </c>
      <c r="AD775" s="96" t="n">
        <f aca="false">IFERROR(Q775/(Q775+N775),0)</f>
        <v>0</v>
      </c>
      <c r="AE775" s="91" t="n">
        <f aca="false">(N775-T775)/N775</f>
        <v>1</v>
      </c>
      <c r="AF775" s="97" t="n">
        <f aca="false">BR775</f>
        <v>1</v>
      </c>
      <c r="AG775" s="98" t="n">
        <f aca="false">K775-AF775</f>
        <v>7</v>
      </c>
      <c r="AH775" s="99" t="n">
        <f aca="false">IFERROR(AG775/K775," ")</f>
        <v>0.875</v>
      </c>
      <c r="AI775" s="100" t="n">
        <f aca="false">IFERROR(O775/K775,0)</f>
        <v>512.5</v>
      </c>
      <c r="AJ775" s="101" t="n">
        <f aca="false">VLOOKUP(D775,'Standard Cycle time'!C:D,2,0)</f>
        <v>6</v>
      </c>
      <c r="AK775" s="101" t="n">
        <f aca="false">AG775*V775*3600/O775</f>
        <v>6.14634146341463</v>
      </c>
      <c r="AL775" s="102" t="n">
        <f aca="false">AJ775/AK775</f>
        <v>0.976190476190476</v>
      </c>
      <c r="AM775" s="99" t="n">
        <f aca="false">AE775*AL775*AH775</f>
        <v>0.854166666666667</v>
      </c>
      <c r="AN775" s="103" t="n">
        <v>0.854166666666667</v>
      </c>
      <c r="AO775" s="112"/>
      <c r="AP775" s="105" t="n">
        <v>0</v>
      </c>
      <c r="AQ775" s="105" t="n">
        <v>0</v>
      </c>
      <c r="AR775" s="105" t="n">
        <v>0</v>
      </c>
      <c r="AS775" s="105" t="n">
        <v>0</v>
      </c>
      <c r="AT775" s="105" t="n">
        <v>0</v>
      </c>
      <c r="AU775" s="105" t="n">
        <v>0</v>
      </c>
      <c r="AV775" s="105" t="n">
        <v>30</v>
      </c>
      <c r="AW775" s="105" t="n">
        <v>30</v>
      </c>
      <c r="AX775" s="105" t="n">
        <v>0</v>
      </c>
      <c r="AY775" s="105" t="n">
        <v>0</v>
      </c>
      <c r="AZ775" s="105" t="n">
        <v>0</v>
      </c>
      <c r="BA775" s="105" t="n">
        <v>0</v>
      </c>
      <c r="BB775" s="105" t="n">
        <v>0</v>
      </c>
      <c r="BC775" s="105" t="n">
        <v>0</v>
      </c>
      <c r="BD775" s="105" t="n">
        <v>0</v>
      </c>
      <c r="BE775" s="105" t="n">
        <v>0</v>
      </c>
      <c r="BF775" s="105" t="n">
        <v>0</v>
      </c>
      <c r="BG775" s="105" t="n">
        <v>0</v>
      </c>
      <c r="BH775" s="105" t="n">
        <v>0</v>
      </c>
      <c r="BI775" s="105" t="n">
        <v>0</v>
      </c>
      <c r="BJ775" s="105" t="n">
        <v>0</v>
      </c>
      <c r="BK775" s="105" t="n">
        <v>0</v>
      </c>
      <c r="BL775" s="105" t="n">
        <v>0</v>
      </c>
      <c r="BM775" s="105" t="n">
        <v>0</v>
      </c>
      <c r="BN775" s="105" t="n">
        <v>0</v>
      </c>
      <c r="BO775" s="105" t="n">
        <v>0</v>
      </c>
      <c r="BP775" s="105" t="n">
        <v>0</v>
      </c>
      <c r="BQ775" s="105" t="n">
        <v>0</v>
      </c>
      <c r="BR775" s="106" t="n">
        <v>1</v>
      </c>
      <c r="BS775" s="106" t="n">
        <v>1</v>
      </c>
      <c r="BT775" s="107"/>
      <c r="BU775" s="107"/>
      <c r="BV775" s="107"/>
      <c r="BW775" s="107"/>
      <c r="BX775" s="107"/>
      <c r="BY775" s="107"/>
      <c r="BZ775" s="107"/>
      <c r="CA775" s="107"/>
      <c r="CB775" s="107"/>
      <c r="CC775" s="107"/>
      <c r="CD775" s="107"/>
      <c r="CE775" s="107"/>
      <c r="CF775" s="107"/>
      <c r="CG775" s="107"/>
      <c r="CH775" s="107"/>
      <c r="CI775" s="107"/>
      <c r="CJ775" s="107"/>
      <c r="CK775" s="107"/>
      <c r="CL775" s="107"/>
      <c r="CM775" s="107"/>
      <c r="CN775" s="107"/>
      <c r="CO775" s="107"/>
      <c r="CP775" s="107"/>
      <c r="CQ775" s="107"/>
      <c r="CR775" s="107"/>
      <c r="CS775" s="107"/>
      <c r="CT775" s="107"/>
      <c r="CU775" s="107"/>
      <c r="CV775" s="107"/>
      <c r="CY775" s="0" t="s">
        <v>1504</v>
      </c>
    </row>
    <row r="776" customFormat="false" ht="14.9" hidden="false" customHeight="false" outlineLevel="0" collapsed="false">
      <c r="A776" s="74" t="n">
        <f aca="false">MONTH(B776)</f>
        <v>10</v>
      </c>
      <c r="B776" s="135" t="n">
        <v>44473</v>
      </c>
      <c r="C776" s="128" t="s">
        <v>70</v>
      </c>
      <c r="D776" s="77" t="str">
        <f aca="false">IFERROR(VLOOKUP(E:E,'Item Data Support Sheet'!A:O,7,0),"")</f>
        <v>BOTTLE PRINTED</v>
      </c>
      <c r="E776" s="80" t="s">
        <v>591</v>
      </c>
      <c r="F776" s="122"/>
      <c r="G776" s="137" t="s">
        <v>66</v>
      </c>
      <c r="H776" s="79" t="str">
        <f aca="false">IFERROR(VLOOKUP(E:E,'Item Data Support Sheet'!A:O,2,0),"")</f>
        <v>RPP 240 ML BOTTLE PRINTED</v>
      </c>
      <c r="I776" s="80" t="s">
        <v>1505</v>
      </c>
      <c r="J776" s="80" t="s">
        <v>161</v>
      </c>
      <c r="K776" s="124" t="n">
        <v>8</v>
      </c>
      <c r="L776" s="124" t="n">
        <v>5800</v>
      </c>
      <c r="M776" s="83" t="n">
        <v>725</v>
      </c>
      <c r="N776" s="84" t="n">
        <f aca="false">+O776+Q776+T776+U776</f>
        <v>6041</v>
      </c>
      <c r="O776" s="85" t="n">
        <v>6000</v>
      </c>
      <c r="P776" s="86" t="n">
        <v>0</v>
      </c>
      <c r="Q776" s="86" t="n">
        <v>0</v>
      </c>
      <c r="R776" s="132" t="n">
        <v>41</v>
      </c>
      <c r="S776" s="128" t="n">
        <v>0</v>
      </c>
      <c r="T776" s="132" t="n">
        <v>41</v>
      </c>
      <c r="U776" s="128" t="n">
        <v>0</v>
      </c>
      <c r="V776" s="128" t="n">
        <v>6</v>
      </c>
      <c r="W776" s="90" t="n">
        <f aca="false">IFERROR(O776/V776,0)</f>
        <v>1000</v>
      </c>
      <c r="X776" s="91" t="n">
        <f aca="false">O776/L776</f>
        <v>1.03448275862069</v>
      </c>
      <c r="Y776" s="92" t="str">
        <f aca="false">IFERROR(VLOOKUP(E:E,'Item Data Support Sheet'!A:J,6,0),0)</f>
        <v>FO005</v>
      </c>
      <c r="Z776" s="93" t="n">
        <f aca="false">IFERROR(VLOOKUP(E:E,'Item Data Support Sheet'!A:O,4,0),0)</f>
        <v>0</v>
      </c>
      <c r="AA776" s="93" t="n">
        <f aca="false">IFERROR(((N776)*(Z776/1000))+P776,0)</f>
        <v>0</v>
      </c>
      <c r="AB776" s="94" t="str">
        <f aca="false">IFERROR((O776*(Z776/1000)/(AA776))," ")</f>
        <v> </v>
      </c>
      <c r="AC776" s="95" t="n">
        <f aca="false">IFERROR((T776)/((T776)+O776),0)</f>
        <v>0.00678695580201953</v>
      </c>
      <c r="AD776" s="96" t="n">
        <f aca="false">IFERROR(Q776/(Q776+N776),0)</f>
        <v>0</v>
      </c>
      <c r="AE776" s="91" t="n">
        <f aca="false">(N776-T776)/N776</f>
        <v>0.99321304419798</v>
      </c>
      <c r="AF776" s="97" t="n">
        <f aca="false">BR776</f>
        <v>0.666666666666667</v>
      </c>
      <c r="AG776" s="98" t="n">
        <f aca="false">K776-AF776</f>
        <v>7.33333333333333</v>
      </c>
      <c r="AH776" s="99" t="n">
        <f aca="false">IFERROR(AG776/K776," ")</f>
        <v>0.916666666666667</v>
      </c>
      <c r="AI776" s="100" t="n">
        <f aca="false">IFERROR(O776/K776,0)</f>
        <v>750</v>
      </c>
      <c r="AJ776" s="101" t="n">
        <f aca="false">VLOOKUP(D776,'Standard Cycle time'!C:D,2,0)</f>
        <v>32.4</v>
      </c>
      <c r="AK776" s="101" t="n">
        <f aca="false">AG776*V776*3600/O776</f>
        <v>26.4</v>
      </c>
      <c r="AL776" s="102" t="n">
        <f aca="false">AJ776/AK776</f>
        <v>1.22727272727273</v>
      </c>
      <c r="AM776" s="99" t="n">
        <f aca="false">AE776*AL776*AH776</f>
        <v>1.11736467472273</v>
      </c>
      <c r="AN776" s="103" t="n">
        <v>1.11736467472273</v>
      </c>
      <c r="AO776" s="112"/>
      <c r="AP776" s="105" t="n">
        <v>40</v>
      </c>
      <c r="AQ776" s="105" t="n">
        <v>0</v>
      </c>
      <c r="AR776" s="105" t="n">
        <v>0</v>
      </c>
      <c r="AS776" s="105" t="n">
        <v>0</v>
      </c>
      <c r="AT776" s="105" t="n">
        <v>0</v>
      </c>
      <c r="AU776" s="105" t="n">
        <v>0</v>
      </c>
      <c r="AV776" s="105" t="n">
        <v>0</v>
      </c>
      <c r="AW776" s="105" t="n">
        <v>0</v>
      </c>
      <c r="AX776" s="105" t="n">
        <v>0</v>
      </c>
      <c r="AY776" s="105" t="n">
        <v>0</v>
      </c>
      <c r="AZ776" s="105" t="n">
        <v>0</v>
      </c>
      <c r="BA776" s="105" t="n">
        <v>0</v>
      </c>
      <c r="BB776" s="105" t="n">
        <v>0</v>
      </c>
      <c r="BC776" s="105" t="n">
        <v>0</v>
      </c>
      <c r="BD776" s="105" t="n">
        <v>0</v>
      </c>
      <c r="BE776" s="105" t="n">
        <v>0</v>
      </c>
      <c r="BF776" s="105" t="n">
        <v>0</v>
      </c>
      <c r="BG776" s="105" t="n">
        <v>0</v>
      </c>
      <c r="BH776" s="105" t="n">
        <v>0</v>
      </c>
      <c r="BI776" s="105" t="n">
        <v>0</v>
      </c>
      <c r="BJ776" s="105" t="n">
        <v>0</v>
      </c>
      <c r="BK776" s="105" t="n">
        <v>0</v>
      </c>
      <c r="BL776" s="105" t="n">
        <v>0</v>
      </c>
      <c r="BM776" s="105" t="n">
        <v>0</v>
      </c>
      <c r="BN776" s="105" t="n">
        <v>0</v>
      </c>
      <c r="BO776" s="105" t="n">
        <v>0</v>
      </c>
      <c r="BP776" s="105" t="n">
        <v>0</v>
      </c>
      <c r="BQ776" s="105" t="n">
        <v>0</v>
      </c>
      <c r="BR776" s="106" t="n">
        <v>0.666666666666667</v>
      </c>
      <c r="BS776" s="106" t="n">
        <v>0.666666666666667</v>
      </c>
      <c r="BT776" s="107"/>
      <c r="BU776" s="107"/>
      <c r="BV776" s="107"/>
      <c r="BW776" s="107"/>
      <c r="BX776" s="107"/>
      <c r="BY776" s="107"/>
      <c r="BZ776" s="107"/>
      <c r="CA776" s="107"/>
      <c r="CB776" s="107"/>
      <c r="CC776" s="107"/>
      <c r="CD776" s="107"/>
      <c r="CE776" s="107"/>
      <c r="CF776" s="107"/>
      <c r="CG776" s="107"/>
      <c r="CH776" s="107"/>
      <c r="CI776" s="107"/>
      <c r="CJ776" s="107"/>
      <c r="CK776" s="107"/>
      <c r="CL776" s="107"/>
      <c r="CM776" s="107"/>
      <c r="CN776" s="107"/>
      <c r="CO776" s="107"/>
      <c r="CP776" s="107"/>
      <c r="CQ776" s="107"/>
      <c r="CR776" s="107"/>
      <c r="CS776" s="107"/>
      <c r="CT776" s="107"/>
      <c r="CU776" s="107"/>
      <c r="CV776" s="107"/>
      <c r="CY776" s="0" t="s">
        <v>1506</v>
      </c>
    </row>
    <row r="777" customFormat="false" ht="14.9" hidden="false" customHeight="false" outlineLevel="0" collapsed="false">
      <c r="A777" s="74" t="n">
        <f aca="false">MONTH(B777)</f>
        <v>10</v>
      </c>
      <c r="B777" s="135" t="n">
        <v>44473</v>
      </c>
      <c r="C777" s="128" t="s">
        <v>152</v>
      </c>
      <c r="D777" s="77" t="str">
        <f aca="false">IFERROR(VLOOKUP(E:E,'Item Data Support Sheet'!A:O,7,0),"")</f>
        <v>CAP MOLDED</v>
      </c>
      <c r="E777" s="80" t="s">
        <v>199</v>
      </c>
      <c r="F777" s="122"/>
      <c r="G777" s="137" t="s">
        <v>1215</v>
      </c>
      <c r="H777" s="79" t="str">
        <f aca="false">IFERROR(VLOOKUP(E:E,'Item Data Support Sheet'!A:O,2,0),"")</f>
        <v>CAP S TYPE MOLDED RED</v>
      </c>
      <c r="I777" s="80" t="s">
        <v>1507</v>
      </c>
      <c r="J777" s="80" t="s">
        <v>155</v>
      </c>
      <c r="K777" s="124" t="n">
        <v>3</v>
      </c>
      <c r="L777" s="124" t="n">
        <v>1551</v>
      </c>
      <c r="M777" s="83" t="n">
        <v>517</v>
      </c>
      <c r="N777" s="84" t="n">
        <f aca="false">+O777+Q777+T777+U777</f>
        <v>1800</v>
      </c>
      <c r="O777" s="85" t="n">
        <v>1800</v>
      </c>
      <c r="P777" s="86" t="n">
        <v>0</v>
      </c>
      <c r="Q777" s="86" t="n">
        <v>0</v>
      </c>
      <c r="R777" s="132" t="n">
        <v>0</v>
      </c>
      <c r="S777" s="128" t="n">
        <v>0</v>
      </c>
      <c r="T777" s="132" t="n">
        <v>0</v>
      </c>
      <c r="U777" s="128" t="n">
        <v>0</v>
      </c>
      <c r="V777" s="128" t="n">
        <v>1</v>
      </c>
      <c r="W777" s="90" t="n">
        <f aca="false">IFERROR(O777/V777,0)</f>
        <v>1800</v>
      </c>
      <c r="X777" s="91" t="n">
        <f aca="false">O777/L777</f>
        <v>1.1605415860735</v>
      </c>
      <c r="Y777" s="92" t="str">
        <f aca="false">IFERROR(VLOOKUP(E:E,'Item Data Support Sheet'!A:J,6,0),0)</f>
        <v>FO153</v>
      </c>
      <c r="Z777" s="93" t="n">
        <f aca="false">IFERROR(VLOOKUP(E:E,'Item Data Support Sheet'!A:O,4,0),0)</f>
        <v>7.3</v>
      </c>
      <c r="AA777" s="93" t="n">
        <f aca="false">IFERROR(((N777)*(Z777/1000))+P777,0)</f>
        <v>13.14</v>
      </c>
      <c r="AB777" s="94" t="n">
        <f aca="false">IFERROR((O777*(Z777/1000)/(AA777))," ")</f>
        <v>1</v>
      </c>
      <c r="AC777" s="95" t="n">
        <f aca="false">IFERROR((T777)/((T777)+O777),0)</f>
        <v>0</v>
      </c>
      <c r="AD777" s="96" t="n">
        <f aca="false">IFERROR(Q777/(Q777+N777),0)</f>
        <v>0</v>
      </c>
      <c r="AE777" s="91" t="n">
        <f aca="false">(N777-T777)/N777</f>
        <v>1</v>
      </c>
      <c r="AF777" s="97" t="n">
        <f aca="false">BR777</f>
        <v>0</v>
      </c>
      <c r="AG777" s="98" t="n">
        <f aca="false">K777-AF777</f>
        <v>3</v>
      </c>
      <c r="AH777" s="99" t="n">
        <f aca="false">IFERROR(AG777/K777," ")</f>
        <v>1</v>
      </c>
      <c r="AI777" s="100" t="n">
        <f aca="false">IFERROR(O777/K777,0)</f>
        <v>600</v>
      </c>
      <c r="AJ777" s="101" t="n">
        <f aca="false">VLOOKUP(D777,'Standard Cycle time'!C:D,2,0)</f>
        <v>6</v>
      </c>
      <c r="AK777" s="101" t="n">
        <f aca="false">AG777*V777*3600/O777</f>
        <v>6</v>
      </c>
      <c r="AL777" s="102" t="n">
        <f aca="false">AJ777/AK777</f>
        <v>1</v>
      </c>
      <c r="AM777" s="99" t="n">
        <f aca="false">AE777*AL777*AH777</f>
        <v>1</v>
      </c>
      <c r="AN777" s="103" t="n">
        <v>1</v>
      </c>
      <c r="AO777" s="112"/>
      <c r="AP777" s="105" t="n">
        <v>0</v>
      </c>
      <c r="AQ777" s="105" t="n">
        <v>0</v>
      </c>
      <c r="AR777" s="105" t="n">
        <v>0</v>
      </c>
      <c r="AS777" s="105" t="n">
        <v>0</v>
      </c>
      <c r="AT777" s="105" t="n">
        <v>0</v>
      </c>
      <c r="AU777" s="105" t="n">
        <v>0</v>
      </c>
      <c r="AV777" s="105" t="n">
        <v>0</v>
      </c>
      <c r="AW777" s="105" t="n">
        <v>0</v>
      </c>
      <c r="AX777" s="105" t="n">
        <v>0</v>
      </c>
      <c r="AY777" s="105" t="n">
        <v>0</v>
      </c>
      <c r="AZ777" s="105" t="n">
        <v>0</v>
      </c>
      <c r="BA777" s="105" t="n">
        <v>0</v>
      </c>
      <c r="BB777" s="105" t="n">
        <v>0</v>
      </c>
      <c r="BC777" s="105" t="n">
        <v>0</v>
      </c>
      <c r="BD777" s="105" t="n">
        <v>0</v>
      </c>
      <c r="BE777" s="105" t="n">
        <v>0</v>
      </c>
      <c r="BF777" s="105" t="n">
        <v>0</v>
      </c>
      <c r="BG777" s="105" t="n">
        <v>0</v>
      </c>
      <c r="BH777" s="105" t="n">
        <v>0</v>
      </c>
      <c r="BI777" s="105" t="n">
        <v>0</v>
      </c>
      <c r="BJ777" s="105" t="n">
        <v>0</v>
      </c>
      <c r="BK777" s="105" t="n">
        <v>0</v>
      </c>
      <c r="BL777" s="105" t="n">
        <v>0</v>
      </c>
      <c r="BM777" s="105" t="n">
        <v>0</v>
      </c>
      <c r="BN777" s="105" t="n">
        <v>0</v>
      </c>
      <c r="BO777" s="105" t="n">
        <v>0</v>
      </c>
      <c r="BP777" s="105" t="n">
        <v>0</v>
      </c>
      <c r="BQ777" s="105" t="n">
        <v>0</v>
      </c>
      <c r="BR777" s="106" t="n">
        <v>0</v>
      </c>
      <c r="BS777" s="106" t="n">
        <v>0</v>
      </c>
      <c r="BT777" s="107"/>
      <c r="BU777" s="107"/>
      <c r="BV777" s="107"/>
      <c r="BW777" s="107"/>
      <c r="BX777" s="107"/>
      <c r="BY777" s="107"/>
      <c r="BZ777" s="107"/>
      <c r="CA777" s="107"/>
      <c r="CB777" s="107"/>
      <c r="CC777" s="107"/>
      <c r="CD777" s="107"/>
      <c r="CE777" s="107"/>
      <c r="CF777" s="107"/>
      <c r="CG777" s="107"/>
      <c r="CH777" s="107"/>
      <c r="CI777" s="107"/>
      <c r="CJ777" s="107"/>
      <c r="CK777" s="107"/>
      <c r="CL777" s="107"/>
      <c r="CM777" s="107"/>
      <c r="CN777" s="107"/>
      <c r="CO777" s="107"/>
      <c r="CP777" s="107"/>
      <c r="CQ777" s="107"/>
      <c r="CR777" s="107"/>
      <c r="CS777" s="107"/>
      <c r="CT777" s="107"/>
      <c r="CU777" s="107"/>
      <c r="CV777" s="107"/>
      <c r="CY777" s="0" t="s">
        <v>1508</v>
      </c>
    </row>
    <row r="778" customFormat="false" ht="14.9" hidden="false" customHeight="false" outlineLevel="0" collapsed="false">
      <c r="A778" s="74" t="n">
        <f aca="false">MONTH(B778)</f>
        <v>10</v>
      </c>
      <c r="B778" s="135" t="n">
        <v>44473</v>
      </c>
      <c r="C778" s="128" t="s">
        <v>152</v>
      </c>
      <c r="D778" s="77" t="str">
        <f aca="false">IFERROR(VLOOKUP(E:E,'Item Data Support Sheet'!A:O,7,0),"")</f>
        <v>CAP MOLDED</v>
      </c>
      <c r="E778" s="80" t="s">
        <v>199</v>
      </c>
      <c r="F778" s="122"/>
      <c r="G778" s="137" t="s">
        <v>1478</v>
      </c>
      <c r="H778" s="79" t="str">
        <f aca="false">IFERROR(VLOOKUP(E:E,'Item Data Support Sheet'!A:O,2,0),"")</f>
        <v>CAP S TYPE MOLDED RED</v>
      </c>
      <c r="I778" s="80" t="s">
        <v>1509</v>
      </c>
      <c r="J778" s="80" t="s">
        <v>155</v>
      </c>
      <c r="K778" s="124" t="n">
        <v>5</v>
      </c>
      <c r="L778" s="124" t="n">
        <v>2585</v>
      </c>
      <c r="M778" s="83" t="n">
        <v>517</v>
      </c>
      <c r="N778" s="84" t="n">
        <f aca="false">+O778+Q778+T778+U778</f>
        <v>2304</v>
      </c>
      <c r="O778" s="85" t="n">
        <v>2300</v>
      </c>
      <c r="P778" s="86" t="n">
        <v>0.6</v>
      </c>
      <c r="Q778" s="86" t="n">
        <v>0</v>
      </c>
      <c r="R778" s="132" t="n">
        <v>0</v>
      </c>
      <c r="S778" s="128" t="n">
        <v>0</v>
      </c>
      <c r="T778" s="132" t="n">
        <v>4</v>
      </c>
      <c r="U778" s="128" t="n">
        <v>0</v>
      </c>
      <c r="V778" s="128" t="n">
        <v>1</v>
      </c>
      <c r="W778" s="90" t="n">
        <f aca="false">IFERROR(O778/V778,0)</f>
        <v>2300</v>
      </c>
      <c r="X778" s="91" t="n">
        <f aca="false">O778/L778</f>
        <v>0.889748549323017</v>
      </c>
      <c r="Y778" s="92" t="str">
        <f aca="false">IFERROR(VLOOKUP(E:E,'Item Data Support Sheet'!A:J,6,0),0)</f>
        <v>FO153</v>
      </c>
      <c r="Z778" s="93" t="n">
        <f aca="false">IFERROR(VLOOKUP(E:E,'Item Data Support Sheet'!A:O,4,0),0)</f>
        <v>7.3</v>
      </c>
      <c r="AA778" s="93" t="n">
        <f aca="false">IFERROR(((N778)*(Z778/1000))+P778,0)</f>
        <v>17.4192</v>
      </c>
      <c r="AB778" s="94" t="n">
        <f aca="false">IFERROR((O778*(Z778/1000)/(AA778))," ")</f>
        <v>0.963878938183154</v>
      </c>
      <c r="AC778" s="95" t="n">
        <f aca="false">IFERROR((T778)/((T778)+O778),0)</f>
        <v>0.00173611111111111</v>
      </c>
      <c r="AD778" s="96" t="n">
        <f aca="false">IFERROR(Q778/(Q778+N778),0)</f>
        <v>0</v>
      </c>
      <c r="AE778" s="91" t="n">
        <f aca="false">(N778-T778)/N778</f>
        <v>0.998263888888889</v>
      </c>
      <c r="AF778" s="97" t="n">
        <f aca="false">BR778</f>
        <v>1</v>
      </c>
      <c r="AG778" s="98" t="n">
        <f aca="false">K778-AF778</f>
        <v>4</v>
      </c>
      <c r="AH778" s="99" t="n">
        <f aca="false">IFERROR(AG778/K778," ")</f>
        <v>0.8</v>
      </c>
      <c r="AI778" s="100" t="n">
        <f aca="false">IFERROR(O778/K778,0)</f>
        <v>460</v>
      </c>
      <c r="AJ778" s="101" t="n">
        <f aca="false">VLOOKUP(D778,'Standard Cycle time'!C:D,2,0)</f>
        <v>6</v>
      </c>
      <c r="AK778" s="101" t="n">
        <f aca="false">AG778*V778*3600/O778</f>
        <v>6.26086956521739</v>
      </c>
      <c r="AL778" s="102" t="n">
        <f aca="false">AJ778/AK778</f>
        <v>0.958333333333333</v>
      </c>
      <c r="AM778" s="99" t="n">
        <f aca="false">AE778*AL778*AH778</f>
        <v>0.765335648148148</v>
      </c>
      <c r="AN778" s="103" t="n">
        <v>0.765335648148148</v>
      </c>
      <c r="AO778" s="112"/>
      <c r="AP778" s="105" t="n">
        <v>0</v>
      </c>
      <c r="AQ778" s="105" t="n">
        <v>0</v>
      </c>
      <c r="AR778" s="105" t="n">
        <v>0</v>
      </c>
      <c r="AS778" s="105" t="n">
        <v>0</v>
      </c>
      <c r="AT778" s="105" t="n">
        <v>0</v>
      </c>
      <c r="AU778" s="105" t="n">
        <v>0</v>
      </c>
      <c r="AV778" s="105" t="n">
        <v>30</v>
      </c>
      <c r="AW778" s="105" t="n">
        <v>30</v>
      </c>
      <c r="AX778" s="105" t="n">
        <v>0</v>
      </c>
      <c r="AY778" s="105" t="n">
        <v>0</v>
      </c>
      <c r="AZ778" s="105" t="n">
        <v>0</v>
      </c>
      <c r="BA778" s="105" t="n">
        <v>0</v>
      </c>
      <c r="BB778" s="105" t="n">
        <v>0</v>
      </c>
      <c r="BC778" s="105" t="n">
        <v>0</v>
      </c>
      <c r="BD778" s="105" t="n">
        <v>0</v>
      </c>
      <c r="BE778" s="105" t="n">
        <v>0</v>
      </c>
      <c r="BF778" s="105" t="n">
        <v>0</v>
      </c>
      <c r="BG778" s="105" t="n">
        <v>0</v>
      </c>
      <c r="BH778" s="105" t="n">
        <v>0</v>
      </c>
      <c r="BI778" s="105" t="n">
        <v>0</v>
      </c>
      <c r="BJ778" s="105" t="n">
        <v>0</v>
      </c>
      <c r="BK778" s="105" t="n">
        <v>0</v>
      </c>
      <c r="BL778" s="105" t="n">
        <v>0</v>
      </c>
      <c r="BM778" s="105" t="n">
        <v>0</v>
      </c>
      <c r="BN778" s="105" t="n">
        <v>0</v>
      </c>
      <c r="BO778" s="105" t="n">
        <v>0</v>
      </c>
      <c r="BP778" s="105" t="n">
        <v>0</v>
      </c>
      <c r="BQ778" s="105" t="n">
        <v>0</v>
      </c>
      <c r="BR778" s="106" t="n">
        <v>1</v>
      </c>
      <c r="BS778" s="106" t="n">
        <v>1</v>
      </c>
      <c r="BT778" s="107"/>
      <c r="BU778" s="107"/>
      <c r="BV778" s="107"/>
      <c r="BW778" s="107"/>
      <c r="BX778" s="107"/>
      <c r="BY778" s="107"/>
      <c r="BZ778" s="107"/>
      <c r="CA778" s="107"/>
      <c r="CB778" s="107"/>
      <c r="CC778" s="107"/>
      <c r="CD778" s="107"/>
      <c r="CE778" s="107"/>
      <c r="CF778" s="107"/>
      <c r="CG778" s="107"/>
      <c r="CH778" s="107"/>
      <c r="CI778" s="107"/>
      <c r="CJ778" s="107"/>
      <c r="CK778" s="107"/>
      <c r="CL778" s="107"/>
      <c r="CM778" s="107"/>
      <c r="CN778" s="107"/>
      <c r="CO778" s="107"/>
      <c r="CP778" s="107"/>
      <c r="CQ778" s="107"/>
      <c r="CR778" s="107"/>
      <c r="CS778" s="107"/>
      <c r="CT778" s="107"/>
      <c r="CU778" s="107"/>
      <c r="CV778" s="107"/>
      <c r="CY778" s="0" t="s">
        <v>1510</v>
      </c>
    </row>
    <row r="779" customFormat="false" ht="14.9" hidden="false" customHeight="false" outlineLevel="0" collapsed="false">
      <c r="A779" s="74" t="n">
        <f aca="false">MONTH(B779)</f>
        <v>10</v>
      </c>
      <c r="B779" s="135" t="n">
        <v>44473</v>
      </c>
      <c r="C779" s="128" t="s">
        <v>152</v>
      </c>
      <c r="D779" s="77" t="str">
        <f aca="false">IFERROR(VLOOKUP(E:E,'Item Data Support Sheet'!A:O,7,0),"")</f>
        <v>BOTTLE MOLDED</v>
      </c>
      <c r="E779" s="80" t="s">
        <v>78</v>
      </c>
      <c r="F779" s="122" t="s">
        <v>79</v>
      </c>
      <c r="G779" s="137" t="s">
        <v>74</v>
      </c>
      <c r="H779" s="79" t="str">
        <f aca="false">IFERROR(VLOOKUP(E:E,'Item Data Support Sheet'!A:O,2,0),"")</f>
        <v>RPP 120 ML BOTTLE MOLDED</v>
      </c>
      <c r="I779" s="80" t="s">
        <v>1511</v>
      </c>
      <c r="J779" s="80" t="s">
        <v>155</v>
      </c>
      <c r="K779" s="124" t="n">
        <v>8</v>
      </c>
      <c r="L779" s="124" t="n">
        <v>2574</v>
      </c>
      <c r="M779" s="83" t="n">
        <v>321.75</v>
      </c>
      <c r="N779" s="84" t="n">
        <f aca="false">+O779+Q779+T779+U779</f>
        <v>3279</v>
      </c>
      <c r="O779" s="85" t="n">
        <v>3240</v>
      </c>
      <c r="P779" s="86" t="n">
        <v>0.11</v>
      </c>
      <c r="Q779" s="86" t="n">
        <v>0</v>
      </c>
      <c r="R779" s="132" t="n">
        <v>0</v>
      </c>
      <c r="S779" s="128" t="n">
        <v>0</v>
      </c>
      <c r="T779" s="132" t="n">
        <v>39</v>
      </c>
      <c r="U779" s="128" t="n">
        <v>0</v>
      </c>
      <c r="V779" s="128" t="n">
        <v>1</v>
      </c>
      <c r="W779" s="90" t="n">
        <f aca="false">IFERROR(O779/V779,0)</f>
        <v>3240</v>
      </c>
      <c r="X779" s="91" t="n">
        <f aca="false">O779/L779</f>
        <v>1.25874125874126</v>
      </c>
      <c r="Y779" s="92" t="str">
        <f aca="false">IFERROR(VLOOKUP(E:E,'Item Data Support Sheet'!A:J,6,0),0)</f>
        <v>HMC</v>
      </c>
      <c r="Z779" s="93" t="n">
        <f aca="false">IFERROR(VLOOKUP(E:E,'Item Data Support Sheet'!A:O,4,0),0)</f>
        <v>21.3</v>
      </c>
      <c r="AA779" s="93" t="n">
        <f aca="false">IFERROR(((N779)*(Z779/1000))+P779,0)</f>
        <v>69.9527</v>
      </c>
      <c r="AB779" s="94" t="n">
        <f aca="false">IFERROR((O779*(Z779/1000)/(AA779))," ")</f>
        <v>0.986552341796671</v>
      </c>
      <c r="AC779" s="95" t="n">
        <f aca="false">IFERROR((T779)/((T779)+O779),0)</f>
        <v>0.0118938700823422</v>
      </c>
      <c r="AD779" s="96" t="n">
        <f aca="false">IFERROR(Q779/(Q779+N779),0)</f>
        <v>0</v>
      </c>
      <c r="AE779" s="91" t="n">
        <f aca="false">(N779-T779)/N779</f>
        <v>0.988106129917658</v>
      </c>
      <c r="AF779" s="97" t="n">
        <f aca="false">BR779</f>
        <v>0</v>
      </c>
      <c r="AG779" s="98" t="n">
        <f aca="false">K779-AF779</f>
        <v>8</v>
      </c>
      <c r="AH779" s="99" t="n">
        <f aca="false">IFERROR(AG779/K779," ")</f>
        <v>1</v>
      </c>
      <c r="AI779" s="100" t="n">
        <f aca="false">IFERROR(O779/K779,0)</f>
        <v>405</v>
      </c>
      <c r="AJ779" s="101" t="n">
        <f aca="false">VLOOKUP(D779,'Standard Cycle time'!C:D,2,0)</f>
        <v>9</v>
      </c>
      <c r="AK779" s="101" t="n">
        <f aca="false">AG779*V779*3600/O779</f>
        <v>8.88888888888889</v>
      </c>
      <c r="AL779" s="102" t="n">
        <f aca="false">AJ779/AK779</f>
        <v>1.0125</v>
      </c>
      <c r="AM779" s="99" t="n">
        <f aca="false">AE779*AL779*AH779</f>
        <v>1.00045745654163</v>
      </c>
      <c r="AN779" s="103" t="n">
        <v>1.00045745654163</v>
      </c>
      <c r="AO779" s="112"/>
      <c r="AP779" s="105" t="n">
        <v>0</v>
      </c>
      <c r="AQ779" s="105" t="n">
        <v>0</v>
      </c>
      <c r="AR779" s="105" t="n">
        <v>0</v>
      </c>
      <c r="AS779" s="105" t="n">
        <v>0</v>
      </c>
      <c r="AT779" s="105" t="n">
        <v>0</v>
      </c>
      <c r="AU779" s="105" t="n">
        <v>0</v>
      </c>
      <c r="AV779" s="105" t="n">
        <v>0</v>
      </c>
      <c r="AW779" s="105" t="n">
        <v>0</v>
      </c>
      <c r="AX779" s="105" t="n">
        <v>0</v>
      </c>
      <c r="AY779" s="105" t="n">
        <v>0</v>
      </c>
      <c r="AZ779" s="105" t="n">
        <v>0</v>
      </c>
      <c r="BA779" s="105" t="n">
        <v>0</v>
      </c>
      <c r="BB779" s="105" t="n">
        <v>0</v>
      </c>
      <c r="BC779" s="105" t="n">
        <v>0</v>
      </c>
      <c r="BD779" s="105" t="n">
        <v>0</v>
      </c>
      <c r="BE779" s="105" t="n">
        <v>0</v>
      </c>
      <c r="BF779" s="105" t="n">
        <v>0</v>
      </c>
      <c r="BG779" s="105" t="n">
        <v>0</v>
      </c>
      <c r="BH779" s="105" t="n">
        <v>0</v>
      </c>
      <c r="BI779" s="105" t="n">
        <v>0</v>
      </c>
      <c r="BJ779" s="105" t="n">
        <v>0</v>
      </c>
      <c r="BK779" s="105" t="n">
        <v>0</v>
      </c>
      <c r="BL779" s="105" t="n">
        <v>0</v>
      </c>
      <c r="BM779" s="105" t="n">
        <v>0</v>
      </c>
      <c r="BN779" s="105" t="n">
        <v>0</v>
      </c>
      <c r="BO779" s="105" t="n">
        <v>0</v>
      </c>
      <c r="BP779" s="105" t="n">
        <v>0</v>
      </c>
      <c r="BQ779" s="105" t="n">
        <v>0</v>
      </c>
      <c r="BR779" s="106" t="n">
        <v>0</v>
      </c>
      <c r="BS779" s="106" t="n">
        <v>0</v>
      </c>
      <c r="BT779" s="107"/>
      <c r="BU779" s="107"/>
      <c r="BV779" s="107"/>
      <c r="BW779" s="107"/>
      <c r="BX779" s="107"/>
      <c r="BY779" s="107"/>
      <c r="BZ779" s="107"/>
      <c r="CA779" s="107"/>
      <c r="CB779" s="107"/>
      <c r="CC779" s="107"/>
      <c r="CD779" s="107"/>
      <c r="CE779" s="107"/>
      <c r="CF779" s="107"/>
      <c r="CG779" s="107"/>
      <c r="CH779" s="107"/>
      <c r="CI779" s="107"/>
      <c r="CJ779" s="107"/>
      <c r="CK779" s="107"/>
      <c r="CL779" s="107"/>
      <c r="CM779" s="107"/>
      <c r="CN779" s="107"/>
      <c r="CO779" s="107"/>
      <c r="CP779" s="107"/>
      <c r="CQ779" s="107"/>
      <c r="CR779" s="107"/>
      <c r="CS779" s="107"/>
      <c r="CT779" s="107"/>
      <c r="CU779" s="107"/>
      <c r="CV779" s="107"/>
      <c r="CY779" s="0" t="s">
        <v>1512</v>
      </c>
      <c r="CZ779" s="0" t="n">
        <v>69.9527</v>
      </c>
    </row>
    <row r="780" customFormat="false" ht="14.9" hidden="false" customHeight="false" outlineLevel="0" collapsed="false">
      <c r="A780" s="74" t="n">
        <f aca="false">MONTH(B780)</f>
        <v>10</v>
      </c>
      <c r="B780" s="135" t="n">
        <v>44473</v>
      </c>
      <c r="C780" s="128" t="s">
        <v>152</v>
      </c>
      <c r="D780" s="77" t="str">
        <f aca="false">IFERROR(VLOOKUP(E:E,'Item Data Support Sheet'!A:O,7,0),"")</f>
        <v>NIPPLE MOLDED</v>
      </c>
      <c r="E780" s="80" t="s">
        <v>492</v>
      </c>
      <c r="F780" s="122" t="s">
        <v>137</v>
      </c>
      <c r="G780" s="137" t="s">
        <v>138</v>
      </c>
      <c r="H780" s="79" t="str">
        <f aca="false">IFERROR(VLOOKUP(E:E,'Item Data Support Sheet'!A:O,2,0),"")</f>
        <v>NIPPLE S TYPE LL SIZE INJECTION</v>
      </c>
      <c r="I780" s="80" t="s">
        <v>1513</v>
      </c>
      <c r="J780" s="80" t="s">
        <v>155</v>
      </c>
      <c r="K780" s="124" t="n">
        <v>2</v>
      </c>
      <c r="L780" s="124" t="n">
        <v>644</v>
      </c>
      <c r="M780" s="83" t="n">
        <v>322</v>
      </c>
      <c r="N780" s="84" t="n">
        <f aca="false">+O780+Q780+T780+U780</f>
        <v>760</v>
      </c>
      <c r="O780" s="85" t="n">
        <v>600</v>
      </c>
      <c r="P780" s="86" t="n">
        <v>0</v>
      </c>
      <c r="Q780" s="86" t="n">
        <v>105</v>
      </c>
      <c r="R780" s="132" t="n">
        <v>0</v>
      </c>
      <c r="S780" s="128" t="n">
        <v>0</v>
      </c>
      <c r="T780" s="132" t="n">
        <v>55</v>
      </c>
      <c r="U780" s="128" t="n">
        <v>0</v>
      </c>
      <c r="V780" s="128" t="n">
        <v>1</v>
      </c>
      <c r="W780" s="90" t="n">
        <f aca="false">IFERROR(O780/V780,0)</f>
        <v>600</v>
      </c>
      <c r="X780" s="91" t="n">
        <f aca="false">O780/L780</f>
        <v>0.93167701863354</v>
      </c>
      <c r="Y780" s="92" t="str">
        <f aca="false">IFERROR(VLOOKUP(E:E,'Item Data Support Sheet'!A:J,6,0),0)</f>
        <v>FO148</v>
      </c>
      <c r="Z780" s="93" t="n">
        <f aca="false">IFERROR(VLOOKUP(E:E,'Item Data Support Sheet'!A:O,4,0),0)</f>
        <v>6.8</v>
      </c>
      <c r="AA780" s="93" t="n">
        <f aca="false">IFERROR(((N780)*(Z780/1000))+P780,0)</f>
        <v>5.168</v>
      </c>
      <c r="AB780" s="94" t="n">
        <f aca="false">IFERROR((O780*(Z780/1000)/(AA780))," ")</f>
        <v>0.789473684210526</v>
      </c>
      <c r="AC780" s="95" t="n">
        <f aca="false">IFERROR((T780)/((T780)+O780),0)</f>
        <v>0.083969465648855</v>
      </c>
      <c r="AD780" s="96" t="n">
        <f aca="false">IFERROR(Q780/(Q780+N780),0)</f>
        <v>0.121387283236994</v>
      </c>
      <c r="AE780" s="91" t="n">
        <f aca="false">(N780-T780)/N780</f>
        <v>0.927631578947369</v>
      </c>
      <c r="AF780" s="97" t="n">
        <f aca="false">BR780</f>
        <v>1.16666666666667</v>
      </c>
      <c r="AG780" s="98" t="n">
        <f aca="false">K780-AF780</f>
        <v>0.83333333333333</v>
      </c>
      <c r="AH780" s="99" t="n">
        <f aca="false">IFERROR(AG780/K780," ")</f>
        <v>0.416666666666665</v>
      </c>
      <c r="AI780" s="100" t="n">
        <f aca="false">IFERROR(O780/K780,0)</f>
        <v>300</v>
      </c>
      <c r="AJ780" s="101" t="n">
        <f aca="false">VLOOKUP(D780,'Standard Cycle time'!C:D,2,0)</f>
        <v>5.25</v>
      </c>
      <c r="AK780" s="101" t="n">
        <f aca="false">AG780*V780*3600/O780</f>
        <v>4.99999999999998</v>
      </c>
      <c r="AL780" s="102" t="n">
        <f aca="false">AJ780/AK780</f>
        <v>1.05</v>
      </c>
      <c r="AM780" s="99" t="n">
        <f aca="false">AE780*AL780*AH780</f>
        <v>0.405838815789474</v>
      </c>
      <c r="AN780" s="103" t="n">
        <v>0.405838815789474</v>
      </c>
      <c r="AO780" s="112" t="s">
        <v>1514</v>
      </c>
      <c r="AP780" s="105" t="n">
        <v>0</v>
      </c>
      <c r="AQ780" s="105" t="n">
        <v>0</v>
      </c>
      <c r="AR780" s="105" t="n">
        <v>0</v>
      </c>
      <c r="AS780" s="105" t="n">
        <v>0</v>
      </c>
      <c r="AT780" s="105" t="n">
        <v>0</v>
      </c>
      <c r="AU780" s="105" t="n">
        <v>30</v>
      </c>
      <c r="AV780" s="105" t="n">
        <v>10</v>
      </c>
      <c r="AW780" s="105" t="n">
        <v>30</v>
      </c>
      <c r="AX780" s="105" t="n">
        <v>0</v>
      </c>
      <c r="AY780" s="105" t="n">
        <v>0</v>
      </c>
      <c r="AZ780" s="105" t="n">
        <v>0</v>
      </c>
      <c r="BA780" s="105" t="n">
        <v>0</v>
      </c>
      <c r="BB780" s="105" t="n">
        <v>0</v>
      </c>
      <c r="BC780" s="105" t="n">
        <v>0</v>
      </c>
      <c r="BD780" s="105" t="n">
        <v>0</v>
      </c>
      <c r="BE780" s="105" t="n">
        <v>0</v>
      </c>
      <c r="BF780" s="105" t="n">
        <v>0</v>
      </c>
      <c r="BG780" s="105" t="n">
        <v>0</v>
      </c>
      <c r="BH780" s="105" t="n">
        <v>0</v>
      </c>
      <c r="BI780" s="105" t="n">
        <v>0</v>
      </c>
      <c r="BJ780" s="105" t="n">
        <v>0</v>
      </c>
      <c r="BK780" s="105" t="n">
        <v>0</v>
      </c>
      <c r="BL780" s="105" t="n">
        <v>0</v>
      </c>
      <c r="BM780" s="105" t="n">
        <v>0</v>
      </c>
      <c r="BN780" s="105" t="n">
        <v>0</v>
      </c>
      <c r="BO780" s="105" t="n">
        <v>0</v>
      </c>
      <c r="BP780" s="105" t="n">
        <v>0</v>
      </c>
      <c r="BQ780" s="105" t="n">
        <v>0</v>
      </c>
      <c r="BR780" s="106" t="n">
        <v>1.16666666666667</v>
      </c>
      <c r="BS780" s="106" t="n">
        <v>1.16666666666667</v>
      </c>
      <c r="BT780" s="107"/>
      <c r="BU780" s="107"/>
      <c r="BV780" s="107"/>
      <c r="BW780" s="107"/>
      <c r="BX780" s="107"/>
      <c r="BY780" s="107"/>
      <c r="BZ780" s="107"/>
      <c r="CA780" s="107"/>
      <c r="CB780" s="107"/>
      <c r="CC780" s="107"/>
      <c r="CD780" s="107"/>
      <c r="CE780" s="107"/>
      <c r="CF780" s="107"/>
      <c r="CG780" s="107"/>
      <c r="CH780" s="107"/>
      <c r="CI780" s="107"/>
      <c r="CJ780" s="107"/>
      <c r="CK780" s="107"/>
      <c r="CL780" s="107"/>
      <c r="CM780" s="107"/>
      <c r="CN780" s="107"/>
      <c r="CO780" s="107"/>
      <c r="CP780" s="107"/>
      <c r="CQ780" s="107"/>
      <c r="CR780" s="107"/>
      <c r="CS780" s="107"/>
      <c r="CT780" s="107"/>
      <c r="CU780" s="107"/>
      <c r="CV780" s="107"/>
      <c r="CY780" s="0" t="s">
        <v>1515</v>
      </c>
    </row>
    <row r="781" customFormat="false" ht="14.9" hidden="false" customHeight="false" outlineLevel="0" collapsed="false">
      <c r="A781" s="74" t="n">
        <f aca="false">MONTH(B781)</f>
        <v>10</v>
      </c>
      <c r="B781" s="135" t="n">
        <v>44474</v>
      </c>
      <c r="C781" s="128" t="s">
        <v>51</v>
      </c>
      <c r="D781" s="77" t="str">
        <f aca="false">IFERROR(VLOOKUP(E:E,'Item Data Support Sheet'!A:O,7,0),"")</f>
        <v>BOTTLE MOLDED</v>
      </c>
      <c r="E781" s="80" t="s">
        <v>78</v>
      </c>
      <c r="F781" s="122" t="s">
        <v>79</v>
      </c>
      <c r="G781" s="137" t="s">
        <v>74</v>
      </c>
      <c r="H781" s="79" t="str">
        <f aca="false">IFERROR(VLOOKUP(E:E,'Item Data Support Sheet'!A:O,2,0),"")</f>
        <v>RPP 120 ML BOTTLE MOLDED</v>
      </c>
      <c r="I781" s="80" t="s">
        <v>1516</v>
      </c>
      <c r="J781" s="80" t="s">
        <v>143</v>
      </c>
      <c r="K781" s="124" t="n">
        <v>8</v>
      </c>
      <c r="L781" s="124" t="n">
        <v>2574</v>
      </c>
      <c r="M781" s="83" t="n">
        <v>321.75</v>
      </c>
      <c r="N781" s="84" t="n">
        <f aca="false">+O781+Q781+T781+U781</f>
        <v>3300</v>
      </c>
      <c r="O781" s="85" t="n">
        <v>3240</v>
      </c>
      <c r="P781" s="86" t="n">
        <v>0</v>
      </c>
      <c r="Q781" s="86" t="n">
        <v>20</v>
      </c>
      <c r="R781" s="132" t="n">
        <v>0</v>
      </c>
      <c r="S781" s="128" t="n">
        <v>0</v>
      </c>
      <c r="T781" s="132" t="n">
        <v>32</v>
      </c>
      <c r="U781" s="128" t="n">
        <v>8</v>
      </c>
      <c r="V781" s="128" t="n">
        <v>1</v>
      </c>
      <c r="W781" s="90" t="n">
        <f aca="false">IFERROR(O781/V781,0)</f>
        <v>3240</v>
      </c>
      <c r="X781" s="91" t="n">
        <f aca="false">O781/L781</f>
        <v>1.25874125874126</v>
      </c>
      <c r="Y781" s="92" t="str">
        <f aca="false">IFERROR(VLOOKUP(E:E,'Item Data Support Sheet'!A:J,6,0),0)</f>
        <v>HMC</v>
      </c>
      <c r="Z781" s="93" t="n">
        <f aca="false">IFERROR(VLOOKUP(E:E,'Item Data Support Sheet'!A:O,4,0),0)</f>
        <v>21.3</v>
      </c>
      <c r="AA781" s="93" t="n">
        <f aca="false">IFERROR(((N781)*(Z781/1000))+P781,0)</f>
        <v>70.29</v>
      </c>
      <c r="AB781" s="94" t="n">
        <f aca="false">IFERROR((O781*(Z781/1000)/(AA781))," ")</f>
        <v>0.981818181818182</v>
      </c>
      <c r="AC781" s="95" t="n">
        <f aca="false">IFERROR((T781)/((T781)+O781),0)</f>
        <v>0.0097799511002445</v>
      </c>
      <c r="AD781" s="96" t="n">
        <f aca="false">IFERROR(Q781/(Q781+N781),0)</f>
        <v>0.00602409638554217</v>
      </c>
      <c r="AE781" s="91" t="n">
        <f aca="false">(N781-T781)/N781</f>
        <v>0.99030303030303</v>
      </c>
      <c r="AF781" s="97" t="n">
        <f aca="false">BR781</f>
        <v>0</v>
      </c>
      <c r="AG781" s="98" t="n">
        <f aca="false">K781-AF781</f>
        <v>8</v>
      </c>
      <c r="AH781" s="99" t="n">
        <f aca="false">IFERROR(AG781/K781," ")</f>
        <v>1</v>
      </c>
      <c r="AI781" s="100" t="n">
        <f aca="false">IFERROR(O781/K781,0)</f>
        <v>405</v>
      </c>
      <c r="AJ781" s="101" t="n">
        <f aca="false">VLOOKUP(D781,'Standard Cycle time'!C:D,2,0)</f>
        <v>9</v>
      </c>
      <c r="AK781" s="101" t="n">
        <f aca="false">AG781*V781*3600/O781</f>
        <v>8.88888888888889</v>
      </c>
      <c r="AL781" s="102" t="n">
        <f aca="false">AJ781/AK781</f>
        <v>1.0125</v>
      </c>
      <c r="AM781" s="99" t="n">
        <f aca="false">AE781*AL781*AH781</f>
        <v>1.00268181818182</v>
      </c>
      <c r="AN781" s="103" t="n">
        <v>1.00268181818182</v>
      </c>
      <c r="AO781" s="112"/>
      <c r="AP781" s="105" t="n">
        <v>0</v>
      </c>
      <c r="AQ781" s="105" t="n">
        <v>0</v>
      </c>
      <c r="AR781" s="105" t="n">
        <v>0</v>
      </c>
      <c r="AS781" s="105" t="n">
        <v>0</v>
      </c>
      <c r="AT781" s="105" t="n">
        <v>0</v>
      </c>
      <c r="AU781" s="105" t="n">
        <v>0</v>
      </c>
      <c r="AV781" s="105" t="n">
        <v>0</v>
      </c>
      <c r="AW781" s="105" t="n">
        <v>0</v>
      </c>
      <c r="AX781" s="105" t="n">
        <v>0</v>
      </c>
      <c r="AY781" s="105" t="n">
        <v>0</v>
      </c>
      <c r="AZ781" s="105" t="n">
        <v>0</v>
      </c>
      <c r="BA781" s="105" t="n">
        <v>0</v>
      </c>
      <c r="BB781" s="105" t="n">
        <v>0</v>
      </c>
      <c r="BC781" s="105" t="n">
        <v>0</v>
      </c>
      <c r="BD781" s="105" t="n">
        <v>0</v>
      </c>
      <c r="BE781" s="105" t="n">
        <v>0</v>
      </c>
      <c r="BF781" s="105" t="n">
        <v>0</v>
      </c>
      <c r="BG781" s="105" t="n">
        <v>0</v>
      </c>
      <c r="BH781" s="105" t="n">
        <v>0</v>
      </c>
      <c r="BI781" s="105" t="n">
        <v>0</v>
      </c>
      <c r="BJ781" s="105" t="n">
        <v>0</v>
      </c>
      <c r="BK781" s="105" t="n">
        <v>0</v>
      </c>
      <c r="BL781" s="105" t="n">
        <v>0</v>
      </c>
      <c r="BM781" s="105" t="n">
        <v>0</v>
      </c>
      <c r="BN781" s="105" t="n">
        <v>0</v>
      </c>
      <c r="BO781" s="105" t="n">
        <v>0</v>
      </c>
      <c r="BP781" s="105" t="n">
        <v>0</v>
      </c>
      <c r="BQ781" s="105" t="n">
        <v>0</v>
      </c>
      <c r="BR781" s="106" t="n">
        <v>0</v>
      </c>
      <c r="BS781" s="106" t="n">
        <v>0</v>
      </c>
      <c r="BT781" s="107"/>
      <c r="BU781" s="107"/>
      <c r="BV781" s="107"/>
      <c r="BW781" s="107"/>
      <c r="BX781" s="107"/>
      <c r="BY781" s="107"/>
      <c r="BZ781" s="107"/>
      <c r="CA781" s="107"/>
      <c r="CB781" s="107"/>
      <c r="CC781" s="107"/>
      <c r="CD781" s="107"/>
      <c r="CE781" s="107"/>
      <c r="CF781" s="107"/>
      <c r="CG781" s="107"/>
      <c r="CH781" s="107"/>
      <c r="CI781" s="107"/>
      <c r="CJ781" s="107"/>
      <c r="CK781" s="107"/>
      <c r="CL781" s="107"/>
      <c r="CM781" s="107"/>
      <c r="CN781" s="107"/>
      <c r="CO781" s="107"/>
      <c r="CP781" s="107"/>
      <c r="CQ781" s="107"/>
      <c r="CR781" s="107"/>
      <c r="CS781" s="107"/>
      <c r="CT781" s="107"/>
      <c r="CU781" s="107"/>
      <c r="CV781" s="107"/>
      <c r="CY781" s="0" t="s">
        <v>1517</v>
      </c>
      <c r="CZ781" s="0" t="n">
        <v>70.29</v>
      </c>
    </row>
    <row r="782" customFormat="false" ht="14.9" hidden="false" customHeight="false" outlineLevel="0" collapsed="false">
      <c r="A782" s="74" t="n">
        <f aca="false">MONTH(B782)</f>
        <v>10</v>
      </c>
      <c r="B782" s="135" t="n">
        <v>44474</v>
      </c>
      <c r="C782" s="128" t="s">
        <v>51</v>
      </c>
      <c r="D782" s="77" t="str">
        <f aca="false">IFERROR(VLOOKUP(E:E,'Item Data Support Sheet'!A:O,7,0),"")</f>
        <v>CAP MOLDED</v>
      </c>
      <c r="E782" s="80" t="s">
        <v>199</v>
      </c>
      <c r="F782" s="122"/>
      <c r="G782" s="137" t="s">
        <v>1478</v>
      </c>
      <c r="H782" s="79" t="str">
        <f aca="false">IFERROR(VLOOKUP(E:E,'Item Data Support Sheet'!A:O,2,0),"")</f>
        <v>CAP S TYPE MOLDED RED</v>
      </c>
      <c r="I782" s="80" t="s">
        <v>1518</v>
      </c>
      <c r="J782" s="80" t="s">
        <v>143</v>
      </c>
      <c r="K782" s="124" t="n">
        <v>2.5</v>
      </c>
      <c r="L782" s="124" t="n">
        <v>1292</v>
      </c>
      <c r="M782" s="83" t="n">
        <v>516.8</v>
      </c>
      <c r="N782" s="84" t="n">
        <f aca="false">+O782+Q782+T782+U782</f>
        <v>1130</v>
      </c>
      <c r="O782" s="85" t="n">
        <v>1130</v>
      </c>
      <c r="P782" s="86" t="n">
        <v>0</v>
      </c>
      <c r="Q782" s="86" t="n">
        <v>0</v>
      </c>
      <c r="R782" s="132" t="n">
        <v>0</v>
      </c>
      <c r="S782" s="128" t="n">
        <v>0</v>
      </c>
      <c r="T782" s="132" t="n">
        <v>0</v>
      </c>
      <c r="U782" s="128" t="n">
        <v>0</v>
      </c>
      <c r="V782" s="128" t="n">
        <v>1</v>
      </c>
      <c r="W782" s="90" t="n">
        <f aca="false">IFERROR(O782/V782,0)</f>
        <v>1130</v>
      </c>
      <c r="X782" s="91" t="n">
        <f aca="false">O782/L782</f>
        <v>0.874613003095975</v>
      </c>
      <c r="Y782" s="92" t="str">
        <f aca="false">IFERROR(VLOOKUP(E:E,'Item Data Support Sheet'!A:J,6,0),0)</f>
        <v>FO153</v>
      </c>
      <c r="Z782" s="93" t="n">
        <f aca="false">IFERROR(VLOOKUP(E:E,'Item Data Support Sheet'!A:O,4,0),0)</f>
        <v>7.3</v>
      </c>
      <c r="AA782" s="93" t="n">
        <f aca="false">IFERROR(((N782)*(Z782/1000))+P782,0)</f>
        <v>8.249</v>
      </c>
      <c r="AB782" s="94" t="n">
        <f aca="false">IFERROR((O782*(Z782/1000)/(AA782))," ")</f>
        <v>1</v>
      </c>
      <c r="AC782" s="95" t="n">
        <f aca="false">IFERROR((T782)/((T782)+O782),0)</f>
        <v>0</v>
      </c>
      <c r="AD782" s="96" t="n">
        <f aca="false">IFERROR(Q782/(Q782+N782),0)</f>
        <v>0</v>
      </c>
      <c r="AE782" s="91" t="n">
        <f aca="false">(N782-T782)/N782</f>
        <v>1</v>
      </c>
      <c r="AF782" s="97" t="n">
        <f aca="false">BR782</f>
        <v>0.833333333333333</v>
      </c>
      <c r="AG782" s="98" t="n">
        <f aca="false">K782-AF782</f>
        <v>1.66666666666667</v>
      </c>
      <c r="AH782" s="99" t="n">
        <f aca="false">IFERROR(AG782/K782," ")</f>
        <v>0.666666666666667</v>
      </c>
      <c r="AI782" s="100" t="n">
        <f aca="false">IFERROR(O782/K782,0)</f>
        <v>452</v>
      </c>
      <c r="AJ782" s="101" t="n">
        <f aca="false">VLOOKUP(D782,'Standard Cycle time'!C:D,2,0)</f>
        <v>6</v>
      </c>
      <c r="AK782" s="101" t="n">
        <f aca="false">AG782*V782*3600/O782</f>
        <v>5.30973451327434</v>
      </c>
      <c r="AL782" s="102" t="n">
        <f aca="false">AJ782/AK782</f>
        <v>1.13</v>
      </c>
      <c r="AM782" s="99" t="n">
        <f aca="false">AE782*AL782*AH782</f>
        <v>0.753333333333333</v>
      </c>
      <c r="AN782" s="103" t="n">
        <v>0.753333333333334</v>
      </c>
      <c r="AO782" s="112" t="s">
        <v>1519</v>
      </c>
      <c r="AP782" s="105" t="n">
        <v>0</v>
      </c>
      <c r="AQ782" s="105" t="n">
        <v>0</v>
      </c>
      <c r="AR782" s="105" t="n">
        <v>0</v>
      </c>
      <c r="AS782" s="105" t="n">
        <v>0</v>
      </c>
      <c r="AT782" s="105" t="n">
        <v>0</v>
      </c>
      <c r="AU782" s="105" t="n">
        <v>0</v>
      </c>
      <c r="AV782" s="105" t="n">
        <v>0</v>
      </c>
      <c r="AW782" s="105" t="n">
        <v>0</v>
      </c>
      <c r="AX782" s="105" t="n">
        <v>0</v>
      </c>
      <c r="AY782" s="105" t="n">
        <v>0</v>
      </c>
      <c r="AZ782" s="105" t="n">
        <v>30</v>
      </c>
      <c r="BA782" s="105" t="n">
        <v>0</v>
      </c>
      <c r="BB782" s="105" t="n">
        <v>0</v>
      </c>
      <c r="BC782" s="105" t="n">
        <v>0</v>
      </c>
      <c r="BD782" s="105" t="n">
        <v>0</v>
      </c>
      <c r="BE782" s="105" t="n">
        <v>0</v>
      </c>
      <c r="BF782" s="105" t="n">
        <v>0</v>
      </c>
      <c r="BG782" s="105" t="n">
        <v>0</v>
      </c>
      <c r="BH782" s="105" t="n">
        <v>0</v>
      </c>
      <c r="BI782" s="105" t="n">
        <v>0</v>
      </c>
      <c r="BJ782" s="105" t="n">
        <v>0</v>
      </c>
      <c r="BK782" s="105" t="n">
        <v>0</v>
      </c>
      <c r="BL782" s="105" t="n">
        <v>0</v>
      </c>
      <c r="BM782" s="105" t="n">
        <v>20</v>
      </c>
      <c r="BN782" s="105" t="n">
        <v>0</v>
      </c>
      <c r="BO782" s="105" t="n">
        <v>0</v>
      </c>
      <c r="BP782" s="105" t="n">
        <v>0</v>
      </c>
      <c r="BQ782" s="105" t="n">
        <v>0</v>
      </c>
      <c r="BR782" s="106" t="n">
        <v>0.833333333333333</v>
      </c>
      <c r="BS782" s="106" t="n">
        <v>0.833333333333333</v>
      </c>
      <c r="BT782" s="107"/>
      <c r="BU782" s="107"/>
      <c r="BV782" s="107"/>
      <c r="BW782" s="107"/>
      <c r="BX782" s="107"/>
      <c r="BY782" s="107"/>
      <c r="BZ782" s="107"/>
      <c r="CA782" s="107"/>
      <c r="CB782" s="107"/>
      <c r="CC782" s="107"/>
      <c r="CD782" s="107"/>
      <c r="CE782" s="107"/>
      <c r="CF782" s="107"/>
      <c r="CG782" s="107"/>
      <c r="CH782" s="107"/>
      <c r="CI782" s="107"/>
      <c r="CJ782" s="107"/>
      <c r="CK782" s="107"/>
      <c r="CL782" s="107"/>
      <c r="CM782" s="107"/>
      <c r="CN782" s="107"/>
      <c r="CO782" s="107"/>
      <c r="CP782" s="107"/>
      <c r="CQ782" s="107"/>
      <c r="CR782" s="107"/>
      <c r="CS782" s="107"/>
      <c r="CT782" s="107"/>
      <c r="CU782" s="107"/>
      <c r="CV782" s="107"/>
      <c r="CY782" s="0" t="s">
        <v>1520</v>
      </c>
    </row>
    <row r="783" customFormat="false" ht="14.9" hidden="false" customHeight="false" outlineLevel="0" collapsed="false">
      <c r="A783" s="74" t="n">
        <f aca="false">MONTH(B783)</f>
        <v>10</v>
      </c>
      <c r="B783" s="135" t="n">
        <v>44474</v>
      </c>
      <c r="C783" s="128" t="s">
        <v>51</v>
      </c>
      <c r="D783" s="77" t="str">
        <f aca="false">IFERROR(VLOOKUP(E:E,'Item Data Support Sheet'!A:O,7,0),"")</f>
        <v>CAP MOLDED</v>
      </c>
      <c r="E783" s="80" t="s">
        <v>199</v>
      </c>
      <c r="F783" s="122"/>
      <c r="G783" s="137" t="s">
        <v>1215</v>
      </c>
      <c r="H783" s="79" t="str">
        <f aca="false">IFERROR(VLOOKUP(E:E,'Item Data Support Sheet'!A:O,2,0),"")</f>
        <v>CAP S TYPE MOLDED RED</v>
      </c>
      <c r="I783" s="80" t="s">
        <v>1521</v>
      </c>
      <c r="J783" s="80" t="s">
        <v>143</v>
      </c>
      <c r="K783" s="124" t="n">
        <v>5.5</v>
      </c>
      <c r="L783" s="124" t="n">
        <v>2845</v>
      </c>
      <c r="M783" s="83" t="n">
        <v>517.272727272727</v>
      </c>
      <c r="N783" s="84" t="n">
        <f aca="false">+O783+Q783+T783+U783</f>
        <v>3208</v>
      </c>
      <c r="O783" s="85" t="n">
        <v>3200</v>
      </c>
      <c r="P783" s="86" t="n">
        <v>0</v>
      </c>
      <c r="Q783" s="86" t="n">
        <v>0</v>
      </c>
      <c r="R783" s="132" t="n">
        <v>0</v>
      </c>
      <c r="S783" s="128" t="n">
        <v>0</v>
      </c>
      <c r="T783" s="132" t="n">
        <v>0</v>
      </c>
      <c r="U783" s="128" t="n">
        <v>8</v>
      </c>
      <c r="V783" s="128" t="n">
        <v>1</v>
      </c>
      <c r="W783" s="90" t="n">
        <f aca="false">IFERROR(O783/V783,0)</f>
        <v>3200</v>
      </c>
      <c r="X783" s="91" t="n">
        <f aca="false">O783/L783</f>
        <v>1.12478031634446</v>
      </c>
      <c r="Y783" s="92" t="str">
        <f aca="false">IFERROR(VLOOKUP(E:E,'Item Data Support Sheet'!A:J,6,0),0)</f>
        <v>FO153</v>
      </c>
      <c r="Z783" s="93" t="n">
        <f aca="false">IFERROR(VLOOKUP(E:E,'Item Data Support Sheet'!A:O,4,0),0)</f>
        <v>7.3</v>
      </c>
      <c r="AA783" s="93" t="n">
        <f aca="false">IFERROR(((N783)*(Z783/1000))+P783,0)</f>
        <v>23.4184</v>
      </c>
      <c r="AB783" s="94" t="n">
        <f aca="false">IFERROR((O783*(Z783/1000)/(AA783))," ")</f>
        <v>0.997506234413965</v>
      </c>
      <c r="AC783" s="95" t="n">
        <f aca="false">IFERROR((T783)/((T783)+O783),0)</f>
        <v>0</v>
      </c>
      <c r="AD783" s="96" t="n">
        <f aca="false">IFERROR(Q783/(Q783+N783),0)</f>
        <v>0</v>
      </c>
      <c r="AE783" s="91" t="n">
        <f aca="false">(N783-T783)/N783</f>
        <v>1</v>
      </c>
      <c r="AF783" s="97" t="n">
        <f aca="false">BR783</f>
        <v>0</v>
      </c>
      <c r="AG783" s="98" t="n">
        <f aca="false">K783-AF783</f>
        <v>5.5</v>
      </c>
      <c r="AH783" s="99" t="n">
        <f aca="false">IFERROR(AG783/K783," ")</f>
        <v>1</v>
      </c>
      <c r="AI783" s="100" t="n">
        <f aca="false">IFERROR(O783/K783,0)</f>
        <v>581.818181818182</v>
      </c>
      <c r="AJ783" s="101" t="n">
        <f aca="false">VLOOKUP(D783,'Standard Cycle time'!C:D,2,0)</f>
        <v>6</v>
      </c>
      <c r="AK783" s="101" t="n">
        <f aca="false">AG783*V783*3600/O783</f>
        <v>6.1875</v>
      </c>
      <c r="AL783" s="102" t="n">
        <f aca="false">AJ783/AK783</f>
        <v>0.96969696969697</v>
      </c>
      <c r="AM783" s="99" t="n">
        <f aca="false">AE783*AL783*AH783</f>
        <v>0.96969696969697</v>
      </c>
      <c r="AN783" s="103" t="n">
        <v>0.96969696969697</v>
      </c>
      <c r="AO783" s="112"/>
      <c r="AP783" s="105" t="n">
        <v>0</v>
      </c>
      <c r="AQ783" s="105" t="n">
        <v>0</v>
      </c>
      <c r="AR783" s="105" t="n">
        <v>0</v>
      </c>
      <c r="AS783" s="105" t="n">
        <v>0</v>
      </c>
      <c r="AT783" s="105" t="n">
        <v>0</v>
      </c>
      <c r="AU783" s="105" t="n">
        <v>0</v>
      </c>
      <c r="AV783" s="105" t="n">
        <v>0</v>
      </c>
      <c r="AW783" s="105" t="n">
        <v>0</v>
      </c>
      <c r="AX783" s="105" t="n">
        <v>0</v>
      </c>
      <c r="AY783" s="105" t="n">
        <v>0</v>
      </c>
      <c r="AZ783" s="105" t="n">
        <v>0</v>
      </c>
      <c r="BA783" s="105" t="n">
        <v>0</v>
      </c>
      <c r="BB783" s="105" t="n">
        <v>0</v>
      </c>
      <c r="BC783" s="105" t="n">
        <v>0</v>
      </c>
      <c r="BD783" s="105" t="n">
        <v>0</v>
      </c>
      <c r="BE783" s="105" t="n">
        <v>0</v>
      </c>
      <c r="BF783" s="105" t="n">
        <v>0</v>
      </c>
      <c r="BG783" s="105" t="n">
        <v>0</v>
      </c>
      <c r="BH783" s="105" t="n">
        <v>0</v>
      </c>
      <c r="BI783" s="105" t="n">
        <v>0</v>
      </c>
      <c r="BJ783" s="105" t="n">
        <v>0</v>
      </c>
      <c r="BK783" s="105" t="n">
        <v>0</v>
      </c>
      <c r="BL783" s="105" t="n">
        <v>0</v>
      </c>
      <c r="BM783" s="105" t="n">
        <v>0</v>
      </c>
      <c r="BN783" s="105" t="n">
        <v>0</v>
      </c>
      <c r="BO783" s="105" t="n">
        <v>0</v>
      </c>
      <c r="BP783" s="105" t="n">
        <v>0</v>
      </c>
      <c r="BQ783" s="105" t="n">
        <v>0</v>
      </c>
      <c r="BR783" s="106" t="n">
        <v>0</v>
      </c>
      <c r="BS783" s="106" t="n">
        <v>0</v>
      </c>
      <c r="BT783" s="107"/>
      <c r="BU783" s="107"/>
      <c r="BV783" s="107"/>
      <c r="BW783" s="107"/>
      <c r="BX783" s="107"/>
      <c r="BY783" s="107"/>
      <c r="BZ783" s="107"/>
      <c r="CA783" s="107"/>
      <c r="CB783" s="107"/>
      <c r="CC783" s="107"/>
      <c r="CD783" s="107"/>
      <c r="CE783" s="107"/>
      <c r="CF783" s="107"/>
      <c r="CG783" s="107"/>
      <c r="CH783" s="107"/>
      <c r="CI783" s="107"/>
      <c r="CJ783" s="107"/>
      <c r="CK783" s="107"/>
      <c r="CL783" s="107"/>
      <c r="CM783" s="107"/>
      <c r="CN783" s="107"/>
      <c r="CO783" s="107"/>
      <c r="CP783" s="107"/>
      <c r="CQ783" s="107"/>
      <c r="CR783" s="107"/>
      <c r="CS783" s="107"/>
      <c r="CT783" s="107"/>
      <c r="CU783" s="107"/>
      <c r="CV783" s="107"/>
      <c r="CY783" s="0" t="s">
        <v>1522</v>
      </c>
    </row>
    <row r="784" customFormat="false" ht="14.9" hidden="false" customHeight="false" outlineLevel="0" collapsed="false">
      <c r="A784" s="74" t="n">
        <f aca="false">MONTH(B784)</f>
        <v>10</v>
      </c>
      <c r="B784" s="135" t="n">
        <v>44474</v>
      </c>
      <c r="C784" s="128" t="s">
        <v>51</v>
      </c>
      <c r="D784" s="77" t="str">
        <f aca="false">IFERROR(VLOOKUP(E:E,'Item Data Support Sheet'!A:O,7,0),"")</f>
        <v>NIPPLE PUNCH</v>
      </c>
      <c r="E784" s="80" t="s">
        <v>563</v>
      </c>
      <c r="F784" s="122"/>
      <c r="G784" s="137"/>
      <c r="H784" s="79" t="str">
        <f aca="false">IFERROR(VLOOKUP(E:E,'Item Data Support Sheet'!A:O,2,0),"")</f>
        <v>NIPPLE S TYPE LL SIZE PUNCHED</v>
      </c>
      <c r="I784" s="80" t="s">
        <v>1523</v>
      </c>
      <c r="J784" s="80" t="s">
        <v>143</v>
      </c>
      <c r="K784" s="124" t="n">
        <v>8</v>
      </c>
      <c r="L784" s="124" t="n">
        <v>7000</v>
      </c>
      <c r="M784" s="83" t="n">
        <v>875</v>
      </c>
      <c r="N784" s="84" t="n">
        <f aca="false">+O784+Q784+T784+U784</f>
        <v>4400</v>
      </c>
      <c r="O784" s="85" t="n">
        <v>4400</v>
      </c>
      <c r="P784" s="86" t="n">
        <v>0</v>
      </c>
      <c r="Q784" s="86" t="n">
        <v>0</v>
      </c>
      <c r="R784" s="132" t="n">
        <v>0</v>
      </c>
      <c r="S784" s="128" t="n">
        <v>0</v>
      </c>
      <c r="T784" s="132" t="n">
        <v>0</v>
      </c>
      <c r="U784" s="128" t="n">
        <v>0</v>
      </c>
      <c r="V784" s="128" t="n">
        <v>1</v>
      </c>
      <c r="W784" s="90" t="n">
        <f aca="false">IFERROR(O784/V784,0)</f>
        <v>4400</v>
      </c>
      <c r="X784" s="91" t="n">
        <f aca="false">O784/L784</f>
        <v>0.628571428571429</v>
      </c>
      <c r="Y784" s="92" t="str">
        <f aca="false">IFERROR(VLOOKUP(E:E,'Item Data Support Sheet'!A:J,6,0),0)</f>
        <v>FO150</v>
      </c>
      <c r="Z784" s="93" t="n">
        <f aca="false">IFERROR(VLOOKUP(E:E,'Item Data Support Sheet'!A:O,4,0),0)</f>
        <v>0</v>
      </c>
      <c r="AA784" s="93" t="n">
        <f aca="false">IFERROR(((N784)*(Z784/1000))+P784,0)</f>
        <v>0</v>
      </c>
      <c r="AB784" s="94" t="str">
        <f aca="false">IFERROR((O784*(Z784/1000)/(AA784))," ")</f>
        <v> </v>
      </c>
      <c r="AC784" s="95" t="n">
        <f aca="false">IFERROR((T784)/((T784)+O784),0)</f>
        <v>0</v>
      </c>
      <c r="AD784" s="96" t="n">
        <f aca="false">IFERROR(Q784/(Q784+N784),0)</f>
        <v>0</v>
      </c>
      <c r="AE784" s="91" t="n">
        <f aca="false">(N784-T784)/N784</f>
        <v>1</v>
      </c>
      <c r="AF784" s="97" t="n">
        <f aca="false">BR784</f>
        <v>2.66666666666667</v>
      </c>
      <c r="AG784" s="98" t="n">
        <f aca="false">K784-AF784</f>
        <v>5.33333333333333</v>
      </c>
      <c r="AH784" s="99" t="n">
        <f aca="false">IFERROR(AG784/K784," ")</f>
        <v>0.666666666666666</v>
      </c>
      <c r="AI784" s="100" t="n">
        <f aca="false">IFERROR(O784/K784,0)</f>
        <v>550</v>
      </c>
      <c r="AJ784" s="101" t="n">
        <f aca="false">VLOOKUP(D784,'Standard Cycle time'!C:D,2,0)</f>
        <v>3.5</v>
      </c>
      <c r="AK784" s="101" t="n">
        <f aca="false">AG784*V784*3600/O784</f>
        <v>4.36363636363636</v>
      </c>
      <c r="AL784" s="102" t="n">
        <f aca="false">AJ784/AK784</f>
        <v>0.802083333333334</v>
      </c>
      <c r="AM784" s="99" t="n">
        <f aca="false">AE784*AL784*AH784</f>
        <v>0.534722222222222</v>
      </c>
      <c r="AN784" s="103" t="n">
        <v>0.534722222222222</v>
      </c>
      <c r="AO784" s="112" t="s">
        <v>824</v>
      </c>
      <c r="AP784" s="105" t="n">
        <v>40</v>
      </c>
      <c r="AQ784" s="105" t="n">
        <v>0</v>
      </c>
      <c r="AR784" s="105" t="n">
        <v>0</v>
      </c>
      <c r="AS784" s="105" t="n">
        <v>120</v>
      </c>
      <c r="AT784" s="105" t="n">
        <v>0</v>
      </c>
      <c r="AU784" s="105" t="n">
        <v>0</v>
      </c>
      <c r="AV784" s="105" t="n">
        <v>0</v>
      </c>
      <c r="AW784" s="105" t="n">
        <v>0</v>
      </c>
      <c r="AX784" s="105" t="n">
        <v>0</v>
      </c>
      <c r="AY784" s="105" t="n">
        <v>0</v>
      </c>
      <c r="AZ784" s="105" t="n">
        <v>0</v>
      </c>
      <c r="BA784" s="105" t="n">
        <v>0</v>
      </c>
      <c r="BB784" s="105" t="n">
        <v>0</v>
      </c>
      <c r="BC784" s="105" t="n">
        <v>0</v>
      </c>
      <c r="BD784" s="105" t="n">
        <v>0</v>
      </c>
      <c r="BE784" s="105" t="n">
        <v>0</v>
      </c>
      <c r="BF784" s="105" t="n">
        <v>0</v>
      </c>
      <c r="BG784" s="105" t="n">
        <v>0</v>
      </c>
      <c r="BH784" s="105" t="n">
        <v>0</v>
      </c>
      <c r="BI784" s="105" t="n">
        <v>0</v>
      </c>
      <c r="BJ784" s="105" t="n">
        <v>0</v>
      </c>
      <c r="BK784" s="105" t="n">
        <v>0</v>
      </c>
      <c r="BL784" s="105" t="n">
        <v>0</v>
      </c>
      <c r="BM784" s="105" t="n">
        <v>0</v>
      </c>
      <c r="BN784" s="105" t="n">
        <v>0</v>
      </c>
      <c r="BO784" s="105" t="n">
        <v>0</v>
      </c>
      <c r="BP784" s="105" t="n">
        <v>0</v>
      </c>
      <c r="BQ784" s="105" t="n">
        <v>0</v>
      </c>
      <c r="BR784" s="106" t="n">
        <v>2.66666666666667</v>
      </c>
      <c r="BS784" s="106" t="n">
        <v>2.66666666666667</v>
      </c>
      <c r="BT784" s="107"/>
      <c r="BU784" s="107"/>
      <c r="BV784" s="107"/>
      <c r="BW784" s="107"/>
      <c r="BX784" s="107"/>
      <c r="BY784" s="107"/>
      <c r="BZ784" s="107"/>
      <c r="CA784" s="107"/>
      <c r="CB784" s="107"/>
      <c r="CC784" s="107"/>
      <c r="CD784" s="107"/>
      <c r="CE784" s="107"/>
      <c r="CF784" s="107"/>
      <c r="CG784" s="107"/>
      <c r="CH784" s="107"/>
      <c r="CI784" s="107"/>
      <c r="CJ784" s="107"/>
      <c r="CK784" s="107"/>
      <c r="CL784" s="107"/>
      <c r="CM784" s="107"/>
      <c r="CN784" s="107"/>
      <c r="CO784" s="107"/>
      <c r="CP784" s="107"/>
      <c r="CQ784" s="107"/>
      <c r="CR784" s="107"/>
      <c r="CS784" s="107"/>
      <c r="CT784" s="107"/>
      <c r="CU784" s="107"/>
      <c r="CV784" s="107"/>
      <c r="CY784" s="0" t="s">
        <v>1524</v>
      </c>
    </row>
    <row r="785" customFormat="false" ht="14.9" hidden="false" customHeight="false" outlineLevel="0" collapsed="false">
      <c r="A785" s="74" t="n">
        <f aca="false">MONTH(B785)</f>
        <v>10</v>
      </c>
      <c r="B785" s="135" t="n">
        <v>44474</v>
      </c>
      <c r="C785" s="128" t="s">
        <v>51</v>
      </c>
      <c r="D785" s="77" t="str">
        <f aca="false">IFERROR(VLOOKUP(E:E,'Item Data Support Sheet'!A:O,7,0),"")</f>
        <v>NIPPLE LASER MARKING</v>
      </c>
      <c r="E785" s="80" t="s">
        <v>600</v>
      </c>
      <c r="F785" s="122"/>
      <c r="G785" s="137" t="s">
        <v>517</v>
      </c>
      <c r="H785" s="79" t="str">
        <f aca="false">IFERROR(VLOOKUP(E:E,'Item Data Support Sheet'!A:O,2,0),"")</f>
        <v>NIPPLE S TYPE LL SIZE LASER MARKED</v>
      </c>
      <c r="I785" s="80" t="s">
        <v>1525</v>
      </c>
      <c r="J785" s="80" t="s">
        <v>143</v>
      </c>
      <c r="K785" s="124" t="n">
        <v>8</v>
      </c>
      <c r="L785" s="124" t="n">
        <v>7000</v>
      </c>
      <c r="M785" s="83" t="n">
        <v>875</v>
      </c>
      <c r="N785" s="84" t="n">
        <f aca="false">+O785+Q785+T785+U785</f>
        <v>3800</v>
      </c>
      <c r="O785" s="85" t="n">
        <v>3800</v>
      </c>
      <c r="P785" s="86" t="n">
        <v>0</v>
      </c>
      <c r="Q785" s="86" t="n">
        <v>0</v>
      </c>
      <c r="R785" s="132" t="n">
        <v>0</v>
      </c>
      <c r="S785" s="128" t="n">
        <v>0</v>
      </c>
      <c r="T785" s="132" t="n">
        <v>0</v>
      </c>
      <c r="U785" s="128" t="n">
        <v>0</v>
      </c>
      <c r="V785" s="128" t="n">
        <v>1</v>
      </c>
      <c r="W785" s="90" t="n">
        <f aca="false">IFERROR(O785/V785,0)</f>
        <v>3800</v>
      </c>
      <c r="X785" s="91" t="n">
        <f aca="false">O785/L785</f>
        <v>0.542857142857143</v>
      </c>
      <c r="Y785" s="92" t="str">
        <f aca="false">IFERROR(VLOOKUP(E:E,'Item Data Support Sheet'!A:J,6,0),0)</f>
        <v>FO151</v>
      </c>
      <c r="Z785" s="93" t="n">
        <f aca="false">IFERROR(VLOOKUP(E:E,'Item Data Support Sheet'!A:O,4,0),0)</f>
        <v>0</v>
      </c>
      <c r="AA785" s="93" t="n">
        <f aca="false">IFERROR(((N785)*(Z785/1000))+P785,0)</f>
        <v>0</v>
      </c>
      <c r="AB785" s="94" t="str">
        <f aca="false">IFERROR((O785*(Z785/1000)/(AA785))," ")</f>
        <v> </v>
      </c>
      <c r="AC785" s="95" t="n">
        <f aca="false">IFERROR((T785)/((T785)+O785),0)</f>
        <v>0</v>
      </c>
      <c r="AD785" s="96" t="n">
        <f aca="false">IFERROR(Q785/(Q785+N785),0)</f>
        <v>0</v>
      </c>
      <c r="AE785" s="91" t="n">
        <f aca="false">(N785-T785)/N785</f>
        <v>1</v>
      </c>
      <c r="AF785" s="97" t="n">
        <f aca="false">BR785</f>
        <v>3.66666666666667</v>
      </c>
      <c r="AG785" s="98" t="n">
        <f aca="false">K785-AF785</f>
        <v>4.33333333333333</v>
      </c>
      <c r="AH785" s="99" t="n">
        <f aca="false">IFERROR(AG785/K785," ")</f>
        <v>0.541666666666666</v>
      </c>
      <c r="AI785" s="100" t="n">
        <f aca="false">IFERROR(O785/K785,0)</f>
        <v>475</v>
      </c>
      <c r="AJ785" s="101" t="n">
        <f aca="false">VLOOKUP(D785,'Standard Cycle time'!C:D,2,0)</f>
        <v>3.5</v>
      </c>
      <c r="AK785" s="101" t="n">
        <f aca="false">AG785*V785*3600/O785</f>
        <v>4.10526315789473</v>
      </c>
      <c r="AL785" s="102" t="n">
        <f aca="false">AJ785/AK785</f>
        <v>0.852564102564103</v>
      </c>
      <c r="AM785" s="99" t="n">
        <f aca="false">AE785*AL785*AH785</f>
        <v>0.461805555555556</v>
      </c>
      <c r="AN785" s="103" t="n">
        <v>0.461805555555556</v>
      </c>
      <c r="AO785" s="112" t="s">
        <v>824</v>
      </c>
      <c r="AP785" s="105" t="n">
        <v>40</v>
      </c>
      <c r="AQ785" s="105" t="n">
        <v>0</v>
      </c>
      <c r="AR785" s="105" t="n">
        <v>0</v>
      </c>
      <c r="AS785" s="105" t="n">
        <v>150</v>
      </c>
      <c r="AT785" s="105" t="n">
        <v>0</v>
      </c>
      <c r="AU785" s="105" t="n">
        <v>0</v>
      </c>
      <c r="AV785" s="105" t="n">
        <v>30</v>
      </c>
      <c r="AW785" s="105" t="n">
        <v>0</v>
      </c>
      <c r="AX785" s="105" t="n">
        <v>0</v>
      </c>
      <c r="AY785" s="105" t="n">
        <v>0</v>
      </c>
      <c r="AZ785" s="105" t="n">
        <v>0</v>
      </c>
      <c r="BA785" s="105" t="n">
        <v>0</v>
      </c>
      <c r="BB785" s="105" t="n">
        <v>0</v>
      </c>
      <c r="BC785" s="105" t="n">
        <v>0</v>
      </c>
      <c r="BD785" s="105" t="n">
        <v>0</v>
      </c>
      <c r="BE785" s="105" t="n">
        <v>0</v>
      </c>
      <c r="BF785" s="105" t="n">
        <v>0</v>
      </c>
      <c r="BG785" s="105" t="n">
        <v>0</v>
      </c>
      <c r="BH785" s="105" t="n">
        <v>0</v>
      </c>
      <c r="BI785" s="105" t="n">
        <v>0</v>
      </c>
      <c r="BJ785" s="105" t="n">
        <v>0</v>
      </c>
      <c r="BK785" s="105" t="n">
        <v>0</v>
      </c>
      <c r="BL785" s="105" t="n">
        <v>0</v>
      </c>
      <c r="BM785" s="105" t="n">
        <v>0</v>
      </c>
      <c r="BN785" s="105" t="n">
        <v>0</v>
      </c>
      <c r="BO785" s="105" t="n">
        <v>0</v>
      </c>
      <c r="BP785" s="105" t="n">
        <v>0</v>
      </c>
      <c r="BQ785" s="105" t="n">
        <v>0</v>
      </c>
      <c r="BR785" s="106" t="n">
        <v>3.66666666666667</v>
      </c>
      <c r="BS785" s="106" t="n">
        <v>3.66666666666667</v>
      </c>
      <c r="BT785" s="107"/>
      <c r="BU785" s="107"/>
      <c r="BV785" s="107"/>
      <c r="BW785" s="107"/>
      <c r="BX785" s="107"/>
      <c r="BY785" s="107"/>
      <c r="BZ785" s="107"/>
      <c r="CA785" s="107"/>
      <c r="CB785" s="107"/>
      <c r="CC785" s="107"/>
      <c r="CD785" s="107"/>
      <c r="CE785" s="107"/>
      <c r="CF785" s="107"/>
      <c r="CG785" s="107"/>
      <c r="CH785" s="107"/>
      <c r="CI785" s="107"/>
      <c r="CJ785" s="107"/>
      <c r="CK785" s="107"/>
      <c r="CL785" s="107"/>
      <c r="CM785" s="107"/>
      <c r="CN785" s="107"/>
      <c r="CO785" s="107"/>
      <c r="CP785" s="107"/>
      <c r="CQ785" s="107"/>
      <c r="CR785" s="107"/>
      <c r="CS785" s="107"/>
      <c r="CT785" s="107"/>
      <c r="CU785" s="107"/>
      <c r="CV785" s="107"/>
      <c r="CY785" s="0" t="s">
        <v>1526</v>
      </c>
    </row>
    <row r="786" customFormat="false" ht="14.9" hidden="false" customHeight="false" outlineLevel="0" collapsed="false">
      <c r="A786" s="74" t="n">
        <f aca="false">MONTH(B786)</f>
        <v>10</v>
      </c>
      <c r="B786" s="135" t="n">
        <v>44474</v>
      </c>
      <c r="C786" s="128" t="s">
        <v>51</v>
      </c>
      <c r="D786" s="77" t="str">
        <f aca="false">IFERROR(VLOOKUP(E:E,'Item Data Support Sheet'!A:O,7,0),"")</f>
        <v>NIPPLE MOLDED</v>
      </c>
      <c r="E786" s="80" t="s">
        <v>492</v>
      </c>
      <c r="F786" s="122" t="s">
        <v>137</v>
      </c>
      <c r="G786" s="137" t="s">
        <v>138</v>
      </c>
      <c r="H786" s="79" t="str">
        <f aca="false">IFERROR(VLOOKUP(E:E,'Item Data Support Sheet'!A:O,2,0),"")</f>
        <v>NIPPLE S TYPE LL SIZE INJECTION</v>
      </c>
      <c r="I786" s="80" t="s">
        <v>1527</v>
      </c>
      <c r="J786" s="80" t="s">
        <v>143</v>
      </c>
      <c r="K786" s="124" t="n">
        <v>8</v>
      </c>
      <c r="L786" s="124" t="n">
        <v>4815</v>
      </c>
      <c r="M786" s="83" t="n">
        <v>601.875</v>
      </c>
      <c r="N786" s="84" t="n">
        <f aca="false">+O786+Q786+T786+U786</f>
        <v>3408</v>
      </c>
      <c r="O786" s="85" t="n">
        <v>2700</v>
      </c>
      <c r="P786" s="86" t="n">
        <v>1.2</v>
      </c>
      <c r="Q786" s="86" t="n">
        <v>630</v>
      </c>
      <c r="R786" s="132" t="n">
        <v>0</v>
      </c>
      <c r="S786" s="128" t="n">
        <v>0</v>
      </c>
      <c r="T786" s="132" t="n">
        <v>70</v>
      </c>
      <c r="U786" s="128" t="n">
        <v>8</v>
      </c>
      <c r="V786" s="128" t="n">
        <v>1</v>
      </c>
      <c r="W786" s="90" t="n">
        <f aca="false">IFERROR(O786/V786,0)</f>
        <v>2700</v>
      </c>
      <c r="X786" s="91" t="n">
        <f aca="false">O786/L786</f>
        <v>0.560747663551402</v>
      </c>
      <c r="Y786" s="92" t="str">
        <f aca="false">IFERROR(VLOOKUP(E:E,'Item Data Support Sheet'!A:J,6,0),0)</f>
        <v>FO148</v>
      </c>
      <c r="Z786" s="93" t="n">
        <f aca="false">IFERROR(VLOOKUP(E:E,'Item Data Support Sheet'!A:O,4,0),0)</f>
        <v>6.8</v>
      </c>
      <c r="AA786" s="93" t="n">
        <f aca="false">IFERROR(((N786)*(Z786/1000))+P786,0)</f>
        <v>24.3744</v>
      </c>
      <c r="AB786" s="94" t="n">
        <f aca="false">IFERROR((O786*(Z786/1000)/(AA786))," ")</f>
        <v>0.753249310752265</v>
      </c>
      <c r="AC786" s="95" t="n">
        <f aca="false">IFERROR((T786)/((T786)+O786),0)</f>
        <v>0.0252707581227437</v>
      </c>
      <c r="AD786" s="96" t="n">
        <f aca="false">IFERROR(Q786/(Q786+N786),0)</f>
        <v>0.156017830609212</v>
      </c>
      <c r="AE786" s="91" t="n">
        <f aca="false">(N786-T786)/N786</f>
        <v>0.979460093896714</v>
      </c>
      <c r="AF786" s="97" t="n">
        <f aca="false">BR786</f>
        <v>3.66666666666667</v>
      </c>
      <c r="AG786" s="98" t="n">
        <f aca="false">K786-AF786</f>
        <v>4.33333333333333</v>
      </c>
      <c r="AH786" s="99" t="n">
        <f aca="false">IFERROR(AG786/K786," ")</f>
        <v>0.541666666666666</v>
      </c>
      <c r="AI786" s="100" t="n">
        <f aca="false">IFERROR(O786/K786,0)</f>
        <v>337.5</v>
      </c>
      <c r="AJ786" s="101" t="n">
        <f aca="false">VLOOKUP(D786,'Standard Cycle time'!C:D,2,0)</f>
        <v>5.25</v>
      </c>
      <c r="AK786" s="101" t="n">
        <f aca="false">AG786*V786*3600/O786</f>
        <v>5.77777777777777</v>
      </c>
      <c r="AL786" s="102" t="n">
        <f aca="false">AJ786/AK786</f>
        <v>0.908653846153847</v>
      </c>
      <c r="AM786" s="99" t="n">
        <f aca="false">AE786*AL786*AH786</f>
        <v>0.482078014964789</v>
      </c>
      <c r="AN786" s="103" t="n">
        <v>0.482078014964789</v>
      </c>
      <c r="AO786" s="112" t="s">
        <v>1528</v>
      </c>
      <c r="AP786" s="105" t="n">
        <v>0</v>
      </c>
      <c r="AQ786" s="105" t="n">
        <v>0</v>
      </c>
      <c r="AR786" s="105" t="n">
        <v>0</v>
      </c>
      <c r="AS786" s="105" t="n">
        <v>0</v>
      </c>
      <c r="AT786" s="105" t="n">
        <v>0</v>
      </c>
      <c r="AU786" s="105" t="n">
        <v>80</v>
      </c>
      <c r="AV786" s="105" t="n">
        <v>0</v>
      </c>
      <c r="AW786" s="105" t="n">
        <v>140</v>
      </c>
      <c r="AX786" s="105" t="n">
        <v>0</v>
      </c>
      <c r="AY786" s="105" t="n">
        <v>0</v>
      </c>
      <c r="AZ786" s="105" t="n">
        <v>0</v>
      </c>
      <c r="BA786" s="105" t="n">
        <v>0</v>
      </c>
      <c r="BB786" s="105" t="n">
        <v>0</v>
      </c>
      <c r="BC786" s="105" t="n">
        <v>0</v>
      </c>
      <c r="BD786" s="105" t="n">
        <v>0</v>
      </c>
      <c r="BE786" s="105" t="n">
        <v>0</v>
      </c>
      <c r="BF786" s="105" t="n">
        <v>0</v>
      </c>
      <c r="BG786" s="105" t="n">
        <v>0</v>
      </c>
      <c r="BH786" s="105" t="n">
        <v>0</v>
      </c>
      <c r="BI786" s="105" t="n">
        <v>0</v>
      </c>
      <c r="BJ786" s="105" t="n">
        <v>0</v>
      </c>
      <c r="BK786" s="105" t="n">
        <v>0</v>
      </c>
      <c r="BL786" s="105" t="n">
        <v>0</v>
      </c>
      <c r="BM786" s="105" t="n">
        <v>0</v>
      </c>
      <c r="BN786" s="105" t="n">
        <v>0</v>
      </c>
      <c r="BO786" s="105" t="n">
        <v>0</v>
      </c>
      <c r="BP786" s="105" t="n">
        <v>0</v>
      </c>
      <c r="BQ786" s="105" t="n">
        <v>0</v>
      </c>
      <c r="BR786" s="106" t="n">
        <v>3.66666666666667</v>
      </c>
      <c r="BS786" s="106" t="n">
        <v>3.66666666666667</v>
      </c>
      <c r="BT786" s="107"/>
      <c r="BU786" s="107"/>
      <c r="BV786" s="107"/>
      <c r="BW786" s="107"/>
      <c r="BX786" s="107"/>
      <c r="BY786" s="107"/>
      <c r="BZ786" s="107"/>
      <c r="CA786" s="107"/>
      <c r="CB786" s="107"/>
      <c r="CC786" s="107"/>
      <c r="CD786" s="107"/>
      <c r="CE786" s="107"/>
      <c r="CF786" s="107"/>
      <c r="CG786" s="107"/>
      <c r="CH786" s="107"/>
      <c r="CI786" s="107"/>
      <c r="CJ786" s="107"/>
      <c r="CK786" s="107"/>
      <c r="CL786" s="107"/>
      <c r="CM786" s="107"/>
      <c r="CN786" s="107"/>
      <c r="CO786" s="107"/>
      <c r="CP786" s="107"/>
      <c r="CQ786" s="107"/>
      <c r="CR786" s="107"/>
      <c r="CS786" s="107"/>
      <c r="CT786" s="107"/>
      <c r="CU786" s="107"/>
      <c r="CV786" s="107"/>
      <c r="CY786" s="0" t="s">
        <v>1529</v>
      </c>
    </row>
    <row r="787" customFormat="false" ht="14.9" hidden="false" customHeight="false" outlineLevel="0" collapsed="false">
      <c r="A787" s="74" t="n">
        <f aca="false">MONTH(B787)</f>
        <v>10</v>
      </c>
      <c r="B787" s="135" t="n">
        <v>44474</v>
      </c>
      <c r="C787" s="128" t="s">
        <v>51</v>
      </c>
      <c r="D787" s="77" t="str">
        <f aca="false">IFERROR(VLOOKUP(E:E,'Item Data Support Sheet'!A:O,7,0),"")</f>
        <v>BOTTLE PRINTED</v>
      </c>
      <c r="E787" s="80" t="s">
        <v>591</v>
      </c>
      <c r="F787" s="122"/>
      <c r="G787" s="137"/>
      <c r="H787" s="79" t="str">
        <f aca="false">IFERROR(VLOOKUP(E:E,'Item Data Support Sheet'!A:O,2,0),"")</f>
        <v>RPP 240 ML BOTTLE PRINTED</v>
      </c>
      <c r="I787" s="80" t="s">
        <v>1530</v>
      </c>
      <c r="J787" s="80" t="s">
        <v>161</v>
      </c>
      <c r="K787" s="124" t="n">
        <v>2</v>
      </c>
      <c r="L787" s="124" t="n">
        <v>1450</v>
      </c>
      <c r="M787" s="83" t="n">
        <v>725</v>
      </c>
      <c r="N787" s="84" t="n">
        <f aca="false">+O787+Q787+T787+U787</f>
        <v>1145</v>
      </c>
      <c r="O787" s="85" t="n">
        <v>1137</v>
      </c>
      <c r="P787" s="86" t="n">
        <v>0</v>
      </c>
      <c r="Q787" s="86" t="n">
        <v>0</v>
      </c>
      <c r="R787" s="132" t="n">
        <v>11</v>
      </c>
      <c r="S787" s="128" t="n">
        <v>0</v>
      </c>
      <c r="T787" s="132" t="n">
        <v>8</v>
      </c>
      <c r="U787" s="128" t="n">
        <v>0</v>
      </c>
      <c r="V787" s="128" t="n">
        <v>5</v>
      </c>
      <c r="W787" s="90" t="n">
        <f aca="false">IFERROR(O787/V787,0)</f>
        <v>227.4</v>
      </c>
      <c r="X787" s="91" t="n">
        <f aca="false">O787/L787</f>
        <v>0.784137931034483</v>
      </c>
      <c r="Y787" s="92" t="str">
        <f aca="false">IFERROR(VLOOKUP(E:E,'Item Data Support Sheet'!A:J,6,0),0)</f>
        <v>FO005</v>
      </c>
      <c r="Z787" s="93" t="n">
        <f aca="false">IFERROR(VLOOKUP(E:E,'Item Data Support Sheet'!A:O,4,0),0)</f>
        <v>0</v>
      </c>
      <c r="AA787" s="93" t="n">
        <f aca="false">IFERROR(((N787)*(Z787/1000))+P787,0)</f>
        <v>0</v>
      </c>
      <c r="AB787" s="94" t="str">
        <f aca="false">IFERROR((O787*(Z787/1000)/(AA787))," ")</f>
        <v> </v>
      </c>
      <c r="AC787" s="95" t="n">
        <f aca="false">IFERROR((T787)/((T787)+O787),0)</f>
        <v>0.00698689956331878</v>
      </c>
      <c r="AD787" s="96" t="n">
        <f aca="false">IFERROR(Q787/(Q787+N787),0)</f>
        <v>0</v>
      </c>
      <c r="AE787" s="91" t="n">
        <f aca="false">(N787-T787)/N787</f>
        <v>0.993013100436681</v>
      </c>
      <c r="AF787" s="97" t="n">
        <f aca="false">BR787</f>
        <v>0.833333333333333</v>
      </c>
      <c r="AG787" s="98" t="n">
        <f aca="false">K787-AF787</f>
        <v>1.16666666666667</v>
      </c>
      <c r="AH787" s="99" t="n">
        <f aca="false">IFERROR(AG787/K787," ")</f>
        <v>0.583333333333334</v>
      </c>
      <c r="AI787" s="100" t="n">
        <f aca="false">IFERROR(O787/K787,0)</f>
        <v>568.5</v>
      </c>
      <c r="AJ787" s="101" t="n">
        <f aca="false">VLOOKUP(D787,'Standard Cycle time'!C:D,2,0)</f>
        <v>32.4</v>
      </c>
      <c r="AK787" s="101" t="n">
        <f aca="false">AG787*V787*3600/O787</f>
        <v>18.4696569920844</v>
      </c>
      <c r="AL787" s="102" t="n">
        <f aca="false">AJ787/AK787</f>
        <v>1.75422857142857</v>
      </c>
      <c r="AM787" s="99" t="n">
        <f aca="false">AE787*AL787*AH787</f>
        <v>1.01615030567686</v>
      </c>
      <c r="AN787" s="103" t="n">
        <v>1.01615030567686</v>
      </c>
      <c r="AO787" s="112" t="s">
        <v>1168</v>
      </c>
      <c r="AP787" s="105" t="n">
        <v>10</v>
      </c>
      <c r="AQ787" s="105" t="n">
        <v>40</v>
      </c>
      <c r="AR787" s="105" t="n">
        <v>0</v>
      </c>
      <c r="AS787" s="105" t="n">
        <v>0</v>
      </c>
      <c r="AT787" s="105" t="n">
        <v>0</v>
      </c>
      <c r="AU787" s="105" t="n">
        <v>0</v>
      </c>
      <c r="AV787" s="105" t="n">
        <v>0</v>
      </c>
      <c r="AW787" s="105" t="n">
        <v>0</v>
      </c>
      <c r="AX787" s="105" t="n">
        <v>0</v>
      </c>
      <c r="AY787" s="105" t="n">
        <v>0</v>
      </c>
      <c r="AZ787" s="105" t="n">
        <v>0</v>
      </c>
      <c r="BA787" s="105" t="n">
        <v>0</v>
      </c>
      <c r="BB787" s="105" t="n">
        <v>0</v>
      </c>
      <c r="BC787" s="105" t="n">
        <v>0</v>
      </c>
      <c r="BD787" s="105" t="n">
        <v>0</v>
      </c>
      <c r="BE787" s="105" t="n">
        <v>0</v>
      </c>
      <c r="BF787" s="105" t="n">
        <v>0</v>
      </c>
      <c r="BG787" s="105" t="n">
        <v>0</v>
      </c>
      <c r="BH787" s="105" t="n">
        <v>0</v>
      </c>
      <c r="BI787" s="105" t="n">
        <v>0</v>
      </c>
      <c r="BJ787" s="105" t="n">
        <v>0</v>
      </c>
      <c r="BK787" s="105" t="n">
        <v>0</v>
      </c>
      <c r="BL787" s="105" t="n">
        <v>0</v>
      </c>
      <c r="BM787" s="105" t="n">
        <v>0</v>
      </c>
      <c r="BN787" s="105" t="n">
        <v>0</v>
      </c>
      <c r="BO787" s="105" t="n">
        <v>0</v>
      </c>
      <c r="BP787" s="105" t="n">
        <v>0</v>
      </c>
      <c r="BQ787" s="105" t="n">
        <v>0</v>
      </c>
      <c r="BR787" s="106" t="n">
        <v>0.833333333333333</v>
      </c>
      <c r="BS787" s="106" t="n">
        <v>0.833333333333333</v>
      </c>
      <c r="BT787" s="107"/>
      <c r="BU787" s="107"/>
      <c r="BV787" s="107"/>
      <c r="BW787" s="107"/>
      <c r="BX787" s="107"/>
      <c r="BY787" s="107"/>
      <c r="BZ787" s="107"/>
      <c r="CA787" s="107"/>
      <c r="CB787" s="107"/>
      <c r="CC787" s="107"/>
      <c r="CD787" s="107"/>
      <c r="CE787" s="107"/>
      <c r="CF787" s="107"/>
      <c r="CG787" s="107"/>
      <c r="CH787" s="107"/>
      <c r="CI787" s="107"/>
      <c r="CJ787" s="107"/>
      <c r="CK787" s="107"/>
      <c r="CL787" s="107"/>
      <c r="CM787" s="107"/>
      <c r="CN787" s="107"/>
      <c r="CO787" s="107"/>
      <c r="CP787" s="107"/>
      <c r="CQ787" s="107"/>
      <c r="CR787" s="107"/>
      <c r="CS787" s="107"/>
      <c r="CT787" s="107"/>
      <c r="CU787" s="107"/>
      <c r="CV787" s="107"/>
      <c r="CY787" s="0" t="s">
        <v>1531</v>
      </c>
    </row>
    <row r="788" customFormat="false" ht="14.9" hidden="false" customHeight="false" outlineLevel="0" collapsed="false">
      <c r="A788" s="74" t="n">
        <f aca="false">MONTH(B788)</f>
        <v>10</v>
      </c>
      <c r="B788" s="135" t="n">
        <v>44474</v>
      </c>
      <c r="C788" s="128" t="s">
        <v>51</v>
      </c>
      <c r="D788" s="77" t="str">
        <f aca="false">IFERROR(VLOOKUP(E:E,'Item Data Support Sheet'!A:O,7,0),"")</f>
        <v>BOTTLE PRINTED</v>
      </c>
      <c r="E788" s="80" t="s">
        <v>270</v>
      </c>
      <c r="F788" s="122"/>
      <c r="G788" s="137"/>
      <c r="H788" s="79" t="str">
        <f aca="false">IFERROR(VLOOKUP(E:E,'Item Data Support Sheet'!A:O,2,0),"")</f>
        <v>RPP 120 ML BOTTLE PRINTED</v>
      </c>
      <c r="I788" s="80" t="s">
        <v>1532</v>
      </c>
      <c r="J788" s="80" t="s">
        <v>161</v>
      </c>
      <c r="K788" s="124" t="n">
        <v>6</v>
      </c>
      <c r="L788" s="124" t="n">
        <v>4350</v>
      </c>
      <c r="M788" s="83" t="n">
        <v>725</v>
      </c>
      <c r="N788" s="84" t="n">
        <f aca="false">+O788+Q788+T788+U788</f>
        <v>4156</v>
      </c>
      <c r="O788" s="85" t="n">
        <v>4140</v>
      </c>
      <c r="P788" s="86" t="n">
        <v>0</v>
      </c>
      <c r="Q788" s="86" t="n">
        <v>0</v>
      </c>
      <c r="R788" s="132" t="n">
        <v>22</v>
      </c>
      <c r="S788" s="128" t="n">
        <v>0</v>
      </c>
      <c r="T788" s="132" t="n">
        <v>16</v>
      </c>
      <c r="U788" s="128" t="n">
        <v>0</v>
      </c>
      <c r="V788" s="128" t="n">
        <v>5</v>
      </c>
      <c r="W788" s="90" t="n">
        <f aca="false">IFERROR(O788/V788,0)</f>
        <v>828</v>
      </c>
      <c r="X788" s="91" t="n">
        <f aca="false">O788/L788</f>
        <v>0.951724137931035</v>
      </c>
      <c r="Y788" s="92" t="str">
        <f aca="false">IFERROR(VLOOKUP(E:E,'Item Data Support Sheet'!A:J,6,0),0)</f>
        <v>FO004</v>
      </c>
      <c r="Z788" s="93" t="n">
        <f aca="false">IFERROR(VLOOKUP(E:E,'Item Data Support Sheet'!A:O,4,0),0)</f>
        <v>0</v>
      </c>
      <c r="AA788" s="93" t="n">
        <f aca="false">IFERROR(((N788)*(Z788/1000))+P788,0)</f>
        <v>0</v>
      </c>
      <c r="AB788" s="94" t="str">
        <f aca="false">IFERROR((O788*(Z788/1000)/(AA788))," ")</f>
        <v> </v>
      </c>
      <c r="AC788" s="95" t="n">
        <f aca="false">IFERROR((T788)/((T788)+O788),0)</f>
        <v>0.00384985563041386</v>
      </c>
      <c r="AD788" s="96" t="n">
        <f aca="false">IFERROR(Q788/(Q788+N788),0)</f>
        <v>0</v>
      </c>
      <c r="AE788" s="91" t="n">
        <f aca="false">(N788-T788)/N788</f>
        <v>0.996150144369586</v>
      </c>
      <c r="AF788" s="97" t="n">
        <f aca="false">BR788</f>
        <v>0.5</v>
      </c>
      <c r="AG788" s="98" t="n">
        <f aca="false">K788-AF788</f>
        <v>5.5</v>
      </c>
      <c r="AH788" s="99" t="n">
        <f aca="false">IFERROR(AG788/K788," ")</f>
        <v>0.916666666666667</v>
      </c>
      <c r="AI788" s="100" t="n">
        <f aca="false">IFERROR(O788/K788,0)</f>
        <v>690</v>
      </c>
      <c r="AJ788" s="101" t="n">
        <f aca="false">VLOOKUP(D788,'Standard Cycle time'!C:D,2,0)</f>
        <v>32.4</v>
      </c>
      <c r="AK788" s="101" t="n">
        <f aca="false">AG788*V788*3600/O788</f>
        <v>23.9130434782609</v>
      </c>
      <c r="AL788" s="102" t="n">
        <f aca="false">AJ788/AK788</f>
        <v>1.35490909090909</v>
      </c>
      <c r="AM788" s="99" t="n">
        <f aca="false">AE788*AL788*AH788</f>
        <v>1.23721847930703</v>
      </c>
      <c r="AN788" s="103" t="n">
        <v>1.23721847930703</v>
      </c>
      <c r="AO788" s="112"/>
      <c r="AP788" s="105" t="n">
        <v>30</v>
      </c>
      <c r="AQ788" s="105" t="n">
        <v>0</v>
      </c>
      <c r="AR788" s="105" t="n">
        <v>0</v>
      </c>
      <c r="AS788" s="105" t="n">
        <v>0</v>
      </c>
      <c r="AT788" s="105" t="n">
        <v>0</v>
      </c>
      <c r="AU788" s="105" t="n">
        <v>0</v>
      </c>
      <c r="AV788" s="105" t="n">
        <v>0</v>
      </c>
      <c r="AW788" s="105" t="n">
        <v>0</v>
      </c>
      <c r="AX788" s="105" t="n">
        <v>0</v>
      </c>
      <c r="AY788" s="105" t="n">
        <v>0</v>
      </c>
      <c r="AZ788" s="105" t="n">
        <v>0</v>
      </c>
      <c r="BA788" s="105" t="n">
        <v>0</v>
      </c>
      <c r="BB788" s="105" t="n">
        <v>0</v>
      </c>
      <c r="BC788" s="105" t="n">
        <v>0</v>
      </c>
      <c r="BD788" s="105" t="n">
        <v>0</v>
      </c>
      <c r="BE788" s="105" t="n">
        <v>0</v>
      </c>
      <c r="BF788" s="105" t="n">
        <v>0</v>
      </c>
      <c r="BG788" s="105" t="n">
        <v>0</v>
      </c>
      <c r="BH788" s="105" t="n">
        <v>0</v>
      </c>
      <c r="BI788" s="105" t="n">
        <v>0</v>
      </c>
      <c r="BJ788" s="105" t="n">
        <v>0</v>
      </c>
      <c r="BK788" s="105" t="n">
        <v>0</v>
      </c>
      <c r="BL788" s="105" t="n">
        <v>0</v>
      </c>
      <c r="BM788" s="105" t="n">
        <v>0</v>
      </c>
      <c r="BN788" s="105" t="n">
        <v>0</v>
      </c>
      <c r="BO788" s="105" t="n">
        <v>0</v>
      </c>
      <c r="BP788" s="105" t="n">
        <v>0</v>
      </c>
      <c r="BQ788" s="105" t="n">
        <v>0</v>
      </c>
      <c r="BR788" s="106" t="n">
        <v>0.5</v>
      </c>
      <c r="BS788" s="106" t="n">
        <v>0.5</v>
      </c>
      <c r="BT788" s="107"/>
      <c r="BU788" s="107"/>
      <c r="BV788" s="107"/>
      <c r="BW788" s="107"/>
      <c r="BX788" s="107"/>
      <c r="BY788" s="107"/>
      <c r="BZ788" s="107"/>
      <c r="CA788" s="107"/>
      <c r="CB788" s="107"/>
      <c r="CC788" s="107"/>
      <c r="CD788" s="107"/>
      <c r="CE788" s="107"/>
      <c r="CF788" s="107"/>
      <c r="CG788" s="107"/>
      <c r="CH788" s="107"/>
      <c r="CI788" s="107"/>
      <c r="CJ788" s="107"/>
      <c r="CK788" s="107"/>
      <c r="CL788" s="107"/>
      <c r="CM788" s="107"/>
      <c r="CN788" s="107"/>
      <c r="CO788" s="107"/>
      <c r="CP788" s="107"/>
      <c r="CQ788" s="107"/>
      <c r="CR788" s="107"/>
      <c r="CS788" s="107"/>
      <c r="CT788" s="107"/>
      <c r="CU788" s="107"/>
      <c r="CV788" s="107"/>
      <c r="CY788" s="0" t="s">
        <v>1533</v>
      </c>
    </row>
    <row r="789" customFormat="false" ht="14.9" hidden="false" customHeight="false" outlineLevel="0" collapsed="false">
      <c r="A789" s="74" t="n">
        <f aca="false">MONTH(B789)</f>
        <v>10</v>
      </c>
      <c r="B789" s="135" t="n">
        <v>44474</v>
      </c>
      <c r="C789" s="128" t="s">
        <v>63</v>
      </c>
      <c r="D789" s="77" t="str">
        <f aca="false">IFERROR(VLOOKUP(E:E,'Item Data Support Sheet'!A:O,7,0),"")</f>
        <v>NIPPLE PUNCH INSPECTED</v>
      </c>
      <c r="E789" s="80" t="s">
        <v>297</v>
      </c>
      <c r="F789" s="122"/>
      <c r="G789" s="137"/>
      <c r="H789" s="79" t="str">
        <f aca="false">IFERROR(VLOOKUP(E:E,'Item Data Support Sheet'!A:O,2,0),"")</f>
        <v>NIPPLE S TYPE S SIZE PUNCHED INSPECTED</v>
      </c>
      <c r="I789" s="80" t="s">
        <v>1534</v>
      </c>
      <c r="J789" s="80" t="s">
        <v>158</v>
      </c>
      <c r="K789" s="124" t="n">
        <v>1</v>
      </c>
      <c r="L789" s="124" t="n">
        <v>1200</v>
      </c>
      <c r="M789" s="83" t="n">
        <v>1200</v>
      </c>
      <c r="N789" s="84" t="n">
        <f aca="false">+O789+Q789+T789+U789</f>
        <v>1233</v>
      </c>
      <c r="O789" s="85" t="n">
        <v>1198</v>
      </c>
      <c r="P789" s="86" t="n">
        <v>0</v>
      </c>
      <c r="Q789" s="86" t="n">
        <v>0</v>
      </c>
      <c r="R789" s="132" t="n">
        <v>0</v>
      </c>
      <c r="S789" s="128" t="n">
        <v>0</v>
      </c>
      <c r="T789" s="132" t="n">
        <v>35</v>
      </c>
      <c r="U789" s="128" t="n">
        <v>0</v>
      </c>
      <c r="V789" s="128" t="n">
        <v>1</v>
      </c>
      <c r="W789" s="90" t="n">
        <f aca="false">IFERROR(O789/V789,0)</f>
        <v>1198</v>
      </c>
      <c r="X789" s="91" t="n">
        <f aca="false">O789/L789</f>
        <v>0.998333333333333</v>
      </c>
      <c r="Y789" s="92" t="str">
        <f aca="false">IFERROR(VLOOKUP(E:E,'Item Data Support Sheet'!A:J,6,0),0)</f>
        <v>FO104</v>
      </c>
      <c r="Z789" s="93" t="n">
        <f aca="false">IFERROR(VLOOKUP(E:E,'Item Data Support Sheet'!A:O,4,0),0)</f>
        <v>0</v>
      </c>
      <c r="AA789" s="93" t="n">
        <f aca="false">IFERROR(((N789)*(Z789/1000))+P789,0)</f>
        <v>0</v>
      </c>
      <c r="AB789" s="94" t="str">
        <f aca="false">IFERROR((O789*(Z789/1000)/(AA789))," ")</f>
        <v> </v>
      </c>
      <c r="AC789" s="95" t="n">
        <f aca="false">IFERROR((T789)/((T789)+O789),0)</f>
        <v>0.0283860502838605</v>
      </c>
      <c r="AD789" s="96" t="n">
        <f aca="false">IFERROR(Q789/(Q789+N789),0)</f>
        <v>0</v>
      </c>
      <c r="AE789" s="91" t="n">
        <f aca="false">(N789-T789)/N789</f>
        <v>0.97161394971614</v>
      </c>
      <c r="AF789" s="97" t="n">
        <f aca="false">BR789</f>
        <v>0.833333333333333</v>
      </c>
      <c r="AG789" s="98" t="n">
        <f aca="false">K789-AF789</f>
        <v>0.166666666666667</v>
      </c>
      <c r="AH789" s="99" t="n">
        <f aca="false">IFERROR(AG789/K789," ")</f>
        <v>0.166666666666667</v>
      </c>
      <c r="AI789" s="100" t="n">
        <f aca="false">IFERROR(O789/K789,0)</f>
        <v>1198</v>
      </c>
      <c r="AJ789" s="101" t="n">
        <f aca="false">VLOOKUP(D789,'Standard Cycle time'!C:D,2,0)</f>
        <v>4</v>
      </c>
      <c r="AK789" s="101" t="n">
        <f aca="false">AG789*V789*3600/O789</f>
        <v>0.500834724540902</v>
      </c>
      <c r="AL789" s="102" t="n">
        <f aca="false">AJ789/AK789</f>
        <v>7.98666666666665</v>
      </c>
      <c r="AM789" s="99" t="n">
        <f aca="false">AE789*AL789*AH789</f>
        <v>1.29332612417771</v>
      </c>
      <c r="AN789" s="103" t="n">
        <v>1.29332612417771</v>
      </c>
      <c r="AO789" s="112"/>
      <c r="AP789" s="105" t="n">
        <v>50</v>
      </c>
      <c r="AQ789" s="105" t="n">
        <v>0</v>
      </c>
      <c r="AR789" s="105" t="n">
        <v>0</v>
      </c>
      <c r="AS789" s="105" t="n">
        <v>0</v>
      </c>
      <c r="AT789" s="105" t="n">
        <v>0</v>
      </c>
      <c r="AU789" s="105" t="n">
        <v>0</v>
      </c>
      <c r="AV789" s="105" t="n">
        <v>0</v>
      </c>
      <c r="AW789" s="105" t="n">
        <v>0</v>
      </c>
      <c r="AX789" s="105" t="n">
        <v>0</v>
      </c>
      <c r="AY789" s="105" t="n">
        <v>0</v>
      </c>
      <c r="AZ789" s="105" t="n">
        <v>0</v>
      </c>
      <c r="BA789" s="105" t="n">
        <v>0</v>
      </c>
      <c r="BB789" s="105" t="n">
        <v>0</v>
      </c>
      <c r="BC789" s="105" t="n">
        <v>0</v>
      </c>
      <c r="BD789" s="105" t="n">
        <v>0</v>
      </c>
      <c r="BE789" s="105" t="n">
        <v>0</v>
      </c>
      <c r="BF789" s="105" t="n">
        <v>0</v>
      </c>
      <c r="BG789" s="105" t="n">
        <v>0</v>
      </c>
      <c r="BH789" s="105" t="n">
        <v>0</v>
      </c>
      <c r="BI789" s="105" t="n">
        <v>0</v>
      </c>
      <c r="BJ789" s="105" t="n">
        <v>0</v>
      </c>
      <c r="BK789" s="105" t="n">
        <v>0</v>
      </c>
      <c r="BL789" s="105" t="n">
        <v>0</v>
      </c>
      <c r="BM789" s="105" t="n">
        <v>0</v>
      </c>
      <c r="BN789" s="105" t="n">
        <v>0</v>
      </c>
      <c r="BO789" s="105" t="n">
        <v>0</v>
      </c>
      <c r="BP789" s="105" t="n">
        <v>0</v>
      </c>
      <c r="BQ789" s="105" t="n">
        <v>0</v>
      </c>
      <c r="BR789" s="106" t="n">
        <v>0.833333333333333</v>
      </c>
      <c r="BS789" s="106" t="n">
        <v>0.833333333333333</v>
      </c>
      <c r="BT789" s="107"/>
      <c r="BU789" s="107"/>
      <c r="BV789" s="107"/>
      <c r="BW789" s="107"/>
      <c r="BX789" s="107"/>
      <c r="BY789" s="107"/>
      <c r="BZ789" s="107"/>
      <c r="CA789" s="107"/>
      <c r="CB789" s="107"/>
      <c r="CC789" s="107"/>
      <c r="CD789" s="107"/>
      <c r="CE789" s="107"/>
      <c r="CF789" s="107"/>
      <c r="CG789" s="107"/>
      <c r="CH789" s="107"/>
      <c r="CI789" s="107"/>
      <c r="CJ789" s="107"/>
      <c r="CK789" s="107"/>
      <c r="CL789" s="107"/>
      <c r="CM789" s="107"/>
      <c r="CN789" s="107"/>
      <c r="CO789" s="107"/>
      <c r="CP789" s="107"/>
      <c r="CQ789" s="107"/>
      <c r="CR789" s="107"/>
      <c r="CS789" s="107"/>
      <c r="CT789" s="107"/>
      <c r="CU789" s="107"/>
      <c r="CV789" s="107"/>
      <c r="CY789" s="0" t="s">
        <v>1535</v>
      </c>
    </row>
    <row r="790" customFormat="false" ht="14.9" hidden="false" customHeight="false" outlineLevel="0" collapsed="false">
      <c r="A790" s="74" t="n">
        <f aca="false">MONTH(B790)</f>
        <v>10</v>
      </c>
      <c r="B790" s="135" t="n">
        <v>44474</v>
      </c>
      <c r="C790" s="128" t="s">
        <v>63</v>
      </c>
      <c r="D790" s="77" t="str">
        <f aca="false">IFERROR(VLOOKUP(E:E,'Item Data Support Sheet'!A:O,7,0),"")</f>
        <v>NIPPLE PUNCH INSPECTED</v>
      </c>
      <c r="E790" s="80" t="s">
        <v>621</v>
      </c>
      <c r="F790" s="122"/>
      <c r="G790" s="137"/>
      <c r="H790" s="79" t="str">
        <f aca="false">IFERROR(VLOOKUP(E:E,'Item Data Support Sheet'!A:O,2,0),"")</f>
        <v>NIPPLE S TYPE LL SIZE INSPECTED</v>
      </c>
      <c r="I790" s="80" t="s">
        <v>1536</v>
      </c>
      <c r="J790" s="80" t="s">
        <v>158</v>
      </c>
      <c r="K790" s="124" t="n">
        <v>7</v>
      </c>
      <c r="L790" s="124" t="n">
        <v>12411</v>
      </c>
      <c r="M790" s="83" t="n">
        <v>1773</v>
      </c>
      <c r="N790" s="84" t="n">
        <f aca="false">+O790+Q790+T790+U790</f>
        <v>5099</v>
      </c>
      <c r="O790" s="85" t="n">
        <v>5019</v>
      </c>
      <c r="P790" s="86" t="n">
        <v>0</v>
      </c>
      <c r="Q790" s="86" t="n">
        <v>0</v>
      </c>
      <c r="R790" s="132" t="n">
        <v>0</v>
      </c>
      <c r="S790" s="128" t="n">
        <v>0</v>
      </c>
      <c r="T790" s="132" t="n">
        <v>80</v>
      </c>
      <c r="U790" s="128" t="n">
        <v>0</v>
      </c>
      <c r="V790" s="128" t="n">
        <v>1</v>
      </c>
      <c r="W790" s="90" t="n">
        <f aca="false">IFERROR(O790/V790,0)</f>
        <v>5019</v>
      </c>
      <c r="X790" s="91" t="n">
        <f aca="false">O790/L790</f>
        <v>0.404399323181049</v>
      </c>
      <c r="Y790" s="92" t="str">
        <f aca="false">IFERROR(VLOOKUP(E:E,'Item Data Support Sheet'!A:J,6,0),0)</f>
        <v>FO152</v>
      </c>
      <c r="Z790" s="93" t="n">
        <f aca="false">IFERROR(VLOOKUP(E:E,'Item Data Support Sheet'!A:O,4,0),0)</f>
        <v>0</v>
      </c>
      <c r="AA790" s="93" t="n">
        <f aca="false">IFERROR(((N790)*(Z790/1000))+P790,0)</f>
        <v>0</v>
      </c>
      <c r="AB790" s="94" t="str">
        <f aca="false">IFERROR((O790*(Z790/1000)/(AA790))," ")</f>
        <v> </v>
      </c>
      <c r="AC790" s="95" t="n">
        <f aca="false">IFERROR((T790)/((T790)+O790),0)</f>
        <v>0.0156893508531085</v>
      </c>
      <c r="AD790" s="96" t="n">
        <f aca="false">IFERROR(Q790/(Q790+N790),0)</f>
        <v>0</v>
      </c>
      <c r="AE790" s="91" t="n">
        <f aca="false">(N790-T790)/N790</f>
        <v>0.984310649146892</v>
      </c>
      <c r="AF790" s="97" t="n">
        <f aca="false">BR790</f>
        <v>0</v>
      </c>
      <c r="AG790" s="98" t="n">
        <f aca="false">K790-AF790</f>
        <v>7</v>
      </c>
      <c r="AH790" s="99" t="n">
        <f aca="false">IFERROR(AG790/K790," ")</f>
        <v>1</v>
      </c>
      <c r="AI790" s="100" t="n">
        <f aca="false">IFERROR(O790/K790,0)</f>
        <v>717</v>
      </c>
      <c r="AJ790" s="101" t="n">
        <f aca="false">VLOOKUP(D790,'Standard Cycle time'!C:D,2,0)</f>
        <v>4</v>
      </c>
      <c r="AK790" s="101" t="n">
        <f aca="false">AG790*V790*3600/O790</f>
        <v>5.02092050209205</v>
      </c>
      <c r="AL790" s="102" t="n">
        <f aca="false">AJ790/AK790</f>
        <v>0.796666666666667</v>
      </c>
      <c r="AM790" s="99" t="n">
        <f aca="false">AE790*AL790*AH790</f>
        <v>0.784167483820357</v>
      </c>
      <c r="AN790" s="103" t="n">
        <v>0.784167483820357</v>
      </c>
      <c r="AO790" s="112" t="s">
        <v>824</v>
      </c>
      <c r="AP790" s="105" t="n">
        <v>0</v>
      </c>
      <c r="AQ790" s="105" t="n">
        <v>0</v>
      </c>
      <c r="AR790" s="105" t="n">
        <v>0</v>
      </c>
      <c r="AS790" s="105" t="n">
        <v>0</v>
      </c>
      <c r="AT790" s="105" t="n">
        <v>0</v>
      </c>
      <c r="AU790" s="105" t="n">
        <v>0</v>
      </c>
      <c r="AV790" s="105" t="n">
        <v>0</v>
      </c>
      <c r="AW790" s="105" t="n">
        <v>0</v>
      </c>
      <c r="AX790" s="105" t="n">
        <v>0</v>
      </c>
      <c r="AY790" s="105" t="n">
        <v>0</v>
      </c>
      <c r="AZ790" s="105" t="n">
        <v>0</v>
      </c>
      <c r="BA790" s="105" t="n">
        <v>0</v>
      </c>
      <c r="BB790" s="105" t="n">
        <v>0</v>
      </c>
      <c r="BC790" s="105" t="n">
        <v>0</v>
      </c>
      <c r="BD790" s="105" t="n">
        <v>0</v>
      </c>
      <c r="BE790" s="105" t="n">
        <v>0</v>
      </c>
      <c r="BF790" s="105" t="n">
        <v>0</v>
      </c>
      <c r="BG790" s="105" t="n">
        <v>0</v>
      </c>
      <c r="BH790" s="105" t="n">
        <v>0</v>
      </c>
      <c r="BI790" s="105" t="n">
        <v>0</v>
      </c>
      <c r="BJ790" s="105" t="n">
        <v>0</v>
      </c>
      <c r="BK790" s="105" t="n">
        <v>0</v>
      </c>
      <c r="BL790" s="105" t="n">
        <v>0</v>
      </c>
      <c r="BM790" s="105" t="n">
        <v>0</v>
      </c>
      <c r="BN790" s="105" t="n">
        <v>0</v>
      </c>
      <c r="BO790" s="105" t="n">
        <v>0</v>
      </c>
      <c r="BP790" s="105" t="n">
        <v>0</v>
      </c>
      <c r="BQ790" s="105" t="n">
        <v>0</v>
      </c>
      <c r="BR790" s="106" t="n">
        <v>0</v>
      </c>
      <c r="BS790" s="106" t="n">
        <v>0</v>
      </c>
      <c r="BT790" s="107"/>
      <c r="BU790" s="107"/>
      <c r="BV790" s="107"/>
      <c r="BW790" s="107"/>
      <c r="BX790" s="107"/>
      <c r="BY790" s="107"/>
      <c r="BZ790" s="107"/>
      <c r="CA790" s="107"/>
      <c r="CB790" s="107"/>
      <c r="CC790" s="107"/>
      <c r="CD790" s="107"/>
      <c r="CE790" s="107"/>
      <c r="CF790" s="107"/>
      <c r="CG790" s="107"/>
      <c r="CH790" s="107"/>
      <c r="CI790" s="107"/>
      <c r="CJ790" s="107"/>
      <c r="CK790" s="107"/>
      <c r="CL790" s="107"/>
      <c r="CM790" s="107"/>
      <c r="CN790" s="107"/>
      <c r="CO790" s="107"/>
      <c r="CP790" s="107"/>
      <c r="CQ790" s="107"/>
      <c r="CR790" s="107"/>
      <c r="CS790" s="107"/>
      <c r="CT790" s="107"/>
      <c r="CU790" s="107"/>
      <c r="CV790" s="107"/>
      <c r="CY790" s="0" t="s">
        <v>1537</v>
      </c>
    </row>
    <row r="791" customFormat="false" ht="14.9" hidden="false" customHeight="false" outlineLevel="0" collapsed="false">
      <c r="A791" s="74" t="n">
        <f aca="false">MONTH(B791)</f>
        <v>10</v>
      </c>
      <c r="B791" s="135" t="n">
        <v>44474</v>
      </c>
      <c r="C791" s="128" t="s">
        <v>63</v>
      </c>
      <c r="D791" s="77" t="str">
        <f aca="false">IFERROR(VLOOKUP(E:E,'Item Data Support Sheet'!A:O,7,0),"")</f>
        <v>NIPPLE WRAP PRINTED</v>
      </c>
      <c r="E791" s="80" t="s">
        <v>937</v>
      </c>
      <c r="F791" s="122"/>
      <c r="G791" s="137" t="s">
        <v>432</v>
      </c>
      <c r="H791" s="79" t="str">
        <f aca="false">IFERROR(VLOOKUP(E:E,'Item Data Support Sheet'!A:O,2,0),"")</f>
        <v>NIPPLE S TYPE Y SIZE WITH PRINTED WRAP</v>
      </c>
      <c r="I791" s="80" t="s">
        <v>1538</v>
      </c>
      <c r="J791" s="80" t="s">
        <v>158</v>
      </c>
      <c r="K791" s="124" t="n">
        <v>2.7</v>
      </c>
      <c r="L791" s="124" t="n">
        <v>5000</v>
      </c>
      <c r="M791" s="83" t="n">
        <v>1851.85185185185</v>
      </c>
      <c r="N791" s="84" t="n">
        <f aca="false">+O791+Q791+T791+U791</f>
        <v>5190</v>
      </c>
      <c r="O791" s="85" t="n">
        <v>5190</v>
      </c>
      <c r="P791" s="86" t="n">
        <v>0</v>
      </c>
      <c r="Q791" s="86" t="n">
        <v>0</v>
      </c>
      <c r="R791" s="132" t="n">
        <v>0</v>
      </c>
      <c r="S791" s="128" t="n">
        <v>0</v>
      </c>
      <c r="T791" s="132" t="n">
        <v>0</v>
      </c>
      <c r="U791" s="128" t="n">
        <v>0</v>
      </c>
      <c r="V791" s="128" t="n">
        <v>2</v>
      </c>
      <c r="W791" s="90" t="n">
        <f aca="false">IFERROR(O791/V791,0)</f>
        <v>2595</v>
      </c>
      <c r="X791" s="91" t="n">
        <f aca="false">O791/L791</f>
        <v>1.038</v>
      </c>
      <c r="Y791" s="92" t="str">
        <f aca="false">IFERROR(VLOOKUP(E:E,'Item Data Support Sheet'!A:J,6,0),0)</f>
        <v>FO022</v>
      </c>
      <c r="Z791" s="93" t="n">
        <f aca="false">IFERROR(VLOOKUP(E:E,'Item Data Support Sheet'!A:O,4,0),0)</f>
        <v>0</v>
      </c>
      <c r="AA791" s="93" t="n">
        <f aca="false">IFERROR(((N791)*(Z791/1000))+P791,0)</f>
        <v>0</v>
      </c>
      <c r="AB791" s="94" t="str">
        <f aca="false">IFERROR((O791*(Z791/1000)/(AA791))," ")</f>
        <v> </v>
      </c>
      <c r="AC791" s="95" t="n">
        <f aca="false">IFERROR((T791)/((T791)+O791),0)</f>
        <v>0</v>
      </c>
      <c r="AD791" s="96" t="n">
        <f aca="false">IFERROR(Q791/(Q791+N791),0)</f>
        <v>0</v>
      </c>
      <c r="AE791" s="91" t="n">
        <f aca="false">(N791-T791)/N791</f>
        <v>1</v>
      </c>
      <c r="AF791" s="97" t="n">
        <f aca="false">BR791</f>
        <v>0</v>
      </c>
      <c r="AG791" s="98" t="n">
        <f aca="false">K791-AF791</f>
        <v>2.7</v>
      </c>
      <c r="AH791" s="99" t="n">
        <f aca="false">IFERROR(AG791/K791," ")</f>
        <v>1</v>
      </c>
      <c r="AI791" s="100" t="n">
        <f aca="false">IFERROR(O791/K791,0)</f>
        <v>1922.22222222222</v>
      </c>
      <c r="AJ791" s="101" t="n">
        <f aca="false">VLOOKUP(D791,'Standard Cycle time'!C:D,2,0)</f>
        <v>2.5</v>
      </c>
      <c r="AK791" s="101" t="n">
        <f aca="false">AG791*V791*3600/O791</f>
        <v>3.74566473988439</v>
      </c>
      <c r="AL791" s="102" t="n">
        <f aca="false">AJ791/AK791</f>
        <v>0.667438271604938</v>
      </c>
      <c r="AM791" s="99" t="n">
        <f aca="false">AE791*AL791*AH791</f>
        <v>0.667438271604938</v>
      </c>
      <c r="AN791" s="103" t="n">
        <v>0.667438271604938</v>
      </c>
      <c r="AO791" s="112"/>
      <c r="AP791" s="105" t="n">
        <v>0</v>
      </c>
      <c r="AQ791" s="105" t="n">
        <v>0</v>
      </c>
      <c r="AR791" s="105" t="n">
        <v>0</v>
      </c>
      <c r="AS791" s="105" t="n">
        <v>0</v>
      </c>
      <c r="AT791" s="105" t="n">
        <v>0</v>
      </c>
      <c r="AU791" s="105" t="n">
        <v>0</v>
      </c>
      <c r="AV791" s="105" t="n">
        <v>0</v>
      </c>
      <c r="AW791" s="105" t="n">
        <v>0</v>
      </c>
      <c r="AX791" s="105" t="n">
        <v>0</v>
      </c>
      <c r="AY791" s="105" t="n">
        <v>0</v>
      </c>
      <c r="AZ791" s="105" t="n">
        <v>0</v>
      </c>
      <c r="BA791" s="105" t="n">
        <v>0</v>
      </c>
      <c r="BB791" s="105" t="n">
        <v>0</v>
      </c>
      <c r="BC791" s="105" t="n">
        <v>0</v>
      </c>
      <c r="BD791" s="105" t="n">
        <v>0</v>
      </c>
      <c r="BE791" s="105" t="n">
        <v>0</v>
      </c>
      <c r="BF791" s="105" t="n">
        <v>0</v>
      </c>
      <c r="BG791" s="105" t="n">
        <v>0</v>
      </c>
      <c r="BH791" s="105" t="n">
        <v>0</v>
      </c>
      <c r="BI791" s="105" t="n">
        <v>0</v>
      </c>
      <c r="BJ791" s="105" t="n">
        <v>0</v>
      </c>
      <c r="BK791" s="105" t="n">
        <v>0</v>
      </c>
      <c r="BL791" s="105" t="n">
        <v>0</v>
      </c>
      <c r="BM791" s="105" t="n">
        <v>0</v>
      </c>
      <c r="BN791" s="105" t="n">
        <v>0</v>
      </c>
      <c r="BO791" s="105" t="n">
        <v>0</v>
      </c>
      <c r="BP791" s="105" t="n">
        <v>0</v>
      </c>
      <c r="BQ791" s="105" t="n">
        <v>0</v>
      </c>
      <c r="BR791" s="106" t="n">
        <v>0</v>
      </c>
      <c r="BS791" s="106" t="n">
        <v>0</v>
      </c>
      <c r="BT791" s="107"/>
      <c r="BU791" s="107"/>
      <c r="BV791" s="107"/>
      <c r="BW791" s="107"/>
      <c r="BX791" s="107"/>
      <c r="BY791" s="107"/>
      <c r="BZ791" s="107"/>
      <c r="CA791" s="107"/>
      <c r="CB791" s="107"/>
      <c r="CC791" s="107"/>
      <c r="CD791" s="107"/>
      <c r="CE791" s="107"/>
      <c r="CF791" s="107"/>
      <c r="CG791" s="107"/>
      <c r="CH791" s="107"/>
      <c r="CI791" s="107"/>
      <c r="CJ791" s="107"/>
      <c r="CK791" s="107"/>
      <c r="CL791" s="107"/>
      <c r="CM791" s="107"/>
      <c r="CN791" s="107"/>
      <c r="CO791" s="107"/>
      <c r="CP791" s="107"/>
      <c r="CQ791" s="107"/>
      <c r="CR791" s="107"/>
      <c r="CS791" s="107"/>
      <c r="CT791" s="107"/>
      <c r="CU791" s="107"/>
      <c r="CV791" s="107"/>
      <c r="CY791" s="0" t="s">
        <v>1539</v>
      </c>
    </row>
    <row r="792" customFormat="false" ht="14.9" hidden="false" customHeight="false" outlineLevel="0" collapsed="false">
      <c r="A792" s="74" t="n">
        <f aca="false">MONTH(B792)</f>
        <v>10</v>
      </c>
      <c r="B792" s="135" t="n">
        <v>44474</v>
      </c>
      <c r="C792" s="128" t="s">
        <v>63</v>
      </c>
      <c r="D792" s="77" t="str">
        <f aca="false">IFERROR(VLOOKUP(E:E,'Item Data Support Sheet'!A:O,7,0),"")</f>
        <v>NIPPLE WRAP PRINTED</v>
      </c>
      <c r="E792" s="80" t="s">
        <v>506</v>
      </c>
      <c r="F792" s="122"/>
      <c r="G792" s="137" t="s">
        <v>432</v>
      </c>
      <c r="H792" s="79" t="str">
        <f aca="false">IFERROR(VLOOKUP(E:E,'Item Data Support Sheet'!A:O,2,0),"")</f>
        <v>NIPPLE S TYPE LL SIZE WRAPPED</v>
      </c>
      <c r="I792" s="80" t="s">
        <v>1446</v>
      </c>
      <c r="J792" s="80" t="s">
        <v>158</v>
      </c>
      <c r="K792" s="124" t="n">
        <v>5.8</v>
      </c>
      <c r="L792" s="124" t="n">
        <v>11132</v>
      </c>
      <c r="M792" s="83" t="n">
        <v>1919.31034482759</v>
      </c>
      <c r="N792" s="84" t="n">
        <f aca="false">+O792+Q792+T792+U792</f>
        <v>9558</v>
      </c>
      <c r="O792" s="85" t="n">
        <v>9558</v>
      </c>
      <c r="P792" s="86" t="n">
        <v>0</v>
      </c>
      <c r="Q792" s="86" t="n">
        <v>0</v>
      </c>
      <c r="R792" s="132" t="n">
        <v>0</v>
      </c>
      <c r="S792" s="128" t="n">
        <v>0</v>
      </c>
      <c r="T792" s="132" t="n">
        <v>0</v>
      </c>
      <c r="U792" s="128" t="n">
        <v>0</v>
      </c>
      <c r="V792" s="128" t="n">
        <v>2</v>
      </c>
      <c r="W792" s="90" t="n">
        <f aca="false">IFERROR(O792/V792,0)</f>
        <v>4779</v>
      </c>
      <c r="X792" s="91" t="n">
        <f aca="false">O792/L792</f>
        <v>0.858605821056414</v>
      </c>
      <c r="Y792" s="92" t="str">
        <f aca="false">IFERROR(VLOOKUP(E:E,'Item Data Support Sheet'!A:J,6,0),0)</f>
        <v>FO141</v>
      </c>
      <c r="Z792" s="93" t="n">
        <f aca="false">IFERROR(VLOOKUP(E:E,'Item Data Support Sheet'!A:O,4,0),0)</f>
        <v>0</v>
      </c>
      <c r="AA792" s="93" t="n">
        <f aca="false">IFERROR(((N792)*(Z792/1000))+P792,0)</f>
        <v>0</v>
      </c>
      <c r="AB792" s="94" t="str">
        <f aca="false">IFERROR((O792*(Z792/1000)/(AA792))," ")</f>
        <v> </v>
      </c>
      <c r="AC792" s="95" t="n">
        <f aca="false">IFERROR((T792)/((T792)+O792),0)</f>
        <v>0</v>
      </c>
      <c r="AD792" s="96" t="n">
        <f aca="false">IFERROR(Q792/(Q792+N792),0)</f>
        <v>0</v>
      </c>
      <c r="AE792" s="91" t="n">
        <f aca="false">(N792-T792)/N792</f>
        <v>1</v>
      </c>
      <c r="AF792" s="97" t="n">
        <f aca="false">BR792</f>
        <v>2</v>
      </c>
      <c r="AG792" s="98" t="n">
        <f aca="false">K792-AF792</f>
        <v>3.8</v>
      </c>
      <c r="AH792" s="99" t="n">
        <f aca="false">IFERROR(AG792/K792," ")</f>
        <v>0.655172413793103</v>
      </c>
      <c r="AI792" s="100" t="n">
        <f aca="false">IFERROR(O792/K792,0)</f>
        <v>1647.93103448276</v>
      </c>
      <c r="AJ792" s="101" t="n">
        <f aca="false">VLOOKUP(D792,'Standard Cycle time'!C:D,2,0)</f>
        <v>2.5</v>
      </c>
      <c r="AK792" s="101" t="n">
        <f aca="false">AG792*V792*3600/O792</f>
        <v>2.86252354048964</v>
      </c>
      <c r="AL792" s="102" t="n">
        <f aca="false">AJ792/AK792</f>
        <v>0.873355263157895</v>
      </c>
      <c r="AM792" s="99" t="n">
        <f aca="false">AE792*AL792*AH792</f>
        <v>0.572198275862069</v>
      </c>
      <c r="AN792" s="103" t="n">
        <v>0.572198275862069</v>
      </c>
      <c r="AO792" s="112"/>
      <c r="AP792" s="105" t="n">
        <v>0</v>
      </c>
      <c r="AQ792" s="105" t="n">
        <v>0</v>
      </c>
      <c r="AR792" s="105" t="n">
        <v>0</v>
      </c>
      <c r="AS792" s="105" t="n">
        <v>0</v>
      </c>
      <c r="AT792" s="105" t="n">
        <v>0</v>
      </c>
      <c r="AU792" s="105" t="n">
        <v>0</v>
      </c>
      <c r="AV792" s="105" t="n">
        <v>120</v>
      </c>
      <c r="AW792" s="105" t="n">
        <v>0</v>
      </c>
      <c r="AX792" s="105" t="n">
        <v>0</v>
      </c>
      <c r="AY792" s="105" t="n">
        <v>0</v>
      </c>
      <c r="AZ792" s="105" t="n">
        <v>0</v>
      </c>
      <c r="BA792" s="105" t="n">
        <v>0</v>
      </c>
      <c r="BB792" s="105" t="n">
        <v>0</v>
      </c>
      <c r="BC792" s="105" t="n">
        <v>0</v>
      </c>
      <c r="BD792" s="105" t="n">
        <v>0</v>
      </c>
      <c r="BE792" s="105" t="n">
        <v>0</v>
      </c>
      <c r="BF792" s="105" t="n">
        <v>0</v>
      </c>
      <c r="BG792" s="105" t="n">
        <v>0</v>
      </c>
      <c r="BH792" s="105" t="n">
        <v>0</v>
      </c>
      <c r="BI792" s="105" t="n">
        <v>0</v>
      </c>
      <c r="BJ792" s="105" t="n">
        <v>0</v>
      </c>
      <c r="BK792" s="105" t="n">
        <v>0</v>
      </c>
      <c r="BL792" s="105" t="n">
        <v>0</v>
      </c>
      <c r="BM792" s="105" t="n">
        <v>0</v>
      </c>
      <c r="BN792" s="105" t="n">
        <v>0</v>
      </c>
      <c r="BO792" s="105" t="n">
        <v>0</v>
      </c>
      <c r="BP792" s="105" t="n">
        <v>0</v>
      </c>
      <c r="BQ792" s="105" t="n">
        <v>0</v>
      </c>
      <c r="BR792" s="106" t="n">
        <v>2</v>
      </c>
      <c r="BS792" s="106" t="n">
        <v>2</v>
      </c>
      <c r="BT792" s="107"/>
      <c r="BU792" s="107"/>
      <c r="BV792" s="107"/>
      <c r="BW792" s="107"/>
      <c r="BX792" s="107"/>
      <c r="BY792" s="107"/>
      <c r="BZ792" s="107"/>
      <c r="CA792" s="107"/>
      <c r="CB792" s="107"/>
      <c r="CC792" s="107"/>
      <c r="CD792" s="107"/>
      <c r="CE792" s="107"/>
      <c r="CF792" s="107"/>
      <c r="CG792" s="107"/>
      <c r="CH792" s="107"/>
      <c r="CI792" s="107"/>
      <c r="CJ792" s="107"/>
      <c r="CK792" s="107"/>
      <c r="CL792" s="107"/>
      <c r="CM792" s="107"/>
      <c r="CN792" s="107"/>
      <c r="CO792" s="107"/>
      <c r="CP792" s="107"/>
      <c r="CQ792" s="107"/>
      <c r="CR792" s="107"/>
      <c r="CS792" s="107"/>
      <c r="CT792" s="107"/>
      <c r="CU792" s="107"/>
      <c r="CV792" s="107"/>
    </row>
    <row r="793" customFormat="false" ht="14.9" hidden="false" customHeight="false" outlineLevel="0" collapsed="false">
      <c r="A793" s="74" t="n">
        <f aca="false">MONTH(B793)</f>
        <v>10</v>
      </c>
      <c r="B793" s="135" t="n">
        <v>44474</v>
      </c>
      <c r="C793" s="128" t="s">
        <v>70</v>
      </c>
      <c r="D793" s="77" t="str">
        <f aca="false">IFERROR(VLOOKUP(E:E,'Item Data Support Sheet'!A:O,7,0),"")</f>
        <v>BOTTLE MOLDED</v>
      </c>
      <c r="E793" s="80" t="s">
        <v>78</v>
      </c>
      <c r="F793" s="122" t="s">
        <v>79</v>
      </c>
      <c r="G793" s="137" t="s">
        <v>74</v>
      </c>
      <c r="H793" s="79" t="str">
        <f aca="false">IFERROR(VLOOKUP(E:E,'Item Data Support Sheet'!A:O,2,0),"")</f>
        <v>RPP 120 ML BOTTLE MOLDED</v>
      </c>
      <c r="I793" s="80" t="s">
        <v>1540</v>
      </c>
      <c r="J793" s="80" t="s">
        <v>155</v>
      </c>
      <c r="K793" s="124" t="n">
        <v>8</v>
      </c>
      <c r="L793" s="124" t="n">
        <v>2574</v>
      </c>
      <c r="M793" s="83" t="n">
        <v>321.75</v>
      </c>
      <c r="N793" s="84" t="n">
        <f aca="false">+O793+Q793+T793+U793</f>
        <v>3143</v>
      </c>
      <c r="O793" s="85" t="n">
        <v>3060</v>
      </c>
      <c r="P793" s="86" t="n">
        <v>0.2</v>
      </c>
      <c r="Q793" s="86" t="n">
        <v>40</v>
      </c>
      <c r="R793" s="132" t="n">
        <v>0</v>
      </c>
      <c r="S793" s="128" t="n">
        <v>0</v>
      </c>
      <c r="T793" s="132" t="n">
        <v>43</v>
      </c>
      <c r="U793" s="128" t="n">
        <v>0</v>
      </c>
      <c r="V793" s="128" t="n">
        <v>1</v>
      </c>
      <c r="W793" s="90" t="n">
        <f aca="false">IFERROR(O793/V793,0)</f>
        <v>3060</v>
      </c>
      <c r="X793" s="91" t="n">
        <f aca="false">O793/L793</f>
        <v>1.18881118881119</v>
      </c>
      <c r="Y793" s="92" t="str">
        <f aca="false">IFERROR(VLOOKUP(E:E,'Item Data Support Sheet'!A:J,6,0),0)</f>
        <v>HMC</v>
      </c>
      <c r="Z793" s="93" t="n">
        <f aca="false">IFERROR(VLOOKUP(E:E,'Item Data Support Sheet'!A:O,4,0),0)</f>
        <v>21.3</v>
      </c>
      <c r="AA793" s="93" t="n">
        <f aca="false">IFERROR(((N793)*(Z793/1000))+P793,0)</f>
        <v>67.1459</v>
      </c>
      <c r="AB793" s="94" t="n">
        <f aca="false">IFERROR((O793*(Z793/1000)/(AA793))," ")</f>
        <v>0.970692179269322</v>
      </c>
      <c r="AC793" s="95" t="n">
        <f aca="false">IFERROR((T793)/((T793)+O793),0)</f>
        <v>0.0138575572027071</v>
      </c>
      <c r="AD793" s="96" t="n">
        <f aca="false">IFERROR(Q793/(Q793+N793),0)</f>
        <v>0.0125667609173735</v>
      </c>
      <c r="AE793" s="91" t="n">
        <f aca="false">(N793-T793)/N793</f>
        <v>0.986318803690741</v>
      </c>
      <c r="AF793" s="97" t="n">
        <f aca="false">BR793</f>
        <v>0</v>
      </c>
      <c r="AG793" s="98" t="n">
        <f aca="false">K793-AF793</f>
        <v>8</v>
      </c>
      <c r="AH793" s="99" t="n">
        <f aca="false">IFERROR(AG793/K793," ")</f>
        <v>1</v>
      </c>
      <c r="AI793" s="100" t="n">
        <f aca="false">IFERROR(O793/K793,0)</f>
        <v>382.5</v>
      </c>
      <c r="AJ793" s="101" t="n">
        <f aca="false">VLOOKUP(D793,'Standard Cycle time'!C:D,2,0)</f>
        <v>9</v>
      </c>
      <c r="AK793" s="101" t="n">
        <f aca="false">AG793*V793*3600/O793</f>
        <v>9.41176470588235</v>
      </c>
      <c r="AL793" s="102" t="n">
        <f aca="false">AJ793/AK793</f>
        <v>0.95625</v>
      </c>
      <c r="AM793" s="99" t="n">
        <f aca="false">AE793*AL793*AH793</f>
        <v>0.943167356029271</v>
      </c>
      <c r="AN793" s="103" t="n">
        <v>0.943167356029271</v>
      </c>
      <c r="AO793" s="112"/>
      <c r="AP793" s="105" t="n">
        <v>0</v>
      </c>
      <c r="AQ793" s="105" t="n">
        <v>0</v>
      </c>
      <c r="AR793" s="105" t="n">
        <v>0</v>
      </c>
      <c r="AS793" s="105" t="n">
        <v>0</v>
      </c>
      <c r="AT793" s="105" t="n">
        <v>0</v>
      </c>
      <c r="AU793" s="105" t="n">
        <v>0</v>
      </c>
      <c r="AV793" s="105" t="n">
        <v>0</v>
      </c>
      <c r="AW793" s="105" t="n">
        <v>0</v>
      </c>
      <c r="AX793" s="105" t="n">
        <v>0</v>
      </c>
      <c r="AY793" s="105" t="n">
        <v>0</v>
      </c>
      <c r="AZ793" s="105" t="n">
        <v>0</v>
      </c>
      <c r="BA793" s="105" t="n">
        <v>0</v>
      </c>
      <c r="BB793" s="105" t="n">
        <v>0</v>
      </c>
      <c r="BC793" s="105" t="n">
        <v>0</v>
      </c>
      <c r="BD793" s="105" t="n">
        <v>0</v>
      </c>
      <c r="BE793" s="105" t="n">
        <v>0</v>
      </c>
      <c r="BF793" s="105" t="n">
        <v>0</v>
      </c>
      <c r="BG793" s="105" t="n">
        <v>0</v>
      </c>
      <c r="BH793" s="105" t="n">
        <v>0</v>
      </c>
      <c r="BI793" s="105" t="n">
        <v>0</v>
      </c>
      <c r="BJ793" s="105" t="n">
        <v>0</v>
      </c>
      <c r="BK793" s="105" t="n">
        <v>0</v>
      </c>
      <c r="BL793" s="105" t="n">
        <v>0</v>
      </c>
      <c r="BM793" s="105" t="n">
        <v>0</v>
      </c>
      <c r="BN793" s="105" t="n">
        <v>0</v>
      </c>
      <c r="BO793" s="105" t="n">
        <v>0</v>
      </c>
      <c r="BP793" s="105" t="n">
        <v>0</v>
      </c>
      <c r="BQ793" s="105" t="n">
        <v>0</v>
      </c>
      <c r="BR793" s="106" t="n">
        <v>0</v>
      </c>
      <c r="BS793" s="106" t="n">
        <v>0</v>
      </c>
      <c r="BT793" s="107"/>
      <c r="BU793" s="107"/>
      <c r="BV793" s="107"/>
      <c r="BW793" s="107"/>
      <c r="BX793" s="107"/>
      <c r="BY793" s="107"/>
      <c r="BZ793" s="107"/>
      <c r="CA793" s="107"/>
      <c r="CB793" s="107"/>
      <c r="CC793" s="107"/>
      <c r="CD793" s="107"/>
      <c r="CE793" s="107"/>
      <c r="CF793" s="107"/>
      <c r="CG793" s="107"/>
      <c r="CH793" s="107"/>
      <c r="CI793" s="107"/>
      <c r="CJ793" s="107"/>
      <c r="CK793" s="107"/>
      <c r="CL793" s="107"/>
      <c r="CM793" s="107"/>
      <c r="CN793" s="107"/>
      <c r="CO793" s="107"/>
      <c r="CP793" s="107"/>
      <c r="CQ793" s="107"/>
      <c r="CR793" s="107"/>
      <c r="CS793" s="107"/>
      <c r="CT793" s="107"/>
      <c r="CU793" s="107"/>
      <c r="CV793" s="107"/>
      <c r="CZ793" s="0" t="n">
        <v>67.1459</v>
      </c>
    </row>
    <row r="794" customFormat="false" ht="14.9" hidden="false" customHeight="false" outlineLevel="0" collapsed="false">
      <c r="A794" s="74" t="n">
        <f aca="false">MONTH(B794)</f>
        <v>10</v>
      </c>
      <c r="B794" s="135" t="n">
        <v>44474</v>
      </c>
      <c r="C794" s="128" t="s">
        <v>70</v>
      </c>
      <c r="D794" s="77" t="str">
        <f aca="false">IFERROR(VLOOKUP(E:E,'Item Data Support Sheet'!A:O,7,0),"")</f>
        <v>NIPPLE MOLDED</v>
      </c>
      <c r="E794" s="80" t="s">
        <v>492</v>
      </c>
      <c r="F794" s="122" t="s">
        <v>137</v>
      </c>
      <c r="G794" s="137" t="s">
        <v>138</v>
      </c>
      <c r="H794" s="79" t="str">
        <f aca="false">IFERROR(VLOOKUP(E:E,'Item Data Support Sheet'!A:O,2,0),"")</f>
        <v>NIPPLE S TYPE LL SIZE INJECTION</v>
      </c>
      <c r="I794" s="80"/>
      <c r="J794" s="80" t="s">
        <v>155</v>
      </c>
      <c r="K794" s="124" t="n">
        <v>8</v>
      </c>
      <c r="L794" s="124" t="n">
        <v>4815</v>
      </c>
      <c r="M794" s="83" t="n">
        <v>601.875</v>
      </c>
      <c r="N794" s="84" t="n">
        <f aca="false">+O794+Q794+T794+U794</f>
        <v>3800</v>
      </c>
      <c r="O794" s="85" t="n">
        <v>3400</v>
      </c>
      <c r="P794" s="86" t="n">
        <v>0</v>
      </c>
      <c r="Q794" s="86" t="n">
        <v>265</v>
      </c>
      <c r="R794" s="132" t="n">
        <v>0</v>
      </c>
      <c r="S794" s="128" t="n">
        <v>0</v>
      </c>
      <c r="T794" s="132" t="n">
        <v>135</v>
      </c>
      <c r="U794" s="128" t="n">
        <v>0</v>
      </c>
      <c r="V794" s="128" t="n">
        <v>1</v>
      </c>
      <c r="W794" s="90" t="n">
        <f aca="false">IFERROR(O794/V794,0)</f>
        <v>3400</v>
      </c>
      <c r="X794" s="91" t="n">
        <f aca="false">O794/L794</f>
        <v>0.706126687435099</v>
      </c>
      <c r="Y794" s="92" t="str">
        <f aca="false">IFERROR(VLOOKUP(E:E,'Item Data Support Sheet'!A:J,6,0),0)</f>
        <v>FO148</v>
      </c>
      <c r="Z794" s="93" t="n">
        <f aca="false">IFERROR(VLOOKUP(E:E,'Item Data Support Sheet'!A:O,4,0),0)</f>
        <v>6.8</v>
      </c>
      <c r="AA794" s="93" t="n">
        <f aca="false">IFERROR(((N794)*(Z794/1000))+P794,0)</f>
        <v>25.84</v>
      </c>
      <c r="AB794" s="94" t="n">
        <f aca="false">IFERROR((O794*(Z794/1000)/(AA794))," ")</f>
        <v>0.894736842105263</v>
      </c>
      <c r="AC794" s="95" t="n">
        <f aca="false">IFERROR((T794)/((T794)+O794),0)</f>
        <v>0.0381895332390382</v>
      </c>
      <c r="AD794" s="96" t="n">
        <f aca="false">IFERROR(Q794/(Q794+N794),0)</f>
        <v>0.0651906519065191</v>
      </c>
      <c r="AE794" s="91" t="n">
        <f aca="false">(N794-T794)/N794</f>
        <v>0.964473684210526</v>
      </c>
      <c r="AF794" s="97" t="n">
        <f aca="false">BR794</f>
        <v>2</v>
      </c>
      <c r="AG794" s="98" t="n">
        <f aca="false">K794-AF794</f>
        <v>6</v>
      </c>
      <c r="AH794" s="99" t="n">
        <f aca="false">IFERROR(AG794/K794," ")</f>
        <v>0.75</v>
      </c>
      <c r="AI794" s="100" t="n">
        <f aca="false">IFERROR(O794/K794,0)</f>
        <v>425</v>
      </c>
      <c r="AJ794" s="101" t="n">
        <f aca="false">VLOOKUP(D794,'Standard Cycle time'!C:D,2,0)</f>
        <v>5.25</v>
      </c>
      <c r="AK794" s="101" t="n">
        <f aca="false">AG794*V794*3600/O794</f>
        <v>6.35294117647059</v>
      </c>
      <c r="AL794" s="102" t="n">
        <f aca="false">AJ794/AK794</f>
        <v>0.826388888888889</v>
      </c>
      <c r="AM794" s="99" t="n">
        <f aca="false">AE794*AL794*AH794</f>
        <v>0.597772752192982</v>
      </c>
      <c r="AN794" s="103" t="n">
        <v>0.597772752192982</v>
      </c>
      <c r="AO794" s="112" t="s">
        <v>1541</v>
      </c>
      <c r="AP794" s="105" t="n">
        <v>0</v>
      </c>
      <c r="AQ794" s="105" t="n">
        <v>0</v>
      </c>
      <c r="AR794" s="105" t="n">
        <v>0</v>
      </c>
      <c r="AS794" s="105" t="n">
        <v>0</v>
      </c>
      <c r="AT794" s="105" t="n">
        <v>0</v>
      </c>
      <c r="AU794" s="105" t="n">
        <v>30</v>
      </c>
      <c r="AV794" s="105" t="n">
        <v>60</v>
      </c>
      <c r="AW794" s="105" t="n">
        <v>30</v>
      </c>
      <c r="AX794" s="105" t="n">
        <v>0</v>
      </c>
      <c r="AY794" s="105" t="n">
        <v>0</v>
      </c>
      <c r="AZ794" s="105" t="n">
        <v>0</v>
      </c>
      <c r="BA794" s="105" t="n">
        <v>0</v>
      </c>
      <c r="BB794" s="105" t="n">
        <v>0</v>
      </c>
      <c r="BC794" s="105" t="n">
        <v>0</v>
      </c>
      <c r="BD794" s="105" t="n">
        <v>0</v>
      </c>
      <c r="BE794" s="105" t="n">
        <v>0</v>
      </c>
      <c r="BF794" s="105" t="n">
        <v>0</v>
      </c>
      <c r="BG794" s="105" t="n">
        <v>0</v>
      </c>
      <c r="BH794" s="105" t="n">
        <v>0</v>
      </c>
      <c r="BI794" s="105" t="n">
        <v>0</v>
      </c>
      <c r="BJ794" s="105" t="n">
        <v>0</v>
      </c>
      <c r="BK794" s="105" t="n">
        <v>0</v>
      </c>
      <c r="BL794" s="105" t="n">
        <v>0</v>
      </c>
      <c r="BM794" s="105" t="n">
        <v>0</v>
      </c>
      <c r="BN794" s="105" t="n">
        <v>0</v>
      </c>
      <c r="BO794" s="105" t="n">
        <v>0</v>
      </c>
      <c r="BP794" s="105" t="n">
        <v>0</v>
      </c>
      <c r="BQ794" s="105" t="n">
        <v>0</v>
      </c>
      <c r="BR794" s="106" t="n">
        <v>2</v>
      </c>
      <c r="BS794" s="106" t="n">
        <v>2</v>
      </c>
      <c r="BT794" s="107"/>
      <c r="BU794" s="107"/>
      <c r="BV794" s="107"/>
      <c r="BW794" s="107"/>
      <c r="BX794" s="107"/>
      <c r="BY794" s="107"/>
      <c r="BZ794" s="107"/>
      <c r="CA794" s="107"/>
      <c r="CB794" s="107"/>
      <c r="CC794" s="107"/>
      <c r="CD794" s="107"/>
      <c r="CE794" s="107"/>
      <c r="CF794" s="107"/>
      <c r="CG794" s="107"/>
      <c r="CH794" s="107"/>
      <c r="CI794" s="107"/>
      <c r="CJ794" s="107"/>
      <c r="CK794" s="107"/>
      <c r="CL794" s="107"/>
      <c r="CM794" s="107"/>
      <c r="CN794" s="107"/>
      <c r="CO794" s="107"/>
      <c r="CP794" s="107"/>
      <c r="CQ794" s="107"/>
      <c r="CR794" s="107"/>
      <c r="CS794" s="107"/>
      <c r="CT794" s="107"/>
      <c r="CU794" s="107"/>
      <c r="CV794" s="107"/>
    </row>
    <row r="795" customFormat="false" ht="14.9" hidden="false" customHeight="false" outlineLevel="0" collapsed="false">
      <c r="A795" s="74" t="n">
        <f aca="false">MONTH(B795)</f>
        <v>10</v>
      </c>
      <c r="B795" s="135" t="n">
        <v>44474</v>
      </c>
      <c r="C795" s="128" t="s">
        <v>70</v>
      </c>
      <c r="D795" s="77" t="str">
        <f aca="false">IFERROR(VLOOKUP(E:E,'Item Data Support Sheet'!A:O,7,0),"")</f>
        <v>CAP MOLDED</v>
      </c>
      <c r="E795" s="80" t="s">
        <v>199</v>
      </c>
      <c r="F795" s="122"/>
      <c r="G795" s="137" t="s">
        <v>1215</v>
      </c>
      <c r="H795" s="79" t="str">
        <f aca="false">IFERROR(VLOOKUP(E:E,'Item Data Support Sheet'!A:O,2,0),"")</f>
        <v>CAP S TYPE MOLDED RED</v>
      </c>
      <c r="I795" s="80" t="s">
        <v>1542</v>
      </c>
      <c r="J795" s="80" t="s">
        <v>155</v>
      </c>
      <c r="K795" s="124" t="n">
        <v>2</v>
      </c>
      <c r="L795" s="124" t="n">
        <v>1034</v>
      </c>
      <c r="M795" s="83" t="n">
        <v>517</v>
      </c>
      <c r="N795" s="84" t="n">
        <f aca="false">+O795+Q795+T795+U795</f>
        <v>1000</v>
      </c>
      <c r="O795" s="85" t="n">
        <v>1000</v>
      </c>
      <c r="P795" s="86" t="n">
        <v>0</v>
      </c>
      <c r="Q795" s="86" t="n">
        <v>0</v>
      </c>
      <c r="R795" s="132" t="n">
        <v>0</v>
      </c>
      <c r="S795" s="128" t="n">
        <v>0</v>
      </c>
      <c r="T795" s="132" t="n">
        <v>0</v>
      </c>
      <c r="U795" s="128" t="n">
        <v>0</v>
      </c>
      <c r="V795" s="128" t="n">
        <v>1</v>
      </c>
      <c r="W795" s="90" t="n">
        <f aca="false">IFERROR(O795/V795,0)</f>
        <v>1000</v>
      </c>
      <c r="X795" s="91" t="n">
        <f aca="false">O795/L795</f>
        <v>0.967117988394584</v>
      </c>
      <c r="Y795" s="92" t="str">
        <f aca="false">IFERROR(VLOOKUP(E:E,'Item Data Support Sheet'!A:J,6,0),0)</f>
        <v>FO153</v>
      </c>
      <c r="Z795" s="93" t="n">
        <f aca="false">IFERROR(VLOOKUP(E:E,'Item Data Support Sheet'!A:O,4,0),0)</f>
        <v>7.3</v>
      </c>
      <c r="AA795" s="93" t="n">
        <f aca="false">IFERROR(((N795)*(Z795/1000))+P795,0)</f>
        <v>7.3</v>
      </c>
      <c r="AB795" s="94" t="n">
        <f aca="false">IFERROR((O795*(Z795/1000)/(AA795))," ")</f>
        <v>1</v>
      </c>
      <c r="AC795" s="95" t="n">
        <f aca="false">IFERROR((T795)/((T795)+O795),0)</f>
        <v>0</v>
      </c>
      <c r="AD795" s="96" t="n">
        <f aca="false">IFERROR(Q795/(Q795+N795),0)</f>
        <v>0</v>
      </c>
      <c r="AE795" s="91" t="n">
        <f aca="false">(N795-T795)/N795</f>
        <v>1</v>
      </c>
      <c r="AF795" s="97" t="n">
        <f aca="false">BR795</f>
        <v>0.5</v>
      </c>
      <c r="AG795" s="98" t="n">
        <f aca="false">K795-AF795</f>
        <v>1.5</v>
      </c>
      <c r="AH795" s="99" t="n">
        <f aca="false">IFERROR(AG795/K795," ")</f>
        <v>0.75</v>
      </c>
      <c r="AI795" s="100" t="n">
        <f aca="false">IFERROR(O795/K795,0)</f>
        <v>500</v>
      </c>
      <c r="AJ795" s="101" t="n">
        <f aca="false">VLOOKUP(D795,'Standard Cycle time'!C:D,2,0)</f>
        <v>6</v>
      </c>
      <c r="AK795" s="101" t="n">
        <f aca="false">AG795*V795*3600/O795</f>
        <v>5.4</v>
      </c>
      <c r="AL795" s="102" t="n">
        <f aca="false">AJ795/AK795</f>
        <v>1.11111111111111</v>
      </c>
      <c r="AM795" s="99" t="n">
        <f aca="false">AE795*AL795*AH795</f>
        <v>0.833333333333333</v>
      </c>
      <c r="AN795" s="103" t="n">
        <v>0.833333333333333</v>
      </c>
      <c r="AO795" s="112"/>
      <c r="AP795" s="105" t="n">
        <v>0</v>
      </c>
      <c r="AQ795" s="105" t="n">
        <v>0</v>
      </c>
      <c r="AR795" s="105" t="n">
        <v>0</v>
      </c>
      <c r="AS795" s="105" t="n">
        <v>0</v>
      </c>
      <c r="AT795" s="105" t="n">
        <v>0</v>
      </c>
      <c r="AU795" s="105" t="n">
        <v>0</v>
      </c>
      <c r="AV795" s="105" t="n">
        <v>0</v>
      </c>
      <c r="AW795" s="105" t="n">
        <v>30</v>
      </c>
      <c r="AX795" s="105" t="n">
        <v>0</v>
      </c>
      <c r="AY795" s="105" t="n">
        <v>0</v>
      </c>
      <c r="AZ795" s="105" t="n">
        <v>0</v>
      </c>
      <c r="BA795" s="105" t="n">
        <v>0</v>
      </c>
      <c r="BB795" s="105" t="n">
        <v>0</v>
      </c>
      <c r="BC795" s="105" t="n">
        <v>0</v>
      </c>
      <c r="BD795" s="105" t="n">
        <v>0</v>
      </c>
      <c r="BE795" s="105" t="n">
        <v>0</v>
      </c>
      <c r="BF795" s="105" t="n">
        <v>0</v>
      </c>
      <c r="BG795" s="105" t="n">
        <v>0</v>
      </c>
      <c r="BH795" s="105" t="n">
        <v>0</v>
      </c>
      <c r="BI795" s="105" t="n">
        <v>0</v>
      </c>
      <c r="BJ795" s="105" t="n">
        <v>0</v>
      </c>
      <c r="BK795" s="105" t="n">
        <v>0</v>
      </c>
      <c r="BL795" s="105" t="n">
        <v>0</v>
      </c>
      <c r="BM795" s="105" t="n">
        <v>0</v>
      </c>
      <c r="BN795" s="105" t="n">
        <v>0</v>
      </c>
      <c r="BO795" s="105" t="n">
        <v>0</v>
      </c>
      <c r="BP795" s="105" t="n">
        <v>0</v>
      </c>
      <c r="BQ795" s="105" t="n">
        <v>0</v>
      </c>
      <c r="BR795" s="106" t="n">
        <v>0.5</v>
      </c>
      <c r="BS795" s="106" t="n">
        <v>0.5</v>
      </c>
      <c r="BT795" s="107"/>
      <c r="BU795" s="107"/>
      <c r="BV795" s="107"/>
      <c r="BW795" s="107"/>
      <c r="BX795" s="107"/>
      <c r="BY795" s="107"/>
      <c r="BZ795" s="107"/>
      <c r="CA795" s="107"/>
      <c r="CB795" s="107"/>
      <c r="CC795" s="107"/>
      <c r="CD795" s="107"/>
      <c r="CE795" s="107"/>
      <c r="CF795" s="107"/>
      <c r="CG795" s="107"/>
      <c r="CH795" s="107"/>
      <c r="CI795" s="107"/>
      <c r="CJ795" s="107"/>
      <c r="CK795" s="107"/>
      <c r="CL795" s="107"/>
      <c r="CM795" s="107"/>
      <c r="CN795" s="107"/>
      <c r="CO795" s="107"/>
      <c r="CP795" s="107"/>
      <c r="CQ795" s="107"/>
      <c r="CR795" s="107"/>
      <c r="CS795" s="107"/>
      <c r="CT795" s="107"/>
      <c r="CU795" s="107"/>
      <c r="CV795" s="107"/>
    </row>
    <row r="796" customFormat="false" ht="14.9" hidden="false" customHeight="false" outlineLevel="0" collapsed="false">
      <c r="A796" s="74" t="n">
        <f aca="false">MONTH(B796)</f>
        <v>10</v>
      </c>
      <c r="B796" s="135" t="n">
        <v>44474</v>
      </c>
      <c r="C796" s="128" t="s">
        <v>70</v>
      </c>
      <c r="D796" s="77" t="str">
        <f aca="false">IFERROR(VLOOKUP(E:E,'Item Data Support Sheet'!A:O,7,0),"")</f>
        <v>CAP MOLDED</v>
      </c>
      <c r="E796" s="80" t="s">
        <v>199</v>
      </c>
      <c r="F796" s="122"/>
      <c r="G796" s="137" t="s">
        <v>1478</v>
      </c>
      <c r="H796" s="79" t="str">
        <f aca="false">IFERROR(VLOOKUP(E:E,'Item Data Support Sheet'!A:O,2,0),"")</f>
        <v>CAP S TYPE MOLDED RED</v>
      </c>
      <c r="I796" s="80" t="s">
        <v>1543</v>
      </c>
      <c r="J796" s="80" t="s">
        <v>155</v>
      </c>
      <c r="K796" s="124" t="n">
        <v>6</v>
      </c>
      <c r="L796" s="124" t="n">
        <v>3102</v>
      </c>
      <c r="M796" s="83" t="n">
        <v>517</v>
      </c>
      <c r="N796" s="84" t="n">
        <f aca="false">+O796+Q796+T796+U796</f>
        <v>3308</v>
      </c>
      <c r="O796" s="85" t="n">
        <v>3304</v>
      </c>
      <c r="P796" s="86" t="n">
        <v>0</v>
      </c>
      <c r="Q796" s="86" t="n">
        <v>0</v>
      </c>
      <c r="R796" s="132" t="n">
        <v>0</v>
      </c>
      <c r="S796" s="128" t="n">
        <v>0</v>
      </c>
      <c r="T796" s="132" t="n">
        <v>4</v>
      </c>
      <c r="U796" s="128" t="n">
        <v>0</v>
      </c>
      <c r="V796" s="128" t="n">
        <v>1</v>
      </c>
      <c r="W796" s="90" t="n">
        <f aca="false">IFERROR(O796/V796,0)</f>
        <v>3304</v>
      </c>
      <c r="X796" s="91" t="n">
        <f aca="false">O796/L796</f>
        <v>1.06511927788524</v>
      </c>
      <c r="Y796" s="92" t="str">
        <f aca="false">IFERROR(VLOOKUP(E:E,'Item Data Support Sheet'!A:J,6,0),0)</f>
        <v>FO153</v>
      </c>
      <c r="Z796" s="93" t="n">
        <f aca="false">IFERROR(VLOOKUP(E:E,'Item Data Support Sheet'!A:O,4,0),0)</f>
        <v>7.3</v>
      </c>
      <c r="AA796" s="93" t="n">
        <f aca="false">IFERROR(((N796)*(Z796/1000))+P796,0)</f>
        <v>24.1484</v>
      </c>
      <c r="AB796" s="94" t="n">
        <f aca="false">IFERROR((O796*(Z796/1000)/(AA796))," ")</f>
        <v>0.998790810157195</v>
      </c>
      <c r="AC796" s="95" t="n">
        <f aca="false">IFERROR((T796)/((T796)+O796),0)</f>
        <v>0.00120918984280532</v>
      </c>
      <c r="AD796" s="96" t="n">
        <f aca="false">IFERROR(Q796/(Q796+N796),0)</f>
        <v>0</v>
      </c>
      <c r="AE796" s="91" t="n">
        <f aca="false">(N796-T796)/N796</f>
        <v>0.998790810157195</v>
      </c>
      <c r="AF796" s="97" t="n">
        <f aca="false">BR796</f>
        <v>0</v>
      </c>
      <c r="AG796" s="98" t="n">
        <f aca="false">K796-AF796</f>
        <v>6</v>
      </c>
      <c r="AH796" s="99" t="n">
        <f aca="false">IFERROR(AG796/K796," ")</f>
        <v>1</v>
      </c>
      <c r="AI796" s="100" t="n">
        <f aca="false">IFERROR(O796/K796,0)</f>
        <v>550.666666666667</v>
      </c>
      <c r="AJ796" s="101" t="n">
        <f aca="false">VLOOKUP(D796,'Standard Cycle time'!C:D,2,0)</f>
        <v>6</v>
      </c>
      <c r="AK796" s="101" t="n">
        <f aca="false">AG796*V796*3600/O796</f>
        <v>6.53753026634383</v>
      </c>
      <c r="AL796" s="102" t="n">
        <f aca="false">AJ796/AK796</f>
        <v>0.917777777777778</v>
      </c>
      <c r="AM796" s="99" t="n">
        <f aca="false">AE796*AL796*AH796</f>
        <v>0.916668010210936</v>
      </c>
      <c r="AN796" s="103" t="n">
        <v>0.916668010210936</v>
      </c>
      <c r="AO796" s="112"/>
      <c r="AP796" s="105" t="n">
        <v>0</v>
      </c>
      <c r="AQ796" s="105" t="n">
        <v>0</v>
      </c>
      <c r="AR796" s="105" t="n">
        <v>0</v>
      </c>
      <c r="AS796" s="105" t="n">
        <v>0</v>
      </c>
      <c r="AT796" s="105" t="n">
        <v>0</v>
      </c>
      <c r="AU796" s="105" t="n">
        <v>0</v>
      </c>
      <c r="AV796" s="105" t="n">
        <v>0</v>
      </c>
      <c r="AW796" s="105" t="n">
        <v>0</v>
      </c>
      <c r="AX796" s="105" t="n">
        <v>0</v>
      </c>
      <c r="AY796" s="105" t="n">
        <v>0</v>
      </c>
      <c r="AZ796" s="105" t="n">
        <v>0</v>
      </c>
      <c r="BA796" s="105" t="n">
        <v>0</v>
      </c>
      <c r="BB796" s="105" t="n">
        <v>0</v>
      </c>
      <c r="BC796" s="105" t="n">
        <v>0</v>
      </c>
      <c r="BD796" s="105" t="n">
        <v>0</v>
      </c>
      <c r="BE796" s="105" t="n">
        <v>0</v>
      </c>
      <c r="BF796" s="105" t="n">
        <v>0</v>
      </c>
      <c r="BG796" s="105" t="n">
        <v>0</v>
      </c>
      <c r="BH796" s="105" t="n">
        <v>0</v>
      </c>
      <c r="BI796" s="105" t="n">
        <v>0</v>
      </c>
      <c r="BJ796" s="105" t="n">
        <v>0</v>
      </c>
      <c r="BK796" s="105" t="n">
        <v>0</v>
      </c>
      <c r="BL796" s="105" t="n">
        <v>0</v>
      </c>
      <c r="BM796" s="105" t="n">
        <v>0</v>
      </c>
      <c r="BN796" s="105" t="n">
        <v>0</v>
      </c>
      <c r="BO796" s="105" t="n">
        <v>0</v>
      </c>
      <c r="BP796" s="105" t="n">
        <v>0</v>
      </c>
      <c r="BQ796" s="105" t="n">
        <v>0</v>
      </c>
      <c r="BR796" s="106" t="n">
        <v>0</v>
      </c>
      <c r="BS796" s="106" t="n">
        <v>0</v>
      </c>
      <c r="BT796" s="107"/>
      <c r="BU796" s="107"/>
      <c r="BV796" s="107"/>
      <c r="BW796" s="107"/>
      <c r="BX796" s="107"/>
      <c r="BY796" s="107"/>
      <c r="BZ796" s="107"/>
      <c r="CA796" s="107"/>
      <c r="CB796" s="107"/>
      <c r="CC796" s="107"/>
      <c r="CD796" s="107"/>
      <c r="CE796" s="107"/>
      <c r="CF796" s="107"/>
      <c r="CG796" s="107"/>
      <c r="CH796" s="107"/>
      <c r="CI796" s="107"/>
      <c r="CJ796" s="107"/>
      <c r="CK796" s="107"/>
      <c r="CL796" s="107"/>
      <c r="CM796" s="107"/>
      <c r="CN796" s="107"/>
      <c r="CO796" s="107"/>
      <c r="CP796" s="107"/>
      <c r="CQ796" s="107"/>
      <c r="CR796" s="107"/>
      <c r="CS796" s="107"/>
      <c r="CT796" s="107"/>
      <c r="CU796" s="107"/>
      <c r="CV796" s="107"/>
    </row>
    <row r="797" customFormat="false" ht="14.9" hidden="false" customHeight="false" outlineLevel="0" collapsed="false">
      <c r="A797" s="74" t="n">
        <f aca="false">MONTH(B797)</f>
        <v>10</v>
      </c>
      <c r="B797" s="135" t="n">
        <v>44474</v>
      </c>
      <c r="C797" s="128" t="s">
        <v>70</v>
      </c>
      <c r="D797" s="77" t="str">
        <f aca="false">IFERROR(VLOOKUP(E:E,'Item Data Support Sheet'!A:O,7,0),"")</f>
        <v>NIPPLE PUNCH</v>
      </c>
      <c r="E797" s="80" t="s">
        <v>563</v>
      </c>
      <c r="F797" s="122"/>
      <c r="G797" s="137"/>
      <c r="H797" s="79" t="str">
        <f aca="false">IFERROR(VLOOKUP(E:E,'Item Data Support Sheet'!A:O,2,0),"")</f>
        <v>NIPPLE S TYPE LL SIZE PUNCHED</v>
      </c>
      <c r="I797" s="80" t="s">
        <v>1544</v>
      </c>
      <c r="J797" s="80" t="s">
        <v>155</v>
      </c>
      <c r="K797" s="124" t="n">
        <v>8</v>
      </c>
      <c r="L797" s="124" t="n">
        <v>7000</v>
      </c>
      <c r="M797" s="83" t="n">
        <v>875</v>
      </c>
      <c r="N797" s="84" t="n">
        <f aca="false">+O797+Q797+T797+U797</f>
        <v>3699</v>
      </c>
      <c r="O797" s="85" t="n">
        <v>3699</v>
      </c>
      <c r="P797" s="86" t="n">
        <v>0</v>
      </c>
      <c r="Q797" s="86" t="n">
        <v>0</v>
      </c>
      <c r="R797" s="132" t="n">
        <v>0</v>
      </c>
      <c r="S797" s="128" t="n">
        <v>0</v>
      </c>
      <c r="T797" s="132" t="n">
        <v>0</v>
      </c>
      <c r="U797" s="128" t="n">
        <v>0</v>
      </c>
      <c r="V797" s="128" t="n">
        <v>1</v>
      </c>
      <c r="W797" s="90" t="n">
        <f aca="false">IFERROR(O797/V797,0)</f>
        <v>3699</v>
      </c>
      <c r="X797" s="91" t="n">
        <f aca="false">O797/L797</f>
        <v>0.528428571428572</v>
      </c>
      <c r="Y797" s="92" t="str">
        <f aca="false">IFERROR(VLOOKUP(E:E,'Item Data Support Sheet'!A:J,6,0),0)</f>
        <v>FO150</v>
      </c>
      <c r="Z797" s="93" t="n">
        <f aca="false">IFERROR(VLOOKUP(E:E,'Item Data Support Sheet'!A:O,4,0),0)</f>
        <v>0</v>
      </c>
      <c r="AA797" s="93" t="n">
        <f aca="false">IFERROR(((N797)*(Z797/1000))+P797,0)</f>
        <v>0</v>
      </c>
      <c r="AB797" s="94" t="str">
        <f aca="false">IFERROR((O797*(Z797/1000)/(AA797))," ")</f>
        <v> </v>
      </c>
      <c r="AC797" s="95" t="n">
        <f aca="false">IFERROR((T797)/((T797)+O797),0)</f>
        <v>0</v>
      </c>
      <c r="AD797" s="96" t="n">
        <f aca="false">IFERROR(Q797/(Q797+N797),0)</f>
        <v>0</v>
      </c>
      <c r="AE797" s="91" t="n">
        <f aca="false">(N797-T797)/N797</f>
        <v>1</v>
      </c>
      <c r="AF797" s="97" t="n">
        <f aca="false">BR797</f>
        <v>2.66666666666667</v>
      </c>
      <c r="AG797" s="98" t="n">
        <f aca="false">K797-AF797</f>
        <v>5.33333333333333</v>
      </c>
      <c r="AH797" s="99" t="n">
        <f aca="false">IFERROR(AG797/K797," ")</f>
        <v>0.666666666666666</v>
      </c>
      <c r="AI797" s="100" t="n">
        <f aca="false">IFERROR(O797/K797,0)</f>
        <v>462.375</v>
      </c>
      <c r="AJ797" s="101" t="n">
        <f aca="false">VLOOKUP(D797,'Standard Cycle time'!C:D,2,0)</f>
        <v>3.5</v>
      </c>
      <c r="AK797" s="101" t="n">
        <f aca="false">AG797*V797*3600/O797</f>
        <v>5.19059205190592</v>
      </c>
      <c r="AL797" s="102" t="n">
        <f aca="false">AJ797/AK797</f>
        <v>0.674296875</v>
      </c>
      <c r="AM797" s="99" t="n">
        <f aca="false">AE797*AL797*AH797</f>
        <v>0.44953125</v>
      </c>
      <c r="AN797" s="103" t="n">
        <v>0.44953125</v>
      </c>
      <c r="AO797" s="112" t="s">
        <v>824</v>
      </c>
      <c r="AP797" s="105" t="n">
        <v>40</v>
      </c>
      <c r="AQ797" s="105" t="n">
        <v>0</v>
      </c>
      <c r="AR797" s="105" t="n">
        <v>0</v>
      </c>
      <c r="AS797" s="105" t="n">
        <v>120</v>
      </c>
      <c r="AT797" s="105" t="n">
        <v>0</v>
      </c>
      <c r="AU797" s="105" t="n">
        <v>0</v>
      </c>
      <c r="AV797" s="105" t="n">
        <v>0</v>
      </c>
      <c r="AW797" s="105" t="n">
        <v>0</v>
      </c>
      <c r="AX797" s="105" t="n">
        <v>0</v>
      </c>
      <c r="AY797" s="105" t="n">
        <v>0</v>
      </c>
      <c r="AZ797" s="105" t="n">
        <v>0</v>
      </c>
      <c r="BA797" s="105" t="n">
        <v>0</v>
      </c>
      <c r="BB797" s="105" t="n">
        <v>0</v>
      </c>
      <c r="BC797" s="105" t="n">
        <v>0</v>
      </c>
      <c r="BD797" s="105" t="n">
        <v>0</v>
      </c>
      <c r="BE797" s="105" t="n">
        <v>0</v>
      </c>
      <c r="BF797" s="105" t="n">
        <v>0</v>
      </c>
      <c r="BG797" s="105" t="n">
        <v>0</v>
      </c>
      <c r="BH797" s="105" t="n">
        <v>0</v>
      </c>
      <c r="BI797" s="105" t="n">
        <v>0</v>
      </c>
      <c r="BJ797" s="105" t="n">
        <v>0</v>
      </c>
      <c r="BK797" s="105" t="n">
        <v>0</v>
      </c>
      <c r="BL797" s="105" t="n">
        <v>0</v>
      </c>
      <c r="BM797" s="105" t="n">
        <v>0</v>
      </c>
      <c r="BN797" s="105" t="n">
        <v>0</v>
      </c>
      <c r="BO797" s="105" t="n">
        <v>0</v>
      </c>
      <c r="BP797" s="105" t="n">
        <v>0</v>
      </c>
      <c r="BQ797" s="105" t="n">
        <v>0</v>
      </c>
      <c r="BR797" s="106" t="n">
        <v>2.66666666666667</v>
      </c>
      <c r="BS797" s="106" t="n">
        <v>2.66666666666667</v>
      </c>
      <c r="BT797" s="107"/>
      <c r="BU797" s="107"/>
      <c r="BV797" s="107"/>
      <c r="BW797" s="107"/>
      <c r="BX797" s="107"/>
      <c r="BY797" s="107"/>
      <c r="BZ797" s="107"/>
      <c r="CA797" s="107"/>
      <c r="CB797" s="107"/>
      <c r="CC797" s="107"/>
      <c r="CD797" s="107"/>
      <c r="CE797" s="107"/>
      <c r="CF797" s="107"/>
      <c r="CG797" s="107"/>
      <c r="CH797" s="107"/>
      <c r="CI797" s="107"/>
      <c r="CJ797" s="107"/>
      <c r="CK797" s="107"/>
      <c r="CL797" s="107"/>
      <c r="CM797" s="107"/>
      <c r="CN797" s="107"/>
      <c r="CO797" s="107"/>
      <c r="CP797" s="107"/>
      <c r="CQ797" s="107"/>
      <c r="CR797" s="107"/>
      <c r="CS797" s="107"/>
      <c r="CT797" s="107"/>
      <c r="CU797" s="107"/>
      <c r="CV797" s="107"/>
    </row>
    <row r="798" customFormat="false" ht="14.9" hidden="false" customHeight="false" outlineLevel="0" collapsed="false">
      <c r="A798" s="74" t="n">
        <f aca="false">MONTH(B798)</f>
        <v>10</v>
      </c>
      <c r="B798" s="135" t="n">
        <v>44474</v>
      </c>
      <c r="C798" s="128" t="s">
        <v>70</v>
      </c>
      <c r="D798" s="77" t="str">
        <f aca="false">IFERROR(VLOOKUP(E:E,'Item Data Support Sheet'!A:O,7,0),"")</f>
        <v>NIPPLE LASER MARKING</v>
      </c>
      <c r="E798" s="80" t="s">
        <v>600</v>
      </c>
      <c r="F798" s="122"/>
      <c r="G798" s="137" t="s">
        <v>517</v>
      </c>
      <c r="H798" s="79" t="str">
        <f aca="false">IFERROR(VLOOKUP(E:E,'Item Data Support Sheet'!A:O,2,0),"")</f>
        <v>NIPPLE S TYPE LL SIZE LASER MARKED</v>
      </c>
      <c r="I798" s="80" t="s">
        <v>1545</v>
      </c>
      <c r="J798" s="80" t="s">
        <v>155</v>
      </c>
      <c r="K798" s="124" t="n">
        <v>8</v>
      </c>
      <c r="L798" s="124" t="n">
        <v>7000</v>
      </c>
      <c r="M798" s="83" t="n">
        <v>875</v>
      </c>
      <c r="N798" s="84" t="n">
        <f aca="false">+O798+Q798+T798+U798</f>
        <v>4299</v>
      </c>
      <c r="O798" s="85" t="n">
        <v>4299</v>
      </c>
      <c r="P798" s="86" t="n">
        <v>0</v>
      </c>
      <c r="Q798" s="86" t="n">
        <v>0</v>
      </c>
      <c r="R798" s="132" t="n">
        <v>0</v>
      </c>
      <c r="S798" s="128" t="n">
        <v>0</v>
      </c>
      <c r="T798" s="132" t="n">
        <v>0</v>
      </c>
      <c r="U798" s="128" t="n">
        <v>0</v>
      </c>
      <c r="V798" s="128" t="n">
        <v>1</v>
      </c>
      <c r="W798" s="90" t="n">
        <f aca="false">IFERROR(O798/V798,0)</f>
        <v>4299</v>
      </c>
      <c r="X798" s="91" t="n">
        <f aca="false">O798/L798</f>
        <v>0.614142857142857</v>
      </c>
      <c r="Y798" s="92" t="str">
        <f aca="false">IFERROR(VLOOKUP(E:E,'Item Data Support Sheet'!A:J,6,0),0)</f>
        <v>FO151</v>
      </c>
      <c r="Z798" s="93" t="n">
        <f aca="false">IFERROR(VLOOKUP(E:E,'Item Data Support Sheet'!A:O,4,0),0)</f>
        <v>0</v>
      </c>
      <c r="AA798" s="93" t="n">
        <f aca="false">IFERROR(((N798)*(Z798/1000))+P798,0)</f>
        <v>0</v>
      </c>
      <c r="AB798" s="94" t="str">
        <f aca="false">IFERROR((O798*(Z798/1000)/(AA798))," ")</f>
        <v> </v>
      </c>
      <c r="AC798" s="95" t="n">
        <f aca="false">IFERROR((T798)/((T798)+O798),0)</f>
        <v>0</v>
      </c>
      <c r="AD798" s="96" t="n">
        <f aca="false">IFERROR(Q798/(Q798+N798),0)</f>
        <v>0</v>
      </c>
      <c r="AE798" s="91" t="n">
        <f aca="false">(N798-T798)/N798</f>
        <v>1</v>
      </c>
      <c r="AF798" s="97" t="n">
        <f aca="false">BR798</f>
        <v>2.66666666666667</v>
      </c>
      <c r="AG798" s="98" t="n">
        <f aca="false">K798-AF798</f>
        <v>5.33333333333333</v>
      </c>
      <c r="AH798" s="99" t="n">
        <f aca="false">IFERROR(AG798/K798," ")</f>
        <v>0.666666666666666</v>
      </c>
      <c r="AI798" s="100" t="n">
        <f aca="false">IFERROR(O798/K798,0)</f>
        <v>537.375</v>
      </c>
      <c r="AJ798" s="101" t="n">
        <f aca="false">VLOOKUP(D798,'Standard Cycle time'!C:D,2,0)</f>
        <v>3.5</v>
      </c>
      <c r="AK798" s="101" t="n">
        <f aca="false">AG798*V798*3600/O798</f>
        <v>4.46615491974878</v>
      </c>
      <c r="AL798" s="102" t="n">
        <f aca="false">AJ798/AK798</f>
        <v>0.783671875</v>
      </c>
      <c r="AM798" s="99" t="n">
        <f aca="false">AE798*AL798*AH798</f>
        <v>0.522447916666667</v>
      </c>
      <c r="AN798" s="103" t="n">
        <v>0.522447916666667</v>
      </c>
      <c r="AO798" s="112" t="s">
        <v>824</v>
      </c>
      <c r="AP798" s="105" t="n">
        <v>40</v>
      </c>
      <c r="AQ798" s="105" t="n">
        <v>0</v>
      </c>
      <c r="AR798" s="105" t="n">
        <v>0</v>
      </c>
      <c r="AS798" s="105" t="n">
        <v>120</v>
      </c>
      <c r="AT798" s="105" t="n">
        <v>0</v>
      </c>
      <c r="AU798" s="105" t="n">
        <v>0</v>
      </c>
      <c r="AV798" s="105" t="n">
        <v>0</v>
      </c>
      <c r="AW798" s="105" t="n">
        <v>0</v>
      </c>
      <c r="AX798" s="105" t="n">
        <v>0</v>
      </c>
      <c r="AY798" s="105" t="n">
        <v>0</v>
      </c>
      <c r="AZ798" s="105" t="n">
        <v>0</v>
      </c>
      <c r="BA798" s="105" t="n">
        <v>0</v>
      </c>
      <c r="BB798" s="105" t="n">
        <v>0</v>
      </c>
      <c r="BC798" s="105" t="n">
        <v>0</v>
      </c>
      <c r="BD798" s="105" t="n">
        <v>0</v>
      </c>
      <c r="BE798" s="105" t="n">
        <v>0</v>
      </c>
      <c r="BF798" s="105" t="n">
        <v>0</v>
      </c>
      <c r="BG798" s="105" t="n">
        <v>0</v>
      </c>
      <c r="BH798" s="105" t="n">
        <v>0</v>
      </c>
      <c r="BI798" s="105" t="n">
        <v>0</v>
      </c>
      <c r="BJ798" s="105" t="n">
        <v>0</v>
      </c>
      <c r="BK798" s="105" t="n">
        <v>0</v>
      </c>
      <c r="BL798" s="105" t="n">
        <v>0</v>
      </c>
      <c r="BM798" s="105" t="n">
        <v>0</v>
      </c>
      <c r="BN798" s="105" t="n">
        <v>0</v>
      </c>
      <c r="BO798" s="105" t="n">
        <v>0</v>
      </c>
      <c r="BP798" s="105" t="n">
        <v>0</v>
      </c>
      <c r="BQ798" s="105" t="n">
        <v>0</v>
      </c>
      <c r="BR798" s="106" t="n">
        <v>2.66666666666667</v>
      </c>
      <c r="BS798" s="106" t="n">
        <v>2.66666666666667</v>
      </c>
      <c r="BT798" s="107"/>
      <c r="BU798" s="107"/>
      <c r="BV798" s="107"/>
      <c r="BW798" s="107"/>
      <c r="BX798" s="107"/>
      <c r="BY798" s="107"/>
      <c r="BZ798" s="107"/>
      <c r="CA798" s="107"/>
      <c r="CB798" s="107"/>
      <c r="CC798" s="107"/>
      <c r="CD798" s="107"/>
      <c r="CE798" s="107"/>
      <c r="CF798" s="107"/>
      <c r="CG798" s="107"/>
      <c r="CH798" s="107"/>
      <c r="CI798" s="107"/>
      <c r="CJ798" s="107"/>
      <c r="CK798" s="107"/>
      <c r="CL798" s="107"/>
      <c r="CM798" s="107"/>
      <c r="CN798" s="107"/>
      <c r="CO798" s="107"/>
      <c r="CP798" s="107"/>
      <c r="CQ798" s="107"/>
      <c r="CR798" s="107"/>
      <c r="CS798" s="107"/>
      <c r="CT798" s="107"/>
      <c r="CU798" s="107"/>
      <c r="CV798" s="107"/>
    </row>
    <row r="799" customFormat="false" ht="14.9" hidden="false" customHeight="false" outlineLevel="0" collapsed="false">
      <c r="A799" s="74" t="n">
        <f aca="false">MONTH(B799)</f>
        <v>10</v>
      </c>
      <c r="B799" s="135" t="n">
        <v>44474</v>
      </c>
      <c r="C799" s="128" t="s">
        <v>70</v>
      </c>
      <c r="D799" s="77" t="str">
        <f aca="false">IFERROR(VLOOKUP(E:E,'Item Data Support Sheet'!A:O,7,0),"")</f>
        <v>BOTTLE PRINTED</v>
      </c>
      <c r="E799" s="80" t="s">
        <v>270</v>
      </c>
      <c r="F799" s="122"/>
      <c r="G799" s="137"/>
      <c r="H799" s="79" t="str">
        <f aca="false">IFERROR(VLOOKUP(E:E,'Item Data Support Sheet'!A:O,2,0),"")</f>
        <v>RPP 120 ML BOTTLE PRINTED</v>
      </c>
      <c r="I799" s="80" t="s">
        <v>1546</v>
      </c>
      <c r="J799" s="80" t="s">
        <v>161</v>
      </c>
      <c r="K799" s="124" t="n">
        <v>8</v>
      </c>
      <c r="L799" s="124" t="n">
        <v>5800</v>
      </c>
      <c r="M799" s="83" t="n">
        <v>725</v>
      </c>
      <c r="N799" s="84" t="n">
        <f aca="false">+O799+Q799+T799+U799</f>
        <v>7231</v>
      </c>
      <c r="O799" s="85" t="n">
        <v>7200</v>
      </c>
      <c r="P799" s="86" t="n">
        <v>0</v>
      </c>
      <c r="Q799" s="86" t="n">
        <v>0</v>
      </c>
      <c r="R799" s="132" t="n">
        <v>0</v>
      </c>
      <c r="S799" s="128" t="n">
        <v>0</v>
      </c>
      <c r="T799" s="132" t="n">
        <v>31</v>
      </c>
      <c r="U799" s="128" t="n">
        <v>0</v>
      </c>
      <c r="V799" s="128" t="n">
        <v>5</v>
      </c>
      <c r="W799" s="90" t="n">
        <f aca="false">IFERROR(O799/V799,0)</f>
        <v>1440</v>
      </c>
      <c r="X799" s="91" t="n">
        <f aca="false">O799/L799</f>
        <v>1.24137931034483</v>
      </c>
      <c r="Y799" s="92" t="str">
        <f aca="false">IFERROR(VLOOKUP(E:E,'Item Data Support Sheet'!A:J,6,0),0)</f>
        <v>FO004</v>
      </c>
      <c r="Z799" s="93" t="n">
        <f aca="false">IFERROR(VLOOKUP(E:E,'Item Data Support Sheet'!A:O,4,0),0)</f>
        <v>0</v>
      </c>
      <c r="AA799" s="93" t="n">
        <f aca="false">IFERROR(((N799)*(Z799/1000))+P799,0)</f>
        <v>0</v>
      </c>
      <c r="AB799" s="94" t="str">
        <f aca="false">IFERROR((O799*(Z799/1000)/(AA799))," ")</f>
        <v> </v>
      </c>
      <c r="AC799" s="95" t="n">
        <f aca="false">IFERROR((T799)/((T799)+O799),0)</f>
        <v>0.00428709722030148</v>
      </c>
      <c r="AD799" s="96" t="n">
        <f aca="false">IFERROR(Q799/(Q799+N799),0)</f>
        <v>0</v>
      </c>
      <c r="AE799" s="91" t="n">
        <f aca="false">(N799-T799)/N799</f>
        <v>0.995712902779698</v>
      </c>
      <c r="AF799" s="97" t="n">
        <f aca="false">BR799</f>
        <v>0.666666666666667</v>
      </c>
      <c r="AG799" s="98" t="n">
        <f aca="false">K799-AF799</f>
        <v>7.33333333333333</v>
      </c>
      <c r="AH799" s="99" t="n">
        <f aca="false">IFERROR(AG799/K799," ")</f>
        <v>0.916666666666667</v>
      </c>
      <c r="AI799" s="100" t="n">
        <f aca="false">IFERROR(O799/K799,0)</f>
        <v>900</v>
      </c>
      <c r="AJ799" s="101" t="n">
        <f aca="false">VLOOKUP(D799,'Standard Cycle time'!C:D,2,0)</f>
        <v>32.4</v>
      </c>
      <c r="AK799" s="101" t="n">
        <f aca="false">AG799*V799*3600/O799</f>
        <v>18.3333333333333</v>
      </c>
      <c r="AL799" s="102" t="n">
        <f aca="false">AJ799/AK799</f>
        <v>1.76727272727273</v>
      </c>
      <c r="AM799" s="99" t="n">
        <f aca="false">AE799*AL799*AH799</f>
        <v>1.61305490250311</v>
      </c>
      <c r="AN799" s="103" t="n">
        <v>1.61305490250311</v>
      </c>
      <c r="AO799" s="112"/>
      <c r="AP799" s="105" t="n">
        <v>40</v>
      </c>
      <c r="AQ799" s="105" t="n">
        <v>0</v>
      </c>
      <c r="AR799" s="105" t="n">
        <v>0</v>
      </c>
      <c r="AS799" s="105" t="n">
        <v>0</v>
      </c>
      <c r="AT799" s="105" t="n">
        <v>0</v>
      </c>
      <c r="AU799" s="105" t="n">
        <v>0</v>
      </c>
      <c r="AV799" s="105" t="n">
        <v>0</v>
      </c>
      <c r="AW799" s="105" t="n">
        <v>0</v>
      </c>
      <c r="AX799" s="105" t="n">
        <v>0</v>
      </c>
      <c r="AY799" s="105" t="n">
        <v>0</v>
      </c>
      <c r="AZ799" s="105" t="n">
        <v>0</v>
      </c>
      <c r="BA799" s="105" t="n">
        <v>0</v>
      </c>
      <c r="BB799" s="105" t="n">
        <v>0</v>
      </c>
      <c r="BC799" s="105" t="n">
        <v>0</v>
      </c>
      <c r="BD799" s="105" t="n">
        <v>0</v>
      </c>
      <c r="BE799" s="105" t="n">
        <v>0</v>
      </c>
      <c r="BF799" s="105" t="n">
        <v>0</v>
      </c>
      <c r="BG799" s="105" t="n">
        <v>0</v>
      </c>
      <c r="BH799" s="105" t="n">
        <v>0</v>
      </c>
      <c r="BI799" s="105" t="n">
        <v>0</v>
      </c>
      <c r="BJ799" s="105" t="n">
        <v>0</v>
      </c>
      <c r="BK799" s="105" t="n">
        <v>0</v>
      </c>
      <c r="BL799" s="105" t="n">
        <v>0</v>
      </c>
      <c r="BM799" s="105" t="n">
        <v>0</v>
      </c>
      <c r="BN799" s="105" t="n">
        <v>0</v>
      </c>
      <c r="BO799" s="105" t="n">
        <v>0</v>
      </c>
      <c r="BP799" s="105" t="n">
        <v>0</v>
      </c>
      <c r="BQ799" s="105" t="n">
        <v>0</v>
      </c>
      <c r="BR799" s="106" t="n">
        <v>0.666666666666667</v>
      </c>
      <c r="BS799" s="106" t="n">
        <v>0.666666666666667</v>
      </c>
      <c r="BT799" s="107"/>
      <c r="BU799" s="107"/>
      <c r="BV799" s="107"/>
      <c r="BW799" s="107"/>
      <c r="BX799" s="107"/>
      <c r="BY799" s="107"/>
      <c r="BZ799" s="107"/>
      <c r="CA799" s="107"/>
      <c r="CB799" s="107"/>
      <c r="CC799" s="107"/>
      <c r="CD799" s="107"/>
      <c r="CE799" s="107"/>
      <c r="CF799" s="107"/>
      <c r="CG799" s="107"/>
      <c r="CH799" s="107"/>
      <c r="CI799" s="107"/>
      <c r="CJ799" s="107"/>
      <c r="CK799" s="107"/>
      <c r="CL799" s="107"/>
      <c r="CM799" s="107"/>
      <c r="CN799" s="107"/>
      <c r="CO799" s="107"/>
      <c r="CP799" s="107"/>
      <c r="CQ799" s="107"/>
      <c r="CR799" s="107"/>
      <c r="CS799" s="107"/>
      <c r="CT799" s="107"/>
      <c r="CU799" s="107"/>
      <c r="CV799" s="107"/>
    </row>
    <row r="800" customFormat="false" ht="14.9" hidden="false" customHeight="false" outlineLevel="0" collapsed="false">
      <c r="A800" s="74" t="n">
        <f aca="false">MONTH(B800)</f>
        <v>10</v>
      </c>
      <c r="B800" s="135" t="n">
        <v>44474</v>
      </c>
      <c r="C800" s="128" t="s">
        <v>152</v>
      </c>
      <c r="D800" s="77" t="str">
        <f aca="false">IFERROR(VLOOKUP(E:E,'Item Data Support Sheet'!A:O,7,0),"")</f>
        <v>NIPPLE MOLDED</v>
      </c>
      <c r="E800" s="80" t="s">
        <v>492</v>
      </c>
      <c r="F800" s="122" t="s">
        <v>137</v>
      </c>
      <c r="G800" s="137" t="s">
        <v>138</v>
      </c>
      <c r="H800" s="79" t="str">
        <f aca="false">IFERROR(VLOOKUP(E:E,'Item Data Support Sheet'!A:O,2,0),"")</f>
        <v>NIPPLE S TYPE LL SIZE INJECTION</v>
      </c>
      <c r="I800" s="80" t="s">
        <v>1547</v>
      </c>
      <c r="J800" s="80" t="s">
        <v>815</v>
      </c>
      <c r="K800" s="124" t="n">
        <v>8</v>
      </c>
      <c r="L800" s="124" t="n">
        <v>4815</v>
      </c>
      <c r="M800" s="83" t="n">
        <v>601.875</v>
      </c>
      <c r="N800" s="84" t="n">
        <f aca="false">+O800+Q800+T800+U800</f>
        <v>5378</v>
      </c>
      <c r="O800" s="85" t="n">
        <v>5300</v>
      </c>
      <c r="P800" s="86" t="n">
        <v>0</v>
      </c>
      <c r="Q800" s="86" t="n">
        <v>0</v>
      </c>
      <c r="R800" s="132" t="n">
        <v>0</v>
      </c>
      <c r="S800" s="128" t="n">
        <v>0</v>
      </c>
      <c r="T800" s="132" t="n">
        <v>70</v>
      </c>
      <c r="U800" s="128" t="n">
        <v>8</v>
      </c>
      <c r="V800" s="128" t="n">
        <v>1</v>
      </c>
      <c r="W800" s="90" t="n">
        <f aca="false">IFERROR(O800/V800,0)</f>
        <v>5300</v>
      </c>
      <c r="X800" s="91" t="n">
        <f aca="false">O800/L800</f>
        <v>1.10072689511942</v>
      </c>
      <c r="Y800" s="92" t="str">
        <f aca="false">IFERROR(VLOOKUP(E:E,'Item Data Support Sheet'!A:J,6,0),0)</f>
        <v>FO148</v>
      </c>
      <c r="Z800" s="93" t="n">
        <f aca="false">IFERROR(VLOOKUP(E:E,'Item Data Support Sheet'!A:O,4,0),0)</f>
        <v>6.8</v>
      </c>
      <c r="AA800" s="93" t="n">
        <f aca="false">IFERROR(((N800)*(Z800/1000))+P800,0)</f>
        <v>36.5704</v>
      </c>
      <c r="AB800" s="94" t="n">
        <f aca="false">IFERROR((O800*(Z800/1000)/(AA800))," ")</f>
        <v>0.985496467088137</v>
      </c>
      <c r="AC800" s="95" t="n">
        <f aca="false">IFERROR((T800)/((T800)+O800),0)</f>
        <v>0.0130353817504655</v>
      </c>
      <c r="AD800" s="96" t="n">
        <f aca="false">IFERROR(Q800/(Q800+N800),0)</f>
        <v>0</v>
      </c>
      <c r="AE800" s="91" t="n">
        <f aca="false">(N800-T800)/N800</f>
        <v>0.986984008925251</v>
      </c>
      <c r="AF800" s="97" t="n">
        <f aca="false">BR800</f>
        <v>0</v>
      </c>
      <c r="AG800" s="98" t="n">
        <f aca="false">K800-AF800</f>
        <v>8</v>
      </c>
      <c r="AH800" s="99" t="n">
        <f aca="false">IFERROR(AG800/K800," ")</f>
        <v>1</v>
      </c>
      <c r="AI800" s="100" t="n">
        <f aca="false">IFERROR(O800/K800,0)</f>
        <v>662.5</v>
      </c>
      <c r="AJ800" s="101" t="n">
        <f aca="false">VLOOKUP(D800,'Standard Cycle time'!C:D,2,0)</f>
        <v>5.25</v>
      </c>
      <c r="AK800" s="101" t="n">
        <f aca="false">AG800*V800*3600/O800</f>
        <v>5.43396226415094</v>
      </c>
      <c r="AL800" s="102" t="n">
        <f aca="false">AJ800/AK800</f>
        <v>0.966145833333333</v>
      </c>
      <c r="AM800" s="99" t="n">
        <f aca="false">AE800*AL800*AH800</f>
        <v>0.953570487789761</v>
      </c>
      <c r="AN800" s="103" t="n">
        <v>0.953570487789761</v>
      </c>
      <c r="AO800" s="112"/>
      <c r="AP800" s="105" t="n">
        <v>0</v>
      </c>
      <c r="AQ800" s="105" t="n">
        <v>0</v>
      </c>
      <c r="AR800" s="105" t="n">
        <v>0</v>
      </c>
      <c r="AS800" s="105" t="n">
        <v>0</v>
      </c>
      <c r="AT800" s="105" t="n">
        <v>0</v>
      </c>
      <c r="AU800" s="105" t="n">
        <v>0</v>
      </c>
      <c r="AV800" s="105" t="n">
        <v>0</v>
      </c>
      <c r="AW800" s="105" t="n">
        <v>0</v>
      </c>
      <c r="AX800" s="105" t="n">
        <v>0</v>
      </c>
      <c r="AY800" s="105" t="n">
        <v>0</v>
      </c>
      <c r="AZ800" s="105" t="n">
        <v>0</v>
      </c>
      <c r="BA800" s="105" t="n">
        <v>0</v>
      </c>
      <c r="BB800" s="105" t="n">
        <v>0</v>
      </c>
      <c r="BC800" s="105" t="n">
        <v>0</v>
      </c>
      <c r="BD800" s="105" t="n">
        <v>0</v>
      </c>
      <c r="BE800" s="105" t="n">
        <v>0</v>
      </c>
      <c r="BF800" s="105" t="n">
        <v>0</v>
      </c>
      <c r="BG800" s="105" t="n">
        <v>0</v>
      </c>
      <c r="BH800" s="105" t="n">
        <v>0</v>
      </c>
      <c r="BI800" s="105" t="n">
        <v>0</v>
      </c>
      <c r="BJ800" s="105" t="n">
        <v>0</v>
      </c>
      <c r="BK800" s="105" t="n">
        <v>0</v>
      </c>
      <c r="BL800" s="105" t="n">
        <v>0</v>
      </c>
      <c r="BM800" s="105" t="n">
        <v>0</v>
      </c>
      <c r="BN800" s="105" t="n">
        <v>0</v>
      </c>
      <c r="BO800" s="105" t="n">
        <v>0</v>
      </c>
      <c r="BP800" s="105" t="n">
        <v>0</v>
      </c>
      <c r="BQ800" s="105" t="n">
        <v>0</v>
      </c>
      <c r="BR800" s="106" t="n">
        <v>0</v>
      </c>
      <c r="BS800" s="106" t="n">
        <v>0</v>
      </c>
      <c r="BT800" s="107"/>
      <c r="BU800" s="107"/>
      <c r="BV800" s="107"/>
      <c r="BW800" s="107"/>
      <c r="BX800" s="107"/>
      <c r="BY800" s="107"/>
      <c r="BZ800" s="107"/>
      <c r="CA800" s="107"/>
      <c r="CB800" s="107"/>
      <c r="CC800" s="107"/>
      <c r="CD800" s="107"/>
      <c r="CE800" s="107"/>
      <c r="CF800" s="107"/>
      <c r="CG800" s="107"/>
      <c r="CH800" s="107"/>
      <c r="CI800" s="107"/>
      <c r="CJ800" s="107"/>
      <c r="CK800" s="107"/>
      <c r="CL800" s="107"/>
      <c r="CM800" s="107"/>
      <c r="CN800" s="107"/>
      <c r="CO800" s="107"/>
      <c r="CP800" s="107"/>
      <c r="CQ800" s="107"/>
      <c r="CR800" s="107"/>
      <c r="CS800" s="107"/>
      <c r="CT800" s="107"/>
      <c r="CU800" s="107"/>
      <c r="CV800" s="107"/>
    </row>
    <row r="801" customFormat="false" ht="14.9" hidden="false" customHeight="false" outlineLevel="0" collapsed="false">
      <c r="A801" s="74" t="n">
        <f aca="false">MONTH(B801)</f>
        <v>10</v>
      </c>
      <c r="B801" s="135" t="n">
        <v>44474</v>
      </c>
      <c r="C801" s="128" t="s">
        <v>152</v>
      </c>
      <c r="D801" s="77" t="str">
        <f aca="false">IFERROR(VLOOKUP(E:E,'Item Data Support Sheet'!A:O,7,0),"")</f>
        <v>CAP MOLDED</v>
      </c>
      <c r="E801" s="80" t="s">
        <v>199</v>
      </c>
      <c r="F801" s="122"/>
      <c r="G801" s="137" t="s">
        <v>1215</v>
      </c>
      <c r="H801" s="79" t="str">
        <f aca="false">IFERROR(VLOOKUP(E:E,'Item Data Support Sheet'!A:O,2,0),"")</f>
        <v>CAP S TYPE MOLDED RED</v>
      </c>
      <c r="I801" s="80" t="s">
        <v>1548</v>
      </c>
      <c r="J801" s="80" t="s">
        <v>815</v>
      </c>
      <c r="K801" s="124" t="n">
        <v>8</v>
      </c>
      <c r="L801" s="124" t="n">
        <v>4137</v>
      </c>
      <c r="M801" s="83" t="n">
        <v>517.125</v>
      </c>
      <c r="N801" s="84" t="n">
        <f aca="false">+O801+Q801+T801+U801</f>
        <v>3275</v>
      </c>
      <c r="O801" s="85" t="n">
        <v>3200</v>
      </c>
      <c r="P801" s="86" t="n">
        <v>0.18</v>
      </c>
      <c r="Q801" s="86" t="n">
        <v>46</v>
      </c>
      <c r="R801" s="132" t="n">
        <v>0</v>
      </c>
      <c r="S801" s="128" t="n">
        <v>0</v>
      </c>
      <c r="T801" s="132" t="n">
        <v>21</v>
      </c>
      <c r="U801" s="128" t="n">
        <v>8</v>
      </c>
      <c r="V801" s="128" t="n">
        <v>1</v>
      </c>
      <c r="W801" s="90" t="n">
        <f aca="false">IFERROR(O801/V801,0)</f>
        <v>3200</v>
      </c>
      <c r="X801" s="91" t="n">
        <f aca="false">O801/L801</f>
        <v>0.773507372492144</v>
      </c>
      <c r="Y801" s="92" t="str">
        <f aca="false">IFERROR(VLOOKUP(E:E,'Item Data Support Sheet'!A:J,6,0),0)</f>
        <v>FO153</v>
      </c>
      <c r="Z801" s="93" t="n">
        <f aca="false">IFERROR(VLOOKUP(E:E,'Item Data Support Sheet'!A:O,4,0),0)</f>
        <v>7.3</v>
      </c>
      <c r="AA801" s="93" t="n">
        <f aca="false">IFERROR(((N801)*(Z801/1000))+P801,0)</f>
        <v>24.0875</v>
      </c>
      <c r="AB801" s="94" t="n">
        <f aca="false">IFERROR((O801*(Z801/1000)/(AA801))," ")</f>
        <v>0.969797612869746</v>
      </c>
      <c r="AC801" s="95" t="n">
        <f aca="false">IFERROR((T801)/((T801)+O801),0)</f>
        <v>0.00651971437441788</v>
      </c>
      <c r="AD801" s="96" t="n">
        <f aca="false">IFERROR(Q801/(Q801+N801),0)</f>
        <v>0.0138512496236073</v>
      </c>
      <c r="AE801" s="91" t="n">
        <f aca="false">(N801-T801)/N801</f>
        <v>0.993587786259542</v>
      </c>
      <c r="AF801" s="97" t="n">
        <f aca="false">BR801</f>
        <v>2</v>
      </c>
      <c r="AG801" s="98" t="n">
        <f aca="false">K801-AF801</f>
        <v>6</v>
      </c>
      <c r="AH801" s="99" t="n">
        <f aca="false">IFERROR(AG801/K801," ")</f>
        <v>0.75</v>
      </c>
      <c r="AI801" s="100" t="n">
        <f aca="false">IFERROR(O801/K801,0)</f>
        <v>400</v>
      </c>
      <c r="AJ801" s="101" t="n">
        <f aca="false">VLOOKUP(D801,'Standard Cycle time'!C:D,2,0)</f>
        <v>6</v>
      </c>
      <c r="AK801" s="101" t="n">
        <f aca="false">AG801*V801*3600/O801</f>
        <v>6.75</v>
      </c>
      <c r="AL801" s="102" t="n">
        <f aca="false">AJ801/AK801</f>
        <v>0.888888888888889</v>
      </c>
      <c r="AM801" s="99" t="n">
        <f aca="false">AE801*AL801*AH801</f>
        <v>0.662391857506361</v>
      </c>
      <c r="AN801" s="103" t="n">
        <v>0.662391857506361</v>
      </c>
      <c r="AO801" s="112" t="s">
        <v>1549</v>
      </c>
      <c r="AP801" s="105" t="n">
        <v>0</v>
      </c>
      <c r="AQ801" s="105" t="n">
        <v>0</v>
      </c>
      <c r="AR801" s="105" t="n">
        <v>0</v>
      </c>
      <c r="AS801" s="105" t="n">
        <v>0</v>
      </c>
      <c r="AT801" s="105" t="n">
        <v>0</v>
      </c>
      <c r="AU801" s="105" t="n">
        <v>0</v>
      </c>
      <c r="AV801" s="105" t="n">
        <v>0</v>
      </c>
      <c r="AW801" s="105" t="n">
        <v>120</v>
      </c>
      <c r="AX801" s="105" t="n">
        <v>0</v>
      </c>
      <c r="AY801" s="105" t="n">
        <v>0</v>
      </c>
      <c r="AZ801" s="105" t="n">
        <v>0</v>
      </c>
      <c r="BA801" s="105" t="n">
        <v>0</v>
      </c>
      <c r="BB801" s="105" t="n">
        <v>0</v>
      </c>
      <c r="BC801" s="105" t="n">
        <v>0</v>
      </c>
      <c r="BD801" s="105" t="n">
        <v>0</v>
      </c>
      <c r="BE801" s="105" t="n">
        <v>0</v>
      </c>
      <c r="BF801" s="105" t="n">
        <v>0</v>
      </c>
      <c r="BG801" s="105" t="n">
        <v>0</v>
      </c>
      <c r="BH801" s="105" t="n">
        <v>0</v>
      </c>
      <c r="BI801" s="105" t="n">
        <v>0</v>
      </c>
      <c r="BJ801" s="105" t="n">
        <v>0</v>
      </c>
      <c r="BK801" s="105" t="n">
        <v>0</v>
      </c>
      <c r="BL801" s="105" t="n">
        <v>0</v>
      </c>
      <c r="BM801" s="105" t="n">
        <v>0</v>
      </c>
      <c r="BN801" s="105" t="n">
        <v>0</v>
      </c>
      <c r="BO801" s="105" t="n">
        <v>0</v>
      </c>
      <c r="BP801" s="105" t="n">
        <v>0</v>
      </c>
      <c r="BQ801" s="105" t="n">
        <v>0</v>
      </c>
      <c r="BR801" s="106" t="n">
        <v>2</v>
      </c>
      <c r="BS801" s="106" t="n">
        <v>2</v>
      </c>
      <c r="BT801" s="107"/>
      <c r="BU801" s="107"/>
      <c r="BV801" s="107"/>
      <c r="BW801" s="107"/>
      <c r="BX801" s="107"/>
      <c r="BY801" s="107"/>
      <c r="BZ801" s="107"/>
      <c r="CA801" s="107"/>
      <c r="CB801" s="107"/>
      <c r="CC801" s="107"/>
      <c r="CD801" s="107"/>
      <c r="CE801" s="107"/>
      <c r="CF801" s="107"/>
      <c r="CG801" s="107"/>
      <c r="CH801" s="107"/>
      <c r="CI801" s="107"/>
      <c r="CJ801" s="107"/>
      <c r="CK801" s="107"/>
      <c r="CL801" s="107"/>
      <c r="CM801" s="107"/>
      <c r="CN801" s="107"/>
      <c r="CO801" s="107"/>
      <c r="CP801" s="107"/>
      <c r="CQ801" s="107"/>
      <c r="CR801" s="107"/>
      <c r="CS801" s="107"/>
      <c r="CT801" s="107"/>
      <c r="CU801" s="107"/>
      <c r="CV801" s="107"/>
    </row>
    <row r="802" customFormat="false" ht="14.9" hidden="false" customHeight="false" outlineLevel="0" collapsed="false">
      <c r="A802" s="74" t="n">
        <f aca="false">MONTH(B802)</f>
        <v>10</v>
      </c>
      <c r="B802" s="135" t="n">
        <v>44474</v>
      </c>
      <c r="C802" s="128" t="s">
        <v>152</v>
      </c>
      <c r="D802" s="77" t="str">
        <f aca="false">IFERROR(VLOOKUP(E:E,'Item Data Support Sheet'!A:O,7,0),"")</f>
        <v>BOTTLE MOLDED</v>
      </c>
      <c r="E802" s="80" t="s">
        <v>78</v>
      </c>
      <c r="F802" s="122" t="s">
        <v>79</v>
      </c>
      <c r="G802" s="137" t="s">
        <v>74</v>
      </c>
      <c r="H802" s="79" t="str">
        <f aca="false">IFERROR(VLOOKUP(E:E,'Item Data Support Sheet'!A:O,2,0),"")</f>
        <v>RPP 120 ML BOTTLE MOLDED</v>
      </c>
      <c r="I802" s="80" t="s">
        <v>1550</v>
      </c>
      <c r="J802" s="80" t="s">
        <v>815</v>
      </c>
      <c r="K802" s="124" t="n">
        <v>8</v>
      </c>
      <c r="L802" s="124" t="n">
        <v>2574</v>
      </c>
      <c r="M802" s="83" t="n">
        <v>321.75</v>
      </c>
      <c r="N802" s="84" t="n">
        <f aca="false">+O802+Q802+T802+U802</f>
        <v>3103</v>
      </c>
      <c r="O802" s="85" t="n">
        <v>3060</v>
      </c>
      <c r="P802" s="86" t="n">
        <v>0.2</v>
      </c>
      <c r="Q802" s="86" t="n">
        <v>0</v>
      </c>
      <c r="R802" s="132" t="n">
        <v>0</v>
      </c>
      <c r="S802" s="128" t="n">
        <v>0</v>
      </c>
      <c r="T802" s="132" t="n">
        <v>35</v>
      </c>
      <c r="U802" s="128" t="n">
        <v>8</v>
      </c>
      <c r="V802" s="128" t="n">
        <v>1</v>
      </c>
      <c r="W802" s="90" t="n">
        <f aca="false">IFERROR(O802/V802,0)</f>
        <v>3060</v>
      </c>
      <c r="X802" s="91" t="n">
        <f aca="false">O802/L802</f>
        <v>1.18881118881119</v>
      </c>
      <c r="Y802" s="92" t="str">
        <f aca="false">IFERROR(VLOOKUP(E:E,'Item Data Support Sheet'!A:J,6,0),0)</f>
        <v>HMC</v>
      </c>
      <c r="Z802" s="93" t="n">
        <f aca="false">IFERROR(VLOOKUP(E:E,'Item Data Support Sheet'!A:O,4,0),0)</f>
        <v>21.3</v>
      </c>
      <c r="AA802" s="93" t="n">
        <f aca="false">IFERROR(((N802)*(Z802/1000))+P802,0)</f>
        <v>66.2939</v>
      </c>
      <c r="AB802" s="94" t="n">
        <f aca="false">IFERROR((O802*(Z802/1000)/(AA802))," ")</f>
        <v>0.983167380407549</v>
      </c>
      <c r="AC802" s="95" t="n">
        <f aca="false">IFERROR((T802)/((T802)+O802),0)</f>
        <v>0.0113085621970921</v>
      </c>
      <c r="AD802" s="96" t="n">
        <f aca="false">IFERROR(Q802/(Q802+N802),0)</f>
        <v>0</v>
      </c>
      <c r="AE802" s="91" t="n">
        <f aca="false">(N802-T802)/N802</f>
        <v>0.988720592974541</v>
      </c>
      <c r="AF802" s="97" t="n">
        <f aca="false">BR802</f>
        <v>0</v>
      </c>
      <c r="AG802" s="98" t="n">
        <f aca="false">K802-AF802</f>
        <v>8</v>
      </c>
      <c r="AH802" s="99" t="n">
        <f aca="false">IFERROR(AG802/K802," ")</f>
        <v>1</v>
      </c>
      <c r="AI802" s="100" t="n">
        <f aca="false">IFERROR(O802/K802,0)</f>
        <v>382.5</v>
      </c>
      <c r="AJ802" s="101" t="n">
        <f aca="false">VLOOKUP(D802,'Standard Cycle time'!C:D,2,0)</f>
        <v>9</v>
      </c>
      <c r="AK802" s="101" t="n">
        <f aca="false">AG802*V802*3600/O802</f>
        <v>9.41176470588235</v>
      </c>
      <c r="AL802" s="102" t="n">
        <f aca="false">AJ802/AK802</f>
        <v>0.95625</v>
      </c>
      <c r="AM802" s="99" t="n">
        <f aca="false">AE802*AL802*AH802</f>
        <v>0.945464067031904</v>
      </c>
      <c r="AN802" s="103" t="n">
        <v>0.945464067031904</v>
      </c>
      <c r="AO802" s="112"/>
      <c r="AP802" s="105" t="n">
        <v>0</v>
      </c>
      <c r="AQ802" s="105" t="n">
        <v>0</v>
      </c>
      <c r="AR802" s="105" t="n">
        <v>0</v>
      </c>
      <c r="AS802" s="105" t="n">
        <v>0</v>
      </c>
      <c r="AT802" s="105" t="n">
        <v>0</v>
      </c>
      <c r="AU802" s="105" t="n">
        <v>0</v>
      </c>
      <c r="AV802" s="105" t="n">
        <v>0</v>
      </c>
      <c r="AW802" s="105" t="n">
        <v>0</v>
      </c>
      <c r="AX802" s="105" t="n">
        <v>0</v>
      </c>
      <c r="AY802" s="105" t="n">
        <v>0</v>
      </c>
      <c r="AZ802" s="105" t="n">
        <v>0</v>
      </c>
      <c r="BA802" s="105" t="n">
        <v>0</v>
      </c>
      <c r="BB802" s="105" t="n">
        <v>0</v>
      </c>
      <c r="BC802" s="105" t="n">
        <v>0</v>
      </c>
      <c r="BD802" s="105" t="n">
        <v>0</v>
      </c>
      <c r="BE802" s="105" t="n">
        <v>0</v>
      </c>
      <c r="BF802" s="105" t="n">
        <v>0</v>
      </c>
      <c r="BG802" s="105" t="n">
        <v>0</v>
      </c>
      <c r="BH802" s="105" t="n">
        <v>0</v>
      </c>
      <c r="BI802" s="105" t="n">
        <v>0</v>
      </c>
      <c r="BJ802" s="105" t="n">
        <v>0</v>
      </c>
      <c r="BK802" s="105" t="n">
        <v>0</v>
      </c>
      <c r="BL802" s="105" t="n">
        <v>0</v>
      </c>
      <c r="BM802" s="105" t="n">
        <v>0</v>
      </c>
      <c r="BN802" s="105" t="n">
        <v>0</v>
      </c>
      <c r="BO802" s="105" t="n">
        <v>0</v>
      </c>
      <c r="BP802" s="105" t="n">
        <v>0</v>
      </c>
      <c r="BQ802" s="105" t="n">
        <v>0</v>
      </c>
      <c r="BR802" s="106" t="n">
        <v>0</v>
      </c>
      <c r="BS802" s="106" t="n">
        <v>0</v>
      </c>
      <c r="BT802" s="107"/>
      <c r="BU802" s="107"/>
      <c r="BV802" s="107"/>
      <c r="BW802" s="107"/>
      <c r="BX802" s="107"/>
      <c r="BY802" s="107"/>
      <c r="BZ802" s="107"/>
      <c r="CA802" s="107"/>
      <c r="CB802" s="107"/>
      <c r="CC802" s="107"/>
      <c r="CD802" s="107"/>
      <c r="CE802" s="107"/>
      <c r="CF802" s="107"/>
      <c r="CG802" s="107"/>
      <c r="CH802" s="107"/>
      <c r="CI802" s="107"/>
      <c r="CJ802" s="107"/>
      <c r="CK802" s="107"/>
      <c r="CL802" s="107"/>
      <c r="CM802" s="107"/>
      <c r="CN802" s="107"/>
      <c r="CO802" s="107"/>
      <c r="CP802" s="107"/>
      <c r="CQ802" s="107"/>
      <c r="CR802" s="107"/>
      <c r="CS802" s="107"/>
      <c r="CT802" s="107"/>
      <c r="CU802" s="107"/>
      <c r="CV802" s="107"/>
      <c r="CZ802" s="0" t="n">
        <v>66.2939</v>
      </c>
    </row>
    <row r="803" customFormat="false" ht="14.9" hidden="false" customHeight="false" outlineLevel="0" collapsed="false">
      <c r="A803" s="74" t="n">
        <f aca="false">MONTH(B803)</f>
        <v>10</v>
      </c>
      <c r="B803" s="135" t="n">
        <v>44475</v>
      </c>
      <c r="C803" s="128" t="s">
        <v>51</v>
      </c>
      <c r="D803" s="77" t="str">
        <f aca="false">IFERROR(VLOOKUP(E:E,'Item Data Support Sheet'!A:O,7,0),"")</f>
        <v>BOTTLE MOLDED</v>
      </c>
      <c r="E803" s="80" t="s">
        <v>78</v>
      </c>
      <c r="F803" s="122" t="s">
        <v>79</v>
      </c>
      <c r="G803" s="137" t="s">
        <v>74</v>
      </c>
      <c r="H803" s="79" t="str">
        <f aca="false">IFERROR(VLOOKUP(E:E,'Item Data Support Sheet'!A:O,2,0),"")</f>
        <v>RPP 120 ML BOTTLE MOLDED</v>
      </c>
      <c r="I803" s="80" t="s">
        <v>1551</v>
      </c>
      <c r="J803" s="80" t="s">
        <v>143</v>
      </c>
      <c r="K803" s="124" t="n">
        <v>8</v>
      </c>
      <c r="L803" s="124" t="n">
        <v>2574</v>
      </c>
      <c r="M803" s="83" t="n">
        <v>321.75</v>
      </c>
      <c r="N803" s="84" t="n">
        <f aca="false">+O803+Q803+T803+U803</f>
        <v>3300</v>
      </c>
      <c r="O803" s="85" t="n">
        <v>3240</v>
      </c>
      <c r="P803" s="86" t="n">
        <v>0.28</v>
      </c>
      <c r="Q803" s="86" t="n">
        <v>16</v>
      </c>
      <c r="R803" s="132" t="n">
        <v>0</v>
      </c>
      <c r="S803" s="128" t="n">
        <v>0</v>
      </c>
      <c r="T803" s="132" t="n">
        <v>36</v>
      </c>
      <c r="U803" s="128" t="n">
        <v>8</v>
      </c>
      <c r="V803" s="128" t="n">
        <v>1</v>
      </c>
      <c r="W803" s="90" t="n">
        <f aca="false">IFERROR(O803/V803,0)</f>
        <v>3240</v>
      </c>
      <c r="X803" s="91" t="n">
        <f aca="false">O803/L803</f>
        <v>1.25874125874126</v>
      </c>
      <c r="Y803" s="92" t="str">
        <f aca="false">IFERROR(VLOOKUP(E:E,'Item Data Support Sheet'!A:J,6,0),0)</f>
        <v>HMC</v>
      </c>
      <c r="Z803" s="93" t="n">
        <f aca="false">IFERROR(VLOOKUP(E:E,'Item Data Support Sheet'!A:O,4,0),0)</f>
        <v>21.3</v>
      </c>
      <c r="AA803" s="93" t="n">
        <f aca="false">IFERROR(((N803)*(Z803/1000))+P803,0)</f>
        <v>70.57</v>
      </c>
      <c r="AB803" s="94" t="n">
        <f aca="false">IFERROR((O803*(Z803/1000)/(AA803))," ")</f>
        <v>0.977922630012753</v>
      </c>
      <c r="AC803" s="95" t="n">
        <f aca="false">IFERROR((T803)/((T803)+O803),0)</f>
        <v>0.010989010989011</v>
      </c>
      <c r="AD803" s="96" t="n">
        <f aca="false">IFERROR(Q803/(Q803+N803),0)</f>
        <v>0.00482509047044632</v>
      </c>
      <c r="AE803" s="91" t="n">
        <f aca="false">(N803-T803)/N803</f>
        <v>0.989090909090909</v>
      </c>
      <c r="AF803" s="97" t="n">
        <f aca="false">BR803</f>
        <v>0.333333333333333</v>
      </c>
      <c r="AG803" s="98" t="n">
        <f aca="false">K803-AF803</f>
        <v>7.66666666666667</v>
      </c>
      <c r="AH803" s="99" t="n">
        <f aca="false">IFERROR(AG803/K803," ")</f>
        <v>0.958333333333333</v>
      </c>
      <c r="AI803" s="100" t="n">
        <f aca="false">IFERROR(O803/K803,0)</f>
        <v>405</v>
      </c>
      <c r="AJ803" s="101" t="n">
        <f aca="false">VLOOKUP(D803,'Standard Cycle time'!C:D,2,0)</f>
        <v>9</v>
      </c>
      <c r="AK803" s="101" t="n">
        <f aca="false">AG803*V803*3600/O803</f>
        <v>8.51851851851852</v>
      </c>
      <c r="AL803" s="102" t="n">
        <f aca="false">AJ803/AK803</f>
        <v>1.05652173913043</v>
      </c>
      <c r="AM803" s="99" t="n">
        <f aca="false">AE803*AL803*AH803</f>
        <v>1.00145454545455</v>
      </c>
      <c r="AN803" s="103" t="n">
        <v>1.00145454545455</v>
      </c>
      <c r="AO803" s="112"/>
      <c r="AP803" s="105" t="n">
        <v>0</v>
      </c>
      <c r="AQ803" s="105" t="n">
        <v>0</v>
      </c>
      <c r="AR803" s="105" t="n">
        <v>0</v>
      </c>
      <c r="AS803" s="105" t="n">
        <v>0</v>
      </c>
      <c r="AT803" s="105" t="n">
        <v>0</v>
      </c>
      <c r="AU803" s="105" t="n">
        <v>0</v>
      </c>
      <c r="AV803" s="105" t="n">
        <v>0</v>
      </c>
      <c r="AW803" s="105" t="n">
        <v>0</v>
      </c>
      <c r="AX803" s="105" t="n">
        <v>0</v>
      </c>
      <c r="AY803" s="105" t="n">
        <v>0</v>
      </c>
      <c r="AZ803" s="105" t="n">
        <v>20</v>
      </c>
      <c r="BA803" s="105" t="n">
        <v>0</v>
      </c>
      <c r="BB803" s="105" t="n">
        <v>0</v>
      </c>
      <c r="BC803" s="105" t="n">
        <v>0</v>
      </c>
      <c r="BD803" s="105" t="n">
        <v>0</v>
      </c>
      <c r="BE803" s="105" t="n">
        <v>0</v>
      </c>
      <c r="BF803" s="105" t="n">
        <v>0</v>
      </c>
      <c r="BG803" s="105" t="n">
        <v>0</v>
      </c>
      <c r="BH803" s="105" t="n">
        <v>0</v>
      </c>
      <c r="BI803" s="105" t="n">
        <v>0</v>
      </c>
      <c r="BJ803" s="105" t="n">
        <v>0</v>
      </c>
      <c r="BK803" s="105" t="n">
        <v>0</v>
      </c>
      <c r="BL803" s="105" t="n">
        <v>0</v>
      </c>
      <c r="BM803" s="105" t="n">
        <v>0</v>
      </c>
      <c r="BN803" s="105" t="n">
        <v>0</v>
      </c>
      <c r="BO803" s="105" t="n">
        <v>0</v>
      </c>
      <c r="BP803" s="105" t="n">
        <v>0</v>
      </c>
      <c r="BQ803" s="105" t="n">
        <v>0</v>
      </c>
      <c r="BR803" s="106" t="n">
        <v>0.333333333333333</v>
      </c>
      <c r="BS803" s="106" t="n">
        <v>0.333333333333333</v>
      </c>
      <c r="BT803" s="107"/>
      <c r="BU803" s="107"/>
      <c r="BV803" s="107"/>
      <c r="BW803" s="107"/>
      <c r="BX803" s="107"/>
      <c r="BY803" s="107"/>
      <c r="BZ803" s="107"/>
      <c r="CA803" s="107"/>
      <c r="CB803" s="107"/>
      <c r="CC803" s="107"/>
      <c r="CD803" s="107"/>
      <c r="CE803" s="107"/>
      <c r="CF803" s="107"/>
      <c r="CG803" s="107"/>
      <c r="CH803" s="107"/>
      <c r="CI803" s="107"/>
      <c r="CJ803" s="107"/>
      <c r="CK803" s="107"/>
      <c r="CL803" s="107"/>
      <c r="CM803" s="107"/>
      <c r="CN803" s="107"/>
      <c r="CO803" s="107"/>
      <c r="CP803" s="107"/>
      <c r="CQ803" s="107"/>
      <c r="CR803" s="107"/>
      <c r="CS803" s="107"/>
      <c r="CT803" s="107"/>
      <c r="CU803" s="107"/>
      <c r="CV803" s="107"/>
      <c r="CZ803" s="0" t="n">
        <v>70.57</v>
      </c>
    </row>
    <row r="804" customFormat="false" ht="14.9" hidden="false" customHeight="false" outlineLevel="0" collapsed="false">
      <c r="A804" s="74" t="n">
        <f aca="false">MONTH(B804)</f>
        <v>10</v>
      </c>
      <c r="B804" s="135" t="n">
        <v>44475</v>
      </c>
      <c r="C804" s="128" t="s">
        <v>51</v>
      </c>
      <c r="D804" s="77" t="str">
        <f aca="false">IFERROR(VLOOKUP(E:E,'Item Data Support Sheet'!A:O,7,0),"")</f>
        <v>NIPPLE MOLDED</v>
      </c>
      <c r="E804" s="80" t="s">
        <v>492</v>
      </c>
      <c r="F804" s="122" t="s">
        <v>137</v>
      </c>
      <c r="G804" s="137" t="s">
        <v>138</v>
      </c>
      <c r="H804" s="79" t="str">
        <f aca="false">IFERROR(VLOOKUP(E:E,'Item Data Support Sheet'!A:O,2,0),"")</f>
        <v>NIPPLE S TYPE LL SIZE INJECTION</v>
      </c>
      <c r="I804" s="80" t="s">
        <v>1552</v>
      </c>
      <c r="J804" s="80" t="s">
        <v>143</v>
      </c>
      <c r="K804" s="124" t="n">
        <v>8</v>
      </c>
      <c r="L804" s="124" t="n">
        <v>4815</v>
      </c>
      <c r="M804" s="83" t="n">
        <v>601.875</v>
      </c>
      <c r="N804" s="84" t="n">
        <f aca="false">+O804+Q804+T804+U804</f>
        <v>5108</v>
      </c>
      <c r="O804" s="85" t="n">
        <v>5000</v>
      </c>
      <c r="P804" s="86" t="n">
        <v>0</v>
      </c>
      <c r="Q804" s="86" t="n">
        <v>40</v>
      </c>
      <c r="R804" s="132" t="n">
        <v>0</v>
      </c>
      <c r="S804" s="128" t="n">
        <v>0</v>
      </c>
      <c r="T804" s="132" t="n">
        <v>60</v>
      </c>
      <c r="U804" s="128" t="n">
        <v>8</v>
      </c>
      <c r="V804" s="128" t="n">
        <v>1</v>
      </c>
      <c r="W804" s="90" t="n">
        <f aca="false">IFERROR(O804/V804,0)</f>
        <v>5000</v>
      </c>
      <c r="X804" s="91" t="n">
        <f aca="false">O804/L804</f>
        <v>1.03842159916926</v>
      </c>
      <c r="Y804" s="92" t="str">
        <f aca="false">IFERROR(VLOOKUP(E:E,'Item Data Support Sheet'!A:J,6,0),0)</f>
        <v>FO148</v>
      </c>
      <c r="Z804" s="93" t="n">
        <f aca="false">IFERROR(VLOOKUP(E:E,'Item Data Support Sheet'!A:O,4,0),0)</f>
        <v>6.8</v>
      </c>
      <c r="AA804" s="93" t="n">
        <f aca="false">IFERROR(((N804)*(Z804/1000))+P804,0)</f>
        <v>34.7344</v>
      </c>
      <c r="AB804" s="94" t="n">
        <f aca="false">IFERROR((O804*(Z804/1000)/(AA804))," ")</f>
        <v>0.978856695379796</v>
      </c>
      <c r="AC804" s="95" t="n">
        <f aca="false">IFERROR((T804)/((T804)+O804),0)</f>
        <v>0.0118577075098814</v>
      </c>
      <c r="AD804" s="96" t="n">
        <f aca="false">IFERROR(Q804/(Q804+N804),0)</f>
        <v>0.00777000777000777</v>
      </c>
      <c r="AE804" s="91" t="n">
        <f aca="false">(N804-T804)/N804</f>
        <v>0.988253719655442</v>
      </c>
      <c r="AF804" s="97" t="n">
        <f aca="false">BR804</f>
        <v>0</v>
      </c>
      <c r="AG804" s="98" t="n">
        <f aca="false">K804-AF804</f>
        <v>8</v>
      </c>
      <c r="AH804" s="99" t="n">
        <f aca="false">IFERROR(AG804/K804," ")</f>
        <v>1</v>
      </c>
      <c r="AI804" s="100" t="n">
        <f aca="false">IFERROR(O804/K804,0)</f>
        <v>625</v>
      </c>
      <c r="AJ804" s="101" t="n">
        <f aca="false">VLOOKUP(D804,'Standard Cycle time'!C:D,2,0)</f>
        <v>5.25</v>
      </c>
      <c r="AK804" s="101" t="n">
        <f aca="false">AG804*V804*3600/O804</f>
        <v>5.76</v>
      </c>
      <c r="AL804" s="102" t="n">
        <f aca="false">AJ804/AK804</f>
        <v>0.911458333333333</v>
      </c>
      <c r="AM804" s="99" t="n">
        <f aca="false">AE804*AL804*AH804</f>
        <v>0.900752088227617</v>
      </c>
      <c r="AN804" s="103" t="n">
        <v>0.900752088227617</v>
      </c>
      <c r="AO804" s="112"/>
      <c r="AP804" s="105" t="n">
        <v>0</v>
      </c>
      <c r="AQ804" s="105" t="n">
        <v>0</v>
      </c>
      <c r="AR804" s="105" t="n">
        <v>0</v>
      </c>
      <c r="AS804" s="105" t="n">
        <v>0</v>
      </c>
      <c r="AT804" s="105" t="n">
        <v>0</v>
      </c>
      <c r="AU804" s="105" t="n">
        <v>0</v>
      </c>
      <c r="AV804" s="105" t="n">
        <v>0</v>
      </c>
      <c r="AW804" s="105" t="n">
        <v>0</v>
      </c>
      <c r="AX804" s="105" t="n">
        <v>0</v>
      </c>
      <c r="AY804" s="105" t="n">
        <v>0</v>
      </c>
      <c r="AZ804" s="105" t="n">
        <v>0</v>
      </c>
      <c r="BA804" s="105" t="n">
        <v>0</v>
      </c>
      <c r="BB804" s="105" t="n">
        <v>0</v>
      </c>
      <c r="BC804" s="105" t="n">
        <v>0</v>
      </c>
      <c r="BD804" s="105" t="n">
        <v>0</v>
      </c>
      <c r="BE804" s="105" t="n">
        <v>0</v>
      </c>
      <c r="BF804" s="105" t="n">
        <v>0</v>
      </c>
      <c r="BG804" s="105" t="n">
        <v>0</v>
      </c>
      <c r="BH804" s="105" t="n">
        <v>0</v>
      </c>
      <c r="BI804" s="105" t="n">
        <v>0</v>
      </c>
      <c r="BJ804" s="105" t="n">
        <v>0</v>
      </c>
      <c r="BK804" s="105" t="n">
        <v>0</v>
      </c>
      <c r="BL804" s="105" t="n">
        <v>0</v>
      </c>
      <c r="BM804" s="105" t="n">
        <v>0</v>
      </c>
      <c r="BN804" s="105" t="n">
        <v>0</v>
      </c>
      <c r="BO804" s="105" t="n">
        <v>0</v>
      </c>
      <c r="BP804" s="105" t="n">
        <v>0</v>
      </c>
      <c r="BQ804" s="105" t="n">
        <v>0</v>
      </c>
      <c r="BR804" s="106" t="n">
        <v>0</v>
      </c>
      <c r="BS804" s="106" t="n">
        <v>0</v>
      </c>
      <c r="BT804" s="107"/>
      <c r="BU804" s="107"/>
      <c r="BV804" s="107"/>
      <c r="BW804" s="107"/>
      <c r="BX804" s="107"/>
      <c r="BY804" s="107"/>
      <c r="BZ804" s="107"/>
      <c r="CA804" s="107"/>
      <c r="CB804" s="107"/>
      <c r="CC804" s="107"/>
      <c r="CD804" s="107"/>
      <c r="CE804" s="107"/>
      <c r="CF804" s="107"/>
      <c r="CG804" s="107"/>
      <c r="CH804" s="107"/>
      <c r="CI804" s="107"/>
      <c r="CJ804" s="107"/>
      <c r="CK804" s="107"/>
      <c r="CL804" s="107"/>
      <c r="CM804" s="107"/>
      <c r="CN804" s="107"/>
      <c r="CO804" s="107"/>
      <c r="CP804" s="107"/>
      <c r="CQ804" s="107"/>
      <c r="CR804" s="107"/>
      <c r="CS804" s="107"/>
      <c r="CT804" s="107"/>
      <c r="CU804" s="107"/>
      <c r="CV804" s="107"/>
    </row>
    <row r="805" customFormat="false" ht="14.9" hidden="false" customHeight="false" outlineLevel="0" collapsed="false">
      <c r="A805" s="74" t="n">
        <f aca="false">MONTH(B805)</f>
        <v>10</v>
      </c>
      <c r="B805" s="135" t="n">
        <v>44475</v>
      </c>
      <c r="C805" s="128" t="s">
        <v>51</v>
      </c>
      <c r="D805" s="77" t="str">
        <f aca="false">IFERROR(VLOOKUP(E:E,'Item Data Support Sheet'!A:O,7,0),"")</f>
        <v>NIPPLE PUNCH</v>
      </c>
      <c r="E805" s="80" t="s">
        <v>563</v>
      </c>
      <c r="F805" s="122"/>
      <c r="G805" s="137"/>
      <c r="H805" s="79" t="str">
        <f aca="false">IFERROR(VLOOKUP(E:E,'Item Data Support Sheet'!A:O,2,0),"")</f>
        <v>NIPPLE S TYPE LL SIZE PUNCHED</v>
      </c>
      <c r="I805" s="80" t="s">
        <v>1553</v>
      </c>
      <c r="J805" s="80" t="s">
        <v>143</v>
      </c>
      <c r="K805" s="124" t="n">
        <v>8</v>
      </c>
      <c r="L805" s="124" t="n">
        <v>7000</v>
      </c>
      <c r="M805" s="83" t="n">
        <v>875</v>
      </c>
      <c r="N805" s="84" t="n">
        <f aca="false">+O805+Q805+T805+U805</f>
        <v>7400</v>
      </c>
      <c r="O805" s="85" t="n">
        <v>7400</v>
      </c>
      <c r="P805" s="86" t="n">
        <v>0</v>
      </c>
      <c r="Q805" s="86" t="n">
        <v>0</v>
      </c>
      <c r="R805" s="132" t="n">
        <v>0</v>
      </c>
      <c r="S805" s="128" t="n">
        <v>0</v>
      </c>
      <c r="T805" s="132" t="n">
        <v>0</v>
      </c>
      <c r="U805" s="128" t="n">
        <v>0</v>
      </c>
      <c r="V805" s="128" t="n">
        <v>1</v>
      </c>
      <c r="W805" s="90" t="n">
        <f aca="false">IFERROR(O805/V805,0)</f>
        <v>7400</v>
      </c>
      <c r="X805" s="91" t="n">
        <f aca="false">O805/L805</f>
        <v>1.05714285714286</v>
      </c>
      <c r="Y805" s="92" t="str">
        <f aca="false">IFERROR(VLOOKUP(E:E,'Item Data Support Sheet'!A:J,6,0),0)</f>
        <v>FO150</v>
      </c>
      <c r="Z805" s="93" t="n">
        <f aca="false">IFERROR(VLOOKUP(E:E,'Item Data Support Sheet'!A:O,4,0),0)</f>
        <v>0</v>
      </c>
      <c r="AA805" s="93" t="n">
        <f aca="false">IFERROR(((N805)*(Z805/1000))+P805,0)</f>
        <v>0</v>
      </c>
      <c r="AB805" s="94" t="str">
        <f aca="false">IFERROR((O805*(Z805/1000)/(AA805))," ")</f>
        <v> </v>
      </c>
      <c r="AC805" s="95" t="n">
        <f aca="false">IFERROR((T805)/((T805)+O805),0)</f>
        <v>0</v>
      </c>
      <c r="AD805" s="96" t="n">
        <f aca="false">IFERROR(Q805/(Q805+N805),0)</f>
        <v>0</v>
      </c>
      <c r="AE805" s="91" t="n">
        <f aca="false">(N805-T805)/N805</f>
        <v>1</v>
      </c>
      <c r="AF805" s="97" t="n">
        <f aca="false">BR805</f>
        <v>0.666666666666667</v>
      </c>
      <c r="AG805" s="98" t="n">
        <f aca="false">K805-AF805</f>
        <v>7.33333333333333</v>
      </c>
      <c r="AH805" s="99" t="n">
        <f aca="false">IFERROR(AG805/K805," ")</f>
        <v>0.916666666666667</v>
      </c>
      <c r="AI805" s="100" t="n">
        <f aca="false">IFERROR(O805/K805,0)</f>
        <v>925</v>
      </c>
      <c r="AJ805" s="101" t="n">
        <f aca="false">VLOOKUP(D805,'Standard Cycle time'!C:D,2,0)</f>
        <v>3.5</v>
      </c>
      <c r="AK805" s="101" t="n">
        <f aca="false">AG805*V805*3600/O805</f>
        <v>3.56756756756757</v>
      </c>
      <c r="AL805" s="102" t="n">
        <f aca="false">AJ805/AK805</f>
        <v>0.981060606060606</v>
      </c>
      <c r="AM805" s="99" t="n">
        <f aca="false">AE805*AL805*AH805</f>
        <v>0.899305555555556</v>
      </c>
      <c r="AN805" s="103" t="n">
        <v>0.899305555555556</v>
      </c>
      <c r="AO805" s="112"/>
      <c r="AP805" s="105" t="n">
        <v>40</v>
      </c>
      <c r="AQ805" s="105" t="n">
        <v>0</v>
      </c>
      <c r="AR805" s="105" t="n">
        <v>0</v>
      </c>
      <c r="AS805" s="105" t="n">
        <v>0</v>
      </c>
      <c r="AT805" s="105" t="n">
        <v>0</v>
      </c>
      <c r="AU805" s="105" t="n">
        <v>0</v>
      </c>
      <c r="AV805" s="105" t="n">
        <v>0</v>
      </c>
      <c r="AW805" s="105" t="n">
        <v>0</v>
      </c>
      <c r="AX805" s="105" t="n">
        <v>0</v>
      </c>
      <c r="AY805" s="105" t="n">
        <v>0</v>
      </c>
      <c r="AZ805" s="105" t="n">
        <v>0</v>
      </c>
      <c r="BA805" s="105" t="n">
        <v>0</v>
      </c>
      <c r="BB805" s="105" t="n">
        <v>0</v>
      </c>
      <c r="BC805" s="105" t="n">
        <v>0</v>
      </c>
      <c r="BD805" s="105" t="n">
        <v>0</v>
      </c>
      <c r="BE805" s="105" t="n">
        <v>0</v>
      </c>
      <c r="BF805" s="105" t="n">
        <v>0</v>
      </c>
      <c r="BG805" s="105" t="n">
        <v>0</v>
      </c>
      <c r="BH805" s="105" t="n">
        <v>0</v>
      </c>
      <c r="BI805" s="105" t="n">
        <v>0</v>
      </c>
      <c r="BJ805" s="105" t="n">
        <v>0</v>
      </c>
      <c r="BK805" s="105" t="n">
        <v>0</v>
      </c>
      <c r="BL805" s="105" t="n">
        <v>0</v>
      </c>
      <c r="BM805" s="105" t="n">
        <v>0</v>
      </c>
      <c r="BN805" s="105" t="n">
        <v>0</v>
      </c>
      <c r="BO805" s="105" t="n">
        <v>0</v>
      </c>
      <c r="BP805" s="105" t="n">
        <v>0</v>
      </c>
      <c r="BQ805" s="105" t="n">
        <v>0</v>
      </c>
      <c r="BR805" s="106" t="n">
        <v>0.666666666666667</v>
      </c>
      <c r="BS805" s="106" t="n">
        <v>0.666666666666667</v>
      </c>
      <c r="BT805" s="107"/>
      <c r="BU805" s="107"/>
      <c r="BV805" s="107"/>
      <c r="BW805" s="107"/>
      <c r="BX805" s="107"/>
      <c r="BY805" s="107"/>
      <c r="BZ805" s="107"/>
      <c r="CA805" s="107"/>
      <c r="CB805" s="107"/>
      <c r="CC805" s="107"/>
      <c r="CD805" s="107"/>
      <c r="CE805" s="107"/>
      <c r="CF805" s="107"/>
      <c r="CG805" s="107"/>
      <c r="CH805" s="107"/>
      <c r="CI805" s="107"/>
      <c r="CJ805" s="107"/>
      <c r="CK805" s="107"/>
      <c r="CL805" s="107"/>
      <c r="CM805" s="107"/>
      <c r="CN805" s="107"/>
      <c r="CO805" s="107"/>
      <c r="CP805" s="107"/>
      <c r="CQ805" s="107"/>
      <c r="CR805" s="107"/>
      <c r="CS805" s="107"/>
      <c r="CT805" s="107"/>
      <c r="CU805" s="107"/>
      <c r="CV805" s="107"/>
    </row>
    <row r="806" customFormat="false" ht="14.9" hidden="false" customHeight="false" outlineLevel="0" collapsed="false">
      <c r="A806" s="74" t="n">
        <f aca="false">MONTH(B806)</f>
        <v>10</v>
      </c>
      <c r="B806" s="135" t="n">
        <v>44475</v>
      </c>
      <c r="C806" s="128" t="s">
        <v>51</v>
      </c>
      <c r="D806" s="77" t="str">
        <f aca="false">IFERROR(VLOOKUP(E:E,'Item Data Support Sheet'!A:O,7,0),"")</f>
        <v>NIPPLE LASER MARKING</v>
      </c>
      <c r="E806" s="80" t="s">
        <v>600</v>
      </c>
      <c r="F806" s="122"/>
      <c r="G806" s="137" t="s">
        <v>517</v>
      </c>
      <c r="H806" s="79" t="str">
        <f aca="false">IFERROR(VLOOKUP(E:E,'Item Data Support Sheet'!A:O,2,0),"")</f>
        <v>NIPPLE S TYPE LL SIZE LASER MARKED</v>
      </c>
      <c r="I806" s="80" t="s">
        <v>1554</v>
      </c>
      <c r="J806" s="80" t="s">
        <v>143</v>
      </c>
      <c r="K806" s="124" t="n">
        <v>8</v>
      </c>
      <c r="L806" s="124" t="n">
        <v>7000</v>
      </c>
      <c r="M806" s="83" t="n">
        <v>875</v>
      </c>
      <c r="N806" s="84" t="n">
        <f aca="false">+O806+Q806+T806+U806</f>
        <v>6400</v>
      </c>
      <c r="O806" s="85" t="n">
        <v>6400</v>
      </c>
      <c r="P806" s="86" t="n">
        <v>0</v>
      </c>
      <c r="Q806" s="86" t="n">
        <v>0</v>
      </c>
      <c r="R806" s="132" t="n">
        <v>0</v>
      </c>
      <c r="S806" s="128" t="n">
        <v>0</v>
      </c>
      <c r="T806" s="132" t="n">
        <v>0</v>
      </c>
      <c r="U806" s="128" t="n">
        <v>0</v>
      </c>
      <c r="V806" s="128" t="n">
        <v>1</v>
      </c>
      <c r="W806" s="90" t="n">
        <f aca="false">IFERROR(O806/V806,0)</f>
        <v>6400</v>
      </c>
      <c r="X806" s="91" t="n">
        <f aca="false">O806/L806</f>
        <v>0.914285714285714</v>
      </c>
      <c r="Y806" s="92" t="str">
        <f aca="false">IFERROR(VLOOKUP(E:E,'Item Data Support Sheet'!A:J,6,0),0)</f>
        <v>FO151</v>
      </c>
      <c r="Z806" s="93" t="n">
        <f aca="false">IFERROR(VLOOKUP(E:E,'Item Data Support Sheet'!A:O,4,0),0)</f>
        <v>0</v>
      </c>
      <c r="AA806" s="93" t="n">
        <f aca="false">IFERROR(((N806)*(Z806/1000))+P806,0)</f>
        <v>0</v>
      </c>
      <c r="AB806" s="94" t="str">
        <f aca="false">IFERROR((O806*(Z806/1000)/(AA806))," ")</f>
        <v> </v>
      </c>
      <c r="AC806" s="95" t="n">
        <f aca="false">IFERROR((T806)/((T806)+O806),0)</f>
        <v>0</v>
      </c>
      <c r="AD806" s="96" t="n">
        <f aca="false">IFERROR(Q806/(Q806+N806),0)</f>
        <v>0</v>
      </c>
      <c r="AE806" s="91" t="n">
        <f aca="false">(N806-T806)/N806</f>
        <v>1</v>
      </c>
      <c r="AF806" s="97" t="n">
        <f aca="false">BR806</f>
        <v>1.66666666666667</v>
      </c>
      <c r="AG806" s="98" t="n">
        <f aca="false">K806-AF806</f>
        <v>6.33333333333333</v>
      </c>
      <c r="AH806" s="99" t="n">
        <f aca="false">IFERROR(AG806/K806," ")</f>
        <v>0.791666666666666</v>
      </c>
      <c r="AI806" s="100" t="n">
        <f aca="false">IFERROR(O806/K806,0)</f>
        <v>800</v>
      </c>
      <c r="AJ806" s="101" t="n">
        <f aca="false">VLOOKUP(D806,'Standard Cycle time'!C:D,2,0)</f>
        <v>3.5</v>
      </c>
      <c r="AK806" s="101" t="n">
        <f aca="false">AG806*V806*3600/O806</f>
        <v>3.5625</v>
      </c>
      <c r="AL806" s="102" t="n">
        <f aca="false">AJ806/AK806</f>
        <v>0.982456140350878</v>
      </c>
      <c r="AM806" s="99" t="n">
        <f aca="false">AE806*AL806*AH806</f>
        <v>0.777777777777778</v>
      </c>
      <c r="AN806" s="103" t="n">
        <v>0.777777777777778</v>
      </c>
      <c r="AO806" s="112" t="s">
        <v>1555</v>
      </c>
      <c r="AP806" s="105" t="n">
        <v>40</v>
      </c>
      <c r="AQ806" s="105" t="n">
        <v>0</v>
      </c>
      <c r="AR806" s="105" t="n">
        <v>0</v>
      </c>
      <c r="AS806" s="105" t="n">
        <v>60</v>
      </c>
      <c r="AT806" s="105" t="n">
        <v>0</v>
      </c>
      <c r="AU806" s="105" t="n">
        <v>0</v>
      </c>
      <c r="AV806" s="105" t="n">
        <v>0</v>
      </c>
      <c r="AW806" s="105" t="n">
        <v>0</v>
      </c>
      <c r="AX806" s="105" t="n">
        <v>0</v>
      </c>
      <c r="AY806" s="105" t="n">
        <v>0</v>
      </c>
      <c r="AZ806" s="105" t="n">
        <v>0</v>
      </c>
      <c r="BA806" s="105" t="n">
        <v>0</v>
      </c>
      <c r="BB806" s="105" t="n">
        <v>0</v>
      </c>
      <c r="BC806" s="105" t="n">
        <v>0</v>
      </c>
      <c r="BD806" s="105" t="n">
        <v>0</v>
      </c>
      <c r="BE806" s="105" t="n">
        <v>0</v>
      </c>
      <c r="BF806" s="105" t="n">
        <v>0</v>
      </c>
      <c r="BG806" s="105" t="n">
        <v>0</v>
      </c>
      <c r="BH806" s="105" t="n">
        <v>0</v>
      </c>
      <c r="BI806" s="105" t="n">
        <v>0</v>
      </c>
      <c r="BJ806" s="105" t="n">
        <v>0</v>
      </c>
      <c r="BK806" s="105" t="n">
        <v>0</v>
      </c>
      <c r="BL806" s="105" t="n">
        <v>0</v>
      </c>
      <c r="BM806" s="105" t="n">
        <v>0</v>
      </c>
      <c r="BN806" s="105" t="n">
        <v>0</v>
      </c>
      <c r="BO806" s="105" t="n">
        <v>0</v>
      </c>
      <c r="BP806" s="105" t="n">
        <v>0</v>
      </c>
      <c r="BQ806" s="105" t="n">
        <v>0</v>
      </c>
      <c r="BR806" s="106" t="n">
        <v>1.66666666666667</v>
      </c>
      <c r="BS806" s="106" t="n">
        <v>1.66666666666667</v>
      </c>
      <c r="BT806" s="107"/>
      <c r="BU806" s="107"/>
      <c r="BV806" s="107"/>
      <c r="BW806" s="107"/>
      <c r="BX806" s="107"/>
      <c r="BY806" s="107"/>
      <c r="BZ806" s="107"/>
      <c r="CA806" s="107"/>
      <c r="CB806" s="107"/>
      <c r="CC806" s="107"/>
      <c r="CD806" s="107"/>
      <c r="CE806" s="107"/>
      <c r="CF806" s="107"/>
      <c r="CG806" s="107"/>
      <c r="CH806" s="107"/>
      <c r="CI806" s="107"/>
      <c r="CJ806" s="107"/>
      <c r="CK806" s="107"/>
      <c r="CL806" s="107"/>
      <c r="CM806" s="107"/>
      <c r="CN806" s="107"/>
      <c r="CO806" s="107"/>
      <c r="CP806" s="107"/>
      <c r="CQ806" s="107"/>
      <c r="CR806" s="107"/>
      <c r="CS806" s="107"/>
      <c r="CT806" s="107"/>
      <c r="CU806" s="107"/>
      <c r="CV806" s="107"/>
    </row>
    <row r="807" customFormat="false" ht="14.9" hidden="false" customHeight="false" outlineLevel="0" collapsed="false">
      <c r="A807" s="74" t="n">
        <f aca="false">MONTH(B807)</f>
        <v>10</v>
      </c>
      <c r="B807" s="135" t="n">
        <v>44475</v>
      </c>
      <c r="C807" s="128" t="s">
        <v>51</v>
      </c>
      <c r="D807" s="77" t="str">
        <f aca="false">IFERROR(VLOOKUP(E:E,'Item Data Support Sheet'!A:O,7,0),"")</f>
        <v>CAP MOLDED</v>
      </c>
      <c r="E807" s="80" t="s">
        <v>199</v>
      </c>
      <c r="F807" s="122"/>
      <c r="G807" s="137" t="s">
        <v>1215</v>
      </c>
      <c r="H807" s="79" t="str">
        <f aca="false">IFERROR(VLOOKUP(E:E,'Item Data Support Sheet'!A:O,2,0),"")</f>
        <v>CAP S TYPE MOLDED RED</v>
      </c>
      <c r="I807" s="80" t="s">
        <v>1556</v>
      </c>
      <c r="J807" s="80" t="s">
        <v>143</v>
      </c>
      <c r="K807" s="124" t="n">
        <v>2</v>
      </c>
      <c r="L807" s="124" t="n">
        <v>1034</v>
      </c>
      <c r="M807" s="83" t="n">
        <v>517</v>
      </c>
      <c r="N807" s="84" t="n">
        <f aca="false">+O807+Q807+T807+U807</f>
        <v>850</v>
      </c>
      <c r="O807" s="85" t="n">
        <v>850</v>
      </c>
      <c r="P807" s="86" t="n">
        <v>0</v>
      </c>
      <c r="Q807" s="86" t="n">
        <v>0</v>
      </c>
      <c r="R807" s="132" t="n">
        <v>0</v>
      </c>
      <c r="S807" s="128" t="n">
        <v>0</v>
      </c>
      <c r="T807" s="132" t="n">
        <v>0</v>
      </c>
      <c r="U807" s="128" t="n">
        <v>0</v>
      </c>
      <c r="V807" s="128" t="n">
        <v>1</v>
      </c>
      <c r="W807" s="90" t="n">
        <f aca="false">IFERROR(O807/V807,0)</f>
        <v>850</v>
      </c>
      <c r="X807" s="91" t="n">
        <f aca="false">O807/L807</f>
        <v>0.822050290135397</v>
      </c>
      <c r="Y807" s="92" t="str">
        <f aca="false">IFERROR(VLOOKUP(E:E,'Item Data Support Sheet'!A:J,6,0),0)</f>
        <v>FO153</v>
      </c>
      <c r="Z807" s="93" t="n">
        <f aca="false">IFERROR(VLOOKUP(E:E,'Item Data Support Sheet'!A:O,4,0),0)</f>
        <v>7.3</v>
      </c>
      <c r="AA807" s="93" t="n">
        <f aca="false">IFERROR(((N807)*(Z807/1000))+P807,0)</f>
        <v>6.205</v>
      </c>
      <c r="AB807" s="94" t="n">
        <f aca="false">IFERROR((O807*(Z807/1000)/(AA807))," ")</f>
        <v>1</v>
      </c>
      <c r="AC807" s="95" t="n">
        <f aca="false">IFERROR((T807)/((T807)+O807),0)</f>
        <v>0</v>
      </c>
      <c r="AD807" s="96" t="n">
        <f aca="false">IFERROR(Q807/(Q807+N807),0)</f>
        <v>0</v>
      </c>
      <c r="AE807" s="91" t="n">
        <f aca="false">(N807-T807)/N807</f>
        <v>1</v>
      </c>
      <c r="AF807" s="97" t="n">
        <f aca="false">BR807</f>
        <v>0.5</v>
      </c>
      <c r="AG807" s="98" t="n">
        <f aca="false">K807-AF807</f>
        <v>1.5</v>
      </c>
      <c r="AH807" s="99" t="n">
        <f aca="false">IFERROR(AG807/K807," ")</f>
        <v>0.75</v>
      </c>
      <c r="AI807" s="100" t="n">
        <f aca="false">IFERROR(O807/K807,0)</f>
        <v>425</v>
      </c>
      <c r="AJ807" s="101" t="n">
        <f aca="false">VLOOKUP(D807,'Standard Cycle time'!C:D,2,0)</f>
        <v>6</v>
      </c>
      <c r="AK807" s="101" t="n">
        <f aca="false">AG807*V807*3600/O807</f>
        <v>6.35294117647059</v>
      </c>
      <c r="AL807" s="102" t="n">
        <f aca="false">AJ807/AK807</f>
        <v>0.944444444444444</v>
      </c>
      <c r="AM807" s="99" t="n">
        <f aca="false">AE807*AL807*AH807</f>
        <v>0.708333333333333</v>
      </c>
      <c r="AN807" s="103" t="n">
        <v>0.708333333333333</v>
      </c>
      <c r="AO807" s="112"/>
      <c r="AP807" s="105" t="n">
        <v>0</v>
      </c>
      <c r="AQ807" s="105" t="n">
        <v>0</v>
      </c>
      <c r="AR807" s="105" t="n">
        <v>0</v>
      </c>
      <c r="AS807" s="105" t="n">
        <v>0</v>
      </c>
      <c r="AT807" s="105" t="n">
        <v>0</v>
      </c>
      <c r="AU807" s="105" t="n">
        <v>0</v>
      </c>
      <c r="AV807" s="105" t="n">
        <v>0</v>
      </c>
      <c r="AW807" s="105" t="n">
        <v>0</v>
      </c>
      <c r="AX807" s="105" t="n">
        <v>0</v>
      </c>
      <c r="AY807" s="105" t="n">
        <v>0</v>
      </c>
      <c r="AZ807" s="105" t="n">
        <v>30</v>
      </c>
      <c r="BA807" s="105" t="n">
        <v>0</v>
      </c>
      <c r="BB807" s="105" t="n">
        <v>0</v>
      </c>
      <c r="BC807" s="105" t="n">
        <v>0</v>
      </c>
      <c r="BD807" s="105" t="n">
        <v>0</v>
      </c>
      <c r="BE807" s="105" t="n">
        <v>0</v>
      </c>
      <c r="BF807" s="105" t="n">
        <v>0</v>
      </c>
      <c r="BG807" s="105" t="n">
        <v>0</v>
      </c>
      <c r="BH807" s="105" t="n">
        <v>0</v>
      </c>
      <c r="BI807" s="105" t="n">
        <v>0</v>
      </c>
      <c r="BJ807" s="105" t="n">
        <v>0</v>
      </c>
      <c r="BK807" s="105" t="n">
        <v>0</v>
      </c>
      <c r="BL807" s="105" t="n">
        <v>0</v>
      </c>
      <c r="BM807" s="105" t="n">
        <v>0</v>
      </c>
      <c r="BN807" s="105" t="n">
        <v>0</v>
      </c>
      <c r="BO807" s="105" t="n">
        <v>0</v>
      </c>
      <c r="BP807" s="105" t="n">
        <v>0</v>
      </c>
      <c r="BQ807" s="105" t="n">
        <v>0</v>
      </c>
      <c r="BR807" s="106" t="n">
        <v>0.5</v>
      </c>
      <c r="BS807" s="106" t="n">
        <v>0.5</v>
      </c>
      <c r="BT807" s="107"/>
      <c r="BU807" s="107"/>
      <c r="BV807" s="107"/>
      <c r="BW807" s="107"/>
      <c r="BX807" s="107"/>
      <c r="BY807" s="107"/>
      <c r="BZ807" s="107"/>
      <c r="CA807" s="107"/>
      <c r="CB807" s="107"/>
      <c r="CC807" s="107"/>
      <c r="CD807" s="107"/>
      <c r="CE807" s="107"/>
      <c r="CF807" s="107"/>
      <c r="CG807" s="107"/>
      <c r="CH807" s="107"/>
      <c r="CI807" s="107"/>
      <c r="CJ807" s="107"/>
      <c r="CK807" s="107"/>
      <c r="CL807" s="107"/>
      <c r="CM807" s="107"/>
      <c r="CN807" s="107"/>
      <c r="CO807" s="107"/>
      <c r="CP807" s="107"/>
      <c r="CQ807" s="107"/>
      <c r="CR807" s="107"/>
      <c r="CS807" s="107"/>
      <c r="CT807" s="107"/>
      <c r="CU807" s="107"/>
      <c r="CV807" s="107"/>
    </row>
    <row r="808" customFormat="false" ht="14.9" hidden="false" customHeight="false" outlineLevel="0" collapsed="false">
      <c r="A808" s="74" t="n">
        <f aca="false">MONTH(B808)</f>
        <v>10</v>
      </c>
      <c r="B808" s="135" t="n">
        <v>44475</v>
      </c>
      <c r="C808" s="128" t="s">
        <v>51</v>
      </c>
      <c r="D808" s="77" t="str">
        <f aca="false">IFERROR(VLOOKUP(E:E,'Item Data Support Sheet'!A:O,7,0),"")</f>
        <v>CAP MOLDED</v>
      </c>
      <c r="E808" s="80" t="s">
        <v>199</v>
      </c>
      <c r="F808" s="122"/>
      <c r="G808" s="137" t="s">
        <v>1478</v>
      </c>
      <c r="H808" s="79" t="str">
        <f aca="false">IFERROR(VLOOKUP(E:E,'Item Data Support Sheet'!A:O,2,0),"")</f>
        <v>CAP S TYPE MOLDED RED</v>
      </c>
      <c r="I808" s="80" t="s">
        <v>1557</v>
      </c>
      <c r="J808" s="80" t="s">
        <v>143</v>
      </c>
      <c r="K808" s="124" t="n">
        <v>6</v>
      </c>
      <c r="L808" s="124" t="n">
        <v>3103</v>
      </c>
      <c r="M808" s="83" t="n">
        <v>517.166666666667</v>
      </c>
      <c r="N808" s="84" t="n">
        <f aca="false">+O808+Q808+T808+U808</f>
        <v>2308</v>
      </c>
      <c r="O808" s="85" t="n">
        <v>2300</v>
      </c>
      <c r="P808" s="86" t="n">
        <v>0.1</v>
      </c>
      <c r="Q808" s="86" t="n">
        <v>0</v>
      </c>
      <c r="R808" s="132" t="n">
        <v>0</v>
      </c>
      <c r="S808" s="128" t="n">
        <v>0</v>
      </c>
      <c r="T808" s="132" t="n">
        <v>0</v>
      </c>
      <c r="U808" s="128" t="n">
        <v>8</v>
      </c>
      <c r="V808" s="128" t="n">
        <v>1</v>
      </c>
      <c r="W808" s="90" t="n">
        <f aca="false">IFERROR(O808/V808,0)</f>
        <v>2300</v>
      </c>
      <c r="X808" s="91" t="n">
        <f aca="false">O808/L808</f>
        <v>0.74121817595875</v>
      </c>
      <c r="Y808" s="92" t="str">
        <f aca="false">IFERROR(VLOOKUP(E:E,'Item Data Support Sheet'!A:J,6,0),0)</f>
        <v>FO153</v>
      </c>
      <c r="Z808" s="93" t="n">
        <f aca="false">IFERROR(VLOOKUP(E:E,'Item Data Support Sheet'!A:O,4,0),0)</f>
        <v>7.3</v>
      </c>
      <c r="AA808" s="93" t="n">
        <f aca="false">IFERROR(((N808)*(Z808/1000))+P808,0)</f>
        <v>16.9484</v>
      </c>
      <c r="AB808" s="94" t="n">
        <f aca="false">IFERROR((O808*(Z808/1000)/(AA808))," ")</f>
        <v>0.990653985036935</v>
      </c>
      <c r="AC808" s="95" t="n">
        <f aca="false">IFERROR((T808)/((T808)+O808),0)</f>
        <v>0</v>
      </c>
      <c r="AD808" s="96" t="n">
        <f aca="false">IFERROR(Q808/(Q808+N808),0)</f>
        <v>0</v>
      </c>
      <c r="AE808" s="91" t="n">
        <f aca="false">(N808-T808)/N808</f>
        <v>1</v>
      </c>
      <c r="AF808" s="97" t="n">
        <f aca="false">BR808</f>
        <v>2</v>
      </c>
      <c r="AG808" s="98" t="n">
        <f aca="false">K808-AF808</f>
        <v>4</v>
      </c>
      <c r="AH808" s="99" t="n">
        <f aca="false">IFERROR(AG808/K808," ")</f>
        <v>0.666666666666667</v>
      </c>
      <c r="AI808" s="100" t="n">
        <f aca="false">IFERROR(O808/K808,0)</f>
        <v>383.333333333333</v>
      </c>
      <c r="AJ808" s="101" t="n">
        <f aca="false">VLOOKUP(D808,'Standard Cycle time'!C:D,2,0)</f>
        <v>6</v>
      </c>
      <c r="AK808" s="101" t="n">
        <f aca="false">AG808*V808*3600/O808</f>
        <v>6.26086956521739</v>
      </c>
      <c r="AL808" s="102" t="n">
        <f aca="false">AJ808/AK808</f>
        <v>0.958333333333333</v>
      </c>
      <c r="AM808" s="99" t="n">
        <f aca="false">AE808*AL808*AH808</f>
        <v>0.638888888888889</v>
      </c>
      <c r="AN808" s="103" t="n">
        <v>0.638888888888889</v>
      </c>
      <c r="AO808" s="112"/>
      <c r="AP808" s="105" t="n">
        <v>0</v>
      </c>
      <c r="AQ808" s="105" t="n">
        <v>0</v>
      </c>
      <c r="AR808" s="105" t="n">
        <v>0</v>
      </c>
      <c r="AS808" s="105" t="n">
        <v>0</v>
      </c>
      <c r="AT808" s="105" t="n">
        <v>0</v>
      </c>
      <c r="AU808" s="105" t="n">
        <v>0</v>
      </c>
      <c r="AV808" s="105" t="n">
        <v>0</v>
      </c>
      <c r="AW808" s="105" t="n">
        <v>60</v>
      </c>
      <c r="AX808" s="105" t="n">
        <v>0</v>
      </c>
      <c r="AY808" s="105" t="n">
        <v>0</v>
      </c>
      <c r="AZ808" s="105" t="n">
        <v>30</v>
      </c>
      <c r="BA808" s="105" t="n">
        <v>0</v>
      </c>
      <c r="BB808" s="105" t="n">
        <v>0</v>
      </c>
      <c r="BC808" s="105" t="n">
        <v>0</v>
      </c>
      <c r="BD808" s="105" t="n">
        <v>0</v>
      </c>
      <c r="BE808" s="105" t="n">
        <v>0</v>
      </c>
      <c r="BF808" s="105" t="n">
        <v>0</v>
      </c>
      <c r="BG808" s="105" t="n">
        <v>0</v>
      </c>
      <c r="BH808" s="105" t="n">
        <v>0</v>
      </c>
      <c r="BI808" s="105" t="n">
        <v>30</v>
      </c>
      <c r="BJ808" s="105" t="n">
        <v>0</v>
      </c>
      <c r="BK808" s="105" t="n">
        <v>0</v>
      </c>
      <c r="BL808" s="105" t="n">
        <v>0</v>
      </c>
      <c r="BM808" s="105" t="n">
        <v>0</v>
      </c>
      <c r="BN808" s="105" t="n">
        <v>0</v>
      </c>
      <c r="BO808" s="105" t="n">
        <v>0</v>
      </c>
      <c r="BP808" s="105" t="n">
        <v>0</v>
      </c>
      <c r="BQ808" s="105" t="n">
        <v>0</v>
      </c>
      <c r="BR808" s="106" t="n">
        <v>2</v>
      </c>
      <c r="BS808" s="106" t="n">
        <v>2</v>
      </c>
      <c r="BT808" s="107"/>
      <c r="BU808" s="107"/>
      <c r="BV808" s="107"/>
      <c r="BW808" s="107"/>
      <c r="BX808" s="107"/>
      <c r="BY808" s="107"/>
      <c r="BZ808" s="107"/>
      <c r="CA808" s="107"/>
      <c r="CB808" s="107"/>
      <c r="CC808" s="107"/>
      <c r="CD808" s="107"/>
      <c r="CE808" s="107"/>
      <c r="CF808" s="107"/>
      <c r="CG808" s="107"/>
      <c r="CH808" s="107"/>
      <c r="CI808" s="107"/>
      <c r="CJ808" s="107"/>
      <c r="CK808" s="107"/>
      <c r="CL808" s="107"/>
      <c r="CM808" s="107"/>
      <c r="CN808" s="107"/>
      <c r="CO808" s="107"/>
      <c r="CP808" s="107"/>
      <c r="CQ808" s="107"/>
      <c r="CR808" s="107"/>
      <c r="CS808" s="107"/>
      <c r="CT808" s="107"/>
      <c r="CU808" s="107"/>
      <c r="CV808" s="107"/>
    </row>
    <row r="809" customFormat="false" ht="14.9" hidden="false" customHeight="false" outlineLevel="0" collapsed="false">
      <c r="A809" s="74" t="n">
        <f aca="false">MONTH(B809)</f>
        <v>10</v>
      </c>
      <c r="B809" s="135" t="n">
        <v>44475</v>
      </c>
      <c r="C809" s="128" t="s">
        <v>63</v>
      </c>
      <c r="D809" s="77" t="str">
        <f aca="false">IFERROR(VLOOKUP(E:E,'Item Data Support Sheet'!A:O,7,0),"")</f>
        <v>NIPPLE PUNCH INSPECTED</v>
      </c>
      <c r="E809" s="80" t="s">
        <v>621</v>
      </c>
      <c r="F809" s="122"/>
      <c r="G809" s="137"/>
      <c r="H809" s="79" t="str">
        <f aca="false">IFERROR(VLOOKUP(E:E,'Item Data Support Sheet'!A:O,2,0),"")</f>
        <v>NIPPLE S TYPE LL SIZE INSPECTED</v>
      </c>
      <c r="I809" s="80" t="s">
        <v>1558</v>
      </c>
      <c r="J809" s="80" t="s">
        <v>158</v>
      </c>
      <c r="K809" s="124" t="n">
        <v>8</v>
      </c>
      <c r="L809" s="124" t="n">
        <v>14132</v>
      </c>
      <c r="M809" s="83" t="n">
        <v>1766.5</v>
      </c>
      <c r="N809" s="84" t="n">
        <f aca="false">+O809+Q809+T809+U809</f>
        <v>11700</v>
      </c>
      <c r="O809" s="85" t="n">
        <v>11651</v>
      </c>
      <c r="P809" s="86" t="n">
        <v>0</v>
      </c>
      <c r="Q809" s="86" t="n">
        <v>0</v>
      </c>
      <c r="R809" s="132" t="n">
        <v>0</v>
      </c>
      <c r="S809" s="128" t="n">
        <v>0</v>
      </c>
      <c r="T809" s="132" t="n">
        <v>49</v>
      </c>
      <c r="U809" s="128" t="n">
        <v>0</v>
      </c>
      <c r="V809" s="128" t="n">
        <v>2</v>
      </c>
      <c r="W809" s="90" t="n">
        <f aca="false">IFERROR(O809/V809,0)</f>
        <v>5825.5</v>
      </c>
      <c r="X809" s="91" t="n">
        <f aca="false">O809/L809</f>
        <v>0.824440984998585</v>
      </c>
      <c r="Y809" s="92" t="str">
        <f aca="false">IFERROR(VLOOKUP(E:E,'Item Data Support Sheet'!A:J,6,0),0)</f>
        <v>FO152</v>
      </c>
      <c r="Z809" s="93" t="n">
        <f aca="false">IFERROR(VLOOKUP(E:E,'Item Data Support Sheet'!A:O,4,0),0)</f>
        <v>0</v>
      </c>
      <c r="AA809" s="93" t="n">
        <f aca="false">IFERROR(((N809)*(Z809/1000))+P809,0)</f>
        <v>0</v>
      </c>
      <c r="AB809" s="94" t="str">
        <f aca="false">IFERROR((O809*(Z809/1000)/(AA809))," ")</f>
        <v> </v>
      </c>
      <c r="AC809" s="95" t="n">
        <f aca="false">IFERROR((T809)/((T809)+O809),0)</f>
        <v>0.00418803418803419</v>
      </c>
      <c r="AD809" s="96" t="n">
        <f aca="false">IFERROR(Q809/(Q809+N809),0)</f>
        <v>0</v>
      </c>
      <c r="AE809" s="91" t="n">
        <f aca="false">(N809-T809)/N809</f>
        <v>0.995811965811966</v>
      </c>
      <c r="AF809" s="97" t="n">
        <f aca="false">BR809</f>
        <v>0.833333333333333</v>
      </c>
      <c r="AG809" s="98" t="n">
        <f aca="false">K809-AF809</f>
        <v>7.16666666666667</v>
      </c>
      <c r="AH809" s="99" t="n">
        <f aca="false">IFERROR(AG809/K809," ")</f>
        <v>0.895833333333333</v>
      </c>
      <c r="AI809" s="100" t="n">
        <f aca="false">IFERROR(O809/K809,0)</f>
        <v>1456.375</v>
      </c>
      <c r="AJ809" s="101" t="n">
        <f aca="false">VLOOKUP(D809,'Standard Cycle time'!C:D,2,0)</f>
        <v>4</v>
      </c>
      <c r="AK809" s="101" t="n">
        <f aca="false">AG809*V809*3600/O809</f>
        <v>4.42880439447258</v>
      </c>
      <c r="AL809" s="102" t="n">
        <f aca="false">AJ809/AK809</f>
        <v>0.903178294573643</v>
      </c>
      <c r="AM809" s="99" t="n">
        <f aca="false">AE809*AL809*AH809</f>
        <v>0.805708695394112</v>
      </c>
      <c r="AN809" s="103" t="n">
        <v>0.805708695394112</v>
      </c>
      <c r="AO809" s="112"/>
      <c r="AP809" s="105" t="n">
        <v>50</v>
      </c>
      <c r="AQ809" s="105" t="n">
        <v>0</v>
      </c>
      <c r="AR809" s="105" t="n">
        <v>0</v>
      </c>
      <c r="AS809" s="105" t="n">
        <v>0</v>
      </c>
      <c r="AT809" s="105" t="n">
        <v>0</v>
      </c>
      <c r="AU809" s="105" t="n">
        <v>0</v>
      </c>
      <c r="AV809" s="105" t="n">
        <v>0</v>
      </c>
      <c r="AW809" s="105" t="n">
        <v>0</v>
      </c>
      <c r="AX809" s="105" t="n">
        <v>0</v>
      </c>
      <c r="AY809" s="105" t="n">
        <v>0</v>
      </c>
      <c r="AZ809" s="105" t="n">
        <v>0</v>
      </c>
      <c r="BA809" s="105" t="n">
        <v>0</v>
      </c>
      <c r="BB809" s="105" t="n">
        <v>0</v>
      </c>
      <c r="BC809" s="105" t="n">
        <v>0</v>
      </c>
      <c r="BD809" s="105" t="n">
        <v>0</v>
      </c>
      <c r="BE809" s="105" t="n">
        <v>0</v>
      </c>
      <c r="BF809" s="105" t="n">
        <v>0</v>
      </c>
      <c r="BG809" s="105" t="n">
        <v>0</v>
      </c>
      <c r="BH809" s="105" t="n">
        <v>0</v>
      </c>
      <c r="BI809" s="105" t="n">
        <v>0</v>
      </c>
      <c r="BJ809" s="105" t="n">
        <v>0</v>
      </c>
      <c r="BK809" s="105" t="n">
        <v>0</v>
      </c>
      <c r="BL809" s="105" t="n">
        <v>0</v>
      </c>
      <c r="BM809" s="105" t="n">
        <v>0</v>
      </c>
      <c r="BN809" s="105" t="n">
        <v>0</v>
      </c>
      <c r="BO809" s="105" t="n">
        <v>0</v>
      </c>
      <c r="BP809" s="105" t="n">
        <v>0</v>
      </c>
      <c r="BQ809" s="105" t="n">
        <v>0</v>
      </c>
      <c r="BR809" s="106" t="n">
        <v>0.833333333333333</v>
      </c>
      <c r="BS809" s="106" t="n">
        <v>0.833333333333333</v>
      </c>
      <c r="BT809" s="107"/>
      <c r="BU809" s="107"/>
      <c r="BV809" s="107"/>
      <c r="BW809" s="107"/>
      <c r="BX809" s="107"/>
      <c r="BY809" s="107"/>
      <c r="BZ809" s="107"/>
      <c r="CA809" s="107"/>
      <c r="CB809" s="107"/>
      <c r="CC809" s="107"/>
      <c r="CD809" s="107"/>
      <c r="CE809" s="107"/>
      <c r="CF809" s="107"/>
      <c r="CG809" s="107"/>
      <c r="CH809" s="107"/>
      <c r="CI809" s="107"/>
      <c r="CJ809" s="107"/>
      <c r="CK809" s="107"/>
      <c r="CL809" s="107"/>
      <c r="CM809" s="107"/>
      <c r="CN809" s="107"/>
      <c r="CO809" s="107"/>
      <c r="CP809" s="107"/>
      <c r="CQ809" s="107"/>
      <c r="CR809" s="107"/>
      <c r="CS809" s="107"/>
      <c r="CT809" s="107"/>
      <c r="CU809" s="107"/>
      <c r="CV809" s="107"/>
    </row>
    <row r="810" customFormat="false" ht="14.9" hidden="false" customHeight="false" outlineLevel="0" collapsed="false">
      <c r="A810" s="74" t="n">
        <f aca="false">MONTH(B810)</f>
        <v>10</v>
      </c>
      <c r="B810" s="135" t="n">
        <v>44475</v>
      </c>
      <c r="C810" s="128" t="s">
        <v>63</v>
      </c>
      <c r="D810" s="77" t="str">
        <f aca="false">IFERROR(VLOOKUP(E:E,'Item Data Support Sheet'!A:O,7,0),"")</f>
        <v>NIPPLE WRAP PRINTED</v>
      </c>
      <c r="E810" s="80" t="s">
        <v>506</v>
      </c>
      <c r="F810" s="122"/>
      <c r="G810" s="137" t="s">
        <v>432</v>
      </c>
      <c r="H810" s="79" t="str">
        <f aca="false">IFERROR(VLOOKUP(E:E,'Item Data Support Sheet'!A:O,2,0),"")</f>
        <v>NIPPLE S TYPE LL SIZE WRAPPED</v>
      </c>
      <c r="I810" s="80" t="s">
        <v>1559</v>
      </c>
      <c r="J810" s="80" t="s">
        <v>158</v>
      </c>
      <c r="K810" s="124" t="n">
        <v>8</v>
      </c>
      <c r="L810" s="124" t="n">
        <v>16132</v>
      </c>
      <c r="M810" s="83" t="n">
        <v>2016.5</v>
      </c>
      <c r="N810" s="84" t="n">
        <f aca="false">+O810+Q810+T810+U810</f>
        <v>15422</v>
      </c>
      <c r="O810" s="85" t="n">
        <v>15411</v>
      </c>
      <c r="P810" s="86" t="n">
        <v>0</v>
      </c>
      <c r="Q810" s="86" t="n">
        <v>0</v>
      </c>
      <c r="R810" s="132" t="n">
        <v>0</v>
      </c>
      <c r="S810" s="128" t="n">
        <v>0</v>
      </c>
      <c r="T810" s="132" t="n">
        <v>11</v>
      </c>
      <c r="U810" s="128" t="n">
        <v>0</v>
      </c>
      <c r="V810" s="128" t="n">
        <v>2</v>
      </c>
      <c r="W810" s="90" t="n">
        <f aca="false">IFERROR(O810/V810,0)</f>
        <v>7705.5</v>
      </c>
      <c r="X810" s="91" t="n">
        <f aca="false">O810/L810</f>
        <v>0.955306223654847</v>
      </c>
      <c r="Y810" s="92" t="str">
        <f aca="false">IFERROR(VLOOKUP(E:E,'Item Data Support Sheet'!A:J,6,0),0)</f>
        <v>FO141</v>
      </c>
      <c r="Z810" s="93" t="n">
        <f aca="false">IFERROR(VLOOKUP(E:E,'Item Data Support Sheet'!A:O,4,0),0)</f>
        <v>0</v>
      </c>
      <c r="AA810" s="93" t="n">
        <f aca="false">IFERROR(((N810)*(Z810/1000))+P810,0)</f>
        <v>0</v>
      </c>
      <c r="AB810" s="94" t="str">
        <f aca="false">IFERROR((O810*(Z810/1000)/(AA810))," ")</f>
        <v> </v>
      </c>
      <c r="AC810" s="95" t="n">
        <f aca="false">IFERROR((T810)/((T810)+O810),0)</f>
        <v>0.000713266761768902</v>
      </c>
      <c r="AD810" s="96" t="n">
        <f aca="false">IFERROR(Q810/(Q810+N810),0)</f>
        <v>0</v>
      </c>
      <c r="AE810" s="91" t="n">
        <f aca="false">(N810-T810)/N810</f>
        <v>0.999286733238231</v>
      </c>
      <c r="AF810" s="97" t="n">
        <f aca="false">BR810</f>
        <v>0.833333333333333</v>
      </c>
      <c r="AG810" s="98" t="n">
        <f aca="false">K810-AF810</f>
        <v>7.16666666666667</v>
      </c>
      <c r="AH810" s="99" t="n">
        <f aca="false">IFERROR(AG810/K810," ")</f>
        <v>0.895833333333333</v>
      </c>
      <c r="AI810" s="100" t="n">
        <f aca="false">IFERROR(O810/K810,0)</f>
        <v>1926.375</v>
      </c>
      <c r="AJ810" s="101" t="n">
        <f aca="false">VLOOKUP(D810,'Standard Cycle time'!C:D,2,0)</f>
        <v>2.5</v>
      </c>
      <c r="AK810" s="101" t="n">
        <f aca="false">AG810*V810*3600/O810</f>
        <v>3.34825773797937</v>
      </c>
      <c r="AL810" s="102" t="n">
        <f aca="false">AJ810/AK810</f>
        <v>0.746656976744186</v>
      </c>
      <c r="AM810" s="99" t="n">
        <f aca="false">AE810*AL810*AH810</f>
        <v>0.668403118313124</v>
      </c>
      <c r="AN810" s="103" t="n">
        <v>0.668403118313124</v>
      </c>
      <c r="AO810" s="112"/>
      <c r="AP810" s="105" t="n">
        <v>50</v>
      </c>
      <c r="AQ810" s="105" t="n">
        <v>0</v>
      </c>
      <c r="AR810" s="105" t="n">
        <v>0</v>
      </c>
      <c r="AS810" s="105" t="n">
        <v>0</v>
      </c>
      <c r="AT810" s="105" t="n">
        <v>0</v>
      </c>
      <c r="AU810" s="105" t="n">
        <v>0</v>
      </c>
      <c r="AV810" s="105" t="n">
        <v>0</v>
      </c>
      <c r="AW810" s="105" t="n">
        <v>0</v>
      </c>
      <c r="AX810" s="105" t="n">
        <v>0</v>
      </c>
      <c r="AY810" s="105" t="n">
        <v>0</v>
      </c>
      <c r="AZ810" s="105" t="n">
        <v>0</v>
      </c>
      <c r="BA810" s="105" t="n">
        <v>0</v>
      </c>
      <c r="BB810" s="105" t="n">
        <v>0</v>
      </c>
      <c r="BC810" s="105" t="n">
        <v>0</v>
      </c>
      <c r="BD810" s="105" t="n">
        <v>0</v>
      </c>
      <c r="BE810" s="105" t="n">
        <v>0</v>
      </c>
      <c r="BF810" s="105" t="n">
        <v>0</v>
      </c>
      <c r="BG810" s="105" t="n">
        <v>0</v>
      </c>
      <c r="BH810" s="105" t="n">
        <v>0</v>
      </c>
      <c r="BI810" s="105" t="n">
        <v>0</v>
      </c>
      <c r="BJ810" s="105" t="n">
        <v>0</v>
      </c>
      <c r="BK810" s="105" t="n">
        <v>0</v>
      </c>
      <c r="BL810" s="105" t="n">
        <v>0</v>
      </c>
      <c r="BM810" s="105" t="n">
        <v>0</v>
      </c>
      <c r="BN810" s="105" t="n">
        <v>0</v>
      </c>
      <c r="BO810" s="105" t="n">
        <v>0</v>
      </c>
      <c r="BP810" s="105" t="n">
        <v>0</v>
      </c>
      <c r="BQ810" s="105" t="n">
        <v>0</v>
      </c>
      <c r="BR810" s="106" t="n">
        <v>0.833333333333333</v>
      </c>
      <c r="BS810" s="106" t="n">
        <v>0.833333333333333</v>
      </c>
      <c r="BT810" s="107"/>
      <c r="BU810" s="107"/>
      <c r="BV810" s="107"/>
      <c r="BW810" s="107"/>
      <c r="BX810" s="107"/>
      <c r="BY810" s="107"/>
      <c r="BZ810" s="107"/>
      <c r="CA810" s="107"/>
      <c r="CB810" s="107"/>
      <c r="CC810" s="107"/>
      <c r="CD810" s="107"/>
      <c r="CE810" s="107"/>
      <c r="CF810" s="107"/>
      <c r="CG810" s="107"/>
      <c r="CH810" s="107"/>
      <c r="CI810" s="107"/>
      <c r="CJ810" s="107"/>
      <c r="CK810" s="107"/>
      <c r="CL810" s="107"/>
      <c r="CM810" s="107"/>
      <c r="CN810" s="107"/>
      <c r="CO810" s="107"/>
      <c r="CP810" s="107"/>
      <c r="CQ810" s="107"/>
      <c r="CR810" s="107"/>
      <c r="CS810" s="107"/>
      <c r="CT810" s="107"/>
      <c r="CU810" s="107"/>
      <c r="CV810" s="107"/>
    </row>
    <row r="811" customFormat="false" ht="14.9" hidden="false" customHeight="false" outlineLevel="0" collapsed="false">
      <c r="A811" s="74" t="n">
        <f aca="false">MONTH(B811)</f>
        <v>10</v>
      </c>
      <c r="B811" s="135" t="n">
        <v>44475</v>
      </c>
      <c r="C811" s="128" t="s">
        <v>70</v>
      </c>
      <c r="D811" s="77" t="str">
        <f aca="false">IFERROR(VLOOKUP(E:E,'Item Data Support Sheet'!A:O,7,0),"")</f>
        <v>NIPPLE PUNCH</v>
      </c>
      <c r="E811" s="80" t="s">
        <v>563</v>
      </c>
      <c r="F811" s="122"/>
      <c r="G811" s="137"/>
      <c r="H811" s="79" t="str">
        <f aca="false">IFERROR(VLOOKUP(E:E,'Item Data Support Sheet'!A:O,2,0),"")</f>
        <v>NIPPLE S TYPE LL SIZE PUNCHED</v>
      </c>
      <c r="I811" s="80" t="s">
        <v>1560</v>
      </c>
      <c r="J811" s="80" t="s">
        <v>155</v>
      </c>
      <c r="K811" s="124" t="n">
        <v>8</v>
      </c>
      <c r="L811" s="124" t="n">
        <v>7000</v>
      </c>
      <c r="M811" s="83" t="n">
        <v>875</v>
      </c>
      <c r="N811" s="84" t="n">
        <f aca="false">+O811+Q811+T811+U811</f>
        <v>6300</v>
      </c>
      <c r="O811" s="85" t="n">
        <v>6300</v>
      </c>
      <c r="P811" s="86" t="n">
        <v>0</v>
      </c>
      <c r="Q811" s="86" t="n">
        <v>0</v>
      </c>
      <c r="R811" s="132" t="n">
        <v>0</v>
      </c>
      <c r="S811" s="128" t="n">
        <v>0</v>
      </c>
      <c r="T811" s="132" t="n">
        <v>0</v>
      </c>
      <c r="U811" s="128" t="n">
        <v>0</v>
      </c>
      <c r="V811" s="128" t="n">
        <v>1</v>
      </c>
      <c r="W811" s="90" t="n">
        <f aca="false">IFERROR(O811/V811,0)</f>
        <v>6300</v>
      </c>
      <c r="X811" s="91" t="n">
        <f aca="false">O811/L811</f>
        <v>0.9</v>
      </c>
      <c r="Y811" s="92" t="str">
        <f aca="false">IFERROR(VLOOKUP(E:E,'Item Data Support Sheet'!A:J,6,0),0)</f>
        <v>FO150</v>
      </c>
      <c r="Z811" s="93" t="n">
        <f aca="false">IFERROR(VLOOKUP(E:E,'Item Data Support Sheet'!A:O,4,0),0)</f>
        <v>0</v>
      </c>
      <c r="AA811" s="93" t="n">
        <f aca="false">IFERROR(((N811)*(Z811/1000))+P811,0)</f>
        <v>0</v>
      </c>
      <c r="AB811" s="94" t="str">
        <f aca="false">IFERROR((O811*(Z811/1000)/(AA811))," ")</f>
        <v> </v>
      </c>
      <c r="AC811" s="95" t="n">
        <f aca="false">IFERROR((T811)/((T811)+O811),0)</f>
        <v>0</v>
      </c>
      <c r="AD811" s="96" t="n">
        <f aca="false">IFERROR(Q811/(Q811+N811),0)</f>
        <v>0</v>
      </c>
      <c r="AE811" s="91" t="n">
        <f aca="false">(N811-T811)/N811</f>
        <v>1</v>
      </c>
      <c r="AF811" s="97" t="n">
        <f aca="false">BR811</f>
        <v>0.666666666666667</v>
      </c>
      <c r="AG811" s="98" t="n">
        <f aca="false">K811-AF811</f>
        <v>7.33333333333333</v>
      </c>
      <c r="AH811" s="99" t="n">
        <f aca="false">IFERROR(AG811/K811," ")</f>
        <v>0.916666666666667</v>
      </c>
      <c r="AI811" s="100" t="n">
        <f aca="false">IFERROR(O811/K811,0)</f>
        <v>787.5</v>
      </c>
      <c r="AJ811" s="101" t="n">
        <f aca="false">VLOOKUP(D811,'Standard Cycle time'!C:D,2,0)</f>
        <v>3.5</v>
      </c>
      <c r="AK811" s="101" t="n">
        <f aca="false">AG811*V811*3600/O811</f>
        <v>4.19047619047619</v>
      </c>
      <c r="AL811" s="102" t="n">
        <f aca="false">AJ811/AK811</f>
        <v>0.835227272727273</v>
      </c>
      <c r="AM811" s="99" t="n">
        <f aca="false">AE811*AL811*AH811</f>
        <v>0.765625</v>
      </c>
      <c r="AN811" s="103" t="n">
        <v>0.765625</v>
      </c>
      <c r="AO811" s="112" t="s">
        <v>1561</v>
      </c>
      <c r="AP811" s="105" t="n">
        <v>40</v>
      </c>
      <c r="AQ811" s="105" t="n">
        <v>0</v>
      </c>
      <c r="AR811" s="105" t="n">
        <v>0</v>
      </c>
      <c r="AS811" s="105" t="n">
        <v>0</v>
      </c>
      <c r="AT811" s="105" t="n">
        <v>0</v>
      </c>
      <c r="AU811" s="105" t="n">
        <v>0</v>
      </c>
      <c r="AV811" s="105" t="n">
        <v>0</v>
      </c>
      <c r="AW811" s="105" t="n">
        <v>0</v>
      </c>
      <c r="AX811" s="105" t="n">
        <v>0</v>
      </c>
      <c r="AY811" s="105" t="n">
        <v>0</v>
      </c>
      <c r="AZ811" s="105" t="n">
        <v>0</v>
      </c>
      <c r="BA811" s="105" t="n">
        <v>0</v>
      </c>
      <c r="BB811" s="105" t="n">
        <v>0</v>
      </c>
      <c r="BC811" s="105" t="n">
        <v>0</v>
      </c>
      <c r="BD811" s="105" t="n">
        <v>0</v>
      </c>
      <c r="BE811" s="105" t="n">
        <v>0</v>
      </c>
      <c r="BF811" s="105" t="n">
        <v>0</v>
      </c>
      <c r="BG811" s="105" t="n">
        <v>0</v>
      </c>
      <c r="BH811" s="105" t="n">
        <v>0</v>
      </c>
      <c r="BI811" s="105" t="n">
        <v>0</v>
      </c>
      <c r="BJ811" s="105" t="n">
        <v>0</v>
      </c>
      <c r="BK811" s="105" t="n">
        <v>0</v>
      </c>
      <c r="BL811" s="105" t="n">
        <v>0</v>
      </c>
      <c r="BM811" s="105" t="n">
        <v>0</v>
      </c>
      <c r="BN811" s="105" t="n">
        <v>0</v>
      </c>
      <c r="BO811" s="105" t="n">
        <v>0</v>
      </c>
      <c r="BP811" s="105" t="n">
        <v>0</v>
      </c>
      <c r="BQ811" s="105" t="n">
        <v>0</v>
      </c>
      <c r="BR811" s="106" t="n">
        <v>0.666666666666667</v>
      </c>
      <c r="BS811" s="106" t="n">
        <v>0.666666666666667</v>
      </c>
      <c r="BT811" s="107"/>
      <c r="BU811" s="107"/>
      <c r="BV811" s="107"/>
      <c r="BW811" s="107"/>
      <c r="BX811" s="107"/>
      <c r="BY811" s="107"/>
      <c r="BZ811" s="107"/>
      <c r="CA811" s="107"/>
      <c r="CB811" s="107"/>
      <c r="CC811" s="107"/>
      <c r="CD811" s="107"/>
      <c r="CE811" s="107"/>
      <c r="CF811" s="107"/>
      <c r="CG811" s="107"/>
      <c r="CH811" s="107"/>
      <c r="CI811" s="107"/>
      <c r="CJ811" s="107"/>
      <c r="CK811" s="107"/>
      <c r="CL811" s="107"/>
      <c r="CM811" s="107"/>
      <c r="CN811" s="107"/>
      <c r="CO811" s="107"/>
      <c r="CP811" s="107"/>
      <c r="CQ811" s="107"/>
      <c r="CR811" s="107"/>
      <c r="CS811" s="107"/>
      <c r="CT811" s="107"/>
      <c r="CU811" s="107"/>
      <c r="CV811" s="107"/>
    </row>
    <row r="812" customFormat="false" ht="14.9" hidden="false" customHeight="false" outlineLevel="0" collapsed="false">
      <c r="A812" s="74" t="n">
        <f aca="false">MONTH(B812)</f>
        <v>10</v>
      </c>
      <c r="B812" s="135" t="n">
        <v>44475</v>
      </c>
      <c r="C812" s="128" t="s">
        <v>70</v>
      </c>
      <c r="D812" s="77" t="str">
        <f aca="false">IFERROR(VLOOKUP(E:E,'Item Data Support Sheet'!A:O,7,0),"")</f>
        <v>NIPPLE LASER MARKING</v>
      </c>
      <c r="E812" s="80" t="s">
        <v>600</v>
      </c>
      <c r="F812" s="122"/>
      <c r="G812" s="137" t="s">
        <v>517</v>
      </c>
      <c r="H812" s="79" t="str">
        <f aca="false">IFERROR(VLOOKUP(E:E,'Item Data Support Sheet'!A:O,2,0),"")</f>
        <v>NIPPLE S TYPE LL SIZE LASER MARKED</v>
      </c>
      <c r="I812" s="80" t="s">
        <v>1562</v>
      </c>
      <c r="J812" s="80" t="s">
        <v>155</v>
      </c>
      <c r="K812" s="124" t="n">
        <v>8</v>
      </c>
      <c r="L812" s="124" t="n">
        <v>7000</v>
      </c>
      <c r="M812" s="83" t="n">
        <v>875</v>
      </c>
      <c r="N812" s="84" t="n">
        <f aca="false">+O812+Q812+T812+U812</f>
        <v>6300</v>
      </c>
      <c r="O812" s="85" t="n">
        <v>6300</v>
      </c>
      <c r="P812" s="86" t="n">
        <v>0</v>
      </c>
      <c r="Q812" s="86" t="n">
        <v>0</v>
      </c>
      <c r="R812" s="132" t="n">
        <v>0</v>
      </c>
      <c r="S812" s="128" t="n">
        <v>0</v>
      </c>
      <c r="T812" s="132" t="n">
        <v>0</v>
      </c>
      <c r="U812" s="128" t="n">
        <v>0</v>
      </c>
      <c r="V812" s="128" t="n">
        <v>1</v>
      </c>
      <c r="W812" s="90" t="n">
        <f aca="false">IFERROR(O812/V812,0)</f>
        <v>6300</v>
      </c>
      <c r="X812" s="91" t="n">
        <f aca="false">O812/L812</f>
        <v>0.9</v>
      </c>
      <c r="Y812" s="92" t="str">
        <f aca="false">IFERROR(VLOOKUP(E:E,'Item Data Support Sheet'!A:J,6,0),0)</f>
        <v>FO151</v>
      </c>
      <c r="Z812" s="93" t="n">
        <f aca="false">IFERROR(VLOOKUP(E:E,'Item Data Support Sheet'!A:O,4,0),0)</f>
        <v>0</v>
      </c>
      <c r="AA812" s="93" t="n">
        <f aca="false">IFERROR(((N812)*(Z812/1000))+P812,0)</f>
        <v>0</v>
      </c>
      <c r="AB812" s="94" t="str">
        <f aca="false">IFERROR((O812*(Z812/1000)/(AA812))," ")</f>
        <v> </v>
      </c>
      <c r="AC812" s="95" t="n">
        <f aca="false">IFERROR((T812)/((T812)+O812),0)</f>
        <v>0</v>
      </c>
      <c r="AD812" s="96" t="n">
        <f aca="false">IFERROR(Q812/(Q812+N812),0)</f>
        <v>0</v>
      </c>
      <c r="AE812" s="91" t="n">
        <f aca="false">(N812-T812)/N812</f>
        <v>1</v>
      </c>
      <c r="AF812" s="97" t="n">
        <f aca="false">BR812</f>
        <v>0.666666666666667</v>
      </c>
      <c r="AG812" s="98" t="n">
        <f aca="false">K812-AF812</f>
        <v>7.33333333333333</v>
      </c>
      <c r="AH812" s="99" t="n">
        <f aca="false">IFERROR(AG812/K812," ")</f>
        <v>0.916666666666667</v>
      </c>
      <c r="AI812" s="100" t="n">
        <f aca="false">IFERROR(O812/K812,0)</f>
        <v>787.5</v>
      </c>
      <c r="AJ812" s="101" t="n">
        <f aca="false">VLOOKUP(D812,'Standard Cycle time'!C:D,2,0)</f>
        <v>3.5</v>
      </c>
      <c r="AK812" s="101" t="n">
        <f aca="false">AG812*V812*3600/O812</f>
        <v>4.19047619047619</v>
      </c>
      <c r="AL812" s="102" t="n">
        <f aca="false">AJ812/AK812</f>
        <v>0.835227272727273</v>
      </c>
      <c r="AM812" s="99" t="n">
        <f aca="false">AE812*AL812*AH812</f>
        <v>0.765625</v>
      </c>
      <c r="AN812" s="103" t="n">
        <v>0.765625</v>
      </c>
      <c r="AO812" s="112" t="s">
        <v>1561</v>
      </c>
      <c r="AP812" s="105" t="n">
        <v>40</v>
      </c>
      <c r="AQ812" s="105" t="n">
        <v>0</v>
      </c>
      <c r="AR812" s="105" t="n">
        <v>0</v>
      </c>
      <c r="AS812" s="105" t="n">
        <v>0</v>
      </c>
      <c r="AT812" s="105" t="n">
        <v>0</v>
      </c>
      <c r="AU812" s="105" t="n">
        <v>0</v>
      </c>
      <c r="AV812" s="105" t="n">
        <v>0</v>
      </c>
      <c r="AW812" s="105" t="n">
        <v>0</v>
      </c>
      <c r="AX812" s="105" t="n">
        <v>0</v>
      </c>
      <c r="AY812" s="105" t="n">
        <v>0</v>
      </c>
      <c r="AZ812" s="105" t="n">
        <v>0</v>
      </c>
      <c r="BA812" s="105" t="n">
        <v>0</v>
      </c>
      <c r="BB812" s="105" t="n">
        <v>0</v>
      </c>
      <c r="BC812" s="105" t="n">
        <v>0</v>
      </c>
      <c r="BD812" s="105" t="n">
        <v>0</v>
      </c>
      <c r="BE812" s="105" t="n">
        <v>0</v>
      </c>
      <c r="BF812" s="105" t="n">
        <v>0</v>
      </c>
      <c r="BG812" s="105" t="n">
        <v>0</v>
      </c>
      <c r="BH812" s="105" t="n">
        <v>0</v>
      </c>
      <c r="BI812" s="105" t="n">
        <v>0</v>
      </c>
      <c r="BJ812" s="105" t="n">
        <v>0</v>
      </c>
      <c r="BK812" s="105" t="n">
        <v>0</v>
      </c>
      <c r="BL812" s="105" t="n">
        <v>0</v>
      </c>
      <c r="BM812" s="105" t="n">
        <v>0</v>
      </c>
      <c r="BN812" s="105" t="n">
        <v>0</v>
      </c>
      <c r="BO812" s="105" t="n">
        <v>0</v>
      </c>
      <c r="BP812" s="105" t="n">
        <v>0</v>
      </c>
      <c r="BQ812" s="105" t="n">
        <v>0</v>
      </c>
      <c r="BR812" s="106" t="n">
        <v>0.666666666666667</v>
      </c>
      <c r="BS812" s="106" t="n">
        <v>0.666666666666667</v>
      </c>
      <c r="BT812" s="107"/>
      <c r="BU812" s="107"/>
      <c r="BV812" s="107"/>
      <c r="BW812" s="107"/>
      <c r="BX812" s="107"/>
      <c r="BY812" s="107"/>
      <c r="BZ812" s="107"/>
      <c r="CA812" s="107"/>
      <c r="CB812" s="107"/>
      <c r="CC812" s="107"/>
      <c r="CD812" s="107"/>
      <c r="CE812" s="107"/>
      <c r="CF812" s="107"/>
      <c r="CG812" s="107"/>
      <c r="CH812" s="107"/>
      <c r="CI812" s="107"/>
      <c r="CJ812" s="107"/>
      <c r="CK812" s="107"/>
      <c r="CL812" s="107"/>
      <c r="CM812" s="107"/>
      <c r="CN812" s="107"/>
      <c r="CO812" s="107"/>
      <c r="CP812" s="107"/>
      <c r="CQ812" s="107"/>
      <c r="CR812" s="107"/>
      <c r="CS812" s="107"/>
      <c r="CT812" s="107"/>
      <c r="CU812" s="107"/>
      <c r="CV812" s="107"/>
    </row>
    <row r="813" customFormat="false" ht="14.9" hidden="false" customHeight="false" outlineLevel="0" collapsed="false">
      <c r="A813" s="74" t="n">
        <f aca="false">MONTH(B813)</f>
        <v>10</v>
      </c>
      <c r="B813" s="135" t="n">
        <v>44475</v>
      </c>
      <c r="C813" s="128" t="s">
        <v>70</v>
      </c>
      <c r="D813" s="77" t="str">
        <f aca="false">IFERROR(VLOOKUP(E:E,'Item Data Support Sheet'!A:O,7,0),"")</f>
        <v>NIPPLE MOLDED</v>
      </c>
      <c r="E813" s="80" t="s">
        <v>492</v>
      </c>
      <c r="F813" s="122" t="s">
        <v>137</v>
      </c>
      <c r="G813" s="137" t="s">
        <v>138</v>
      </c>
      <c r="H813" s="79" t="str">
        <f aca="false">IFERROR(VLOOKUP(E:E,'Item Data Support Sheet'!A:O,2,0),"")</f>
        <v>NIPPLE S TYPE LL SIZE INJECTION</v>
      </c>
      <c r="I813" s="80" t="s">
        <v>1563</v>
      </c>
      <c r="J813" s="80" t="s">
        <v>155</v>
      </c>
      <c r="K813" s="124" t="n">
        <v>8</v>
      </c>
      <c r="L813" s="124" t="n">
        <v>4815</v>
      </c>
      <c r="M813" s="83" t="n">
        <v>601.875</v>
      </c>
      <c r="N813" s="84" t="n">
        <f aca="false">+O813+Q813+T813+U813</f>
        <v>5390</v>
      </c>
      <c r="O813" s="85" t="n">
        <v>5300</v>
      </c>
      <c r="P813" s="86" t="n">
        <v>0</v>
      </c>
      <c r="Q813" s="86" t="n">
        <v>27</v>
      </c>
      <c r="R813" s="132" t="n">
        <v>0</v>
      </c>
      <c r="S813" s="128" t="n">
        <v>0</v>
      </c>
      <c r="T813" s="132" t="n">
        <v>63</v>
      </c>
      <c r="U813" s="128" t="n">
        <v>0</v>
      </c>
      <c r="V813" s="128" t="n">
        <v>1</v>
      </c>
      <c r="W813" s="90" t="n">
        <f aca="false">IFERROR(O813/V813,0)</f>
        <v>5300</v>
      </c>
      <c r="X813" s="91" t="n">
        <f aca="false">O813/L813</f>
        <v>1.10072689511942</v>
      </c>
      <c r="Y813" s="92" t="str">
        <f aca="false">IFERROR(VLOOKUP(E:E,'Item Data Support Sheet'!A:J,6,0),0)</f>
        <v>FO148</v>
      </c>
      <c r="Z813" s="93" t="n">
        <f aca="false">IFERROR(VLOOKUP(E:E,'Item Data Support Sheet'!A:O,4,0),0)</f>
        <v>6.8</v>
      </c>
      <c r="AA813" s="93" t="n">
        <f aca="false">IFERROR(((N813)*(Z813/1000))+P813,0)</f>
        <v>36.652</v>
      </c>
      <c r="AB813" s="94" t="n">
        <f aca="false">IFERROR((O813*(Z813/1000)/(AA813))," ")</f>
        <v>0.98330241187384</v>
      </c>
      <c r="AC813" s="95" t="n">
        <f aca="false">IFERROR((T813)/((T813)+O813),0)</f>
        <v>0.0117471564422898</v>
      </c>
      <c r="AD813" s="96" t="n">
        <f aca="false">IFERROR(Q813/(Q813+N813),0)</f>
        <v>0.00498430865792874</v>
      </c>
      <c r="AE813" s="91" t="n">
        <f aca="false">(N813-T813)/N813</f>
        <v>0.988311688311688</v>
      </c>
      <c r="AF813" s="97" t="n">
        <f aca="false">BR813</f>
        <v>0</v>
      </c>
      <c r="AG813" s="98" t="n">
        <f aca="false">K813-AF813</f>
        <v>8</v>
      </c>
      <c r="AH813" s="99" t="n">
        <f aca="false">IFERROR(AG813/K813," ")</f>
        <v>1</v>
      </c>
      <c r="AI813" s="100" t="n">
        <f aca="false">IFERROR(O813/K813,0)</f>
        <v>662.5</v>
      </c>
      <c r="AJ813" s="101" t="n">
        <f aca="false">VLOOKUP(D813,'Standard Cycle time'!C:D,2,0)</f>
        <v>5.25</v>
      </c>
      <c r="AK813" s="101" t="n">
        <f aca="false">AG813*V813*3600/O813</f>
        <v>5.43396226415094</v>
      </c>
      <c r="AL813" s="102" t="n">
        <f aca="false">AJ813/AK813</f>
        <v>0.966145833333333</v>
      </c>
      <c r="AM813" s="99" t="n">
        <f aca="false">AE813*AL813*AH813</f>
        <v>0.95485321969697</v>
      </c>
      <c r="AN813" s="103" t="n">
        <v>0.95485321969697</v>
      </c>
      <c r="AO813" s="112"/>
      <c r="AP813" s="105" t="n">
        <v>0</v>
      </c>
      <c r="AQ813" s="105" t="n">
        <v>0</v>
      </c>
      <c r="AR813" s="105" t="n">
        <v>0</v>
      </c>
      <c r="AS813" s="105" t="n">
        <v>0</v>
      </c>
      <c r="AT813" s="105" t="n">
        <v>0</v>
      </c>
      <c r="AU813" s="105" t="n">
        <v>0</v>
      </c>
      <c r="AV813" s="105" t="n">
        <v>0</v>
      </c>
      <c r="AW813" s="105" t="n">
        <v>0</v>
      </c>
      <c r="AX813" s="105" t="n">
        <v>0</v>
      </c>
      <c r="AY813" s="105" t="n">
        <v>0</v>
      </c>
      <c r="AZ813" s="105" t="n">
        <v>0</v>
      </c>
      <c r="BA813" s="105" t="n">
        <v>0</v>
      </c>
      <c r="BB813" s="105" t="n">
        <v>0</v>
      </c>
      <c r="BC813" s="105" t="n">
        <v>0</v>
      </c>
      <c r="BD813" s="105" t="n">
        <v>0</v>
      </c>
      <c r="BE813" s="105" t="n">
        <v>0</v>
      </c>
      <c r="BF813" s="105" t="n">
        <v>0</v>
      </c>
      <c r="BG813" s="105" t="n">
        <v>0</v>
      </c>
      <c r="BH813" s="105" t="n">
        <v>0</v>
      </c>
      <c r="BI813" s="105" t="n">
        <v>0</v>
      </c>
      <c r="BJ813" s="105" t="n">
        <v>0</v>
      </c>
      <c r="BK813" s="105" t="n">
        <v>0</v>
      </c>
      <c r="BL813" s="105" t="n">
        <v>0</v>
      </c>
      <c r="BM813" s="105" t="n">
        <v>0</v>
      </c>
      <c r="BN813" s="105" t="n">
        <v>0</v>
      </c>
      <c r="BO813" s="105" t="n">
        <v>0</v>
      </c>
      <c r="BP813" s="105" t="n">
        <v>0</v>
      </c>
      <c r="BQ813" s="105" t="n">
        <v>0</v>
      </c>
      <c r="BR813" s="106" t="n">
        <v>0</v>
      </c>
      <c r="BS813" s="106" t="n">
        <v>0</v>
      </c>
      <c r="BT813" s="107"/>
      <c r="BU813" s="107"/>
      <c r="BV813" s="107"/>
      <c r="BW813" s="107"/>
      <c r="BX813" s="107"/>
      <c r="BY813" s="107"/>
      <c r="BZ813" s="107"/>
      <c r="CA813" s="107"/>
      <c r="CB813" s="107"/>
      <c r="CC813" s="107"/>
      <c r="CD813" s="107"/>
      <c r="CE813" s="107"/>
      <c r="CF813" s="107"/>
      <c r="CG813" s="107"/>
      <c r="CH813" s="107"/>
      <c r="CI813" s="107"/>
      <c r="CJ813" s="107"/>
      <c r="CK813" s="107"/>
      <c r="CL813" s="107"/>
      <c r="CM813" s="107"/>
      <c r="CN813" s="107"/>
      <c r="CO813" s="107"/>
      <c r="CP813" s="107"/>
      <c r="CQ813" s="107"/>
      <c r="CR813" s="107"/>
      <c r="CS813" s="107"/>
      <c r="CT813" s="107"/>
      <c r="CU813" s="107"/>
      <c r="CV813" s="107"/>
    </row>
    <row r="814" customFormat="false" ht="14.9" hidden="false" customHeight="false" outlineLevel="0" collapsed="false">
      <c r="A814" s="74" t="n">
        <f aca="false">MONTH(B814)</f>
        <v>10</v>
      </c>
      <c r="B814" s="135" t="n">
        <v>44475</v>
      </c>
      <c r="C814" s="128" t="s">
        <v>70</v>
      </c>
      <c r="D814" s="77" t="str">
        <f aca="false">IFERROR(VLOOKUP(E:E,'Item Data Support Sheet'!A:O,7,0),"")</f>
        <v>BOTTLE MOLDED</v>
      </c>
      <c r="E814" s="80" t="s">
        <v>78</v>
      </c>
      <c r="F814" s="122" t="s">
        <v>79</v>
      </c>
      <c r="G814" s="137" t="s">
        <v>74</v>
      </c>
      <c r="H814" s="79" t="str">
        <f aca="false">IFERROR(VLOOKUP(E:E,'Item Data Support Sheet'!A:O,2,0),"")</f>
        <v>RPP 120 ML BOTTLE MOLDED</v>
      </c>
      <c r="I814" s="80" t="s">
        <v>1564</v>
      </c>
      <c r="J814" s="80" t="s">
        <v>155</v>
      </c>
      <c r="K814" s="124" t="n">
        <v>8</v>
      </c>
      <c r="L814" s="124" t="n">
        <v>2574</v>
      </c>
      <c r="M814" s="83" t="n">
        <v>321.75</v>
      </c>
      <c r="N814" s="84" t="n">
        <f aca="false">+O814+Q814+T814+U814</f>
        <v>2831</v>
      </c>
      <c r="O814" s="85" t="n">
        <v>2739</v>
      </c>
      <c r="P814" s="86" t="n">
        <v>0.2</v>
      </c>
      <c r="Q814" s="86" t="n">
        <v>48</v>
      </c>
      <c r="R814" s="132" t="n">
        <v>0</v>
      </c>
      <c r="S814" s="128" t="n">
        <v>0</v>
      </c>
      <c r="T814" s="132" t="n">
        <v>44</v>
      </c>
      <c r="U814" s="128" t="n">
        <v>0</v>
      </c>
      <c r="V814" s="128" t="n">
        <v>1</v>
      </c>
      <c r="W814" s="90" t="n">
        <f aca="false">IFERROR(O814/V814,0)</f>
        <v>2739</v>
      </c>
      <c r="X814" s="91" t="n">
        <f aca="false">O814/L814</f>
        <v>1.06410256410256</v>
      </c>
      <c r="Y814" s="92" t="str">
        <f aca="false">IFERROR(VLOOKUP(E:E,'Item Data Support Sheet'!A:J,6,0),0)</f>
        <v>HMC</v>
      </c>
      <c r="Z814" s="93" t="n">
        <f aca="false">IFERROR(VLOOKUP(E:E,'Item Data Support Sheet'!A:O,4,0),0)</f>
        <v>21.3</v>
      </c>
      <c r="AA814" s="93" t="n">
        <f aca="false">IFERROR(((N814)*(Z814/1000))+P814,0)</f>
        <v>60.5003</v>
      </c>
      <c r="AB814" s="94" t="n">
        <f aca="false">IFERROR((O814*(Z814/1000)/(AA814))," ")</f>
        <v>0.96430430923483</v>
      </c>
      <c r="AC814" s="95" t="n">
        <f aca="false">IFERROR((T814)/((T814)+O814),0)</f>
        <v>0.0158102766798419</v>
      </c>
      <c r="AD814" s="96" t="n">
        <f aca="false">IFERROR(Q814/(Q814+N814),0)</f>
        <v>0.0166724557137895</v>
      </c>
      <c r="AE814" s="91" t="n">
        <f aca="false">(N814-T814)/N814</f>
        <v>0.98445778876722</v>
      </c>
      <c r="AF814" s="97" t="n">
        <f aca="false">BR814</f>
        <v>0</v>
      </c>
      <c r="AG814" s="98" t="n">
        <f aca="false">K814-AF814</f>
        <v>8</v>
      </c>
      <c r="AH814" s="99" t="n">
        <f aca="false">IFERROR(AG814/K814," ")</f>
        <v>1</v>
      </c>
      <c r="AI814" s="100" t="n">
        <f aca="false">IFERROR(O814/K814,0)</f>
        <v>342.375</v>
      </c>
      <c r="AJ814" s="101" t="n">
        <f aca="false">VLOOKUP(D814,'Standard Cycle time'!C:D,2,0)</f>
        <v>9</v>
      </c>
      <c r="AK814" s="101" t="n">
        <f aca="false">AG814*V814*3600/O814</f>
        <v>10.5147864184009</v>
      </c>
      <c r="AL814" s="102" t="n">
        <f aca="false">AJ814/AK814</f>
        <v>0.8559375</v>
      </c>
      <c r="AM814" s="99" t="n">
        <f aca="false">AE814*AL814*AH814</f>
        <v>0.842634338572942</v>
      </c>
      <c r="AN814" s="103" t="n">
        <v>0.842634338572942</v>
      </c>
      <c r="AO814" s="112"/>
      <c r="AP814" s="105" t="n">
        <v>0</v>
      </c>
      <c r="AQ814" s="105" t="n">
        <v>0</v>
      </c>
      <c r="AR814" s="105" t="n">
        <v>0</v>
      </c>
      <c r="AS814" s="105" t="n">
        <v>0</v>
      </c>
      <c r="AT814" s="105" t="n">
        <v>0</v>
      </c>
      <c r="AU814" s="105" t="n">
        <v>0</v>
      </c>
      <c r="AV814" s="105" t="n">
        <v>0</v>
      </c>
      <c r="AW814" s="105" t="n">
        <v>0</v>
      </c>
      <c r="AX814" s="105" t="n">
        <v>0</v>
      </c>
      <c r="AY814" s="105" t="n">
        <v>0</v>
      </c>
      <c r="AZ814" s="105" t="n">
        <v>0</v>
      </c>
      <c r="BA814" s="105" t="n">
        <v>0</v>
      </c>
      <c r="BB814" s="105" t="n">
        <v>0</v>
      </c>
      <c r="BC814" s="105" t="n">
        <v>0</v>
      </c>
      <c r="BD814" s="105" t="n">
        <v>0</v>
      </c>
      <c r="BE814" s="105" t="n">
        <v>0</v>
      </c>
      <c r="BF814" s="105" t="n">
        <v>0</v>
      </c>
      <c r="BG814" s="105" t="n">
        <v>0</v>
      </c>
      <c r="BH814" s="105" t="n">
        <v>0</v>
      </c>
      <c r="BI814" s="105" t="n">
        <v>0</v>
      </c>
      <c r="BJ814" s="105" t="n">
        <v>0</v>
      </c>
      <c r="BK814" s="105" t="n">
        <v>0</v>
      </c>
      <c r="BL814" s="105" t="n">
        <v>0</v>
      </c>
      <c r="BM814" s="105" t="n">
        <v>0</v>
      </c>
      <c r="BN814" s="105" t="n">
        <v>0</v>
      </c>
      <c r="BO814" s="105" t="n">
        <v>0</v>
      </c>
      <c r="BP814" s="105" t="n">
        <v>0</v>
      </c>
      <c r="BQ814" s="105" t="n">
        <v>0</v>
      </c>
      <c r="BR814" s="106" t="n">
        <v>0</v>
      </c>
      <c r="BS814" s="106" t="n">
        <v>0</v>
      </c>
      <c r="BT814" s="107"/>
      <c r="BU814" s="107"/>
      <c r="BV814" s="107"/>
      <c r="BW814" s="107"/>
      <c r="BX814" s="107"/>
      <c r="BY814" s="107"/>
      <c r="BZ814" s="107"/>
      <c r="CA814" s="107"/>
      <c r="CB814" s="107"/>
      <c r="CC814" s="107"/>
      <c r="CD814" s="107"/>
      <c r="CE814" s="107"/>
      <c r="CF814" s="107"/>
      <c r="CG814" s="107"/>
      <c r="CH814" s="107"/>
      <c r="CI814" s="107"/>
      <c r="CJ814" s="107"/>
      <c r="CK814" s="107"/>
      <c r="CL814" s="107"/>
      <c r="CM814" s="107"/>
      <c r="CN814" s="107"/>
      <c r="CO814" s="107"/>
      <c r="CP814" s="107"/>
      <c r="CQ814" s="107"/>
      <c r="CR814" s="107"/>
      <c r="CS814" s="107"/>
      <c r="CT814" s="107"/>
      <c r="CU814" s="107"/>
      <c r="CV814" s="107"/>
    </row>
    <row r="815" customFormat="false" ht="14.9" hidden="false" customHeight="false" outlineLevel="0" collapsed="false">
      <c r="A815" s="74" t="n">
        <f aca="false">MONTH(B815)</f>
        <v>10</v>
      </c>
      <c r="B815" s="135" t="n">
        <v>44475</v>
      </c>
      <c r="C815" s="128" t="s">
        <v>70</v>
      </c>
      <c r="D815" s="77" t="str">
        <f aca="false">IFERROR(VLOOKUP(E:E,'Item Data Support Sheet'!A:O,7,0),"")</f>
        <v>CAP MOLDED</v>
      </c>
      <c r="E815" s="80" t="s">
        <v>199</v>
      </c>
      <c r="F815" s="122"/>
      <c r="G815" s="137" t="s">
        <v>1478</v>
      </c>
      <c r="H815" s="79" t="str">
        <f aca="false">IFERROR(VLOOKUP(E:E,'Item Data Support Sheet'!A:O,2,0),"")</f>
        <v>CAP S TYPE MOLDED RED</v>
      </c>
      <c r="I815" s="80" t="s">
        <v>1565</v>
      </c>
      <c r="J815" s="80" t="s">
        <v>155</v>
      </c>
      <c r="K815" s="124" t="n">
        <v>1</v>
      </c>
      <c r="L815" s="124" t="n">
        <v>517</v>
      </c>
      <c r="M815" s="83" t="n">
        <v>517</v>
      </c>
      <c r="N815" s="84" t="n">
        <f aca="false">+O815+Q815+T815+U815</f>
        <v>750</v>
      </c>
      <c r="O815" s="85" t="n">
        <v>750</v>
      </c>
      <c r="P815" s="86" t="n">
        <v>0</v>
      </c>
      <c r="Q815" s="86" t="n">
        <v>0</v>
      </c>
      <c r="R815" s="132" t="n">
        <v>0</v>
      </c>
      <c r="S815" s="128" t="n">
        <v>0</v>
      </c>
      <c r="T815" s="132" t="n">
        <v>0</v>
      </c>
      <c r="U815" s="128" t="n">
        <v>0</v>
      </c>
      <c r="V815" s="128" t="n">
        <v>1</v>
      </c>
      <c r="W815" s="90" t="n">
        <f aca="false">IFERROR(O815/V815,0)</f>
        <v>750</v>
      </c>
      <c r="X815" s="91" t="n">
        <f aca="false">O815/L815</f>
        <v>1.45067698259188</v>
      </c>
      <c r="Y815" s="92" t="str">
        <f aca="false">IFERROR(VLOOKUP(E:E,'Item Data Support Sheet'!A:J,6,0),0)</f>
        <v>FO153</v>
      </c>
      <c r="Z815" s="93" t="n">
        <f aca="false">IFERROR(VLOOKUP(E:E,'Item Data Support Sheet'!A:O,4,0),0)</f>
        <v>7.3</v>
      </c>
      <c r="AA815" s="93" t="n">
        <f aca="false">IFERROR(((N815)*(Z815/1000))+P815,0)</f>
        <v>5.475</v>
      </c>
      <c r="AB815" s="94" t="n">
        <f aca="false">IFERROR((O815*(Z815/1000)/(AA815))," ")</f>
        <v>1</v>
      </c>
      <c r="AC815" s="95" t="n">
        <f aca="false">IFERROR((T815)/((T815)+O815),0)</f>
        <v>0</v>
      </c>
      <c r="AD815" s="96" t="n">
        <f aca="false">IFERROR(Q815/(Q815+N815),0)</f>
        <v>0</v>
      </c>
      <c r="AE815" s="91" t="n">
        <f aca="false">(N815-T815)/N815</f>
        <v>1</v>
      </c>
      <c r="AF815" s="97" t="n">
        <f aca="false">BR815</f>
        <v>0</v>
      </c>
      <c r="AG815" s="98" t="n">
        <f aca="false">K815-AF815</f>
        <v>1</v>
      </c>
      <c r="AH815" s="99" t="n">
        <f aca="false">IFERROR(AG815/K815," ")</f>
        <v>1</v>
      </c>
      <c r="AI815" s="100" t="n">
        <f aca="false">IFERROR(O815/K815,0)</f>
        <v>750</v>
      </c>
      <c r="AJ815" s="101" t="n">
        <f aca="false">VLOOKUP(D815,'Standard Cycle time'!C:D,2,0)</f>
        <v>6</v>
      </c>
      <c r="AK815" s="101" t="n">
        <f aca="false">AG815*V815*3600/O815</f>
        <v>4.8</v>
      </c>
      <c r="AL815" s="102" t="n">
        <f aca="false">AJ815/AK815</f>
        <v>1.25</v>
      </c>
      <c r="AM815" s="99" t="n">
        <f aca="false">AE815*AL815*AH815</f>
        <v>1.25</v>
      </c>
      <c r="AN815" s="103" t="n">
        <v>1.25</v>
      </c>
      <c r="AO815" s="112"/>
      <c r="AP815" s="105" t="n">
        <v>0</v>
      </c>
      <c r="AQ815" s="105" t="n">
        <v>0</v>
      </c>
      <c r="AR815" s="105" t="n">
        <v>0</v>
      </c>
      <c r="AS815" s="105" t="n">
        <v>0</v>
      </c>
      <c r="AT815" s="105" t="n">
        <v>0</v>
      </c>
      <c r="AU815" s="105" t="n">
        <v>0</v>
      </c>
      <c r="AV815" s="105" t="n">
        <v>0</v>
      </c>
      <c r="AW815" s="105" t="n">
        <v>0</v>
      </c>
      <c r="AX815" s="105" t="n">
        <v>0</v>
      </c>
      <c r="AY815" s="105" t="n">
        <v>0</v>
      </c>
      <c r="AZ815" s="105" t="n">
        <v>0</v>
      </c>
      <c r="BA815" s="105" t="n">
        <v>0</v>
      </c>
      <c r="BB815" s="105" t="n">
        <v>0</v>
      </c>
      <c r="BC815" s="105" t="n">
        <v>0</v>
      </c>
      <c r="BD815" s="105" t="n">
        <v>0</v>
      </c>
      <c r="BE815" s="105" t="n">
        <v>0</v>
      </c>
      <c r="BF815" s="105" t="n">
        <v>0</v>
      </c>
      <c r="BG815" s="105" t="n">
        <v>0</v>
      </c>
      <c r="BH815" s="105" t="n">
        <v>0</v>
      </c>
      <c r="BI815" s="105" t="n">
        <v>0</v>
      </c>
      <c r="BJ815" s="105" t="n">
        <v>0</v>
      </c>
      <c r="BK815" s="105" t="n">
        <v>0</v>
      </c>
      <c r="BL815" s="105" t="n">
        <v>0</v>
      </c>
      <c r="BM815" s="105" t="n">
        <v>0</v>
      </c>
      <c r="BN815" s="105" t="n">
        <v>0</v>
      </c>
      <c r="BO815" s="105" t="n">
        <v>0</v>
      </c>
      <c r="BP815" s="105" t="n">
        <v>0</v>
      </c>
      <c r="BQ815" s="105" t="n">
        <v>0</v>
      </c>
      <c r="BR815" s="106" t="n">
        <v>0</v>
      </c>
      <c r="BS815" s="106" t="n">
        <v>0</v>
      </c>
      <c r="BT815" s="107"/>
      <c r="BU815" s="107"/>
      <c r="BV815" s="107"/>
      <c r="BW815" s="107"/>
      <c r="BX815" s="107"/>
      <c r="BY815" s="107"/>
      <c r="BZ815" s="107"/>
      <c r="CA815" s="107"/>
      <c r="CB815" s="107"/>
      <c r="CC815" s="107"/>
      <c r="CD815" s="107"/>
      <c r="CE815" s="107"/>
      <c r="CF815" s="107"/>
      <c r="CG815" s="107"/>
      <c r="CH815" s="107"/>
      <c r="CI815" s="107"/>
      <c r="CJ815" s="107"/>
      <c r="CK815" s="107"/>
      <c r="CL815" s="107"/>
      <c r="CM815" s="107"/>
      <c r="CN815" s="107"/>
      <c r="CO815" s="107"/>
      <c r="CP815" s="107"/>
      <c r="CQ815" s="107"/>
      <c r="CR815" s="107"/>
      <c r="CS815" s="107"/>
      <c r="CT815" s="107"/>
      <c r="CU815" s="107"/>
      <c r="CV815" s="107"/>
    </row>
    <row r="816" customFormat="false" ht="14.9" hidden="false" customHeight="false" outlineLevel="0" collapsed="false">
      <c r="A816" s="74" t="n">
        <f aca="false">MONTH(B816)</f>
        <v>10</v>
      </c>
      <c r="B816" s="135" t="n">
        <v>44475</v>
      </c>
      <c r="C816" s="128" t="s">
        <v>70</v>
      </c>
      <c r="D816" s="77" t="str">
        <f aca="false">IFERROR(VLOOKUP(E:E,'Item Data Support Sheet'!A:O,7,0),"")</f>
        <v>CAP MOLDED</v>
      </c>
      <c r="E816" s="80" t="s">
        <v>199</v>
      </c>
      <c r="F816" s="122"/>
      <c r="G816" s="137" t="s">
        <v>1215</v>
      </c>
      <c r="H816" s="79" t="str">
        <f aca="false">IFERROR(VLOOKUP(E:E,'Item Data Support Sheet'!A:O,2,0),"")</f>
        <v>CAP S TYPE MOLDED RED</v>
      </c>
      <c r="I816" s="80" t="s">
        <v>1566</v>
      </c>
      <c r="J816" s="80" t="s">
        <v>155</v>
      </c>
      <c r="K816" s="124" t="n">
        <v>7</v>
      </c>
      <c r="L816" s="124" t="n">
        <v>3620</v>
      </c>
      <c r="M816" s="83" t="n">
        <v>517.142857142857</v>
      </c>
      <c r="N816" s="84" t="n">
        <f aca="false">+O816+Q816+T816+U816</f>
        <v>3304</v>
      </c>
      <c r="O816" s="85" t="n">
        <v>3300</v>
      </c>
      <c r="P816" s="86" t="n">
        <v>0</v>
      </c>
      <c r="Q816" s="86" t="n">
        <v>0</v>
      </c>
      <c r="R816" s="132" t="n">
        <v>0</v>
      </c>
      <c r="S816" s="128" t="n">
        <v>0</v>
      </c>
      <c r="T816" s="132" t="n">
        <v>4</v>
      </c>
      <c r="U816" s="128" t="n">
        <v>0</v>
      </c>
      <c r="V816" s="128" t="n">
        <v>1</v>
      </c>
      <c r="W816" s="90" t="n">
        <f aca="false">IFERROR(O816/V816,0)</f>
        <v>3300</v>
      </c>
      <c r="X816" s="91" t="n">
        <f aca="false">O816/L816</f>
        <v>0.911602209944751</v>
      </c>
      <c r="Y816" s="92" t="str">
        <f aca="false">IFERROR(VLOOKUP(E:E,'Item Data Support Sheet'!A:J,6,0),0)</f>
        <v>FO153</v>
      </c>
      <c r="Z816" s="93" t="n">
        <f aca="false">IFERROR(VLOOKUP(E:E,'Item Data Support Sheet'!A:O,4,0),0)</f>
        <v>7.3</v>
      </c>
      <c r="AA816" s="93" t="n">
        <f aca="false">IFERROR(((N816)*(Z816/1000))+P816,0)</f>
        <v>24.1192</v>
      </c>
      <c r="AB816" s="94" t="n">
        <f aca="false">IFERROR((O816*(Z816/1000)/(AA816))," ")</f>
        <v>0.998789346246973</v>
      </c>
      <c r="AC816" s="95" t="n">
        <f aca="false">IFERROR((T816)/((T816)+O816),0)</f>
        <v>0.00121065375302663</v>
      </c>
      <c r="AD816" s="96" t="n">
        <f aca="false">IFERROR(Q816/(Q816+N816),0)</f>
        <v>0</v>
      </c>
      <c r="AE816" s="91" t="n">
        <f aca="false">(N816-T816)/N816</f>
        <v>0.998789346246973</v>
      </c>
      <c r="AF816" s="97" t="n">
        <f aca="false">BR816</f>
        <v>1.25</v>
      </c>
      <c r="AG816" s="98" t="n">
        <f aca="false">K816-AF816</f>
        <v>5.75</v>
      </c>
      <c r="AH816" s="99" t="n">
        <f aca="false">IFERROR(AG816/K816," ")</f>
        <v>0.821428571428571</v>
      </c>
      <c r="AI816" s="100" t="n">
        <f aca="false">IFERROR(O816/K816,0)</f>
        <v>471.428571428571</v>
      </c>
      <c r="AJ816" s="101" t="n">
        <f aca="false">VLOOKUP(D816,'Standard Cycle time'!C:D,2,0)</f>
        <v>6</v>
      </c>
      <c r="AK816" s="101" t="n">
        <f aca="false">AG816*V816*3600/O816</f>
        <v>6.27272727272727</v>
      </c>
      <c r="AL816" s="102" t="n">
        <f aca="false">AJ816/AK816</f>
        <v>0.956521739130435</v>
      </c>
      <c r="AM816" s="99" t="n">
        <f aca="false">AE816*AL816*AH816</f>
        <v>0.784763057765479</v>
      </c>
      <c r="AN816" s="103" t="n">
        <v>0.784763057765479</v>
      </c>
      <c r="AO816" s="112"/>
      <c r="AP816" s="105" t="n">
        <v>0</v>
      </c>
      <c r="AQ816" s="105" t="n">
        <v>0</v>
      </c>
      <c r="AR816" s="105" t="n">
        <v>0</v>
      </c>
      <c r="AS816" s="105" t="n">
        <v>0</v>
      </c>
      <c r="AT816" s="105" t="n">
        <v>0</v>
      </c>
      <c r="AU816" s="105" t="n">
        <v>0</v>
      </c>
      <c r="AV816" s="105" t="n">
        <v>0</v>
      </c>
      <c r="AW816" s="105" t="n">
        <v>30</v>
      </c>
      <c r="AX816" s="105" t="n">
        <v>0</v>
      </c>
      <c r="AY816" s="105" t="n">
        <v>0</v>
      </c>
      <c r="AZ816" s="105" t="n">
        <v>45</v>
      </c>
      <c r="BA816" s="105" t="n">
        <v>0</v>
      </c>
      <c r="BB816" s="105" t="n">
        <v>0</v>
      </c>
      <c r="BC816" s="105" t="n">
        <v>0</v>
      </c>
      <c r="BD816" s="105" t="n">
        <v>0</v>
      </c>
      <c r="BE816" s="105" t="n">
        <v>0</v>
      </c>
      <c r="BF816" s="105" t="n">
        <v>0</v>
      </c>
      <c r="BG816" s="105" t="n">
        <v>0</v>
      </c>
      <c r="BH816" s="105" t="n">
        <v>0</v>
      </c>
      <c r="BI816" s="105" t="n">
        <v>0</v>
      </c>
      <c r="BJ816" s="105" t="n">
        <v>0</v>
      </c>
      <c r="BK816" s="105" t="n">
        <v>0</v>
      </c>
      <c r="BL816" s="105" t="n">
        <v>0</v>
      </c>
      <c r="BM816" s="105" t="n">
        <v>0</v>
      </c>
      <c r="BN816" s="105" t="n">
        <v>0</v>
      </c>
      <c r="BO816" s="105" t="n">
        <v>0</v>
      </c>
      <c r="BP816" s="105" t="n">
        <v>0</v>
      </c>
      <c r="BQ816" s="105" t="n">
        <v>0</v>
      </c>
      <c r="BR816" s="106" t="n">
        <v>1.25</v>
      </c>
      <c r="BS816" s="106" t="n">
        <v>1.25</v>
      </c>
      <c r="BT816" s="107"/>
      <c r="BU816" s="107"/>
      <c r="BV816" s="107"/>
      <c r="BW816" s="107"/>
      <c r="BX816" s="107"/>
      <c r="BY816" s="107"/>
      <c r="BZ816" s="107"/>
      <c r="CA816" s="107"/>
      <c r="CB816" s="107"/>
      <c r="CC816" s="107"/>
      <c r="CD816" s="107"/>
      <c r="CE816" s="107"/>
      <c r="CF816" s="107"/>
      <c r="CG816" s="107"/>
      <c r="CH816" s="107"/>
      <c r="CI816" s="107"/>
      <c r="CJ816" s="107"/>
      <c r="CK816" s="107"/>
      <c r="CL816" s="107"/>
      <c r="CM816" s="107"/>
      <c r="CN816" s="107"/>
      <c r="CO816" s="107"/>
      <c r="CP816" s="107"/>
      <c r="CQ816" s="107"/>
      <c r="CR816" s="107"/>
      <c r="CS816" s="107"/>
      <c r="CT816" s="107"/>
      <c r="CU816" s="107"/>
      <c r="CV816" s="107"/>
    </row>
    <row r="817" customFormat="false" ht="14.9" hidden="false" customHeight="false" outlineLevel="0" collapsed="false">
      <c r="A817" s="74" t="n">
        <f aca="false">MONTH(B817)</f>
        <v>10</v>
      </c>
      <c r="B817" s="135" t="n">
        <v>44475</v>
      </c>
      <c r="C817" s="128" t="s">
        <v>51</v>
      </c>
      <c r="D817" s="77" t="str">
        <f aca="false">IFERROR(VLOOKUP(E:E,'Item Data Support Sheet'!A:O,7,0),"")</f>
        <v>BOTTLE PRINTED</v>
      </c>
      <c r="E817" s="80" t="s">
        <v>270</v>
      </c>
      <c r="F817" s="122"/>
      <c r="G817" s="137"/>
      <c r="H817" s="79" t="str">
        <f aca="false">IFERROR(VLOOKUP(E:E,'Item Data Support Sheet'!A:O,2,0),"")</f>
        <v>RPP 120 ML BOTTLE PRINTED</v>
      </c>
      <c r="I817" s="80" t="s">
        <v>1567</v>
      </c>
      <c r="J817" s="80" t="s">
        <v>161</v>
      </c>
      <c r="K817" s="124" t="n">
        <v>8</v>
      </c>
      <c r="L817" s="124" t="n">
        <v>5800</v>
      </c>
      <c r="M817" s="83" t="n">
        <v>725</v>
      </c>
      <c r="N817" s="84" t="n">
        <f aca="false">+O817+Q817+T817+U817</f>
        <v>4878</v>
      </c>
      <c r="O817" s="85" t="n">
        <v>4860</v>
      </c>
      <c r="P817" s="86" t="n">
        <v>0</v>
      </c>
      <c r="Q817" s="86" t="n">
        <v>0</v>
      </c>
      <c r="R817" s="132" t="n">
        <v>27</v>
      </c>
      <c r="S817" s="128" t="n">
        <v>0</v>
      </c>
      <c r="T817" s="132" t="n">
        <v>18</v>
      </c>
      <c r="U817" s="128" t="n">
        <v>0</v>
      </c>
      <c r="V817" s="128" t="n">
        <v>4</v>
      </c>
      <c r="W817" s="90" t="n">
        <f aca="false">IFERROR(O817/V817,0)</f>
        <v>1215</v>
      </c>
      <c r="X817" s="91" t="n">
        <f aca="false">O817/L817</f>
        <v>0.837931034482759</v>
      </c>
      <c r="Y817" s="92" t="str">
        <f aca="false">IFERROR(VLOOKUP(E:E,'Item Data Support Sheet'!A:J,6,0),0)</f>
        <v>FO004</v>
      </c>
      <c r="Z817" s="93" t="n">
        <f aca="false">IFERROR(VLOOKUP(E:E,'Item Data Support Sheet'!A:O,4,0),0)</f>
        <v>0</v>
      </c>
      <c r="AA817" s="93" t="n">
        <f aca="false">IFERROR(((N817)*(Z817/1000))+P817,0)</f>
        <v>0</v>
      </c>
      <c r="AB817" s="94" t="str">
        <f aca="false">IFERROR((O817*(Z817/1000)/(AA817))," ")</f>
        <v> </v>
      </c>
      <c r="AC817" s="95" t="n">
        <f aca="false">IFERROR((T817)/((T817)+O817),0)</f>
        <v>0.003690036900369</v>
      </c>
      <c r="AD817" s="96" t="n">
        <f aca="false">IFERROR(Q817/(Q817+N817),0)</f>
        <v>0</v>
      </c>
      <c r="AE817" s="91" t="n">
        <f aca="false">(N817-T817)/N817</f>
        <v>0.996309963099631</v>
      </c>
      <c r="AF817" s="97" t="n">
        <f aca="false">BR817</f>
        <v>0.833333333333333</v>
      </c>
      <c r="AG817" s="98" t="n">
        <f aca="false">K817-AF817</f>
        <v>7.16666666666667</v>
      </c>
      <c r="AH817" s="99" t="n">
        <f aca="false">IFERROR(AG817/K817," ")</f>
        <v>0.895833333333333</v>
      </c>
      <c r="AI817" s="100" t="n">
        <f aca="false">IFERROR(O817/K817,0)</f>
        <v>607.5</v>
      </c>
      <c r="AJ817" s="101" t="n">
        <f aca="false">VLOOKUP(D817,'Standard Cycle time'!C:D,2,0)</f>
        <v>32.4</v>
      </c>
      <c r="AK817" s="101" t="n">
        <f aca="false">AG817*V817*3600/O817</f>
        <v>21.2345679012346</v>
      </c>
      <c r="AL817" s="102" t="n">
        <f aca="false">AJ817/AK817</f>
        <v>1.52581395348837</v>
      </c>
      <c r="AM817" s="99" t="n">
        <f aca="false">AE817*AL817*AH817</f>
        <v>1.36183118081181</v>
      </c>
      <c r="AN817" s="103" t="n">
        <v>1.36183118081181</v>
      </c>
      <c r="AO817" s="112"/>
      <c r="AP817" s="105" t="n">
        <v>50</v>
      </c>
      <c r="AQ817" s="105" t="n">
        <v>0</v>
      </c>
      <c r="AR817" s="105" t="n">
        <v>0</v>
      </c>
      <c r="AS817" s="105" t="n">
        <v>0</v>
      </c>
      <c r="AT817" s="105" t="n">
        <v>0</v>
      </c>
      <c r="AU817" s="105" t="n">
        <v>0</v>
      </c>
      <c r="AV817" s="105" t="n">
        <v>0</v>
      </c>
      <c r="AW817" s="105" t="n">
        <v>0</v>
      </c>
      <c r="AX817" s="105" t="n">
        <v>0</v>
      </c>
      <c r="AY817" s="105" t="n">
        <v>0</v>
      </c>
      <c r="AZ817" s="105" t="n">
        <v>0</v>
      </c>
      <c r="BA817" s="105" t="n">
        <v>0</v>
      </c>
      <c r="BB817" s="105" t="n">
        <v>0</v>
      </c>
      <c r="BC817" s="105" t="n">
        <v>0</v>
      </c>
      <c r="BD817" s="105" t="n">
        <v>0</v>
      </c>
      <c r="BE817" s="105" t="n">
        <v>0</v>
      </c>
      <c r="BF817" s="105" t="n">
        <v>0</v>
      </c>
      <c r="BG817" s="105" t="n">
        <v>0</v>
      </c>
      <c r="BH817" s="105" t="n">
        <v>0</v>
      </c>
      <c r="BI817" s="105" t="n">
        <v>0</v>
      </c>
      <c r="BJ817" s="105" t="n">
        <v>0</v>
      </c>
      <c r="BK817" s="105" t="n">
        <v>0</v>
      </c>
      <c r="BL817" s="105" t="n">
        <v>0</v>
      </c>
      <c r="BM817" s="105" t="n">
        <v>0</v>
      </c>
      <c r="BN817" s="105" t="n">
        <v>0</v>
      </c>
      <c r="BO817" s="105" t="n">
        <v>0</v>
      </c>
      <c r="BP817" s="105" t="n">
        <v>0</v>
      </c>
      <c r="BQ817" s="105" t="n">
        <v>0</v>
      </c>
      <c r="BR817" s="106" t="n">
        <v>0.833333333333333</v>
      </c>
      <c r="BS817" s="106" t="n">
        <v>0.833333333333333</v>
      </c>
      <c r="BT817" s="107"/>
      <c r="BU817" s="107"/>
      <c r="BV817" s="107"/>
      <c r="BW817" s="107"/>
      <c r="BX817" s="107"/>
      <c r="BY817" s="107"/>
      <c r="BZ817" s="107"/>
      <c r="CA817" s="107"/>
      <c r="CB817" s="107"/>
      <c r="CC817" s="107"/>
      <c r="CD817" s="107"/>
      <c r="CE817" s="107"/>
      <c r="CF817" s="107"/>
      <c r="CG817" s="107"/>
      <c r="CH817" s="107"/>
      <c r="CI817" s="107"/>
      <c r="CJ817" s="107"/>
      <c r="CK817" s="107"/>
      <c r="CL817" s="107"/>
      <c r="CM817" s="107"/>
      <c r="CN817" s="107"/>
      <c r="CO817" s="107"/>
      <c r="CP817" s="107"/>
      <c r="CQ817" s="107"/>
      <c r="CR817" s="107"/>
      <c r="CS817" s="107"/>
      <c r="CT817" s="107"/>
      <c r="CU817" s="107"/>
      <c r="CV817" s="107"/>
    </row>
    <row r="818" customFormat="false" ht="14.9" hidden="false" customHeight="false" outlineLevel="0" collapsed="false">
      <c r="A818" s="74" t="n">
        <f aca="false">MONTH(B818)</f>
        <v>10</v>
      </c>
      <c r="B818" s="135" t="n">
        <v>44475</v>
      </c>
      <c r="C818" s="128" t="s">
        <v>70</v>
      </c>
      <c r="D818" s="77" t="str">
        <f aca="false">IFERROR(VLOOKUP(E:E,'Item Data Support Sheet'!A:O,7,0),"")</f>
        <v>BOTTLE PRINTED</v>
      </c>
      <c r="E818" s="80" t="s">
        <v>270</v>
      </c>
      <c r="F818" s="122"/>
      <c r="G818" s="137"/>
      <c r="H818" s="79" t="str">
        <f aca="false">IFERROR(VLOOKUP(E:E,'Item Data Support Sheet'!A:O,2,0),"")</f>
        <v>RPP 120 ML BOTTLE PRINTED</v>
      </c>
      <c r="I818" s="80" t="s">
        <v>1568</v>
      </c>
      <c r="J818" s="80" t="s">
        <v>161</v>
      </c>
      <c r="K818" s="124" t="n">
        <v>8</v>
      </c>
      <c r="L818" s="124" t="n">
        <v>5800</v>
      </c>
      <c r="M818" s="83" t="n">
        <v>725</v>
      </c>
      <c r="N818" s="84" t="n">
        <f aca="false">+O818+Q818+T818+U818</f>
        <v>6415</v>
      </c>
      <c r="O818" s="85" t="n">
        <v>6401</v>
      </c>
      <c r="P818" s="86" t="n">
        <v>0</v>
      </c>
      <c r="Q818" s="86" t="n">
        <v>0</v>
      </c>
      <c r="R818" s="132" t="n">
        <v>32</v>
      </c>
      <c r="S818" s="128" t="n">
        <v>0</v>
      </c>
      <c r="T818" s="132" t="n">
        <v>14</v>
      </c>
      <c r="U818" s="128" t="n">
        <v>0</v>
      </c>
      <c r="V818" s="128" t="n">
        <v>5</v>
      </c>
      <c r="W818" s="90" t="n">
        <f aca="false">IFERROR(O818/V818,0)</f>
        <v>1280.2</v>
      </c>
      <c r="X818" s="91" t="n">
        <f aca="false">O818/L818</f>
        <v>1.10362068965517</v>
      </c>
      <c r="Y818" s="92" t="str">
        <f aca="false">IFERROR(VLOOKUP(E:E,'Item Data Support Sheet'!A:J,6,0),0)</f>
        <v>FO004</v>
      </c>
      <c r="Z818" s="93" t="n">
        <f aca="false">IFERROR(VLOOKUP(E:E,'Item Data Support Sheet'!A:O,4,0),0)</f>
        <v>0</v>
      </c>
      <c r="AA818" s="93" t="n">
        <f aca="false">IFERROR(((N818)*(Z818/1000))+P818,0)</f>
        <v>0</v>
      </c>
      <c r="AB818" s="94" t="str">
        <f aca="false">IFERROR((O818*(Z818/1000)/(AA818))," ")</f>
        <v> </v>
      </c>
      <c r="AC818" s="95" t="n">
        <f aca="false">IFERROR((T818)/((T818)+O818),0)</f>
        <v>0.00218238503507404</v>
      </c>
      <c r="AD818" s="96" t="n">
        <f aca="false">IFERROR(Q818/(Q818+N818),0)</f>
        <v>0</v>
      </c>
      <c r="AE818" s="91" t="n">
        <f aca="false">(N818-T818)/N818</f>
        <v>0.997817614964926</v>
      </c>
      <c r="AF818" s="97" t="n">
        <f aca="false">BR818</f>
        <v>0.666666666666667</v>
      </c>
      <c r="AG818" s="98" t="n">
        <f aca="false">K818-AF818</f>
        <v>7.33333333333333</v>
      </c>
      <c r="AH818" s="99" t="n">
        <f aca="false">IFERROR(AG818/K818," ")</f>
        <v>0.916666666666667</v>
      </c>
      <c r="AI818" s="100" t="n">
        <f aca="false">IFERROR(O818/K818,0)</f>
        <v>800.125</v>
      </c>
      <c r="AJ818" s="101" t="n">
        <f aca="false">VLOOKUP(D818,'Standard Cycle time'!C:D,2,0)</f>
        <v>32.4</v>
      </c>
      <c r="AK818" s="101" t="n">
        <f aca="false">AG818*V818*3600/O818</f>
        <v>20.6217778472114</v>
      </c>
      <c r="AL818" s="102" t="n">
        <f aca="false">AJ818/AK818</f>
        <v>1.57115454545455</v>
      </c>
      <c r="AM818" s="99" t="n">
        <f aca="false">AE818*AL818*AH818</f>
        <v>1.43708187451286</v>
      </c>
      <c r="AN818" s="103" t="n">
        <v>1.43708187451286</v>
      </c>
      <c r="AO818" s="112"/>
      <c r="AP818" s="105" t="n">
        <v>40</v>
      </c>
      <c r="AQ818" s="105" t="n">
        <v>0</v>
      </c>
      <c r="AR818" s="105" t="n">
        <v>0</v>
      </c>
      <c r="AS818" s="105" t="n">
        <v>0</v>
      </c>
      <c r="AT818" s="105" t="n">
        <v>0</v>
      </c>
      <c r="AU818" s="105" t="n">
        <v>0</v>
      </c>
      <c r="AV818" s="105" t="n">
        <v>0</v>
      </c>
      <c r="AW818" s="105" t="n">
        <v>0</v>
      </c>
      <c r="AX818" s="105" t="n">
        <v>0</v>
      </c>
      <c r="AY818" s="105" t="n">
        <v>0</v>
      </c>
      <c r="AZ818" s="105" t="n">
        <v>0</v>
      </c>
      <c r="BA818" s="105" t="n">
        <v>0</v>
      </c>
      <c r="BB818" s="105" t="n">
        <v>0</v>
      </c>
      <c r="BC818" s="105" t="n">
        <v>0</v>
      </c>
      <c r="BD818" s="105" t="n">
        <v>0</v>
      </c>
      <c r="BE818" s="105" t="n">
        <v>0</v>
      </c>
      <c r="BF818" s="105" t="n">
        <v>0</v>
      </c>
      <c r="BG818" s="105" t="n">
        <v>0</v>
      </c>
      <c r="BH818" s="105" t="n">
        <v>0</v>
      </c>
      <c r="BI818" s="105" t="n">
        <v>0</v>
      </c>
      <c r="BJ818" s="105" t="n">
        <v>0</v>
      </c>
      <c r="BK818" s="105" t="n">
        <v>0</v>
      </c>
      <c r="BL818" s="105" t="n">
        <v>0</v>
      </c>
      <c r="BM818" s="105" t="n">
        <v>0</v>
      </c>
      <c r="BN818" s="105" t="n">
        <v>0</v>
      </c>
      <c r="BO818" s="105" t="n">
        <v>0</v>
      </c>
      <c r="BP818" s="105" t="n">
        <v>0</v>
      </c>
      <c r="BQ818" s="105" t="n">
        <v>0</v>
      </c>
      <c r="BR818" s="106" t="n">
        <v>0.666666666666667</v>
      </c>
      <c r="BS818" s="106" t="n">
        <v>0.666666666666667</v>
      </c>
      <c r="BT818" s="107"/>
      <c r="BU818" s="107"/>
      <c r="BV818" s="107"/>
      <c r="BW818" s="107"/>
      <c r="BX818" s="107"/>
      <c r="BY818" s="107"/>
      <c r="BZ818" s="107"/>
      <c r="CA818" s="107"/>
      <c r="CB818" s="107"/>
      <c r="CC818" s="107"/>
      <c r="CD818" s="107"/>
      <c r="CE818" s="107"/>
      <c r="CF818" s="107"/>
      <c r="CG818" s="107"/>
      <c r="CH818" s="107"/>
      <c r="CI818" s="107"/>
      <c r="CJ818" s="107"/>
      <c r="CK818" s="107"/>
      <c r="CL818" s="107"/>
      <c r="CM818" s="107"/>
      <c r="CN818" s="107"/>
      <c r="CO818" s="107"/>
      <c r="CP818" s="107"/>
      <c r="CQ818" s="107"/>
      <c r="CR818" s="107"/>
      <c r="CS818" s="107"/>
      <c r="CT818" s="107"/>
      <c r="CU818" s="107"/>
      <c r="CV818" s="107"/>
    </row>
    <row r="819" customFormat="false" ht="14.9" hidden="false" customHeight="false" outlineLevel="0" collapsed="false">
      <c r="A819" s="74" t="n">
        <f aca="false">MONTH(B819)</f>
        <v>10</v>
      </c>
      <c r="B819" s="135" t="n">
        <v>44475</v>
      </c>
      <c r="C819" s="128" t="s">
        <v>152</v>
      </c>
      <c r="D819" s="77" t="str">
        <f aca="false">IFERROR(VLOOKUP(E:E,'Item Data Support Sheet'!A:O,7,0),"")</f>
        <v>NIPPLE MOLDED</v>
      </c>
      <c r="E819" s="80" t="s">
        <v>492</v>
      </c>
      <c r="F819" s="122" t="s">
        <v>137</v>
      </c>
      <c r="G819" s="137" t="s">
        <v>138</v>
      </c>
      <c r="H819" s="79" t="str">
        <f aca="false">IFERROR(VLOOKUP(E:E,'Item Data Support Sheet'!A:O,2,0),"")</f>
        <v>NIPPLE S TYPE LL SIZE INJECTION</v>
      </c>
      <c r="I819" s="80" t="s">
        <v>1569</v>
      </c>
      <c r="J819" s="80" t="s">
        <v>815</v>
      </c>
      <c r="K819" s="124" t="n">
        <v>8</v>
      </c>
      <c r="L819" s="124" t="n">
        <v>4815</v>
      </c>
      <c r="M819" s="83" t="n">
        <v>601.875</v>
      </c>
      <c r="N819" s="84" t="n">
        <f aca="false">+O819+Q819+T819+U819</f>
        <v>5406</v>
      </c>
      <c r="O819" s="85" t="n">
        <v>5300</v>
      </c>
      <c r="P819" s="86" t="n">
        <v>0</v>
      </c>
      <c r="Q819" s="86" t="n">
        <v>32</v>
      </c>
      <c r="R819" s="132" t="n">
        <v>0</v>
      </c>
      <c r="S819" s="128" t="n">
        <v>0</v>
      </c>
      <c r="T819" s="132" t="n">
        <v>66</v>
      </c>
      <c r="U819" s="128" t="n">
        <v>8</v>
      </c>
      <c r="V819" s="128" t="n">
        <v>1</v>
      </c>
      <c r="W819" s="90" t="n">
        <f aca="false">IFERROR(O819/V819,0)</f>
        <v>5300</v>
      </c>
      <c r="X819" s="91" t="n">
        <f aca="false">O819/L819</f>
        <v>1.10072689511942</v>
      </c>
      <c r="Y819" s="92" t="str">
        <f aca="false">IFERROR(VLOOKUP(E:E,'Item Data Support Sheet'!A:J,6,0),0)</f>
        <v>FO148</v>
      </c>
      <c r="Z819" s="93" t="n">
        <f aca="false">IFERROR(VLOOKUP(E:E,'Item Data Support Sheet'!A:O,4,0),0)</f>
        <v>6.8</v>
      </c>
      <c r="AA819" s="93" t="n">
        <f aca="false">IFERROR(((N819)*(Z819/1000))+P819,0)</f>
        <v>36.7608</v>
      </c>
      <c r="AB819" s="94" t="n">
        <f aca="false">IFERROR((O819*(Z819/1000)/(AA819))," ")</f>
        <v>0.980392156862745</v>
      </c>
      <c r="AC819" s="95" t="n">
        <f aca="false">IFERROR((T819)/((T819)+O819),0)</f>
        <v>0.0122996645546031</v>
      </c>
      <c r="AD819" s="96" t="n">
        <f aca="false">IFERROR(Q819/(Q819+N819),0)</f>
        <v>0.00588451636631114</v>
      </c>
      <c r="AE819" s="91" t="n">
        <f aca="false">(N819-T819)/N819</f>
        <v>0.987791342952275</v>
      </c>
      <c r="AF819" s="97" t="n">
        <f aca="false">BR819</f>
        <v>0</v>
      </c>
      <c r="AG819" s="98" t="n">
        <f aca="false">K819-AF819</f>
        <v>8</v>
      </c>
      <c r="AH819" s="99" t="n">
        <f aca="false">IFERROR(AG819/K819," ")</f>
        <v>1</v>
      </c>
      <c r="AI819" s="100" t="n">
        <f aca="false">IFERROR(O819/K819,0)</f>
        <v>662.5</v>
      </c>
      <c r="AJ819" s="101" t="n">
        <f aca="false">VLOOKUP(D819,'Standard Cycle time'!C:D,2,0)</f>
        <v>5.25</v>
      </c>
      <c r="AK819" s="101" t="n">
        <f aca="false">AG819*V819*3600/O819</f>
        <v>5.43396226415094</v>
      </c>
      <c r="AL819" s="102" t="n">
        <f aca="false">AJ819/AK819</f>
        <v>0.966145833333333</v>
      </c>
      <c r="AM819" s="99" t="n">
        <f aca="false">AE819*AL819*AH819</f>
        <v>0.954350490196078</v>
      </c>
      <c r="AN819" s="103" t="n">
        <v>0.954350490196078</v>
      </c>
      <c r="AO819" s="112"/>
      <c r="AP819" s="105" t="n">
        <v>0</v>
      </c>
      <c r="AQ819" s="105" t="n">
        <v>0</v>
      </c>
      <c r="AR819" s="105" t="n">
        <v>0</v>
      </c>
      <c r="AS819" s="105" t="n">
        <v>0</v>
      </c>
      <c r="AT819" s="105" t="n">
        <v>0</v>
      </c>
      <c r="AU819" s="105" t="n">
        <v>0</v>
      </c>
      <c r="AV819" s="105" t="n">
        <v>0</v>
      </c>
      <c r="AW819" s="105" t="n">
        <v>0</v>
      </c>
      <c r="AX819" s="105" t="n">
        <v>0</v>
      </c>
      <c r="AY819" s="105" t="n">
        <v>0</v>
      </c>
      <c r="AZ819" s="105" t="n">
        <v>0</v>
      </c>
      <c r="BA819" s="105" t="n">
        <v>0</v>
      </c>
      <c r="BB819" s="105" t="n">
        <v>0</v>
      </c>
      <c r="BC819" s="105" t="n">
        <v>0</v>
      </c>
      <c r="BD819" s="105" t="n">
        <v>0</v>
      </c>
      <c r="BE819" s="105" t="n">
        <v>0</v>
      </c>
      <c r="BF819" s="105" t="n">
        <v>0</v>
      </c>
      <c r="BG819" s="105" t="n">
        <v>0</v>
      </c>
      <c r="BH819" s="105" t="n">
        <v>0</v>
      </c>
      <c r="BI819" s="105" t="n">
        <v>0</v>
      </c>
      <c r="BJ819" s="105" t="n">
        <v>0</v>
      </c>
      <c r="BK819" s="105" t="n">
        <v>0</v>
      </c>
      <c r="BL819" s="105" t="n">
        <v>0</v>
      </c>
      <c r="BM819" s="105" t="n">
        <v>0</v>
      </c>
      <c r="BN819" s="105" t="n">
        <v>0</v>
      </c>
      <c r="BO819" s="105" t="n">
        <v>0</v>
      </c>
      <c r="BP819" s="105" t="n">
        <v>0</v>
      </c>
      <c r="BQ819" s="105" t="n">
        <v>0</v>
      </c>
      <c r="BR819" s="106" t="n">
        <v>0</v>
      </c>
      <c r="BS819" s="106" t="n">
        <v>0</v>
      </c>
      <c r="BT819" s="107"/>
      <c r="BU819" s="107"/>
      <c r="BV819" s="107"/>
      <c r="BW819" s="107"/>
      <c r="BX819" s="107"/>
      <c r="BY819" s="107"/>
      <c r="BZ819" s="107"/>
      <c r="CA819" s="107"/>
      <c r="CB819" s="107"/>
      <c r="CC819" s="107"/>
      <c r="CD819" s="107"/>
      <c r="CE819" s="107"/>
      <c r="CF819" s="107"/>
      <c r="CG819" s="107"/>
      <c r="CH819" s="107"/>
      <c r="CI819" s="107"/>
      <c r="CJ819" s="107"/>
      <c r="CK819" s="107"/>
      <c r="CL819" s="107"/>
      <c r="CM819" s="107"/>
      <c r="CN819" s="107"/>
      <c r="CO819" s="107"/>
      <c r="CP819" s="107"/>
      <c r="CQ819" s="107"/>
      <c r="CR819" s="107"/>
      <c r="CS819" s="107"/>
      <c r="CT819" s="107"/>
      <c r="CU819" s="107"/>
      <c r="CV819" s="107"/>
    </row>
    <row r="820" customFormat="false" ht="14.9" hidden="false" customHeight="false" outlineLevel="0" collapsed="false">
      <c r="A820" s="74" t="n">
        <f aca="false">MONTH(B820)</f>
        <v>10</v>
      </c>
      <c r="B820" s="135" t="n">
        <v>44475</v>
      </c>
      <c r="C820" s="128" t="s">
        <v>152</v>
      </c>
      <c r="D820" s="77" t="str">
        <f aca="false">IFERROR(VLOOKUP(E:E,'Item Data Support Sheet'!A:O,7,0),"")</f>
        <v>CAP MOLDED</v>
      </c>
      <c r="E820" s="80" t="s">
        <v>199</v>
      </c>
      <c r="F820" s="122"/>
      <c r="G820" s="137" t="s">
        <v>1478</v>
      </c>
      <c r="H820" s="79" t="str">
        <f aca="false">IFERROR(VLOOKUP(E:E,'Item Data Support Sheet'!A:O,2,0),"")</f>
        <v>CAP S TYPE MOLDED RED</v>
      </c>
      <c r="I820" s="80" t="s">
        <v>1570</v>
      </c>
      <c r="J820" s="80" t="s">
        <v>815</v>
      </c>
      <c r="K820" s="124" t="n">
        <v>6.2</v>
      </c>
      <c r="L820" s="124" t="n">
        <v>3200</v>
      </c>
      <c r="M820" s="83" t="n">
        <v>516.129032258065</v>
      </c>
      <c r="N820" s="84" t="n">
        <f aca="false">+O820+Q820+T820+U820</f>
        <v>3203</v>
      </c>
      <c r="O820" s="85" t="n">
        <v>3200</v>
      </c>
      <c r="P820" s="86" t="n">
        <v>0</v>
      </c>
      <c r="Q820" s="86" t="n">
        <v>0</v>
      </c>
      <c r="R820" s="132" t="n">
        <v>0</v>
      </c>
      <c r="S820" s="128" t="n">
        <v>0</v>
      </c>
      <c r="T820" s="132" t="n">
        <v>3</v>
      </c>
      <c r="U820" s="128" t="n">
        <v>0</v>
      </c>
      <c r="V820" s="128" t="n">
        <v>1</v>
      </c>
      <c r="W820" s="90" t="n">
        <f aca="false">IFERROR(O820/V820,0)</f>
        <v>3200</v>
      </c>
      <c r="X820" s="91" t="n">
        <f aca="false">O820/L820</f>
        <v>1</v>
      </c>
      <c r="Y820" s="92" t="str">
        <f aca="false">IFERROR(VLOOKUP(E:E,'Item Data Support Sheet'!A:J,6,0),0)</f>
        <v>FO153</v>
      </c>
      <c r="Z820" s="93" t="n">
        <f aca="false">IFERROR(VLOOKUP(E:E,'Item Data Support Sheet'!A:O,4,0),0)</f>
        <v>7.3</v>
      </c>
      <c r="AA820" s="93" t="n">
        <f aca="false">IFERROR(((N820)*(Z820/1000))+P820,0)</f>
        <v>23.3819</v>
      </c>
      <c r="AB820" s="94" t="n">
        <f aca="false">IFERROR((O820*(Z820/1000)/(AA820))," ")</f>
        <v>0.999063378083047</v>
      </c>
      <c r="AC820" s="95" t="n">
        <f aca="false">IFERROR((T820)/((T820)+O820),0)</f>
        <v>0.000936621916952857</v>
      </c>
      <c r="AD820" s="96" t="n">
        <f aca="false">IFERROR(Q820/(Q820+N820),0)</f>
        <v>0</v>
      </c>
      <c r="AE820" s="91" t="n">
        <f aca="false">(N820-T820)/N820</f>
        <v>0.999063378083047</v>
      </c>
      <c r="AF820" s="97" t="n">
        <f aca="false">BR820</f>
        <v>0.833333333333333</v>
      </c>
      <c r="AG820" s="98" t="n">
        <f aca="false">K820-AF820</f>
        <v>5.36666666666667</v>
      </c>
      <c r="AH820" s="99" t="n">
        <f aca="false">IFERROR(AG820/K820," ")</f>
        <v>0.865591397849462</v>
      </c>
      <c r="AI820" s="100" t="n">
        <f aca="false">IFERROR(O820/K820,0)</f>
        <v>516.129032258065</v>
      </c>
      <c r="AJ820" s="101" t="n">
        <f aca="false">VLOOKUP(D820,'Standard Cycle time'!C:D,2,0)</f>
        <v>6</v>
      </c>
      <c r="AK820" s="101" t="n">
        <f aca="false">AG820*V820*3600/O820</f>
        <v>6.0375</v>
      </c>
      <c r="AL820" s="102" t="n">
        <f aca="false">AJ820/AK820</f>
        <v>0.993788819875777</v>
      </c>
      <c r="AM820" s="99" t="n">
        <f aca="false">AE820*AL820*AH820</f>
        <v>0.859409357490793</v>
      </c>
      <c r="AN820" s="103" t="n">
        <v>0.859409357490793</v>
      </c>
      <c r="AO820" s="112"/>
      <c r="AP820" s="105" t="n">
        <v>0</v>
      </c>
      <c r="AQ820" s="105" t="n">
        <v>0</v>
      </c>
      <c r="AR820" s="105" t="n">
        <v>0</v>
      </c>
      <c r="AS820" s="105" t="n">
        <v>0</v>
      </c>
      <c r="AT820" s="105" t="n">
        <v>0</v>
      </c>
      <c r="AU820" s="105" t="n">
        <v>0</v>
      </c>
      <c r="AV820" s="105" t="n">
        <v>30</v>
      </c>
      <c r="AW820" s="105" t="n">
        <v>0</v>
      </c>
      <c r="AX820" s="105" t="n">
        <v>0</v>
      </c>
      <c r="AY820" s="105" t="n">
        <v>0</v>
      </c>
      <c r="AZ820" s="105" t="n">
        <v>20</v>
      </c>
      <c r="BA820" s="105" t="n">
        <v>0</v>
      </c>
      <c r="BB820" s="105" t="n">
        <v>0</v>
      </c>
      <c r="BC820" s="105" t="n">
        <v>0</v>
      </c>
      <c r="BD820" s="105" t="n">
        <v>0</v>
      </c>
      <c r="BE820" s="105" t="n">
        <v>0</v>
      </c>
      <c r="BF820" s="105" t="n">
        <v>0</v>
      </c>
      <c r="BG820" s="105" t="n">
        <v>0</v>
      </c>
      <c r="BH820" s="105" t="n">
        <v>0</v>
      </c>
      <c r="BI820" s="105" t="n">
        <v>0</v>
      </c>
      <c r="BJ820" s="105" t="n">
        <v>0</v>
      </c>
      <c r="BK820" s="105" t="n">
        <v>0</v>
      </c>
      <c r="BL820" s="105" t="n">
        <v>0</v>
      </c>
      <c r="BM820" s="105" t="n">
        <v>0</v>
      </c>
      <c r="BN820" s="105" t="n">
        <v>0</v>
      </c>
      <c r="BO820" s="105" t="n">
        <v>0</v>
      </c>
      <c r="BP820" s="105" t="n">
        <v>0</v>
      </c>
      <c r="BQ820" s="105" t="n">
        <v>0</v>
      </c>
      <c r="BR820" s="106" t="n">
        <v>0.833333333333333</v>
      </c>
      <c r="BS820" s="106" t="n">
        <v>0.833333333333333</v>
      </c>
      <c r="BT820" s="107"/>
      <c r="BU820" s="107"/>
      <c r="BV820" s="107"/>
      <c r="BW820" s="107"/>
      <c r="BX820" s="107"/>
      <c r="BY820" s="107"/>
      <c r="BZ820" s="107"/>
      <c r="CA820" s="107"/>
      <c r="CB820" s="107"/>
      <c r="CC820" s="107"/>
      <c r="CD820" s="107"/>
      <c r="CE820" s="107"/>
      <c r="CF820" s="107"/>
      <c r="CG820" s="107"/>
      <c r="CH820" s="107"/>
      <c r="CI820" s="107"/>
      <c r="CJ820" s="107"/>
      <c r="CK820" s="107"/>
      <c r="CL820" s="107"/>
      <c r="CM820" s="107"/>
      <c r="CN820" s="107"/>
      <c r="CO820" s="107"/>
      <c r="CP820" s="107"/>
      <c r="CQ820" s="107"/>
      <c r="CR820" s="107"/>
      <c r="CS820" s="107"/>
      <c r="CT820" s="107"/>
      <c r="CU820" s="107"/>
      <c r="CV820" s="107"/>
    </row>
    <row r="821" customFormat="false" ht="14.9" hidden="false" customHeight="false" outlineLevel="0" collapsed="false">
      <c r="A821" s="74" t="n">
        <f aca="false">MONTH(B821)</f>
        <v>10</v>
      </c>
      <c r="B821" s="135" t="n">
        <v>44475</v>
      </c>
      <c r="C821" s="128" t="s">
        <v>152</v>
      </c>
      <c r="D821" s="77" t="str">
        <f aca="false">IFERROR(VLOOKUP(E:E,'Item Data Support Sheet'!A:O,7,0),"")</f>
        <v>CAP MOLDED</v>
      </c>
      <c r="E821" s="80" t="s">
        <v>199</v>
      </c>
      <c r="F821" s="122"/>
      <c r="G821" s="137" t="s">
        <v>1215</v>
      </c>
      <c r="H821" s="79" t="str">
        <f aca="false">IFERROR(VLOOKUP(E:E,'Item Data Support Sheet'!A:O,2,0),"")</f>
        <v>CAP S TYPE MOLDED RED</v>
      </c>
      <c r="I821" s="80" t="s">
        <v>1571</v>
      </c>
      <c r="J821" s="80" t="s">
        <v>815</v>
      </c>
      <c r="K821" s="124" t="n">
        <v>1.8</v>
      </c>
      <c r="L821" s="124" t="n">
        <v>937</v>
      </c>
      <c r="M821" s="83" t="n">
        <v>520.555555555556</v>
      </c>
      <c r="N821" s="84" t="n">
        <f aca="false">+O821+Q821+T821+U821</f>
        <v>1000</v>
      </c>
      <c r="O821" s="85" t="n">
        <v>1000</v>
      </c>
      <c r="P821" s="86" t="n">
        <v>0</v>
      </c>
      <c r="Q821" s="86" t="n">
        <v>0</v>
      </c>
      <c r="R821" s="132" t="n">
        <v>0</v>
      </c>
      <c r="S821" s="128" t="n">
        <v>0</v>
      </c>
      <c r="T821" s="132" t="n">
        <v>0</v>
      </c>
      <c r="U821" s="128" t="n">
        <v>0</v>
      </c>
      <c r="V821" s="128" t="n">
        <v>1</v>
      </c>
      <c r="W821" s="90" t="n">
        <f aca="false">IFERROR(O821/V821,0)</f>
        <v>1000</v>
      </c>
      <c r="X821" s="91" t="n">
        <f aca="false">O821/L821</f>
        <v>1.06723585912487</v>
      </c>
      <c r="Y821" s="92" t="str">
        <f aca="false">IFERROR(VLOOKUP(E:E,'Item Data Support Sheet'!A:J,6,0),0)</f>
        <v>FO153</v>
      </c>
      <c r="Z821" s="93" t="n">
        <f aca="false">IFERROR(VLOOKUP(E:E,'Item Data Support Sheet'!A:O,4,0),0)</f>
        <v>7.3</v>
      </c>
      <c r="AA821" s="93" t="n">
        <f aca="false">IFERROR(((N821)*(Z821/1000))+P821,0)</f>
        <v>7.3</v>
      </c>
      <c r="AB821" s="94" t="n">
        <f aca="false">IFERROR((O821*(Z821/1000)/(AA821))," ")</f>
        <v>1</v>
      </c>
      <c r="AC821" s="95" t="n">
        <f aca="false">IFERROR((T821)/((T821)+O821),0)</f>
        <v>0</v>
      </c>
      <c r="AD821" s="96" t="n">
        <f aca="false">IFERROR(Q821/(Q821+N821),0)</f>
        <v>0</v>
      </c>
      <c r="AE821" s="91" t="n">
        <f aca="false">(N821-T821)/N821</f>
        <v>1</v>
      </c>
      <c r="AF821" s="97" t="n">
        <f aca="false">BR821</f>
        <v>0</v>
      </c>
      <c r="AG821" s="98" t="n">
        <f aca="false">K821-AF821</f>
        <v>1.8</v>
      </c>
      <c r="AH821" s="99" t="n">
        <f aca="false">IFERROR(AG821/K821," ")</f>
        <v>1</v>
      </c>
      <c r="AI821" s="100" t="n">
        <f aca="false">IFERROR(O821/K821,0)</f>
        <v>555.555555555556</v>
      </c>
      <c r="AJ821" s="101" t="n">
        <f aca="false">VLOOKUP(D821,'Standard Cycle time'!C:D,2,0)</f>
        <v>6</v>
      </c>
      <c r="AK821" s="101" t="n">
        <f aca="false">AG821*V821*3600/O821</f>
        <v>6.48</v>
      </c>
      <c r="AL821" s="102" t="n">
        <f aca="false">AJ821/AK821</f>
        <v>0.925925925925926</v>
      </c>
      <c r="AM821" s="99" t="n">
        <f aca="false">AE821*AL821*AH821</f>
        <v>0.925925925925926</v>
      </c>
      <c r="AN821" s="103" t="n">
        <v>0.925925925925926</v>
      </c>
      <c r="AO821" s="112"/>
      <c r="AP821" s="105" t="n">
        <v>0</v>
      </c>
      <c r="AQ821" s="105" t="n">
        <v>0</v>
      </c>
      <c r="AR821" s="105" t="n">
        <v>0</v>
      </c>
      <c r="AS821" s="105" t="n">
        <v>0</v>
      </c>
      <c r="AT821" s="105" t="n">
        <v>0</v>
      </c>
      <c r="AU821" s="105" t="n">
        <v>0</v>
      </c>
      <c r="AV821" s="105" t="n">
        <v>0</v>
      </c>
      <c r="AW821" s="105" t="n">
        <v>0</v>
      </c>
      <c r="AX821" s="105" t="n">
        <v>0</v>
      </c>
      <c r="AY821" s="105" t="n">
        <v>0</v>
      </c>
      <c r="AZ821" s="105" t="n">
        <v>0</v>
      </c>
      <c r="BA821" s="105" t="n">
        <v>0</v>
      </c>
      <c r="BB821" s="105" t="n">
        <v>0</v>
      </c>
      <c r="BC821" s="105" t="n">
        <v>0</v>
      </c>
      <c r="BD821" s="105" t="n">
        <v>0</v>
      </c>
      <c r="BE821" s="105" t="n">
        <v>0</v>
      </c>
      <c r="BF821" s="105" t="n">
        <v>0</v>
      </c>
      <c r="BG821" s="105" t="n">
        <v>0</v>
      </c>
      <c r="BH821" s="105" t="n">
        <v>0</v>
      </c>
      <c r="BI821" s="105" t="n">
        <v>0</v>
      </c>
      <c r="BJ821" s="105" t="n">
        <v>0</v>
      </c>
      <c r="BK821" s="105" t="n">
        <v>0</v>
      </c>
      <c r="BL821" s="105" t="n">
        <v>0</v>
      </c>
      <c r="BM821" s="105" t="n">
        <v>0</v>
      </c>
      <c r="BN821" s="105" t="n">
        <v>0</v>
      </c>
      <c r="BO821" s="105" t="n">
        <v>0</v>
      </c>
      <c r="BP821" s="105" t="n">
        <v>0</v>
      </c>
      <c r="BQ821" s="105" t="n">
        <v>0</v>
      </c>
      <c r="BR821" s="106" t="n">
        <v>0</v>
      </c>
      <c r="BS821" s="106" t="n">
        <v>0</v>
      </c>
      <c r="BT821" s="107"/>
      <c r="BU821" s="107"/>
      <c r="BV821" s="107"/>
      <c r="BW821" s="107"/>
      <c r="BX821" s="107"/>
      <c r="BY821" s="107"/>
      <c r="BZ821" s="107"/>
      <c r="CA821" s="107"/>
      <c r="CB821" s="107"/>
      <c r="CC821" s="107"/>
      <c r="CD821" s="107"/>
      <c r="CE821" s="107"/>
      <c r="CF821" s="107"/>
      <c r="CG821" s="107"/>
      <c r="CH821" s="107"/>
      <c r="CI821" s="107"/>
      <c r="CJ821" s="107"/>
      <c r="CK821" s="107"/>
      <c r="CL821" s="107"/>
      <c r="CM821" s="107"/>
      <c r="CN821" s="107"/>
      <c r="CO821" s="107"/>
      <c r="CP821" s="107"/>
      <c r="CQ821" s="107"/>
      <c r="CR821" s="107"/>
      <c r="CS821" s="107"/>
      <c r="CT821" s="107"/>
      <c r="CU821" s="107"/>
      <c r="CV821" s="107"/>
    </row>
    <row r="822" customFormat="false" ht="14.9" hidden="false" customHeight="false" outlineLevel="0" collapsed="false">
      <c r="A822" s="74" t="n">
        <f aca="false">MONTH(B822)</f>
        <v>10</v>
      </c>
      <c r="B822" s="135" t="n">
        <v>44476</v>
      </c>
      <c r="C822" s="128" t="s">
        <v>51</v>
      </c>
      <c r="D822" s="77" t="str">
        <f aca="false">IFERROR(VLOOKUP(E:E,'Item Data Support Sheet'!A:O,7,0),"")</f>
        <v>BOTTLE MOLDED</v>
      </c>
      <c r="E822" s="80" t="s">
        <v>572</v>
      </c>
      <c r="F822" s="122" t="s">
        <v>589</v>
      </c>
      <c r="G822" s="137" t="s">
        <v>80</v>
      </c>
      <c r="H822" s="79" t="str">
        <f aca="false">IFERROR(VLOOKUP(E:E,'Item Data Support Sheet'!A:O,2,0),"")</f>
        <v>RPP 240 ML BOTTLE MOLDED</v>
      </c>
      <c r="I822" s="80" t="s">
        <v>1572</v>
      </c>
      <c r="J822" s="80" t="s">
        <v>143</v>
      </c>
      <c r="K822" s="124" t="n">
        <v>8</v>
      </c>
      <c r="L822" s="124" t="n">
        <v>2574</v>
      </c>
      <c r="M822" s="83" t="n">
        <v>321.75</v>
      </c>
      <c r="N822" s="84" t="n">
        <f aca="false">+O822+Q822+T822+U822</f>
        <v>1400</v>
      </c>
      <c r="O822" s="85" t="n">
        <v>1320</v>
      </c>
      <c r="P822" s="86" t="n">
        <v>0.3</v>
      </c>
      <c r="Q822" s="86" t="n">
        <v>32</v>
      </c>
      <c r="R822" s="132" t="n">
        <v>0</v>
      </c>
      <c r="S822" s="128" t="n">
        <v>0</v>
      </c>
      <c r="T822" s="132" t="n">
        <v>40</v>
      </c>
      <c r="U822" s="128" t="n">
        <v>8</v>
      </c>
      <c r="V822" s="128" t="n">
        <v>1</v>
      </c>
      <c r="W822" s="90" t="n">
        <f aca="false">IFERROR(O822/V822,0)</f>
        <v>1320</v>
      </c>
      <c r="X822" s="91" t="n">
        <f aca="false">O822/L822</f>
        <v>0.512820512820513</v>
      </c>
      <c r="Y822" s="92" t="str">
        <f aca="false">IFERROR(VLOOKUP(E:E,'Item Data Support Sheet'!A:J,6,0),0)</f>
        <v>HMC</v>
      </c>
      <c r="Z822" s="93" t="n">
        <f aca="false">IFERROR(VLOOKUP(E:E,'Item Data Support Sheet'!A:O,4,0),0)</f>
        <v>32.1</v>
      </c>
      <c r="AA822" s="93" t="n">
        <f aca="false">IFERROR(((N822)*(Z822/1000))+P822,0)</f>
        <v>45.24</v>
      </c>
      <c r="AB822" s="94" t="n">
        <f aca="false">IFERROR((O822*(Z822/1000)/(AA822))," ")</f>
        <v>0.936604774535809</v>
      </c>
      <c r="AC822" s="95" t="n">
        <f aca="false">IFERROR((T822)/((T822)+O822),0)</f>
        <v>0.0294117647058823</v>
      </c>
      <c r="AD822" s="96" t="n">
        <f aca="false">IFERROR(Q822/(Q822+N822),0)</f>
        <v>0.0223463687150838</v>
      </c>
      <c r="AE822" s="91" t="n">
        <f aca="false">(N822-T822)/N822</f>
        <v>0.971428571428571</v>
      </c>
      <c r="AF822" s="97" t="n">
        <f aca="false">BR822</f>
        <v>5.5</v>
      </c>
      <c r="AG822" s="98" t="n">
        <f aca="false">K822-AF822</f>
        <v>2.5</v>
      </c>
      <c r="AH822" s="99" t="n">
        <f aca="false">IFERROR(AG822/K822," ")</f>
        <v>0.3125</v>
      </c>
      <c r="AI822" s="100" t="n">
        <f aca="false">IFERROR(O822/K822,0)</f>
        <v>165</v>
      </c>
      <c r="AJ822" s="101" t="n">
        <f aca="false">VLOOKUP(D822,'Standard Cycle time'!C:D,2,0)</f>
        <v>9</v>
      </c>
      <c r="AK822" s="101" t="n">
        <f aca="false">AG822*V822*3600/O822</f>
        <v>6.81818181818182</v>
      </c>
      <c r="AL822" s="102" t="n">
        <f aca="false">AJ822/AK822</f>
        <v>1.32</v>
      </c>
      <c r="AM822" s="99" t="n">
        <f aca="false">AE822*AL822*AH822</f>
        <v>0.400714285714286</v>
      </c>
      <c r="AN822" s="103" t="n">
        <v>0.400714285714286</v>
      </c>
      <c r="AO822" s="112" t="s">
        <v>1573</v>
      </c>
      <c r="AP822" s="105" t="n">
        <v>0</v>
      </c>
      <c r="AQ822" s="105" t="n">
        <v>0</v>
      </c>
      <c r="AR822" s="105" t="n">
        <v>180</v>
      </c>
      <c r="AS822" s="105" t="n">
        <v>0</v>
      </c>
      <c r="AT822" s="105" t="n">
        <v>0</v>
      </c>
      <c r="AU822" s="105" t="n">
        <v>0</v>
      </c>
      <c r="AV822" s="105" t="n">
        <v>60</v>
      </c>
      <c r="AW822" s="105" t="n">
        <v>60</v>
      </c>
      <c r="AX822" s="105" t="n">
        <v>0</v>
      </c>
      <c r="AY822" s="105" t="n">
        <v>0</v>
      </c>
      <c r="AZ822" s="105" t="n">
        <v>0</v>
      </c>
      <c r="BA822" s="105" t="n">
        <v>0</v>
      </c>
      <c r="BB822" s="105" t="n">
        <v>30</v>
      </c>
      <c r="BC822" s="105" t="n">
        <v>0</v>
      </c>
      <c r="BD822" s="105" t="n">
        <v>0</v>
      </c>
      <c r="BE822" s="105" t="n">
        <v>0</v>
      </c>
      <c r="BF822" s="105" t="n">
        <v>0</v>
      </c>
      <c r="BG822" s="105" t="n">
        <v>0</v>
      </c>
      <c r="BH822" s="105" t="n">
        <v>0</v>
      </c>
      <c r="BI822" s="105" t="n">
        <v>0</v>
      </c>
      <c r="BJ822" s="105" t="n">
        <v>0</v>
      </c>
      <c r="BK822" s="105" t="n">
        <v>0</v>
      </c>
      <c r="BL822" s="105" t="n">
        <v>0</v>
      </c>
      <c r="BM822" s="105" t="n">
        <v>0</v>
      </c>
      <c r="BN822" s="105" t="n">
        <v>0</v>
      </c>
      <c r="BO822" s="105" t="n">
        <v>0</v>
      </c>
      <c r="BP822" s="105" t="n">
        <v>0</v>
      </c>
      <c r="BQ822" s="105" t="n">
        <v>0</v>
      </c>
      <c r="BR822" s="106" t="n">
        <v>5.5</v>
      </c>
      <c r="BS822" s="106" t="n">
        <v>5.5</v>
      </c>
      <c r="BT822" s="107"/>
      <c r="BU822" s="107"/>
      <c r="BV822" s="107"/>
      <c r="BW822" s="107"/>
      <c r="BX822" s="107"/>
      <c r="BY822" s="107"/>
      <c r="BZ822" s="107"/>
      <c r="CA822" s="107"/>
      <c r="CB822" s="107"/>
      <c r="CC822" s="107"/>
      <c r="CD822" s="107"/>
      <c r="CE822" s="107"/>
      <c r="CF822" s="107"/>
      <c r="CG822" s="107"/>
      <c r="CH822" s="107"/>
      <c r="CI822" s="107"/>
      <c r="CJ822" s="107"/>
      <c r="CK822" s="107"/>
      <c r="CL822" s="107"/>
      <c r="CM822" s="107"/>
      <c r="CN822" s="107"/>
      <c r="CO822" s="107"/>
      <c r="CP822" s="107"/>
      <c r="CQ822" s="107"/>
      <c r="CR822" s="107"/>
      <c r="CS822" s="107"/>
      <c r="CT822" s="107"/>
      <c r="CU822" s="107"/>
      <c r="CV822" s="107"/>
    </row>
    <row r="823" customFormat="false" ht="14.9" hidden="false" customHeight="false" outlineLevel="0" collapsed="false">
      <c r="A823" s="74" t="n">
        <f aca="false">MONTH(B823)</f>
        <v>10</v>
      </c>
      <c r="B823" s="135" t="n">
        <v>44476</v>
      </c>
      <c r="C823" s="128" t="s">
        <v>51</v>
      </c>
      <c r="D823" s="77" t="str">
        <f aca="false">IFERROR(VLOOKUP(E:E,'Item Data Support Sheet'!A:O,7,0),"")</f>
        <v>NIPPLE MOLDED</v>
      </c>
      <c r="E823" s="80" t="s">
        <v>492</v>
      </c>
      <c r="F823" s="122" t="s">
        <v>137</v>
      </c>
      <c r="G823" s="137" t="s">
        <v>138</v>
      </c>
      <c r="H823" s="79" t="str">
        <f aca="false">IFERROR(VLOOKUP(E:E,'Item Data Support Sheet'!A:O,2,0),"")</f>
        <v>NIPPLE S TYPE LL SIZE INJECTION</v>
      </c>
      <c r="I823" s="80" t="s">
        <v>1574</v>
      </c>
      <c r="J823" s="80" t="s">
        <v>143</v>
      </c>
      <c r="K823" s="124" t="n">
        <v>8</v>
      </c>
      <c r="L823" s="124" t="n">
        <v>4815</v>
      </c>
      <c r="M823" s="83" t="n">
        <v>601.875</v>
      </c>
      <c r="N823" s="84" t="n">
        <f aca="false">+O823+Q823+T823+U823</f>
        <v>5517</v>
      </c>
      <c r="O823" s="85" t="n">
        <v>5400</v>
      </c>
      <c r="P823" s="86" t="n">
        <v>0</v>
      </c>
      <c r="Q823" s="86" t="n">
        <v>56</v>
      </c>
      <c r="R823" s="132" t="n">
        <v>0</v>
      </c>
      <c r="S823" s="128" t="n">
        <v>0</v>
      </c>
      <c r="T823" s="132" t="n">
        <v>53</v>
      </c>
      <c r="U823" s="128" t="n">
        <v>8</v>
      </c>
      <c r="V823" s="128" t="n">
        <v>1</v>
      </c>
      <c r="W823" s="90" t="n">
        <f aca="false">IFERROR(O823/V823,0)</f>
        <v>5400</v>
      </c>
      <c r="X823" s="91" t="n">
        <f aca="false">O823/L823</f>
        <v>1.1214953271028</v>
      </c>
      <c r="Y823" s="92" t="str">
        <f aca="false">IFERROR(VLOOKUP(E:E,'Item Data Support Sheet'!A:J,6,0),0)</f>
        <v>FO148</v>
      </c>
      <c r="Z823" s="93" t="n">
        <f aca="false">IFERROR(VLOOKUP(E:E,'Item Data Support Sheet'!A:O,4,0),0)</f>
        <v>6.8</v>
      </c>
      <c r="AA823" s="93" t="n">
        <f aca="false">IFERROR(((N823)*(Z823/1000))+P823,0)</f>
        <v>37.5156</v>
      </c>
      <c r="AB823" s="94" t="n">
        <f aca="false">IFERROR((O823*(Z823/1000)/(AA823))," ")</f>
        <v>0.978792822185971</v>
      </c>
      <c r="AC823" s="95" t="n">
        <f aca="false">IFERROR((T823)/((T823)+O823),0)</f>
        <v>0.0097194205024757</v>
      </c>
      <c r="AD823" s="96" t="n">
        <f aca="false">IFERROR(Q823/(Q823+N823),0)</f>
        <v>0.0100484478736767</v>
      </c>
      <c r="AE823" s="91" t="n">
        <f aca="false">(N823-T823)/N823</f>
        <v>0.990393329708175</v>
      </c>
      <c r="AF823" s="97" t="n">
        <f aca="false">BR823</f>
        <v>0.5</v>
      </c>
      <c r="AG823" s="98" t="n">
        <f aca="false">K823-AF823</f>
        <v>7.5</v>
      </c>
      <c r="AH823" s="99" t="n">
        <f aca="false">IFERROR(AG823/K823," ")</f>
        <v>0.9375</v>
      </c>
      <c r="AI823" s="100" t="n">
        <f aca="false">IFERROR(O823/K823,0)</f>
        <v>675</v>
      </c>
      <c r="AJ823" s="101" t="n">
        <f aca="false">VLOOKUP(D823,'Standard Cycle time'!C:D,2,0)</f>
        <v>5.25</v>
      </c>
      <c r="AK823" s="101" t="n">
        <f aca="false">AG823*V823*3600/O823</f>
        <v>5</v>
      </c>
      <c r="AL823" s="102" t="n">
        <f aca="false">AJ823/AK823</f>
        <v>1.05</v>
      </c>
      <c r="AM823" s="99" t="n">
        <f aca="false">AE823*AL823*AH823</f>
        <v>0.974918433931485</v>
      </c>
      <c r="AN823" s="103" t="n">
        <v>0.974918433931485</v>
      </c>
      <c r="AO823" s="112"/>
      <c r="AP823" s="105" t="n">
        <v>0</v>
      </c>
      <c r="AQ823" s="105" t="n">
        <v>0</v>
      </c>
      <c r="AR823" s="105" t="n">
        <v>0</v>
      </c>
      <c r="AS823" s="105" t="n">
        <v>0</v>
      </c>
      <c r="AT823" s="105" t="n">
        <v>0</v>
      </c>
      <c r="AU823" s="105" t="n">
        <v>30</v>
      </c>
      <c r="AV823" s="105" t="n">
        <v>0</v>
      </c>
      <c r="AW823" s="105" t="n">
        <v>0</v>
      </c>
      <c r="AX823" s="105" t="n">
        <v>0</v>
      </c>
      <c r="AY823" s="105" t="n">
        <v>0</v>
      </c>
      <c r="AZ823" s="105" t="n">
        <v>0</v>
      </c>
      <c r="BA823" s="105" t="n">
        <v>0</v>
      </c>
      <c r="BB823" s="105" t="n">
        <v>0</v>
      </c>
      <c r="BC823" s="105" t="n">
        <v>0</v>
      </c>
      <c r="BD823" s="105" t="n">
        <v>0</v>
      </c>
      <c r="BE823" s="105" t="n">
        <v>0</v>
      </c>
      <c r="BF823" s="105" t="n">
        <v>0</v>
      </c>
      <c r="BG823" s="105" t="n">
        <v>0</v>
      </c>
      <c r="BH823" s="105" t="n">
        <v>0</v>
      </c>
      <c r="BI823" s="105" t="n">
        <v>0</v>
      </c>
      <c r="BJ823" s="105" t="n">
        <v>0</v>
      </c>
      <c r="BK823" s="105" t="n">
        <v>0</v>
      </c>
      <c r="BL823" s="105" t="n">
        <v>0</v>
      </c>
      <c r="BM823" s="105" t="n">
        <v>0</v>
      </c>
      <c r="BN823" s="105" t="n">
        <v>0</v>
      </c>
      <c r="BO823" s="105" t="n">
        <v>0</v>
      </c>
      <c r="BP823" s="105" t="n">
        <v>0</v>
      </c>
      <c r="BQ823" s="105" t="n">
        <v>0</v>
      </c>
      <c r="BR823" s="106" t="n">
        <v>0.5</v>
      </c>
      <c r="BS823" s="106" t="n">
        <v>0.5</v>
      </c>
      <c r="BT823" s="107"/>
      <c r="BU823" s="107"/>
      <c r="BV823" s="107"/>
      <c r="BW823" s="107"/>
      <c r="BX823" s="107"/>
      <c r="BY823" s="107"/>
      <c r="BZ823" s="107"/>
      <c r="CA823" s="107"/>
      <c r="CB823" s="107"/>
      <c r="CC823" s="107"/>
      <c r="CD823" s="107"/>
      <c r="CE823" s="107"/>
      <c r="CF823" s="107"/>
      <c r="CG823" s="107"/>
      <c r="CH823" s="107"/>
      <c r="CI823" s="107"/>
      <c r="CJ823" s="107"/>
      <c r="CK823" s="107"/>
      <c r="CL823" s="107"/>
      <c r="CM823" s="107"/>
      <c r="CN823" s="107"/>
      <c r="CO823" s="107"/>
      <c r="CP823" s="107"/>
      <c r="CQ823" s="107"/>
      <c r="CR823" s="107"/>
      <c r="CS823" s="107"/>
      <c r="CT823" s="107"/>
      <c r="CU823" s="107"/>
      <c r="CV823" s="107"/>
    </row>
    <row r="824" customFormat="false" ht="14.9" hidden="false" customHeight="false" outlineLevel="0" collapsed="false">
      <c r="A824" s="74" t="n">
        <f aca="false">MONTH(B824)</f>
        <v>10</v>
      </c>
      <c r="B824" s="135" t="n">
        <v>44476</v>
      </c>
      <c r="C824" s="128" t="s">
        <v>51</v>
      </c>
      <c r="D824" s="77" t="str">
        <f aca="false">IFERROR(VLOOKUP(E:E,'Item Data Support Sheet'!A:O,7,0),"")</f>
        <v>NIPPLE PUNCH</v>
      </c>
      <c r="E824" s="80" t="s">
        <v>563</v>
      </c>
      <c r="F824" s="122"/>
      <c r="G824" s="137" t="s">
        <v>54</v>
      </c>
      <c r="H824" s="79" t="str">
        <f aca="false">IFERROR(VLOOKUP(E:E,'Item Data Support Sheet'!A:O,2,0),"")</f>
        <v>NIPPLE S TYPE LL SIZE PUNCHED</v>
      </c>
      <c r="I824" s="80" t="s">
        <v>1575</v>
      </c>
      <c r="J824" s="80" t="s">
        <v>143</v>
      </c>
      <c r="K824" s="124" t="n">
        <v>8</v>
      </c>
      <c r="L824" s="124" t="n">
        <v>7000</v>
      </c>
      <c r="M824" s="83" t="n">
        <v>875</v>
      </c>
      <c r="N824" s="84" t="n">
        <f aca="false">+O824+Q824+T824+U824</f>
        <v>7300</v>
      </c>
      <c r="O824" s="85" t="n">
        <v>7300</v>
      </c>
      <c r="P824" s="86" t="n">
        <v>0</v>
      </c>
      <c r="Q824" s="86" t="n">
        <v>0</v>
      </c>
      <c r="R824" s="132" t="n">
        <v>0</v>
      </c>
      <c r="S824" s="128" t="n">
        <v>0</v>
      </c>
      <c r="T824" s="132" t="n">
        <v>0</v>
      </c>
      <c r="U824" s="128" t="n">
        <v>0</v>
      </c>
      <c r="V824" s="128" t="n">
        <v>1</v>
      </c>
      <c r="W824" s="90" t="n">
        <f aca="false">IFERROR(O824/V824,0)</f>
        <v>7300</v>
      </c>
      <c r="X824" s="91" t="n">
        <f aca="false">O824/L824</f>
        <v>1.04285714285714</v>
      </c>
      <c r="Y824" s="92" t="str">
        <f aca="false">IFERROR(VLOOKUP(E:E,'Item Data Support Sheet'!A:J,6,0),0)</f>
        <v>FO150</v>
      </c>
      <c r="Z824" s="93" t="n">
        <f aca="false">IFERROR(VLOOKUP(E:E,'Item Data Support Sheet'!A:O,4,0),0)</f>
        <v>0</v>
      </c>
      <c r="AA824" s="93" t="n">
        <f aca="false">IFERROR(((N824)*(Z824/1000))+P824,0)</f>
        <v>0</v>
      </c>
      <c r="AB824" s="94" t="str">
        <f aca="false">IFERROR((O824*(Z824/1000)/(AA824))," ")</f>
        <v> </v>
      </c>
      <c r="AC824" s="95" t="n">
        <f aca="false">IFERROR((T824)/((T824)+O824),0)</f>
        <v>0</v>
      </c>
      <c r="AD824" s="96" t="n">
        <f aca="false">IFERROR(Q824/(Q824+N824),0)</f>
        <v>0</v>
      </c>
      <c r="AE824" s="91" t="n">
        <f aca="false">(N824-T824)/N824</f>
        <v>1</v>
      </c>
      <c r="AF824" s="97" t="n">
        <f aca="false">BR824</f>
        <v>0.666666666666667</v>
      </c>
      <c r="AG824" s="98" t="n">
        <f aca="false">K824-AF824</f>
        <v>7.33333333333333</v>
      </c>
      <c r="AH824" s="99" t="n">
        <f aca="false">IFERROR(AG824/K824," ")</f>
        <v>0.916666666666667</v>
      </c>
      <c r="AI824" s="100" t="n">
        <f aca="false">IFERROR(O824/K824,0)</f>
        <v>912.5</v>
      </c>
      <c r="AJ824" s="101" t="n">
        <f aca="false">VLOOKUP(D824,'Standard Cycle time'!C:D,2,0)</f>
        <v>3.5</v>
      </c>
      <c r="AK824" s="101" t="n">
        <f aca="false">AG824*V824*3600/O824</f>
        <v>3.61643835616438</v>
      </c>
      <c r="AL824" s="102" t="n">
        <f aca="false">AJ824/AK824</f>
        <v>0.96780303030303</v>
      </c>
      <c r="AM824" s="99" t="n">
        <f aca="false">AE824*AL824*AH824</f>
        <v>0.887152777777778</v>
      </c>
      <c r="AN824" s="103" t="n">
        <v>0.887152777777778</v>
      </c>
      <c r="AO824" s="112"/>
      <c r="AP824" s="105" t="n">
        <v>40</v>
      </c>
      <c r="AQ824" s="105" t="n">
        <v>0</v>
      </c>
      <c r="AR824" s="105" t="n">
        <v>0</v>
      </c>
      <c r="AS824" s="105" t="n">
        <v>0</v>
      </c>
      <c r="AT824" s="105" t="n">
        <v>0</v>
      </c>
      <c r="AU824" s="105" t="n">
        <v>0</v>
      </c>
      <c r="AV824" s="105" t="n">
        <v>0</v>
      </c>
      <c r="AW824" s="105" t="n">
        <v>0</v>
      </c>
      <c r="AX824" s="105" t="n">
        <v>0</v>
      </c>
      <c r="AY824" s="105" t="n">
        <v>0</v>
      </c>
      <c r="AZ824" s="105" t="n">
        <v>0</v>
      </c>
      <c r="BA824" s="105" t="n">
        <v>0</v>
      </c>
      <c r="BB824" s="105" t="n">
        <v>0</v>
      </c>
      <c r="BC824" s="105" t="n">
        <v>0</v>
      </c>
      <c r="BD824" s="105" t="n">
        <v>0</v>
      </c>
      <c r="BE824" s="105" t="n">
        <v>0</v>
      </c>
      <c r="BF824" s="105" t="n">
        <v>0</v>
      </c>
      <c r="BG824" s="105" t="n">
        <v>0</v>
      </c>
      <c r="BH824" s="105" t="n">
        <v>0</v>
      </c>
      <c r="BI824" s="105" t="n">
        <v>0</v>
      </c>
      <c r="BJ824" s="105" t="n">
        <v>0</v>
      </c>
      <c r="BK824" s="105" t="n">
        <v>0</v>
      </c>
      <c r="BL824" s="105" t="n">
        <v>0</v>
      </c>
      <c r="BM824" s="105" t="n">
        <v>0</v>
      </c>
      <c r="BN824" s="105" t="n">
        <v>0</v>
      </c>
      <c r="BO824" s="105" t="n">
        <v>0</v>
      </c>
      <c r="BP824" s="105" t="n">
        <v>0</v>
      </c>
      <c r="BQ824" s="105" t="n">
        <v>0</v>
      </c>
      <c r="BR824" s="106" t="n">
        <v>0.666666666666667</v>
      </c>
      <c r="BS824" s="106" t="n">
        <v>0.666666666666667</v>
      </c>
      <c r="BT824" s="107"/>
      <c r="BU824" s="107"/>
      <c r="BV824" s="107"/>
      <c r="BW824" s="107"/>
      <c r="BX824" s="107"/>
      <c r="BY824" s="107"/>
      <c r="BZ824" s="107"/>
      <c r="CA824" s="107"/>
      <c r="CB824" s="107"/>
      <c r="CC824" s="107"/>
      <c r="CD824" s="107"/>
      <c r="CE824" s="107"/>
      <c r="CF824" s="107"/>
      <c r="CG824" s="107"/>
      <c r="CH824" s="107"/>
      <c r="CI824" s="107"/>
      <c r="CJ824" s="107"/>
      <c r="CK824" s="107"/>
      <c r="CL824" s="107"/>
      <c r="CM824" s="107"/>
      <c r="CN824" s="107"/>
      <c r="CO824" s="107"/>
      <c r="CP824" s="107"/>
      <c r="CQ824" s="107"/>
      <c r="CR824" s="107"/>
      <c r="CS824" s="107"/>
      <c r="CT824" s="107"/>
      <c r="CU824" s="107"/>
      <c r="CV824" s="107"/>
    </row>
    <row r="825" customFormat="false" ht="14.9" hidden="false" customHeight="false" outlineLevel="0" collapsed="false">
      <c r="A825" s="74" t="n">
        <f aca="false">MONTH(B825)</f>
        <v>10</v>
      </c>
      <c r="B825" s="135" t="n">
        <v>44476</v>
      </c>
      <c r="C825" s="128" t="s">
        <v>51</v>
      </c>
      <c r="D825" s="77" t="str">
        <f aca="false">IFERROR(VLOOKUP(E:E,'Item Data Support Sheet'!A:O,7,0),"")</f>
        <v>NIPPLE LASER MARKING</v>
      </c>
      <c r="E825" s="80" t="s">
        <v>600</v>
      </c>
      <c r="F825" s="122"/>
      <c r="G825" s="137" t="s">
        <v>517</v>
      </c>
      <c r="H825" s="79" t="str">
        <f aca="false">IFERROR(VLOOKUP(E:E,'Item Data Support Sheet'!A:O,2,0),"")</f>
        <v>NIPPLE S TYPE LL SIZE LASER MARKED</v>
      </c>
      <c r="I825" s="80" t="s">
        <v>1576</v>
      </c>
      <c r="J825" s="80" t="s">
        <v>143</v>
      </c>
      <c r="K825" s="124" t="n">
        <v>8</v>
      </c>
      <c r="L825" s="124" t="n">
        <v>7000</v>
      </c>
      <c r="M825" s="83" t="n">
        <v>875</v>
      </c>
      <c r="N825" s="84" t="n">
        <f aca="false">+O825+Q825+T825+U825</f>
        <v>7300</v>
      </c>
      <c r="O825" s="85" t="n">
        <v>7300</v>
      </c>
      <c r="P825" s="86" t="n">
        <v>0</v>
      </c>
      <c r="Q825" s="86" t="n">
        <v>0</v>
      </c>
      <c r="R825" s="132" t="n">
        <v>0</v>
      </c>
      <c r="S825" s="128" t="n">
        <v>0</v>
      </c>
      <c r="T825" s="132" t="n">
        <v>0</v>
      </c>
      <c r="U825" s="128" t="n">
        <v>0</v>
      </c>
      <c r="V825" s="128" t="n">
        <v>1</v>
      </c>
      <c r="W825" s="90" t="n">
        <f aca="false">IFERROR(O825/V825,0)</f>
        <v>7300</v>
      </c>
      <c r="X825" s="91" t="n">
        <f aca="false">O825/L825</f>
        <v>1.04285714285714</v>
      </c>
      <c r="Y825" s="92" t="str">
        <f aca="false">IFERROR(VLOOKUP(E:E,'Item Data Support Sheet'!A:J,6,0),0)</f>
        <v>FO151</v>
      </c>
      <c r="Z825" s="93" t="n">
        <f aca="false">IFERROR(VLOOKUP(E:E,'Item Data Support Sheet'!A:O,4,0),0)</f>
        <v>0</v>
      </c>
      <c r="AA825" s="93" t="n">
        <f aca="false">IFERROR(((N825)*(Z825/1000))+P825,0)</f>
        <v>0</v>
      </c>
      <c r="AB825" s="94" t="str">
        <f aca="false">IFERROR((O825*(Z825/1000)/(AA825))," ")</f>
        <v> </v>
      </c>
      <c r="AC825" s="95" t="n">
        <f aca="false">IFERROR((T825)/((T825)+O825),0)</f>
        <v>0</v>
      </c>
      <c r="AD825" s="96" t="n">
        <f aca="false">IFERROR(Q825/(Q825+N825),0)</f>
        <v>0</v>
      </c>
      <c r="AE825" s="91" t="n">
        <f aca="false">(N825-T825)/N825</f>
        <v>1</v>
      </c>
      <c r="AF825" s="97" t="n">
        <f aca="false">BR825</f>
        <v>0.666666666666667</v>
      </c>
      <c r="AG825" s="98" t="n">
        <f aca="false">K825-AF825</f>
        <v>7.33333333333333</v>
      </c>
      <c r="AH825" s="99" t="n">
        <f aca="false">IFERROR(AG825/K825," ")</f>
        <v>0.916666666666667</v>
      </c>
      <c r="AI825" s="100" t="n">
        <f aca="false">IFERROR(O825/K825,0)</f>
        <v>912.5</v>
      </c>
      <c r="AJ825" s="101" t="n">
        <f aca="false">VLOOKUP(D825,'Standard Cycle time'!C:D,2,0)</f>
        <v>3.5</v>
      </c>
      <c r="AK825" s="101" t="n">
        <f aca="false">AG825*V825*3600/O825</f>
        <v>3.61643835616438</v>
      </c>
      <c r="AL825" s="102" t="n">
        <f aca="false">AJ825/AK825</f>
        <v>0.96780303030303</v>
      </c>
      <c r="AM825" s="99" t="n">
        <f aca="false">AE825*AL825*AH825</f>
        <v>0.887152777777778</v>
      </c>
      <c r="AN825" s="103" t="n">
        <v>0.887152777777778</v>
      </c>
      <c r="AO825" s="112"/>
      <c r="AP825" s="105" t="n">
        <v>40</v>
      </c>
      <c r="AQ825" s="105" t="n">
        <v>0</v>
      </c>
      <c r="AR825" s="105" t="n">
        <v>0</v>
      </c>
      <c r="AS825" s="105" t="n">
        <v>0</v>
      </c>
      <c r="AT825" s="105" t="n">
        <v>0</v>
      </c>
      <c r="AU825" s="105" t="n">
        <v>0</v>
      </c>
      <c r="AV825" s="105" t="n">
        <v>0</v>
      </c>
      <c r="AW825" s="105" t="n">
        <v>0</v>
      </c>
      <c r="AX825" s="105" t="n">
        <v>0</v>
      </c>
      <c r="AY825" s="105" t="n">
        <v>0</v>
      </c>
      <c r="AZ825" s="105" t="n">
        <v>0</v>
      </c>
      <c r="BA825" s="105" t="n">
        <v>0</v>
      </c>
      <c r="BB825" s="105" t="n">
        <v>0</v>
      </c>
      <c r="BC825" s="105" t="n">
        <v>0</v>
      </c>
      <c r="BD825" s="105" t="n">
        <v>0</v>
      </c>
      <c r="BE825" s="105" t="n">
        <v>0</v>
      </c>
      <c r="BF825" s="105" t="n">
        <v>0</v>
      </c>
      <c r="BG825" s="105" t="n">
        <v>0</v>
      </c>
      <c r="BH825" s="105" t="n">
        <v>0</v>
      </c>
      <c r="BI825" s="105" t="n">
        <v>0</v>
      </c>
      <c r="BJ825" s="105" t="n">
        <v>0</v>
      </c>
      <c r="BK825" s="105" t="n">
        <v>0</v>
      </c>
      <c r="BL825" s="105" t="n">
        <v>0</v>
      </c>
      <c r="BM825" s="105" t="n">
        <v>0</v>
      </c>
      <c r="BN825" s="105" t="n">
        <v>0</v>
      </c>
      <c r="BO825" s="105" t="n">
        <v>0</v>
      </c>
      <c r="BP825" s="105" t="n">
        <v>0</v>
      </c>
      <c r="BQ825" s="105" t="n">
        <v>0</v>
      </c>
      <c r="BR825" s="106" t="n">
        <v>0.666666666666667</v>
      </c>
      <c r="BS825" s="106" t="n">
        <v>0.666666666666667</v>
      </c>
      <c r="BT825" s="107"/>
      <c r="BU825" s="107"/>
      <c r="BV825" s="107"/>
      <c r="BW825" s="107"/>
      <c r="BX825" s="107"/>
      <c r="BY825" s="107"/>
      <c r="BZ825" s="107"/>
      <c r="CA825" s="107"/>
      <c r="CB825" s="107"/>
      <c r="CC825" s="107"/>
      <c r="CD825" s="107"/>
      <c r="CE825" s="107"/>
      <c r="CF825" s="107"/>
      <c r="CG825" s="107"/>
      <c r="CH825" s="107"/>
      <c r="CI825" s="107"/>
      <c r="CJ825" s="107"/>
      <c r="CK825" s="107"/>
      <c r="CL825" s="107"/>
      <c r="CM825" s="107"/>
      <c r="CN825" s="107"/>
      <c r="CO825" s="107"/>
      <c r="CP825" s="107"/>
      <c r="CQ825" s="107"/>
      <c r="CR825" s="107"/>
      <c r="CS825" s="107"/>
      <c r="CT825" s="107"/>
      <c r="CU825" s="107"/>
      <c r="CV825" s="107"/>
    </row>
    <row r="826" customFormat="false" ht="14.9" hidden="false" customHeight="false" outlineLevel="0" collapsed="false">
      <c r="A826" s="74" t="n">
        <f aca="false">MONTH(B826)</f>
        <v>10</v>
      </c>
      <c r="B826" s="135" t="n">
        <v>44476</v>
      </c>
      <c r="C826" s="128" t="s">
        <v>51</v>
      </c>
      <c r="D826" s="77" t="str">
        <f aca="false">IFERROR(VLOOKUP(E:E,'Item Data Support Sheet'!A:O,7,0),"")</f>
        <v>CAP MOLDED</v>
      </c>
      <c r="E826" s="80" t="s">
        <v>199</v>
      </c>
      <c r="F826" s="122"/>
      <c r="G826" s="137" t="s">
        <v>1478</v>
      </c>
      <c r="H826" s="79" t="str">
        <f aca="false">IFERROR(VLOOKUP(E:E,'Item Data Support Sheet'!A:O,2,0),"")</f>
        <v>CAP S TYPE MOLDED RED</v>
      </c>
      <c r="I826" s="80" t="s">
        <v>1577</v>
      </c>
      <c r="J826" s="80" t="s">
        <v>143</v>
      </c>
      <c r="K826" s="124" t="n">
        <v>8</v>
      </c>
      <c r="L826" s="124" t="n">
        <v>4137</v>
      </c>
      <c r="M826" s="83" t="n">
        <v>517.125</v>
      </c>
      <c r="N826" s="84" t="n">
        <f aca="false">+O826+Q826+T826+U826</f>
        <v>4014</v>
      </c>
      <c r="O826" s="85" t="n">
        <v>4000</v>
      </c>
      <c r="P826" s="86" t="n">
        <v>0</v>
      </c>
      <c r="Q826" s="86" t="n">
        <v>0</v>
      </c>
      <c r="R826" s="132" t="n">
        <v>0</v>
      </c>
      <c r="S826" s="128" t="n">
        <v>0</v>
      </c>
      <c r="T826" s="132" t="n">
        <v>6</v>
      </c>
      <c r="U826" s="128" t="n">
        <v>8</v>
      </c>
      <c r="V826" s="128" t="n">
        <v>1</v>
      </c>
      <c r="W826" s="90" t="n">
        <f aca="false">IFERROR(O826/V826,0)</f>
        <v>4000</v>
      </c>
      <c r="X826" s="91" t="n">
        <f aca="false">O826/L826</f>
        <v>0.96688421561518</v>
      </c>
      <c r="Y826" s="92" t="str">
        <f aca="false">IFERROR(VLOOKUP(E:E,'Item Data Support Sheet'!A:J,6,0),0)</f>
        <v>FO153</v>
      </c>
      <c r="Z826" s="93" t="n">
        <f aca="false">IFERROR(VLOOKUP(E:E,'Item Data Support Sheet'!A:O,4,0),0)</f>
        <v>7.3</v>
      </c>
      <c r="AA826" s="93" t="n">
        <f aca="false">IFERROR(((N826)*(Z826/1000))+P826,0)</f>
        <v>29.3022</v>
      </c>
      <c r="AB826" s="94" t="n">
        <f aca="false">IFERROR((O826*(Z826/1000)/(AA826))," ")</f>
        <v>0.996512207274539</v>
      </c>
      <c r="AC826" s="95" t="n">
        <f aca="false">IFERROR((T826)/((T826)+O826),0)</f>
        <v>0.00149775336994508</v>
      </c>
      <c r="AD826" s="96" t="n">
        <f aca="false">IFERROR(Q826/(Q826+N826),0)</f>
        <v>0</v>
      </c>
      <c r="AE826" s="91" t="n">
        <f aca="false">(N826-T826)/N826</f>
        <v>0.998505231689088</v>
      </c>
      <c r="AF826" s="97" t="n">
        <f aca="false">BR826</f>
        <v>1</v>
      </c>
      <c r="AG826" s="98" t="n">
        <f aca="false">K826-AF826</f>
        <v>7</v>
      </c>
      <c r="AH826" s="99" t="n">
        <f aca="false">IFERROR(AG826/K826," ")</f>
        <v>0.875</v>
      </c>
      <c r="AI826" s="100" t="n">
        <f aca="false">IFERROR(O826/K826,0)</f>
        <v>500</v>
      </c>
      <c r="AJ826" s="101" t="n">
        <f aca="false">VLOOKUP(D826,'Standard Cycle time'!C:D,2,0)</f>
        <v>6</v>
      </c>
      <c r="AK826" s="101" t="n">
        <f aca="false">AG826*V826*3600/O826</f>
        <v>6.3</v>
      </c>
      <c r="AL826" s="102" t="n">
        <f aca="false">AJ826/AK826</f>
        <v>0.952380952380952</v>
      </c>
      <c r="AM826" s="99" t="n">
        <f aca="false">AE826*AL826*AH826</f>
        <v>0.83208769307424</v>
      </c>
      <c r="AN826" s="103" t="n">
        <v>0.83208769307424</v>
      </c>
      <c r="AO826" s="112"/>
      <c r="AP826" s="105" t="n">
        <v>0</v>
      </c>
      <c r="AQ826" s="105" t="n">
        <v>0</v>
      </c>
      <c r="AR826" s="105" t="n">
        <v>0</v>
      </c>
      <c r="AS826" s="105" t="n">
        <v>0</v>
      </c>
      <c r="AT826" s="105" t="n">
        <v>0</v>
      </c>
      <c r="AU826" s="105" t="n">
        <v>0</v>
      </c>
      <c r="AV826" s="105" t="n">
        <v>0</v>
      </c>
      <c r="AW826" s="105" t="n">
        <v>30</v>
      </c>
      <c r="AX826" s="105" t="n">
        <v>0</v>
      </c>
      <c r="AY826" s="105" t="n">
        <v>0</v>
      </c>
      <c r="AZ826" s="105" t="n">
        <v>30</v>
      </c>
      <c r="BA826" s="105" t="n">
        <v>0</v>
      </c>
      <c r="BB826" s="105" t="n">
        <v>0</v>
      </c>
      <c r="BC826" s="105" t="n">
        <v>0</v>
      </c>
      <c r="BD826" s="105" t="n">
        <v>0</v>
      </c>
      <c r="BE826" s="105" t="n">
        <v>0</v>
      </c>
      <c r="BF826" s="105" t="n">
        <v>0</v>
      </c>
      <c r="BG826" s="105" t="n">
        <v>0</v>
      </c>
      <c r="BH826" s="105" t="n">
        <v>0</v>
      </c>
      <c r="BI826" s="105" t="n">
        <v>0</v>
      </c>
      <c r="BJ826" s="105" t="n">
        <v>0</v>
      </c>
      <c r="BK826" s="105" t="n">
        <v>0</v>
      </c>
      <c r="BL826" s="105" t="n">
        <v>0</v>
      </c>
      <c r="BM826" s="105" t="n">
        <v>0</v>
      </c>
      <c r="BN826" s="105" t="n">
        <v>0</v>
      </c>
      <c r="BO826" s="105" t="n">
        <v>0</v>
      </c>
      <c r="BP826" s="105" t="n">
        <v>0</v>
      </c>
      <c r="BQ826" s="105" t="n">
        <v>0</v>
      </c>
      <c r="BR826" s="106" t="n">
        <v>1</v>
      </c>
      <c r="BS826" s="106" t="n">
        <v>1</v>
      </c>
      <c r="BT826" s="107"/>
      <c r="BU826" s="107"/>
      <c r="BV826" s="107"/>
      <c r="BW826" s="107"/>
      <c r="BX826" s="107"/>
      <c r="BY826" s="107"/>
      <c r="BZ826" s="107"/>
      <c r="CA826" s="107"/>
      <c r="CB826" s="107"/>
      <c r="CC826" s="107"/>
      <c r="CD826" s="107"/>
      <c r="CE826" s="107"/>
      <c r="CF826" s="107"/>
      <c r="CG826" s="107"/>
      <c r="CH826" s="107"/>
      <c r="CI826" s="107"/>
      <c r="CJ826" s="107"/>
      <c r="CK826" s="107"/>
      <c r="CL826" s="107"/>
      <c r="CM826" s="107"/>
      <c r="CN826" s="107"/>
      <c r="CO826" s="107"/>
      <c r="CP826" s="107"/>
      <c r="CQ826" s="107"/>
      <c r="CR826" s="107"/>
      <c r="CS826" s="107"/>
      <c r="CT826" s="107"/>
      <c r="CU826" s="107"/>
      <c r="CV826" s="107"/>
    </row>
    <row r="827" customFormat="false" ht="14.9" hidden="false" customHeight="false" outlineLevel="0" collapsed="false">
      <c r="A827" s="74" t="n">
        <f aca="false">MONTH(B827)</f>
        <v>10</v>
      </c>
      <c r="B827" s="135" t="n">
        <v>44476</v>
      </c>
      <c r="C827" s="128" t="s">
        <v>63</v>
      </c>
      <c r="D827" s="77" t="str">
        <f aca="false">IFERROR(VLOOKUP(E:E,'Item Data Support Sheet'!A:O,7,0),"")</f>
        <v>NIPPLE PUNCH INSPECTED</v>
      </c>
      <c r="E827" s="80" t="s">
        <v>621</v>
      </c>
      <c r="F827" s="122"/>
      <c r="G827" s="137"/>
      <c r="H827" s="79" t="str">
        <f aca="false">IFERROR(VLOOKUP(E:E,'Item Data Support Sheet'!A:O,2,0),"")</f>
        <v>NIPPLE S TYPE LL SIZE INSPECTED</v>
      </c>
      <c r="I827" s="80" t="s">
        <v>1559</v>
      </c>
      <c r="J827" s="80" t="s">
        <v>155</v>
      </c>
      <c r="K827" s="124" t="n">
        <v>8</v>
      </c>
      <c r="L827" s="124" t="n">
        <v>14132</v>
      </c>
      <c r="M827" s="83" t="n">
        <v>1766.5</v>
      </c>
      <c r="N827" s="84" t="n">
        <f aca="false">+O827+Q827+T827+U827</f>
        <v>14600</v>
      </c>
      <c r="O827" s="85" t="n">
        <v>14530</v>
      </c>
      <c r="P827" s="86" t="n">
        <v>0</v>
      </c>
      <c r="Q827" s="86" t="n">
        <v>0</v>
      </c>
      <c r="R827" s="132" t="n">
        <v>0</v>
      </c>
      <c r="S827" s="128" t="n">
        <v>0</v>
      </c>
      <c r="T827" s="132" t="n">
        <v>70</v>
      </c>
      <c r="U827" s="128" t="n">
        <v>0</v>
      </c>
      <c r="V827" s="128" t="n">
        <v>2</v>
      </c>
      <c r="W827" s="90" t="n">
        <f aca="false">IFERROR(O827/V827,0)</f>
        <v>7265</v>
      </c>
      <c r="X827" s="91" t="n">
        <f aca="false">O827/L827</f>
        <v>1.02816303424851</v>
      </c>
      <c r="Y827" s="92" t="str">
        <f aca="false">IFERROR(VLOOKUP(E:E,'Item Data Support Sheet'!A:J,6,0),0)</f>
        <v>FO152</v>
      </c>
      <c r="Z827" s="93" t="n">
        <f aca="false">IFERROR(VLOOKUP(E:E,'Item Data Support Sheet'!A:O,4,0),0)</f>
        <v>0</v>
      </c>
      <c r="AA827" s="93" t="n">
        <f aca="false">IFERROR(((N827)*(Z827/1000))+P827,0)</f>
        <v>0</v>
      </c>
      <c r="AB827" s="94" t="str">
        <f aca="false">IFERROR((O827*(Z827/1000)/(AA827))," ")</f>
        <v> </v>
      </c>
      <c r="AC827" s="95" t="n">
        <f aca="false">IFERROR((T827)/((T827)+O827),0)</f>
        <v>0.00479452054794521</v>
      </c>
      <c r="AD827" s="96" t="n">
        <f aca="false">IFERROR(Q827/(Q827+N827),0)</f>
        <v>0</v>
      </c>
      <c r="AE827" s="91" t="n">
        <f aca="false">(N827-T827)/N827</f>
        <v>0.995205479452055</v>
      </c>
      <c r="AF827" s="97" t="n">
        <f aca="false">BR827</f>
        <v>0.833333333333333</v>
      </c>
      <c r="AG827" s="98" t="n">
        <f aca="false">K827-AF827</f>
        <v>7.16666666666667</v>
      </c>
      <c r="AH827" s="99" t="n">
        <f aca="false">IFERROR(AG827/K827," ")</f>
        <v>0.895833333333333</v>
      </c>
      <c r="AI827" s="100" t="n">
        <f aca="false">IFERROR(O827/K827,0)</f>
        <v>1816.25</v>
      </c>
      <c r="AJ827" s="101" t="n">
        <f aca="false">VLOOKUP(D827,'Standard Cycle time'!C:D,2,0)</f>
        <v>4</v>
      </c>
      <c r="AK827" s="101" t="n">
        <f aca="false">AG827*V827*3600/O827</f>
        <v>3.55127322780454</v>
      </c>
      <c r="AL827" s="102" t="n">
        <f aca="false">AJ827/AK827</f>
        <v>1.12635658914729</v>
      </c>
      <c r="AM827" s="99" t="n">
        <f aca="false">AE827*AL827*AH827</f>
        <v>1.00418997336378</v>
      </c>
      <c r="AN827" s="103" t="n">
        <v>1.00418997336378</v>
      </c>
      <c r="AO827" s="112"/>
      <c r="AP827" s="105" t="n">
        <v>50</v>
      </c>
      <c r="AQ827" s="105" t="n">
        <v>0</v>
      </c>
      <c r="AR827" s="105" t="n">
        <v>0</v>
      </c>
      <c r="AS827" s="105" t="n">
        <v>0</v>
      </c>
      <c r="AT827" s="105" t="n">
        <v>0</v>
      </c>
      <c r="AU827" s="105" t="n">
        <v>0</v>
      </c>
      <c r="AV827" s="105" t="n">
        <v>0</v>
      </c>
      <c r="AW827" s="105" t="n">
        <v>0</v>
      </c>
      <c r="AX827" s="105" t="n">
        <v>0</v>
      </c>
      <c r="AY827" s="105" t="n">
        <v>0</v>
      </c>
      <c r="AZ827" s="105" t="n">
        <v>0</v>
      </c>
      <c r="BA827" s="105" t="n">
        <v>0</v>
      </c>
      <c r="BB827" s="105" t="n">
        <v>0</v>
      </c>
      <c r="BC827" s="105" t="n">
        <v>0</v>
      </c>
      <c r="BD827" s="105" t="n">
        <v>0</v>
      </c>
      <c r="BE827" s="105" t="n">
        <v>0</v>
      </c>
      <c r="BF827" s="105" t="n">
        <v>0</v>
      </c>
      <c r="BG827" s="105" t="n">
        <v>0</v>
      </c>
      <c r="BH827" s="105" t="n">
        <v>0</v>
      </c>
      <c r="BI827" s="105" t="n">
        <v>0</v>
      </c>
      <c r="BJ827" s="105" t="n">
        <v>0</v>
      </c>
      <c r="BK827" s="105" t="n">
        <v>0</v>
      </c>
      <c r="BL827" s="105" t="n">
        <v>0</v>
      </c>
      <c r="BM827" s="105" t="n">
        <v>0</v>
      </c>
      <c r="BN827" s="105" t="n">
        <v>0</v>
      </c>
      <c r="BO827" s="105" t="n">
        <v>0</v>
      </c>
      <c r="BP827" s="105" t="n">
        <v>0</v>
      </c>
      <c r="BQ827" s="105" t="n">
        <v>0</v>
      </c>
      <c r="BR827" s="106" t="n">
        <v>0.833333333333333</v>
      </c>
      <c r="BS827" s="106" t="n">
        <v>0.833333333333333</v>
      </c>
      <c r="BT827" s="107"/>
      <c r="BU827" s="107"/>
      <c r="BV827" s="107"/>
      <c r="BW827" s="107"/>
      <c r="BX827" s="107"/>
      <c r="BY827" s="107"/>
      <c r="BZ827" s="107"/>
      <c r="CA827" s="107"/>
      <c r="CB827" s="107"/>
      <c r="CC827" s="107"/>
      <c r="CD827" s="107"/>
      <c r="CE827" s="107"/>
      <c r="CF827" s="107"/>
      <c r="CG827" s="107"/>
      <c r="CH827" s="107"/>
      <c r="CI827" s="107"/>
      <c r="CJ827" s="107"/>
      <c r="CK827" s="107"/>
      <c r="CL827" s="107"/>
      <c r="CM827" s="107"/>
      <c r="CN827" s="107"/>
      <c r="CO827" s="107"/>
      <c r="CP827" s="107"/>
      <c r="CQ827" s="107"/>
      <c r="CR827" s="107"/>
      <c r="CS827" s="107"/>
      <c r="CT827" s="107"/>
      <c r="CU827" s="107"/>
      <c r="CV827" s="107"/>
    </row>
    <row r="828" customFormat="false" ht="14.9" hidden="false" customHeight="false" outlineLevel="0" collapsed="false">
      <c r="A828" s="74" t="n">
        <f aca="false">MONTH(B828)</f>
        <v>10</v>
      </c>
      <c r="B828" s="135" t="n">
        <v>44476</v>
      </c>
      <c r="C828" s="128" t="s">
        <v>70</v>
      </c>
      <c r="D828" s="77" t="str">
        <f aca="false">IFERROR(VLOOKUP(E:E,'Item Data Support Sheet'!A:O,7,0),"")</f>
        <v>NIPPLE PUNCH</v>
      </c>
      <c r="E828" s="80" t="s">
        <v>563</v>
      </c>
      <c r="F828" s="122"/>
      <c r="G828" s="137"/>
      <c r="H828" s="79" t="str">
        <f aca="false">IFERROR(VLOOKUP(E:E,'Item Data Support Sheet'!A:O,2,0),"")</f>
        <v>NIPPLE S TYPE LL SIZE PUNCHED</v>
      </c>
      <c r="I828" s="80" t="s">
        <v>1578</v>
      </c>
      <c r="J828" s="80" t="s">
        <v>155</v>
      </c>
      <c r="K828" s="124" t="n">
        <v>8</v>
      </c>
      <c r="L828" s="124" t="n">
        <v>7000</v>
      </c>
      <c r="M828" s="83" t="n">
        <v>875</v>
      </c>
      <c r="N828" s="84" t="n">
        <f aca="false">+O828+Q828+T828+U828</f>
        <v>7300</v>
      </c>
      <c r="O828" s="85" t="n">
        <v>7300</v>
      </c>
      <c r="P828" s="86" t="n">
        <v>0</v>
      </c>
      <c r="Q828" s="86" t="n">
        <v>0</v>
      </c>
      <c r="R828" s="132" t="n">
        <v>0</v>
      </c>
      <c r="S828" s="128" t="n">
        <v>0</v>
      </c>
      <c r="T828" s="132" t="n">
        <v>0</v>
      </c>
      <c r="U828" s="128" t="n">
        <v>0</v>
      </c>
      <c r="V828" s="128" t="n">
        <v>1</v>
      </c>
      <c r="W828" s="90" t="n">
        <f aca="false">IFERROR(O828/V828,0)</f>
        <v>7300</v>
      </c>
      <c r="X828" s="91" t="n">
        <f aca="false">O828/L828</f>
        <v>1.04285714285714</v>
      </c>
      <c r="Y828" s="92" t="str">
        <f aca="false">IFERROR(VLOOKUP(E:E,'Item Data Support Sheet'!A:J,6,0),0)</f>
        <v>FO150</v>
      </c>
      <c r="Z828" s="93" t="n">
        <f aca="false">IFERROR(VLOOKUP(E:E,'Item Data Support Sheet'!A:O,4,0),0)</f>
        <v>0</v>
      </c>
      <c r="AA828" s="93" t="n">
        <f aca="false">IFERROR(((N828)*(Z828/1000))+P828,0)</f>
        <v>0</v>
      </c>
      <c r="AB828" s="94" t="str">
        <f aca="false">IFERROR((O828*(Z828/1000)/(AA828))," ")</f>
        <v> </v>
      </c>
      <c r="AC828" s="95" t="n">
        <f aca="false">IFERROR((T828)/((T828)+O828),0)</f>
        <v>0</v>
      </c>
      <c r="AD828" s="96" t="n">
        <f aca="false">IFERROR(Q828/(Q828+N828),0)</f>
        <v>0</v>
      </c>
      <c r="AE828" s="91" t="n">
        <f aca="false">(N828-T828)/N828</f>
        <v>1</v>
      </c>
      <c r="AF828" s="97" t="n">
        <f aca="false">BR828</f>
        <v>0.666666666666667</v>
      </c>
      <c r="AG828" s="98" t="n">
        <f aca="false">K828-AF828</f>
        <v>7.33333333333333</v>
      </c>
      <c r="AH828" s="99" t="n">
        <f aca="false">IFERROR(AG828/K828," ")</f>
        <v>0.916666666666667</v>
      </c>
      <c r="AI828" s="100" t="n">
        <f aca="false">IFERROR(O828/K828,0)</f>
        <v>912.5</v>
      </c>
      <c r="AJ828" s="101" t="n">
        <f aca="false">VLOOKUP(D828,'Standard Cycle time'!C:D,2,0)</f>
        <v>3.5</v>
      </c>
      <c r="AK828" s="101" t="n">
        <f aca="false">AG828*V828*3600/O828</f>
        <v>3.61643835616438</v>
      </c>
      <c r="AL828" s="102" t="n">
        <f aca="false">AJ828/AK828</f>
        <v>0.96780303030303</v>
      </c>
      <c r="AM828" s="99" t="n">
        <f aca="false">AE828*AL828*AH828</f>
        <v>0.887152777777778</v>
      </c>
      <c r="AN828" s="103" t="n">
        <v>0.887152777777778</v>
      </c>
      <c r="AO828" s="112"/>
      <c r="AP828" s="105" t="n">
        <v>40</v>
      </c>
      <c r="AQ828" s="105" t="n">
        <v>0</v>
      </c>
      <c r="AR828" s="105" t="n">
        <v>0</v>
      </c>
      <c r="AS828" s="105" t="n">
        <v>0</v>
      </c>
      <c r="AT828" s="105" t="n">
        <v>0</v>
      </c>
      <c r="AU828" s="105" t="n">
        <v>0</v>
      </c>
      <c r="AV828" s="105" t="n">
        <v>0</v>
      </c>
      <c r="AW828" s="105" t="n">
        <v>0</v>
      </c>
      <c r="AX828" s="105" t="n">
        <v>0</v>
      </c>
      <c r="AY828" s="105" t="n">
        <v>0</v>
      </c>
      <c r="AZ828" s="105" t="n">
        <v>0</v>
      </c>
      <c r="BA828" s="105" t="n">
        <v>0</v>
      </c>
      <c r="BB828" s="105" t="n">
        <v>0</v>
      </c>
      <c r="BC828" s="105" t="n">
        <v>0</v>
      </c>
      <c r="BD828" s="105" t="n">
        <v>0</v>
      </c>
      <c r="BE828" s="105" t="n">
        <v>0</v>
      </c>
      <c r="BF828" s="105" t="n">
        <v>0</v>
      </c>
      <c r="BG828" s="105" t="n">
        <v>0</v>
      </c>
      <c r="BH828" s="105" t="n">
        <v>0</v>
      </c>
      <c r="BI828" s="105" t="n">
        <v>0</v>
      </c>
      <c r="BJ828" s="105" t="n">
        <v>0</v>
      </c>
      <c r="BK828" s="105" t="n">
        <v>0</v>
      </c>
      <c r="BL828" s="105" t="n">
        <v>0</v>
      </c>
      <c r="BM828" s="105" t="n">
        <v>0</v>
      </c>
      <c r="BN828" s="105" t="n">
        <v>0</v>
      </c>
      <c r="BO828" s="105" t="n">
        <v>0</v>
      </c>
      <c r="BP828" s="105" t="n">
        <v>0</v>
      </c>
      <c r="BQ828" s="105" t="n">
        <v>0</v>
      </c>
      <c r="BR828" s="106" t="n">
        <v>0.666666666666667</v>
      </c>
      <c r="BS828" s="106" t="n">
        <v>0.666666666666667</v>
      </c>
      <c r="BT828" s="107"/>
      <c r="BU828" s="107"/>
      <c r="BV828" s="107"/>
      <c r="BW828" s="107"/>
      <c r="BX828" s="107"/>
      <c r="BY828" s="107"/>
      <c r="BZ828" s="107"/>
      <c r="CA828" s="107"/>
      <c r="CB828" s="107"/>
      <c r="CC828" s="107"/>
      <c r="CD828" s="107"/>
      <c r="CE828" s="107"/>
      <c r="CF828" s="107"/>
      <c r="CG828" s="107"/>
      <c r="CH828" s="107"/>
      <c r="CI828" s="107"/>
      <c r="CJ828" s="107"/>
      <c r="CK828" s="107"/>
      <c r="CL828" s="107"/>
      <c r="CM828" s="107"/>
      <c r="CN828" s="107"/>
      <c r="CO828" s="107"/>
      <c r="CP828" s="107"/>
      <c r="CQ828" s="107"/>
      <c r="CR828" s="107"/>
      <c r="CS828" s="107"/>
      <c r="CT828" s="107"/>
      <c r="CU828" s="107"/>
      <c r="CV828" s="107"/>
    </row>
    <row r="829" customFormat="false" ht="14.9" hidden="false" customHeight="false" outlineLevel="0" collapsed="false">
      <c r="A829" s="74" t="n">
        <f aca="false">MONTH(B829)</f>
        <v>10</v>
      </c>
      <c r="B829" s="135" t="n">
        <v>44476</v>
      </c>
      <c r="C829" s="128" t="s">
        <v>70</v>
      </c>
      <c r="D829" s="77" t="str">
        <f aca="false">IFERROR(VLOOKUP(E:E,'Item Data Support Sheet'!A:O,7,0),"")</f>
        <v>NIPPLE LASER MARKING</v>
      </c>
      <c r="E829" s="80" t="s">
        <v>600</v>
      </c>
      <c r="F829" s="122"/>
      <c r="G829" s="137" t="s">
        <v>517</v>
      </c>
      <c r="H829" s="79" t="str">
        <f aca="false">IFERROR(VLOOKUP(E:E,'Item Data Support Sheet'!A:O,2,0),"")</f>
        <v>NIPPLE S TYPE LL SIZE LASER MARKED</v>
      </c>
      <c r="I829" s="80"/>
      <c r="J829" s="80" t="s">
        <v>155</v>
      </c>
      <c r="K829" s="124" t="n">
        <v>8</v>
      </c>
      <c r="L829" s="124" t="n">
        <v>7000</v>
      </c>
      <c r="M829" s="83" t="n">
        <v>875</v>
      </c>
      <c r="N829" s="84" t="n">
        <f aca="false">+O829+Q829+T829+U829</f>
        <v>7300</v>
      </c>
      <c r="O829" s="85" t="n">
        <v>7300</v>
      </c>
      <c r="P829" s="86" t="n">
        <v>0</v>
      </c>
      <c r="Q829" s="86" t="n">
        <v>0</v>
      </c>
      <c r="R829" s="132" t="n">
        <v>0</v>
      </c>
      <c r="S829" s="128" t="n">
        <v>0</v>
      </c>
      <c r="T829" s="132" t="n">
        <v>0</v>
      </c>
      <c r="U829" s="128" t="n">
        <v>0</v>
      </c>
      <c r="V829" s="128" t="n">
        <v>1</v>
      </c>
      <c r="W829" s="90" t="n">
        <f aca="false">IFERROR(O829/V829,0)</f>
        <v>7300</v>
      </c>
      <c r="X829" s="91" t="n">
        <f aca="false">O829/L829</f>
        <v>1.04285714285714</v>
      </c>
      <c r="Y829" s="92" t="str">
        <f aca="false">IFERROR(VLOOKUP(E:E,'Item Data Support Sheet'!A:J,6,0),0)</f>
        <v>FO151</v>
      </c>
      <c r="Z829" s="93" t="n">
        <f aca="false">IFERROR(VLOOKUP(E:E,'Item Data Support Sheet'!A:O,4,0),0)</f>
        <v>0</v>
      </c>
      <c r="AA829" s="93" t="n">
        <f aca="false">IFERROR(((N829)*(Z829/1000))+P829,0)</f>
        <v>0</v>
      </c>
      <c r="AB829" s="94" t="str">
        <f aca="false">IFERROR((O829*(Z829/1000)/(AA829))," ")</f>
        <v> </v>
      </c>
      <c r="AC829" s="95" t="n">
        <f aca="false">IFERROR((T829)/((T829)+O829),0)</f>
        <v>0</v>
      </c>
      <c r="AD829" s="96" t="n">
        <f aca="false">IFERROR(Q829/(Q829+N829),0)</f>
        <v>0</v>
      </c>
      <c r="AE829" s="91" t="n">
        <f aca="false">(N829-T829)/N829</f>
        <v>1</v>
      </c>
      <c r="AF829" s="97" t="n">
        <f aca="false">BR829</f>
        <v>0.666666666666667</v>
      </c>
      <c r="AG829" s="98" t="n">
        <f aca="false">K829-AF829</f>
        <v>7.33333333333333</v>
      </c>
      <c r="AH829" s="99" t="n">
        <f aca="false">IFERROR(AG829/K829," ")</f>
        <v>0.916666666666667</v>
      </c>
      <c r="AI829" s="100" t="n">
        <f aca="false">IFERROR(O829/K829,0)</f>
        <v>912.5</v>
      </c>
      <c r="AJ829" s="101" t="n">
        <f aca="false">VLOOKUP(D829,'Standard Cycle time'!C:D,2,0)</f>
        <v>3.5</v>
      </c>
      <c r="AK829" s="101" t="n">
        <f aca="false">AG829*V829*3600/O829</f>
        <v>3.61643835616438</v>
      </c>
      <c r="AL829" s="102" t="n">
        <f aca="false">AJ829/AK829</f>
        <v>0.96780303030303</v>
      </c>
      <c r="AM829" s="99" t="n">
        <f aca="false">AE829*AL829*AH829</f>
        <v>0.887152777777778</v>
      </c>
      <c r="AN829" s="103" t="n">
        <v>0.887152777777778</v>
      </c>
      <c r="AO829" s="112"/>
      <c r="AP829" s="105" t="n">
        <v>40</v>
      </c>
      <c r="AQ829" s="105" t="n">
        <v>0</v>
      </c>
      <c r="AR829" s="105" t="n">
        <v>0</v>
      </c>
      <c r="AS829" s="105" t="n">
        <v>0</v>
      </c>
      <c r="AT829" s="105" t="n">
        <v>0</v>
      </c>
      <c r="AU829" s="105" t="n">
        <v>0</v>
      </c>
      <c r="AV829" s="105" t="n">
        <v>0</v>
      </c>
      <c r="AW829" s="105" t="n">
        <v>0</v>
      </c>
      <c r="AX829" s="105" t="n">
        <v>0</v>
      </c>
      <c r="AY829" s="105" t="n">
        <v>0</v>
      </c>
      <c r="AZ829" s="105" t="n">
        <v>0</v>
      </c>
      <c r="BA829" s="105" t="n">
        <v>0</v>
      </c>
      <c r="BB829" s="105" t="n">
        <v>0</v>
      </c>
      <c r="BC829" s="105" t="n">
        <v>0</v>
      </c>
      <c r="BD829" s="105" t="n">
        <v>0</v>
      </c>
      <c r="BE829" s="105" t="n">
        <v>0</v>
      </c>
      <c r="BF829" s="105" t="n">
        <v>0</v>
      </c>
      <c r="BG829" s="105" t="n">
        <v>0</v>
      </c>
      <c r="BH829" s="105" t="n">
        <v>0</v>
      </c>
      <c r="BI829" s="105" t="n">
        <v>0</v>
      </c>
      <c r="BJ829" s="105" t="n">
        <v>0</v>
      </c>
      <c r="BK829" s="105" t="n">
        <v>0</v>
      </c>
      <c r="BL829" s="105" t="n">
        <v>0</v>
      </c>
      <c r="BM829" s="105" t="n">
        <v>0</v>
      </c>
      <c r="BN829" s="105" t="n">
        <v>0</v>
      </c>
      <c r="BO829" s="105" t="n">
        <v>0</v>
      </c>
      <c r="BP829" s="105" t="n">
        <v>0</v>
      </c>
      <c r="BQ829" s="105" t="n">
        <v>0</v>
      </c>
      <c r="BR829" s="106" t="n">
        <v>0.666666666666667</v>
      </c>
      <c r="BS829" s="106" t="n">
        <v>0.666666666666667</v>
      </c>
      <c r="BT829" s="107"/>
      <c r="BU829" s="107"/>
      <c r="BV829" s="107"/>
      <c r="BW829" s="107"/>
      <c r="BX829" s="107"/>
      <c r="BY829" s="107"/>
      <c r="BZ829" s="107"/>
      <c r="CA829" s="107"/>
      <c r="CB829" s="107"/>
      <c r="CC829" s="107"/>
      <c r="CD829" s="107"/>
      <c r="CE829" s="107"/>
      <c r="CF829" s="107"/>
      <c r="CG829" s="107"/>
      <c r="CH829" s="107"/>
      <c r="CI829" s="107"/>
      <c r="CJ829" s="107"/>
      <c r="CK829" s="107"/>
      <c r="CL829" s="107"/>
      <c r="CM829" s="107"/>
      <c r="CN829" s="107"/>
      <c r="CO829" s="107"/>
      <c r="CP829" s="107"/>
      <c r="CQ829" s="107"/>
      <c r="CR829" s="107"/>
      <c r="CS829" s="107"/>
      <c r="CT829" s="107"/>
      <c r="CU829" s="107"/>
      <c r="CV829" s="107"/>
    </row>
    <row r="830" customFormat="false" ht="14.9" hidden="false" customHeight="false" outlineLevel="0" collapsed="false">
      <c r="A830" s="74" t="n">
        <f aca="false">MONTH(B830)</f>
        <v>10</v>
      </c>
      <c r="B830" s="135" t="n">
        <v>44476</v>
      </c>
      <c r="C830" s="128" t="s">
        <v>70</v>
      </c>
      <c r="D830" s="77" t="str">
        <f aca="false">IFERROR(VLOOKUP(E:E,'Item Data Support Sheet'!A:O,7,0),"")</f>
        <v>CAP MOLDED</v>
      </c>
      <c r="E830" s="80" t="s">
        <v>199</v>
      </c>
      <c r="F830" s="122"/>
      <c r="G830" s="137" t="s">
        <v>1215</v>
      </c>
      <c r="H830" s="79" t="str">
        <f aca="false">IFERROR(VLOOKUP(E:E,'Item Data Support Sheet'!A:O,2,0),"")</f>
        <v>CAP S TYPE MOLDED RED</v>
      </c>
      <c r="I830" s="80" t="s">
        <v>1579</v>
      </c>
      <c r="J830" s="80" t="s">
        <v>155</v>
      </c>
      <c r="K830" s="124" t="n">
        <v>8</v>
      </c>
      <c r="L830" s="124" t="n">
        <v>4137</v>
      </c>
      <c r="M830" s="83" t="n">
        <v>517.125</v>
      </c>
      <c r="N830" s="84" t="n">
        <f aca="false">+O830+Q830+T830+U830</f>
        <v>4200</v>
      </c>
      <c r="O830" s="85" t="n">
        <v>4200</v>
      </c>
      <c r="P830" s="86" t="n">
        <v>0.147</v>
      </c>
      <c r="Q830" s="86" t="n">
        <v>0</v>
      </c>
      <c r="R830" s="132" t="n">
        <v>0</v>
      </c>
      <c r="S830" s="128" t="n">
        <v>0</v>
      </c>
      <c r="T830" s="132" t="n">
        <v>0</v>
      </c>
      <c r="U830" s="128" t="n">
        <v>0</v>
      </c>
      <c r="V830" s="128" t="n">
        <v>1</v>
      </c>
      <c r="W830" s="90" t="n">
        <f aca="false">IFERROR(O830/V830,0)</f>
        <v>4200</v>
      </c>
      <c r="X830" s="91" t="n">
        <f aca="false">O830/L830</f>
        <v>1.01522842639594</v>
      </c>
      <c r="Y830" s="92" t="str">
        <f aca="false">IFERROR(VLOOKUP(E:E,'Item Data Support Sheet'!A:J,6,0),0)</f>
        <v>FO153</v>
      </c>
      <c r="Z830" s="93" t="n">
        <f aca="false">IFERROR(VLOOKUP(E:E,'Item Data Support Sheet'!A:O,4,0),0)</f>
        <v>7.3</v>
      </c>
      <c r="AA830" s="93" t="n">
        <f aca="false">IFERROR(((N830)*(Z830/1000))+P830,0)</f>
        <v>30.807</v>
      </c>
      <c r="AB830" s="94" t="n">
        <f aca="false">IFERROR((O830*(Z830/1000)/(AA830))," ")</f>
        <v>0.995228357191547</v>
      </c>
      <c r="AC830" s="95" t="n">
        <f aca="false">IFERROR((T830)/((T830)+O830),0)</f>
        <v>0</v>
      </c>
      <c r="AD830" s="96" t="n">
        <f aca="false">IFERROR(Q830/(Q830+N830),0)</f>
        <v>0</v>
      </c>
      <c r="AE830" s="91" t="n">
        <f aca="false">(N830-T830)/N830</f>
        <v>1</v>
      </c>
      <c r="AF830" s="97" t="n">
        <f aca="false">BR830</f>
        <v>0.833333333333333</v>
      </c>
      <c r="AG830" s="98" t="n">
        <f aca="false">K830-AF830</f>
        <v>7.16666666666667</v>
      </c>
      <c r="AH830" s="99" t="n">
        <f aca="false">IFERROR(AG830/K830," ")</f>
        <v>0.895833333333333</v>
      </c>
      <c r="AI830" s="100" t="n">
        <f aca="false">IFERROR(O830/K830,0)</f>
        <v>525</v>
      </c>
      <c r="AJ830" s="101" t="n">
        <f aca="false">VLOOKUP(D830,'Standard Cycle time'!C:D,2,0)</f>
        <v>6</v>
      </c>
      <c r="AK830" s="101" t="n">
        <f aca="false">AG830*V830*3600/O830</f>
        <v>6.14285714285714</v>
      </c>
      <c r="AL830" s="102" t="n">
        <f aca="false">AJ830/AK830</f>
        <v>0.976744186046512</v>
      </c>
      <c r="AM830" s="99" t="n">
        <f aca="false">AE830*AL830*AH830</f>
        <v>0.875</v>
      </c>
      <c r="AN830" s="103" t="n">
        <v>0.875</v>
      </c>
      <c r="AO830" s="112"/>
      <c r="AP830" s="105" t="n">
        <v>0</v>
      </c>
      <c r="AQ830" s="105" t="n">
        <v>0</v>
      </c>
      <c r="AR830" s="105" t="n">
        <v>0</v>
      </c>
      <c r="AS830" s="105" t="n">
        <v>0</v>
      </c>
      <c r="AT830" s="105" t="n">
        <v>0</v>
      </c>
      <c r="AU830" s="105" t="n">
        <v>0</v>
      </c>
      <c r="AV830" s="105" t="n">
        <v>30</v>
      </c>
      <c r="AW830" s="105" t="n">
        <v>0</v>
      </c>
      <c r="AX830" s="105" t="n">
        <v>0</v>
      </c>
      <c r="AY830" s="105" t="n">
        <v>0</v>
      </c>
      <c r="AZ830" s="105" t="n">
        <v>20</v>
      </c>
      <c r="BA830" s="105" t="n">
        <v>0</v>
      </c>
      <c r="BB830" s="105" t="n">
        <v>0</v>
      </c>
      <c r="BC830" s="105" t="n">
        <v>0</v>
      </c>
      <c r="BD830" s="105" t="n">
        <v>0</v>
      </c>
      <c r="BE830" s="105" t="n">
        <v>0</v>
      </c>
      <c r="BF830" s="105" t="n">
        <v>0</v>
      </c>
      <c r="BG830" s="105" t="n">
        <v>0</v>
      </c>
      <c r="BH830" s="105" t="n">
        <v>0</v>
      </c>
      <c r="BI830" s="105" t="n">
        <v>0</v>
      </c>
      <c r="BJ830" s="105" t="n">
        <v>0</v>
      </c>
      <c r="BK830" s="105" t="n">
        <v>0</v>
      </c>
      <c r="BL830" s="105" t="n">
        <v>0</v>
      </c>
      <c r="BM830" s="105" t="n">
        <v>0</v>
      </c>
      <c r="BN830" s="105" t="n">
        <v>0</v>
      </c>
      <c r="BO830" s="105" t="n">
        <v>0</v>
      </c>
      <c r="BP830" s="105" t="n">
        <v>0</v>
      </c>
      <c r="BQ830" s="105" t="n">
        <v>0</v>
      </c>
      <c r="BR830" s="106" t="n">
        <v>0.833333333333333</v>
      </c>
      <c r="BS830" s="106" t="n">
        <v>0.833333333333333</v>
      </c>
      <c r="BT830" s="107"/>
      <c r="BU830" s="107"/>
      <c r="BV830" s="107"/>
      <c r="BW830" s="107"/>
      <c r="BX830" s="107"/>
      <c r="BY830" s="107"/>
      <c r="BZ830" s="107"/>
      <c r="CA830" s="107"/>
      <c r="CB830" s="107"/>
      <c r="CC830" s="107"/>
      <c r="CD830" s="107"/>
      <c r="CE830" s="107"/>
      <c r="CF830" s="107"/>
      <c r="CG830" s="107"/>
      <c r="CH830" s="107"/>
      <c r="CI830" s="107"/>
      <c r="CJ830" s="107"/>
      <c r="CK830" s="107"/>
      <c r="CL830" s="107"/>
      <c r="CM830" s="107"/>
      <c r="CN830" s="107"/>
      <c r="CO830" s="107"/>
      <c r="CP830" s="107"/>
      <c r="CQ830" s="107"/>
      <c r="CR830" s="107"/>
      <c r="CS830" s="107"/>
      <c r="CT830" s="107"/>
      <c r="CU830" s="107"/>
      <c r="CV830" s="107"/>
    </row>
    <row r="831" customFormat="false" ht="14.9" hidden="false" customHeight="false" outlineLevel="0" collapsed="false">
      <c r="A831" s="74" t="n">
        <f aca="false">MONTH(B831)</f>
        <v>10</v>
      </c>
      <c r="B831" s="135" t="n">
        <v>44476</v>
      </c>
      <c r="C831" s="128" t="s">
        <v>70</v>
      </c>
      <c r="D831" s="77" t="str">
        <f aca="false">IFERROR(VLOOKUP(E:E,'Item Data Support Sheet'!A:O,7,0),"")</f>
        <v>NIPPLE MOLDED</v>
      </c>
      <c r="E831" s="80" t="s">
        <v>492</v>
      </c>
      <c r="F831" s="122" t="s">
        <v>137</v>
      </c>
      <c r="G831" s="137" t="s">
        <v>138</v>
      </c>
      <c r="H831" s="79" t="str">
        <f aca="false">IFERROR(VLOOKUP(E:E,'Item Data Support Sheet'!A:O,2,0),"")</f>
        <v>NIPPLE S TYPE LL SIZE INJECTION</v>
      </c>
      <c r="I831" s="80" t="s">
        <v>1580</v>
      </c>
      <c r="J831" s="80" t="s">
        <v>155</v>
      </c>
      <c r="K831" s="124" t="n">
        <v>8</v>
      </c>
      <c r="L831" s="124" t="n">
        <v>4814</v>
      </c>
      <c r="M831" s="83" t="n">
        <v>601.75</v>
      </c>
      <c r="N831" s="84" t="n">
        <f aca="false">+O831+Q831+T831+U831</f>
        <v>5104</v>
      </c>
      <c r="O831" s="85" t="n">
        <v>5000</v>
      </c>
      <c r="P831" s="86" t="n">
        <v>0</v>
      </c>
      <c r="Q831" s="86" t="n">
        <v>42</v>
      </c>
      <c r="R831" s="132" t="n">
        <v>0</v>
      </c>
      <c r="S831" s="128" t="n">
        <v>0</v>
      </c>
      <c r="T831" s="132" t="n">
        <v>62</v>
      </c>
      <c r="U831" s="128" t="n">
        <v>0</v>
      </c>
      <c r="V831" s="128" t="n">
        <v>1</v>
      </c>
      <c r="W831" s="90" t="n">
        <f aca="false">IFERROR(O831/V831,0)</f>
        <v>5000</v>
      </c>
      <c r="X831" s="91" t="n">
        <f aca="false">O831/L831</f>
        <v>1.0386373078521</v>
      </c>
      <c r="Y831" s="92" t="str">
        <f aca="false">IFERROR(VLOOKUP(E:E,'Item Data Support Sheet'!A:J,6,0),0)</f>
        <v>FO148</v>
      </c>
      <c r="Z831" s="93" t="n">
        <f aca="false">IFERROR(VLOOKUP(E:E,'Item Data Support Sheet'!A:O,4,0),0)</f>
        <v>6.8</v>
      </c>
      <c r="AA831" s="93" t="n">
        <f aca="false">IFERROR(((N831)*(Z831/1000))+P831,0)</f>
        <v>34.7072</v>
      </c>
      <c r="AB831" s="94" t="n">
        <f aca="false">IFERROR((O831*(Z831/1000)/(AA831))," ")</f>
        <v>0.979623824451411</v>
      </c>
      <c r="AC831" s="95" t="n">
        <f aca="false">IFERROR((T831)/((T831)+O831),0)</f>
        <v>0.0122481232714342</v>
      </c>
      <c r="AD831" s="96" t="n">
        <f aca="false">IFERROR(Q831/(Q831+N831),0)</f>
        <v>0.00816167897396036</v>
      </c>
      <c r="AE831" s="91" t="n">
        <f aca="false">(N831-T831)/N831</f>
        <v>0.987852664576803</v>
      </c>
      <c r="AF831" s="97" t="n">
        <f aca="false">BR831</f>
        <v>0</v>
      </c>
      <c r="AG831" s="98" t="n">
        <f aca="false">K831-AF831</f>
        <v>8</v>
      </c>
      <c r="AH831" s="99" t="n">
        <f aca="false">IFERROR(AG831/K831," ")</f>
        <v>1</v>
      </c>
      <c r="AI831" s="100" t="n">
        <f aca="false">IFERROR(O831/K831,0)</f>
        <v>625</v>
      </c>
      <c r="AJ831" s="101" t="n">
        <f aca="false">VLOOKUP(D831,'Standard Cycle time'!C:D,2,0)</f>
        <v>5.25</v>
      </c>
      <c r="AK831" s="101" t="n">
        <f aca="false">AG831*V831*3600/O831</f>
        <v>5.76</v>
      </c>
      <c r="AL831" s="102" t="n">
        <f aca="false">AJ831/AK831</f>
        <v>0.911458333333333</v>
      </c>
      <c r="AM831" s="99" t="n">
        <f aca="false">AE831*AL831*AH831</f>
        <v>0.900386543234065</v>
      </c>
      <c r="AN831" s="103" t="n">
        <v>0.900386543234065</v>
      </c>
      <c r="AO831" s="112" t="s">
        <v>1581</v>
      </c>
      <c r="AP831" s="105" t="n">
        <v>0</v>
      </c>
      <c r="AQ831" s="105" t="n">
        <v>0</v>
      </c>
      <c r="AR831" s="105" t="n">
        <v>0</v>
      </c>
      <c r="AS831" s="105" t="n">
        <v>0</v>
      </c>
      <c r="AT831" s="105" t="n">
        <v>0</v>
      </c>
      <c r="AU831" s="105" t="n">
        <v>0</v>
      </c>
      <c r="AV831" s="105" t="n">
        <v>0</v>
      </c>
      <c r="AW831" s="105" t="n">
        <v>0</v>
      </c>
      <c r="AX831" s="105" t="n">
        <v>0</v>
      </c>
      <c r="AY831" s="105" t="n">
        <v>0</v>
      </c>
      <c r="AZ831" s="105" t="n">
        <v>0</v>
      </c>
      <c r="BA831" s="105" t="n">
        <v>0</v>
      </c>
      <c r="BB831" s="105" t="n">
        <v>0</v>
      </c>
      <c r="BC831" s="105" t="n">
        <v>0</v>
      </c>
      <c r="BD831" s="105" t="n">
        <v>0</v>
      </c>
      <c r="BE831" s="105" t="n">
        <v>0</v>
      </c>
      <c r="BF831" s="105" t="n">
        <v>0</v>
      </c>
      <c r="BG831" s="105" t="n">
        <v>0</v>
      </c>
      <c r="BH831" s="105" t="n">
        <v>0</v>
      </c>
      <c r="BI831" s="105" t="n">
        <v>0</v>
      </c>
      <c r="BJ831" s="105" t="n">
        <v>0</v>
      </c>
      <c r="BK831" s="105" t="n">
        <v>0</v>
      </c>
      <c r="BL831" s="105" t="n">
        <v>0</v>
      </c>
      <c r="BM831" s="105" t="n">
        <v>0</v>
      </c>
      <c r="BN831" s="105" t="n">
        <v>0</v>
      </c>
      <c r="BO831" s="105" t="n">
        <v>0</v>
      </c>
      <c r="BP831" s="105" t="n">
        <v>0</v>
      </c>
      <c r="BQ831" s="105" t="n">
        <v>0</v>
      </c>
      <c r="BR831" s="106" t="n">
        <v>0</v>
      </c>
      <c r="BS831" s="106" t="n">
        <v>0</v>
      </c>
      <c r="BT831" s="107"/>
      <c r="BU831" s="107"/>
      <c r="BV831" s="107"/>
      <c r="BW831" s="107"/>
      <c r="BX831" s="107"/>
      <c r="BY831" s="107"/>
      <c r="BZ831" s="107"/>
      <c r="CA831" s="107"/>
      <c r="CB831" s="107"/>
      <c r="CC831" s="107"/>
      <c r="CD831" s="107"/>
      <c r="CE831" s="107"/>
      <c r="CF831" s="107"/>
      <c r="CG831" s="107"/>
      <c r="CH831" s="107"/>
      <c r="CI831" s="107"/>
      <c r="CJ831" s="107"/>
      <c r="CK831" s="107"/>
      <c r="CL831" s="107"/>
      <c r="CM831" s="107"/>
      <c r="CN831" s="107"/>
      <c r="CO831" s="107"/>
      <c r="CP831" s="107"/>
      <c r="CQ831" s="107"/>
      <c r="CR831" s="107"/>
      <c r="CS831" s="107"/>
      <c r="CT831" s="107"/>
      <c r="CU831" s="107"/>
      <c r="CV831" s="107"/>
    </row>
    <row r="832" customFormat="false" ht="14.9" hidden="false" customHeight="false" outlineLevel="0" collapsed="false">
      <c r="A832" s="74" t="n">
        <f aca="false">MONTH(B832)</f>
        <v>10</v>
      </c>
      <c r="B832" s="135" t="n">
        <v>44476</v>
      </c>
      <c r="C832" s="128" t="s">
        <v>152</v>
      </c>
      <c r="D832" s="77" t="str">
        <f aca="false">IFERROR(VLOOKUP(E:E,'Item Data Support Sheet'!A:O,7,0),"")</f>
        <v>BOTTLE MOLDED</v>
      </c>
      <c r="E832" s="80" t="s">
        <v>235</v>
      </c>
      <c r="F832" s="122" t="s">
        <v>1582</v>
      </c>
      <c r="G832" s="137" t="s">
        <v>74</v>
      </c>
      <c r="H832" s="79" t="str">
        <f aca="false">IFERROR(VLOOKUP(E:E,'Item Data Support Sheet'!A:O,2,0),"")</f>
        <v>KPP 200 ML BOTTLE MOLDED</v>
      </c>
      <c r="I832" s="80" t="s">
        <v>1583</v>
      </c>
      <c r="J832" s="80" t="s">
        <v>815</v>
      </c>
      <c r="K832" s="124" t="n">
        <v>8</v>
      </c>
      <c r="L832" s="124" t="n">
        <v>2574</v>
      </c>
      <c r="M832" s="83" t="n">
        <v>321.75</v>
      </c>
      <c r="N832" s="84" t="n">
        <f aca="false">+O832+Q832+T832+U832</f>
        <v>1614</v>
      </c>
      <c r="O832" s="85" t="n">
        <v>1512</v>
      </c>
      <c r="P832" s="86" t="n">
        <v>0.3</v>
      </c>
      <c r="Q832" s="86" t="n">
        <v>51</v>
      </c>
      <c r="R832" s="132" t="n">
        <v>0</v>
      </c>
      <c r="S832" s="128" t="n">
        <v>0</v>
      </c>
      <c r="T832" s="132" t="n">
        <v>21</v>
      </c>
      <c r="U832" s="128" t="n">
        <v>30</v>
      </c>
      <c r="V832" s="128" t="n">
        <v>1</v>
      </c>
      <c r="W832" s="90" t="n">
        <f aca="false">IFERROR(O832/V832,0)</f>
        <v>1512</v>
      </c>
      <c r="X832" s="91" t="n">
        <f aca="false">O832/L832</f>
        <v>0.587412587412587</v>
      </c>
      <c r="Y832" s="92" t="str">
        <f aca="false">IFERROR(VLOOKUP(E:E,'Item Data Support Sheet'!A:J,6,0),0)</f>
        <v>HMC</v>
      </c>
      <c r="Z832" s="93" t="n">
        <f aca="false">IFERROR(VLOOKUP(E:E,'Item Data Support Sheet'!A:O,4,0),0)</f>
        <v>28.1</v>
      </c>
      <c r="AA832" s="93" t="n">
        <f aca="false">IFERROR(((N832)*(Z832/1000))+P832,0)</f>
        <v>45.6534</v>
      </c>
      <c r="AB832" s="94" t="n">
        <f aca="false">IFERROR((O832*(Z832/1000)/(AA832))," ")</f>
        <v>0.930647005480424</v>
      </c>
      <c r="AC832" s="95" t="n">
        <f aca="false">IFERROR((T832)/((T832)+O832),0)</f>
        <v>0.0136986301369863</v>
      </c>
      <c r="AD832" s="96" t="n">
        <f aca="false">IFERROR(Q832/(Q832+N832),0)</f>
        <v>0.0306306306306306</v>
      </c>
      <c r="AE832" s="91" t="n">
        <f aca="false">(N832-T832)/N832</f>
        <v>0.986988847583643</v>
      </c>
      <c r="AF832" s="97" t="n">
        <f aca="false">BR832</f>
        <v>4.25</v>
      </c>
      <c r="AG832" s="98" t="n">
        <f aca="false">K832-AF832</f>
        <v>3.75</v>
      </c>
      <c r="AH832" s="99" t="n">
        <f aca="false">IFERROR(AG832/K832," ")</f>
        <v>0.46875</v>
      </c>
      <c r="AI832" s="100" t="n">
        <f aca="false">IFERROR(O832/K832,0)</f>
        <v>189</v>
      </c>
      <c r="AJ832" s="101" t="n">
        <f aca="false">VLOOKUP(D832,'Standard Cycle time'!C:D,2,0)</f>
        <v>9</v>
      </c>
      <c r="AK832" s="101" t="n">
        <f aca="false">AG832*V832*3600/O832</f>
        <v>8.92857142857143</v>
      </c>
      <c r="AL832" s="102" t="n">
        <f aca="false">AJ832/AK832</f>
        <v>1.008</v>
      </c>
      <c r="AM832" s="99" t="n">
        <f aca="false">AE832*AL832*AH832</f>
        <v>0.466352230483271</v>
      </c>
      <c r="AN832" s="103" t="n">
        <v>0.466352230483271</v>
      </c>
      <c r="AO832" s="112" t="s">
        <v>1584</v>
      </c>
      <c r="AP832" s="105" t="n">
        <v>0</v>
      </c>
      <c r="AQ832" s="105" t="n">
        <v>0</v>
      </c>
      <c r="AR832" s="105" t="n">
        <v>120</v>
      </c>
      <c r="AS832" s="105" t="n">
        <v>0</v>
      </c>
      <c r="AT832" s="105" t="n">
        <v>0</v>
      </c>
      <c r="AU832" s="105" t="n">
        <v>0</v>
      </c>
      <c r="AV832" s="105" t="n">
        <v>45</v>
      </c>
      <c r="AW832" s="105" t="n">
        <v>90</v>
      </c>
      <c r="AX832" s="105" t="n">
        <v>0</v>
      </c>
      <c r="AY832" s="105" t="n">
        <v>0</v>
      </c>
      <c r="AZ832" s="105" t="n">
        <v>0</v>
      </c>
      <c r="BA832" s="105" t="n">
        <v>0</v>
      </c>
      <c r="BB832" s="105" t="n">
        <v>0</v>
      </c>
      <c r="BC832" s="105" t="n">
        <v>0</v>
      </c>
      <c r="BD832" s="105" t="n">
        <v>0</v>
      </c>
      <c r="BE832" s="105" t="n">
        <v>0</v>
      </c>
      <c r="BF832" s="105" t="n">
        <v>0</v>
      </c>
      <c r="BG832" s="105" t="n">
        <v>0</v>
      </c>
      <c r="BH832" s="105" t="n">
        <v>0</v>
      </c>
      <c r="BI832" s="105" t="n">
        <v>0</v>
      </c>
      <c r="BJ832" s="105" t="n">
        <v>0</v>
      </c>
      <c r="BK832" s="105" t="n">
        <v>0</v>
      </c>
      <c r="BL832" s="105" t="n">
        <v>0</v>
      </c>
      <c r="BM832" s="105" t="n">
        <v>0</v>
      </c>
      <c r="BN832" s="105" t="n">
        <v>0</v>
      </c>
      <c r="BO832" s="105" t="n">
        <v>0</v>
      </c>
      <c r="BP832" s="105" t="n">
        <v>0</v>
      </c>
      <c r="BQ832" s="105" t="n">
        <v>0</v>
      </c>
      <c r="BR832" s="106" t="n">
        <v>4.25</v>
      </c>
      <c r="BS832" s="106" t="n">
        <v>4.25</v>
      </c>
      <c r="BT832" s="107"/>
      <c r="BU832" s="107"/>
      <c r="BV832" s="107"/>
      <c r="BW832" s="107"/>
      <c r="BX832" s="107"/>
      <c r="BY832" s="107"/>
      <c r="BZ832" s="107"/>
      <c r="CA832" s="107"/>
      <c r="CB832" s="107"/>
      <c r="CC832" s="107"/>
      <c r="CD832" s="107"/>
      <c r="CE832" s="107"/>
      <c r="CF832" s="107"/>
      <c r="CG832" s="107"/>
      <c r="CH832" s="107"/>
      <c r="CI832" s="107"/>
      <c r="CJ832" s="107"/>
      <c r="CK832" s="107"/>
      <c r="CL832" s="107"/>
      <c r="CM832" s="107"/>
      <c r="CN832" s="107"/>
      <c r="CO832" s="107"/>
      <c r="CP832" s="107"/>
      <c r="CQ832" s="107"/>
      <c r="CR832" s="107"/>
      <c r="CS832" s="107"/>
      <c r="CT832" s="107"/>
      <c r="CU832" s="107"/>
      <c r="CV832" s="107"/>
    </row>
    <row r="833" customFormat="false" ht="14.9" hidden="false" customHeight="false" outlineLevel="0" collapsed="false">
      <c r="A833" s="74" t="n">
        <f aca="false">MONTH(B833)</f>
        <v>10</v>
      </c>
      <c r="B833" s="135" t="n">
        <v>44476</v>
      </c>
      <c r="C833" s="128" t="s">
        <v>152</v>
      </c>
      <c r="D833" s="77" t="str">
        <f aca="false">IFERROR(VLOOKUP(E:E,'Item Data Support Sheet'!A:O,7,0),"")</f>
        <v>NIPPLE MOLDED</v>
      </c>
      <c r="E833" s="80" t="s">
        <v>492</v>
      </c>
      <c r="F833" s="122" t="s">
        <v>137</v>
      </c>
      <c r="G833" s="137" t="s">
        <v>138</v>
      </c>
      <c r="H833" s="79" t="str">
        <f aca="false">IFERROR(VLOOKUP(E:E,'Item Data Support Sheet'!A:O,2,0),"")</f>
        <v>NIPPLE S TYPE LL SIZE INJECTION</v>
      </c>
      <c r="I833" s="80" t="s">
        <v>1585</v>
      </c>
      <c r="J833" s="80" t="s">
        <v>815</v>
      </c>
      <c r="K833" s="124" t="n">
        <v>8</v>
      </c>
      <c r="L833" s="124" t="n">
        <v>4815</v>
      </c>
      <c r="M833" s="83" t="n">
        <v>601.875</v>
      </c>
      <c r="N833" s="84" t="n">
        <f aca="false">+O833+Q833+T833+U833</f>
        <v>4343</v>
      </c>
      <c r="O833" s="85" t="n">
        <v>4200</v>
      </c>
      <c r="P833" s="86" t="n">
        <v>0</v>
      </c>
      <c r="Q833" s="86" t="n">
        <v>76</v>
      </c>
      <c r="R833" s="132" t="n">
        <v>0</v>
      </c>
      <c r="S833" s="128" t="n">
        <v>0</v>
      </c>
      <c r="T833" s="132" t="n">
        <v>59</v>
      </c>
      <c r="U833" s="128" t="n">
        <v>8</v>
      </c>
      <c r="V833" s="128" t="n">
        <v>1</v>
      </c>
      <c r="W833" s="90" t="n">
        <f aca="false">IFERROR(O833/V833,0)</f>
        <v>4200</v>
      </c>
      <c r="X833" s="91" t="n">
        <f aca="false">O833/L833</f>
        <v>0.872274143302181</v>
      </c>
      <c r="Y833" s="92" t="str">
        <f aca="false">IFERROR(VLOOKUP(E:E,'Item Data Support Sheet'!A:J,6,0),0)</f>
        <v>FO148</v>
      </c>
      <c r="Z833" s="93" t="n">
        <f aca="false">IFERROR(VLOOKUP(E:E,'Item Data Support Sheet'!A:O,4,0),0)</f>
        <v>6.8</v>
      </c>
      <c r="AA833" s="93" t="n">
        <f aca="false">IFERROR(((N833)*(Z833/1000))+P833,0)</f>
        <v>29.5324</v>
      </c>
      <c r="AB833" s="94" t="n">
        <f aca="false">IFERROR((O833*(Z833/1000)/(AA833))," ")</f>
        <v>0.9670734515312</v>
      </c>
      <c r="AC833" s="95" t="n">
        <f aca="false">IFERROR((T833)/((T833)+O833),0)</f>
        <v>0.0138530171401738</v>
      </c>
      <c r="AD833" s="96" t="n">
        <f aca="false">IFERROR(Q833/(Q833+N833),0)</f>
        <v>0.0171984611903146</v>
      </c>
      <c r="AE833" s="91" t="n">
        <f aca="false">(N833-T833)/N833</f>
        <v>0.986414920561824</v>
      </c>
      <c r="AF833" s="97" t="n">
        <f aca="false">BR833</f>
        <v>1.5</v>
      </c>
      <c r="AG833" s="98" t="n">
        <f aca="false">K833-AF833</f>
        <v>6.5</v>
      </c>
      <c r="AH833" s="99" t="n">
        <f aca="false">IFERROR(AG833/K833," ")</f>
        <v>0.8125</v>
      </c>
      <c r="AI833" s="100" t="n">
        <f aca="false">IFERROR(O833/K833,0)</f>
        <v>525</v>
      </c>
      <c r="AJ833" s="101" t="n">
        <f aca="false">VLOOKUP(D833,'Standard Cycle time'!C:D,2,0)</f>
        <v>5.25</v>
      </c>
      <c r="AK833" s="101" t="n">
        <f aca="false">AG833*V833*3600/O833</f>
        <v>5.57142857142857</v>
      </c>
      <c r="AL833" s="102" t="n">
        <f aca="false">AJ833/AK833</f>
        <v>0.942307692307692</v>
      </c>
      <c r="AM833" s="99" t="n">
        <f aca="false">AE833*AL833*AH833</f>
        <v>0.755223923555146</v>
      </c>
      <c r="AN833" s="103" t="n">
        <v>0.755223923555146</v>
      </c>
      <c r="AO833" s="112" t="s">
        <v>1586</v>
      </c>
      <c r="AP833" s="105" t="n">
        <v>0</v>
      </c>
      <c r="AQ833" s="105" t="n">
        <v>0</v>
      </c>
      <c r="AR833" s="105" t="n">
        <v>0</v>
      </c>
      <c r="AS833" s="105" t="n">
        <v>0</v>
      </c>
      <c r="AT833" s="105" t="n">
        <v>0</v>
      </c>
      <c r="AU833" s="105" t="n">
        <v>60</v>
      </c>
      <c r="AV833" s="105" t="n">
        <v>30</v>
      </c>
      <c r="AW833" s="105" t="n">
        <v>0</v>
      </c>
      <c r="AX833" s="105" t="n">
        <v>0</v>
      </c>
      <c r="AY833" s="105" t="n">
        <v>0</v>
      </c>
      <c r="AZ833" s="105" t="n">
        <v>0</v>
      </c>
      <c r="BA833" s="105" t="n">
        <v>0</v>
      </c>
      <c r="BB833" s="105" t="n">
        <v>0</v>
      </c>
      <c r="BC833" s="105" t="n">
        <v>0</v>
      </c>
      <c r="BD833" s="105" t="n">
        <v>0</v>
      </c>
      <c r="BE833" s="105" t="n">
        <v>0</v>
      </c>
      <c r="BF833" s="105" t="n">
        <v>0</v>
      </c>
      <c r="BG833" s="105" t="n">
        <v>0</v>
      </c>
      <c r="BH833" s="105" t="n">
        <v>0</v>
      </c>
      <c r="BI833" s="105" t="n">
        <v>0</v>
      </c>
      <c r="BJ833" s="105" t="n">
        <v>0</v>
      </c>
      <c r="BK833" s="105" t="n">
        <v>0</v>
      </c>
      <c r="BL833" s="105" t="n">
        <v>0</v>
      </c>
      <c r="BM833" s="105" t="n">
        <v>0</v>
      </c>
      <c r="BN833" s="105" t="n">
        <v>0</v>
      </c>
      <c r="BO833" s="105" t="n">
        <v>0</v>
      </c>
      <c r="BP833" s="105" t="n">
        <v>0</v>
      </c>
      <c r="BQ833" s="105" t="n">
        <v>0</v>
      </c>
      <c r="BR833" s="106" t="n">
        <v>1.5</v>
      </c>
      <c r="BS833" s="106" t="n">
        <v>1.5</v>
      </c>
      <c r="BT833" s="107"/>
      <c r="BU833" s="107"/>
      <c r="BV833" s="107"/>
      <c r="BW833" s="107"/>
      <c r="BX833" s="107"/>
      <c r="BY833" s="107"/>
      <c r="BZ833" s="107"/>
      <c r="CA833" s="107"/>
      <c r="CB833" s="107"/>
      <c r="CC833" s="107"/>
      <c r="CD833" s="107"/>
      <c r="CE833" s="107"/>
      <c r="CF833" s="107"/>
      <c r="CG833" s="107"/>
      <c r="CH833" s="107"/>
      <c r="CI833" s="107"/>
      <c r="CJ833" s="107"/>
      <c r="CK833" s="107"/>
      <c r="CL833" s="107"/>
      <c r="CM833" s="107"/>
      <c r="CN833" s="107"/>
      <c r="CO833" s="107"/>
      <c r="CP833" s="107"/>
      <c r="CQ833" s="107"/>
      <c r="CR833" s="107"/>
      <c r="CS833" s="107"/>
      <c r="CT833" s="107"/>
      <c r="CU833" s="107"/>
      <c r="CV833" s="107"/>
    </row>
    <row r="834" customFormat="false" ht="14.9" hidden="false" customHeight="false" outlineLevel="0" collapsed="false">
      <c r="A834" s="74" t="n">
        <f aca="false">MONTH(B834)</f>
        <v>10</v>
      </c>
      <c r="B834" s="135" t="n">
        <v>44476</v>
      </c>
      <c r="C834" s="128" t="s">
        <v>152</v>
      </c>
      <c r="D834" s="77" t="str">
        <f aca="false">IFERROR(VLOOKUP(E:E,'Item Data Support Sheet'!A:O,7,0),"")</f>
        <v>CAP MOLDED</v>
      </c>
      <c r="E834" s="80" t="s">
        <v>199</v>
      </c>
      <c r="F834" s="122"/>
      <c r="G834" s="137" t="s">
        <v>1215</v>
      </c>
      <c r="H834" s="79" t="str">
        <f aca="false">IFERROR(VLOOKUP(E:E,'Item Data Support Sheet'!A:O,2,0),"")</f>
        <v>CAP S TYPE MOLDED RED</v>
      </c>
      <c r="I834" s="80" t="s">
        <v>1587</v>
      </c>
      <c r="J834" s="80" t="s">
        <v>815</v>
      </c>
      <c r="K834" s="124" t="n">
        <v>8</v>
      </c>
      <c r="L834" s="124" t="n">
        <v>4137</v>
      </c>
      <c r="M834" s="83" t="n">
        <v>517.125</v>
      </c>
      <c r="N834" s="84" t="n">
        <f aca="false">+O834+Q834+T834+U834</f>
        <v>4010</v>
      </c>
      <c r="O834" s="85" t="n">
        <v>4000</v>
      </c>
      <c r="P834" s="86" t="n">
        <v>0</v>
      </c>
      <c r="Q834" s="86" t="n">
        <v>0</v>
      </c>
      <c r="R834" s="132" t="n">
        <v>0</v>
      </c>
      <c r="S834" s="128" t="n">
        <v>0</v>
      </c>
      <c r="T834" s="132" t="n">
        <v>2</v>
      </c>
      <c r="U834" s="128" t="n">
        <v>8</v>
      </c>
      <c r="V834" s="128" t="n">
        <v>1</v>
      </c>
      <c r="W834" s="90" t="n">
        <f aca="false">IFERROR(O834/V834,0)</f>
        <v>4000</v>
      </c>
      <c r="X834" s="91" t="n">
        <f aca="false">O834/L834</f>
        <v>0.96688421561518</v>
      </c>
      <c r="Y834" s="92" t="str">
        <f aca="false">IFERROR(VLOOKUP(E:E,'Item Data Support Sheet'!A:J,6,0),0)</f>
        <v>FO153</v>
      </c>
      <c r="Z834" s="93" t="n">
        <f aca="false">IFERROR(VLOOKUP(E:E,'Item Data Support Sheet'!A:O,4,0),0)</f>
        <v>7.3</v>
      </c>
      <c r="AA834" s="93" t="n">
        <f aca="false">IFERROR(((N834)*(Z834/1000))+P834,0)</f>
        <v>29.273</v>
      </c>
      <c r="AB834" s="94" t="n">
        <f aca="false">IFERROR((O834*(Z834/1000)/(AA834))," ")</f>
        <v>0.997506234413965</v>
      </c>
      <c r="AC834" s="95" t="n">
        <f aca="false">IFERROR((T834)/((T834)+O834),0)</f>
        <v>0.000499750124937531</v>
      </c>
      <c r="AD834" s="96" t="n">
        <f aca="false">IFERROR(Q834/(Q834+N834),0)</f>
        <v>0</v>
      </c>
      <c r="AE834" s="91" t="n">
        <f aca="false">(N834-T834)/N834</f>
        <v>0.999501246882793</v>
      </c>
      <c r="AF834" s="97" t="n">
        <f aca="false">BR834</f>
        <v>1.33333333333333</v>
      </c>
      <c r="AG834" s="98" t="n">
        <f aca="false">K834-AF834</f>
        <v>6.66666666666667</v>
      </c>
      <c r="AH834" s="99" t="n">
        <f aca="false">IFERROR(AG834/K834," ")</f>
        <v>0.833333333333334</v>
      </c>
      <c r="AI834" s="100" t="n">
        <f aca="false">IFERROR(O834/K834,0)</f>
        <v>500</v>
      </c>
      <c r="AJ834" s="101" t="n">
        <f aca="false">VLOOKUP(D834,'Standard Cycle time'!C:D,2,0)</f>
        <v>6</v>
      </c>
      <c r="AK834" s="101" t="n">
        <f aca="false">AG834*V834*3600/O834</f>
        <v>6</v>
      </c>
      <c r="AL834" s="102" t="n">
        <f aca="false">AJ834/AK834</f>
        <v>1</v>
      </c>
      <c r="AM834" s="99" t="n">
        <f aca="false">AE834*AL834*AH834</f>
        <v>0.832917705735661</v>
      </c>
      <c r="AN834" s="103" t="n">
        <v>0.832917705735661</v>
      </c>
      <c r="AO834" s="112"/>
      <c r="AP834" s="105" t="n">
        <v>0</v>
      </c>
      <c r="AQ834" s="105" t="n">
        <v>0</v>
      </c>
      <c r="AR834" s="105" t="n">
        <v>0</v>
      </c>
      <c r="AS834" s="105" t="n">
        <v>0</v>
      </c>
      <c r="AT834" s="105" t="n">
        <v>0</v>
      </c>
      <c r="AU834" s="105" t="n">
        <v>0</v>
      </c>
      <c r="AV834" s="105" t="n">
        <v>30</v>
      </c>
      <c r="AW834" s="105" t="n">
        <v>30</v>
      </c>
      <c r="AX834" s="105" t="n">
        <v>0</v>
      </c>
      <c r="AY834" s="105" t="n">
        <v>0</v>
      </c>
      <c r="AZ834" s="105" t="n">
        <v>20</v>
      </c>
      <c r="BA834" s="105" t="n">
        <v>0</v>
      </c>
      <c r="BB834" s="105" t="n">
        <v>0</v>
      </c>
      <c r="BC834" s="105" t="n">
        <v>0</v>
      </c>
      <c r="BD834" s="105" t="n">
        <v>0</v>
      </c>
      <c r="BE834" s="105" t="n">
        <v>0</v>
      </c>
      <c r="BF834" s="105" t="n">
        <v>0</v>
      </c>
      <c r="BG834" s="105" t="n">
        <v>0</v>
      </c>
      <c r="BH834" s="105" t="n">
        <v>0</v>
      </c>
      <c r="BI834" s="105" t="n">
        <v>0</v>
      </c>
      <c r="BJ834" s="105" t="n">
        <v>0</v>
      </c>
      <c r="BK834" s="105" t="n">
        <v>0</v>
      </c>
      <c r="BL834" s="105" t="n">
        <v>0</v>
      </c>
      <c r="BM834" s="105" t="n">
        <v>0</v>
      </c>
      <c r="BN834" s="105" t="n">
        <v>0</v>
      </c>
      <c r="BO834" s="105" t="n">
        <v>0</v>
      </c>
      <c r="BP834" s="105" t="n">
        <v>0</v>
      </c>
      <c r="BQ834" s="105" t="n">
        <v>0</v>
      </c>
      <c r="BR834" s="106" t="n">
        <v>1.33333333333333</v>
      </c>
      <c r="BS834" s="106" t="n">
        <v>1.33333333333333</v>
      </c>
      <c r="BT834" s="107"/>
      <c r="BU834" s="107"/>
      <c r="BV834" s="107"/>
      <c r="BW834" s="107"/>
      <c r="BX834" s="107"/>
      <c r="BY834" s="107"/>
      <c r="BZ834" s="107"/>
      <c r="CA834" s="107"/>
      <c r="CB834" s="107"/>
      <c r="CC834" s="107"/>
      <c r="CD834" s="107"/>
      <c r="CE834" s="107"/>
      <c r="CF834" s="107"/>
      <c r="CG834" s="107"/>
      <c r="CH834" s="107"/>
      <c r="CI834" s="107"/>
      <c r="CJ834" s="107"/>
      <c r="CK834" s="107"/>
      <c r="CL834" s="107"/>
      <c r="CM834" s="107"/>
      <c r="CN834" s="107"/>
      <c r="CO834" s="107"/>
      <c r="CP834" s="107"/>
      <c r="CQ834" s="107"/>
      <c r="CR834" s="107"/>
      <c r="CS834" s="107"/>
      <c r="CT834" s="107"/>
      <c r="CU834" s="107"/>
      <c r="CV834" s="107"/>
    </row>
    <row r="835" customFormat="false" ht="14.9" hidden="false" customHeight="false" outlineLevel="0" collapsed="false">
      <c r="A835" s="74" t="n">
        <f aca="false">MONTH(B835)</f>
        <v>10</v>
      </c>
      <c r="B835" s="135" t="n">
        <v>44476</v>
      </c>
      <c r="C835" s="128" t="s">
        <v>51</v>
      </c>
      <c r="D835" s="77" t="str">
        <f aca="false">IFERROR(VLOOKUP(E:E,'Item Data Support Sheet'!A:O,7,0),"")</f>
        <v>BOTTLE PRINTED</v>
      </c>
      <c r="E835" s="80" t="s">
        <v>691</v>
      </c>
      <c r="F835" s="122"/>
      <c r="G835" s="137"/>
      <c r="H835" s="79" t="str">
        <f aca="false">IFERROR(VLOOKUP(E:E,'Item Data Support Sheet'!A:O,2,0),"")</f>
        <v>KPP 120 ML BOTTLE PRINTED</v>
      </c>
      <c r="I835" s="80" t="s">
        <v>1588</v>
      </c>
      <c r="J835" s="80" t="s">
        <v>161</v>
      </c>
      <c r="K835" s="124" t="n">
        <v>8</v>
      </c>
      <c r="L835" s="124" t="n">
        <v>5123</v>
      </c>
      <c r="M835" s="83" t="n">
        <v>640.375</v>
      </c>
      <c r="N835" s="84" t="n">
        <f aca="false">+O835+Q835+T835+U835</f>
        <v>3978</v>
      </c>
      <c r="O835" s="85" t="n">
        <v>3960</v>
      </c>
      <c r="P835" s="86" t="n">
        <v>0</v>
      </c>
      <c r="Q835" s="86" t="n">
        <v>0</v>
      </c>
      <c r="R835" s="132" t="n">
        <v>25</v>
      </c>
      <c r="S835" s="128" t="n">
        <v>0</v>
      </c>
      <c r="T835" s="132" t="n">
        <v>18</v>
      </c>
      <c r="U835" s="128" t="n">
        <v>0</v>
      </c>
      <c r="V835" s="128" t="n">
        <v>5</v>
      </c>
      <c r="W835" s="90" t="n">
        <f aca="false">IFERROR(O835/V835,0)</f>
        <v>792</v>
      </c>
      <c r="X835" s="91" t="n">
        <f aca="false">O835/L835</f>
        <v>0.772984579348038</v>
      </c>
      <c r="Y835" s="92" t="str">
        <f aca="false">IFERROR(VLOOKUP(E:E,'Item Data Support Sheet'!A:J,6,0),0)</f>
        <v>FO001</v>
      </c>
      <c r="Z835" s="93" t="n">
        <f aca="false">IFERROR(VLOOKUP(E:E,'Item Data Support Sheet'!A:O,4,0),0)</f>
        <v>0</v>
      </c>
      <c r="AA835" s="93" t="n">
        <f aca="false">IFERROR(((N835)*(Z835/1000))+P835,0)</f>
        <v>0</v>
      </c>
      <c r="AB835" s="94" t="str">
        <f aca="false">IFERROR((O835*(Z835/1000)/(AA835))," ")</f>
        <v> </v>
      </c>
      <c r="AC835" s="95" t="n">
        <f aca="false">IFERROR((T835)/((T835)+O835),0)</f>
        <v>0.00452488687782805</v>
      </c>
      <c r="AD835" s="96" t="n">
        <f aca="false">IFERROR(Q835/(Q835+N835),0)</f>
        <v>0</v>
      </c>
      <c r="AE835" s="91" t="n">
        <f aca="false">(N835-T835)/N835</f>
        <v>0.995475113122172</v>
      </c>
      <c r="AF835" s="97" t="n">
        <f aca="false">BR835</f>
        <v>1.83333333333333</v>
      </c>
      <c r="AG835" s="98" t="n">
        <f aca="false">K835-AF835</f>
        <v>6.16666666666667</v>
      </c>
      <c r="AH835" s="99" t="n">
        <f aca="false">IFERROR(AG835/K835," ")</f>
        <v>0.770833333333334</v>
      </c>
      <c r="AI835" s="100" t="n">
        <f aca="false">IFERROR(O835/K835,0)</f>
        <v>495</v>
      </c>
      <c r="AJ835" s="101" t="n">
        <f aca="false">VLOOKUP(D835,'Standard Cycle time'!C:D,2,0)</f>
        <v>32.4</v>
      </c>
      <c r="AK835" s="101" t="n">
        <f aca="false">AG835*V835*3600/O835</f>
        <v>28.030303030303</v>
      </c>
      <c r="AL835" s="102" t="n">
        <f aca="false">AJ835/AK835</f>
        <v>1.15589189189189</v>
      </c>
      <c r="AM835" s="99" t="n">
        <f aca="false">AE835*AL835*AH835</f>
        <v>0.886968325791855</v>
      </c>
      <c r="AN835" s="103" t="n">
        <v>0.886968325791855</v>
      </c>
      <c r="AO835" s="112" t="s">
        <v>1589</v>
      </c>
      <c r="AP835" s="105" t="n">
        <v>0</v>
      </c>
      <c r="AQ835" s="105" t="n">
        <v>60</v>
      </c>
      <c r="AR835" s="105" t="n">
        <v>0</v>
      </c>
      <c r="AS835" s="105" t="n">
        <v>0</v>
      </c>
      <c r="AT835" s="105" t="n">
        <v>50</v>
      </c>
      <c r="AU835" s="105" t="n">
        <v>0</v>
      </c>
      <c r="AV835" s="105" t="n">
        <v>0</v>
      </c>
      <c r="AW835" s="105" t="n">
        <v>0</v>
      </c>
      <c r="AX835" s="105" t="n">
        <v>0</v>
      </c>
      <c r="AY835" s="105" t="n">
        <v>0</v>
      </c>
      <c r="AZ835" s="105" t="n">
        <v>0</v>
      </c>
      <c r="BA835" s="105" t="n">
        <v>0</v>
      </c>
      <c r="BB835" s="105" t="n">
        <v>0</v>
      </c>
      <c r="BC835" s="105" t="n">
        <v>0</v>
      </c>
      <c r="BD835" s="105" t="n">
        <v>0</v>
      </c>
      <c r="BE835" s="105" t="n">
        <v>0</v>
      </c>
      <c r="BF835" s="105" t="n">
        <v>0</v>
      </c>
      <c r="BG835" s="105" t="n">
        <v>0</v>
      </c>
      <c r="BH835" s="105" t="n">
        <v>0</v>
      </c>
      <c r="BI835" s="105" t="n">
        <v>0</v>
      </c>
      <c r="BJ835" s="105" t="n">
        <v>0</v>
      </c>
      <c r="BK835" s="105" t="n">
        <v>0</v>
      </c>
      <c r="BL835" s="105" t="n">
        <v>0</v>
      </c>
      <c r="BM835" s="105" t="n">
        <v>0</v>
      </c>
      <c r="BN835" s="105" t="n">
        <v>0</v>
      </c>
      <c r="BO835" s="105" t="n">
        <v>0</v>
      </c>
      <c r="BP835" s="105" t="n">
        <v>0</v>
      </c>
      <c r="BQ835" s="105" t="n">
        <v>0</v>
      </c>
      <c r="BR835" s="106" t="n">
        <v>1.83333333333333</v>
      </c>
      <c r="BS835" s="106" t="n">
        <v>1.83333333333333</v>
      </c>
      <c r="BT835" s="107"/>
      <c r="BU835" s="107"/>
      <c r="BV835" s="107"/>
      <c r="BW835" s="107"/>
      <c r="BX835" s="107"/>
      <c r="BY835" s="107"/>
      <c r="BZ835" s="107"/>
      <c r="CA835" s="107"/>
      <c r="CB835" s="107"/>
      <c r="CC835" s="107"/>
      <c r="CD835" s="107"/>
      <c r="CE835" s="107"/>
      <c r="CF835" s="107"/>
      <c r="CG835" s="107"/>
      <c r="CH835" s="107"/>
      <c r="CI835" s="107"/>
      <c r="CJ835" s="107"/>
      <c r="CK835" s="107"/>
      <c r="CL835" s="107"/>
      <c r="CM835" s="107"/>
      <c r="CN835" s="107"/>
      <c r="CO835" s="107"/>
      <c r="CP835" s="107"/>
      <c r="CQ835" s="107"/>
      <c r="CR835" s="107"/>
      <c r="CS835" s="107"/>
      <c r="CT835" s="107"/>
      <c r="CU835" s="107"/>
      <c r="CV835" s="107"/>
    </row>
    <row r="836" customFormat="false" ht="14.9" hidden="false" customHeight="false" outlineLevel="0" collapsed="false">
      <c r="A836" s="74" t="n">
        <f aca="false">MONTH(B836)</f>
        <v>10</v>
      </c>
      <c r="B836" s="135" t="n">
        <v>44476</v>
      </c>
      <c r="C836" s="128" t="s">
        <v>70</v>
      </c>
      <c r="D836" s="77" t="str">
        <f aca="false">IFERROR(VLOOKUP(E:E,'Item Data Support Sheet'!A:O,7,0),"")</f>
        <v>BOTTLE PRINTED</v>
      </c>
      <c r="E836" s="80" t="s">
        <v>691</v>
      </c>
      <c r="F836" s="122"/>
      <c r="G836" s="137"/>
      <c r="H836" s="79" t="str">
        <f aca="false">IFERROR(VLOOKUP(E:E,'Item Data Support Sheet'!A:O,2,0),"")</f>
        <v>KPP 120 ML BOTTLE PRINTED</v>
      </c>
      <c r="I836" s="80" t="s">
        <v>1590</v>
      </c>
      <c r="J836" s="80" t="s">
        <v>161</v>
      </c>
      <c r="K836" s="124" t="n">
        <v>8</v>
      </c>
      <c r="L836" s="124" t="n">
        <v>5123</v>
      </c>
      <c r="M836" s="83" t="n">
        <v>640.375</v>
      </c>
      <c r="N836" s="84" t="n">
        <f aca="false">+O836+Q836+T836+U836</f>
        <v>5432</v>
      </c>
      <c r="O836" s="85" t="n">
        <v>5400</v>
      </c>
      <c r="P836" s="86" t="n">
        <v>0</v>
      </c>
      <c r="Q836" s="86" t="n">
        <v>0</v>
      </c>
      <c r="R836" s="132" t="n">
        <v>58</v>
      </c>
      <c r="S836" s="128" t="n">
        <v>0</v>
      </c>
      <c r="T836" s="132" t="n">
        <v>32</v>
      </c>
      <c r="U836" s="128" t="n">
        <v>0</v>
      </c>
      <c r="V836" s="128" t="n">
        <v>5</v>
      </c>
      <c r="W836" s="90" t="n">
        <f aca="false">IFERROR(O836/V836,0)</f>
        <v>1080</v>
      </c>
      <c r="X836" s="91" t="n">
        <f aca="false">O836/L836</f>
        <v>1.05406988092914</v>
      </c>
      <c r="Y836" s="92" t="str">
        <f aca="false">IFERROR(VLOOKUP(E:E,'Item Data Support Sheet'!A:J,6,0),0)</f>
        <v>FO001</v>
      </c>
      <c r="Z836" s="93" t="n">
        <f aca="false">IFERROR(VLOOKUP(E:E,'Item Data Support Sheet'!A:O,4,0),0)</f>
        <v>0</v>
      </c>
      <c r="AA836" s="93" t="n">
        <f aca="false">IFERROR(((N836)*(Z836/1000))+P836,0)</f>
        <v>0</v>
      </c>
      <c r="AB836" s="94" t="str">
        <f aca="false">IFERROR((O836*(Z836/1000)/(AA836))," ")</f>
        <v> </v>
      </c>
      <c r="AC836" s="95" t="n">
        <f aca="false">IFERROR((T836)/((T836)+O836),0)</f>
        <v>0.00589101620029455</v>
      </c>
      <c r="AD836" s="96" t="n">
        <f aca="false">IFERROR(Q836/(Q836+N836),0)</f>
        <v>0</v>
      </c>
      <c r="AE836" s="91" t="n">
        <f aca="false">(N836-T836)/N836</f>
        <v>0.994108983799706</v>
      </c>
      <c r="AF836" s="97" t="n">
        <f aca="false">BR836</f>
        <v>0</v>
      </c>
      <c r="AG836" s="98" t="n">
        <f aca="false">K836-AF836</f>
        <v>8</v>
      </c>
      <c r="AH836" s="99" t="n">
        <f aca="false">IFERROR(AG836/K836," ")</f>
        <v>1</v>
      </c>
      <c r="AI836" s="100" t="n">
        <f aca="false">IFERROR(O836/K836,0)</f>
        <v>675</v>
      </c>
      <c r="AJ836" s="101" t="n">
        <f aca="false">VLOOKUP(D836,'Standard Cycle time'!C:D,2,0)</f>
        <v>32.4</v>
      </c>
      <c r="AK836" s="101" t="n">
        <f aca="false">AG836*V836*3600/O836</f>
        <v>26.6666666666667</v>
      </c>
      <c r="AL836" s="102" t="n">
        <f aca="false">AJ836/AK836</f>
        <v>1.215</v>
      </c>
      <c r="AM836" s="99" t="n">
        <f aca="false">AE836*AL836*AH836</f>
        <v>1.20784241531664</v>
      </c>
      <c r="AN836" s="103" t="n">
        <v>1.20784241531664</v>
      </c>
      <c r="AO836" s="112"/>
      <c r="AP836" s="105" t="n">
        <v>0</v>
      </c>
      <c r="AQ836" s="105" t="n">
        <v>0</v>
      </c>
      <c r="AR836" s="105" t="n">
        <v>0</v>
      </c>
      <c r="AS836" s="105" t="n">
        <v>0</v>
      </c>
      <c r="AT836" s="105" t="n">
        <v>0</v>
      </c>
      <c r="AU836" s="105" t="n">
        <v>0</v>
      </c>
      <c r="AV836" s="105" t="n">
        <v>0</v>
      </c>
      <c r="AW836" s="105" t="n">
        <v>0</v>
      </c>
      <c r="AX836" s="105" t="n">
        <v>0</v>
      </c>
      <c r="AY836" s="105" t="n">
        <v>0</v>
      </c>
      <c r="AZ836" s="105" t="n">
        <v>0</v>
      </c>
      <c r="BA836" s="105" t="n">
        <v>0</v>
      </c>
      <c r="BB836" s="105" t="n">
        <v>0</v>
      </c>
      <c r="BC836" s="105" t="n">
        <v>0</v>
      </c>
      <c r="BD836" s="105" t="n">
        <v>0</v>
      </c>
      <c r="BE836" s="105" t="n">
        <v>0</v>
      </c>
      <c r="BF836" s="105" t="n">
        <v>0</v>
      </c>
      <c r="BG836" s="105" t="n">
        <v>0</v>
      </c>
      <c r="BH836" s="105" t="n">
        <v>0</v>
      </c>
      <c r="BI836" s="105" t="n">
        <v>0</v>
      </c>
      <c r="BJ836" s="105" t="n">
        <v>0</v>
      </c>
      <c r="BK836" s="105" t="n">
        <v>0</v>
      </c>
      <c r="BL836" s="105" t="n">
        <v>0</v>
      </c>
      <c r="BM836" s="105" t="n">
        <v>0</v>
      </c>
      <c r="BN836" s="105" t="n">
        <v>0</v>
      </c>
      <c r="BO836" s="105" t="n">
        <v>0</v>
      </c>
      <c r="BP836" s="105" t="n">
        <v>0</v>
      </c>
      <c r="BQ836" s="105" t="n">
        <v>0</v>
      </c>
      <c r="BR836" s="106" t="n">
        <v>0</v>
      </c>
      <c r="BS836" s="106" t="n">
        <v>0</v>
      </c>
      <c r="BT836" s="107"/>
      <c r="BU836" s="107"/>
      <c r="BV836" s="107"/>
      <c r="BW836" s="107"/>
      <c r="BX836" s="107"/>
      <c r="BY836" s="107"/>
      <c r="BZ836" s="107"/>
      <c r="CA836" s="107"/>
      <c r="CB836" s="107"/>
      <c r="CC836" s="107"/>
      <c r="CD836" s="107"/>
      <c r="CE836" s="107"/>
      <c r="CF836" s="107"/>
      <c r="CG836" s="107"/>
      <c r="CH836" s="107"/>
      <c r="CI836" s="107"/>
      <c r="CJ836" s="107"/>
      <c r="CK836" s="107"/>
      <c r="CL836" s="107"/>
      <c r="CM836" s="107"/>
      <c r="CN836" s="107"/>
      <c r="CO836" s="107"/>
      <c r="CP836" s="107"/>
      <c r="CQ836" s="107"/>
      <c r="CR836" s="107"/>
      <c r="CS836" s="107"/>
      <c r="CT836" s="107"/>
      <c r="CU836" s="107"/>
      <c r="CV836" s="107"/>
    </row>
    <row r="837" customFormat="false" ht="14.9" hidden="false" customHeight="false" outlineLevel="0" collapsed="false">
      <c r="A837" s="74" t="n">
        <f aca="false">MONTH(B837)</f>
        <v>10</v>
      </c>
      <c r="B837" s="135" t="n">
        <v>44477</v>
      </c>
      <c r="C837" s="128" t="s">
        <v>51</v>
      </c>
      <c r="D837" s="77" t="str">
        <f aca="false">IFERROR(VLOOKUP(E:E,'Item Data Support Sheet'!A:O,7,0),"")</f>
        <v>BOTTLE MOLDED</v>
      </c>
      <c r="E837" s="80" t="s">
        <v>235</v>
      </c>
      <c r="F837" s="122" t="s">
        <v>216</v>
      </c>
      <c r="G837" s="137" t="s">
        <v>74</v>
      </c>
      <c r="H837" s="79" t="str">
        <f aca="false">IFERROR(VLOOKUP(E:E,'Item Data Support Sheet'!A:O,2,0),"")</f>
        <v>KPP 200 ML BOTTLE MOLDED</v>
      </c>
      <c r="I837" s="80" t="s">
        <v>1591</v>
      </c>
      <c r="J837" s="80" t="s">
        <v>148</v>
      </c>
      <c r="K837" s="124" t="n">
        <v>8</v>
      </c>
      <c r="L837" s="124" t="n">
        <v>2574</v>
      </c>
      <c r="M837" s="83" t="n">
        <v>321.75</v>
      </c>
      <c r="N837" s="84" t="n">
        <f aca="false">+O837+Q837+T837+U837</f>
        <v>3194</v>
      </c>
      <c r="O837" s="85" t="n">
        <v>3132</v>
      </c>
      <c r="P837" s="86" t="n">
        <v>0</v>
      </c>
      <c r="Q837" s="86" t="n">
        <v>24</v>
      </c>
      <c r="R837" s="132" t="n">
        <v>0</v>
      </c>
      <c r="S837" s="128" t="n">
        <v>0</v>
      </c>
      <c r="T837" s="132" t="n">
        <v>30</v>
      </c>
      <c r="U837" s="128" t="n">
        <v>8</v>
      </c>
      <c r="V837" s="128" t="n">
        <v>1</v>
      </c>
      <c r="W837" s="90" t="n">
        <f aca="false">IFERROR(O837/V837,0)</f>
        <v>3132</v>
      </c>
      <c r="X837" s="91" t="n">
        <f aca="false">O837/L837</f>
        <v>1.21678321678322</v>
      </c>
      <c r="Y837" s="92" t="str">
        <f aca="false">IFERROR(VLOOKUP(E:E,'Item Data Support Sheet'!A:J,6,0),0)</f>
        <v>HMC</v>
      </c>
      <c r="Z837" s="93" t="n">
        <f aca="false">IFERROR(VLOOKUP(E:E,'Item Data Support Sheet'!A:O,4,0),0)</f>
        <v>28.1</v>
      </c>
      <c r="AA837" s="93" t="n">
        <f aca="false">IFERROR(((N837)*(Z837/1000))+P837,0)</f>
        <v>89.7514</v>
      </c>
      <c r="AB837" s="94" t="n">
        <f aca="false">IFERROR((O837*(Z837/1000)/(AA837))," ")</f>
        <v>0.98058860363181</v>
      </c>
      <c r="AC837" s="95" t="n">
        <f aca="false">IFERROR((T837)/((T837)+O837),0)</f>
        <v>0.0094876660341556</v>
      </c>
      <c r="AD837" s="96" t="n">
        <f aca="false">IFERROR(Q837/(Q837+N837),0)</f>
        <v>0.0074580484773151</v>
      </c>
      <c r="AE837" s="91" t="n">
        <f aca="false">(N837-T837)/N837</f>
        <v>0.990607388854101</v>
      </c>
      <c r="AF837" s="97" t="n">
        <f aca="false">BR837</f>
        <v>0</v>
      </c>
      <c r="AG837" s="98" t="n">
        <f aca="false">K837-AF837</f>
        <v>8</v>
      </c>
      <c r="AH837" s="99" t="n">
        <f aca="false">IFERROR(AG837/K837," ")</f>
        <v>1</v>
      </c>
      <c r="AI837" s="100" t="n">
        <f aca="false">IFERROR(O837/K837,0)</f>
        <v>391.5</v>
      </c>
      <c r="AJ837" s="101" t="n">
        <f aca="false">VLOOKUP(D837,'Standard Cycle time'!C:D,2,0)</f>
        <v>9</v>
      </c>
      <c r="AK837" s="101" t="n">
        <f aca="false">AG837*V837*3600/O837</f>
        <v>9.19540229885057</v>
      </c>
      <c r="AL837" s="102" t="n">
        <f aca="false">AJ837/AK837</f>
        <v>0.97875</v>
      </c>
      <c r="AM837" s="99" t="n">
        <f aca="false">AE837*AL837*AH837</f>
        <v>0.969556981840952</v>
      </c>
      <c r="AN837" s="103" t="n">
        <v>0.969556981840952</v>
      </c>
      <c r="AO837" s="112"/>
      <c r="AP837" s="105" t="n">
        <v>0</v>
      </c>
      <c r="AQ837" s="105" t="n">
        <v>0</v>
      </c>
      <c r="AR837" s="105" t="n">
        <v>0</v>
      </c>
      <c r="AS837" s="105" t="n">
        <v>0</v>
      </c>
      <c r="AT837" s="105" t="n">
        <v>0</v>
      </c>
      <c r="AU837" s="105" t="n">
        <v>0</v>
      </c>
      <c r="AV837" s="105" t="n">
        <v>0</v>
      </c>
      <c r="AW837" s="105" t="n">
        <v>0</v>
      </c>
      <c r="AX837" s="105" t="n">
        <v>0</v>
      </c>
      <c r="AY837" s="105" t="n">
        <v>0</v>
      </c>
      <c r="AZ837" s="105" t="n">
        <v>0</v>
      </c>
      <c r="BA837" s="105" t="n">
        <v>0</v>
      </c>
      <c r="BB837" s="105" t="n">
        <v>0</v>
      </c>
      <c r="BC837" s="105" t="n">
        <v>0</v>
      </c>
      <c r="BD837" s="105" t="n">
        <v>0</v>
      </c>
      <c r="BE837" s="105" t="n">
        <v>0</v>
      </c>
      <c r="BF837" s="105" t="n">
        <v>0</v>
      </c>
      <c r="BG837" s="105" t="n">
        <v>0</v>
      </c>
      <c r="BH837" s="105" t="n">
        <v>0</v>
      </c>
      <c r="BI837" s="105" t="n">
        <v>0</v>
      </c>
      <c r="BJ837" s="105" t="n">
        <v>0</v>
      </c>
      <c r="BK837" s="105" t="n">
        <v>0</v>
      </c>
      <c r="BL837" s="105" t="n">
        <v>0</v>
      </c>
      <c r="BM837" s="105" t="n">
        <v>0</v>
      </c>
      <c r="BN837" s="105" t="n">
        <v>0</v>
      </c>
      <c r="BO837" s="105" t="n">
        <v>0</v>
      </c>
      <c r="BP837" s="105" t="n">
        <v>0</v>
      </c>
      <c r="BQ837" s="105" t="n">
        <v>0</v>
      </c>
      <c r="BR837" s="106" t="n">
        <v>0</v>
      </c>
      <c r="BS837" s="106" t="n">
        <v>0</v>
      </c>
      <c r="BT837" s="107"/>
      <c r="BU837" s="107"/>
      <c r="BV837" s="107"/>
      <c r="BW837" s="107"/>
      <c r="BX837" s="107"/>
      <c r="BY837" s="107"/>
      <c r="BZ837" s="107"/>
      <c r="CA837" s="107"/>
      <c r="CB837" s="107"/>
      <c r="CC837" s="107"/>
      <c r="CD837" s="107"/>
      <c r="CE837" s="107"/>
      <c r="CF837" s="107"/>
      <c r="CG837" s="107"/>
      <c r="CH837" s="107"/>
      <c r="CI837" s="107"/>
      <c r="CJ837" s="107"/>
      <c r="CK837" s="107"/>
      <c r="CL837" s="107"/>
      <c r="CM837" s="107"/>
      <c r="CN837" s="107"/>
      <c r="CO837" s="107"/>
      <c r="CP837" s="107"/>
      <c r="CQ837" s="107"/>
      <c r="CR837" s="107"/>
      <c r="CS837" s="107"/>
      <c r="CT837" s="107"/>
      <c r="CU837" s="107"/>
      <c r="CV837" s="107"/>
    </row>
    <row r="838" customFormat="false" ht="14.9" hidden="false" customHeight="false" outlineLevel="0" collapsed="false">
      <c r="A838" s="74" t="n">
        <f aca="false">MONTH(B838)</f>
        <v>10</v>
      </c>
      <c r="B838" s="135" t="n">
        <v>44477</v>
      </c>
      <c r="C838" s="128" t="s">
        <v>51</v>
      </c>
      <c r="D838" s="77" t="str">
        <f aca="false">IFERROR(VLOOKUP(E:E,'Item Data Support Sheet'!A:O,7,0),"")</f>
        <v>NIPPLE MOLDED</v>
      </c>
      <c r="E838" s="80" t="s">
        <v>492</v>
      </c>
      <c r="F838" s="122" t="s">
        <v>137</v>
      </c>
      <c r="G838" s="137" t="s">
        <v>138</v>
      </c>
      <c r="H838" s="79" t="str">
        <f aca="false">IFERROR(VLOOKUP(E:E,'Item Data Support Sheet'!A:O,2,0),"")</f>
        <v>NIPPLE S TYPE LL SIZE INJECTION</v>
      </c>
      <c r="I838" s="80" t="s">
        <v>1592</v>
      </c>
      <c r="J838" s="80" t="s">
        <v>148</v>
      </c>
      <c r="K838" s="124" t="n">
        <v>8</v>
      </c>
      <c r="L838" s="124" t="n">
        <v>4815</v>
      </c>
      <c r="M838" s="83" t="n">
        <v>601.875</v>
      </c>
      <c r="N838" s="84" t="n">
        <f aca="false">+O838+Q838+T838+U838</f>
        <v>1898</v>
      </c>
      <c r="O838" s="85" t="n">
        <v>1849</v>
      </c>
      <c r="P838" s="86" t="n">
        <v>0</v>
      </c>
      <c r="Q838" s="86" t="n">
        <v>20</v>
      </c>
      <c r="R838" s="132" t="n">
        <v>0</v>
      </c>
      <c r="S838" s="128" t="n">
        <v>0</v>
      </c>
      <c r="T838" s="132" t="n">
        <v>21</v>
      </c>
      <c r="U838" s="128" t="n">
        <v>8</v>
      </c>
      <c r="V838" s="128" t="n">
        <v>1</v>
      </c>
      <c r="W838" s="90" t="n">
        <f aca="false">IFERROR(O838/V838,0)</f>
        <v>1849</v>
      </c>
      <c r="X838" s="91" t="n">
        <f aca="false">O838/L838</f>
        <v>0.384008307372793</v>
      </c>
      <c r="Y838" s="92" t="str">
        <f aca="false">IFERROR(VLOOKUP(E:E,'Item Data Support Sheet'!A:J,6,0),0)</f>
        <v>FO148</v>
      </c>
      <c r="Z838" s="93" t="n">
        <f aca="false">IFERROR(VLOOKUP(E:E,'Item Data Support Sheet'!A:O,4,0),0)</f>
        <v>6.8</v>
      </c>
      <c r="AA838" s="93" t="n">
        <f aca="false">IFERROR(((N838)*(Z838/1000))+P838,0)</f>
        <v>12.9064</v>
      </c>
      <c r="AB838" s="94" t="n">
        <f aca="false">IFERROR((O838*(Z838/1000)/(AA838))," ")</f>
        <v>0.97418335089568</v>
      </c>
      <c r="AC838" s="95" t="n">
        <f aca="false">IFERROR((T838)/((T838)+O838),0)</f>
        <v>0.0112299465240642</v>
      </c>
      <c r="AD838" s="96" t="n">
        <f aca="false">IFERROR(Q838/(Q838+N838),0)</f>
        <v>0.0104275286757039</v>
      </c>
      <c r="AE838" s="91" t="n">
        <f aca="false">(N838-T838)/N838</f>
        <v>0.988935721812434</v>
      </c>
      <c r="AF838" s="97" t="n">
        <f aca="false">BR838</f>
        <v>5.25</v>
      </c>
      <c r="AG838" s="98" t="n">
        <f aca="false">K838-AF838</f>
        <v>2.75</v>
      </c>
      <c r="AH838" s="99" t="n">
        <f aca="false">IFERROR(AG838/K838," ")</f>
        <v>0.34375</v>
      </c>
      <c r="AI838" s="100" t="n">
        <f aca="false">IFERROR(O838/K838,0)</f>
        <v>231.125</v>
      </c>
      <c r="AJ838" s="101" t="n">
        <f aca="false">VLOOKUP(D838,'Standard Cycle time'!C:D,2,0)</f>
        <v>5.25</v>
      </c>
      <c r="AK838" s="101" t="n">
        <f aca="false">AG838*V838*3600/O838</f>
        <v>5.35424553812872</v>
      </c>
      <c r="AL838" s="102" t="n">
        <f aca="false">AJ838/AK838</f>
        <v>0.980530303030303</v>
      </c>
      <c r="AM838" s="99" t="n">
        <f aca="false">AE838*AL838*AH838</f>
        <v>0.333327996026519</v>
      </c>
      <c r="AN838" s="103" t="n">
        <v>0.333327996026519</v>
      </c>
      <c r="AO838" s="112" t="s">
        <v>1593</v>
      </c>
      <c r="AP838" s="105" t="n">
        <v>0</v>
      </c>
      <c r="AQ838" s="105" t="n">
        <v>240</v>
      </c>
      <c r="AR838" s="105" t="n">
        <v>0</v>
      </c>
      <c r="AS838" s="105" t="n">
        <v>0</v>
      </c>
      <c r="AT838" s="105" t="n">
        <v>0</v>
      </c>
      <c r="AU838" s="105" t="n">
        <v>0</v>
      </c>
      <c r="AV838" s="105" t="n">
        <v>0</v>
      </c>
      <c r="AW838" s="105" t="n">
        <v>30</v>
      </c>
      <c r="AX838" s="105" t="n">
        <v>0</v>
      </c>
      <c r="AY838" s="105" t="n">
        <v>0</v>
      </c>
      <c r="AZ838" s="105" t="n">
        <v>0</v>
      </c>
      <c r="BA838" s="105" t="n">
        <v>0</v>
      </c>
      <c r="BB838" s="105" t="n">
        <v>0</v>
      </c>
      <c r="BC838" s="105" t="n">
        <v>0</v>
      </c>
      <c r="BD838" s="105" t="n">
        <v>0</v>
      </c>
      <c r="BE838" s="105" t="n">
        <v>0</v>
      </c>
      <c r="BF838" s="105" t="n">
        <v>0</v>
      </c>
      <c r="BG838" s="105" t="n">
        <v>0</v>
      </c>
      <c r="BH838" s="105" t="n">
        <v>0</v>
      </c>
      <c r="BI838" s="105" t="n">
        <v>0</v>
      </c>
      <c r="BJ838" s="105" t="n">
        <v>0</v>
      </c>
      <c r="BK838" s="105" t="n">
        <v>0</v>
      </c>
      <c r="BL838" s="105" t="n">
        <v>0</v>
      </c>
      <c r="BM838" s="105" t="n">
        <v>45</v>
      </c>
      <c r="BN838" s="105" t="n">
        <v>0</v>
      </c>
      <c r="BO838" s="105" t="n">
        <v>0</v>
      </c>
      <c r="BP838" s="105" t="n">
        <v>0</v>
      </c>
      <c r="BQ838" s="105" t="n">
        <v>0</v>
      </c>
      <c r="BR838" s="106" t="n">
        <v>5.25</v>
      </c>
      <c r="BS838" s="106" t="n">
        <v>5.25</v>
      </c>
      <c r="BT838" s="107"/>
      <c r="BU838" s="107"/>
      <c r="BV838" s="107"/>
      <c r="BW838" s="107"/>
      <c r="BX838" s="107"/>
      <c r="BY838" s="107"/>
      <c r="BZ838" s="107"/>
      <c r="CA838" s="107"/>
      <c r="CB838" s="107"/>
      <c r="CC838" s="107"/>
      <c r="CD838" s="107"/>
      <c r="CE838" s="107"/>
      <c r="CF838" s="107"/>
      <c r="CG838" s="107"/>
      <c r="CH838" s="107"/>
      <c r="CI838" s="107"/>
      <c r="CJ838" s="107"/>
      <c r="CK838" s="107"/>
      <c r="CL838" s="107"/>
      <c r="CM838" s="107"/>
      <c r="CN838" s="107"/>
      <c r="CO838" s="107"/>
      <c r="CP838" s="107"/>
      <c r="CQ838" s="107"/>
      <c r="CR838" s="107"/>
      <c r="CS838" s="107"/>
      <c r="CT838" s="107"/>
      <c r="CU838" s="107"/>
      <c r="CV838" s="107"/>
    </row>
    <row r="839" customFormat="false" ht="14.9" hidden="false" customHeight="false" outlineLevel="0" collapsed="false">
      <c r="A839" s="74" t="n">
        <f aca="false">MONTH(B839)</f>
        <v>10</v>
      </c>
      <c r="B839" s="135" t="n">
        <v>44477</v>
      </c>
      <c r="C839" s="128" t="s">
        <v>51</v>
      </c>
      <c r="D839" s="77" t="str">
        <f aca="false">IFERROR(VLOOKUP(E:E,'Item Data Support Sheet'!A:O,7,0),"")</f>
        <v>NIPPLE PUNCH</v>
      </c>
      <c r="E839" s="80" t="s">
        <v>563</v>
      </c>
      <c r="F839" s="122"/>
      <c r="G839" s="137" t="s">
        <v>54</v>
      </c>
      <c r="H839" s="79" t="str">
        <f aca="false">IFERROR(VLOOKUP(E:E,'Item Data Support Sheet'!A:O,2,0),"")</f>
        <v>NIPPLE S TYPE LL SIZE PUNCHED</v>
      </c>
      <c r="I839" s="80"/>
      <c r="J839" s="80" t="s">
        <v>148</v>
      </c>
      <c r="K839" s="124" t="n">
        <v>8</v>
      </c>
      <c r="L839" s="124" t="n">
        <v>7000</v>
      </c>
      <c r="M839" s="83" t="n">
        <v>875</v>
      </c>
      <c r="N839" s="84" t="n">
        <f aca="false">+O839+Q839+T839+U839</f>
        <v>7400</v>
      </c>
      <c r="O839" s="85" t="n">
        <v>7400</v>
      </c>
      <c r="P839" s="86" t="n">
        <v>0</v>
      </c>
      <c r="Q839" s="86" t="n">
        <v>0</v>
      </c>
      <c r="R839" s="132" t="n">
        <v>0</v>
      </c>
      <c r="S839" s="128" t="n">
        <v>0</v>
      </c>
      <c r="T839" s="132" t="n">
        <v>0</v>
      </c>
      <c r="U839" s="128" t="n">
        <v>0</v>
      </c>
      <c r="V839" s="128" t="n">
        <v>1</v>
      </c>
      <c r="W839" s="90" t="n">
        <f aca="false">IFERROR(O839/V839,0)</f>
        <v>7400</v>
      </c>
      <c r="X839" s="91" t="n">
        <f aca="false">O839/L839</f>
        <v>1.05714285714286</v>
      </c>
      <c r="Y839" s="92" t="str">
        <f aca="false">IFERROR(VLOOKUP(E:E,'Item Data Support Sheet'!A:J,6,0),0)</f>
        <v>FO150</v>
      </c>
      <c r="Z839" s="93" t="n">
        <f aca="false">IFERROR(VLOOKUP(E:E,'Item Data Support Sheet'!A:O,4,0),0)</f>
        <v>0</v>
      </c>
      <c r="AA839" s="93" t="n">
        <f aca="false">IFERROR(((N839)*(Z839/1000))+P839,0)</f>
        <v>0</v>
      </c>
      <c r="AB839" s="94" t="str">
        <f aca="false">IFERROR((O839*(Z839/1000)/(AA839))," ")</f>
        <v> </v>
      </c>
      <c r="AC839" s="95" t="n">
        <f aca="false">IFERROR((T839)/((T839)+O839),0)</f>
        <v>0</v>
      </c>
      <c r="AD839" s="96" t="n">
        <f aca="false">IFERROR(Q839/(Q839+N839),0)</f>
        <v>0</v>
      </c>
      <c r="AE839" s="91" t="n">
        <f aca="false">(N839-T839)/N839</f>
        <v>1</v>
      </c>
      <c r="AF839" s="97" t="n">
        <f aca="false">BR839</f>
        <v>0</v>
      </c>
      <c r="AG839" s="98" t="n">
        <f aca="false">K839-AF839</f>
        <v>8</v>
      </c>
      <c r="AH839" s="99" t="n">
        <f aca="false">IFERROR(AG839/K839," ")</f>
        <v>1</v>
      </c>
      <c r="AI839" s="100" t="n">
        <f aca="false">IFERROR(O839/K839,0)</f>
        <v>925</v>
      </c>
      <c r="AJ839" s="101" t="n">
        <f aca="false">VLOOKUP(D839,'Standard Cycle time'!C:D,2,0)</f>
        <v>3.5</v>
      </c>
      <c r="AK839" s="101" t="n">
        <f aca="false">AG839*V839*3600/O839</f>
        <v>3.89189189189189</v>
      </c>
      <c r="AL839" s="102" t="n">
        <f aca="false">AJ839/AK839</f>
        <v>0.899305555555555</v>
      </c>
      <c r="AM839" s="99" t="n">
        <f aca="false">AE839*AL839*AH839</f>
        <v>0.899305555555555</v>
      </c>
      <c r="AN839" s="103" t="n">
        <v>0.899305555555555</v>
      </c>
      <c r="AO839" s="112"/>
      <c r="AP839" s="105" t="n">
        <v>0</v>
      </c>
      <c r="AQ839" s="105" t="n">
        <v>0</v>
      </c>
      <c r="AR839" s="105" t="n">
        <v>0</v>
      </c>
      <c r="AS839" s="105" t="n">
        <v>0</v>
      </c>
      <c r="AT839" s="105" t="n">
        <v>0</v>
      </c>
      <c r="AU839" s="105" t="n">
        <v>0</v>
      </c>
      <c r="AV839" s="105" t="n">
        <v>0</v>
      </c>
      <c r="AW839" s="105" t="n">
        <v>0</v>
      </c>
      <c r="AX839" s="105" t="n">
        <v>0</v>
      </c>
      <c r="AY839" s="105" t="n">
        <v>0</v>
      </c>
      <c r="AZ839" s="105" t="n">
        <v>0</v>
      </c>
      <c r="BA839" s="105" t="n">
        <v>0</v>
      </c>
      <c r="BB839" s="105" t="n">
        <v>0</v>
      </c>
      <c r="BC839" s="105" t="n">
        <v>0</v>
      </c>
      <c r="BD839" s="105" t="n">
        <v>0</v>
      </c>
      <c r="BE839" s="105" t="n">
        <v>0</v>
      </c>
      <c r="BF839" s="105" t="n">
        <v>0</v>
      </c>
      <c r="BG839" s="105" t="n">
        <v>0</v>
      </c>
      <c r="BH839" s="105" t="n">
        <v>0</v>
      </c>
      <c r="BI839" s="105" t="n">
        <v>0</v>
      </c>
      <c r="BJ839" s="105" t="n">
        <v>0</v>
      </c>
      <c r="BK839" s="105" t="n">
        <v>0</v>
      </c>
      <c r="BL839" s="105" t="n">
        <v>0</v>
      </c>
      <c r="BM839" s="105" t="n">
        <v>0</v>
      </c>
      <c r="BN839" s="105" t="n">
        <v>0</v>
      </c>
      <c r="BO839" s="105" t="n">
        <v>0</v>
      </c>
      <c r="BP839" s="105" t="n">
        <v>0</v>
      </c>
      <c r="BQ839" s="105" t="n">
        <v>0</v>
      </c>
      <c r="BR839" s="106" t="n">
        <v>0</v>
      </c>
      <c r="BS839" s="106" t="n">
        <v>0</v>
      </c>
      <c r="BT839" s="107"/>
      <c r="BU839" s="107"/>
      <c r="BV839" s="107"/>
      <c r="BW839" s="107"/>
      <c r="BX839" s="107"/>
      <c r="BY839" s="107"/>
      <c r="BZ839" s="107"/>
      <c r="CA839" s="107"/>
      <c r="CB839" s="107"/>
      <c r="CC839" s="107"/>
      <c r="CD839" s="107"/>
      <c r="CE839" s="107"/>
      <c r="CF839" s="107"/>
      <c r="CG839" s="107"/>
      <c r="CH839" s="107"/>
      <c r="CI839" s="107"/>
      <c r="CJ839" s="107"/>
      <c r="CK839" s="107"/>
      <c r="CL839" s="107"/>
      <c r="CM839" s="107"/>
      <c r="CN839" s="107"/>
      <c r="CO839" s="107"/>
      <c r="CP839" s="107"/>
      <c r="CQ839" s="107"/>
      <c r="CR839" s="107"/>
      <c r="CS839" s="107"/>
      <c r="CT839" s="107"/>
      <c r="CU839" s="107"/>
      <c r="CV839" s="107"/>
    </row>
    <row r="840" customFormat="false" ht="14.9" hidden="false" customHeight="false" outlineLevel="0" collapsed="false">
      <c r="A840" s="74" t="n">
        <f aca="false">MONTH(B840)</f>
        <v>10</v>
      </c>
      <c r="B840" s="135" t="n">
        <v>44477</v>
      </c>
      <c r="C840" s="128" t="s">
        <v>51</v>
      </c>
      <c r="D840" s="77" t="str">
        <f aca="false">IFERROR(VLOOKUP(E:E,'Item Data Support Sheet'!A:O,7,0),"")</f>
        <v>CAP MOLDED</v>
      </c>
      <c r="E840" s="80" t="s">
        <v>199</v>
      </c>
      <c r="F840" s="122"/>
      <c r="G840" s="137" t="s">
        <v>1215</v>
      </c>
      <c r="H840" s="79" t="str">
        <f aca="false">IFERROR(VLOOKUP(E:E,'Item Data Support Sheet'!A:O,2,0),"")</f>
        <v>CAP S TYPE MOLDED RED</v>
      </c>
      <c r="I840" s="80" t="s">
        <v>1594</v>
      </c>
      <c r="J840" s="80" t="s">
        <v>148</v>
      </c>
      <c r="K840" s="124" t="n">
        <v>1</v>
      </c>
      <c r="L840" s="124" t="n">
        <v>487</v>
      </c>
      <c r="M840" s="83" t="n">
        <v>487</v>
      </c>
      <c r="N840" s="84" t="n">
        <f aca="false">+O840+Q840+T840+U840</f>
        <v>445</v>
      </c>
      <c r="O840" s="85" t="n">
        <v>437</v>
      </c>
      <c r="P840" s="86" t="n">
        <v>0</v>
      </c>
      <c r="Q840" s="86" t="n">
        <v>0</v>
      </c>
      <c r="R840" s="132" t="n">
        <v>0</v>
      </c>
      <c r="S840" s="128" t="n">
        <v>0</v>
      </c>
      <c r="T840" s="132" t="n">
        <v>0</v>
      </c>
      <c r="U840" s="128" t="n">
        <v>8</v>
      </c>
      <c r="V840" s="128" t="n">
        <v>1</v>
      </c>
      <c r="W840" s="90" t="n">
        <f aca="false">IFERROR(O840/V840,0)</f>
        <v>437</v>
      </c>
      <c r="X840" s="91" t="n">
        <f aca="false">O840/L840</f>
        <v>0.897330595482546</v>
      </c>
      <c r="Y840" s="92" t="str">
        <f aca="false">IFERROR(VLOOKUP(E:E,'Item Data Support Sheet'!A:J,6,0),0)</f>
        <v>FO153</v>
      </c>
      <c r="Z840" s="93" t="n">
        <f aca="false">IFERROR(VLOOKUP(E:E,'Item Data Support Sheet'!A:O,4,0),0)</f>
        <v>7.3</v>
      </c>
      <c r="AA840" s="93" t="n">
        <f aca="false">IFERROR(((N840)*(Z840/1000))+P840,0)</f>
        <v>3.2485</v>
      </c>
      <c r="AB840" s="94" t="n">
        <f aca="false">IFERROR((O840*(Z840/1000)/(AA840))," ")</f>
        <v>0.982022471910112</v>
      </c>
      <c r="AC840" s="95" t="n">
        <f aca="false">IFERROR((T840)/((T840)+O840),0)</f>
        <v>0</v>
      </c>
      <c r="AD840" s="96" t="n">
        <f aca="false">IFERROR(Q840/(Q840+N840),0)</f>
        <v>0</v>
      </c>
      <c r="AE840" s="91" t="n">
        <f aca="false">(N840-T840)/N840</f>
        <v>1</v>
      </c>
      <c r="AF840" s="97" t="n">
        <f aca="false">BR840</f>
        <v>0.25</v>
      </c>
      <c r="AG840" s="98" t="n">
        <f aca="false">K840-AF840</f>
        <v>0.75</v>
      </c>
      <c r="AH840" s="99" t="n">
        <f aca="false">IFERROR(AG840/K840," ")</f>
        <v>0.75</v>
      </c>
      <c r="AI840" s="100" t="n">
        <f aca="false">IFERROR(O840/K840,0)</f>
        <v>437</v>
      </c>
      <c r="AJ840" s="101" t="n">
        <f aca="false">VLOOKUP(D840,'Standard Cycle time'!C:D,2,0)</f>
        <v>6</v>
      </c>
      <c r="AK840" s="101" t="n">
        <f aca="false">AG840*V840*3600/O840</f>
        <v>6.17848970251716</v>
      </c>
      <c r="AL840" s="102" t="n">
        <f aca="false">AJ840/AK840</f>
        <v>0.971111111111111</v>
      </c>
      <c r="AM840" s="99" t="n">
        <f aca="false">AE840*AL840*AH840</f>
        <v>0.728333333333333</v>
      </c>
      <c r="AN840" s="103" t="n">
        <v>0.728333333333334</v>
      </c>
      <c r="AO840" s="112"/>
      <c r="AP840" s="105" t="n">
        <v>0</v>
      </c>
      <c r="AQ840" s="105" t="n">
        <v>0</v>
      </c>
      <c r="AR840" s="105" t="n">
        <v>0</v>
      </c>
      <c r="AS840" s="105" t="n">
        <v>0</v>
      </c>
      <c r="AT840" s="105" t="n">
        <v>0</v>
      </c>
      <c r="AU840" s="105" t="n">
        <v>0</v>
      </c>
      <c r="AV840" s="105" t="n">
        <v>0</v>
      </c>
      <c r="AW840" s="105" t="n">
        <v>0</v>
      </c>
      <c r="AX840" s="105" t="n">
        <v>0</v>
      </c>
      <c r="AY840" s="105" t="n">
        <v>0</v>
      </c>
      <c r="AZ840" s="105" t="n">
        <v>0</v>
      </c>
      <c r="BA840" s="105" t="n">
        <v>0</v>
      </c>
      <c r="BB840" s="105" t="n">
        <v>0</v>
      </c>
      <c r="BC840" s="105" t="n">
        <v>0</v>
      </c>
      <c r="BD840" s="105" t="n">
        <v>0</v>
      </c>
      <c r="BE840" s="105" t="n">
        <v>0</v>
      </c>
      <c r="BF840" s="105" t="n">
        <v>0</v>
      </c>
      <c r="BG840" s="105" t="n">
        <v>0</v>
      </c>
      <c r="BH840" s="105" t="n">
        <v>0</v>
      </c>
      <c r="BI840" s="105" t="n">
        <v>0</v>
      </c>
      <c r="BJ840" s="105" t="n">
        <v>0</v>
      </c>
      <c r="BK840" s="105" t="n">
        <v>0</v>
      </c>
      <c r="BL840" s="105" t="n">
        <v>0</v>
      </c>
      <c r="BM840" s="105" t="n">
        <v>15</v>
      </c>
      <c r="BN840" s="105" t="n">
        <v>0</v>
      </c>
      <c r="BO840" s="105" t="n">
        <v>0</v>
      </c>
      <c r="BP840" s="105" t="n">
        <v>0</v>
      </c>
      <c r="BQ840" s="105" t="n">
        <v>0</v>
      </c>
      <c r="BR840" s="106" t="n">
        <v>0.25</v>
      </c>
      <c r="BS840" s="106" t="n">
        <v>0.25</v>
      </c>
      <c r="BT840" s="107"/>
      <c r="BU840" s="107"/>
      <c r="BV840" s="107"/>
      <c r="BW840" s="107"/>
      <c r="BX840" s="107"/>
      <c r="BY840" s="107"/>
      <c r="BZ840" s="107"/>
      <c r="CA840" s="107"/>
      <c r="CB840" s="107"/>
      <c r="CC840" s="107"/>
      <c r="CD840" s="107"/>
      <c r="CE840" s="107"/>
      <c r="CF840" s="107"/>
      <c r="CG840" s="107"/>
      <c r="CH840" s="107"/>
      <c r="CI840" s="107"/>
      <c r="CJ840" s="107"/>
      <c r="CK840" s="107"/>
      <c r="CL840" s="107"/>
      <c r="CM840" s="107"/>
      <c r="CN840" s="107"/>
      <c r="CO840" s="107"/>
      <c r="CP840" s="107"/>
      <c r="CQ840" s="107"/>
      <c r="CR840" s="107"/>
      <c r="CS840" s="107"/>
      <c r="CT840" s="107"/>
      <c r="CU840" s="107"/>
      <c r="CV840" s="107"/>
    </row>
    <row r="841" customFormat="false" ht="14.9" hidden="false" customHeight="false" outlineLevel="0" collapsed="false">
      <c r="A841" s="74" t="n">
        <f aca="false">MONTH(B841)</f>
        <v>10</v>
      </c>
      <c r="B841" s="135" t="n">
        <v>44477</v>
      </c>
      <c r="C841" s="128" t="s">
        <v>51</v>
      </c>
      <c r="D841" s="77" t="str">
        <f aca="false">IFERROR(VLOOKUP(E:E,'Item Data Support Sheet'!A:O,7,0),"")</f>
        <v>CAP MOLDED</v>
      </c>
      <c r="E841" s="80" t="s">
        <v>199</v>
      </c>
      <c r="F841" s="122"/>
      <c r="G841" s="137" t="s">
        <v>1595</v>
      </c>
      <c r="H841" s="79" t="str">
        <f aca="false">IFERROR(VLOOKUP(E:E,'Item Data Support Sheet'!A:O,2,0),"")</f>
        <v>CAP S TYPE MOLDED RED</v>
      </c>
      <c r="I841" s="80" t="s">
        <v>1596</v>
      </c>
      <c r="J841" s="80" t="s">
        <v>148</v>
      </c>
      <c r="K841" s="124" t="n">
        <v>7</v>
      </c>
      <c r="L841" s="124" t="n">
        <v>3650</v>
      </c>
      <c r="M841" s="83" t="n">
        <v>521.428571428571</v>
      </c>
      <c r="N841" s="84" t="n">
        <f aca="false">+O841+Q841+T841+U841</f>
        <v>3650</v>
      </c>
      <c r="O841" s="85" t="n">
        <v>3650</v>
      </c>
      <c r="P841" s="86" t="n">
        <v>0</v>
      </c>
      <c r="Q841" s="86" t="n">
        <v>0</v>
      </c>
      <c r="R841" s="132" t="n">
        <v>0</v>
      </c>
      <c r="S841" s="128" t="n">
        <v>0</v>
      </c>
      <c r="T841" s="132" t="n">
        <v>0</v>
      </c>
      <c r="U841" s="128" t="n">
        <v>0</v>
      </c>
      <c r="V841" s="128" t="n">
        <v>1</v>
      </c>
      <c r="W841" s="90" t="n">
        <f aca="false">IFERROR(O841/V841,0)</f>
        <v>3650</v>
      </c>
      <c r="X841" s="91" t="n">
        <f aca="false">O841/L841</f>
        <v>1</v>
      </c>
      <c r="Y841" s="92" t="str">
        <f aca="false">IFERROR(VLOOKUP(E:E,'Item Data Support Sheet'!A:J,6,0),0)</f>
        <v>FO153</v>
      </c>
      <c r="Z841" s="93" t="n">
        <f aca="false">IFERROR(VLOOKUP(E:E,'Item Data Support Sheet'!A:O,4,0),0)</f>
        <v>7.3</v>
      </c>
      <c r="AA841" s="93" t="n">
        <f aca="false">IFERROR(((N841)*(Z841/1000))+P841,0)</f>
        <v>26.645</v>
      </c>
      <c r="AB841" s="94" t="n">
        <f aca="false">IFERROR((O841*(Z841/1000)/(AA841))," ")</f>
        <v>1</v>
      </c>
      <c r="AC841" s="95" t="n">
        <f aca="false">IFERROR((T841)/((T841)+O841),0)</f>
        <v>0</v>
      </c>
      <c r="AD841" s="96" t="n">
        <f aca="false">IFERROR(Q841/(Q841+N841),0)</f>
        <v>0</v>
      </c>
      <c r="AE841" s="91" t="n">
        <f aca="false">(N841-T841)/N841</f>
        <v>1</v>
      </c>
      <c r="AF841" s="97" t="n">
        <f aca="false">BR841</f>
        <v>0.833333333333333</v>
      </c>
      <c r="AG841" s="98" t="n">
        <f aca="false">K841-AF841</f>
        <v>6.16666666666667</v>
      </c>
      <c r="AH841" s="99" t="n">
        <f aca="false">IFERROR(AG841/K841," ")</f>
        <v>0.880952380952381</v>
      </c>
      <c r="AI841" s="100" t="n">
        <f aca="false">IFERROR(O841/K841,0)</f>
        <v>521.428571428571</v>
      </c>
      <c r="AJ841" s="101" t="n">
        <f aca="false">VLOOKUP(D841,'Standard Cycle time'!C:D,2,0)</f>
        <v>6</v>
      </c>
      <c r="AK841" s="101" t="n">
        <f aca="false">AG841*V841*3600/O841</f>
        <v>6.08219178082192</v>
      </c>
      <c r="AL841" s="102" t="n">
        <f aca="false">AJ841/AK841</f>
        <v>0.986486486486486</v>
      </c>
      <c r="AM841" s="99" t="n">
        <f aca="false">AE841*AL841*AH841</f>
        <v>0.869047619047619</v>
      </c>
      <c r="AN841" s="103" t="n">
        <v>0.869047619047619</v>
      </c>
      <c r="AO841" s="112"/>
      <c r="AP841" s="105" t="n">
        <v>0</v>
      </c>
      <c r="AQ841" s="105" t="n">
        <v>0</v>
      </c>
      <c r="AR841" s="105" t="n">
        <v>0</v>
      </c>
      <c r="AS841" s="105" t="n">
        <v>0</v>
      </c>
      <c r="AT841" s="105" t="n">
        <v>0</v>
      </c>
      <c r="AU841" s="105" t="n">
        <v>0</v>
      </c>
      <c r="AV841" s="105" t="n">
        <v>30</v>
      </c>
      <c r="AW841" s="105" t="n">
        <v>0</v>
      </c>
      <c r="AX841" s="105" t="n">
        <v>0</v>
      </c>
      <c r="AY841" s="105" t="n">
        <v>0</v>
      </c>
      <c r="AZ841" s="105" t="n">
        <v>20</v>
      </c>
      <c r="BA841" s="105" t="n">
        <v>0</v>
      </c>
      <c r="BB841" s="105" t="n">
        <v>0</v>
      </c>
      <c r="BC841" s="105" t="n">
        <v>0</v>
      </c>
      <c r="BD841" s="105" t="n">
        <v>0</v>
      </c>
      <c r="BE841" s="105" t="n">
        <v>0</v>
      </c>
      <c r="BF841" s="105" t="n">
        <v>0</v>
      </c>
      <c r="BG841" s="105" t="n">
        <v>0</v>
      </c>
      <c r="BH841" s="105" t="n">
        <v>0</v>
      </c>
      <c r="BI841" s="105" t="n">
        <v>0</v>
      </c>
      <c r="BJ841" s="105" t="n">
        <v>0</v>
      </c>
      <c r="BK841" s="105" t="n">
        <v>0</v>
      </c>
      <c r="BL841" s="105" t="n">
        <v>0</v>
      </c>
      <c r="BM841" s="105" t="n">
        <v>0</v>
      </c>
      <c r="BN841" s="105" t="n">
        <v>0</v>
      </c>
      <c r="BO841" s="105" t="n">
        <v>0</v>
      </c>
      <c r="BP841" s="105" t="n">
        <v>0</v>
      </c>
      <c r="BQ841" s="105" t="n">
        <v>0</v>
      </c>
      <c r="BR841" s="106" t="n">
        <v>0.833333333333333</v>
      </c>
      <c r="BS841" s="106" t="n">
        <v>0.833333333333333</v>
      </c>
      <c r="BT841" s="107"/>
      <c r="BU841" s="107"/>
      <c r="BV841" s="107"/>
      <c r="BW841" s="107"/>
      <c r="BX841" s="107"/>
      <c r="BY841" s="107"/>
      <c r="BZ841" s="107"/>
      <c r="CA841" s="107"/>
      <c r="CB841" s="107"/>
      <c r="CC841" s="107"/>
      <c r="CD841" s="107"/>
      <c r="CE841" s="107"/>
      <c r="CF841" s="107"/>
      <c r="CG841" s="107"/>
      <c r="CH841" s="107"/>
      <c r="CI841" s="107"/>
      <c r="CJ841" s="107"/>
      <c r="CK841" s="107"/>
      <c r="CL841" s="107"/>
      <c r="CM841" s="107"/>
      <c r="CN841" s="107"/>
      <c r="CO841" s="107"/>
      <c r="CP841" s="107"/>
      <c r="CQ841" s="107"/>
      <c r="CR841" s="107"/>
      <c r="CS841" s="107"/>
      <c r="CT841" s="107"/>
      <c r="CU841" s="107"/>
      <c r="CV841" s="107"/>
    </row>
    <row r="842" customFormat="false" ht="14.9" hidden="false" customHeight="false" outlineLevel="0" collapsed="false">
      <c r="A842" s="74" t="n">
        <f aca="false">MONTH(B842)</f>
        <v>10</v>
      </c>
      <c r="B842" s="135" t="n">
        <v>44477</v>
      </c>
      <c r="C842" s="128" t="s">
        <v>51</v>
      </c>
      <c r="D842" s="77" t="str">
        <f aca="false">IFERROR(VLOOKUP(E:E,'Item Data Support Sheet'!A:O,7,0),"")</f>
        <v>NIPPLE LASER MARKING</v>
      </c>
      <c r="E842" s="80" t="s">
        <v>600</v>
      </c>
      <c r="F842" s="122"/>
      <c r="G842" s="137" t="s">
        <v>517</v>
      </c>
      <c r="H842" s="79" t="str">
        <f aca="false">IFERROR(VLOOKUP(E:E,'Item Data Support Sheet'!A:O,2,0),"")</f>
        <v>NIPPLE S TYPE LL SIZE LASER MARKED</v>
      </c>
      <c r="I842" s="80" t="s">
        <v>1597</v>
      </c>
      <c r="J842" s="80" t="s">
        <v>148</v>
      </c>
      <c r="K842" s="124" t="n">
        <v>8</v>
      </c>
      <c r="L842" s="124" t="n">
        <v>7000</v>
      </c>
      <c r="M842" s="83" t="n">
        <v>875</v>
      </c>
      <c r="N842" s="84" t="n">
        <f aca="false">+O842+Q842+T842+U842</f>
        <v>7400</v>
      </c>
      <c r="O842" s="85" t="n">
        <v>7400</v>
      </c>
      <c r="P842" s="86" t="n">
        <v>0</v>
      </c>
      <c r="Q842" s="86" t="n">
        <v>0</v>
      </c>
      <c r="R842" s="132" t="n">
        <v>0</v>
      </c>
      <c r="S842" s="128" t="n">
        <v>0</v>
      </c>
      <c r="T842" s="132" t="n">
        <v>0</v>
      </c>
      <c r="U842" s="128" t="n">
        <v>0</v>
      </c>
      <c r="V842" s="128" t="n">
        <v>1</v>
      </c>
      <c r="W842" s="90" t="n">
        <f aca="false">IFERROR(O842/V842,0)</f>
        <v>7400</v>
      </c>
      <c r="X842" s="91" t="n">
        <f aca="false">O842/L842</f>
        <v>1.05714285714286</v>
      </c>
      <c r="Y842" s="92" t="str">
        <f aca="false">IFERROR(VLOOKUP(E:E,'Item Data Support Sheet'!A:J,6,0),0)</f>
        <v>FO151</v>
      </c>
      <c r="Z842" s="93" t="n">
        <f aca="false">IFERROR(VLOOKUP(E:E,'Item Data Support Sheet'!A:O,4,0),0)</f>
        <v>0</v>
      </c>
      <c r="AA842" s="93" t="n">
        <f aca="false">IFERROR(((N842)*(Z842/1000))+P842,0)</f>
        <v>0</v>
      </c>
      <c r="AB842" s="94" t="str">
        <f aca="false">IFERROR((O842*(Z842/1000)/(AA842))," ")</f>
        <v> </v>
      </c>
      <c r="AC842" s="95" t="n">
        <f aca="false">IFERROR((T842)/((T842)+O842),0)</f>
        <v>0</v>
      </c>
      <c r="AD842" s="96" t="n">
        <f aca="false">IFERROR(Q842/(Q842+N842),0)</f>
        <v>0</v>
      </c>
      <c r="AE842" s="91" t="n">
        <f aca="false">(N842-T842)/N842</f>
        <v>1</v>
      </c>
      <c r="AF842" s="97" t="n">
        <f aca="false">BR842</f>
        <v>0</v>
      </c>
      <c r="AG842" s="98" t="n">
        <f aca="false">K842-AF842</f>
        <v>8</v>
      </c>
      <c r="AH842" s="99" t="n">
        <f aca="false">IFERROR(AG842/K842," ")</f>
        <v>1</v>
      </c>
      <c r="AI842" s="100" t="n">
        <f aca="false">IFERROR(O842/K842,0)</f>
        <v>925</v>
      </c>
      <c r="AJ842" s="101" t="n">
        <f aca="false">VLOOKUP(D842,'Standard Cycle time'!C:D,2,0)</f>
        <v>3.5</v>
      </c>
      <c r="AK842" s="101" t="n">
        <f aca="false">AG842*V842*3600/O842</f>
        <v>3.89189189189189</v>
      </c>
      <c r="AL842" s="102" t="n">
        <f aca="false">AJ842/AK842</f>
        <v>0.899305555555555</v>
      </c>
      <c r="AM842" s="99" t="n">
        <f aca="false">AE842*AL842*AH842</f>
        <v>0.899305555555555</v>
      </c>
      <c r="AN842" s="103" t="n">
        <v>0.899305555555555</v>
      </c>
      <c r="AO842" s="112"/>
      <c r="AP842" s="105" t="n">
        <v>0</v>
      </c>
      <c r="AQ842" s="105" t="n">
        <v>0</v>
      </c>
      <c r="AR842" s="105" t="n">
        <v>0</v>
      </c>
      <c r="AS842" s="105" t="n">
        <v>0</v>
      </c>
      <c r="AT842" s="105" t="n">
        <v>0</v>
      </c>
      <c r="AU842" s="105" t="n">
        <v>0</v>
      </c>
      <c r="AV842" s="105" t="n">
        <v>0</v>
      </c>
      <c r="AW842" s="105" t="n">
        <v>0</v>
      </c>
      <c r="AX842" s="105" t="n">
        <v>0</v>
      </c>
      <c r="AY842" s="105" t="n">
        <v>0</v>
      </c>
      <c r="AZ842" s="105" t="n">
        <v>0</v>
      </c>
      <c r="BA842" s="105" t="n">
        <v>0</v>
      </c>
      <c r="BB842" s="105" t="n">
        <v>0</v>
      </c>
      <c r="BC842" s="105" t="n">
        <v>0</v>
      </c>
      <c r="BD842" s="105" t="n">
        <v>0</v>
      </c>
      <c r="BE842" s="105" t="n">
        <v>0</v>
      </c>
      <c r="BF842" s="105" t="n">
        <v>0</v>
      </c>
      <c r="BG842" s="105" t="n">
        <v>0</v>
      </c>
      <c r="BH842" s="105" t="n">
        <v>0</v>
      </c>
      <c r="BI842" s="105" t="n">
        <v>0</v>
      </c>
      <c r="BJ842" s="105" t="n">
        <v>0</v>
      </c>
      <c r="BK842" s="105" t="n">
        <v>0</v>
      </c>
      <c r="BL842" s="105" t="n">
        <v>0</v>
      </c>
      <c r="BM842" s="105" t="n">
        <v>0</v>
      </c>
      <c r="BN842" s="105" t="n">
        <v>0</v>
      </c>
      <c r="BO842" s="105" t="n">
        <v>0</v>
      </c>
      <c r="BP842" s="105" t="n">
        <v>0</v>
      </c>
      <c r="BQ842" s="105" t="n">
        <v>0</v>
      </c>
      <c r="BR842" s="106" t="n">
        <v>0</v>
      </c>
      <c r="BS842" s="106" t="n">
        <v>0</v>
      </c>
      <c r="BT842" s="107"/>
      <c r="BU842" s="107"/>
      <c r="BV842" s="107"/>
      <c r="BW842" s="107"/>
      <c r="BX842" s="107"/>
      <c r="BY842" s="107"/>
      <c r="BZ842" s="107"/>
      <c r="CA842" s="107"/>
      <c r="CB842" s="107"/>
      <c r="CC842" s="107"/>
      <c r="CD842" s="107"/>
      <c r="CE842" s="107"/>
      <c r="CF842" s="107"/>
      <c r="CG842" s="107"/>
      <c r="CH842" s="107"/>
      <c r="CI842" s="107"/>
      <c r="CJ842" s="107"/>
      <c r="CK842" s="107"/>
      <c r="CL842" s="107"/>
      <c r="CM842" s="107"/>
      <c r="CN842" s="107"/>
      <c r="CO842" s="107"/>
      <c r="CP842" s="107"/>
      <c r="CQ842" s="107"/>
      <c r="CR842" s="107"/>
      <c r="CS842" s="107"/>
      <c r="CT842" s="107"/>
      <c r="CU842" s="107"/>
      <c r="CV842" s="107"/>
    </row>
    <row r="843" customFormat="false" ht="14.9" hidden="false" customHeight="false" outlineLevel="0" collapsed="false">
      <c r="A843" s="74" t="n">
        <f aca="false">MONTH(B843)</f>
        <v>10</v>
      </c>
      <c r="B843" s="135" t="n">
        <v>44477</v>
      </c>
      <c r="C843" s="128" t="s">
        <v>51</v>
      </c>
      <c r="D843" s="77" t="str">
        <f aca="false">IFERROR(VLOOKUP(E:E,'Item Data Support Sheet'!A:O,7,0),"")</f>
        <v>BOTTLE PRINTED</v>
      </c>
      <c r="E843" s="80" t="s">
        <v>691</v>
      </c>
      <c r="F843" s="122"/>
      <c r="G843" s="137"/>
      <c r="H843" s="79" t="str">
        <f aca="false">IFERROR(VLOOKUP(E:E,'Item Data Support Sheet'!A:O,2,0),"")</f>
        <v>KPP 120 ML BOTTLE PRINTED</v>
      </c>
      <c r="I843" s="80" t="s">
        <v>1598</v>
      </c>
      <c r="J843" s="80" t="s">
        <v>161</v>
      </c>
      <c r="K843" s="124" t="n">
        <v>8</v>
      </c>
      <c r="L843" s="124" t="n">
        <v>5134</v>
      </c>
      <c r="M843" s="83" t="n">
        <v>641.75</v>
      </c>
      <c r="N843" s="84" t="n">
        <f aca="false">+O843+Q843+T843+U843</f>
        <v>4338</v>
      </c>
      <c r="O843" s="85" t="n">
        <v>4320</v>
      </c>
      <c r="P843" s="86" t="n">
        <v>0</v>
      </c>
      <c r="Q843" s="86" t="n">
        <v>0</v>
      </c>
      <c r="R843" s="132" t="n">
        <v>34</v>
      </c>
      <c r="S843" s="128" t="n">
        <v>0</v>
      </c>
      <c r="T843" s="132" t="n">
        <v>18</v>
      </c>
      <c r="U843" s="128" t="n">
        <v>0</v>
      </c>
      <c r="V843" s="128" t="n">
        <v>5</v>
      </c>
      <c r="W843" s="90" t="n">
        <f aca="false">IFERROR(O843/V843,0)</f>
        <v>864</v>
      </c>
      <c r="X843" s="91" t="n">
        <f aca="false">O843/L843</f>
        <v>0.841449162446435</v>
      </c>
      <c r="Y843" s="92" t="str">
        <f aca="false">IFERROR(VLOOKUP(E:E,'Item Data Support Sheet'!A:J,6,0),0)</f>
        <v>FO001</v>
      </c>
      <c r="Z843" s="93" t="n">
        <f aca="false">IFERROR(VLOOKUP(E:E,'Item Data Support Sheet'!A:O,4,0),0)</f>
        <v>0</v>
      </c>
      <c r="AA843" s="93" t="n">
        <f aca="false">IFERROR(((N843)*(Z843/1000))+P843,0)</f>
        <v>0</v>
      </c>
      <c r="AB843" s="94" t="str">
        <f aca="false">IFERROR((O843*(Z843/1000)/(AA843))," ")</f>
        <v> </v>
      </c>
      <c r="AC843" s="95" t="n">
        <f aca="false">IFERROR((T843)/((T843)+O843),0)</f>
        <v>0.004149377593361</v>
      </c>
      <c r="AD843" s="96" t="n">
        <f aca="false">IFERROR(Q843/(Q843+N843),0)</f>
        <v>0</v>
      </c>
      <c r="AE843" s="91" t="n">
        <f aca="false">(N843-T843)/N843</f>
        <v>0.995850622406639</v>
      </c>
      <c r="AF843" s="97" t="n">
        <f aca="false">BR843</f>
        <v>1.16666666666667</v>
      </c>
      <c r="AG843" s="98" t="n">
        <f aca="false">K843-AF843</f>
        <v>6.83333333333333</v>
      </c>
      <c r="AH843" s="99" t="n">
        <f aca="false">IFERROR(AG843/K843," ")</f>
        <v>0.854166666666666</v>
      </c>
      <c r="AI843" s="100" t="n">
        <f aca="false">IFERROR(O843/K843,0)</f>
        <v>540</v>
      </c>
      <c r="AJ843" s="101" t="n">
        <f aca="false">VLOOKUP(D843,'Standard Cycle time'!C:D,2,0)</f>
        <v>32.4</v>
      </c>
      <c r="AK843" s="101" t="n">
        <f aca="false">AG843*V843*3600/O843</f>
        <v>28.4722222222222</v>
      </c>
      <c r="AL843" s="102" t="n">
        <f aca="false">AJ843/AK843</f>
        <v>1.1379512195122</v>
      </c>
      <c r="AM843" s="99" t="n">
        <f aca="false">AE843*AL843*AH843</f>
        <v>0.967966804979253</v>
      </c>
      <c r="AN843" s="103" t="n">
        <v>0.967966804979253</v>
      </c>
      <c r="AO843" s="112" t="s">
        <v>1599</v>
      </c>
      <c r="AP843" s="105"/>
      <c r="AQ843" s="105" t="n">
        <v>0</v>
      </c>
      <c r="AR843" s="105" t="n">
        <v>0</v>
      </c>
      <c r="AS843" s="105" t="n">
        <v>0</v>
      </c>
      <c r="AT843" s="105" t="n">
        <v>70</v>
      </c>
      <c r="AU843" s="105" t="n">
        <v>0</v>
      </c>
      <c r="AV843" s="105" t="n">
        <v>0</v>
      </c>
      <c r="AW843" s="105" t="n">
        <v>0</v>
      </c>
      <c r="AX843" s="105" t="n">
        <v>0</v>
      </c>
      <c r="AY843" s="105" t="n">
        <v>0</v>
      </c>
      <c r="AZ843" s="105" t="n">
        <v>0</v>
      </c>
      <c r="BA843" s="105" t="n">
        <v>0</v>
      </c>
      <c r="BB843" s="105" t="n">
        <v>0</v>
      </c>
      <c r="BC843" s="105" t="n">
        <v>0</v>
      </c>
      <c r="BD843" s="105" t="n">
        <v>0</v>
      </c>
      <c r="BE843" s="105" t="n">
        <v>0</v>
      </c>
      <c r="BF843" s="105" t="n">
        <v>0</v>
      </c>
      <c r="BG843" s="105" t="n">
        <v>0</v>
      </c>
      <c r="BH843" s="105" t="n">
        <v>0</v>
      </c>
      <c r="BI843" s="105" t="n">
        <v>0</v>
      </c>
      <c r="BJ843" s="105" t="n">
        <v>0</v>
      </c>
      <c r="BK843" s="105" t="n">
        <v>0</v>
      </c>
      <c r="BL843" s="105" t="n">
        <v>0</v>
      </c>
      <c r="BM843" s="105" t="n">
        <v>0</v>
      </c>
      <c r="BN843" s="105" t="n">
        <v>0</v>
      </c>
      <c r="BO843" s="105" t="n">
        <v>0</v>
      </c>
      <c r="BP843" s="105" t="n">
        <v>0</v>
      </c>
      <c r="BQ843" s="105" t="n">
        <v>0</v>
      </c>
      <c r="BR843" s="106" t="n">
        <v>1.16666666666667</v>
      </c>
      <c r="BS843" s="106" t="n">
        <v>1.16666666666667</v>
      </c>
      <c r="BT843" s="107"/>
      <c r="BU843" s="107"/>
      <c r="BV843" s="107"/>
      <c r="BW843" s="107"/>
      <c r="BX843" s="107"/>
      <c r="BY843" s="107"/>
      <c r="BZ843" s="107"/>
      <c r="CA843" s="107"/>
      <c r="CB843" s="107"/>
      <c r="CC843" s="107"/>
      <c r="CD843" s="107"/>
      <c r="CE843" s="107"/>
      <c r="CF843" s="107"/>
      <c r="CG843" s="107"/>
      <c r="CH843" s="107"/>
      <c r="CI843" s="107"/>
      <c r="CJ843" s="107"/>
      <c r="CK843" s="107"/>
      <c r="CL843" s="107"/>
      <c r="CM843" s="107"/>
      <c r="CN843" s="107"/>
      <c r="CO843" s="107"/>
      <c r="CP843" s="107"/>
      <c r="CQ843" s="107"/>
      <c r="CR843" s="107"/>
      <c r="CS843" s="107"/>
      <c r="CT843" s="107"/>
      <c r="CU843" s="107"/>
      <c r="CV843" s="107"/>
    </row>
    <row r="844" customFormat="false" ht="14.9" hidden="false" customHeight="false" outlineLevel="0" collapsed="false">
      <c r="A844" s="74" t="n">
        <f aca="false">MONTH(B844)</f>
        <v>10</v>
      </c>
      <c r="B844" s="135" t="n">
        <v>44477</v>
      </c>
      <c r="C844" s="128" t="s">
        <v>63</v>
      </c>
      <c r="D844" s="77" t="str">
        <f aca="false">IFERROR(VLOOKUP(E:E,'Item Data Support Sheet'!A:O,7,0),"")</f>
        <v>NIPPLE PUNCH INSPECTED</v>
      </c>
      <c r="E844" s="80" t="s">
        <v>621</v>
      </c>
      <c r="F844" s="122"/>
      <c r="G844" s="137"/>
      <c r="H844" s="79" t="str">
        <f aca="false">IFERROR(VLOOKUP(E:E,'Item Data Support Sheet'!A:O,2,0),"")</f>
        <v>NIPPLE S TYPE LL SIZE INSPECTED</v>
      </c>
      <c r="I844" s="80" t="s">
        <v>1597</v>
      </c>
      <c r="J844" s="80" t="s">
        <v>158</v>
      </c>
      <c r="K844" s="124" t="n">
        <v>8</v>
      </c>
      <c r="L844" s="124" t="n">
        <v>14132</v>
      </c>
      <c r="M844" s="83" t="n">
        <v>1766.5</v>
      </c>
      <c r="N844" s="84" t="n">
        <f aca="false">+O844+Q844+T844+U844</f>
        <v>14400</v>
      </c>
      <c r="O844" s="85" t="n">
        <v>14364</v>
      </c>
      <c r="P844" s="86" t="n">
        <v>0</v>
      </c>
      <c r="Q844" s="86" t="n">
        <v>0</v>
      </c>
      <c r="R844" s="132" t="n">
        <v>0</v>
      </c>
      <c r="S844" s="128" t="n">
        <v>0</v>
      </c>
      <c r="T844" s="132" t="n">
        <v>36</v>
      </c>
      <c r="U844" s="128" t="n">
        <v>0</v>
      </c>
      <c r="V844" s="128" t="n">
        <v>2</v>
      </c>
      <c r="W844" s="90" t="n">
        <f aca="false">IFERROR(O844/V844,0)</f>
        <v>7182</v>
      </c>
      <c r="X844" s="91" t="n">
        <f aca="false">O844/L844</f>
        <v>1.01641664307954</v>
      </c>
      <c r="Y844" s="92" t="str">
        <f aca="false">IFERROR(VLOOKUP(E:E,'Item Data Support Sheet'!A:J,6,0),0)</f>
        <v>FO152</v>
      </c>
      <c r="Z844" s="93" t="n">
        <f aca="false">IFERROR(VLOOKUP(E:E,'Item Data Support Sheet'!A:O,4,0),0)</f>
        <v>0</v>
      </c>
      <c r="AA844" s="93" t="n">
        <f aca="false">IFERROR(((N844)*(Z844/1000))+P844,0)</f>
        <v>0</v>
      </c>
      <c r="AB844" s="94" t="str">
        <f aca="false">IFERROR((O844*(Z844/1000)/(AA844))," ")</f>
        <v> </v>
      </c>
      <c r="AC844" s="95" t="n">
        <f aca="false">IFERROR((T844)/((T844)+O844),0)</f>
        <v>0.0025</v>
      </c>
      <c r="AD844" s="96" t="n">
        <f aca="false">IFERROR(Q844/(Q844+N844),0)</f>
        <v>0</v>
      </c>
      <c r="AE844" s="91" t="n">
        <f aca="false">(N844-T844)/N844</f>
        <v>0.9975</v>
      </c>
      <c r="AF844" s="97" t="n">
        <f aca="false">BR844</f>
        <v>0.833333333333333</v>
      </c>
      <c r="AG844" s="98" t="n">
        <f aca="false">K844-AF844</f>
        <v>7.16666666666667</v>
      </c>
      <c r="AH844" s="99" t="n">
        <f aca="false">IFERROR(AG844/K844," ")</f>
        <v>0.895833333333333</v>
      </c>
      <c r="AI844" s="100" t="n">
        <f aca="false">IFERROR(O844/K844,0)</f>
        <v>1795.5</v>
      </c>
      <c r="AJ844" s="101" t="n">
        <f aca="false">VLOOKUP(D844,'Standard Cycle time'!C:D,2,0)</f>
        <v>4</v>
      </c>
      <c r="AK844" s="101" t="n">
        <f aca="false">AG844*V844*3600/O844</f>
        <v>3.59231411862991</v>
      </c>
      <c r="AL844" s="102" t="n">
        <f aca="false">AJ844/AK844</f>
        <v>1.11348837209302</v>
      </c>
      <c r="AM844" s="99" t="n">
        <f aca="false">AE844*AL844*AH844</f>
        <v>0.99500625</v>
      </c>
      <c r="AN844" s="103" t="n">
        <v>0.99500625</v>
      </c>
      <c r="AO844" s="112"/>
      <c r="AP844" s="105" t="n">
        <v>50</v>
      </c>
      <c r="AQ844" s="105" t="n">
        <v>0</v>
      </c>
      <c r="AR844" s="105" t="n">
        <v>0</v>
      </c>
      <c r="AS844" s="105" t="n">
        <v>0</v>
      </c>
      <c r="AT844" s="105" t="n">
        <v>0</v>
      </c>
      <c r="AU844" s="105" t="n">
        <v>0</v>
      </c>
      <c r="AV844" s="105" t="n">
        <v>0</v>
      </c>
      <c r="AW844" s="105" t="n">
        <v>0</v>
      </c>
      <c r="AX844" s="105" t="n">
        <v>0</v>
      </c>
      <c r="AY844" s="105" t="n">
        <v>0</v>
      </c>
      <c r="AZ844" s="105" t="n">
        <v>0</v>
      </c>
      <c r="BA844" s="105" t="n">
        <v>0</v>
      </c>
      <c r="BB844" s="105" t="n">
        <v>0</v>
      </c>
      <c r="BC844" s="105" t="n">
        <v>0</v>
      </c>
      <c r="BD844" s="105" t="n">
        <v>0</v>
      </c>
      <c r="BE844" s="105" t="n">
        <v>0</v>
      </c>
      <c r="BF844" s="105" t="n">
        <v>0</v>
      </c>
      <c r="BG844" s="105" t="n">
        <v>0</v>
      </c>
      <c r="BH844" s="105" t="n">
        <v>0</v>
      </c>
      <c r="BI844" s="105" t="n">
        <v>0</v>
      </c>
      <c r="BJ844" s="105" t="n">
        <v>0</v>
      </c>
      <c r="BK844" s="105" t="n">
        <v>0</v>
      </c>
      <c r="BL844" s="105" t="n">
        <v>0</v>
      </c>
      <c r="BM844" s="105" t="n">
        <v>0</v>
      </c>
      <c r="BN844" s="105" t="n">
        <v>0</v>
      </c>
      <c r="BO844" s="105" t="n">
        <v>0</v>
      </c>
      <c r="BP844" s="105" t="n">
        <v>0</v>
      </c>
      <c r="BQ844" s="105" t="n">
        <v>0</v>
      </c>
      <c r="BR844" s="106" t="n">
        <v>0.833333333333333</v>
      </c>
      <c r="BS844" s="106" t="n">
        <v>0.833333333333333</v>
      </c>
      <c r="BT844" s="107"/>
      <c r="BU844" s="107"/>
      <c r="BV844" s="107"/>
      <c r="BW844" s="107"/>
      <c r="BX844" s="107"/>
      <c r="BY844" s="107"/>
      <c r="BZ844" s="107"/>
      <c r="CA844" s="107"/>
      <c r="CB844" s="107"/>
      <c r="CC844" s="107"/>
      <c r="CD844" s="107"/>
      <c r="CE844" s="107"/>
      <c r="CF844" s="107"/>
      <c r="CG844" s="107"/>
      <c r="CH844" s="107"/>
      <c r="CI844" s="107"/>
      <c r="CJ844" s="107"/>
      <c r="CK844" s="107"/>
      <c r="CL844" s="107"/>
      <c r="CM844" s="107"/>
      <c r="CN844" s="107"/>
      <c r="CO844" s="107"/>
      <c r="CP844" s="107"/>
      <c r="CQ844" s="107"/>
      <c r="CR844" s="107"/>
      <c r="CS844" s="107"/>
      <c r="CT844" s="107"/>
      <c r="CU844" s="107"/>
      <c r="CV844" s="107"/>
    </row>
    <row r="845" customFormat="false" ht="14.9" hidden="false" customHeight="false" outlineLevel="0" collapsed="false">
      <c r="A845" s="74" t="n">
        <f aca="false">MONTH(B845)</f>
        <v>10</v>
      </c>
      <c r="B845" s="135" t="n">
        <v>44477</v>
      </c>
      <c r="C845" s="128" t="s">
        <v>70</v>
      </c>
      <c r="D845" s="77" t="str">
        <f aca="false">IFERROR(VLOOKUP(E:E,'Item Data Support Sheet'!A:O,7,0),"")</f>
        <v>NIPPLE PUNCH</v>
      </c>
      <c r="E845" s="80" t="s">
        <v>563</v>
      </c>
      <c r="F845" s="122"/>
      <c r="G845" s="137" t="s">
        <v>54</v>
      </c>
      <c r="H845" s="79" t="str">
        <f aca="false">IFERROR(VLOOKUP(E:E,'Item Data Support Sheet'!A:O,2,0),"")</f>
        <v>NIPPLE S TYPE LL SIZE PUNCHED</v>
      </c>
      <c r="I845" s="80" t="s">
        <v>1600</v>
      </c>
      <c r="J845" s="80" t="s">
        <v>155</v>
      </c>
      <c r="K845" s="124" t="n">
        <v>5</v>
      </c>
      <c r="L845" s="124" t="n">
        <v>4375</v>
      </c>
      <c r="M845" s="83" t="n">
        <v>875</v>
      </c>
      <c r="N845" s="84" t="n">
        <f aca="false">+O845+Q845+T845+U845</f>
        <v>4050</v>
      </c>
      <c r="O845" s="85" t="n">
        <v>4050</v>
      </c>
      <c r="P845" s="86" t="n">
        <v>0</v>
      </c>
      <c r="Q845" s="86" t="n">
        <v>0</v>
      </c>
      <c r="R845" s="132" t="n">
        <v>0</v>
      </c>
      <c r="S845" s="128" t="n">
        <v>0</v>
      </c>
      <c r="T845" s="132" t="n">
        <v>0</v>
      </c>
      <c r="U845" s="128" t="n">
        <v>0</v>
      </c>
      <c r="V845" s="128" t="n">
        <v>1</v>
      </c>
      <c r="W845" s="90" t="n">
        <f aca="false">IFERROR(O845/V845,0)</f>
        <v>4050</v>
      </c>
      <c r="X845" s="91" t="n">
        <f aca="false">O845/L845</f>
        <v>0.925714285714286</v>
      </c>
      <c r="Y845" s="92" t="str">
        <f aca="false">IFERROR(VLOOKUP(E:E,'Item Data Support Sheet'!A:J,6,0),0)</f>
        <v>FO150</v>
      </c>
      <c r="Z845" s="93" t="n">
        <f aca="false">IFERROR(VLOOKUP(E:E,'Item Data Support Sheet'!A:O,4,0),0)</f>
        <v>0</v>
      </c>
      <c r="AA845" s="93" t="n">
        <f aca="false">IFERROR(((N845)*(Z845/1000))+P845,0)</f>
        <v>0</v>
      </c>
      <c r="AB845" s="94" t="str">
        <f aca="false">IFERROR((O845*(Z845/1000)/(AA845))," ")</f>
        <v> </v>
      </c>
      <c r="AC845" s="95" t="n">
        <f aca="false">IFERROR((T845)/((T845)+O845),0)</f>
        <v>0</v>
      </c>
      <c r="AD845" s="96" t="n">
        <f aca="false">IFERROR(Q845/(Q845+N845),0)</f>
        <v>0</v>
      </c>
      <c r="AE845" s="91" t="n">
        <f aca="false">(N845-T845)/N845</f>
        <v>1</v>
      </c>
      <c r="AF845" s="97" t="n">
        <f aca="false">BR845</f>
        <v>0.666666666666667</v>
      </c>
      <c r="AG845" s="98" t="n">
        <f aca="false">K845-AF845</f>
        <v>4.33333333333333</v>
      </c>
      <c r="AH845" s="99" t="n">
        <f aca="false">IFERROR(AG845/K845," ")</f>
        <v>0.866666666666667</v>
      </c>
      <c r="AI845" s="100" t="n">
        <f aca="false">IFERROR(O845/K845,0)</f>
        <v>810</v>
      </c>
      <c r="AJ845" s="101" t="n">
        <f aca="false">VLOOKUP(D845,'Standard Cycle time'!C:D,2,0)</f>
        <v>3.5</v>
      </c>
      <c r="AK845" s="101" t="n">
        <f aca="false">AG845*V845*3600/O845</f>
        <v>3.85185185185185</v>
      </c>
      <c r="AL845" s="102" t="n">
        <f aca="false">AJ845/AK845</f>
        <v>0.908653846153846</v>
      </c>
      <c r="AM845" s="99" t="n">
        <f aca="false">AE845*AL845*AH845</f>
        <v>0.7875</v>
      </c>
      <c r="AN845" s="103" t="n">
        <v>0.7875</v>
      </c>
      <c r="AO845" s="112"/>
      <c r="AP845" s="105" t="n">
        <v>40</v>
      </c>
      <c r="AQ845" s="105" t="n">
        <v>0</v>
      </c>
      <c r="AR845" s="105" t="n">
        <v>0</v>
      </c>
      <c r="AS845" s="105" t="n">
        <v>0</v>
      </c>
      <c r="AT845" s="105" t="n">
        <v>0</v>
      </c>
      <c r="AU845" s="105" t="n">
        <v>0</v>
      </c>
      <c r="AV845" s="105" t="n">
        <v>0</v>
      </c>
      <c r="AW845" s="105" t="n">
        <v>0</v>
      </c>
      <c r="AX845" s="105" t="n">
        <v>0</v>
      </c>
      <c r="AY845" s="105" t="n">
        <v>0</v>
      </c>
      <c r="AZ845" s="105" t="n">
        <v>0</v>
      </c>
      <c r="BA845" s="105" t="n">
        <v>0</v>
      </c>
      <c r="BB845" s="105" t="n">
        <v>0</v>
      </c>
      <c r="BC845" s="105" t="n">
        <v>0</v>
      </c>
      <c r="BD845" s="105" t="n">
        <v>0</v>
      </c>
      <c r="BE845" s="105" t="n">
        <v>0</v>
      </c>
      <c r="BF845" s="105" t="n">
        <v>0</v>
      </c>
      <c r="BG845" s="105" t="n">
        <v>0</v>
      </c>
      <c r="BH845" s="105" t="n">
        <v>0</v>
      </c>
      <c r="BI845" s="105" t="n">
        <v>0</v>
      </c>
      <c r="BJ845" s="105" t="n">
        <v>0</v>
      </c>
      <c r="BK845" s="105" t="n">
        <v>0</v>
      </c>
      <c r="BL845" s="105" t="n">
        <v>0</v>
      </c>
      <c r="BM845" s="105" t="n">
        <v>0</v>
      </c>
      <c r="BN845" s="105" t="n">
        <v>0</v>
      </c>
      <c r="BO845" s="105" t="n">
        <v>0</v>
      </c>
      <c r="BP845" s="105" t="n">
        <v>0</v>
      </c>
      <c r="BQ845" s="105" t="n">
        <v>0</v>
      </c>
      <c r="BR845" s="106" t="n">
        <v>0.666666666666667</v>
      </c>
      <c r="BS845" s="106" t="n">
        <v>0.666666666666667</v>
      </c>
      <c r="BT845" s="107"/>
      <c r="BU845" s="107"/>
      <c r="BV845" s="107"/>
      <c r="BW845" s="107"/>
      <c r="BX845" s="107"/>
      <c r="BY845" s="107"/>
      <c r="BZ845" s="107"/>
      <c r="CA845" s="107"/>
      <c r="CB845" s="107"/>
      <c r="CC845" s="107"/>
      <c r="CD845" s="107"/>
      <c r="CE845" s="107"/>
      <c r="CF845" s="107"/>
      <c r="CG845" s="107"/>
      <c r="CH845" s="107"/>
      <c r="CI845" s="107"/>
      <c r="CJ845" s="107"/>
      <c r="CK845" s="107"/>
      <c r="CL845" s="107"/>
      <c r="CM845" s="107"/>
      <c r="CN845" s="107"/>
      <c r="CO845" s="107"/>
      <c r="CP845" s="107"/>
      <c r="CQ845" s="107"/>
      <c r="CR845" s="107"/>
      <c r="CS845" s="107"/>
      <c r="CT845" s="107"/>
      <c r="CU845" s="107"/>
      <c r="CV845" s="107"/>
    </row>
    <row r="846" customFormat="false" ht="14.9" hidden="false" customHeight="false" outlineLevel="0" collapsed="false">
      <c r="A846" s="74" t="n">
        <f aca="false">MONTH(B846)</f>
        <v>10</v>
      </c>
      <c r="B846" s="135" t="n">
        <v>44477</v>
      </c>
      <c r="C846" s="128" t="s">
        <v>70</v>
      </c>
      <c r="D846" s="77" t="str">
        <f aca="false">IFERROR(VLOOKUP(E:E,'Item Data Support Sheet'!A:O,7,0),"")</f>
        <v>NIPPLE LASER MARKING</v>
      </c>
      <c r="E846" s="80" t="s">
        <v>600</v>
      </c>
      <c r="F846" s="122"/>
      <c r="G846" s="137" t="s">
        <v>517</v>
      </c>
      <c r="H846" s="79" t="str">
        <f aca="false">IFERROR(VLOOKUP(E:E,'Item Data Support Sheet'!A:O,2,0),"")</f>
        <v>NIPPLE S TYPE LL SIZE LASER MARKED</v>
      </c>
      <c r="I846" s="80" t="s">
        <v>1601</v>
      </c>
      <c r="J846" s="80" t="s">
        <v>155</v>
      </c>
      <c r="K846" s="124" t="n">
        <v>5</v>
      </c>
      <c r="L846" s="124" t="n">
        <v>4375</v>
      </c>
      <c r="M846" s="83" t="n">
        <v>875</v>
      </c>
      <c r="N846" s="84" t="n">
        <f aca="false">+O846+Q846+T846+U846</f>
        <v>5050</v>
      </c>
      <c r="O846" s="85" t="n">
        <v>5050</v>
      </c>
      <c r="P846" s="86" t="n">
        <v>0</v>
      </c>
      <c r="Q846" s="86" t="n">
        <v>0</v>
      </c>
      <c r="R846" s="132" t="n">
        <v>0</v>
      </c>
      <c r="S846" s="128" t="n">
        <v>0</v>
      </c>
      <c r="T846" s="132" t="n">
        <v>0</v>
      </c>
      <c r="U846" s="128" t="n">
        <v>0</v>
      </c>
      <c r="V846" s="128" t="n">
        <v>1</v>
      </c>
      <c r="W846" s="90" t="n">
        <f aca="false">IFERROR(O846/V846,0)</f>
        <v>5050</v>
      </c>
      <c r="X846" s="91" t="n">
        <f aca="false">O846/L846</f>
        <v>1.15428571428571</v>
      </c>
      <c r="Y846" s="92" t="str">
        <f aca="false">IFERROR(VLOOKUP(E:E,'Item Data Support Sheet'!A:J,6,0),0)</f>
        <v>FO151</v>
      </c>
      <c r="Z846" s="93" t="n">
        <f aca="false">IFERROR(VLOOKUP(E:E,'Item Data Support Sheet'!A:O,4,0),0)</f>
        <v>0</v>
      </c>
      <c r="AA846" s="93" t="n">
        <f aca="false">IFERROR(((N846)*(Z846/1000))+P846,0)</f>
        <v>0</v>
      </c>
      <c r="AB846" s="94" t="str">
        <f aca="false">IFERROR((O846*(Z846/1000)/(AA846))," ")</f>
        <v> </v>
      </c>
      <c r="AC846" s="95" t="n">
        <f aca="false">IFERROR((T846)/((T846)+O846),0)</f>
        <v>0</v>
      </c>
      <c r="AD846" s="96" t="n">
        <f aca="false">IFERROR(Q846/(Q846+N846),0)</f>
        <v>0</v>
      </c>
      <c r="AE846" s="91" t="n">
        <f aca="false">(N846-T846)/N846</f>
        <v>1</v>
      </c>
      <c r="AF846" s="97" t="n">
        <f aca="false">BR846</f>
        <v>0.666666666666667</v>
      </c>
      <c r="AG846" s="98" t="n">
        <f aca="false">K846-AF846</f>
        <v>4.33333333333333</v>
      </c>
      <c r="AH846" s="99" t="n">
        <f aca="false">IFERROR(AG846/K846," ")</f>
        <v>0.866666666666667</v>
      </c>
      <c r="AI846" s="100" t="n">
        <f aca="false">IFERROR(O846/K846,0)</f>
        <v>1010</v>
      </c>
      <c r="AJ846" s="101" t="n">
        <f aca="false">VLOOKUP(D846,'Standard Cycle time'!C:D,2,0)</f>
        <v>3.5</v>
      </c>
      <c r="AK846" s="101" t="n">
        <f aca="false">AG846*V846*3600/O846</f>
        <v>3.08910891089109</v>
      </c>
      <c r="AL846" s="102" t="n">
        <f aca="false">AJ846/AK846</f>
        <v>1.13301282051282</v>
      </c>
      <c r="AM846" s="99" t="n">
        <f aca="false">AE846*AL846*AH846</f>
        <v>0.981944444444444</v>
      </c>
      <c r="AN846" s="103" t="n">
        <v>0.981944444444444</v>
      </c>
      <c r="AO846" s="112"/>
      <c r="AP846" s="105" t="n">
        <v>40</v>
      </c>
      <c r="AQ846" s="105" t="n">
        <v>0</v>
      </c>
      <c r="AR846" s="105" t="n">
        <v>0</v>
      </c>
      <c r="AS846" s="105" t="n">
        <v>0</v>
      </c>
      <c r="AT846" s="105" t="n">
        <v>0</v>
      </c>
      <c r="AU846" s="105" t="n">
        <v>0</v>
      </c>
      <c r="AV846" s="105" t="n">
        <v>0</v>
      </c>
      <c r="AW846" s="105" t="n">
        <v>0</v>
      </c>
      <c r="AX846" s="105" t="n">
        <v>0</v>
      </c>
      <c r="AY846" s="105" t="n">
        <v>0</v>
      </c>
      <c r="AZ846" s="105" t="n">
        <v>0</v>
      </c>
      <c r="BA846" s="105" t="n">
        <v>0</v>
      </c>
      <c r="BB846" s="105" t="n">
        <v>0</v>
      </c>
      <c r="BC846" s="105" t="n">
        <v>0</v>
      </c>
      <c r="BD846" s="105" t="n">
        <v>0</v>
      </c>
      <c r="BE846" s="105" t="n">
        <v>0</v>
      </c>
      <c r="BF846" s="105" t="n">
        <v>0</v>
      </c>
      <c r="BG846" s="105" t="n">
        <v>0</v>
      </c>
      <c r="BH846" s="105" t="n">
        <v>0</v>
      </c>
      <c r="BI846" s="105" t="n">
        <v>0</v>
      </c>
      <c r="BJ846" s="105" t="n">
        <v>0</v>
      </c>
      <c r="BK846" s="105" t="n">
        <v>0</v>
      </c>
      <c r="BL846" s="105" t="n">
        <v>0</v>
      </c>
      <c r="BM846" s="105" t="n">
        <v>0</v>
      </c>
      <c r="BN846" s="105" t="n">
        <v>0</v>
      </c>
      <c r="BO846" s="105" t="n">
        <v>0</v>
      </c>
      <c r="BP846" s="105" t="n">
        <v>0</v>
      </c>
      <c r="BQ846" s="105" t="n">
        <v>0</v>
      </c>
      <c r="BR846" s="106" t="n">
        <v>0.666666666666667</v>
      </c>
      <c r="BS846" s="106" t="n">
        <v>0.666666666666667</v>
      </c>
      <c r="BT846" s="107"/>
      <c r="BU846" s="107"/>
      <c r="BV846" s="107"/>
      <c r="BW846" s="107"/>
      <c r="BX846" s="107"/>
      <c r="BY846" s="107"/>
      <c r="BZ846" s="107"/>
      <c r="CA846" s="107"/>
      <c r="CB846" s="107"/>
      <c r="CC846" s="107"/>
      <c r="CD846" s="107"/>
      <c r="CE846" s="107"/>
      <c r="CF846" s="107"/>
      <c r="CG846" s="107"/>
      <c r="CH846" s="107"/>
      <c r="CI846" s="107"/>
      <c r="CJ846" s="107"/>
      <c r="CK846" s="107"/>
      <c r="CL846" s="107"/>
      <c r="CM846" s="107"/>
      <c r="CN846" s="107"/>
      <c r="CO846" s="107"/>
      <c r="CP846" s="107"/>
      <c r="CQ846" s="107"/>
      <c r="CR846" s="107"/>
      <c r="CS846" s="107"/>
      <c r="CT846" s="107"/>
      <c r="CU846" s="107"/>
      <c r="CV846" s="107"/>
    </row>
    <row r="847" customFormat="false" ht="14.9" hidden="false" customHeight="false" outlineLevel="0" collapsed="false">
      <c r="A847" s="74" t="n">
        <f aca="false">MONTH(B847)</f>
        <v>10</v>
      </c>
      <c r="B847" s="135" t="n">
        <v>44477</v>
      </c>
      <c r="C847" s="128" t="s">
        <v>70</v>
      </c>
      <c r="D847" s="77" t="str">
        <f aca="false">IFERROR(VLOOKUP(E:E,'Item Data Support Sheet'!A:O,7,0),"")</f>
        <v>NIPPLE PUNCH</v>
      </c>
      <c r="E847" s="80" t="s">
        <v>666</v>
      </c>
      <c r="F847" s="122"/>
      <c r="G847" s="137" t="s">
        <v>54</v>
      </c>
      <c r="H847" s="79" t="str">
        <f aca="false">IFERROR(VLOOKUP(E:E,'Item Data Support Sheet'!A:O,2,0),"")</f>
        <v>NIPPLE S TYPE L SIZE PUNCHED</v>
      </c>
      <c r="I847" s="80" t="s">
        <v>1602</v>
      </c>
      <c r="J847" s="80" t="s">
        <v>155</v>
      </c>
      <c r="K847" s="124" t="n">
        <v>2</v>
      </c>
      <c r="L847" s="124" t="n">
        <v>1750</v>
      </c>
      <c r="M847" s="83" t="n">
        <v>875</v>
      </c>
      <c r="N847" s="84" t="n">
        <f aca="false">+O847+Q847+T847+U847</f>
        <v>2000</v>
      </c>
      <c r="O847" s="85" t="n">
        <v>2000</v>
      </c>
      <c r="P847" s="86" t="n">
        <v>0</v>
      </c>
      <c r="Q847" s="86" t="n">
        <v>0</v>
      </c>
      <c r="R847" s="132" t="n">
        <v>0</v>
      </c>
      <c r="S847" s="128" t="n">
        <v>0</v>
      </c>
      <c r="T847" s="132" t="n">
        <v>0</v>
      </c>
      <c r="U847" s="128" t="n">
        <v>0</v>
      </c>
      <c r="V847" s="128" t="n">
        <v>1</v>
      </c>
      <c r="W847" s="90" t="n">
        <f aca="false">IFERROR(O847/V847,0)</f>
        <v>2000</v>
      </c>
      <c r="X847" s="91" t="n">
        <f aca="false">O847/L847</f>
        <v>1.14285714285714</v>
      </c>
      <c r="Y847" s="92" t="str">
        <f aca="false">IFERROR(VLOOKUP(E:E,'Item Data Support Sheet'!A:J,6,0),0)</f>
        <v>FO017</v>
      </c>
      <c r="Z847" s="93" t="n">
        <f aca="false">IFERROR(VLOOKUP(E:E,'Item Data Support Sheet'!A:O,4,0),0)</f>
        <v>0</v>
      </c>
      <c r="AA847" s="93" t="n">
        <f aca="false">IFERROR(((N847)*(Z847/1000))+P847,0)</f>
        <v>0</v>
      </c>
      <c r="AB847" s="94" t="str">
        <f aca="false">IFERROR((O847*(Z847/1000)/(AA847))," ")</f>
        <v> </v>
      </c>
      <c r="AC847" s="95" t="n">
        <f aca="false">IFERROR((T847)/((T847)+O847),0)</f>
        <v>0</v>
      </c>
      <c r="AD847" s="96" t="n">
        <f aca="false">IFERROR(Q847/(Q847+N847),0)</f>
        <v>0</v>
      </c>
      <c r="AE847" s="91" t="n">
        <f aca="false">(N847-T847)/N847</f>
        <v>1</v>
      </c>
      <c r="AF847" s="97" t="n">
        <f aca="false">BR847</f>
        <v>0</v>
      </c>
      <c r="AG847" s="98" t="n">
        <f aca="false">K847-AF847</f>
        <v>2</v>
      </c>
      <c r="AH847" s="99" t="n">
        <f aca="false">IFERROR(AG847/K847," ")</f>
        <v>1</v>
      </c>
      <c r="AI847" s="100" t="n">
        <f aca="false">IFERROR(O847/K847,0)</f>
        <v>1000</v>
      </c>
      <c r="AJ847" s="101" t="n">
        <f aca="false">VLOOKUP(D847,'Standard Cycle time'!C:D,2,0)</f>
        <v>3.5</v>
      </c>
      <c r="AK847" s="101" t="n">
        <f aca="false">AG847*V847*3600/O847</f>
        <v>3.6</v>
      </c>
      <c r="AL847" s="102" t="n">
        <f aca="false">AJ847/AK847</f>
        <v>0.972222222222222</v>
      </c>
      <c r="AM847" s="99" t="n">
        <f aca="false">AE847*AL847*AH847</f>
        <v>0.972222222222222</v>
      </c>
      <c r="AN847" s="103" t="n">
        <v>0.972222222222222</v>
      </c>
      <c r="AO847" s="112" t="s">
        <v>1603</v>
      </c>
      <c r="AP847" s="105" t="n">
        <v>0</v>
      </c>
      <c r="AQ847" s="105" t="n">
        <v>0</v>
      </c>
      <c r="AR847" s="105" t="n">
        <v>0</v>
      </c>
      <c r="AS847" s="105" t="n">
        <v>0</v>
      </c>
      <c r="AT847" s="105" t="n">
        <v>0</v>
      </c>
      <c r="AU847" s="105" t="n">
        <v>0</v>
      </c>
      <c r="AV847" s="105" t="n">
        <v>0</v>
      </c>
      <c r="AW847" s="105" t="n">
        <v>0</v>
      </c>
      <c r="AX847" s="105" t="n">
        <v>0</v>
      </c>
      <c r="AY847" s="105" t="n">
        <v>0</v>
      </c>
      <c r="AZ847" s="105" t="n">
        <v>0</v>
      </c>
      <c r="BA847" s="105" t="n">
        <v>0</v>
      </c>
      <c r="BB847" s="105" t="n">
        <v>0</v>
      </c>
      <c r="BC847" s="105" t="n">
        <v>0</v>
      </c>
      <c r="BD847" s="105" t="n">
        <v>0</v>
      </c>
      <c r="BE847" s="105" t="n">
        <v>0</v>
      </c>
      <c r="BF847" s="105" t="n">
        <v>0</v>
      </c>
      <c r="BG847" s="105" t="n">
        <v>0</v>
      </c>
      <c r="BH847" s="105" t="n">
        <v>0</v>
      </c>
      <c r="BI847" s="105" t="n">
        <v>0</v>
      </c>
      <c r="BJ847" s="105" t="n">
        <v>0</v>
      </c>
      <c r="BK847" s="105" t="n">
        <v>0</v>
      </c>
      <c r="BL847" s="105" t="n">
        <v>0</v>
      </c>
      <c r="BM847" s="105" t="n">
        <v>0</v>
      </c>
      <c r="BN847" s="105" t="n">
        <v>0</v>
      </c>
      <c r="BO847" s="105" t="n">
        <v>0</v>
      </c>
      <c r="BP847" s="105" t="n">
        <v>0</v>
      </c>
      <c r="BQ847" s="105" t="n">
        <v>0</v>
      </c>
      <c r="BR847" s="106" t="n">
        <v>0</v>
      </c>
      <c r="BS847" s="106" t="n">
        <v>0</v>
      </c>
      <c r="BT847" s="107"/>
      <c r="BU847" s="107"/>
      <c r="BV847" s="107"/>
      <c r="BW847" s="107"/>
      <c r="BX847" s="107"/>
      <c r="BY847" s="107"/>
      <c r="BZ847" s="107"/>
      <c r="CA847" s="107"/>
      <c r="CB847" s="107"/>
      <c r="CC847" s="107"/>
      <c r="CD847" s="107"/>
      <c r="CE847" s="107"/>
      <c r="CF847" s="107"/>
      <c r="CG847" s="107"/>
      <c r="CH847" s="107"/>
      <c r="CI847" s="107"/>
      <c r="CJ847" s="107"/>
      <c r="CK847" s="107"/>
      <c r="CL847" s="107"/>
      <c r="CM847" s="107"/>
      <c r="CN847" s="107"/>
      <c r="CO847" s="107"/>
      <c r="CP847" s="107"/>
      <c r="CQ847" s="107"/>
      <c r="CR847" s="107"/>
      <c r="CS847" s="107"/>
      <c r="CT847" s="107"/>
      <c r="CU847" s="107"/>
      <c r="CV847" s="107"/>
    </row>
    <row r="848" customFormat="false" ht="14.9" hidden="false" customHeight="false" outlineLevel="0" collapsed="false">
      <c r="A848" s="74" t="n">
        <f aca="false">MONTH(B848)</f>
        <v>10</v>
      </c>
      <c r="B848" s="135" t="n">
        <v>44477</v>
      </c>
      <c r="C848" s="128" t="s">
        <v>70</v>
      </c>
      <c r="D848" s="77" t="str">
        <f aca="false">IFERROR(VLOOKUP(E:E,'Item Data Support Sheet'!A:O,7,0),"")</f>
        <v>NIPPLE LASER MARKING</v>
      </c>
      <c r="E848" s="80" t="s">
        <v>681</v>
      </c>
      <c r="F848" s="122"/>
      <c r="G848" s="137" t="s">
        <v>517</v>
      </c>
      <c r="H848" s="79" t="str">
        <f aca="false">IFERROR(VLOOKUP(E:E,'Item Data Support Sheet'!A:O,2,0),"")</f>
        <v>NIPPLE S TYPE L SIZE PUNCHED LASER MARKED</v>
      </c>
      <c r="I848" s="80" t="s">
        <v>1604</v>
      </c>
      <c r="J848" s="80" t="s">
        <v>155</v>
      </c>
      <c r="K848" s="124" t="n">
        <v>1</v>
      </c>
      <c r="L848" s="124" t="n">
        <v>875</v>
      </c>
      <c r="M848" s="83" t="n">
        <v>875</v>
      </c>
      <c r="N848" s="84" t="n">
        <f aca="false">+O848+Q848+T848+U848</f>
        <v>1000</v>
      </c>
      <c r="O848" s="85" t="n">
        <v>1000</v>
      </c>
      <c r="P848" s="86" t="n">
        <v>0</v>
      </c>
      <c r="Q848" s="86" t="n">
        <v>0</v>
      </c>
      <c r="R848" s="132" t="n">
        <v>0</v>
      </c>
      <c r="S848" s="128" t="n">
        <v>0</v>
      </c>
      <c r="T848" s="132" t="n">
        <v>0</v>
      </c>
      <c r="U848" s="128" t="n">
        <v>0</v>
      </c>
      <c r="V848" s="128" t="n">
        <v>1</v>
      </c>
      <c r="W848" s="90" t="n">
        <f aca="false">IFERROR(O848/V848,0)</f>
        <v>1000</v>
      </c>
      <c r="X848" s="91" t="n">
        <f aca="false">O848/L848</f>
        <v>1.14285714285714</v>
      </c>
      <c r="Y848" s="92" t="str">
        <f aca="false">IFERROR(VLOOKUP(E:E,'Item Data Support Sheet'!A:J,6,0),0)</f>
        <v>FO021</v>
      </c>
      <c r="Z848" s="93" t="n">
        <f aca="false">IFERROR(VLOOKUP(E:E,'Item Data Support Sheet'!A:O,4,0),0)</f>
        <v>0</v>
      </c>
      <c r="AA848" s="93" t="n">
        <f aca="false">IFERROR(((N848)*(Z848/1000))+P848,0)</f>
        <v>0</v>
      </c>
      <c r="AB848" s="94" t="str">
        <f aca="false">IFERROR((O848*(Z848/1000)/(AA848))," ")</f>
        <v> </v>
      </c>
      <c r="AC848" s="95" t="n">
        <f aca="false">IFERROR((T848)/((T848)+O848),0)</f>
        <v>0</v>
      </c>
      <c r="AD848" s="96" t="n">
        <f aca="false">IFERROR(Q848/(Q848+N848),0)</f>
        <v>0</v>
      </c>
      <c r="AE848" s="91" t="n">
        <f aca="false">(N848-T848)/N848</f>
        <v>1</v>
      </c>
      <c r="AF848" s="97" t="n">
        <f aca="false">BR848</f>
        <v>0</v>
      </c>
      <c r="AG848" s="98" t="n">
        <f aca="false">K848-AF848</f>
        <v>1</v>
      </c>
      <c r="AH848" s="99" t="n">
        <f aca="false">IFERROR(AG848/K848," ")</f>
        <v>1</v>
      </c>
      <c r="AI848" s="100" t="n">
        <f aca="false">IFERROR(O848/K848,0)</f>
        <v>1000</v>
      </c>
      <c r="AJ848" s="101" t="n">
        <f aca="false">VLOOKUP(D848,'Standard Cycle time'!C:D,2,0)</f>
        <v>3.5</v>
      </c>
      <c r="AK848" s="101" t="n">
        <f aca="false">AG848*V848*3600/O848</f>
        <v>3.6</v>
      </c>
      <c r="AL848" s="102" t="n">
        <f aca="false">AJ848/AK848</f>
        <v>0.972222222222222</v>
      </c>
      <c r="AM848" s="99" t="n">
        <f aca="false">AE848*AL848*AH848</f>
        <v>0.972222222222222</v>
      </c>
      <c r="AN848" s="103" t="n">
        <v>0.972222222222222</v>
      </c>
      <c r="AO848" s="112" t="s">
        <v>1605</v>
      </c>
      <c r="AP848" s="105" t="n">
        <v>0</v>
      </c>
      <c r="AQ848" s="105" t="n">
        <v>0</v>
      </c>
      <c r="AR848" s="105" t="n">
        <v>0</v>
      </c>
      <c r="AS848" s="105" t="n">
        <v>0</v>
      </c>
      <c r="AT848" s="105" t="n">
        <v>0</v>
      </c>
      <c r="AU848" s="105" t="n">
        <v>0</v>
      </c>
      <c r="AV848" s="105" t="n">
        <v>0</v>
      </c>
      <c r="AW848" s="105" t="n">
        <v>0</v>
      </c>
      <c r="AX848" s="105" t="n">
        <v>0</v>
      </c>
      <c r="AY848" s="105" t="n">
        <v>0</v>
      </c>
      <c r="AZ848" s="105" t="n">
        <v>0</v>
      </c>
      <c r="BA848" s="105" t="n">
        <v>0</v>
      </c>
      <c r="BB848" s="105" t="n">
        <v>0</v>
      </c>
      <c r="BC848" s="105" t="n">
        <v>0</v>
      </c>
      <c r="BD848" s="105" t="n">
        <v>0</v>
      </c>
      <c r="BE848" s="105" t="n">
        <v>0</v>
      </c>
      <c r="BF848" s="105" t="n">
        <v>0</v>
      </c>
      <c r="BG848" s="105" t="n">
        <v>0</v>
      </c>
      <c r="BH848" s="105" t="n">
        <v>0</v>
      </c>
      <c r="BI848" s="105" t="n">
        <v>0</v>
      </c>
      <c r="BJ848" s="105" t="n">
        <v>0</v>
      </c>
      <c r="BK848" s="105" t="n">
        <v>0</v>
      </c>
      <c r="BL848" s="105" t="n">
        <v>0</v>
      </c>
      <c r="BM848" s="105" t="n">
        <v>0</v>
      </c>
      <c r="BN848" s="105" t="n">
        <v>0</v>
      </c>
      <c r="BO848" s="105" t="n">
        <v>0</v>
      </c>
      <c r="BP848" s="105" t="n">
        <v>0</v>
      </c>
      <c r="BQ848" s="105" t="n">
        <v>0</v>
      </c>
      <c r="BR848" s="106" t="n">
        <v>0</v>
      </c>
      <c r="BS848" s="106" t="n">
        <v>0</v>
      </c>
      <c r="BT848" s="107"/>
      <c r="BU848" s="107"/>
      <c r="BV848" s="107"/>
      <c r="BW848" s="107"/>
      <c r="BX848" s="107"/>
      <c r="BY848" s="107"/>
      <c r="BZ848" s="107"/>
      <c r="CA848" s="107"/>
      <c r="CB848" s="107"/>
      <c r="CC848" s="107"/>
      <c r="CD848" s="107"/>
      <c r="CE848" s="107"/>
      <c r="CF848" s="107"/>
      <c r="CG848" s="107"/>
      <c r="CH848" s="107"/>
      <c r="CI848" s="107"/>
      <c r="CJ848" s="107"/>
      <c r="CK848" s="107"/>
      <c r="CL848" s="107"/>
      <c r="CM848" s="107"/>
      <c r="CN848" s="107"/>
      <c r="CO848" s="107"/>
      <c r="CP848" s="107"/>
      <c r="CQ848" s="107"/>
      <c r="CR848" s="107"/>
      <c r="CS848" s="107"/>
      <c r="CT848" s="107"/>
      <c r="CU848" s="107"/>
      <c r="CV848" s="107"/>
    </row>
    <row r="849" customFormat="false" ht="14.9" hidden="false" customHeight="false" outlineLevel="0" collapsed="false">
      <c r="A849" s="74" t="n">
        <f aca="false">MONTH(B849)</f>
        <v>10</v>
      </c>
      <c r="B849" s="135" t="n">
        <v>44477</v>
      </c>
      <c r="C849" s="128" t="s">
        <v>70</v>
      </c>
      <c r="D849" s="77" t="str">
        <f aca="false">IFERROR(VLOOKUP(E:E,'Item Data Support Sheet'!A:O,7,0),"")</f>
        <v>CAP MOLDED</v>
      </c>
      <c r="E849" s="80" t="s">
        <v>199</v>
      </c>
      <c r="F849" s="122"/>
      <c r="G849" s="137" t="s">
        <v>1478</v>
      </c>
      <c r="H849" s="79" t="str">
        <f aca="false">IFERROR(VLOOKUP(E:E,'Item Data Support Sheet'!A:O,2,0),"")</f>
        <v>CAP S TYPE MOLDED RED</v>
      </c>
      <c r="I849" s="80" t="s">
        <v>1606</v>
      </c>
      <c r="J849" s="80" t="s">
        <v>155</v>
      </c>
      <c r="K849" s="124" t="n">
        <v>8</v>
      </c>
      <c r="L849" s="124" t="n">
        <v>4137</v>
      </c>
      <c r="M849" s="83" t="n">
        <v>517.125</v>
      </c>
      <c r="N849" s="84" t="n">
        <f aca="false">+O849+Q849+T849+U849</f>
        <v>3246</v>
      </c>
      <c r="O849" s="85" t="n">
        <v>3246</v>
      </c>
      <c r="P849" s="86" t="n">
        <v>0.6</v>
      </c>
      <c r="Q849" s="86" t="n">
        <v>0</v>
      </c>
      <c r="R849" s="132" t="n">
        <v>0</v>
      </c>
      <c r="S849" s="128" t="n">
        <v>0</v>
      </c>
      <c r="T849" s="132" t="n">
        <v>0</v>
      </c>
      <c r="U849" s="128" t="n">
        <v>0</v>
      </c>
      <c r="V849" s="128" t="n">
        <v>1</v>
      </c>
      <c r="W849" s="90" t="n">
        <f aca="false">IFERROR(O849/V849,0)</f>
        <v>3246</v>
      </c>
      <c r="X849" s="91" t="n">
        <f aca="false">O849/L849</f>
        <v>0.784626540971719</v>
      </c>
      <c r="Y849" s="92" t="str">
        <f aca="false">IFERROR(VLOOKUP(E:E,'Item Data Support Sheet'!A:J,6,0),0)</f>
        <v>FO153</v>
      </c>
      <c r="Z849" s="93" t="n">
        <f aca="false">IFERROR(VLOOKUP(E:E,'Item Data Support Sheet'!A:O,4,0),0)</f>
        <v>7.3</v>
      </c>
      <c r="AA849" s="93" t="n">
        <f aca="false">IFERROR(((N849)*(Z849/1000))+P849,0)</f>
        <v>24.2958</v>
      </c>
      <c r="AB849" s="94" t="n">
        <f aca="false">IFERROR((O849*(Z849/1000)/(AA849))," ")</f>
        <v>0.975304373595436</v>
      </c>
      <c r="AC849" s="95" t="n">
        <f aca="false">IFERROR((T849)/((T849)+O849),0)</f>
        <v>0</v>
      </c>
      <c r="AD849" s="96" t="n">
        <f aca="false">IFERROR(Q849/(Q849+N849),0)</f>
        <v>0</v>
      </c>
      <c r="AE849" s="91" t="n">
        <f aca="false">(N849-T849)/N849</f>
        <v>1</v>
      </c>
      <c r="AF849" s="97" t="n">
        <f aca="false">BR849</f>
        <v>2.33333333333333</v>
      </c>
      <c r="AG849" s="98" t="n">
        <f aca="false">K849-AF849</f>
        <v>5.66666666666667</v>
      </c>
      <c r="AH849" s="99" t="n">
        <f aca="false">IFERROR(AG849/K849," ")</f>
        <v>0.708333333333334</v>
      </c>
      <c r="AI849" s="100" t="n">
        <f aca="false">IFERROR(O849/K849,0)</f>
        <v>405.75</v>
      </c>
      <c r="AJ849" s="101" t="n">
        <f aca="false">VLOOKUP(D849,'Standard Cycle time'!C:D,2,0)</f>
        <v>6</v>
      </c>
      <c r="AK849" s="101" t="n">
        <f aca="false">AG849*V849*3600/O849</f>
        <v>6.28465804066544</v>
      </c>
      <c r="AL849" s="102" t="n">
        <f aca="false">AJ849/AK849</f>
        <v>0.954705882352941</v>
      </c>
      <c r="AM849" s="99" t="n">
        <f aca="false">AE849*AL849*AH849</f>
        <v>0.67625</v>
      </c>
      <c r="AN849" s="103" t="n">
        <v>0.67625</v>
      </c>
      <c r="AO849" s="112"/>
      <c r="AP849" s="105" t="n">
        <v>0</v>
      </c>
      <c r="AQ849" s="105" t="n">
        <v>0</v>
      </c>
      <c r="AR849" s="105" t="n">
        <v>0</v>
      </c>
      <c r="AS849" s="105" t="n">
        <v>0</v>
      </c>
      <c r="AT849" s="105" t="n">
        <v>0</v>
      </c>
      <c r="AU849" s="105" t="n">
        <v>0</v>
      </c>
      <c r="AV849" s="105" t="n">
        <v>60</v>
      </c>
      <c r="AW849" s="105" t="n">
        <v>30</v>
      </c>
      <c r="AX849" s="105" t="n">
        <v>0</v>
      </c>
      <c r="AY849" s="105" t="n">
        <v>0</v>
      </c>
      <c r="AZ849" s="105" t="n">
        <v>50</v>
      </c>
      <c r="BA849" s="105" t="n">
        <v>0</v>
      </c>
      <c r="BB849" s="105" t="n">
        <v>0</v>
      </c>
      <c r="BC849" s="105" t="n">
        <v>0</v>
      </c>
      <c r="BD849" s="105" t="n">
        <v>0</v>
      </c>
      <c r="BE849" s="105" t="n">
        <v>0</v>
      </c>
      <c r="BF849" s="105" t="n">
        <v>0</v>
      </c>
      <c r="BG849" s="105" t="n">
        <v>0</v>
      </c>
      <c r="BH849" s="105" t="n">
        <v>0</v>
      </c>
      <c r="BI849" s="105" t="n">
        <v>0</v>
      </c>
      <c r="BJ849" s="105" t="n">
        <v>0</v>
      </c>
      <c r="BK849" s="105" t="n">
        <v>0</v>
      </c>
      <c r="BL849" s="105" t="n">
        <v>0</v>
      </c>
      <c r="BM849" s="105" t="n">
        <v>0</v>
      </c>
      <c r="BN849" s="105" t="n">
        <v>0</v>
      </c>
      <c r="BO849" s="105" t="n">
        <v>0</v>
      </c>
      <c r="BP849" s="105" t="n">
        <v>0</v>
      </c>
      <c r="BQ849" s="105" t="n">
        <v>0</v>
      </c>
      <c r="BR849" s="106" t="n">
        <v>2.33333333333333</v>
      </c>
      <c r="BS849" s="106" t="n">
        <v>2.33333333333333</v>
      </c>
      <c r="BT849" s="107"/>
      <c r="BU849" s="107"/>
      <c r="BV849" s="107"/>
      <c r="BW849" s="107"/>
      <c r="BX849" s="107"/>
      <c r="BY849" s="107"/>
      <c r="BZ849" s="107"/>
      <c r="CA849" s="107"/>
      <c r="CB849" s="107"/>
      <c r="CC849" s="107"/>
      <c r="CD849" s="107"/>
      <c r="CE849" s="107"/>
      <c r="CF849" s="107"/>
      <c r="CG849" s="107"/>
      <c r="CH849" s="107"/>
      <c r="CI849" s="107"/>
      <c r="CJ849" s="107"/>
      <c r="CK849" s="107"/>
      <c r="CL849" s="107"/>
      <c r="CM849" s="107"/>
      <c r="CN849" s="107"/>
      <c r="CO849" s="107"/>
      <c r="CP849" s="107"/>
      <c r="CQ849" s="107"/>
      <c r="CR849" s="107"/>
      <c r="CS849" s="107"/>
      <c r="CT849" s="107"/>
      <c r="CU849" s="107"/>
      <c r="CV849" s="107"/>
    </row>
    <row r="850" customFormat="false" ht="14.9" hidden="false" customHeight="false" outlineLevel="0" collapsed="false">
      <c r="A850" s="74" t="n">
        <f aca="false">MONTH(B850)</f>
        <v>10</v>
      </c>
      <c r="B850" s="135" t="n">
        <v>44477</v>
      </c>
      <c r="C850" s="128" t="s">
        <v>70</v>
      </c>
      <c r="D850" s="77" t="str">
        <f aca="false">IFERROR(VLOOKUP(E:E,'Item Data Support Sheet'!A:O,7,0),"")</f>
        <v>NIPPLE MOLDED</v>
      </c>
      <c r="E850" s="80" t="s">
        <v>661</v>
      </c>
      <c r="F850" s="122" t="s">
        <v>137</v>
      </c>
      <c r="G850" s="137" t="s">
        <v>138</v>
      </c>
      <c r="H850" s="79" t="str">
        <f aca="false">IFERROR(VLOOKUP(E:E,'Item Data Support Sheet'!A:O,2,0),"")</f>
        <v>NIPPLE S TYPE L SIZE INJECTION</v>
      </c>
      <c r="I850" s="80" t="s">
        <v>1607</v>
      </c>
      <c r="J850" s="80" t="s">
        <v>155</v>
      </c>
      <c r="K850" s="124" t="n">
        <v>8</v>
      </c>
      <c r="L850" s="124" t="n">
        <v>4815</v>
      </c>
      <c r="M850" s="83" t="n">
        <v>601.875</v>
      </c>
      <c r="N850" s="84" t="n">
        <f aca="false">+O850+Q850+T850+U850</f>
        <v>5370</v>
      </c>
      <c r="O850" s="85" t="n">
        <v>5200</v>
      </c>
      <c r="P850" s="86" t="n">
        <v>0</v>
      </c>
      <c r="Q850" s="86" t="n">
        <v>91</v>
      </c>
      <c r="R850" s="132" t="n">
        <v>0</v>
      </c>
      <c r="S850" s="128" t="n">
        <v>0</v>
      </c>
      <c r="T850" s="132" t="n">
        <v>79</v>
      </c>
      <c r="U850" s="128" t="n">
        <v>0</v>
      </c>
      <c r="V850" s="128" t="n">
        <v>1</v>
      </c>
      <c r="W850" s="90" t="n">
        <f aca="false">IFERROR(O850/V850,0)</f>
        <v>5200</v>
      </c>
      <c r="X850" s="91" t="n">
        <f aca="false">O850/L850</f>
        <v>1.07995846313603</v>
      </c>
      <c r="Y850" s="92" t="str">
        <f aca="false">IFERROR(VLOOKUP(E:E,'Item Data Support Sheet'!A:J,6,0),0)</f>
        <v>Silicon</v>
      </c>
      <c r="Z850" s="93" t="n">
        <f aca="false">IFERROR(VLOOKUP(E:E,'Item Data Support Sheet'!A:O,4,0),0)</f>
        <v>6.8</v>
      </c>
      <c r="AA850" s="93" t="n">
        <f aca="false">IFERROR(((N850)*(Z850/1000))+P850,0)</f>
        <v>36.516</v>
      </c>
      <c r="AB850" s="94" t="n">
        <f aca="false">IFERROR((O850*(Z850/1000)/(AA850))," ")</f>
        <v>0.968342644320298</v>
      </c>
      <c r="AC850" s="95" t="n">
        <f aca="false">IFERROR((T850)/((T850)+O850),0)</f>
        <v>0.0149649554839932</v>
      </c>
      <c r="AD850" s="96" t="n">
        <f aca="false">IFERROR(Q850/(Q850+N850),0)</f>
        <v>0.0166636147225783</v>
      </c>
      <c r="AE850" s="91" t="n">
        <f aca="false">(N850-T850)/N850</f>
        <v>0.985288640595903</v>
      </c>
      <c r="AF850" s="97" t="n">
        <f aca="false">BR850</f>
        <v>0</v>
      </c>
      <c r="AG850" s="98" t="n">
        <f aca="false">K850-AF850</f>
        <v>8</v>
      </c>
      <c r="AH850" s="99" t="n">
        <f aca="false">IFERROR(AG850/K850," ")</f>
        <v>1</v>
      </c>
      <c r="AI850" s="100" t="n">
        <f aca="false">IFERROR(O850/K850,0)</f>
        <v>650</v>
      </c>
      <c r="AJ850" s="101" t="n">
        <f aca="false">VLOOKUP(D850,'Standard Cycle time'!C:D,2,0)</f>
        <v>5.25</v>
      </c>
      <c r="AK850" s="101" t="n">
        <f aca="false">AG850*V850*3600/O850</f>
        <v>5.53846153846154</v>
      </c>
      <c r="AL850" s="102" t="n">
        <f aca="false">AJ850/AK850</f>
        <v>0.947916666666667</v>
      </c>
      <c r="AM850" s="99" t="n">
        <f aca="false">AE850*AL850*AH850</f>
        <v>0.9339715238982</v>
      </c>
      <c r="AN850" s="103" t="n">
        <v>0.9339715238982</v>
      </c>
      <c r="AO850" s="112"/>
      <c r="AP850" s="105" t="n">
        <v>0</v>
      </c>
      <c r="AQ850" s="105" t="n">
        <v>0</v>
      </c>
      <c r="AR850" s="105" t="n">
        <v>0</v>
      </c>
      <c r="AS850" s="105" t="n">
        <v>0</v>
      </c>
      <c r="AT850" s="105" t="n">
        <v>0</v>
      </c>
      <c r="AU850" s="105" t="n">
        <v>0</v>
      </c>
      <c r="AV850" s="105" t="n">
        <v>0</v>
      </c>
      <c r="AW850" s="105" t="n">
        <v>0</v>
      </c>
      <c r="AX850" s="105" t="n">
        <v>0</v>
      </c>
      <c r="AY850" s="105" t="n">
        <v>0</v>
      </c>
      <c r="AZ850" s="105" t="n">
        <v>0</v>
      </c>
      <c r="BA850" s="105" t="n">
        <v>0</v>
      </c>
      <c r="BB850" s="105" t="n">
        <v>0</v>
      </c>
      <c r="BC850" s="105" t="n">
        <v>0</v>
      </c>
      <c r="BD850" s="105" t="n">
        <v>0</v>
      </c>
      <c r="BE850" s="105" t="n">
        <v>0</v>
      </c>
      <c r="BF850" s="105" t="n">
        <v>0</v>
      </c>
      <c r="BG850" s="105" t="n">
        <v>0</v>
      </c>
      <c r="BH850" s="105" t="n">
        <v>0</v>
      </c>
      <c r="BI850" s="105" t="n">
        <v>0</v>
      </c>
      <c r="BJ850" s="105" t="n">
        <v>0</v>
      </c>
      <c r="BK850" s="105" t="n">
        <v>0</v>
      </c>
      <c r="BL850" s="105" t="n">
        <v>0</v>
      </c>
      <c r="BM850" s="105" t="n">
        <v>0</v>
      </c>
      <c r="BN850" s="105" t="n">
        <v>0</v>
      </c>
      <c r="BO850" s="105" t="n">
        <v>0</v>
      </c>
      <c r="BP850" s="105" t="n">
        <v>0</v>
      </c>
      <c r="BQ850" s="105" t="n">
        <v>0</v>
      </c>
      <c r="BR850" s="106"/>
      <c r="BS850" s="106"/>
      <c r="BT850" s="107"/>
      <c r="BU850" s="107"/>
      <c r="BV850" s="107"/>
      <c r="BW850" s="107"/>
      <c r="BX850" s="107"/>
      <c r="BY850" s="107"/>
      <c r="BZ850" s="107"/>
      <c r="CA850" s="107"/>
      <c r="CB850" s="107"/>
      <c r="CC850" s="107"/>
      <c r="CD850" s="107"/>
      <c r="CE850" s="107"/>
      <c r="CF850" s="107"/>
      <c r="CG850" s="107"/>
      <c r="CH850" s="107"/>
      <c r="CI850" s="107"/>
      <c r="CJ850" s="107"/>
      <c r="CK850" s="107"/>
      <c r="CL850" s="107"/>
      <c r="CM850" s="107"/>
      <c r="CN850" s="107"/>
      <c r="CO850" s="107"/>
      <c r="CP850" s="107"/>
      <c r="CQ850" s="107"/>
      <c r="CR850" s="107"/>
      <c r="CS850" s="107"/>
      <c r="CT850" s="107"/>
      <c r="CU850" s="107"/>
      <c r="CV850" s="107"/>
    </row>
    <row r="851" customFormat="false" ht="14.9" hidden="false" customHeight="false" outlineLevel="0" collapsed="false">
      <c r="A851" s="74" t="n">
        <f aca="false">MONTH(B851)</f>
        <v>10</v>
      </c>
      <c r="B851" s="135" t="n">
        <v>44477</v>
      </c>
      <c r="C851" s="128" t="s">
        <v>70</v>
      </c>
      <c r="D851" s="77" t="str">
        <f aca="false">IFERROR(VLOOKUP(E:E,'Item Data Support Sheet'!A:O,7,0),"")</f>
        <v>BOTTLE MOLDED</v>
      </c>
      <c r="E851" s="80" t="s">
        <v>235</v>
      </c>
      <c r="F851" s="122" t="s">
        <v>216</v>
      </c>
      <c r="G851" s="137" t="s">
        <v>74</v>
      </c>
      <c r="H851" s="79" t="str">
        <f aca="false">IFERROR(VLOOKUP(E:E,'Item Data Support Sheet'!A:O,2,0),"")</f>
        <v>KPP 200 ML BOTTLE MOLDED</v>
      </c>
      <c r="I851" s="80" t="s">
        <v>1608</v>
      </c>
      <c r="J851" s="80" t="s">
        <v>155</v>
      </c>
      <c r="K851" s="124" t="n">
        <v>8</v>
      </c>
      <c r="L851" s="124" t="n">
        <v>2574</v>
      </c>
      <c r="M851" s="83" t="n">
        <v>321.75</v>
      </c>
      <c r="N851" s="84" t="n">
        <f aca="false">+O851+Q851+T851+U851</f>
        <v>2908</v>
      </c>
      <c r="O851" s="85" t="n">
        <v>2808</v>
      </c>
      <c r="P851" s="86" t="n">
        <v>0</v>
      </c>
      <c r="Q851" s="86" t="n">
        <v>38</v>
      </c>
      <c r="R851" s="132" t="n">
        <v>0</v>
      </c>
      <c r="S851" s="128" t="n">
        <v>0</v>
      </c>
      <c r="T851" s="132" t="n">
        <v>62</v>
      </c>
      <c r="U851" s="128" t="n">
        <v>0</v>
      </c>
      <c r="V851" s="128" t="n">
        <v>1</v>
      </c>
      <c r="W851" s="90" t="n">
        <f aca="false">IFERROR(O851/V851,0)</f>
        <v>2808</v>
      </c>
      <c r="X851" s="91" t="n">
        <f aca="false">O851/L851</f>
        <v>1.09090909090909</v>
      </c>
      <c r="Y851" s="92" t="str">
        <f aca="false">IFERROR(VLOOKUP(E:E,'Item Data Support Sheet'!A:J,6,0),0)</f>
        <v>HMC</v>
      </c>
      <c r="Z851" s="93" t="n">
        <f aca="false">IFERROR(VLOOKUP(E:E,'Item Data Support Sheet'!A:O,4,0),0)</f>
        <v>28.1</v>
      </c>
      <c r="AA851" s="93" t="n">
        <f aca="false">IFERROR(((N851)*(Z851/1000))+P851,0)</f>
        <v>81.7148</v>
      </c>
      <c r="AB851" s="94" t="n">
        <f aca="false">IFERROR((O851*(Z851/1000)/(AA851))," ")</f>
        <v>0.965612104539202</v>
      </c>
      <c r="AC851" s="95" t="n">
        <f aca="false">IFERROR((T851)/((T851)+O851),0)</f>
        <v>0.021602787456446</v>
      </c>
      <c r="AD851" s="96" t="n">
        <f aca="false">IFERROR(Q851/(Q851+N851),0)</f>
        <v>0.0128988458927359</v>
      </c>
      <c r="AE851" s="91" t="n">
        <f aca="false">(N851-T851)/N851</f>
        <v>0.978679504814305</v>
      </c>
      <c r="AF851" s="97" t="n">
        <f aca="false">BR851</f>
        <v>0</v>
      </c>
      <c r="AG851" s="98" t="n">
        <f aca="false">K851-AF851</f>
        <v>8</v>
      </c>
      <c r="AH851" s="99" t="n">
        <f aca="false">IFERROR(AG851/K851," ")</f>
        <v>1</v>
      </c>
      <c r="AI851" s="100" t="n">
        <f aca="false">IFERROR(O851/K851,0)</f>
        <v>351</v>
      </c>
      <c r="AJ851" s="101" t="n">
        <f aca="false">VLOOKUP(D851,'Standard Cycle time'!C:D,2,0)</f>
        <v>9</v>
      </c>
      <c r="AK851" s="101" t="n">
        <f aca="false">AG851*V851*3600/O851</f>
        <v>10.2564102564103</v>
      </c>
      <c r="AL851" s="102" t="n">
        <f aca="false">AJ851/AK851</f>
        <v>0.8775</v>
      </c>
      <c r="AM851" s="99" t="n">
        <f aca="false">AE851*AL851*AH851</f>
        <v>0.858791265474553</v>
      </c>
      <c r="AN851" s="103" t="n">
        <v>0.858791265474553</v>
      </c>
      <c r="AO851" s="112"/>
      <c r="AP851" s="105" t="n">
        <v>0</v>
      </c>
      <c r="AQ851" s="105" t="n">
        <v>0</v>
      </c>
      <c r="AR851" s="105" t="n">
        <v>0</v>
      </c>
      <c r="AS851" s="105" t="n">
        <v>0</v>
      </c>
      <c r="AT851" s="105" t="n">
        <v>0</v>
      </c>
      <c r="AU851" s="105" t="n">
        <v>0</v>
      </c>
      <c r="AV851" s="105" t="n">
        <v>0</v>
      </c>
      <c r="AW851" s="105" t="n">
        <v>0</v>
      </c>
      <c r="AX851" s="105" t="n">
        <v>0</v>
      </c>
      <c r="AY851" s="105" t="n">
        <v>0</v>
      </c>
      <c r="AZ851" s="105" t="n">
        <v>0</v>
      </c>
      <c r="BA851" s="105" t="n">
        <v>0</v>
      </c>
      <c r="BB851" s="105" t="n">
        <v>0</v>
      </c>
      <c r="BC851" s="105" t="n">
        <v>0</v>
      </c>
      <c r="BD851" s="105" t="n">
        <v>0</v>
      </c>
      <c r="BE851" s="105" t="n">
        <v>0</v>
      </c>
      <c r="BF851" s="105" t="n">
        <v>0</v>
      </c>
      <c r="BG851" s="105" t="n">
        <v>0</v>
      </c>
      <c r="BH851" s="105" t="n">
        <v>0</v>
      </c>
      <c r="BI851" s="105" t="n">
        <v>0</v>
      </c>
      <c r="BJ851" s="105" t="n">
        <v>0</v>
      </c>
      <c r="BK851" s="105" t="n">
        <v>0</v>
      </c>
      <c r="BL851" s="105" t="n">
        <v>0</v>
      </c>
      <c r="BM851" s="105" t="n">
        <v>0</v>
      </c>
      <c r="BN851" s="105" t="n">
        <v>0</v>
      </c>
      <c r="BO851" s="105" t="n">
        <v>0</v>
      </c>
      <c r="BP851" s="105" t="n">
        <v>0</v>
      </c>
      <c r="BQ851" s="105" t="n">
        <v>0</v>
      </c>
      <c r="BR851" s="106" t="n">
        <v>0</v>
      </c>
      <c r="BS851" s="106" t="n">
        <v>0</v>
      </c>
      <c r="BT851" s="107"/>
      <c r="BU851" s="107"/>
      <c r="BV851" s="107"/>
      <c r="BW851" s="107"/>
      <c r="BX851" s="107"/>
      <c r="BY851" s="107"/>
      <c r="BZ851" s="107"/>
      <c r="CA851" s="107"/>
      <c r="CB851" s="107"/>
      <c r="CC851" s="107"/>
      <c r="CD851" s="107"/>
      <c r="CE851" s="107"/>
      <c r="CF851" s="107"/>
      <c r="CG851" s="107"/>
      <c r="CH851" s="107"/>
      <c r="CI851" s="107"/>
      <c r="CJ851" s="107"/>
      <c r="CK851" s="107"/>
      <c r="CL851" s="107"/>
      <c r="CM851" s="107"/>
      <c r="CN851" s="107"/>
      <c r="CO851" s="107"/>
      <c r="CP851" s="107"/>
      <c r="CQ851" s="107"/>
      <c r="CR851" s="107"/>
      <c r="CS851" s="107"/>
      <c r="CT851" s="107"/>
      <c r="CU851" s="107"/>
      <c r="CV851" s="107"/>
    </row>
    <row r="852" customFormat="false" ht="14.9" hidden="false" customHeight="false" outlineLevel="0" collapsed="false">
      <c r="A852" s="74" t="n">
        <f aca="false">MONTH(B852)</f>
        <v>10</v>
      </c>
      <c r="B852" s="135" t="n">
        <v>44477</v>
      </c>
      <c r="C852" s="128" t="s">
        <v>70</v>
      </c>
      <c r="D852" s="77" t="str">
        <f aca="false">IFERROR(VLOOKUP(E:E,'Item Data Support Sheet'!A:O,7,0),"")</f>
        <v>BOTTLE PRINTED</v>
      </c>
      <c r="E852" s="80" t="s">
        <v>691</v>
      </c>
      <c r="F852" s="122"/>
      <c r="G852" s="137" t="s">
        <v>66</v>
      </c>
      <c r="H852" s="79" t="str">
        <f aca="false">IFERROR(VLOOKUP(E:E,'Item Data Support Sheet'!A:O,2,0),"")</f>
        <v>KPP 120 ML BOTTLE PRINTED</v>
      </c>
      <c r="I852" s="80" t="s">
        <v>1590</v>
      </c>
      <c r="J852" s="80" t="s">
        <v>161</v>
      </c>
      <c r="K852" s="124" t="n">
        <v>8</v>
      </c>
      <c r="L852" s="124" t="n">
        <v>5123</v>
      </c>
      <c r="M852" s="83" t="n">
        <v>640.375</v>
      </c>
      <c r="N852" s="84" t="n">
        <f aca="false">+O852+Q852+T852+U852</f>
        <v>5438</v>
      </c>
      <c r="O852" s="85" t="n">
        <v>5400</v>
      </c>
      <c r="P852" s="86" t="n">
        <v>0</v>
      </c>
      <c r="Q852" s="86" t="n">
        <v>0</v>
      </c>
      <c r="R852" s="132" t="n">
        <v>43</v>
      </c>
      <c r="S852" s="128" t="n">
        <v>0</v>
      </c>
      <c r="T852" s="132" t="n">
        <v>38</v>
      </c>
      <c r="U852" s="128" t="n">
        <v>0</v>
      </c>
      <c r="V852" s="128" t="n">
        <v>5</v>
      </c>
      <c r="W852" s="90" t="n">
        <f aca="false">IFERROR(O852/V852,0)</f>
        <v>1080</v>
      </c>
      <c r="X852" s="91" t="n">
        <f aca="false">O852/L852</f>
        <v>1.05406988092914</v>
      </c>
      <c r="Y852" s="92" t="str">
        <f aca="false">IFERROR(VLOOKUP(E:E,'Item Data Support Sheet'!A:J,6,0),0)</f>
        <v>FO001</v>
      </c>
      <c r="Z852" s="93" t="n">
        <f aca="false">IFERROR(VLOOKUP(E:E,'Item Data Support Sheet'!A:O,4,0),0)</f>
        <v>0</v>
      </c>
      <c r="AA852" s="93" t="n">
        <f aca="false">IFERROR(((N852)*(Z852/1000))+P852,0)</f>
        <v>0</v>
      </c>
      <c r="AB852" s="94" t="str">
        <f aca="false">IFERROR((O852*(Z852/1000)/(AA852))," ")</f>
        <v> </v>
      </c>
      <c r="AC852" s="95" t="n">
        <f aca="false">IFERROR((T852)/((T852)+O852),0)</f>
        <v>0.00698786318499448</v>
      </c>
      <c r="AD852" s="96" t="n">
        <f aca="false">IFERROR(Q852/(Q852+N852),0)</f>
        <v>0</v>
      </c>
      <c r="AE852" s="91" t="n">
        <f aca="false">(N852-T852)/N852</f>
        <v>0.993012136815005</v>
      </c>
      <c r="AF852" s="97" t="n">
        <f aca="false">BR852</f>
        <v>0</v>
      </c>
      <c r="AG852" s="98" t="n">
        <f aca="false">K852-AF852</f>
        <v>8</v>
      </c>
      <c r="AH852" s="99" t="n">
        <f aca="false">IFERROR(AG852/K852," ")</f>
        <v>1</v>
      </c>
      <c r="AI852" s="100" t="n">
        <f aca="false">IFERROR(O852/K852,0)</f>
        <v>675</v>
      </c>
      <c r="AJ852" s="101" t="n">
        <f aca="false">VLOOKUP(D852,'Standard Cycle time'!C:D,2,0)</f>
        <v>32.4</v>
      </c>
      <c r="AK852" s="101" t="n">
        <f aca="false">AG852*V852*3600/O852</f>
        <v>26.6666666666667</v>
      </c>
      <c r="AL852" s="102" t="n">
        <f aca="false">AJ852/AK852</f>
        <v>1.215</v>
      </c>
      <c r="AM852" s="99" t="n">
        <f aca="false">AE852*AL852*AH852</f>
        <v>1.20650974623023</v>
      </c>
      <c r="AN852" s="103" t="n">
        <v>1.20650974623023</v>
      </c>
      <c r="AO852" s="112"/>
      <c r="AP852" s="105" t="n">
        <v>0</v>
      </c>
      <c r="AQ852" s="105" t="n">
        <v>0</v>
      </c>
      <c r="AR852" s="105" t="n">
        <v>0</v>
      </c>
      <c r="AS852" s="105" t="n">
        <v>0</v>
      </c>
      <c r="AT852" s="105" t="n">
        <v>0</v>
      </c>
      <c r="AU852" s="105" t="n">
        <v>0</v>
      </c>
      <c r="AV852" s="105" t="n">
        <v>0</v>
      </c>
      <c r="AW852" s="105" t="n">
        <v>0</v>
      </c>
      <c r="AX852" s="105" t="n">
        <v>0</v>
      </c>
      <c r="AY852" s="105" t="n">
        <v>0</v>
      </c>
      <c r="AZ852" s="105" t="n">
        <v>0</v>
      </c>
      <c r="BA852" s="105" t="n">
        <v>0</v>
      </c>
      <c r="BB852" s="105" t="n">
        <v>0</v>
      </c>
      <c r="BC852" s="105" t="n">
        <v>0</v>
      </c>
      <c r="BD852" s="105" t="n">
        <v>0</v>
      </c>
      <c r="BE852" s="105" t="n">
        <v>0</v>
      </c>
      <c r="BF852" s="105" t="n">
        <v>0</v>
      </c>
      <c r="BG852" s="105" t="n">
        <v>0</v>
      </c>
      <c r="BH852" s="105" t="n">
        <v>0</v>
      </c>
      <c r="BI852" s="105" t="n">
        <v>0</v>
      </c>
      <c r="BJ852" s="105" t="n">
        <v>0</v>
      </c>
      <c r="BK852" s="105" t="n">
        <v>0</v>
      </c>
      <c r="BL852" s="105" t="n">
        <v>0</v>
      </c>
      <c r="BM852" s="105" t="n">
        <v>0</v>
      </c>
      <c r="BN852" s="105" t="n">
        <v>0</v>
      </c>
      <c r="BO852" s="105" t="n">
        <v>0</v>
      </c>
      <c r="BP852" s="105" t="n">
        <v>0</v>
      </c>
      <c r="BQ852" s="105" t="n">
        <v>0</v>
      </c>
      <c r="BR852" s="106" t="n">
        <v>0</v>
      </c>
      <c r="BS852" s="106" t="n">
        <v>0</v>
      </c>
      <c r="BT852" s="107"/>
      <c r="BU852" s="107"/>
      <c r="BV852" s="107"/>
      <c r="BW852" s="107"/>
      <c r="BX852" s="107"/>
      <c r="BY852" s="107"/>
      <c r="BZ852" s="107"/>
      <c r="CA852" s="107"/>
      <c r="CB852" s="107"/>
      <c r="CC852" s="107"/>
      <c r="CD852" s="107"/>
      <c r="CE852" s="107"/>
      <c r="CF852" s="107"/>
      <c r="CG852" s="107"/>
      <c r="CH852" s="107"/>
      <c r="CI852" s="107"/>
      <c r="CJ852" s="107"/>
      <c r="CK852" s="107"/>
      <c r="CL852" s="107"/>
      <c r="CM852" s="107"/>
      <c r="CN852" s="107"/>
      <c r="CO852" s="107"/>
      <c r="CP852" s="107"/>
      <c r="CQ852" s="107"/>
      <c r="CR852" s="107"/>
      <c r="CS852" s="107"/>
      <c r="CT852" s="107"/>
      <c r="CU852" s="107"/>
      <c r="CV852" s="107"/>
    </row>
    <row r="853" customFormat="false" ht="14.9" hidden="false" customHeight="false" outlineLevel="0" collapsed="false">
      <c r="A853" s="74" t="n">
        <f aca="false">MONTH(B853)</f>
        <v>10</v>
      </c>
      <c r="B853" s="135" t="n">
        <v>44477</v>
      </c>
      <c r="C853" s="128" t="s">
        <v>152</v>
      </c>
      <c r="D853" s="77" t="str">
        <f aca="false">IFERROR(VLOOKUP(E:E,'Item Data Support Sheet'!A:O,7,0),"")</f>
        <v>CAP MOLDED</v>
      </c>
      <c r="E853" s="80" t="s">
        <v>343</v>
      </c>
      <c r="F853" s="122"/>
      <c r="G853" s="137" t="s">
        <v>1478</v>
      </c>
      <c r="H853" s="79" t="str">
        <f aca="false">IFERROR(VLOOKUP(E:E,'Item Data Support Sheet'!A:O,2,0),"")</f>
        <v>CAP S TYPE MOLDED BLUE</v>
      </c>
      <c r="I853" s="80" t="s">
        <v>1609</v>
      </c>
      <c r="J853" s="80" t="s">
        <v>143</v>
      </c>
      <c r="K853" s="124" t="n">
        <v>8</v>
      </c>
      <c r="L853" s="124" t="n">
        <v>4137</v>
      </c>
      <c r="M853" s="83" t="n">
        <v>517.125</v>
      </c>
      <c r="N853" s="84" t="n">
        <f aca="false">+O853+Q853+T853+U853</f>
        <v>4610</v>
      </c>
      <c r="O853" s="85" t="n">
        <v>4600</v>
      </c>
      <c r="P853" s="86" t="n">
        <v>0</v>
      </c>
      <c r="Q853" s="86" t="n">
        <v>0</v>
      </c>
      <c r="R853" s="132" t="n">
        <v>0</v>
      </c>
      <c r="S853" s="128" t="n">
        <v>0</v>
      </c>
      <c r="T853" s="132" t="n">
        <v>2</v>
      </c>
      <c r="U853" s="128" t="n">
        <v>8</v>
      </c>
      <c r="V853" s="128" t="n">
        <v>1</v>
      </c>
      <c r="W853" s="90" t="n">
        <f aca="false">IFERROR(O853/V853,0)</f>
        <v>4600</v>
      </c>
      <c r="X853" s="91" t="n">
        <f aca="false">O853/L853</f>
        <v>1.11191684795746</v>
      </c>
      <c r="Y853" s="92" t="str">
        <f aca="false">IFERROR(VLOOKUP(E:E,'Item Data Support Sheet'!A:J,6,0),0)</f>
        <v>RM000114</v>
      </c>
      <c r="Z853" s="93" t="n">
        <f aca="false">IFERROR(VLOOKUP(E:E,'Item Data Support Sheet'!A:O,4,0),0)</f>
        <v>7.3</v>
      </c>
      <c r="AA853" s="93" t="n">
        <f aca="false">IFERROR(((N853)*(Z853/1000))+P853,0)</f>
        <v>33.653</v>
      </c>
      <c r="AB853" s="94" t="n">
        <f aca="false">IFERROR((O853*(Z853/1000)/(AA853))," ")</f>
        <v>0.997830802603037</v>
      </c>
      <c r="AC853" s="95" t="n">
        <f aca="false">IFERROR((T853)/((T853)+O853),0)</f>
        <v>0.000434593654932638</v>
      </c>
      <c r="AD853" s="96" t="n">
        <f aca="false">IFERROR(Q853/(Q853+N853),0)</f>
        <v>0</v>
      </c>
      <c r="AE853" s="91" t="n">
        <f aca="false">(N853-T853)/N853</f>
        <v>0.999566160520607</v>
      </c>
      <c r="AF853" s="97" t="n">
        <f aca="false">BR853</f>
        <v>0</v>
      </c>
      <c r="AG853" s="98" t="n">
        <f aca="false">K853-AF853</f>
        <v>8</v>
      </c>
      <c r="AH853" s="99" t="n">
        <f aca="false">IFERROR(AG853/K853," ")</f>
        <v>1</v>
      </c>
      <c r="AI853" s="100" t="n">
        <f aca="false">IFERROR(O853/K853,0)</f>
        <v>575</v>
      </c>
      <c r="AJ853" s="101" t="n">
        <f aca="false">VLOOKUP(D853,'Standard Cycle time'!C:D,2,0)</f>
        <v>6</v>
      </c>
      <c r="AK853" s="101" t="n">
        <f aca="false">AG853*V853*3600/O853</f>
        <v>6.26086956521739</v>
      </c>
      <c r="AL853" s="102" t="n">
        <f aca="false">AJ853/AK853</f>
        <v>0.958333333333333</v>
      </c>
      <c r="AM853" s="99" t="n">
        <f aca="false">AE853*AL853*AH853</f>
        <v>0.957917570498915</v>
      </c>
      <c r="AN853" s="103" t="n">
        <v>0.957917570498915</v>
      </c>
      <c r="AO853" s="112"/>
      <c r="AP853" s="105" t="n">
        <v>0</v>
      </c>
      <c r="AQ853" s="105" t="n">
        <v>0</v>
      </c>
      <c r="AR853" s="105" t="n">
        <v>0</v>
      </c>
      <c r="AS853" s="105" t="n">
        <v>0</v>
      </c>
      <c r="AT853" s="105" t="n">
        <v>0</v>
      </c>
      <c r="AU853" s="105" t="n">
        <v>0</v>
      </c>
      <c r="AV853" s="105" t="n">
        <v>0</v>
      </c>
      <c r="AW853" s="105" t="n">
        <v>0</v>
      </c>
      <c r="AX853" s="105" t="n">
        <v>0</v>
      </c>
      <c r="AY853" s="105" t="n">
        <v>0</v>
      </c>
      <c r="AZ853" s="105" t="n">
        <v>0</v>
      </c>
      <c r="BA853" s="105" t="n">
        <v>0</v>
      </c>
      <c r="BB853" s="105" t="n">
        <v>0</v>
      </c>
      <c r="BC853" s="105" t="n">
        <v>0</v>
      </c>
      <c r="BD853" s="105" t="n">
        <v>0</v>
      </c>
      <c r="BE853" s="105" t="n">
        <v>0</v>
      </c>
      <c r="BF853" s="105" t="n">
        <v>0</v>
      </c>
      <c r="BG853" s="105" t="n">
        <v>0</v>
      </c>
      <c r="BH853" s="105" t="n">
        <v>0</v>
      </c>
      <c r="BI853" s="105" t="n">
        <v>0</v>
      </c>
      <c r="BJ853" s="105" t="n">
        <v>0</v>
      </c>
      <c r="BK853" s="105" t="n">
        <v>0</v>
      </c>
      <c r="BL853" s="105" t="n">
        <v>0</v>
      </c>
      <c r="BM853" s="105" t="n">
        <v>0</v>
      </c>
      <c r="BN853" s="105" t="n">
        <v>0</v>
      </c>
      <c r="BO853" s="105" t="n">
        <v>0</v>
      </c>
      <c r="BP853" s="105" t="n">
        <v>0</v>
      </c>
      <c r="BQ853" s="105" t="n">
        <v>0</v>
      </c>
      <c r="BR853" s="106" t="n">
        <v>0</v>
      </c>
      <c r="BS853" s="106" t="n">
        <v>0</v>
      </c>
      <c r="BT853" s="107"/>
      <c r="BU853" s="107"/>
      <c r="BV853" s="107"/>
      <c r="BW853" s="107"/>
      <c r="BX853" s="107"/>
      <c r="BY853" s="107"/>
      <c r="BZ853" s="107"/>
      <c r="CA853" s="107"/>
      <c r="CB853" s="107"/>
      <c r="CC853" s="107"/>
      <c r="CD853" s="107"/>
      <c r="CE853" s="107"/>
      <c r="CF853" s="107"/>
      <c r="CG853" s="107"/>
      <c r="CH853" s="107"/>
      <c r="CI853" s="107"/>
      <c r="CJ853" s="107"/>
      <c r="CK853" s="107"/>
      <c r="CL853" s="107"/>
      <c r="CM853" s="107"/>
      <c r="CN853" s="107"/>
      <c r="CO853" s="107"/>
      <c r="CP853" s="107"/>
      <c r="CQ853" s="107"/>
      <c r="CR853" s="107"/>
      <c r="CS853" s="107"/>
      <c r="CT853" s="107"/>
      <c r="CU853" s="107"/>
      <c r="CV853" s="107"/>
    </row>
    <row r="854" customFormat="false" ht="14.9" hidden="false" customHeight="false" outlineLevel="0" collapsed="false">
      <c r="A854" s="74" t="n">
        <f aca="false">MONTH(B854)</f>
        <v>10</v>
      </c>
      <c r="B854" s="135" t="n">
        <v>44477</v>
      </c>
      <c r="C854" s="128" t="s">
        <v>152</v>
      </c>
      <c r="D854" s="77" t="str">
        <f aca="false">IFERROR(VLOOKUP(E:E,'Item Data Support Sheet'!A:O,7,0),"")</f>
        <v>NIPPLE MOLDED</v>
      </c>
      <c r="E854" s="80" t="s">
        <v>661</v>
      </c>
      <c r="F854" s="122" t="s">
        <v>137</v>
      </c>
      <c r="G854" s="137" t="s">
        <v>138</v>
      </c>
      <c r="H854" s="79" t="str">
        <f aca="false">IFERROR(VLOOKUP(E:E,'Item Data Support Sheet'!A:O,2,0),"")</f>
        <v>NIPPLE S TYPE L SIZE INJECTION</v>
      </c>
      <c r="I854" s="80" t="s">
        <v>1610</v>
      </c>
      <c r="J854" s="80" t="s">
        <v>143</v>
      </c>
      <c r="K854" s="124" t="n">
        <v>8</v>
      </c>
      <c r="L854" s="124" t="n">
        <v>4815</v>
      </c>
      <c r="M854" s="83" t="n">
        <v>601.875</v>
      </c>
      <c r="N854" s="84" t="n">
        <f aca="false">+O854+Q854+T854+U854</f>
        <v>4950</v>
      </c>
      <c r="O854" s="85" t="n">
        <v>4850</v>
      </c>
      <c r="P854" s="86" t="n">
        <v>0</v>
      </c>
      <c r="Q854" s="86" t="n">
        <v>40</v>
      </c>
      <c r="R854" s="132" t="n">
        <v>0</v>
      </c>
      <c r="S854" s="128" t="n">
        <v>0</v>
      </c>
      <c r="T854" s="132" t="n">
        <v>60</v>
      </c>
      <c r="U854" s="128" t="n">
        <v>0</v>
      </c>
      <c r="V854" s="128" t="n">
        <v>1</v>
      </c>
      <c r="W854" s="90" t="n">
        <f aca="false">IFERROR(O854/V854,0)</f>
        <v>4850</v>
      </c>
      <c r="X854" s="91" t="n">
        <f aca="false">O854/L854</f>
        <v>1.00726895119418</v>
      </c>
      <c r="Y854" s="92" t="str">
        <f aca="false">IFERROR(VLOOKUP(E:E,'Item Data Support Sheet'!A:J,6,0),0)</f>
        <v>Silicon</v>
      </c>
      <c r="Z854" s="93" t="n">
        <f aca="false">IFERROR(VLOOKUP(E:E,'Item Data Support Sheet'!A:O,4,0),0)</f>
        <v>6.8</v>
      </c>
      <c r="AA854" s="93" t="n">
        <f aca="false">IFERROR(((N854)*(Z854/1000))+P854,0)</f>
        <v>33.66</v>
      </c>
      <c r="AB854" s="94" t="n">
        <f aca="false">IFERROR((O854*(Z854/1000)/(AA854))," ")</f>
        <v>0.97979797979798</v>
      </c>
      <c r="AC854" s="95" t="n">
        <f aca="false">IFERROR((T854)/((T854)+O854),0)</f>
        <v>0.0122199592668024</v>
      </c>
      <c r="AD854" s="96" t="n">
        <f aca="false">IFERROR(Q854/(Q854+N854),0)</f>
        <v>0.00801603206412826</v>
      </c>
      <c r="AE854" s="91" t="n">
        <f aca="false">(N854-T854)/N854</f>
        <v>0.987878787878788</v>
      </c>
      <c r="AF854" s="97" t="n">
        <f aca="false">BR854</f>
        <v>0</v>
      </c>
      <c r="AG854" s="98" t="n">
        <f aca="false">K854-AF854</f>
        <v>8</v>
      </c>
      <c r="AH854" s="99" t="n">
        <f aca="false">IFERROR(AG854/K854," ")</f>
        <v>1</v>
      </c>
      <c r="AI854" s="100" t="n">
        <f aca="false">IFERROR(O854/K854,0)</f>
        <v>606.25</v>
      </c>
      <c r="AJ854" s="101" t="n">
        <f aca="false">VLOOKUP(D854,'Standard Cycle time'!C:D,2,0)</f>
        <v>5.25</v>
      </c>
      <c r="AK854" s="101" t="n">
        <f aca="false">AG854*V854*3600/O854</f>
        <v>5.93814432989691</v>
      </c>
      <c r="AL854" s="102" t="n">
        <f aca="false">AJ854/AK854</f>
        <v>0.884114583333333</v>
      </c>
      <c r="AM854" s="99" t="n">
        <f aca="false">AE854*AL854*AH854</f>
        <v>0.873398042929293</v>
      </c>
      <c r="AN854" s="103" t="n">
        <v>0.873398042929293</v>
      </c>
      <c r="AO854" s="112" t="s">
        <v>1611</v>
      </c>
      <c r="AP854" s="105" t="n">
        <v>0</v>
      </c>
      <c r="AQ854" s="105" t="n">
        <v>0</v>
      </c>
      <c r="AR854" s="105" t="n">
        <v>0</v>
      </c>
      <c r="AS854" s="105" t="n">
        <v>0</v>
      </c>
      <c r="AT854" s="105" t="n">
        <v>0</v>
      </c>
      <c r="AU854" s="105" t="n">
        <v>0</v>
      </c>
      <c r="AV854" s="105" t="n">
        <v>0</v>
      </c>
      <c r="AW854" s="105" t="n">
        <v>0</v>
      </c>
      <c r="AX854" s="105" t="n">
        <v>0</v>
      </c>
      <c r="AY854" s="105" t="n">
        <v>0</v>
      </c>
      <c r="AZ854" s="105" t="n">
        <v>0</v>
      </c>
      <c r="BA854" s="105" t="n">
        <v>0</v>
      </c>
      <c r="BB854" s="105" t="n">
        <v>0</v>
      </c>
      <c r="BC854" s="105" t="n">
        <v>0</v>
      </c>
      <c r="BD854" s="105" t="n">
        <v>0</v>
      </c>
      <c r="BE854" s="105" t="n">
        <v>0</v>
      </c>
      <c r="BF854" s="105" t="n">
        <v>0</v>
      </c>
      <c r="BG854" s="105" t="n">
        <v>0</v>
      </c>
      <c r="BH854" s="105" t="n">
        <v>0</v>
      </c>
      <c r="BI854" s="105" t="n">
        <v>0</v>
      </c>
      <c r="BJ854" s="105" t="n">
        <v>0</v>
      </c>
      <c r="BK854" s="105" t="n">
        <v>0</v>
      </c>
      <c r="BL854" s="105" t="n">
        <v>0</v>
      </c>
      <c r="BM854" s="105" t="n">
        <v>0</v>
      </c>
      <c r="BN854" s="105" t="n">
        <v>0</v>
      </c>
      <c r="BO854" s="105" t="n">
        <v>0</v>
      </c>
      <c r="BP854" s="105" t="n">
        <v>0</v>
      </c>
      <c r="BQ854" s="105" t="n">
        <v>0</v>
      </c>
      <c r="BR854" s="106" t="n">
        <v>0</v>
      </c>
      <c r="BS854" s="106" t="n">
        <v>0</v>
      </c>
      <c r="BT854" s="107"/>
      <c r="BU854" s="107"/>
      <c r="BV854" s="107"/>
      <c r="BW854" s="107"/>
      <c r="BX854" s="107"/>
      <c r="BY854" s="107"/>
      <c r="BZ854" s="107"/>
      <c r="CA854" s="107"/>
      <c r="CB854" s="107"/>
      <c r="CC854" s="107"/>
      <c r="CD854" s="107"/>
      <c r="CE854" s="107"/>
      <c r="CF854" s="107"/>
      <c r="CG854" s="107"/>
      <c r="CH854" s="107"/>
      <c r="CI854" s="107"/>
      <c r="CJ854" s="107"/>
      <c r="CK854" s="107"/>
      <c r="CL854" s="107"/>
      <c r="CM854" s="107"/>
      <c r="CN854" s="107"/>
      <c r="CO854" s="107"/>
      <c r="CP854" s="107"/>
      <c r="CQ854" s="107"/>
      <c r="CR854" s="107"/>
      <c r="CS854" s="107"/>
      <c r="CT854" s="107"/>
      <c r="CU854" s="107"/>
      <c r="CV854" s="107"/>
    </row>
    <row r="855" customFormat="false" ht="14.9" hidden="false" customHeight="false" outlineLevel="0" collapsed="false">
      <c r="A855" s="74" t="n">
        <f aca="false">MONTH(B855)</f>
        <v>10</v>
      </c>
      <c r="B855" s="135" t="n">
        <v>44477</v>
      </c>
      <c r="C855" s="128" t="s">
        <v>152</v>
      </c>
      <c r="D855" s="77" t="str">
        <f aca="false">IFERROR(VLOOKUP(E:E,'Item Data Support Sheet'!A:O,7,0),"")</f>
        <v>BOTTLE MOLDED</v>
      </c>
      <c r="E855" s="80" t="s">
        <v>235</v>
      </c>
      <c r="F855" s="122" t="s">
        <v>216</v>
      </c>
      <c r="G855" s="137" t="s">
        <v>74</v>
      </c>
      <c r="H855" s="79" t="str">
        <f aca="false">IFERROR(VLOOKUP(E:E,'Item Data Support Sheet'!A:O,2,0),"")</f>
        <v>KPP 200 ML BOTTLE MOLDED</v>
      </c>
      <c r="I855" s="80" t="s">
        <v>1612</v>
      </c>
      <c r="J855" s="80" t="s">
        <v>143</v>
      </c>
      <c r="K855" s="124" t="n">
        <v>8</v>
      </c>
      <c r="L855" s="124" t="n">
        <v>2574</v>
      </c>
      <c r="M855" s="83" t="n">
        <v>321.75</v>
      </c>
      <c r="N855" s="84" t="n">
        <f aca="false">+O855+Q855+T855+U855</f>
        <v>3004</v>
      </c>
      <c r="O855" s="85" t="n">
        <v>2916</v>
      </c>
      <c r="P855" s="86" t="n">
        <v>0.1</v>
      </c>
      <c r="Q855" s="86" t="n">
        <v>44</v>
      </c>
      <c r="R855" s="132" t="n">
        <v>0</v>
      </c>
      <c r="S855" s="128" t="n">
        <v>0</v>
      </c>
      <c r="T855" s="132" t="n">
        <v>36</v>
      </c>
      <c r="U855" s="128" t="n">
        <v>8</v>
      </c>
      <c r="V855" s="128" t="n">
        <v>1</v>
      </c>
      <c r="W855" s="90" t="n">
        <f aca="false">IFERROR(O855/V855,0)</f>
        <v>2916</v>
      </c>
      <c r="X855" s="91" t="n">
        <f aca="false">O855/L855</f>
        <v>1.13286713286713</v>
      </c>
      <c r="Y855" s="92" t="str">
        <f aca="false">IFERROR(VLOOKUP(E:E,'Item Data Support Sheet'!A:J,6,0),0)</f>
        <v>HMC</v>
      </c>
      <c r="Z855" s="93" t="n">
        <f aca="false">IFERROR(VLOOKUP(E:E,'Item Data Support Sheet'!A:O,4,0),0)</f>
        <v>28.1</v>
      </c>
      <c r="AA855" s="93" t="n">
        <f aca="false">IFERROR(((N855)*(Z855/1000))+P855,0)</f>
        <v>84.5124</v>
      </c>
      <c r="AB855" s="94" t="n">
        <f aca="false">IFERROR((O855*(Z855/1000)/(AA855))," ")</f>
        <v>0.969557130077953</v>
      </c>
      <c r="AC855" s="95" t="n">
        <f aca="false">IFERROR((T855)/((T855)+O855),0)</f>
        <v>0.0121951219512195</v>
      </c>
      <c r="AD855" s="96" t="n">
        <f aca="false">IFERROR(Q855/(Q855+N855),0)</f>
        <v>0.0144356955380577</v>
      </c>
      <c r="AE855" s="91" t="n">
        <f aca="false">(N855-T855)/N855</f>
        <v>0.988015978695073</v>
      </c>
      <c r="AF855" s="97" t="n">
        <f aca="false">BR855</f>
        <v>0</v>
      </c>
      <c r="AG855" s="98" t="n">
        <f aca="false">K855-AF855</f>
        <v>8</v>
      </c>
      <c r="AH855" s="99" t="n">
        <f aca="false">IFERROR(AG855/K855," ")</f>
        <v>1</v>
      </c>
      <c r="AI855" s="100" t="n">
        <f aca="false">IFERROR(O855/K855,0)</f>
        <v>364.5</v>
      </c>
      <c r="AJ855" s="101" t="n">
        <f aca="false">VLOOKUP(D855,'Standard Cycle time'!C:D,2,0)</f>
        <v>9</v>
      </c>
      <c r="AK855" s="101" t="n">
        <f aca="false">AG855*V855*3600/O855</f>
        <v>9.87654320987654</v>
      </c>
      <c r="AL855" s="102" t="n">
        <f aca="false">AJ855/AK855</f>
        <v>0.91125</v>
      </c>
      <c r="AM855" s="99" t="n">
        <f aca="false">AE855*AL855*AH855</f>
        <v>0.900329560585885</v>
      </c>
      <c r="AN855" s="103" t="n">
        <v>0.900329560585885</v>
      </c>
      <c r="AO855" s="112" t="s">
        <v>1613</v>
      </c>
      <c r="AP855" s="105" t="n">
        <v>0</v>
      </c>
      <c r="AQ855" s="105" t="n">
        <v>0</v>
      </c>
      <c r="AR855" s="105" t="n">
        <v>0</v>
      </c>
      <c r="AS855" s="105" t="n">
        <v>0</v>
      </c>
      <c r="AT855" s="105" t="n">
        <v>0</v>
      </c>
      <c r="AU855" s="105" t="n">
        <v>0</v>
      </c>
      <c r="AV855" s="105" t="n">
        <v>0</v>
      </c>
      <c r="AW855" s="105" t="n">
        <v>0</v>
      </c>
      <c r="AX855" s="105" t="n">
        <v>0</v>
      </c>
      <c r="AY855" s="105" t="n">
        <v>0</v>
      </c>
      <c r="AZ855" s="105" t="n">
        <v>0</v>
      </c>
      <c r="BA855" s="105" t="n">
        <v>0</v>
      </c>
      <c r="BB855" s="105" t="n">
        <v>0</v>
      </c>
      <c r="BC855" s="105" t="n">
        <v>0</v>
      </c>
      <c r="BD855" s="105" t="n">
        <v>0</v>
      </c>
      <c r="BE855" s="105" t="n">
        <v>0</v>
      </c>
      <c r="BF855" s="105" t="n">
        <v>0</v>
      </c>
      <c r="BG855" s="105" t="n">
        <v>0</v>
      </c>
      <c r="BH855" s="105" t="n">
        <v>0</v>
      </c>
      <c r="BI855" s="105" t="n">
        <v>0</v>
      </c>
      <c r="BJ855" s="105" t="n">
        <v>0</v>
      </c>
      <c r="BK855" s="105" t="n">
        <v>0</v>
      </c>
      <c r="BL855" s="105" t="n">
        <v>0</v>
      </c>
      <c r="BM855" s="105" t="n">
        <v>0</v>
      </c>
      <c r="BN855" s="105" t="n">
        <v>0</v>
      </c>
      <c r="BO855" s="105" t="n">
        <v>0</v>
      </c>
      <c r="BP855" s="105" t="n">
        <v>0</v>
      </c>
      <c r="BQ855" s="105" t="n">
        <v>0</v>
      </c>
      <c r="BR855" s="106" t="n">
        <v>0</v>
      </c>
      <c r="BS855" s="106" t="n">
        <v>0</v>
      </c>
      <c r="BT855" s="107"/>
      <c r="BU855" s="107"/>
      <c r="BV855" s="107"/>
      <c r="BW855" s="107"/>
      <c r="BX855" s="107"/>
      <c r="BY855" s="107"/>
      <c r="BZ855" s="107"/>
      <c r="CA855" s="107"/>
      <c r="CB855" s="107"/>
      <c r="CC855" s="107"/>
      <c r="CD855" s="107"/>
      <c r="CE855" s="107"/>
      <c r="CF855" s="107"/>
      <c r="CG855" s="107"/>
      <c r="CH855" s="107"/>
      <c r="CI855" s="107"/>
      <c r="CJ855" s="107"/>
      <c r="CK855" s="107"/>
      <c r="CL855" s="107"/>
      <c r="CM855" s="107"/>
      <c r="CN855" s="107"/>
      <c r="CO855" s="107"/>
      <c r="CP855" s="107"/>
      <c r="CQ855" s="107"/>
      <c r="CR855" s="107"/>
      <c r="CS855" s="107"/>
      <c r="CT855" s="107"/>
      <c r="CU855" s="107"/>
      <c r="CV855" s="107"/>
    </row>
    <row r="856" customFormat="false" ht="14.9" hidden="false" customHeight="false" outlineLevel="0" collapsed="false">
      <c r="A856" s="74" t="n">
        <f aca="false">MONTH(B856)</f>
        <v>10</v>
      </c>
      <c r="B856" s="135" t="n">
        <v>44478</v>
      </c>
      <c r="C856" s="128" t="s">
        <v>51</v>
      </c>
      <c r="D856" s="77" t="str">
        <f aca="false">IFERROR(VLOOKUP(E:E,'Item Data Support Sheet'!A:O,7,0),"")</f>
        <v>BOTTLE MOLDED</v>
      </c>
      <c r="E856" s="80" t="s">
        <v>235</v>
      </c>
      <c r="F856" s="122" t="s">
        <v>216</v>
      </c>
      <c r="G856" s="137" t="s">
        <v>74</v>
      </c>
      <c r="H856" s="79" t="str">
        <f aca="false">IFERROR(VLOOKUP(E:E,'Item Data Support Sheet'!A:O,2,0),"")</f>
        <v>KPP 200 ML BOTTLE MOLDED</v>
      </c>
      <c r="I856" s="80" t="s">
        <v>1614</v>
      </c>
      <c r="J856" s="80" t="s">
        <v>148</v>
      </c>
      <c r="K856" s="124" t="n">
        <v>8</v>
      </c>
      <c r="L856" s="124" t="n">
        <v>2574</v>
      </c>
      <c r="M856" s="83" t="n">
        <v>321.75</v>
      </c>
      <c r="N856" s="84" t="n">
        <f aca="false">+O856+Q856+T856+U856</f>
        <v>3314</v>
      </c>
      <c r="O856" s="85" t="n">
        <v>3240</v>
      </c>
      <c r="P856" s="86" t="n">
        <v>0</v>
      </c>
      <c r="Q856" s="86" t="n">
        <v>25</v>
      </c>
      <c r="R856" s="132" t="n">
        <v>0</v>
      </c>
      <c r="S856" s="128" t="n">
        <v>0</v>
      </c>
      <c r="T856" s="132" t="n">
        <v>41</v>
      </c>
      <c r="U856" s="128" t="n">
        <v>8</v>
      </c>
      <c r="V856" s="128" t="n">
        <v>1</v>
      </c>
      <c r="W856" s="90" t="n">
        <f aca="false">IFERROR(O856/V856,0)</f>
        <v>3240</v>
      </c>
      <c r="X856" s="91" t="n">
        <f aca="false">O856/L856</f>
        <v>1.25874125874126</v>
      </c>
      <c r="Y856" s="92" t="str">
        <f aca="false">IFERROR(VLOOKUP(E:E,'Item Data Support Sheet'!A:J,6,0),0)</f>
        <v>HMC</v>
      </c>
      <c r="Z856" s="93" t="n">
        <f aca="false">IFERROR(VLOOKUP(E:E,'Item Data Support Sheet'!A:O,4,0),0)</f>
        <v>28.1</v>
      </c>
      <c r="AA856" s="93" t="n">
        <f aca="false">IFERROR(((N856)*(Z856/1000))+P856,0)</f>
        <v>93.1234</v>
      </c>
      <c r="AB856" s="94" t="n">
        <f aca="false">IFERROR((O856*(Z856/1000)/(AA856))," ")</f>
        <v>0.977670488835244</v>
      </c>
      <c r="AC856" s="95" t="n">
        <f aca="false">IFERROR((T856)/((T856)+O856),0)</f>
        <v>0.0124961901859189</v>
      </c>
      <c r="AD856" s="96" t="n">
        <f aca="false">IFERROR(Q856/(Q856+N856),0)</f>
        <v>0.00748727163821503</v>
      </c>
      <c r="AE856" s="91" t="n">
        <f aca="false">(N856-T856)/N856</f>
        <v>0.987628243814122</v>
      </c>
      <c r="AF856" s="97" t="n">
        <f aca="false">BR856</f>
        <v>0</v>
      </c>
      <c r="AG856" s="98" t="n">
        <f aca="false">K856-AF856</f>
        <v>8</v>
      </c>
      <c r="AH856" s="99" t="n">
        <f aca="false">IFERROR(AG856/K856," ")</f>
        <v>1</v>
      </c>
      <c r="AI856" s="100" t="n">
        <f aca="false">IFERROR(O856/K856,0)</f>
        <v>405</v>
      </c>
      <c r="AJ856" s="101" t="n">
        <f aca="false">VLOOKUP(D856,'Standard Cycle time'!C:D,2,0)</f>
        <v>9</v>
      </c>
      <c r="AK856" s="101" t="n">
        <f aca="false">AG856*V856*3600/O856</f>
        <v>8.88888888888889</v>
      </c>
      <c r="AL856" s="102" t="n">
        <f aca="false">AJ856/AK856</f>
        <v>1.0125</v>
      </c>
      <c r="AM856" s="99" t="n">
        <f aca="false">AE856*AL856*AH856</f>
        <v>0.999973596861798</v>
      </c>
      <c r="AN856" s="103" t="n">
        <v>0.999973596861798</v>
      </c>
      <c r="AO856" s="112"/>
      <c r="AP856" s="105" t="n">
        <v>0</v>
      </c>
      <c r="AQ856" s="105" t="n">
        <v>0</v>
      </c>
      <c r="AR856" s="105" t="n">
        <v>0</v>
      </c>
      <c r="AS856" s="105" t="n">
        <v>0</v>
      </c>
      <c r="AT856" s="105" t="n">
        <v>0</v>
      </c>
      <c r="AU856" s="105" t="n">
        <v>0</v>
      </c>
      <c r="AV856" s="105" t="n">
        <v>0</v>
      </c>
      <c r="AW856" s="105" t="n">
        <v>0</v>
      </c>
      <c r="AX856" s="105" t="n">
        <v>0</v>
      </c>
      <c r="AY856" s="105" t="n">
        <v>0</v>
      </c>
      <c r="AZ856" s="105" t="n">
        <v>0</v>
      </c>
      <c r="BA856" s="105" t="n">
        <v>0</v>
      </c>
      <c r="BB856" s="105" t="n">
        <v>0</v>
      </c>
      <c r="BC856" s="105" t="n">
        <v>0</v>
      </c>
      <c r="BD856" s="105" t="n">
        <v>0</v>
      </c>
      <c r="BE856" s="105" t="n">
        <v>0</v>
      </c>
      <c r="BF856" s="105" t="n">
        <v>0</v>
      </c>
      <c r="BG856" s="105" t="n">
        <v>0</v>
      </c>
      <c r="BH856" s="105" t="n">
        <v>0</v>
      </c>
      <c r="BI856" s="105" t="n">
        <v>0</v>
      </c>
      <c r="BJ856" s="105" t="n">
        <v>0</v>
      </c>
      <c r="BK856" s="105" t="n">
        <v>0</v>
      </c>
      <c r="BL856" s="105" t="n">
        <v>0</v>
      </c>
      <c r="BM856" s="105" t="n">
        <v>0</v>
      </c>
      <c r="BN856" s="105" t="n">
        <v>0</v>
      </c>
      <c r="BO856" s="105" t="n">
        <v>0</v>
      </c>
      <c r="BP856" s="105" t="n">
        <v>0</v>
      </c>
      <c r="BQ856" s="105" t="n">
        <v>0</v>
      </c>
      <c r="BR856" s="106" t="n">
        <v>0</v>
      </c>
      <c r="BS856" s="106" t="n">
        <v>0</v>
      </c>
      <c r="BT856" s="107"/>
      <c r="BU856" s="107"/>
      <c r="BV856" s="107"/>
      <c r="BW856" s="107"/>
      <c r="BX856" s="107"/>
      <c r="BY856" s="107"/>
      <c r="BZ856" s="107"/>
      <c r="CA856" s="107"/>
      <c r="CB856" s="107"/>
      <c r="CC856" s="107"/>
      <c r="CD856" s="107"/>
      <c r="CE856" s="107"/>
      <c r="CF856" s="107"/>
      <c r="CG856" s="107"/>
      <c r="CH856" s="107"/>
      <c r="CI856" s="107"/>
      <c r="CJ856" s="107"/>
      <c r="CK856" s="107"/>
      <c r="CL856" s="107"/>
      <c r="CM856" s="107"/>
      <c r="CN856" s="107"/>
      <c r="CO856" s="107"/>
      <c r="CP856" s="107"/>
      <c r="CQ856" s="107"/>
      <c r="CR856" s="107"/>
      <c r="CS856" s="107"/>
      <c r="CT856" s="107"/>
      <c r="CU856" s="107"/>
      <c r="CV856" s="107"/>
    </row>
    <row r="857" customFormat="false" ht="14.9" hidden="false" customHeight="false" outlineLevel="0" collapsed="false">
      <c r="A857" s="74" t="n">
        <f aca="false">MONTH(B857)</f>
        <v>10</v>
      </c>
      <c r="B857" s="135" t="n">
        <v>44478</v>
      </c>
      <c r="C857" s="128" t="s">
        <v>51</v>
      </c>
      <c r="D857" s="77" t="str">
        <f aca="false">IFERROR(VLOOKUP(E:E,'Item Data Support Sheet'!A:O,7,0),"")</f>
        <v>NIPPLE MOLDED</v>
      </c>
      <c r="E857" s="80" t="s">
        <v>661</v>
      </c>
      <c r="F857" s="122" t="s">
        <v>137</v>
      </c>
      <c r="G857" s="137" t="s">
        <v>138</v>
      </c>
      <c r="H857" s="79" t="str">
        <f aca="false">IFERROR(VLOOKUP(E:E,'Item Data Support Sheet'!A:O,2,0),"")</f>
        <v>NIPPLE S TYPE L SIZE INJECTION</v>
      </c>
      <c r="I857" s="80" t="s">
        <v>1615</v>
      </c>
      <c r="J857" s="80" t="s">
        <v>148</v>
      </c>
      <c r="K857" s="124" t="n">
        <v>8</v>
      </c>
      <c r="L857" s="124" t="n">
        <v>4815</v>
      </c>
      <c r="M857" s="83" t="n">
        <v>601.875</v>
      </c>
      <c r="N857" s="84" t="n">
        <f aca="false">+O857+Q857+T857+U857</f>
        <v>5085</v>
      </c>
      <c r="O857" s="85" t="n">
        <v>5000</v>
      </c>
      <c r="P857" s="86" t="n">
        <v>0</v>
      </c>
      <c r="Q857" s="86" t="n">
        <v>30</v>
      </c>
      <c r="R857" s="132" t="n">
        <v>0</v>
      </c>
      <c r="S857" s="128" t="n">
        <v>0</v>
      </c>
      <c r="T857" s="132" t="n">
        <v>47</v>
      </c>
      <c r="U857" s="128" t="n">
        <v>8</v>
      </c>
      <c r="V857" s="128" t="n">
        <v>1</v>
      </c>
      <c r="W857" s="90" t="n">
        <f aca="false">IFERROR(O857/V857,0)</f>
        <v>5000</v>
      </c>
      <c r="X857" s="91" t="n">
        <f aca="false">O857/L857</f>
        <v>1.03842159916926</v>
      </c>
      <c r="Y857" s="92" t="str">
        <f aca="false">IFERROR(VLOOKUP(E:E,'Item Data Support Sheet'!A:J,6,0),0)</f>
        <v>Silicon</v>
      </c>
      <c r="Z857" s="93" t="n">
        <f aca="false">IFERROR(VLOOKUP(E:E,'Item Data Support Sheet'!A:O,4,0),0)</f>
        <v>6.8</v>
      </c>
      <c r="AA857" s="93" t="n">
        <f aca="false">IFERROR(((N857)*(Z857/1000))+P857,0)</f>
        <v>34.578</v>
      </c>
      <c r="AB857" s="94" t="n">
        <f aca="false">IFERROR((O857*(Z857/1000)/(AA857))," ")</f>
        <v>0.983284169124877</v>
      </c>
      <c r="AC857" s="95" t="n">
        <f aca="false">IFERROR((T857)/((T857)+O857),0)</f>
        <v>0.00931246284921736</v>
      </c>
      <c r="AD857" s="96" t="n">
        <f aca="false">IFERROR(Q857/(Q857+N857),0)</f>
        <v>0.00586510263929619</v>
      </c>
      <c r="AE857" s="91" t="n">
        <f aca="false">(N857-T857)/N857</f>
        <v>0.990757128810226</v>
      </c>
      <c r="AF857" s="97" t="n">
        <f aca="false">BR857</f>
        <v>0</v>
      </c>
      <c r="AG857" s="98" t="n">
        <f aca="false">K857-AF857</f>
        <v>8</v>
      </c>
      <c r="AH857" s="99" t="n">
        <f aca="false">IFERROR(AG857/K857," ")</f>
        <v>1</v>
      </c>
      <c r="AI857" s="100" t="n">
        <f aca="false">IFERROR(O857/K857,0)</f>
        <v>625</v>
      </c>
      <c r="AJ857" s="101" t="n">
        <f aca="false">VLOOKUP(D857,'Standard Cycle time'!C:D,2,0)</f>
        <v>5.25</v>
      </c>
      <c r="AK857" s="101" t="n">
        <f aca="false">AG857*V857*3600/O857</f>
        <v>5.76</v>
      </c>
      <c r="AL857" s="102" t="n">
        <f aca="false">AJ857/AK857</f>
        <v>0.911458333333333</v>
      </c>
      <c r="AM857" s="99" t="n">
        <f aca="false">AE857*AL857*AH857</f>
        <v>0.903033841363487</v>
      </c>
      <c r="AN857" s="103" t="n">
        <v>0.903033841363487</v>
      </c>
      <c r="AO857" s="112"/>
      <c r="AP857" s="105" t="n">
        <v>0</v>
      </c>
      <c r="AQ857" s="105" t="n">
        <v>0</v>
      </c>
      <c r="AR857" s="105" t="n">
        <v>0</v>
      </c>
      <c r="AS857" s="105" t="n">
        <v>0</v>
      </c>
      <c r="AT857" s="105" t="n">
        <v>0</v>
      </c>
      <c r="AU857" s="105" t="n">
        <v>0</v>
      </c>
      <c r="AV857" s="105" t="n">
        <v>0</v>
      </c>
      <c r="AW857" s="105" t="n">
        <v>0</v>
      </c>
      <c r="AX857" s="105" t="n">
        <v>0</v>
      </c>
      <c r="AY857" s="105" t="n">
        <v>0</v>
      </c>
      <c r="AZ857" s="105" t="n">
        <v>0</v>
      </c>
      <c r="BA857" s="105" t="n">
        <v>0</v>
      </c>
      <c r="BB857" s="105" t="n">
        <v>0</v>
      </c>
      <c r="BC857" s="105" t="n">
        <v>0</v>
      </c>
      <c r="BD857" s="105" t="n">
        <v>0</v>
      </c>
      <c r="BE857" s="105" t="n">
        <v>0</v>
      </c>
      <c r="BF857" s="105" t="n">
        <v>0</v>
      </c>
      <c r="BG857" s="105" t="n">
        <v>0</v>
      </c>
      <c r="BH857" s="105" t="n">
        <v>0</v>
      </c>
      <c r="BI857" s="105" t="n">
        <v>0</v>
      </c>
      <c r="BJ857" s="105" t="n">
        <v>0</v>
      </c>
      <c r="BK857" s="105" t="n">
        <v>0</v>
      </c>
      <c r="BL857" s="105" t="n">
        <v>0</v>
      </c>
      <c r="BM857" s="105" t="n">
        <v>0</v>
      </c>
      <c r="BN857" s="105" t="n">
        <v>0</v>
      </c>
      <c r="BO857" s="105" t="n">
        <v>0</v>
      </c>
      <c r="BP857" s="105" t="n">
        <v>0</v>
      </c>
      <c r="BQ857" s="105" t="n">
        <v>0</v>
      </c>
      <c r="BR857" s="106" t="n">
        <v>0</v>
      </c>
      <c r="BS857" s="106" t="n">
        <v>0</v>
      </c>
      <c r="BT857" s="107"/>
      <c r="BU857" s="107"/>
      <c r="BV857" s="107"/>
      <c r="BW857" s="107"/>
      <c r="BX857" s="107"/>
      <c r="BY857" s="107"/>
      <c r="BZ857" s="107"/>
      <c r="CA857" s="107"/>
      <c r="CB857" s="107"/>
      <c r="CC857" s="107"/>
      <c r="CD857" s="107"/>
      <c r="CE857" s="107"/>
      <c r="CF857" s="107"/>
      <c r="CG857" s="107"/>
      <c r="CH857" s="107"/>
      <c r="CI857" s="107"/>
      <c r="CJ857" s="107"/>
      <c r="CK857" s="107"/>
      <c r="CL857" s="107"/>
      <c r="CM857" s="107"/>
      <c r="CN857" s="107"/>
      <c r="CO857" s="107"/>
      <c r="CP857" s="107"/>
      <c r="CQ857" s="107"/>
      <c r="CR857" s="107"/>
      <c r="CS857" s="107"/>
      <c r="CT857" s="107"/>
      <c r="CU857" s="107"/>
      <c r="CV857" s="107"/>
    </row>
    <row r="858" customFormat="false" ht="14.9" hidden="false" customHeight="false" outlineLevel="0" collapsed="false">
      <c r="A858" s="74" t="n">
        <f aca="false">MONTH(B858)</f>
        <v>10</v>
      </c>
      <c r="B858" s="135" t="n">
        <v>44478</v>
      </c>
      <c r="C858" s="128" t="s">
        <v>51</v>
      </c>
      <c r="D858" s="77" t="str">
        <f aca="false">IFERROR(VLOOKUP(E:E,'Item Data Support Sheet'!A:O,7,0),"")</f>
        <v>CAP MOLDED</v>
      </c>
      <c r="E858" s="80" t="s">
        <v>343</v>
      </c>
      <c r="F858" s="122"/>
      <c r="G858" s="137" t="s">
        <v>1595</v>
      </c>
      <c r="H858" s="79" t="str">
        <f aca="false">IFERROR(VLOOKUP(E:E,'Item Data Support Sheet'!A:O,2,0),"")</f>
        <v>CAP S TYPE MOLDED BLUE</v>
      </c>
      <c r="I858" s="80" t="s">
        <v>1616</v>
      </c>
      <c r="J858" s="80" t="s">
        <v>148</v>
      </c>
      <c r="K858" s="124" t="n">
        <v>8</v>
      </c>
      <c r="L858" s="124" t="n">
        <v>4137</v>
      </c>
      <c r="M858" s="83" t="n">
        <v>517.125</v>
      </c>
      <c r="N858" s="84" t="n">
        <f aca="false">+O858+Q858+T858+U858</f>
        <v>4210</v>
      </c>
      <c r="O858" s="85" t="n">
        <v>4200</v>
      </c>
      <c r="P858" s="86" t="n">
        <v>0</v>
      </c>
      <c r="Q858" s="86" t="n">
        <v>0</v>
      </c>
      <c r="R858" s="132" t="n">
        <v>0</v>
      </c>
      <c r="S858" s="128" t="n">
        <v>0</v>
      </c>
      <c r="T858" s="132" t="n">
        <v>2</v>
      </c>
      <c r="U858" s="128" t="n">
        <v>8</v>
      </c>
      <c r="V858" s="128" t="n">
        <v>1</v>
      </c>
      <c r="W858" s="90" t="n">
        <f aca="false">IFERROR(O858/V858,0)</f>
        <v>4200</v>
      </c>
      <c r="X858" s="91" t="n">
        <f aca="false">O858/L858</f>
        <v>1.01522842639594</v>
      </c>
      <c r="Y858" s="92" t="str">
        <f aca="false">IFERROR(VLOOKUP(E:E,'Item Data Support Sheet'!A:J,6,0),0)</f>
        <v>RM000114</v>
      </c>
      <c r="Z858" s="93" t="n">
        <f aca="false">IFERROR(VLOOKUP(E:E,'Item Data Support Sheet'!A:O,4,0),0)</f>
        <v>7.3</v>
      </c>
      <c r="AA858" s="93" t="n">
        <f aca="false">IFERROR(((N858)*(Z858/1000))+P858,0)</f>
        <v>30.733</v>
      </c>
      <c r="AB858" s="94" t="n">
        <f aca="false">IFERROR((O858*(Z858/1000)/(AA858))," ")</f>
        <v>0.997624703087886</v>
      </c>
      <c r="AC858" s="95" t="n">
        <f aca="false">IFERROR((T858)/((T858)+O858),0)</f>
        <v>0.000475963826749167</v>
      </c>
      <c r="AD858" s="96" t="n">
        <f aca="false">IFERROR(Q858/(Q858+N858),0)</f>
        <v>0</v>
      </c>
      <c r="AE858" s="91" t="n">
        <f aca="false">(N858-T858)/N858</f>
        <v>0.999524940617577</v>
      </c>
      <c r="AF858" s="97" t="n">
        <f aca="false">BR858</f>
        <v>0.75</v>
      </c>
      <c r="AG858" s="98" t="n">
        <f aca="false">K858-AF858</f>
        <v>7.25</v>
      </c>
      <c r="AH858" s="99" t="n">
        <f aca="false">IFERROR(AG858/K858," ")</f>
        <v>0.90625</v>
      </c>
      <c r="AI858" s="100" t="n">
        <f aca="false">IFERROR(O858/K858,0)</f>
        <v>525</v>
      </c>
      <c r="AJ858" s="101" t="n">
        <f aca="false">VLOOKUP(D858,'Standard Cycle time'!C:D,2,0)</f>
        <v>6</v>
      </c>
      <c r="AK858" s="101" t="n">
        <f aca="false">AG858*V858*3600/O858</f>
        <v>6.21428571428571</v>
      </c>
      <c r="AL858" s="102" t="n">
        <f aca="false">AJ858/AK858</f>
        <v>0.96551724137931</v>
      </c>
      <c r="AM858" s="99" t="n">
        <f aca="false">AE858*AL858*AH858</f>
        <v>0.87458432304038</v>
      </c>
      <c r="AN858" s="103" t="n">
        <v>0.87458432304038</v>
      </c>
      <c r="AO858" s="112" t="s">
        <v>1617</v>
      </c>
      <c r="AP858" s="105" t="n">
        <v>0</v>
      </c>
      <c r="AQ858" s="105" t="n">
        <v>0</v>
      </c>
      <c r="AR858" s="105" t="n">
        <v>0</v>
      </c>
      <c r="AS858" s="105" t="n">
        <v>0</v>
      </c>
      <c r="AT858" s="105" t="n">
        <v>0</v>
      </c>
      <c r="AU858" s="105" t="n">
        <v>0</v>
      </c>
      <c r="AV858" s="105" t="n">
        <v>0</v>
      </c>
      <c r="AW858" s="105" t="n">
        <v>0</v>
      </c>
      <c r="AX858" s="105" t="n">
        <v>0</v>
      </c>
      <c r="AY858" s="105" t="n">
        <v>0</v>
      </c>
      <c r="AZ858" s="105" t="n">
        <v>45</v>
      </c>
      <c r="BA858" s="105" t="n">
        <v>0</v>
      </c>
      <c r="BB858" s="105" t="n">
        <v>0</v>
      </c>
      <c r="BC858" s="105" t="n">
        <v>0</v>
      </c>
      <c r="BD858" s="105" t="n">
        <v>0</v>
      </c>
      <c r="BE858" s="105" t="n">
        <v>0</v>
      </c>
      <c r="BF858" s="105" t="n">
        <v>0</v>
      </c>
      <c r="BG858" s="105" t="n">
        <v>0</v>
      </c>
      <c r="BH858" s="105" t="n">
        <v>0</v>
      </c>
      <c r="BI858" s="105" t="n">
        <v>0</v>
      </c>
      <c r="BJ858" s="105" t="n">
        <v>0</v>
      </c>
      <c r="BK858" s="105" t="n">
        <v>0</v>
      </c>
      <c r="BL858" s="105" t="n">
        <v>0</v>
      </c>
      <c r="BM858" s="105" t="n">
        <v>0</v>
      </c>
      <c r="BN858" s="105" t="n">
        <v>0</v>
      </c>
      <c r="BO858" s="105" t="n">
        <v>0</v>
      </c>
      <c r="BP858" s="105" t="n">
        <v>0</v>
      </c>
      <c r="BQ858" s="105" t="n">
        <v>0</v>
      </c>
      <c r="BR858" s="106" t="n">
        <v>0.75</v>
      </c>
      <c r="BS858" s="106" t="n">
        <v>0.75</v>
      </c>
      <c r="BT858" s="107"/>
      <c r="BU858" s="107"/>
      <c r="BV858" s="107"/>
      <c r="BW858" s="107"/>
      <c r="BX858" s="107"/>
      <c r="BY858" s="107"/>
      <c r="BZ858" s="107"/>
      <c r="CA858" s="107"/>
      <c r="CB858" s="107"/>
      <c r="CC858" s="107"/>
      <c r="CD858" s="107"/>
      <c r="CE858" s="107"/>
      <c r="CF858" s="107"/>
      <c r="CG858" s="107"/>
      <c r="CH858" s="107"/>
      <c r="CI858" s="107"/>
      <c r="CJ858" s="107"/>
      <c r="CK858" s="107"/>
      <c r="CL858" s="107"/>
      <c r="CM858" s="107"/>
      <c r="CN858" s="107"/>
      <c r="CO858" s="107"/>
      <c r="CP858" s="107"/>
      <c r="CQ858" s="107"/>
      <c r="CR858" s="107"/>
      <c r="CS858" s="107"/>
      <c r="CT858" s="107"/>
      <c r="CU858" s="107"/>
      <c r="CV858" s="107"/>
    </row>
    <row r="859" customFormat="false" ht="14.9" hidden="false" customHeight="false" outlineLevel="0" collapsed="false">
      <c r="A859" s="74" t="n">
        <f aca="false">MONTH(B859)</f>
        <v>10</v>
      </c>
      <c r="B859" s="135" t="n">
        <v>44478</v>
      </c>
      <c r="C859" s="128" t="s">
        <v>51</v>
      </c>
      <c r="D859" s="77" t="str">
        <f aca="false">IFERROR(VLOOKUP(E:E,'Item Data Support Sheet'!A:O,7,0),"")</f>
        <v>NIPPLE PUNCH</v>
      </c>
      <c r="E859" s="80" t="s">
        <v>666</v>
      </c>
      <c r="F859" s="122"/>
      <c r="G859" s="137" t="s">
        <v>54</v>
      </c>
      <c r="H859" s="79" t="str">
        <f aca="false">IFERROR(VLOOKUP(E:E,'Item Data Support Sheet'!A:O,2,0),"")</f>
        <v>NIPPLE S TYPE L SIZE PUNCHED</v>
      </c>
      <c r="I859" s="80" t="s">
        <v>1618</v>
      </c>
      <c r="J859" s="80" t="s">
        <v>148</v>
      </c>
      <c r="K859" s="124" t="n">
        <v>8</v>
      </c>
      <c r="L859" s="124" t="n">
        <v>7000</v>
      </c>
      <c r="M859" s="83" t="n">
        <v>875</v>
      </c>
      <c r="N859" s="84" t="n">
        <f aca="false">+O859+Q859+T859+U859</f>
        <v>7050</v>
      </c>
      <c r="O859" s="85" t="n">
        <v>7050</v>
      </c>
      <c r="P859" s="86" t="n">
        <v>0</v>
      </c>
      <c r="Q859" s="86" t="n">
        <v>0</v>
      </c>
      <c r="R859" s="132" t="n">
        <v>0</v>
      </c>
      <c r="S859" s="128" t="n">
        <v>0</v>
      </c>
      <c r="T859" s="132" t="n">
        <v>0</v>
      </c>
      <c r="U859" s="128" t="n">
        <v>0</v>
      </c>
      <c r="V859" s="128" t="n">
        <v>1</v>
      </c>
      <c r="W859" s="90" t="n">
        <f aca="false">IFERROR(O859/V859,0)</f>
        <v>7050</v>
      </c>
      <c r="X859" s="91" t="n">
        <f aca="false">O859/L859</f>
        <v>1.00714285714286</v>
      </c>
      <c r="Y859" s="92" t="str">
        <f aca="false">IFERROR(VLOOKUP(E:E,'Item Data Support Sheet'!A:J,6,0),0)</f>
        <v>FO017</v>
      </c>
      <c r="Z859" s="93" t="n">
        <f aca="false">IFERROR(VLOOKUP(E:E,'Item Data Support Sheet'!A:O,4,0),0)</f>
        <v>0</v>
      </c>
      <c r="AA859" s="93" t="n">
        <f aca="false">IFERROR(((N859)*(Z859/1000))+P859,0)</f>
        <v>0</v>
      </c>
      <c r="AB859" s="94" t="str">
        <f aca="false">IFERROR((O859*(Z859/1000)/(AA859))," ")</f>
        <v> </v>
      </c>
      <c r="AC859" s="95" t="n">
        <f aca="false">IFERROR((T859)/((T859)+O859),0)</f>
        <v>0</v>
      </c>
      <c r="AD859" s="96" t="n">
        <f aca="false">IFERROR(Q859/(Q859+N859),0)</f>
        <v>0</v>
      </c>
      <c r="AE859" s="91" t="n">
        <f aca="false">(N859-T859)/N859</f>
        <v>1</v>
      </c>
      <c r="AF859" s="97" t="n">
        <f aca="false">BR859</f>
        <v>0.75</v>
      </c>
      <c r="AG859" s="98" t="n">
        <f aca="false">K859-AF859</f>
        <v>7.25</v>
      </c>
      <c r="AH859" s="99" t="n">
        <f aca="false">IFERROR(AG859/K859," ")</f>
        <v>0.90625</v>
      </c>
      <c r="AI859" s="100" t="n">
        <f aca="false">IFERROR(O859/K859,0)</f>
        <v>881.25</v>
      </c>
      <c r="AJ859" s="101" t="n">
        <f aca="false">VLOOKUP(D859,'Standard Cycle time'!C:D,2,0)</f>
        <v>3.5</v>
      </c>
      <c r="AK859" s="101" t="n">
        <f aca="false">AG859*V859*3600/O859</f>
        <v>3.70212765957447</v>
      </c>
      <c r="AL859" s="102" t="n">
        <f aca="false">AJ859/AK859</f>
        <v>0.945402298850575</v>
      </c>
      <c r="AM859" s="99" t="n">
        <f aca="false">AE859*AL859*AH859</f>
        <v>0.856770833333333</v>
      </c>
      <c r="AN859" s="103" t="n">
        <v>0.856770833333333</v>
      </c>
      <c r="AO859" s="112"/>
      <c r="AP859" s="105" t="n">
        <v>45</v>
      </c>
      <c r="AQ859" s="105" t="n">
        <v>0</v>
      </c>
      <c r="AR859" s="105" t="n">
        <v>0</v>
      </c>
      <c r="AS859" s="105" t="n">
        <v>0</v>
      </c>
      <c r="AT859" s="105" t="n">
        <v>0</v>
      </c>
      <c r="AU859" s="105" t="n">
        <v>0</v>
      </c>
      <c r="AV859" s="105" t="n">
        <v>0</v>
      </c>
      <c r="AW859" s="105" t="n">
        <v>0</v>
      </c>
      <c r="AX859" s="105" t="n">
        <v>0</v>
      </c>
      <c r="AY859" s="105" t="n">
        <v>0</v>
      </c>
      <c r="AZ859" s="105" t="n">
        <v>0</v>
      </c>
      <c r="BA859" s="105" t="n">
        <v>0</v>
      </c>
      <c r="BB859" s="105" t="n">
        <v>0</v>
      </c>
      <c r="BC859" s="105" t="n">
        <v>0</v>
      </c>
      <c r="BD859" s="105" t="n">
        <v>0</v>
      </c>
      <c r="BE859" s="105" t="n">
        <v>0</v>
      </c>
      <c r="BF859" s="105" t="n">
        <v>0</v>
      </c>
      <c r="BG859" s="105" t="n">
        <v>0</v>
      </c>
      <c r="BH859" s="105" t="n">
        <v>0</v>
      </c>
      <c r="BI859" s="105" t="n">
        <v>0</v>
      </c>
      <c r="BJ859" s="105" t="n">
        <v>0</v>
      </c>
      <c r="BK859" s="105" t="n">
        <v>0</v>
      </c>
      <c r="BL859" s="105" t="n">
        <v>0</v>
      </c>
      <c r="BM859" s="105" t="n">
        <v>0</v>
      </c>
      <c r="BN859" s="105" t="n">
        <v>0</v>
      </c>
      <c r="BO859" s="105" t="n">
        <v>0</v>
      </c>
      <c r="BP859" s="105" t="n">
        <v>0</v>
      </c>
      <c r="BQ859" s="105" t="n">
        <v>0</v>
      </c>
      <c r="BR859" s="106" t="n">
        <v>0.75</v>
      </c>
      <c r="BS859" s="106" t="n">
        <v>0.75</v>
      </c>
      <c r="BT859" s="107"/>
      <c r="BU859" s="107"/>
      <c r="BV859" s="107"/>
      <c r="BW859" s="107"/>
      <c r="BX859" s="107"/>
      <c r="BY859" s="107"/>
      <c r="BZ859" s="107"/>
      <c r="CA859" s="107"/>
      <c r="CB859" s="107"/>
      <c r="CC859" s="107"/>
      <c r="CD859" s="107"/>
      <c r="CE859" s="107"/>
      <c r="CF859" s="107"/>
      <c r="CG859" s="107"/>
      <c r="CH859" s="107"/>
      <c r="CI859" s="107"/>
      <c r="CJ859" s="107"/>
      <c r="CK859" s="107"/>
      <c r="CL859" s="107"/>
      <c r="CM859" s="107"/>
      <c r="CN859" s="107"/>
      <c r="CO859" s="107"/>
      <c r="CP859" s="107"/>
      <c r="CQ859" s="107"/>
      <c r="CR859" s="107"/>
      <c r="CS859" s="107"/>
      <c r="CT859" s="107"/>
      <c r="CU859" s="107"/>
      <c r="CV859" s="107"/>
    </row>
    <row r="860" customFormat="false" ht="14.9" hidden="false" customHeight="false" outlineLevel="0" collapsed="false">
      <c r="A860" s="74" t="n">
        <f aca="false">MONTH(B860)</f>
        <v>10</v>
      </c>
      <c r="B860" s="135" t="n">
        <v>44478</v>
      </c>
      <c r="C860" s="128" t="s">
        <v>51</v>
      </c>
      <c r="D860" s="77" t="str">
        <f aca="false">IFERROR(VLOOKUP(E:E,'Item Data Support Sheet'!A:O,7,0),"")</f>
        <v>NIPPLE LASER MARKING</v>
      </c>
      <c r="E860" s="80" t="s">
        <v>681</v>
      </c>
      <c r="F860" s="122"/>
      <c r="G860" s="137" t="s">
        <v>517</v>
      </c>
      <c r="H860" s="79" t="str">
        <f aca="false">IFERROR(VLOOKUP(E:E,'Item Data Support Sheet'!A:O,2,0),"")</f>
        <v>NIPPLE S TYPE L SIZE PUNCHED LASER MARKED</v>
      </c>
      <c r="I860" s="80"/>
      <c r="J860" s="80" t="s">
        <v>148</v>
      </c>
      <c r="K860" s="124" t="n">
        <v>8</v>
      </c>
      <c r="L860" s="124" t="n">
        <v>7000</v>
      </c>
      <c r="M860" s="83" t="n">
        <v>875</v>
      </c>
      <c r="N860" s="84" t="n">
        <f aca="false">+O860+Q860+T860+U860</f>
        <v>7050</v>
      </c>
      <c r="O860" s="85" t="n">
        <v>7050</v>
      </c>
      <c r="P860" s="86" t="n">
        <v>0</v>
      </c>
      <c r="Q860" s="86" t="n">
        <v>0</v>
      </c>
      <c r="R860" s="132" t="n">
        <v>0</v>
      </c>
      <c r="S860" s="128" t="n">
        <v>0</v>
      </c>
      <c r="T860" s="132" t="n">
        <v>0</v>
      </c>
      <c r="U860" s="128" t="n">
        <v>0</v>
      </c>
      <c r="V860" s="128" t="n">
        <v>1</v>
      </c>
      <c r="W860" s="90" t="n">
        <f aca="false">IFERROR(O860/V860,0)</f>
        <v>7050</v>
      </c>
      <c r="X860" s="91" t="n">
        <f aca="false">O860/L860</f>
        <v>1.00714285714286</v>
      </c>
      <c r="Y860" s="92" t="str">
        <f aca="false">IFERROR(VLOOKUP(E:E,'Item Data Support Sheet'!A:J,6,0),0)</f>
        <v>FO021</v>
      </c>
      <c r="Z860" s="93" t="n">
        <f aca="false">IFERROR(VLOOKUP(E:E,'Item Data Support Sheet'!A:O,4,0),0)</f>
        <v>0</v>
      </c>
      <c r="AA860" s="93" t="n">
        <f aca="false">IFERROR(((N860)*(Z860/1000))+P860,0)</f>
        <v>0</v>
      </c>
      <c r="AB860" s="94" t="str">
        <f aca="false">IFERROR((O860*(Z860/1000)/(AA860))," ")</f>
        <v> </v>
      </c>
      <c r="AC860" s="95" t="n">
        <f aca="false">IFERROR((T860)/((T860)+O860),0)</f>
        <v>0</v>
      </c>
      <c r="AD860" s="96" t="n">
        <f aca="false">IFERROR(Q860/(Q860+N860),0)</f>
        <v>0</v>
      </c>
      <c r="AE860" s="91" t="n">
        <f aca="false">(N860-T860)/N860</f>
        <v>1</v>
      </c>
      <c r="AF860" s="97" t="n">
        <f aca="false">BR860</f>
        <v>0.75</v>
      </c>
      <c r="AG860" s="98" t="n">
        <f aca="false">K860-AF860</f>
        <v>7.25</v>
      </c>
      <c r="AH860" s="99" t="n">
        <f aca="false">IFERROR(AG860/K860," ")</f>
        <v>0.90625</v>
      </c>
      <c r="AI860" s="100" t="n">
        <f aca="false">IFERROR(O860/K860,0)</f>
        <v>881.25</v>
      </c>
      <c r="AJ860" s="101" t="n">
        <f aca="false">VLOOKUP(D860,'Standard Cycle time'!C:D,2,0)</f>
        <v>3.5</v>
      </c>
      <c r="AK860" s="101" t="n">
        <f aca="false">AG860*V860*3600/O860</f>
        <v>3.70212765957447</v>
      </c>
      <c r="AL860" s="102" t="n">
        <f aca="false">AJ860/AK860</f>
        <v>0.945402298850575</v>
      </c>
      <c r="AM860" s="99" t="n">
        <f aca="false">AE860*AL860*AH860</f>
        <v>0.856770833333333</v>
      </c>
      <c r="AN860" s="103" t="n">
        <v>0.856770833333333</v>
      </c>
      <c r="AO860" s="112"/>
      <c r="AP860" s="105" t="n">
        <v>45</v>
      </c>
      <c r="AQ860" s="105" t="n">
        <v>0</v>
      </c>
      <c r="AR860" s="105" t="n">
        <v>0</v>
      </c>
      <c r="AS860" s="105" t="n">
        <v>0</v>
      </c>
      <c r="AT860" s="105" t="n">
        <v>0</v>
      </c>
      <c r="AU860" s="105" t="n">
        <v>0</v>
      </c>
      <c r="AV860" s="105" t="n">
        <v>0</v>
      </c>
      <c r="AW860" s="105" t="n">
        <v>0</v>
      </c>
      <c r="AX860" s="105" t="n">
        <v>0</v>
      </c>
      <c r="AY860" s="105" t="n">
        <v>0</v>
      </c>
      <c r="AZ860" s="105" t="n">
        <v>0</v>
      </c>
      <c r="BA860" s="105" t="n">
        <v>0</v>
      </c>
      <c r="BB860" s="105" t="n">
        <v>0</v>
      </c>
      <c r="BC860" s="105" t="n">
        <v>0</v>
      </c>
      <c r="BD860" s="105" t="n">
        <v>0</v>
      </c>
      <c r="BE860" s="105" t="n">
        <v>0</v>
      </c>
      <c r="BF860" s="105" t="n">
        <v>0</v>
      </c>
      <c r="BG860" s="105" t="n">
        <v>0</v>
      </c>
      <c r="BH860" s="105" t="n">
        <v>0</v>
      </c>
      <c r="BI860" s="105" t="n">
        <v>0</v>
      </c>
      <c r="BJ860" s="105" t="n">
        <v>0</v>
      </c>
      <c r="BK860" s="105" t="n">
        <v>0</v>
      </c>
      <c r="BL860" s="105" t="n">
        <v>0</v>
      </c>
      <c r="BM860" s="105" t="n">
        <v>0</v>
      </c>
      <c r="BN860" s="105" t="n">
        <v>0</v>
      </c>
      <c r="BO860" s="105" t="n">
        <v>0</v>
      </c>
      <c r="BP860" s="105" t="n">
        <v>0</v>
      </c>
      <c r="BQ860" s="105" t="n">
        <v>0</v>
      </c>
      <c r="BR860" s="106" t="n">
        <v>0.75</v>
      </c>
      <c r="BS860" s="106" t="n">
        <v>0.75</v>
      </c>
      <c r="BT860" s="107"/>
      <c r="BU860" s="107"/>
      <c r="BV860" s="107"/>
      <c r="BW860" s="107"/>
      <c r="BX860" s="107"/>
      <c r="BY860" s="107"/>
      <c r="BZ860" s="107"/>
      <c r="CA860" s="107"/>
      <c r="CB860" s="107"/>
      <c r="CC860" s="107"/>
      <c r="CD860" s="107"/>
      <c r="CE860" s="107"/>
      <c r="CF860" s="107"/>
      <c r="CG860" s="107"/>
      <c r="CH860" s="107"/>
      <c r="CI860" s="107"/>
      <c r="CJ860" s="107"/>
      <c r="CK860" s="107"/>
      <c r="CL860" s="107"/>
      <c r="CM860" s="107"/>
      <c r="CN860" s="107"/>
      <c r="CO860" s="107"/>
      <c r="CP860" s="107"/>
      <c r="CQ860" s="107"/>
      <c r="CR860" s="107"/>
      <c r="CS860" s="107"/>
      <c r="CT860" s="107"/>
      <c r="CU860" s="107"/>
      <c r="CV860" s="107"/>
    </row>
    <row r="861" customFormat="false" ht="14.9" hidden="false" customHeight="false" outlineLevel="0" collapsed="false">
      <c r="A861" s="74" t="n">
        <f aca="false">MONTH(B861)</f>
        <v>10</v>
      </c>
      <c r="B861" s="135" t="n">
        <v>44478</v>
      </c>
      <c r="C861" s="128" t="s">
        <v>51</v>
      </c>
      <c r="D861" s="77" t="str">
        <f aca="false">IFERROR(VLOOKUP(E:E,'Item Data Support Sheet'!A:O,7,0),"")</f>
        <v>BOTTLE PRINTED</v>
      </c>
      <c r="E861" s="80" t="s">
        <v>691</v>
      </c>
      <c r="F861" s="122"/>
      <c r="G861" s="137" t="s">
        <v>66</v>
      </c>
      <c r="H861" s="79" t="str">
        <f aca="false">IFERROR(VLOOKUP(E:E,'Item Data Support Sheet'!A:O,2,0),"")</f>
        <v>KPP 120 ML BOTTLE PRINTED</v>
      </c>
      <c r="I861" s="80" t="s">
        <v>1619</v>
      </c>
      <c r="J861" s="80" t="s">
        <v>155</v>
      </c>
      <c r="K861" s="124" t="n">
        <v>8</v>
      </c>
      <c r="L861" s="124" t="n">
        <v>5100</v>
      </c>
      <c r="M861" s="83" t="n">
        <v>637.5</v>
      </c>
      <c r="N861" s="84" t="n">
        <f aca="false">+O861+Q861+T861+U861</f>
        <v>5316</v>
      </c>
      <c r="O861" s="85" t="n">
        <v>5292</v>
      </c>
      <c r="P861" s="86" t="n">
        <v>0</v>
      </c>
      <c r="Q861" s="86" t="n">
        <v>0</v>
      </c>
      <c r="R861" s="132" t="n">
        <v>37</v>
      </c>
      <c r="S861" s="128" t="n">
        <v>0</v>
      </c>
      <c r="T861" s="132" t="n">
        <v>24</v>
      </c>
      <c r="U861" s="128" t="n">
        <v>0</v>
      </c>
      <c r="V861" s="128" t="n">
        <v>5</v>
      </c>
      <c r="W861" s="90" t="n">
        <f aca="false">IFERROR(O861/V861,0)</f>
        <v>1058.4</v>
      </c>
      <c r="X861" s="91" t="n">
        <f aca="false">O861/L861</f>
        <v>1.03764705882353</v>
      </c>
      <c r="Y861" s="92" t="str">
        <f aca="false">IFERROR(VLOOKUP(E:E,'Item Data Support Sheet'!A:J,6,0),0)</f>
        <v>FO001</v>
      </c>
      <c r="Z861" s="93" t="n">
        <f aca="false">IFERROR(VLOOKUP(E:E,'Item Data Support Sheet'!A:O,4,0),0)</f>
        <v>0</v>
      </c>
      <c r="AA861" s="93" t="n">
        <f aca="false">IFERROR(((N861)*(Z861/1000))+P861,0)</f>
        <v>0</v>
      </c>
      <c r="AB861" s="94" t="str">
        <f aca="false">IFERROR((O861*(Z861/1000)/(AA861))," ")</f>
        <v> </v>
      </c>
      <c r="AC861" s="95" t="n">
        <f aca="false">IFERROR((T861)/((T861)+O861),0)</f>
        <v>0.00451467268623025</v>
      </c>
      <c r="AD861" s="96" t="n">
        <f aca="false">IFERROR(Q861/(Q861+N861),0)</f>
        <v>0</v>
      </c>
      <c r="AE861" s="91" t="n">
        <f aca="false">(N861-T861)/N861</f>
        <v>0.99548532731377</v>
      </c>
      <c r="AF861" s="97" t="n">
        <f aca="false">BR861</f>
        <v>0.666666666666667</v>
      </c>
      <c r="AG861" s="98" t="n">
        <f aca="false">K861-AF861</f>
        <v>7.33333333333333</v>
      </c>
      <c r="AH861" s="99" t="n">
        <f aca="false">IFERROR(AG861/K861," ")</f>
        <v>0.916666666666667</v>
      </c>
      <c r="AI861" s="100" t="n">
        <f aca="false">IFERROR(O861/K861,0)</f>
        <v>661.5</v>
      </c>
      <c r="AJ861" s="101" t="n">
        <f aca="false">VLOOKUP(D861,'Standard Cycle time'!C:D,2,0)</f>
        <v>32.4</v>
      </c>
      <c r="AK861" s="101" t="n">
        <f aca="false">AG861*V861*3600/O861</f>
        <v>24.9433106575964</v>
      </c>
      <c r="AL861" s="102" t="n">
        <f aca="false">AJ861/AK861</f>
        <v>1.29894545454545</v>
      </c>
      <c r="AM861" s="99" t="n">
        <f aca="false">AE861*AL861*AH861</f>
        <v>1.18532437923251</v>
      </c>
      <c r="AN861" s="103" t="n">
        <v>1.18532437923251</v>
      </c>
      <c r="AO861" s="112"/>
      <c r="AP861" s="105" t="n">
        <v>40</v>
      </c>
      <c r="AQ861" s="105" t="n">
        <v>0</v>
      </c>
      <c r="AR861" s="105" t="n">
        <v>0</v>
      </c>
      <c r="AS861" s="105" t="n">
        <v>0</v>
      </c>
      <c r="AT861" s="105" t="n">
        <v>0</v>
      </c>
      <c r="AU861" s="105" t="n">
        <v>0</v>
      </c>
      <c r="AV861" s="105" t="n">
        <v>0</v>
      </c>
      <c r="AW861" s="105" t="n">
        <v>0</v>
      </c>
      <c r="AX861" s="105" t="n">
        <v>0</v>
      </c>
      <c r="AY861" s="105" t="n">
        <v>0</v>
      </c>
      <c r="AZ861" s="105" t="n">
        <v>0</v>
      </c>
      <c r="BA861" s="105" t="n">
        <v>0</v>
      </c>
      <c r="BB861" s="105" t="n">
        <v>0</v>
      </c>
      <c r="BC861" s="105" t="n">
        <v>0</v>
      </c>
      <c r="BD861" s="105" t="n">
        <v>0</v>
      </c>
      <c r="BE861" s="105" t="n">
        <v>0</v>
      </c>
      <c r="BF861" s="105" t="n">
        <v>0</v>
      </c>
      <c r="BG861" s="105" t="n">
        <v>0</v>
      </c>
      <c r="BH861" s="105" t="n">
        <v>0</v>
      </c>
      <c r="BI861" s="105" t="n">
        <v>0</v>
      </c>
      <c r="BJ861" s="105" t="n">
        <v>0</v>
      </c>
      <c r="BK861" s="105" t="n">
        <v>0</v>
      </c>
      <c r="BL861" s="105" t="n">
        <v>0</v>
      </c>
      <c r="BM861" s="105" t="n">
        <v>0</v>
      </c>
      <c r="BN861" s="105" t="n">
        <v>0</v>
      </c>
      <c r="BO861" s="105" t="n">
        <v>0</v>
      </c>
      <c r="BP861" s="105" t="n">
        <v>0</v>
      </c>
      <c r="BQ861" s="105" t="n">
        <v>0</v>
      </c>
      <c r="BR861" s="106" t="n">
        <v>0.666666666666667</v>
      </c>
      <c r="BS861" s="106" t="n">
        <v>0.666666666666667</v>
      </c>
      <c r="BT861" s="107"/>
      <c r="BU861" s="107"/>
      <c r="BV861" s="107"/>
      <c r="BW861" s="107"/>
      <c r="BX861" s="107"/>
      <c r="BY861" s="107"/>
      <c r="BZ861" s="107"/>
      <c r="CA861" s="107"/>
      <c r="CB861" s="107"/>
      <c r="CC861" s="107"/>
      <c r="CD861" s="107"/>
      <c r="CE861" s="107"/>
      <c r="CF861" s="107"/>
      <c r="CG861" s="107"/>
      <c r="CH861" s="107"/>
      <c r="CI861" s="107"/>
      <c r="CJ861" s="107"/>
      <c r="CK861" s="107"/>
      <c r="CL861" s="107"/>
      <c r="CM861" s="107"/>
      <c r="CN861" s="107"/>
      <c r="CO861" s="107"/>
      <c r="CP861" s="107"/>
      <c r="CQ861" s="107"/>
      <c r="CR861" s="107"/>
      <c r="CS861" s="107"/>
      <c r="CT861" s="107"/>
      <c r="CU861" s="107"/>
      <c r="CV861" s="107"/>
    </row>
    <row r="862" customFormat="false" ht="14.9" hidden="false" customHeight="false" outlineLevel="0" collapsed="false">
      <c r="A862" s="74" t="n">
        <f aca="false">MONTH(B862)</f>
        <v>10</v>
      </c>
      <c r="B862" s="135" t="n">
        <v>44478</v>
      </c>
      <c r="C862" s="128" t="s">
        <v>63</v>
      </c>
      <c r="D862" s="77" t="str">
        <f aca="false">IFERROR(VLOOKUP(E:E,'Item Data Support Sheet'!A:O,7,0),"")</f>
        <v>NIPPLE PUNCH INSPECTED</v>
      </c>
      <c r="E862" s="80" t="s">
        <v>621</v>
      </c>
      <c r="F862" s="122"/>
      <c r="G862" s="137"/>
      <c r="H862" s="79" t="str">
        <f aca="false">IFERROR(VLOOKUP(E:E,'Item Data Support Sheet'!A:O,2,0),"")</f>
        <v>NIPPLE S TYPE LL SIZE INSPECTED</v>
      </c>
      <c r="I862" s="80" t="s">
        <v>1601</v>
      </c>
      <c r="J862" s="80" t="s">
        <v>158</v>
      </c>
      <c r="K862" s="124" t="n">
        <v>1</v>
      </c>
      <c r="L862" s="124" t="n">
        <v>1767</v>
      </c>
      <c r="M862" s="83" t="n">
        <v>1767</v>
      </c>
      <c r="N862" s="84" t="n">
        <f aca="false">+O862+Q862+T862+U862</f>
        <v>2050</v>
      </c>
      <c r="O862" s="85" t="n">
        <v>2040</v>
      </c>
      <c r="P862" s="86" t="n">
        <v>0</v>
      </c>
      <c r="Q862" s="86" t="n">
        <v>0</v>
      </c>
      <c r="R862" s="132" t="n">
        <v>0</v>
      </c>
      <c r="S862" s="128" t="n">
        <v>0</v>
      </c>
      <c r="T862" s="132" t="n">
        <v>10</v>
      </c>
      <c r="U862" s="128" t="n">
        <v>0</v>
      </c>
      <c r="V862" s="128" t="n">
        <v>1</v>
      </c>
      <c r="W862" s="90" t="n">
        <f aca="false">IFERROR(O862/V862,0)</f>
        <v>2040</v>
      </c>
      <c r="X862" s="91" t="n">
        <f aca="false">O862/L862</f>
        <v>1.15449915110357</v>
      </c>
      <c r="Y862" s="92" t="str">
        <f aca="false">IFERROR(VLOOKUP(E:E,'Item Data Support Sheet'!A:J,6,0),0)</f>
        <v>FO152</v>
      </c>
      <c r="Z862" s="93" t="n">
        <f aca="false">IFERROR(VLOOKUP(E:E,'Item Data Support Sheet'!A:O,4,0),0)</f>
        <v>0</v>
      </c>
      <c r="AA862" s="93" t="n">
        <f aca="false">IFERROR(((N862)*(Z862/1000))+P862,0)</f>
        <v>0</v>
      </c>
      <c r="AB862" s="94" t="str">
        <f aca="false">IFERROR((O862*(Z862/1000)/(AA862))," ")</f>
        <v> </v>
      </c>
      <c r="AC862" s="95" t="n">
        <f aca="false">IFERROR((T862)/((T862)+O862),0)</f>
        <v>0.00487804878048781</v>
      </c>
      <c r="AD862" s="96" t="n">
        <f aca="false">IFERROR(Q862/(Q862+N862),0)</f>
        <v>0</v>
      </c>
      <c r="AE862" s="91" t="n">
        <f aca="false">(N862-T862)/N862</f>
        <v>0.995121951219512</v>
      </c>
      <c r="AF862" s="97" t="n">
        <f aca="false">BR862</f>
        <v>0</v>
      </c>
      <c r="AG862" s="98" t="n">
        <f aca="false">K862-AF862</f>
        <v>1</v>
      </c>
      <c r="AH862" s="99" t="n">
        <f aca="false">IFERROR(AG862/K862," ")</f>
        <v>1</v>
      </c>
      <c r="AI862" s="100" t="n">
        <f aca="false">IFERROR(O862/K862,0)</f>
        <v>2040</v>
      </c>
      <c r="AJ862" s="101" t="n">
        <f aca="false">VLOOKUP(D862,'Standard Cycle time'!C:D,2,0)</f>
        <v>4</v>
      </c>
      <c r="AK862" s="101" t="n">
        <f aca="false">AG862*V862*3600/O862</f>
        <v>1.76470588235294</v>
      </c>
      <c r="AL862" s="102" t="n">
        <f aca="false">AJ862/AK862</f>
        <v>2.26666666666667</v>
      </c>
      <c r="AM862" s="99" t="n">
        <f aca="false">AE862*AL862*AH862</f>
        <v>2.25560975609756</v>
      </c>
      <c r="AN862" s="103" t="n">
        <v>2.25560975609756</v>
      </c>
      <c r="AO862" s="112"/>
      <c r="AP862" s="105"/>
      <c r="AQ862" s="105" t="n">
        <v>0</v>
      </c>
      <c r="AR862" s="105" t="n">
        <v>0</v>
      </c>
      <c r="AS862" s="105" t="n">
        <v>0</v>
      </c>
      <c r="AT862" s="105" t="n">
        <v>0</v>
      </c>
      <c r="AU862" s="105" t="n">
        <v>0</v>
      </c>
      <c r="AV862" s="105" t="n">
        <v>0</v>
      </c>
      <c r="AW862" s="105" t="n">
        <v>0</v>
      </c>
      <c r="AX862" s="105" t="n">
        <v>0</v>
      </c>
      <c r="AY862" s="105" t="n">
        <v>0</v>
      </c>
      <c r="AZ862" s="105" t="n">
        <v>0</v>
      </c>
      <c r="BA862" s="105" t="n">
        <v>0</v>
      </c>
      <c r="BB862" s="105" t="n">
        <v>0</v>
      </c>
      <c r="BC862" s="105" t="n">
        <v>0</v>
      </c>
      <c r="BD862" s="105" t="n">
        <v>0</v>
      </c>
      <c r="BE862" s="105" t="n">
        <v>0</v>
      </c>
      <c r="BF862" s="105" t="n">
        <v>0</v>
      </c>
      <c r="BG862" s="105" t="n">
        <v>0</v>
      </c>
      <c r="BH862" s="105" t="n">
        <v>0</v>
      </c>
      <c r="BI862" s="105" t="n">
        <v>0</v>
      </c>
      <c r="BJ862" s="105" t="n">
        <v>0</v>
      </c>
      <c r="BK862" s="105" t="n">
        <v>0</v>
      </c>
      <c r="BL862" s="105" t="n">
        <v>0</v>
      </c>
      <c r="BM862" s="105" t="n">
        <v>0</v>
      </c>
      <c r="BN862" s="105" t="n">
        <v>0</v>
      </c>
      <c r="BO862" s="105" t="n">
        <v>0</v>
      </c>
      <c r="BP862" s="105" t="n">
        <v>0</v>
      </c>
      <c r="BQ862" s="105" t="n">
        <v>0</v>
      </c>
      <c r="BR862" s="106" t="n">
        <v>0</v>
      </c>
      <c r="BS862" s="106" t="n">
        <v>0</v>
      </c>
      <c r="BT862" s="107"/>
      <c r="BU862" s="107"/>
      <c r="BV862" s="107"/>
      <c r="BW862" s="107"/>
      <c r="BX862" s="107"/>
      <c r="BY862" s="107"/>
      <c r="BZ862" s="107"/>
      <c r="CA862" s="107"/>
      <c r="CB862" s="107"/>
      <c r="CC862" s="107"/>
      <c r="CD862" s="107"/>
      <c r="CE862" s="107"/>
      <c r="CF862" s="107"/>
      <c r="CG862" s="107"/>
      <c r="CH862" s="107"/>
      <c r="CI862" s="107"/>
      <c r="CJ862" s="107"/>
      <c r="CK862" s="107"/>
      <c r="CL862" s="107"/>
      <c r="CM862" s="107"/>
      <c r="CN862" s="107"/>
      <c r="CO862" s="107"/>
      <c r="CP862" s="107"/>
      <c r="CQ862" s="107"/>
      <c r="CR862" s="107"/>
      <c r="CS862" s="107"/>
      <c r="CT862" s="107"/>
      <c r="CU862" s="107"/>
      <c r="CV862" s="107"/>
    </row>
    <row r="863" customFormat="false" ht="14.9" hidden="false" customHeight="false" outlineLevel="0" collapsed="false">
      <c r="A863" s="74" t="n">
        <f aca="false">MONTH(B863)</f>
        <v>10</v>
      </c>
      <c r="B863" s="135" t="n">
        <v>44478</v>
      </c>
      <c r="C863" s="128" t="s">
        <v>63</v>
      </c>
      <c r="D863" s="77" t="str">
        <f aca="false">IFERROR(VLOOKUP(E:E,'Item Data Support Sheet'!A:O,7,0),"")</f>
        <v>NIPPLE PUNCH INSPECTED</v>
      </c>
      <c r="E863" s="80" t="s">
        <v>688</v>
      </c>
      <c r="F863" s="122"/>
      <c r="G863" s="137"/>
      <c r="H863" s="79" t="str">
        <f aca="false">IFERROR(VLOOKUP(E:E,'Item Data Support Sheet'!A:O,2,0),"")</f>
        <v>NIPPLE S TYPE L SIZE PUNCHED INSPECTED</v>
      </c>
      <c r="I863" s="80" t="s">
        <v>1620</v>
      </c>
      <c r="J863" s="80" t="s">
        <v>158</v>
      </c>
      <c r="K863" s="124" t="n">
        <v>7</v>
      </c>
      <c r="L863" s="124" t="n">
        <v>10598</v>
      </c>
      <c r="M863" s="83" t="n">
        <v>1514</v>
      </c>
      <c r="N863" s="84" t="n">
        <f aca="false">+O863+Q863+T863+U863</f>
        <v>9050</v>
      </c>
      <c r="O863" s="85" t="n">
        <v>8970</v>
      </c>
      <c r="P863" s="86" t="n">
        <v>0</v>
      </c>
      <c r="Q863" s="86" t="n">
        <v>0</v>
      </c>
      <c r="R863" s="132" t="n">
        <v>0</v>
      </c>
      <c r="S863" s="128" t="n">
        <v>0</v>
      </c>
      <c r="T863" s="132" t="n">
        <v>80</v>
      </c>
      <c r="U863" s="128" t="n">
        <v>0</v>
      </c>
      <c r="V863" s="128" t="n">
        <v>1</v>
      </c>
      <c r="W863" s="90" t="n">
        <f aca="false">IFERROR(O863/V863,0)</f>
        <v>8970</v>
      </c>
      <c r="X863" s="91" t="n">
        <f aca="false">O863/L863</f>
        <v>0.846386110586903</v>
      </c>
      <c r="Y863" s="92" t="str">
        <f aca="false">IFERROR(VLOOKUP(E:E,'Item Data Support Sheet'!A:J,6,0),0)</f>
        <v>FO106</v>
      </c>
      <c r="Z863" s="93" t="n">
        <f aca="false">IFERROR(VLOOKUP(E:E,'Item Data Support Sheet'!A:O,4,0),0)</f>
        <v>0</v>
      </c>
      <c r="AA863" s="93" t="n">
        <f aca="false">IFERROR(((N863)*(Z863/1000))+P863,0)</f>
        <v>0</v>
      </c>
      <c r="AB863" s="94" t="str">
        <f aca="false">IFERROR((O863*(Z863/1000)/(AA863))," ")</f>
        <v> </v>
      </c>
      <c r="AC863" s="95" t="n">
        <f aca="false">IFERROR((T863)/((T863)+O863),0)</f>
        <v>0.00883977900552486</v>
      </c>
      <c r="AD863" s="96" t="n">
        <f aca="false">IFERROR(Q863/(Q863+N863),0)</f>
        <v>0</v>
      </c>
      <c r="AE863" s="91" t="n">
        <f aca="false">(N863-T863)/N863</f>
        <v>0.991160220994475</v>
      </c>
      <c r="AF863" s="97" t="n">
        <f aca="false">BR863</f>
        <v>0.833333333333333</v>
      </c>
      <c r="AG863" s="98" t="n">
        <f aca="false">K863-AF863</f>
        <v>6.16666666666667</v>
      </c>
      <c r="AH863" s="99" t="n">
        <f aca="false">IFERROR(AG863/K863," ")</f>
        <v>0.880952380952381</v>
      </c>
      <c r="AI863" s="100" t="n">
        <f aca="false">IFERROR(O863/K863,0)</f>
        <v>1281.42857142857</v>
      </c>
      <c r="AJ863" s="101" t="n">
        <f aca="false">VLOOKUP(D863,'Standard Cycle time'!C:D,2,0)</f>
        <v>4</v>
      </c>
      <c r="AK863" s="101" t="n">
        <f aca="false">AG863*V863*3600/O863</f>
        <v>2.47491638795987</v>
      </c>
      <c r="AL863" s="102" t="n">
        <f aca="false">AJ863/AK863</f>
        <v>1.61621621621622</v>
      </c>
      <c r="AM863" s="99" t="n">
        <f aca="false">AE863*AL863*AH863</f>
        <v>1.41122336227309</v>
      </c>
      <c r="AN863" s="103" t="n">
        <v>1.41122336227309</v>
      </c>
      <c r="AO863" s="112"/>
      <c r="AP863" s="105" t="n">
        <v>50</v>
      </c>
      <c r="AQ863" s="105" t="n">
        <v>0</v>
      </c>
      <c r="AR863" s="105" t="n">
        <v>0</v>
      </c>
      <c r="AS863" s="105" t="n">
        <v>0</v>
      </c>
      <c r="AT863" s="105" t="n">
        <v>0</v>
      </c>
      <c r="AU863" s="105" t="n">
        <v>0</v>
      </c>
      <c r="AV863" s="105" t="n">
        <v>0</v>
      </c>
      <c r="AW863" s="105" t="n">
        <v>0</v>
      </c>
      <c r="AX863" s="105" t="n">
        <v>0</v>
      </c>
      <c r="AY863" s="105" t="n">
        <v>0</v>
      </c>
      <c r="AZ863" s="105" t="n">
        <v>0</v>
      </c>
      <c r="BA863" s="105" t="n">
        <v>0</v>
      </c>
      <c r="BB863" s="105" t="n">
        <v>0</v>
      </c>
      <c r="BC863" s="105" t="n">
        <v>0</v>
      </c>
      <c r="BD863" s="105" t="n">
        <v>0</v>
      </c>
      <c r="BE863" s="105" t="n">
        <v>0</v>
      </c>
      <c r="BF863" s="105" t="n">
        <v>0</v>
      </c>
      <c r="BG863" s="105" t="n">
        <v>0</v>
      </c>
      <c r="BH863" s="105" t="n">
        <v>0</v>
      </c>
      <c r="BI863" s="105" t="n">
        <v>0</v>
      </c>
      <c r="BJ863" s="105" t="n">
        <v>0</v>
      </c>
      <c r="BK863" s="105" t="n">
        <v>0</v>
      </c>
      <c r="BL863" s="105" t="n">
        <v>0</v>
      </c>
      <c r="BM863" s="105" t="n">
        <v>0</v>
      </c>
      <c r="BN863" s="105" t="n">
        <v>0</v>
      </c>
      <c r="BO863" s="105" t="n">
        <v>0</v>
      </c>
      <c r="BP863" s="105" t="n">
        <v>0</v>
      </c>
      <c r="BQ863" s="105" t="n">
        <v>0</v>
      </c>
      <c r="BR863" s="106" t="n">
        <v>0.833333333333333</v>
      </c>
      <c r="BS863" s="106" t="n">
        <v>0.833333333333333</v>
      </c>
      <c r="BT863" s="107"/>
      <c r="BU863" s="107"/>
      <c r="BV863" s="107"/>
      <c r="BW863" s="107"/>
      <c r="BX863" s="107"/>
      <c r="BY863" s="107"/>
      <c r="BZ863" s="107"/>
      <c r="CA863" s="107"/>
      <c r="CB863" s="107"/>
      <c r="CC863" s="107"/>
      <c r="CD863" s="107"/>
      <c r="CE863" s="107"/>
      <c r="CF863" s="107"/>
      <c r="CG863" s="107"/>
      <c r="CH863" s="107"/>
      <c r="CI863" s="107"/>
      <c r="CJ863" s="107"/>
      <c r="CK863" s="107"/>
      <c r="CL863" s="107"/>
      <c r="CM863" s="107"/>
      <c r="CN863" s="107"/>
      <c r="CO863" s="107"/>
      <c r="CP863" s="107"/>
      <c r="CQ863" s="107"/>
      <c r="CR863" s="107"/>
      <c r="CS863" s="107"/>
      <c r="CT863" s="107"/>
      <c r="CU863" s="107"/>
      <c r="CV863" s="107"/>
    </row>
    <row r="864" customFormat="false" ht="14.9" hidden="false" customHeight="false" outlineLevel="0" collapsed="false">
      <c r="A864" s="74" t="n">
        <f aca="false">MONTH(B864)</f>
        <v>10</v>
      </c>
      <c r="B864" s="135" t="n">
        <v>44478</v>
      </c>
      <c r="C864" s="128" t="s">
        <v>63</v>
      </c>
      <c r="D864" s="77" t="str">
        <f aca="false">IFERROR(VLOOKUP(E:E,'Item Data Support Sheet'!A:O,7,0),"")</f>
        <v>NIPPLE WRAP PRINTED</v>
      </c>
      <c r="E864" s="80" t="s">
        <v>474</v>
      </c>
      <c r="F864" s="122"/>
      <c r="G864" s="137" t="s">
        <v>432</v>
      </c>
      <c r="H864" s="79" t="str">
        <f aca="false">IFERROR(VLOOKUP(E:E,'Item Data Support Sheet'!A:O,2,0),"")</f>
        <v>NIPPLE S TYPE L SIZE WITH PRINTED WRAP</v>
      </c>
      <c r="I864" s="80" t="s">
        <v>1621</v>
      </c>
      <c r="J864" s="80" t="s">
        <v>158</v>
      </c>
      <c r="K864" s="124" t="n">
        <v>8</v>
      </c>
      <c r="L864" s="124" t="n">
        <v>16132</v>
      </c>
      <c r="M864" s="83" t="n">
        <v>2016.5</v>
      </c>
      <c r="N864" s="84" t="n">
        <f aca="false">+O864+Q864+T864+U864</f>
        <v>14408</v>
      </c>
      <c r="O864" s="85" t="n">
        <v>14390</v>
      </c>
      <c r="P864" s="86" t="n">
        <v>0</v>
      </c>
      <c r="Q864" s="86" t="n">
        <v>0</v>
      </c>
      <c r="R864" s="132" t="n">
        <v>0</v>
      </c>
      <c r="S864" s="128" t="n">
        <v>0</v>
      </c>
      <c r="T864" s="132" t="n">
        <v>18</v>
      </c>
      <c r="U864" s="128" t="n">
        <v>0</v>
      </c>
      <c r="V864" s="128" t="n">
        <v>2</v>
      </c>
      <c r="W864" s="90" t="n">
        <f aca="false">IFERROR(O864/V864,0)</f>
        <v>7195</v>
      </c>
      <c r="X864" s="91" t="n">
        <f aca="false">O864/L864</f>
        <v>0.892015869080089</v>
      </c>
      <c r="Y864" s="92" t="str">
        <f aca="false">IFERROR(VLOOKUP(E:E,'Item Data Support Sheet'!A:J,6,0),0)</f>
        <v>FO021</v>
      </c>
      <c r="Z864" s="93" t="n">
        <f aca="false">IFERROR(VLOOKUP(E:E,'Item Data Support Sheet'!A:O,4,0),0)</f>
        <v>0</v>
      </c>
      <c r="AA864" s="93" t="n">
        <f aca="false">IFERROR(((N864)*(Z864/1000))+P864,0)</f>
        <v>0</v>
      </c>
      <c r="AB864" s="94" t="str">
        <f aca="false">IFERROR((O864*(Z864/1000)/(AA864))," ")</f>
        <v> </v>
      </c>
      <c r="AC864" s="95" t="n">
        <f aca="false">IFERROR((T864)/((T864)+O864),0)</f>
        <v>0.00124930594114381</v>
      </c>
      <c r="AD864" s="96" t="n">
        <f aca="false">IFERROR(Q864/(Q864+N864),0)</f>
        <v>0</v>
      </c>
      <c r="AE864" s="91" t="n">
        <f aca="false">(N864-T864)/N864</f>
        <v>0.998750694058856</v>
      </c>
      <c r="AF864" s="97" t="n">
        <f aca="false">BR864</f>
        <v>0.833333333333333</v>
      </c>
      <c r="AG864" s="98" t="n">
        <f aca="false">K864-AF864</f>
        <v>7.16666666666667</v>
      </c>
      <c r="AH864" s="99" t="n">
        <f aca="false">IFERROR(AG864/K864," ")</f>
        <v>0.895833333333333</v>
      </c>
      <c r="AI864" s="100" t="n">
        <f aca="false">IFERROR(O864/K864,0)</f>
        <v>1798.75</v>
      </c>
      <c r="AJ864" s="101" t="n">
        <f aca="false">VLOOKUP(D864,'Standard Cycle time'!C:D,2,0)</f>
        <v>2.5</v>
      </c>
      <c r="AK864" s="101" t="n">
        <f aca="false">AG864*V864*3600/O864</f>
        <v>3.5858234885337</v>
      </c>
      <c r="AL864" s="102" t="n">
        <f aca="false">AJ864/AK864</f>
        <v>0.69718992248062</v>
      </c>
      <c r="AM864" s="99" t="n">
        <f aca="false">AE864*AL864*AH864</f>
        <v>0.623785698242489</v>
      </c>
      <c r="AN864" s="103" t="n">
        <v>0.623785698242489</v>
      </c>
      <c r="AO864" s="112"/>
      <c r="AP864" s="105" t="n">
        <v>50</v>
      </c>
      <c r="AQ864" s="105" t="n">
        <v>0</v>
      </c>
      <c r="AR864" s="105" t="n">
        <v>0</v>
      </c>
      <c r="AS864" s="105" t="n">
        <v>0</v>
      </c>
      <c r="AT864" s="105" t="n">
        <v>0</v>
      </c>
      <c r="AU864" s="105" t="n">
        <v>0</v>
      </c>
      <c r="AV864" s="105" t="n">
        <v>0</v>
      </c>
      <c r="AW864" s="105" t="n">
        <v>0</v>
      </c>
      <c r="AX864" s="105" t="n">
        <v>0</v>
      </c>
      <c r="AY864" s="105" t="n">
        <v>0</v>
      </c>
      <c r="AZ864" s="105" t="n">
        <v>0</v>
      </c>
      <c r="BA864" s="105" t="n">
        <v>0</v>
      </c>
      <c r="BB864" s="105" t="n">
        <v>0</v>
      </c>
      <c r="BC864" s="105" t="n">
        <v>0</v>
      </c>
      <c r="BD864" s="105" t="n">
        <v>0</v>
      </c>
      <c r="BE864" s="105" t="n">
        <v>0</v>
      </c>
      <c r="BF864" s="105" t="n">
        <v>0</v>
      </c>
      <c r="BG864" s="105" t="n">
        <v>0</v>
      </c>
      <c r="BH864" s="105" t="n">
        <v>0</v>
      </c>
      <c r="BI864" s="105" t="n">
        <v>0</v>
      </c>
      <c r="BJ864" s="105" t="n">
        <v>0</v>
      </c>
      <c r="BK864" s="105" t="n">
        <v>0</v>
      </c>
      <c r="BL864" s="105" t="n">
        <v>0</v>
      </c>
      <c r="BM864" s="105" t="n">
        <v>0</v>
      </c>
      <c r="BN864" s="105" t="n">
        <v>0</v>
      </c>
      <c r="BO864" s="105" t="n">
        <v>0</v>
      </c>
      <c r="BP864" s="105" t="n">
        <v>0</v>
      </c>
      <c r="BQ864" s="105" t="n">
        <v>0</v>
      </c>
      <c r="BR864" s="106" t="n">
        <v>0.833333333333333</v>
      </c>
      <c r="BS864" s="106" t="n">
        <v>0.833333333333333</v>
      </c>
      <c r="BT864" s="107"/>
      <c r="BU864" s="107"/>
      <c r="BV864" s="107"/>
      <c r="BW864" s="107"/>
      <c r="BX864" s="107"/>
      <c r="BY864" s="107"/>
      <c r="BZ864" s="107"/>
      <c r="CA864" s="107"/>
      <c r="CB864" s="107"/>
      <c r="CC864" s="107"/>
      <c r="CD864" s="107"/>
      <c r="CE864" s="107"/>
      <c r="CF864" s="107"/>
      <c r="CG864" s="107"/>
      <c r="CH864" s="107"/>
      <c r="CI864" s="107"/>
      <c r="CJ864" s="107"/>
      <c r="CK864" s="107"/>
      <c r="CL864" s="107"/>
      <c r="CM864" s="107"/>
      <c r="CN864" s="107"/>
      <c r="CO864" s="107"/>
      <c r="CP864" s="107"/>
      <c r="CQ864" s="107"/>
      <c r="CR864" s="107"/>
      <c r="CS864" s="107"/>
      <c r="CT864" s="107"/>
      <c r="CU864" s="107"/>
      <c r="CV864" s="107"/>
    </row>
    <row r="865" customFormat="false" ht="14.9" hidden="false" customHeight="false" outlineLevel="0" collapsed="false">
      <c r="A865" s="74" t="n">
        <f aca="false">MONTH(B865)</f>
        <v>10</v>
      </c>
      <c r="B865" s="135" t="n">
        <v>44478</v>
      </c>
      <c r="C865" s="128" t="s">
        <v>70</v>
      </c>
      <c r="D865" s="77" t="str">
        <f aca="false">IFERROR(VLOOKUP(E:E,'Item Data Support Sheet'!A:O,7,0),"")</f>
        <v>CAP MOLDED</v>
      </c>
      <c r="E865" s="80" t="s">
        <v>343</v>
      </c>
      <c r="F865" s="122"/>
      <c r="G865" s="137" t="s">
        <v>1595</v>
      </c>
      <c r="H865" s="79" t="str">
        <f aca="false">IFERROR(VLOOKUP(E:E,'Item Data Support Sheet'!A:O,2,0),"")</f>
        <v>CAP S TYPE MOLDED BLUE</v>
      </c>
      <c r="I865" s="80" t="s">
        <v>1622</v>
      </c>
      <c r="J865" s="80" t="s">
        <v>155</v>
      </c>
      <c r="K865" s="124" t="n">
        <v>2</v>
      </c>
      <c r="L865" s="124" t="n">
        <v>1036</v>
      </c>
      <c r="M865" s="83" t="n">
        <v>518</v>
      </c>
      <c r="N865" s="84" t="n">
        <f aca="false">+O865+Q865+T865+U865</f>
        <v>1370</v>
      </c>
      <c r="O865" s="85" t="n">
        <v>1370</v>
      </c>
      <c r="P865" s="86" t="n">
        <v>0</v>
      </c>
      <c r="Q865" s="86" t="n">
        <v>0</v>
      </c>
      <c r="R865" s="132" t="n">
        <v>0</v>
      </c>
      <c r="S865" s="128" t="n">
        <v>0</v>
      </c>
      <c r="T865" s="132" t="n">
        <v>0</v>
      </c>
      <c r="U865" s="128" t="n">
        <v>0</v>
      </c>
      <c r="V865" s="128" t="n">
        <v>1</v>
      </c>
      <c r="W865" s="90" t="n">
        <f aca="false">IFERROR(O865/V865,0)</f>
        <v>1370</v>
      </c>
      <c r="X865" s="91" t="n">
        <f aca="false">O865/L865</f>
        <v>1.32239382239382</v>
      </c>
      <c r="Y865" s="92" t="str">
        <f aca="false">IFERROR(VLOOKUP(E:E,'Item Data Support Sheet'!A:J,6,0),0)</f>
        <v>RM000114</v>
      </c>
      <c r="Z865" s="93" t="n">
        <f aca="false">IFERROR(VLOOKUP(E:E,'Item Data Support Sheet'!A:O,4,0),0)</f>
        <v>7.3</v>
      </c>
      <c r="AA865" s="93" t="n">
        <f aca="false">IFERROR(((N865)*(Z865/1000))+P865,0)</f>
        <v>10.001</v>
      </c>
      <c r="AB865" s="94" t="n">
        <f aca="false">IFERROR((O865*(Z865/1000)/(AA865))," ")</f>
        <v>1</v>
      </c>
      <c r="AC865" s="95" t="n">
        <f aca="false">IFERROR((T865)/((T865)+O865),0)</f>
        <v>0</v>
      </c>
      <c r="AD865" s="96" t="n">
        <f aca="false">IFERROR(Q865/(Q865+N865),0)</f>
        <v>0</v>
      </c>
      <c r="AE865" s="91" t="n">
        <f aca="false">(N865-T865)/N865</f>
        <v>1</v>
      </c>
      <c r="AF865" s="97" t="n">
        <f aca="false">BR865</f>
        <v>0</v>
      </c>
      <c r="AG865" s="98" t="n">
        <f aca="false">K865-AF865</f>
        <v>2</v>
      </c>
      <c r="AH865" s="99" t="n">
        <f aca="false">IFERROR(AG865/K865," ")</f>
        <v>1</v>
      </c>
      <c r="AI865" s="100" t="n">
        <f aca="false">IFERROR(O865/K865,0)</f>
        <v>685</v>
      </c>
      <c r="AJ865" s="101" t="n">
        <f aca="false">VLOOKUP(D865,'Standard Cycle time'!C:D,2,0)</f>
        <v>6</v>
      </c>
      <c r="AK865" s="101" t="n">
        <f aca="false">AG865*V865*3600/O865</f>
        <v>5.25547445255474</v>
      </c>
      <c r="AL865" s="102" t="n">
        <f aca="false">AJ865/AK865</f>
        <v>1.14166666666667</v>
      </c>
      <c r="AM865" s="99" t="n">
        <f aca="false">AE865*AL865*AH865</f>
        <v>1.14166666666667</v>
      </c>
      <c r="AN865" s="103" t="n">
        <v>1.14166666666667</v>
      </c>
      <c r="AO865" s="112"/>
      <c r="AP865" s="105" t="n">
        <v>0</v>
      </c>
      <c r="AQ865" s="105" t="n">
        <v>0</v>
      </c>
      <c r="AR865" s="105" t="n">
        <v>0</v>
      </c>
      <c r="AS865" s="105" t="n">
        <v>0</v>
      </c>
      <c r="AT865" s="105" t="n">
        <v>0</v>
      </c>
      <c r="AU865" s="105" t="n">
        <v>0</v>
      </c>
      <c r="AV865" s="105" t="n">
        <v>0</v>
      </c>
      <c r="AW865" s="105" t="n">
        <v>0</v>
      </c>
      <c r="AX865" s="105" t="n">
        <v>0</v>
      </c>
      <c r="AY865" s="105" t="n">
        <v>0</v>
      </c>
      <c r="AZ865" s="105" t="n">
        <v>0</v>
      </c>
      <c r="BA865" s="105" t="n">
        <v>0</v>
      </c>
      <c r="BB865" s="105" t="n">
        <v>0</v>
      </c>
      <c r="BC865" s="105" t="n">
        <v>0</v>
      </c>
      <c r="BD865" s="105" t="n">
        <v>0</v>
      </c>
      <c r="BE865" s="105" t="n">
        <v>0</v>
      </c>
      <c r="BF865" s="105" t="n">
        <v>0</v>
      </c>
      <c r="BG865" s="105" t="n">
        <v>0</v>
      </c>
      <c r="BH865" s="105" t="n">
        <v>0</v>
      </c>
      <c r="BI865" s="105" t="n">
        <v>0</v>
      </c>
      <c r="BJ865" s="105" t="n">
        <v>0</v>
      </c>
      <c r="BK865" s="105" t="n">
        <v>0</v>
      </c>
      <c r="BL865" s="105" t="n">
        <v>0</v>
      </c>
      <c r="BM865" s="105" t="n">
        <v>0</v>
      </c>
      <c r="BN865" s="105" t="n">
        <v>0</v>
      </c>
      <c r="BO865" s="105" t="n">
        <v>0</v>
      </c>
      <c r="BP865" s="105" t="n">
        <v>0</v>
      </c>
      <c r="BQ865" s="105" t="n">
        <v>0</v>
      </c>
      <c r="BR865" s="106" t="n">
        <v>0</v>
      </c>
      <c r="BS865" s="106" t="n">
        <v>0</v>
      </c>
      <c r="BT865" s="107"/>
      <c r="BU865" s="107"/>
      <c r="BV865" s="107"/>
      <c r="BW865" s="107"/>
      <c r="BX865" s="107"/>
      <c r="BY865" s="107"/>
      <c r="BZ865" s="107"/>
      <c r="CA865" s="107"/>
      <c r="CB865" s="107"/>
      <c r="CC865" s="107"/>
      <c r="CD865" s="107"/>
      <c r="CE865" s="107"/>
      <c r="CF865" s="107"/>
      <c r="CG865" s="107"/>
      <c r="CH865" s="107"/>
      <c r="CI865" s="107"/>
      <c r="CJ865" s="107"/>
      <c r="CK865" s="107"/>
      <c r="CL865" s="107"/>
      <c r="CM865" s="107"/>
      <c r="CN865" s="107"/>
      <c r="CO865" s="107"/>
      <c r="CP865" s="107"/>
      <c r="CQ865" s="107"/>
      <c r="CR865" s="107"/>
      <c r="CS865" s="107"/>
      <c r="CT865" s="107"/>
      <c r="CU865" s="107"/>
      <c r="CV865" s="107"/>
    </row>
    <row r="866" customFormat="false" ht="14.9" hidden="false" customHeight="false" outlineLevel="0" collapsed="false">
      <c r="A866" s="74" t="n">
        <f aca="false">MONTH(B866)</f>
        <v>10</v>
      </c>
      <c r="B866" s="135" t="n">
        <v>44478</v>
      </c>
      <c r="C866" s="128" t="s">
        <v>70</v>
      </c>
      <c r="D866" s="77" t="str">
        <f aca="false">IFERROR(VLOOKUP(E:E,'Item Data Support Sheet'!A:O,7,0),"")</f>
        <v>NIPPLE PUNCH</v>
      </c>
      <c r="E866" s="80" t="s">
        <v>666</v>
      </c>
      <c r="F866" s="122"/>
      <c r="G866" s="137" t="s">
        <v>54</v>
      </c>
      <c r="H866" s="79" t="str">
        <f aca="false">IFERROR(VLOOKUP(E:E,'Item Data Support Sheet'!A:O,2,0),"")</f>
        <v>NIPPLE S TYPE L SIZE PUNCHED</v>
      </c>
      <c r="I866" s="80" t="s">
        <v>1623</v>
      </c>
      <c r="J866" s="80" t="s">
        <v>155</v>
      </c>
      <c r="K866" s="124" t="n">
        <v>8</v>
      </c>
      <c r="L866" s="124" t="n">
        <v>7000</v>
      </c>
      <c r="M866" s="83" t="n">
        <v>875</v>
      </c>
      <c r="N866" s="84" t="n">
        <f aca="false">+O866+Q866+T866+U866</f>
        <v>6000</v>
      </c>
      <c r="O866" s="85" t="n">
        <v>6000</v>
      </c>
      <c r="P866" s="86" t="n">
        <v>0</v>
      </c>
      <c r="Q866" s="86" t="n">
        <v>0</v>
      </c>
      <c r="R866" s="132" t="n">
        <v>0</v>
      </c>
      <c r="S866" s="128" t="n">
        <v>0</v>
      </c>
      <c r="T866" s="132" t="n">
        <v>0</v>
      </c>
      <c r="U866" s="128" t="n">
        <v>0</v>
      </c>
      <c r="V866" s="128" t="n">
        <v>1</v>
      </c>
      <c r="W866" s="90" t="n">
        <f aca="false">IFERROR(O866/V866,0)</f>
        <v>6000</v>
      </c>
      <c r="X866" s="91" t="n">
        <f aca="false">O866/L866</f>
        <v>0.857142857142857</v>
      </c>
      <c r="Y866" s="92" t="str">
        <f aca="false">IFERROR(VLOOKUP(E:E,'Item Data Support Sheet'!A:J,6,0),0)</f>
        <v>FO017</v>
      </c>
      <c r="Z866" s="93" t="n">
        <f aca="false">IFERROR(VLOOKUP(E:E,'Item Data Support Sheet'!A:O,4,0),0)</f>
        <v>0</v>
      </c>
      <c r="AA866" s="93" t="n">
        <f aca="false">IFERROR(((N866)*(Z866/1000))+P866,0)</f>
        <v>0</v>
      </c>
      <c r="AB866" s="94" t="str">
        <f aca="false">IFERROR((O866*(Z866/1000)/(AA866))," ")</f>
        <v> </v>
      </c>
      <c r="AC866" s="95" t="n">
        <f aca="false">IFERROR((T866)/((T866)+O866),0)</f>
        <v>0</v>
      </c>
      <c r="AD866" s="96" t="n">
        <f aca="false">IFERROR(Q866/(Q866+N866),0)</f>
        <v>0</v>
      </c>
      <c r="AE866" s="91" t="n">
        <f aca="false">(N866-T866)/N866</f>
        <v>1</v>
      </c>
      <c r="AF866" s="97" t="n">
        <f aca="false">BR866</f>
        <v>0.666666666666667</v>
      </c>
      <c r="AG866" s="98" t="n">
        <f aca="false">K866-AF866</f>
        <v>7.33333333333333</v>
      </c>
      <c r="AH866" s="99" t="n">
        <f aca="false">IFERROR(AG866/K866," ")</f>
        <v>0.916666666666667</v>
      </c>
      <c r="AI866" s="100" t="n">
        <f aca="false">IFERROR(O866/K866,0)</f>
        <v>750</v>
      </c>
      <c r="AJ866" s="101" t="n">
        <f aca="false">VLOOKUP(D866,'Standard Cycle time'!C:D,2,0)</f>
        <v>3.5</v>
      </c>
      <c r="AK866" s="101" t="n">
        <f aca="false">AG866*V866*3600/O866</f>
        <v>4.4</v>
      </c>
      <c r="AL866" s="102" t="n">
        <f aca="false">AJ866/AK866</f>
        <v>0.795454545454545</v>
      </c>
      <c r="AM866" s="99" t="n">
        <f aca="false">AE866*AL866*AH866</f>
        <v>0.729166666666667</v>
      </c>
      <c r="AN866" s="103" t="n">
        <v>0.729166666666667</v>
      </c>
      <c r="AO866" s="112" t="s">
        <v>1624</v>
      </c>
      <c r="AP866" s="105" t="n">
        <v>40</v>
      </c>
      <c r="AQ866" s="105" t="n">
        <v>0</v>
      </c>
      <c r="AR866" s="105" t="n">
        <v>0</v>
      </c>
      <c r="AS866" s="105" t="n">
        <v>0</v>
      </c>
      <c r="AT866" s="105" t="n">
        <v>0</v>
      </c>
      <c r="AU866" s="105" t="n">
        <v>0</v>
      </c>
      <c r="AV866" s="105" t="n">
        <v>0</v>
      </c>
      <c r="AW866" s="105" t="n">
        <v>0</v>
      </c>
      <c r="AX866" s="105" t="n">
        <v>0</v>
      </c>
      <c r="AY866" s="105" t="n">
        <v>0</v>
      </c>
      <c r="AZ866" s="105" t="n">
        <v>0</v>
      </c>
      <c r="BA866" s="105" t="n">
        <v>0</v>
      </c>
      <c r="BB866" s="105" t="n">
        <v>0</v>
      </c>
      <c r="BC866" s="105" t="n">
        <v>0</v>
      </c>
      <c r="BD866" s="105" t="n">
        <v>0</v>
      </c>
      <c r="BE866" s="105" t="n">
        <v>0</v>
      </c>
      <c r="BF866" s="105" t="n">
        <v>0</v>
      </c>
      <c r="BG866" s="105" t="n">
        <v>0</v>
      </c>
      <c r="BH866" s="105" t="n">
        <v>0</v>
      </c>
      <c r="BI866" s="105" t="n">
        <v>0</v>
      </c>
      <c r="BJ866" s="105" t="n">
        <v>0</v>
      </c>
      <c r="BK866" s="105" t="n">
        <v>0</v>
      </c>
      <c r="BL866" s="105" t="n">
        <v>0</v>
      </c>
      <c r="BM866" s="105" t="n">
        <v>0</v>
      </c>
      <c r="BN866" s="105" t="n">
        <v>0</v>
      </c>
      <c r="BO866" s="105" t="n">
        <v>0</v>
      </c>
      <c r="BP866" s="105" t="n">
        <v>0</v>
      </c>
      <c r="BQ866" s="105" t="n">
        <v>0</v>
      </c>
      <c r="BR866" s="106" t="n">
        <v>0.666666666666667</v>
      </c>
      <c r="BS866" s="106" t="n">
        <v>0.666666666666667</v>
      </c>
      <c r="BT866" s="107"/>
      <c r="BU866" s="107"/>
      <c r="BV866" s="107"/>
      <c r="BW866" s="107"/>
      <c r="BX866" s="107"/>
      <c r="BY866" s="107"/>
      <c r="BZ866" s="107"/>
      <c r="CA866" s="107"/>
      <c r="CB866" s="107"/>
      <c r="CC866" s="107"/>
      <c r="CD866" s="107"/>
      <c r="CE866" s="107"/>
      <c r="CF866" s="107"/>
      <c r="CG866" s="107"/>
      <c r="CH866" s="107"/>
      <c r="CI866" s="107"/>
      <c r="CJ866" s="107"/>
      <c r="CK866" s="107"/>
      <c r="CL866" s="107"/>
      <c r="CM866" s="107"/>
      <c r="CN866" s="107"/>
      <c r="CO866" s="107"/>
      <c r="CP866" s="107"/>
      <c r="CQ866" s="107"/>
      <c r="CR866" s="107"/>
      <c r="CS866" s="107"/>
      <c r="CT866" s="107"/>
      <c r="CU866" s="107"/>
      <c r="CV866" s="107"/>
    </row>
    <row r="867" customFormat="false" ht="14.9" hidden="false" customHeight="false" outlineLevel="0" collapsed="false">
      <c r="A867" s="74" t="n">
        <f aca="false">MONTH(B867)</f>
        <v>10</v>
      </c>
      <c r="B867" s="135" t="n">
        <v>44478</v>
      </c>
      <c r="C867" s="128" t="s">
        <v>70</v>
      </c>
      <c r="D867" s="77" t="str">
        <f aca="false">IFERROR(VLOOKUP(E:E,'Item Data Support Sheet'!A:O,7,0),"")</f>
        <v>NIPPLE LASER MARKING</v>
      </c>
      <c r="E867" s="80" t="s">
        <v>681</v>
      </c>
      <c r="F867" s="122"/>
      <c r="G867" s="137" t="s">
        <v>517</v>
      </c>
      <c r="H867" s="79" t="str">
        <f aca="false">IFERROR(VLOOKUP(E:E,'Item Data Support Sheet'!A:O,2,0),"")</f>
        <v>NIPPLE S TYPE L SIZE PUNCHED LASER MARKED</v>
      </c>
      <c r="I867" s="80" t="s">
        <v>1620</v>
      </c>
      <c r="J867" s="80" t="s">
        <v>155</v>
      </c>
      <c r="K867" s="124" t="n">
        <v>8</v>
      </c>
      <c r="L867" s="124" t="n">
        <v>7000</v>
      </c>
      <c r="M867" s="83" t="n">
        <v>875</v>
      </c>
      <c r="N867" s="84" t="n">
        <f aca="false">+O867+Q867+T867+U867</f>
        <v>7000</v>
      </c>
      <c r="O867" s="85" t="n">
        <v>7000</v>
      </c>
      <c r="P867" s="86" t="n">
        <v>0</v>
      </c>
      <c r="Q867" s="86" t="n">
        <v>0</v>
      </c>
      <c r="R867" s="132" t="n">
        <v>0</v>
      </c>
      <c r="S867" s="128" t="n">
        <v>0</v>
      </c>
      <c r="T867" s="132" t="n">
        <v>0</v>
      </c>
      <c r="U867" s="128" t="n">
        <v>0</v>
      </c>
      <c r="V867" s="128" t="n">
        <v>1</v>
      </c>
      <c r="W867" s="90" t="n">
        <f aca="false">IFERROR(O867/V867,0)</f>
        <v>7000</v>
      </c>
      <c r="X867" s="91" t="n">
        <f aca="false">O867/L867</f>
        <v>1</v>
      </c>
      <c r="Y867" s="92" t="str">
        <f aca="false">IFERROR(VLOOKUP(E:E,'Item Data Support Sheet'!A:J,6,0),0)</f>
        <v>FO021</v>
      </c>
      <c r="Z867" s="93" t="n">
        <f aca="false">IFERROR(VLOOKUP(E:E,'Item Data Support Sheet'!A:O,4,0),0)</f>
        <v>0</v>
      </c>
      <c r="AA867" s="93" t="n">
        <f aca="false">IFERROR(((N867)*(Z867/1000))+P867,0)</f>
        <v>0</v>
      </c>
      <c r="AB867" s="94" t="str">
        <f aca="false">IFERROR((O867*(Z867/1000)/(AA867))," ")</f>
        <v> </v>
      </c>
      <c r="AC867" s="95" t="n">
        <f aca="false">IFERROR((T867)/((T867)+O867),0)</f>
        <v>0</v>
      </c>
      <c r="AD867" s="96" t="n">
        <f aca="false">IFERROR(Q867/(Q867+N867),0)</f>
        <v>0</v>
      </c>
      <c r="AE867" s="91" t="n">
        <f aca="false">(N867-T867)/N867</f>
        <v>1</v>
      </c>
      <c r="AF867" s="97" t="n">
        <f aca="false">BR867</f>
        <v>0.666666666666667</v>
      </c>
      <c r="AG867" s="98" t="n">
        <f aca="false">K867-AF867</f>
        <v>7.33333333333333</v>
      </c>
      <c r="AH867" s="99" t="n">
        <f aca="false">IFERROR(AG867/K867," ")</f>
        <v>0.916666666666667</v>
      </c>
      <c r="AI867" s="100" t="n">
        <f aca="false">IFERROR(O867/K867,0)</f>
        <v>875</v>
      </c>
      <c r="AJ867" s="101" t="n">
        <f aca="false">VLOOKUP(D867,'Standard Cycle time'!C:D,2,0)</f>
        <v>3.5</v>
      </c>
      <c r="AK867" s="101" t="n">
        <f aca="false">AG867*V867*3600/O867</f>
        <v>3.77142857142857</v>
      </c>
      <c r="AL867" s="102" t="n">
        <f aca="false">AJ867/AK867</f>
        <v>0.928030303030303</v>
      </c>
      <c r="AM867" s="99" t="n">
        <f aca="false">AE867*AL867*AH867</f>
        <v>0.850694444444444</v>
      </c>
      <c r="AN867" s="103" t="n">
        <v>0.850694444444444</v>
      </c>
      <c r="AO867" s="112"/>
      <c r="AP867" s="105" t="n">
        <v>40</v>
      </c>
      <c r="AQ867" s="105" t="n">
        <v>0</v>
      </c>
      <c r="AR867" s="105" t="n">
        <v>0</v>
      </c>
      <c r="AS867" s="105" t="n">
        <v>0</v>
      </c>
      <c r="AT867" s="105" t="n">
        <v>0</v>
      </c>
      <c r="AU867" s="105" t="n">
        <v>0</v>
      </c>
      <c r="AV867" s="105" t="n">
        <v>0</v>
      </c>
      <c r="AW867" s="105" t="n">
        <v>0</v>
      </c>
      <c r="AX867" s="105" t="n">
        <v>0</v>
      </c>
      <c r="AY867" s="105" t="n">
        <v>0</v>
      </c>
      <c r="AZ867" s="105" t="n">
        <v>0</v>
      </c>
      <c r="BA867" s="105" t="n">
        <v>0</v>
      </c>
      <c r="BB867" s="105" t="n">
        <v>0</v>
      </c>
      <c r="BC867" s="105" t="n">
        <v>0</v>
      </c>
      <c r="BD867" s="105" t="n">
        <v>0</v>
      </c>
      <c r="BE867" s="105" t="n">
        <v>0</v>
      </c>
      <c r="BF867" s="105" t="n">
        <v>0</v>
      </c>
      <c r="BG867" s="105" t="n">
        <v>0</v>
      </c>
      <c r="BH867" s="105" t="n">
        <v>0</v>
      </c>
      <c r="BI867" s="105" t="n">
        <v>0</v>
      </c>
      <c r="BJ867" s="105" t="n">
        <v>0</v>
      </c>
      <c r="BK867" s="105" t="n">
        <v>0</v>
      </c>
      <c r="BL867" s="105" t="n">
        <v>0</v>
      </c>
      <c r="BM867" s="105" t="n">
        <v>0</v>
      </c>
      <c r="BN867" s="105" t="n">
        <v>0</v>
      </c>
      <c r="BO867" s="105" t="n">
        <v>0</v>
      </c>
      <c r="BP867" s="105" t="n">
        <v>0</v>
      </c>
      <c r="BQ867" s="105" t="n">
        <v>0</v>
      </c>
      <c r="BR867" s="106" t="n">
        <v>0.666666666666667</v>
      </c>
      <c r="BS867" s="106" t="n">
        <v>0.666666666666667</v>
      </c>
      <c r="BT867" s="107"/>
      <c r="BU867" s="107"/>
      <c r="BV867" s="107"/>
      <c r="BW867" s="107"/>
      <c r="BX867" s="107"/>
      <c r="BY867" s="107"/>
      <c r="BZ867" s="107"/>
      <c r="CA867" s="107"/>
      <c r="CB867" s="107"/>
      <c r="CC867" s="107"/>
      <c r="CD867" s="107"/>
      <c r="CE867" s="107"/>
      <c r="CF867" s="107"/>
      <c r="CG867" s="107"/>
      <c r="CH867" s="107"/>
      <c r="CI867" s="107"/>
      <c r="CJ867" s="107"/>
      <c r="CK867" s="107"/>
      <c r="CL867" s="107"/>
      <c r="CM867" s="107"/>
      <c r="CN867" s="107"/>
      <c r="CO867" s="107"/>
      <c r="CP867" s="107"/>
      <c r="CQ867" s="107"/>
      <c r="CR867" s="107"/>
      <c r="CS867" s="107"/>
      <c r="CT867" s="107"/>
      <c r="CU867" s="107"/>
      <c r="CV867" s="107"/>
    </row>
    <row r="868" customFormat="false" ht="14.9" hidden="false" customHeight="false" outlineLevel="0" collapsed="false">
      <c r="A868" s="74" t="n">
        <f aca="false">MONTH(B868)</f>
        <v>10</v>
      </c>
      <c r="B868" s="135" t="n">
        <v>44478</v>
      </c>
      <c r="C868" s="128" t="s">
        <v>70</v>
      </c>
      <c r="D868" s="77" t="str">
        <f aca="false">IFERROR(VLOOKUP(E:E,'Item Data Support Sheet'!A:O,7,0),"")</f>
        <v>NIPPLE MOLDED</v>
      </c>
      <c r="E868" s="80" t="s">
        <v>661</v>
      </c>
      <c r="F868" s="122" t="s">
        <v>137</v>
      </c>
      <c r="G868" s="137" t="s">
        <v>138</v>
      </c>
      <c r="H868" s="79" t="str">
        <f aca="false">IFERROR(VLOOKUP(E:E,'Item Data Support Sheet'!A:O,2,0),"")</f>
        <v>NIPPLE S TYPE L SIZE INJECTION</v>
      </c>
      <c r="I868" s="80" t="s">
        <v>1625</v>
      </c>
      <c r="J868" s="80" t="s">
        <v>155</v>
      </c>
      <c r="K868" s="124" t="n">
        <v>8</v>
      </c>
      <c r="L868" s="124" t="n">
        <v>4815</v>
      </c>
      <c r="M868" s="83" t="n">
        <v>601.875</v>
      </c>
      <c r="N868" s="84" t="n">
        <f aca="false">+O868+Q868+T868+U868</f>
        <v>4664</v>
      </c>
      <c r="O868" s="85" t="n">
        <v>4562</v>
      </c>
      <c r="P868" s="86" t="n">
        <v>0</v>
      </c>
      <c r="Q868" s="86" t="n">
        <v>40</v>
      </c>
      <c r="R868" s="132" t="n">
        <v>0</v>
      </c>
      <c r="S868" s="128" t="n">
        <v>0</v>
      </c>
      <c r="T868" s="132" t="n">
        <v>62</v>
      </c>
      <c r="U868" s="128" t="n">
        <v>0</v>
      </c>
      <c r="V868" s="128" t="n">
        <v>1</v>
      </c>
      <c r="W868" s="90" t="n">
        <f aca="false">IFERROR(O868/V868,0)</f>
        <v>4562</v>
      </c>
      <c r="X868" s="91" t="n">
        <f aca="false">O868/L868</f>
        <v>0.947455867082035</v>
      </c>
      <c r="Y868" s="92" t="str">
        <f aca="false">IFERROR(VLOOKUP(E:E,'Item Data Support Sheet'!A:J,6,0),0)</f>
        <v>Silicon</v>
      </c>
      <c r="Z868" s="93" t="n">
        <f aca="false">IFERROR(VLOOKUP(E:E,'Item Data Support Sheet'!A:O,4,0),0)</f>
        <v>6.8</v>
      </c>
      <c r="AA868" s="93" t="n">
        <f aca="false">IFERROR(((N868)*(Z868/1000))+P868,0)</f>
        <v>31.7152</v>
      </c>
      <c r="AB868" s="94" t="n">
        <f aca="false">IFERROR((O868*(Z868/1000)/(AA868))," ")</f>
        <v>0.978130360205832</v>
      </c>
      <c r="AC868" s="95" t="n">
        <f aca="false">IFERROR((T868)/((T868)+O868),0)</f>
        <v>0.0134083044982699</v>
      </c>
      <c r="AD868" s="96" t="n">
        <f aca="false">IFERROR(Q868/(Q868+N868),0)</f>
        <v>0.00850340136054422</v>
      </c>
      <c r="AE868" s="91" t="n">
        <f aca="false">(N868-T868)/N868</f>
        <v>0.986706689536878</v>
      </c>
      <c r="AF868" s="97" t="n">
        <f aca="false">BR868</f>
        <v>1</v>
      </c>
      <c r="AG868" s="98" t="n">
        <f aca="false">K868-AF868</f>
        <v>7</v>
      </c>
      <c r="AH868" s="99" t="n">
        <f aca="false">IFERROR(AG868/K868," ")</f>
        <v>0.875</v>
      </c>
      <c r="AI868" s="100" t="n">
        <f aca="false">IFERROR(O868/K868,0)</f>
        <v>570.25</v>
      </c>
      <c r="AJ868" s="101" t="n">
        <f aca="false">VLOOKUP(D868,'Standard Cycle time'!C:D,2,0)</f>
        <v>5.25</v>
      </c>
      <c r="AK868" s="101" t="n">
        <f aca="false">AG868*V868*3600/O868</f>
        <v>5.52389302937308</v>
      </c>
      <c r="AL868" s="102" t="n">
        <f aca="false">AJ868/AK868</f>
        <v>0.950416666666667</v>
      </c>
      <c r="AM868" s="99" t="n">
        <f aca="false">AE868*AL868*AH868</f>
        <v>0.820559672491424</v>
      </c>
      <c r="AN868" s="103" t="n">
        <v>0.820559672491424</v>
      </c>
      <c r="AO868" s="112"/>
      <c r="AP868" s="105" t="n">
        <v>0</v>
      </c>
      <c r="AQ868" s="105" t="n">
        <v>0</v>
      </c>
      <c r="AR868" s="105" t="n">
        <v>0</v>
      </c>
      <c r="AS868" s="105" t="n">
        <v>0</v>
      </c>
      <c r="AT868" s="105" t="n">
        <v>0</v>
      </c>
      <c r="AU868" s="105" t="n">
        <v>30</v>
      </c>
      <c r="AV868" s="105" t="n">
        <v>30</v>
      </c>
      <c r="AW868" s="105" t="n">
        <v>0</v>
      </c>
      <c r="AX868" s="105" t="n">
        <v>0</v>
      </c>
      <c r="AY868" s="105" t="n">
        <v>0</v>
      </c>
      <c r="AZ868" s="105" t="n">
        <v>0</v>
      </c>
      <c r="BA868" s="105" t="n">
        <v>0</v>
      </c>
      <c r="BB868" s="105" t="n">
        <v>0</v>
      </c>
      <c r="BC868" s="105" t="n">
        <v>0</v>
      </c>
      <c r="BD868" s="105" t="n">
        <v>0</v>
      </c>
      <c r="BE868" s="105" t="n">
        <v>0</v>
      </c>
      <c r="BF868" s="105" t="n">
        <v>0</v>
      </c>
      <c r="BG868" s="105" t="n">
        <v>0</v>
      </c>
      <c r="BH868" s="105" t="n">
        <v>0</v>
      </c>
      <c r="BI868" s="105" t="n">
        <v>0</v>
      </c>
      <c r="BJ868" s="105" t="n">
        <v>0</v>
      </c>
      <c r="BK868" s="105" t="n">
        <v>0</v>
      </c>
      <c r="BL868" s="105" t="n">
        <v>0</v>
      </c>
      <c r="BM868" s="105" t="n">
        <v>0</v>
      </c>
      <c r="BN868" s="105" t="n">
        <v>0</v>
      </c>
      <c r="BO868" s="105" t="n">
        <v>0</v>
      </c>
      <c r="BP868" s="105" t="n">
        <v>0</v>
      </c>
      <c r="BQ868" s="105" t="n">
        <v>0</v>
      </c>
      <c r="BR868" s="106" t="n">
        <v>1</v>
      </c>
      <c r="BS868" s="106" t="n">
        <v>1</v>
      </c>
      <c r="BT868" s="107"/>
      <c r="BU868" s="107"/>
      <c r="BV868" s="107"/>
      <c r="BW868" s="107"/>
      <c r="BX868" s="107"/>
      <c r="BY868" s="107"/>
      <c r="BZ868" s="107"/>
      <c r="CA868" s="107"/>
      <c r="CB868" s="107"/>
      <c r="CC868" s="107"/>
      <c r="CD868" s="107"/>
      <c r="CE868" s="107"/>
      <c r="CF868" s="107"/>
      <c r="CG868" s="107"/>
      <c r="CH868" s="107"/>
      <c r="CI868" s="107"/>
      <c r="CJ868" s="107"/>
      <c r="CK868" s="107"/>
      <c r="CL868" s="107"/>
      <c r="CM868" s="107"/>
      <c r="CN868" s="107"/>
      <c r="CO868" s="107"/>
      <c r="CP868" s="107"/>
      <c r="CQ868" s="107"/>
      <c r="CR868" s="107"/>
      <c r="CS868" s="107"/>
      <c r="CT868" s="107"/>
      <c r="CU868" s="107"/>
      <c r="CV868" s="107"/>
    </row>
    <row r="869" customFormat="false" ht="14.9" hidden="false" customHeight="false" outlineLevel="0" collapsed="false">
      <c r="A869" s="74" t="n">
        <f aca="false">MONTH(B869)</f>
        <v>10</v>
      </c>
      <c r="B869" s="135" t="n">
        <v>44478</v>
      </c>
      <c r="C869" s="128" t="s">
        <v>70</v>
      </c>
      <c r="D869" s="77" t="str">
        <f aca="false">IFERROR(VLOOKUP(E:E,'Item Data Support Sheet'!A:O,7,0),"")</f>
        <v>BOTTLE MOLDED</v>
      </c>
      <c r="E869" s="80" t="s">
        <v>235</v>
      </c>
      <c r="F869" s="122" t="s">
        <v>216</v>
      </c>
      <c r="G869" s="137" t="s">
        <v>74</v>
      </c>
      <c r="H869" s="79" t="str">
        <f aca="false">IFERROR(VLOOKUP(E:E,'Item Data Support Sheet'!A:O,2,0),"")</f>
        <v>KPP 200 ML BOTTLE MOLDED</v>
      </c>
      <c r="I869" s="80" t="s">
        <v>1626</v>
      </c>
      <c r="J869" s="80" t="s">
        <v>155</v>
      </c>
      <c r="K869" s="124" t="n">
        <v>8</v>
      </c>
      <c r="L869" s="124" t="n">
        <v>2574</v>
      </c>
      <c r="M869" s="83" t="n">
        <v>321.75</v>
      </c>
      <c r="N869" s="84" t="n">
        <f aca="false">+O869+Q869+T869+U869</f>
        <v>3204</v>
      </c>
      <c r="O869" s="85" t="n">
        <v>3132</v>
      </c>
      <c r="P869" s="86" t="n">
        <v>0</v>
      </c>
      <c r="Q869" s="86" t="n">
        <v>24</v>
      </c>
      <c r="R869" s="132" t="n">
        <v>0</v>
      </c>
      <c r="S869" s="128" t="n">
        <v>0</v>
      </c>
      <c r="T869" s="132" t="n">
        <v>40</v>
      </c>
      <c r="U869" s="128" t="n">
        <v>8</v>
      </c>
      <c r="V869" s="128" t="n">
        <v>1</v>
      </c>
      <c r="W869" s="90" t="n">
        <f aca="false">IFERROR(O869/V869,0)</f>
        <v>3132</v>
      </c>
      <c r="X869" s="91" t="n">
        <f aca="false">O869/L869</f>
        <v>1.21678321678322</v>
      </c>
      <c r="Y869" s="92" t="str">
        <f aca="false">IFERROR(VLOOKUP(E:E,'Item Data Support Sheet'!A:J,6,0),0)</f>
        <v>HMC</v>
      </c>
      <c r="Z869" s="93" t="n">
        <f aca="false">IFERROR(VLOOKUP(E:E,'Item Data Support Sheet'!A:O,4,0),0)</f>
        <v>28.1</v>
      </c>
      <c r="AA869" s="93" t="n">
        <f aca="false">IFERROR(((N869)*(Z869/1000))+P869,0)</f>
        <v>90.0324</v>
      </c>
      <c r="AB869" s="94" t="n">
        <f aca="false">IFERROR((O869*(Z869/1000)/(AA869))," ")</f>
        <v>0.977528089887641</v>
      </c>
      <c r="AC869" s="95" t="n">
        <f aca="false">IFERROR((T869)/((T869)+O869),0)</f>
        <v>0.0126103404791929</v>
      </c>
      <c r="AD869" s="96" t="n">
        <f aca="false">IFERROR(Q869/(Q869+N869),0)</f>
        <v>0.00743494423791822</v>
      </c>
      <c r="AE869" s="91" t="n">
        <f aca="false">(N869-T869)/N869</f>
        <v>0.987515605493133</v>
      </c>
      <c r="AF869" s="97" t="n">
        <f aca="false">BR869</f>
        <v>0</v>
      </c>
      <c r="AG869" s="98" t="n">
        <f aca="false">K869-AF869</f>
        <v>8</v>
      </c>
      <c r="AH869" s="99" t="n">
        <f aca="false">IFERROR(AG869/K869," ")</f>
        <v>1</v>
      </c>
      <c r="AI869" s="100" t="n">
        <f aca="false">IFERROR(O869/K869,0)</f>
        <v>391.5</v>
      </c>
      <c r="AJ869" s="101" t="n">
        <f aca="false">VLOOKUP(D869,'Standard Cycle time'!C:D,2,0)</f>
        <v>9</v>
      </c>
      <c r="AK869" s="101" t="n">
        <f aca="false">AG869*V869*3600/O869</f>
        <v>9.19540229885057</v>
      </c>
      <c r="AL869" s="102" t="n">
        <f aca="false">AJ869/AK869</f>
        <v>0.97875</v>
      </c>
      <c r="AM869" s="99" t="n">
        <f aca="false">AE869*AL869*AH869</f>
        <v>0.966530898876404</v>
      </c>
      <c r="AN869" s="103" t="n">
        <v>0.966530898876404</v>
      </c>
      <c r="AO869" s="112"/>
      <c r="AP869" s="105" t="n">
        <v>0</v>
      </c>
      <c r="AQ869" s="105" t="n">
        <v>0</v>
      </c>
      <c r="AR869" s="105" t="n">
        <v>0</v>
      </c>
      <c r="AS869" s="105" t="n">
        <v>0</v>
      </c>
      <c r="AT869" s="105" t="n">
        <v>0</v>
      </c>
      <c r="AU869" s="105" t="n">
        <v>0</v>
      </c>
      <c r="AV869" s="105" t="n">
        <v>0</v>
      </c>
      <c r="AW869" s="105" t="n">
        <v>0</v>
      </c>
      <c r="AX869" s="105" t="n">
        <v>0</v>
      </c>
      <c r="AY869" s="105" t="n">
        <v>0</v>
      </c>
      <c r="AZ869" s="105" t="n">
        <v>0</v>
      </c>
      <c r="BA869" s="105" t="n">
        <v>0</v>
      </c>
      <c r="BB869" s="105" t="n">
        <v>0</v>
      </c>
      <c r="BC869" s="105" t="n">
        <v>0</v>
      </c>
      <c r="BD869" s="105" t="n">
        <v>0</v>
      </c>
      <c r="BE869" s="105" t="n">
        <v>0</v>
      </c>
      <c r="BF869" s="105" t="n">
        <v>0</v>
      </c>
      <c r="BG869" s="105" t="n">
        <v>0</v>
      </c>
      <c r="BH869" s="105" t="n">
        <v>0</v>
      </c>
      <c r="BI869" s="105" t="n">
        <v>0</v>
      </c>
      <c r="BJ869" s="105" t="n">
        <v>0</v>
      </c>
      <c r="BK869" s="105" t="n">
        <v>0</v>
      </c>
      <c r="BL869" s="105" t="n">
        <v>0</v>
      </c>
      <c r="BM869" s="105" t="n">
        <v>0</v>
      </c>
      <c r="BN869" s="105" t="n">
        <v>0</v>
      </c>
      <c r="BO869" s="105" t="n">
        <v>0</v>
      </c>
      <c r="BP869" s="105" t="n">
        <v>0</v>
      </c>
      <c r="BQ869" s="105" t="n">
        <v>0</v>
      </c>
      <c r="BR869" s="106" t="n">
        <v>0</v>
      </c>
      <c r="BS869" s="106" t="n">
        <v>0</v>
      </c>
      <c r="BT869" s="107"/>
      <c r="BU869" s="107"/>
      <c r="BV869" s="107"/>
      <c r="BW869" s="107"/>
      <c r="BX869" s="107"/>
      <c r="BY869" s="107"/>
      <c r="BZ869" s="107"/>
      <c r="CA869" s="107"/>
      <c r="CB869" s="107"/>
      <c r="CC869" s="107"/>
      <c r="CD869" s="107"/>
      <c r="CE869" s="107"/>
      <c r="CF869" s="107"/>
      <c r="CG869" s="107"/>
      <c r="CH869" s="107"/>
      <c r="CI869" s="107"/>
      <c r="CJ869" s="107"/>
      <c r="CK869" s="107"/>
      <c r="CL869" s="107"/>
      <c r="CM869" s="107"/>
      <c r="CN869" s="107"/>
      <c r="CO869" s="107"/>
      <c r="CP869" s="107"/>
      <c r="CQ869" s="107"/>
      <c r="CR869" s="107"/>
      <c r="CS869" s="107"/>
      <c r="CT869" s="107"/>
      <c r="CU869" s="107"/>
      <c r="CV869" s="107"/>
    </row>
    <row r="870" customFormat="false" ht="14.9" hidden="false" customHeight="false" outlineLevel="0" collapsed="false">
      <c r="A870" s="74" t="n">
        <f aca="false">MONTH(B870)</f>
        <v>10</v>
      </c>
      <c r="B870" s="135" t="n">
        <v>44478</v>
      </c>
      <c r="C870" s="128" t="s">
        <v>70</v>
      </c>
      <c r="D870" s="77" t="str">
        <f aca="false">IFERROR(VLOOKUP(E:E,'Item Data Support Sheet'!A:O,7,0),"")</f>
        <v>CAP MOLDED</v>
      </c>
      <c r="E870" s="80" t="s">
        <v>343</v>
      </c>
      <c r="F870" s="122"/>
      <c r="G870" s="137" t="s">
        <v>1215</v>
      </c>
      <c r="H870" s="79" t="str">
        <f aca="false">IFERROR(VLOOKUP(E:E,'Item Data Support Sheet'!A:O,2,0),"")</f>
        <v>CAP S TYPE MOLDED BLUE</v>
      </c>
      <c r="I870" s="80" t="s">
        <v>1627</v>
      </c>
      <c r="J870" s="80" t="s">
        <v>155</v>
      </c>
      <c r="K870" s="124" t="n">
        <v>6</v>
      </c>
      <c r="L870" s="124" t="n">
        <v>3101</v>
      </c>
      <c r="M870" s="83" t="n">
        <v>516.833333333333</v>
      </c>
      <c r="N870" s="84" t="n">
        <f aca="false">+O870+Q870+T870+U870</f>
        <v>2604</v>
      </c>
      <c r="O870" s="85" t="n">
        <v>2600</v>
      </c>
      <c r="P870" s="86" t="n">
        <v>0</v>
      </c>
      <c r="Q870" s="86" t="n">
        <v>0</v>
      </c>
      <c r="R870" s="132" t="n">
        <v>0</v>
      </c>
      <c r="S870" s="128" t="n">
        <v>0</v>
      </c>
      <c r="T870" s="132" t="n">
        <v>4</v>
      </c>
      <c r="U870" s="128" t="n">
        <v>0</v>
      </c>
      <c r="V870" s="128" t="n">
        <v>1</v>
      </c>
      <c r="W870" s="90" t="n">
        <f aca="false">IFERROR(O870/V870,0)</f>
        <v>2600</v>
      </c>
      <c r="X870" s="91" t="n">
        <f aca="false">O870/L870</f>
        <v>0.838439213157046</v>
      </c>
      <c r="Y870" s="92" t="str">
        <f aca="false">IFERROR(VLOOKUP(E:E,'Item Data Support Sheet'!A:J,6,0),0)</f>
        <v>RM000114</v>
      </c>
      <c r="Z870" s="93" t="n">
        <f aca="false">IFERROR(VLOOKUP(E:E,'Item Data Support Sheet'!A:O,4,0),0)</f>
        <v>7.3</v>
      </c>
      <c r="AA870" s="93" t="n">
        <f aca="false">IFERROR(((N870)*(Z870/1000))+P870,0)</f>
        <v>19.0092</v>
      </c>
      <c r="AB870" s="94" t="n">
        <f aca="false">IFERROR((O870*(Z870/1000)/(AA870))," ")</f>
        <v>0.998463901689708</v>
      </c>
      <c r="AC870" s="95" t="n">
        <f aca="false">IFERROR((T870)/((T870)+O870),0)</f>
        <v>0.00153609831029186</v>
      </c>
      <c r="AD870" s="96" t="n">
        <f aca="false">IFERROR(Q870/(Q870+N870),0)</f>
        <v>0</v>
      </c>
      <c r="AE870" s="91" t="n">
        <f aca="false">(N870-T870)/N870</f>
        <v>0.998463901689708</v>
      </c>
      <c r="AF870" s="97" t="n">
        <f aca="false">BR870</f>
        <v>1.5</v>
      </c>
      <c r="AG870" s="98" t="n">
        <f aca="false">K870-AF870</f>
        <v>4.5</v>
      </c>
      <c r="AH870" s="99" t="n">
        <f aca="false">IFERROR(AG870/K870," ")</f>
        <v>0.75</v>
      </c>
      <c r="AI870" s="100" t="n">
        <f aca="false">IFERROR(O870/K870,0)</f>
        <v>433.333333333333</v>
      </c>
      <c r="AJ870" s="101" t="n">
        <f aca="false">VLOOKUP(D870,'Standard Cycle time'!C:D,2,0)</f>
        <v>6</v>
      </c>
      <c r="AK870" s="101" t="n">
        <f aca="false">AG870*V870*3600/O870</f>
        <v>6.23076923076923</v>
      </c>
      <c r="AL870" s="102" t="n">
        <f aca="false">AJ870/AK870</f>
        <v>0.962962962962963</v>
      </c>
      <c r="AM870" s="99" t="n">
        <f aca="false">AE870*AL870*AH870</f>
        <v>0.721112817887011</v>
      </c>
      <c r="AN870" s="103" t="n">
        <v>0.721112817887011</v>
      </c>
      <c r="AO870" s="112"/>
      <c r="AP870" s="105" t="n">
        <v>0</v>
      </c>
      <c r="AQ870" s="105" t="n">
        <v>0</v>
      </c>
      <c r="AR870" s="105" t="n">
        <v>0</v>
      </c>
      <c r="AS870" s="105" t="n">
        <v>0</v>
      </c>
      <c r="AT870" s="105" t="n">
        <v>0</v>
      </c>
      <c r="AU870" s="105" t="n">
        <v>0</v>
      </c>
      <c r="AV870" s="105" t="n">
        <v>30</v>
      </c>
      <c r="AW870" s="105" t="n">
        <v>30</v>
      </c>
      <c r="AX870" s="105" t="n">
        <v>0</v>
      </c>
      <c r="AY870" s="105" t="n">
        <v>0</v>
      </c>
      <c r="AZ870" s="105" t="n">
        <v>30</v>
      </c>
      <c r="BA870" s="105" t="n">
        <v>0</v>
      </c>
      <c r="BB870" s="105" t="n">
        <v>0</v>
      </c>
      <c r="BC870" s="105" t="n">
        <v>0</v>
      </c>
      <c r="BD870" s="105" t="n">
        <v>0</v>
      </c>
      <c r="BE870" s="105" t="n">
        <v>0</v>
      </c>
      <c r="BF870" s="105" t="n">
        <v>0</v>
      </c>
      <c r="BG870" s="105" t="n">
        <v>0</v>
      </c>
      <c r="BH870" s="105" t="n">
        <v>0</v>
      </c>
      <c r="BI870" s="105" t="n">
        <v>0</v>
      </c>
      <c r="BJ870" s="105" t="n">
        <v>0</v>
      </c>
      <c r="BK870" s="105" t="n">
        <v>0</v>
      </c>
      <c r="BL870" s="105" t="n">
        <v>0</v>
      </c>
      <c r="BM870" s="105" t="n">
        <v>0</v>
      </c>
      <c r="BN870" s="105" t="n">
        <v>0</v>
      </c>
      <c r="BO870" s="105" t="n">
        <v>0</v>
      </c>
      <c r="BP870" s="105" t="n">
        <v>0</v>
      </c>
      <c r="BQ870" s="105" t="n">
        <v>0</v>
      </c>
      <c r="BR870" s="106" t="n">
        <v>1.5</v>
      </c>
      <c r="BS870" s="106" t="n">
        <v>1.5</v>
      </c>
      <c r="BT870" s="107"/>
      <c r="BU870" s="107"/>
      <c r="BV870" s="107"/>
      <c r="BW870" s="107"/>
      <c r="BX870" s="107"/>
      <c r="BY870" s="107"/>
      <c r="BZ870" s="107"/>
      <c r="CA870" s="107"/>
      <c r="CB870" s="107"/>
      <c r="CC870" s="107"/>
      <c r="CD870" s="107"/>
      <c r="CE870" s="107"/>
      <c r="CF870" s="107"/>
      <c r="CG870" s="107"/>
      <c r="CH870" s="107"/>
      <c r="CI870" s="107"/>
      <c r="CJ870" s="107"/>
      <c r="CK870" s="107"/>
      <c r="CL870" s="107"/>
      <c r="CM870" s="107"/>
      <c r="CN870" s="107"/>
      <c r="CO870" s="107"/>
      <c r="CP870" s="107"/>
      <c r="CQ870" s="107"/>
      <c r="CR870" s="107"/>
      <c r="CS870" s="107"/>
      <c r="CT870" s="107"/>
      <c r="CU870" s="107"/>
      <c r="CV870" s="107"/>
    </row>
    <row r="871" customFormat="false" ht="14.9" hidden="false" customHeight="false" outlineLevel="0" collapsed="false">
      <c r="A871" s="74" t="n">
        <f aca="false">MONTH(B871)</f>
        <v>10</v>
      </c>
      <c r="B871" s="135" t="n">
        <v>44478</v>
      </c>
      <c r="C871" s="128" t="s">
        <v>70</v>
      </c>
      <c r="D871" s="77" t="str">
        <f aca="false">IFERROR(VLOOKUP(E:E,'Item Data Support Sheet'!A:O,7,0),"")</f>
        <v>BOTTLE PRINTED</v>
      </c>
      <c r="E871" s="80" t="s">
        <v>691</v>
      </c>
      <c r="F871" s="122"/>
      <c r="G871" s="137"/>
      <c r="H871" s="79" t="str">
        <f aca="false">IFERROR(VLOOKUP(E:E,'Item Data Support Sheet'!A:O,2,0),"")</f>
        <v>KPP 120 ML BOTTLE PRINTED</v>
      </c>
      <c r="I871" s="80" t="s">
        <v>1628</v>
      </c>
      <c r="J871" s="80" t="s">
        <v>155</v>
      </c>
      <c r="K871" s="124" t="n">
        <v>8</v>
      </c>
      <c r="L871" s="124" t="n">
        <v>5100</v>
      </c>
      <c r="M871" s="83" t="n">
        <v>637.5</v>
      </c>
      <c r="N871" s="84" t="n">
        <f aca="false">+O871+Q871+T871+U871</f>
        <v>4886</v>
      </c>
      <c r="O871" s="85" t="n">
        <v>4860</v>
      </c>
      <c r="P871" s="86" t="n">
        <v>0</v>
      </c>
      <c r="Q871" s="86" t="n">
        <v>0</v>
      </c>
      <c r="R871" s="132" t="n">
        <v>40</v>
      </c>
      <c r="S871" s="128" t="n">
        <v>0</v>
      </c>
      <c r="T871" s="132" t="n">
        <v>26</v>
      </c>
      <c r="U871" s="128" t="n">
        <v>0</v>
      </c>
      <c r="V871" s="128" t="n">
        <v>5</v>
      </c>
      <c r="W871" s="90" t="n">
        <f aca="false">IFERROR(O871/V871,0)</f>
        <v>972</v>
      </c>
      <c r="X871" s="91" t="n">
        <f aca="false">O871/L871</f>
        <v>0.952941176470588</v>
      </c>
      <c r="Y871" s="92" t="str">
        <f aca="false">IFERROR(VLOOKUP(E:E,'Item Data Support Sheet'!A:J,6,0),0)</f>
        <v>FO001</v>
      </c>
      <c r="Z871" s="93" t="n">
        <f aca="false">IFERROR(VLOOKUP(E:E,'Item Data Support Sheet'!A:O,4,0),0)</f>
        <v>0</v>
      </c>
      <c r="AA871" s="93" t="n">
        <f aca="false">IFERROR(((N871)*(Z871/1000))+P871,0)</f>
        <v>0</v>
      </c>
      <c r="AB871" s="94" t="str">
        <f aca="false">IFERROR((O871*(Z871/1000)/(AA871))," ")</f>
        <v> </v>
      </c>
      <c r="AC871" s="95" t="n">
        <f aca="false">IFERROR((T871)/((T871)+O871),0)</f>
        <v>0.00532132623823168</v>
      </c>
      <c r="AD871" s="96" t="n">
        <f aca="false">IFERROR(Q871/(Q871+N871),0)</f>
        <v>0</v>
      </c>
      <c r="AE871" s="91" t="n">
        <f aca="false">(N871-T871)/N871</f>
        <v>0.994678673761768</v>
      </c>
      <c r="AF871" s="97" t="n">
        <f aca="false">BR871</f>
        <v>0.666666666666667</v>
      </c>
      <c r="AG871" s="98" t="n">
        <f aca="false">K871-AF871</f>
        <v>7.33333333333333</v>
      </c>
      <c r="AH871" s="99" t="n">
        <f aca="false">IFERROR(AG871/K871," ")</f>
        <v>0.916666666666667</v>
      </c>
      <c r="AI871" s="100" t="n">
        <f aca="false">IFERROR(O871/K871,0)</f>
        <v>607.5</v>
      </c>
      <c r="AJ871" s="101" t="n">
        <f aca="false">VLOOKUP(D871,'Standard Cycle time'!C:D,2,0)</f>
        <v>32.4</v>
      </c>
      <c r="AK871" s="101" t="n">
        <f aca="false">AG871*V871*3600/O871</f>
        <v>27.1604938271605</v>
      </c>
      <c r="AL871" s="102" t="n">
        <f aca="false">AJ871/AK871</f>
        <v>1.19290909090909</v>
      </c>
      <c r="AM871" s="99" t="n">
        <f aca="false">AE871*AL871*AH871</f>
        <v>1.08768112975849</v>
      </c>
      <c r="AN871" s="103" t="n">
        <v>1.08768112975849</v>
      </c>
      <c r="AO871" s="112"/>
      <c r="AP871" s="105" t="n">
        <v>40</v>
      </c>
      <c r="AQ871" s="105" t="n">
        <v>0</v>
      </c>
      <c r="AR871" s="105" t="n">
        <v>0</v>
      </c>
      <c r="AS871" s="105" t="n">
        <v>0</v>
      </c>
      <c r="AT871" s="105" t="n">
        <v>0</v>
      </c>
      <c r="AU871" s="105" t="n">
        <v>0</v>
      </c>
      <c r="AV871" s="105" t="n">
        <v>0</v>
      </c>
      <c r="AW871" s="105" t="n">
        <v>0</v>
      </c>
      <c r="AX871" s="105" t="n">
        <v>0</v>
      </c>
      <c r="AY871" s="105" t="n">
        <v>0</v>
      </c>
      <c r="AZ871" s="105" t="n">
        <v>0</v>
      </c>
      <c r="BA871" s="105" t="n">
        <v>0</v>
      </c>
      <c r="BB871" s="105" t="n">
        <v>0</v>
      </c>
      <c r="BC871" s="105" t="n">
        <v>0</v>
      </c>
      <c r="BD871" s="105" t="n">
        <v>0</v>
      </c>
      <c r="BE871" s="105" t="n">
        <v>0</v>
      </c>
      <c r="BF871" s="105" t="n">
        <v>0</v>
      </c>
      <c r="BG871" s="105" t="n">
        <v>0</v>
      </c>
      <c r="BH871" s="105" t="n">
        <v>0</v>
      </c>
      <c r="BI871" s="105" t="n">
        <v>0</v>
      </c>
      <c r="BJ871" s="105" t="n">
        <v>0</v>
      </c>
      <c r="BK871" s="105" t="n">
        <v>0</v>
      </c>
      <c r="BL871" s="105" t="n">
        <v>0</v>
      </c>
      <c r="BM871" s="105" t="n">
        <v>0</v>
      </c>
      <c r="BN871" s="105" t="n">
        <v>0</v>
      </c>
      <c r="BO871" s="105" t="n">
        <v>0</v>
      </c>
      <c r="BP871" s="105" t="n">
        <v>0</v>
      </c>
      <c r="BQ871" s="105" t="n">
        <v>0</v>
      </c>
      <c r="BR871" s="106" t="n">
        <v>0.666666666666667</v>
      </c>
      <c r="BS871" s="106" t="n">
        <v>0.666666666666667</v>
      </c>
      <c r="BT871" s="107"/>
      <c r="BU871" s="107"/>
      <c r="BV871" s="107"/>
      <c r="BW871" s="107"/>
      <c r="BX871" s="107"/>
      <c r="BY871" s="107"/>
      <c r="BZ871" s="107"/>
      <c r="CA871" s="107"/>
      <c r="CB871" s="107"/>
      <c r="CC871" s="107"/>
      <c r="CD871" s="107"/>
      <c r="CE871" s="107"/>
      <c r="CF871" s="107"/>
      <c r="CG871" s="107"/>
      <c r="CH871" s="107"/>
      <c r="CI871" s="107"/>
      <c r="CJ871" s="107"/>
      <c r="CK871" s="107"/>
      <c r="CL871" s="107"/>
      <c r="CM871" s="107"/>
      <c r="CN871" s="107"/>
      <c r="CO871" s="107"/>
      <c r="CP871" s="107"/>
      <c r="CQ871" s="107"/>
      <c r="CR871" s="107"/>
      <c r="CS871" s="107"/>
      <c r="CT871" s="107"/>
      <c r="CU871" s="107"/>
      <c r="CV871" s="107"/>
    </row>
    <row r="872" customFormat="false" ht="14.9" hidden="false" customHeight="false" outlineLevel="0" collapsed="false">
      <c r="A872" s="74" t="n">
        <f aca="false">MONTH(B872)</f>
        <v>10</v>
      </c>
      <c r="B872" s="135" t="n">
        <v>44478</v>
      </c>
      <c r="C872" s="128" t="s">
        <v>152</v>
      </c>
      <c r="D872" s="77" t="str">
        <f aca="false">IFERROR(VLOOKUP(E:E,'Item Data Support Sheet'!A:O,7,0),"")</f>
        <v>BOTTLE MOLDED</v>
      </c>
      <c r="E872" s="80" t="s">
        <v>235</v>
      </c>
      <c r="F872" s="122" t="s">
        <v>216</v>
      </c>
      <c r="G872" s="137" t="s">
        <v>74</v>
      </c>
      <c r="H872" s="79" t="str">
        <f aca="false">IFERROR(VLOOKUP(E:E,'Item Data Support Sheet'!A:O,2,0),"")</f>
        <v>KPP 200 ML BOTTLE MOLDED</v>
      </c>
      <c r="I872" s="80" t="s">
        <v>1629</v>
      </c>
      <c r="J872" s="80" t="s">
        <v>143</v>
      </c>
      <c r="K872" s="124" t="n">
        <v>8</v>
      </c>
      <c r="L872" s="124" t="n">
        <v>2574</v>
      </c>
      <c r="M872" s="83" t="n">
        <v>321.75</v>
      </c>
      <c r="N872" s="84" t="n">
        <f aca="false">+O872+Q872+T872+U872</f>
        <v>3097</v>
      </c>
      <c r="O872" s="85" t="n">
        <v>3024</v>
      </c>
      <c r="P872" s="86" t="n">
        <v>0</v>
      </c>
      <c r="Q872" s="86" t="n">
        <v>35</v>
      </c>
      <c r="R872" s="132" t="n">
        <v>0</v>
      </c>
      <c r="S872" s="128" t="n">
        <v>0</v>
      </c>
      <c r="T872" s="132" t="n">
        <v>30</v>
      </c>
      <c r="U872" s="128" t="n">
        <v>8</v>
      </c>
      <c r="V872" s="128" t="n">
        <v>1</v>
      </c>
      <c r="W872" s="90" t="n">
        <f aca="false">IFERROR(O872/V872,0)</f>
        <v>3024</v>
      </c>
      <c r="X872" s="91" t="n">
        <f aca="false">O872/L872</f>
        <v>1.17482517482517</v>
      </c>
      <c r="Y872" s="92" t="str">
        <f aca="false">IFERROR(VLOOKUP(E:E,'Item Data Support Sheet'!A:J,6,0),0)</f>
        <v>HMC</v>
      </c>
      <c r="Z872" s="93" t="n">
        <f aca="false">IFERROR(VLOOKUP(E:E,'Item Data Support Sheet'!A:O,4,0),0)</f>
        <v>28.1</v>
      </c>
      <c r="AA872" s="93" t="n">
        <f aca="false">IFERROR(((N872)*(Z872/1000))+P872,0)</f>
        <v>87.0257</v>
      </c>
      <c r="AB872" s="94" t="n">
        <f aca="false">IFERROR((O872*(Z872/1000)/(AA872))," ")</f>
        <v>0.976428802066516</v>
      </c>
      <c r="AC872" s="95" t="n">
        <f aca="false">IFERROR((T872)/((T872)+O872),0)</f>
        <v>0.00982318271119843</v>
      </c>
      <c r="AD872" s="96" t="n">
        <f aca="false">IFERROR(Q872/(Q872+N872),0)</f>
        <v>0.0111749680715198</v>
      </c>
      <c r="AE872" s="91" t="n">
        <f aca="false">(N872-T872)/N872</f>
        <v>0.990313206328705</v>
      </c>
      <c r="AF872" s="97" t="n">
        <f aca="false">BR872</f>
        <v>0</v>
      </c>
      <c r="AG872" s="98" t="n">
        <f aca="false">K872-AF872</f>
        <v>8</v>
      </c>
      <c r="AH872" s="99" t="n">
        <f aca="false">IFERROR(AG872/K872," ")</f>
        <v>1</v>
      </c>
      <c r="AI872" s="100" t="n">
        <f aca="false">IFERROR(O872/K872,0)</f>
        <v>378</v>
      </c>
      <c r="AJ872" s="101" t="n">
        <f aca="false">VLOOKUP(D872,'Standard Cycle time'!C:D,2,0)</f>
        <v>9</v>
      </c>
      <c r="AK872" s="101" t="n">
        <f aca="false">AG872*V872*3600/O872</f>
        <v>9.52380952380952</v>
      </c>
      <c r="AL872" s="102" t="n">
        <f aca="false">AJ872/AK872</f>
        <v>0.945</v>
      </c>
      <c r="AM872" s="99" t="n">
        <f aca="false">AE872*AL872*AH872</f>
        <v>0.935845979980626</v>
      </c>
      <c r="AN872" s="103" t="n">
        <v>0.935845979980626</v>
      </c>
      <c r="AO872" s="112"/>
      <c r="AP872" s="105" t="n">
        <v>0</v>
      </c>
      <c r="AQ872" s="105" t="n">
        <v>0</v>
      </c>
      <c r="AR872" s="105" t="n">
        <v>0</v>
      </c>
      <c r="AS872" s="105" t="n">
        <v>0</v>
      </c>
      <c r="AT872" s="105" t="n">
        <v>0</v>
      </c>
      <c r="AU872" s="105" t="n">
        <v>0</v>
      </c>
      <c r="AV872" s="105" t="n">
        <v>0</v>
      </c>
      <c r="AW872" s="105" t="n">
        <v>0</v>
      </c>
      <c r="AX872" s="105" t="n">
        <v>0</v>
      </c>
      <c r="AY872" s="105" t="n">
        <v>0</v>
      </c>
      <c r="AZ872" s="105" t="n">
        <v>0</v>
      </c>
      <c r="BA872" s="105" t="n">
        <v>0</v>
      </c>
      <c r="BB872" s="105" t="n">
        <v>0</v>
      </c>
      <c r="BC872" s="105" t="n">
        <v>0</v>
      </c>
      <c r="BD872" s="105" t="n">
        <v>0</v>
      </c>
      <c r="BE872" s="105" t="n">
        <v>0</v>
      </c>
      <c r="BF872" s="105" t="n">
        <v>0</v>
      </c>
      <c r="BG872" s="105" t="n">
        <v>0</v>
      </c>
      <c r="BH872" s="105" t="n">
        <v>0</v>
      </c>
      <c r="BI872" s="105" t="n">
        <v>0</v>
      </c>
      <c r="BJ872" s="105" t="n">
        <v>0</v>
      </c>
      <c r="BK872" s="105" t="n">
        <v>0</v>
      </c>
      <c r="BL872" s="105" t="n">
        <v>0</v>
      </c>
      <c r="BM872" s="105" t="n">
        <v>0</v>
      </c>
      <c r="BN872" s="105" t="n">
        <v>0</v>
      </c>
      <c r="BO872" s="105" t="n">
        <v>0</v>
      </c>
      <c r="BP872" s="105" t="n">
        <v>0</v>
      </c>
      <c r="BQ872" s="105" t="n">
        <v>0</v>
      </c>
      <c r="BR872" s="106" t="n">
        <v>0</v>
      </c>
      <c r="BS872" s="106" t="n">
        <v>0</v>
      </c>
      <c r="BT872" s="107"/>
      <c r="BU872" s="107"/>
      <c r="BV872" s="107"/>
      <c r="BW872" s="107"/>
      <c r="BX872" s="107"/>
      <c r="BY872" s="107"/>
      <c r="BZ872" s="107"/>
      <c r="CA872" s="107"/>
      <c r="CB872" s="107"/>
      <c r="CC872" s="107"/>
      <c r="CD872" s="107"/>
      <c r="CE872" s="107"/>
      <c r="CF872" s="107"/>
      <c r="CG872" s="107"/>
      <c r="CH872" s="107"/>
      <c r="CI872" s="107"/>
      <c r="CJ872" s="107"/>
      <c r="CK872" s="107"/>
      <c r="CL872" s="107"/>
      <c r="CM872" s="107"/>
      <c r="CN872" s="107"/>
      <c r="CO872" s="107"/>
      <c r="CP872" s="107"/>
      <c r="CQ872" s="107"/>
      <c r="CR872" s="107"/>
      <c r="CS872" s="107"/>
      <c r="CT872" s="107"/>
      <c r="CU872" s="107"/>
      <c r="CV872" s="107"/>
    </row>
    <row r="873" customFormat="false" ht="14.9" hidden="false" customHeight="false" outlineLevel="0" collapsed="false">
      <c r="A873" s="74" t="n">
        <f aca="false">MONTH(B873)</f>
        <v>10</v>
      </c>
      <c r="B873" s="135" t="n">
        <v>44478</v>
      </c>
      <c r="C873" s="128" t="s">
        <v>152</v>
      </c>
      <c r="D873" s="77" t="str">
        <f aca="false">IFERROR(VLOOKUP(E:E,'Item Data Support Sheet'!A:O,7,0),"")</f>
        <v>NIPPLE MOLDED</v>
      </c>
      <c r="E873" s="80" t="s">
        <v>661</v>
      </c>
      <c r="F873" s="122" t="s">
        <v>137</v>
      </c>
      <c r="G873" s="137" t="s">
        <v>138</v>
      </c>
      <c r="H873" s="79" t="str">
        <f aca="false">IFERROR(VLOOKUP(E:E,'Item Data Support Sheet'!A:O,2,0),"")</f>
        <v>NIPPLE S TYPE L SIZE INJECTION</v>
      </c>
      <c r="I873" s="80" t="s">
        <v>1630</v>
      </c>
      <c r="J873" s="80" t="s">
        <v>143</v>
      </c>
      <c r="K873" s="124" t="n">
        <v>8</v>
      </c>
      <c r="L873" s="124" t="n">
        <v>4815</v>
      </c>
      <c r="M873" s="83" t="n">
        <v>601.875</v>
      </c>
      <c r="N873" s="84" t="n">
        <f aca="false">+O873+Q873+T873+U873</f>
        <v>4302</v>
      </c>
      <c r="O873" s="85" t="n">
        <v>4200</v>
      </c>
      <c r="P873" s="86" t="n">
        <v>1.4</v>
      </c>
      <c r="Q873" s="86" t="n">
        <v>40</v>
      </c>
      <c r="R873" s="132" t="n">
        <v>0</v>
      </c>
      <c r="S873" s="128" t="n">
        <v>0</v>
      </c>
      <c r="T873" s="132" t="n">
        <v>54</v>
      </c>
      <c r="U873" s="128" t="n">
        <v>8</v>
      </c>
      <c r="V873" s="128" t="n">
        <v>1</v>
      </c>
      <c r="W873" s="90" t="n">
        <f aca="false">IFERROR(O873/V873,0)</f>
        <v>4200</v>
      </c>
      <c r="X873" s="91" t="n">
        <f aca="false">O873/L873</f>
        <v>0.872274143302181</v>
      </c>
      <c r="Y873" s="92" t="str">
        <f aca="false">IFERROR(VLOOKUP(E:E,'Item Data Support Sheet'!A:J,6,0),0)</f>
        <v>Silicon</v>
      </c>
      <c r="Z873" s="93" t="n">
        <f aca="false">IFERROR(VLOOKUP(E:E,'Item Data Support Sheet'!A:O,4,0),0)</f>
        <v>6.8</v>
      </c>
      <c r="AA873" s="93" t="n">
        <f aca="false">IFERROR(((N873)*(Z873/1000))+P873,0)</f>
        <v>30.6536</v>
      </c>
      <c r="AB873" s="94" t="n">
        <f aca="false">IFERROR((O873*(Z873/1000)/(AA873))," ")</f>
        <v>0.931701333611713</v>
      </c>
      <c r="AC873" s="95" t="n">
        <f aca="false">IFERROR((T873)/((T873)+O873),0)</f>
        <v>0.0126939351198872</v>
      </c>
      <c r="AD873" s="96" t="n">
        <f aca="false">IFERROR(Q873/(Q873+N873),0)</f>
        <v>0.00921234454168586</v>
      </c>
      <c r="AE873" s="91" t="n">
        <f aca="false">(N873-T873)/N873</f>
        <v>0.98744769874477</v>
      </c>
      <c r="AF873" s="97" t="n">
        <f aca="false">BR873</f>
        <v>1.5</v>
      </c>
      <c r="AG873" s="98" t="n">
        <f aca="false">K873-AF873</f>
        <v>6.5</v>
      </c>
      <c r="AH873" s="99" t="n">
        <f aca="false">IFERROR(AG873/K873," ")</f>
        <v>0.8125</v>
      </c>
      <c r="AI873" s="100" t="n">
        <f aca="false">IFERROR(O873/K873,0)</f>
        <v>525</v>
      </c>
      <c r="AJ873" s="101" t="n">
        <f aca="false">VLOOKUP(D873,'Standard Cycle time'!C:D,2,0)</f>
        <v>5.25</v>
      </c>
      <c r="AK873" s="101" t="n">
        <f aca="false">AG873*V873*3600/O873</f>
        <v>5.57142857142857</v>
      </c>
      <c r="AL873" s="102" t="n">
        <f aca="false">AJ873/AK873</f>
        <v>0.942307692307692</v>
      </c>
      <c r="AM873" s="99" t="n">
        <f aca="false">AE873*AL873*AH873</f>
        <v>0.756014644351464</v>
      </c>
      <c r="AN873" s="103" t="n">
        <v>0.756014644351464</v>
      </c>
      <c r="AO873" s="112" t="s">
        <v>1631</v>
      </c>
      <c r="AP873" s="105" t="n">
        <v>0</v>
      </c>
      <c r="AQ873" s="105" t="n">
        <v>0</v>
      </c>
      <c r="AR873" s="105" t="n">
        <v>0</v>
      </c>
      <c r="AS873" s="105" t="n">
        <v>0</v>
      </c>
      <c r="AT873" s="105" t="n">
        <v>0</v>
      </c>
      <c r="AU873" s="105" t="n">
        <v>30</v>
      </c>
      <c r="AV873" s="105" t="n">
        <v>0</v>
      </c>
      <c r="AW873" s="105" t="n">
        <v>0</v>
      </c>
      <c r="AX873" s="105" t="n">
        <v>0</v>
      </c>
      <c r="AY873" s="105" t="n">
        <v>0</v>
      </c>
      <c r="AZ873" s="105" t="n">
        <v>0</v>
      </c>
      <c r="BA873" s="105" t="n">
        <v>0</v>
      </c>
      <c r="BB873" s="105" t="n">
        <v>60</v>
      </c>
      <c r="BC873" s="105" t="n">
        <v>0</v>
      </c>
      <c r="BD873" s="105" t="n">
        <v>0</v>
      </c>
      <c r="BE873" s="105" t="n">
        <v>0</v>
      </c>
      <c r="BF873" s="105" t="n">
        <v>0</v>
      </c>
      <c r="BG873" s="105" t="n">
        <v>0</v>
      </c>
      <c r="BH873" s="105" t="n">
        <v>0</v>
      </c>
      <c r="BI873" s="105" t="n">
        <v>0</v>
      </c>
      <c r="BJ873" s="105" t="n">
        <v>0</v>
      </c>
      <c r="BK873" s="105" t="n">
        <v>0</v>
      </c>
      <c r="BL873" s="105" t="n">
        <v>0</v>
      </c>
      <c r="BM873" s="105" t="n">
        <v>0</v>
      </c>
      <c r="BN873" s="105" t="n">
        <v>0</v>
      </c>
      <c r="BO873" s="105" t="n">
        <v>0</v>
      </c>
      <c r="BP873" s="105" t="n">
        <v>0</v>
      </c>
      <c r="BQ873" s="105" t="n">
        <v>0</v>
      </c>
      <c r="BR873" s="106" t="n">
        <v>1.5</v>
      </c>
      <c r="BS873" s="106" t="n">
        <v>1.5</v>
      </c>
      <c r="BT873" s="107"/>
      <c r="BU873" s="107"/>
      <c r="BV873" s="107"/>
      <c r="BW873" s="107"/>
      <c r="BX873" s="107"/>
      <c r="BY873" s="107"/>
      <c r="BZ873" s="107"/>
      <c r="CA873" s="107"/>
      <c r="CB873" s="107"/>
      <c r="CC873" s="107"/>
      <c r="CD873" s="107"/>
      <c r="CE873" s="107"/>
      <c r="CF873" s="107"/>
      <c r="CG873" s="107"/>
      <c r="CH873" s="107"/>
      <c r="CI873" s="107"/>
      <c r="CJ873" s="107"/>
      <c r="CK873" s="107"/>
      <c r="CL873" s="107"/>
      <c r="CM873" s="107"/>
      <c r="CN873" s="107"/>
      <c r="CO873" s="107"/>
      <c r="CP873" s="107"/>
      <c r="CQ873" s="107"/>
      <c r="CR873" s="107"/>
      <c r="CS873" s="107"/>
      <c r="CT873" s="107"/>
      <c r="CU873" s="107"/>
      <c r="CV873" s="107"/>
    </row>
    <row r="874" customFormat="false" ht="14.9" hidden="false" customHeight="false" outlineLevel="0" collapsed="false">
      <c r="A874" s="74" t="n">
        <f aca="false">MONTH(B874)</f>
        <v>10</v>
      </c>
      <c r="B874" s="135" t="n">
        <v>44478</v>
      </c>
      <c r="C874" s="128" t="s">
        <v>152</v>
      </c>
      <c r="D874" s="77" t="str">
        <f aca="false">IFERROR(VLOOKUP(E:E,'Item Data Support Sheet'!A:O,7,0),"")</f>
        <v>CAP MOLDED</v>
      </c>
      <c r="E874" s="80" t="s">
        <v>343</v>
      </c>
      <c r="F874" s="122"/>
      <c r="G874" s="137" t="s">
        <v>1215</v>
      </c>
      <c r="H874" s="79" t="str">
        <f aca="false">IFERROR(VLOOKUP(E:E,'Item Data Support Sheet'!A:O,2,0),"")</f>
        <v>CAP S TYPE MOLDED BLUE</v>
      </c>
      <c r="I874" s="80" t="s">
        <v>1632</v>
      </c>
      <c r="J874" s="80" t="s">
        <v>143</v>
      </c>
      <c r="K874" s="124" t="n">
        <v>8</v>
      </c>
      <c r="L874" s="124" t="n">
        <v>4137</v>
      </c>
      <c r="M874" s="83" t="n">
        <v>517.125</v>
      </c>
      <c r="N874" s="84" t="n">
        <f aca="false">+O874+Q874+T874+U874</f>
        <v>4011</v>
      </c>
      <c r="O874" s="85" t="n">
        <v>4000</v>
      </c>
      <c r="P874" s="86" t="n">
        <v>0</v>
      </c>
      <c r="Q874" s="86" t="n">
        <v>0</v>
      </c>
      <c r="R874" s="132" t="n">
        <v>0</v>
      </c>
      <c r="S874" s="128" t="n">
        <v>0</v>
      </c>
      <c r="T874" s="132" t="n">
        <v>3</v>
      </c>
      <c r="U874" s="128" t="n">
        <v>8</v>
      </c>
      <c r="V874" s="128" t="n">
        <v>1</v>
      </c>
      <c r="W874" s="90" t="n">
        <f aca="false">IFERROR(O874/V874,0)</f>
        <v>4000</v>
      </c>
      <c r="X874" s="91" t="n">
        <f aca="false">O874/L874</f>
        <v>0.96688421561518</v>
      </c>
      <c r="Y874" s="92" t="str">
        <f aca="false">IFERROR(VLOOKUP(E:E,'Item Data Support Sheet'!A:J,6,0),0)</f>
        <v>RM000114</v>
      </c>
      <c r="Z874" s="93" t="n">
        <f aca="false">IFERROR(VLOOKUP(E:E,'Item Data Support Sheet'!A:O,4,0),0)</f>
        <v>7.3</v>
      </c>
      <c r="AA874" s="93" t="n">
        <f aca="false">IFERROR(((N874)*(Z874/1000))+P874,0)</f>
        <v>29.2803</v>
      </c>
      <c r="AB874" s="94" t="n">
        <f aca="false">IFERROR((O874*(Z874/1000)/(AA874))," ")</f>
        <v>0.99725754176016</v>
      </c>
      <c r="AC874" s="95" t="n">
        <f aca="false">IFERROR((T874)/((T874)+O874),0)</f>
        <v>0.000749437921558831</v>
      </c>
      <c r="AD874" s="96" t="n">
        <f aca="false">IFERROR(Q874/(Q874+N874),0)</f>
        <v>0</v>
      </c>
      <c r="AE874" s="91" t="n">
        <f aca="false">(N874-T874)/N874</f>
        <v>0.99925205684368</v>
      </c>
      <c r="AF874" s="97" t="n">
        <f aca="false">BR874</f>
        <v>1</v>
      </c>
      <c r="AG874" s="98" t="n">
        <f aca="false">K874-AF874</f>
        <v>7</v>
      </c>
      <c r="AH874" s="99" t="n">
        <f aca="false">IFERROR(AG874/K874," ")</f>
        <v>0.875</v>
      </c>
      <c r="AI874" s="100" t="n">
        <f aca="false">IFERROR(O874/K874,0)</f>
        <v>500</v>
      </c>
      <c r="AJ874" s="101" t="n">
        <f aca="false">VLOOKUP(D874,'Standard Cycle time'!C:D,2,0)</f>
        <v>6</v>
      </c>
      <c r="AK874" s="101" t="n">
        <f aca="false">AG874*V874*3600/O874</f>
        <v>6.3</v>
      </c>
      <c r="AL874" s="102" t="n">
        <f aca="false">AJ874/AK874</f>
        <v>0.952380952380952</v>
      </c>
      <c r="AM874" s="99" t="n">
        <f aca="false">AE874*AL874*AH874</f>
        <v>0.832710047369733</v>
      </c>
      <c r="AN874" s="103" t="n">
        <v>0.832710047369733</v>
      </c>
      <c r="AO874" s="112"/>
      <c r="AP874" s="105" t="n">
        <v>0</v>
      </c>
      <c r="AQ874" s="105" t="n">
        <v>0</v>
      </c>
      <c r="AR874" s="105" t="n">
        <v>0</v>
      </c>
      <c r="AS874" s="105" t="n">
        <v>0</v>
      </c>
      <c r="AT874" s="105" t="n">
        <v>0</v>
      </c>
      <c r="AU874" s="105" t="n">
        <v>0</v>
      </c>
      <c r="AV874" s="105" t="n">
        <v>30</v>
      </c>
      <c r="AW874" s="105" t="n">
        <v>30</v>
      </c>
      <c r="AX874" s="105" t="n">
        <v>0</v>
      </c>
      <c r="AY874" s="105" t="n">
        <v>0</v>
      </c>
      <c r="AZ874" s="105" t="n">
        <v>0</v>
      </c>
      <c r="BA874" s="105" t="n">
        <v>0</v>
      </c>
      <c r="BB874" s="105" t="n">
        <v>0</v>
      </c>
      <c r="BC874" s="105" t="n">
        <v>0</v>
      </c>
      <c r="BD874" s="105" t="n">
        <v>0</v>
      </c>
      <c r="BE874" s="105" t="n">
        <v>0</v>
      </c>
      <c r="BF874" s="105" t="n">
        <v>0</v>
      </c>
      <c r="BG874" s="105" t="n">
        <v>0</v>
      </c>
      <c r="BH874" s="105" t="n">
        <v>0</v>
      </c>
      <c r="BI874" s="105" t="n">
        <v>0</v>
      </c>
      <c r="BJ874" s="105" t="n">
        <v>0</v>
      </c>
      <c r="BK874" s="105" t="n">
        <v>0</v>
      </c>
      <c r="BL874" s="105" t="n">
        <v>0</v>
      </c>
      <c r="BM874" s="105" t="n">
        <v>0</v>
      </c>
      <c r="BN874" s="105" t="n">
        <v>0</v>
      </c>
      <c r="BO874" s="105" t="n">
        <v>0</v>
      </c>
      <c r="BP874" s="105" t="n">
        <v>0</v>
      </c>
      <c r="BQ874" s="105" t="n">
        <v>0</v>
      </c>
      <c r="BR874" s="106" t="n">
        <v>1</v>
      </c>
      <c r="BS874" s="106" t="n">
        <v>1</v>
      </c>
      <c r="BT874" s="107"/>
      <c r="BU874" s="107"/>
      <c r="BV874" s="107"/>
      <c r="BW874" s="107"/>
      <c r="BX874" s="107"/>
      <c r="BY874" s="107"/>
      <c r="BZ874" s="107"/>
      <c r="CA874" s="107"/>
      <c r="CB874" s="107"/>
      <c r="CC874" s="107"/>
      <c r="CD874" s="107"/>
      <c r="CE874" s="107"/>
      <c r="CF874" s="107"/>
      <c r="CG874" s="107"/>
      <c r="CH874" s="107"/>
      <c r="CI874" s="107"/>
      <c r="CJ874" s="107"/>
      <c r="CK874" s="107"/>
      <c r="CL874" s="107"/>
      <c r="CM874" s="107"/>
      <c r="CN874" s="107"/>
      <c r="CO874" s="107"/>
      <c r="CP874" s="107"/>
      <c r="CQ874" s="107"/>
      <c r="CR874" s="107"/>
      <c r="CS874" s="107"/>
      <c r="CT874" s="107"/>
      <c r="CU874" s="107"/>
      <c r="CV874" s="107"/>
    </row>
    <row r="875" customFormat="false" ht="14.9" hidden="false" customHeight="false" outlineLevel="0" collapsed="false">
      <c r="A875" s="74" t="n">
        <f aca="false">MONTH(B875)</f>
        <v>10</v>
      </c>
      <c r="B875" s="135" t="n">
        <v>44480</v>
      </c>
      <c r="C875" s="128" t="s">
        <v>51</v>
      </c>
      <c r="D875" s="77" t="str">
        <f aca="false">IFERROR(VLOOKUP(E:E,'Item Data Support Sheet'!A:O,7,0),"")</f>
        <v>BOTTLE MOLDED</v>
      </c>
      <c r="E875" s="80" t="s">
        <v>235</v>
      </c>
      <c r="F875" s="122" t="s">
        <v>216</v>
      </c>
      <c r="G875" s="137" t="s">
        <v>74</v>
      </c>
      <c r="H875" s="79" t="str">
        <f aca="false">IFERROR(VLOOKUP(E:E,'Item Data Support Sheet'!A:O,2,0),"")</f>
        <v>KPP 200 ML BOTTLE MOLDED</v>
      </c>
      <c r="I875" s="80" t="s">
        <v>1633</v>
      </c>
      <c r="J875" s="80" t="s">
        <v>143</v>
      </c>
      <c r="K875" s="124" t="n">
        <v>8</v>
      </c>
      <c r="L875" s="124" t="n">
        <v>2574</v>
      </c>
      <c r="M875" s="83" t="n">
        <v>321.75</v>
      </c>
      <c r="N875" s="84" t="n">
        <f aca="false">+O875+Q875+T875+U875</f>
        <v>2132</v>
      </c>
      <c r="O875" s="85" t="n">
        <v>2052</v>
      </c>
      <c r="P875" s="86" t="n">
        <v>0.2</v>
      </c>
      <c r="Q875" s="86" t="n">
        <v>42</v>
      </c>
      <c r="R875" s="132" t="n">
        <v>0</v>
      </c>
      <c r="S875" s="128" t="n">
        <v>0</v>
      </c>
      <c r="T875" s="132" t="n">
        <v>30</v>
      </c>
      <c r="U875" s="128" t="n">
        <v>8</v>
      </c>
      <c r="V875" s="128" t="n">
        <v>1</v>
      </c>
      <c r="W875" s="90" t="n">
        <f aca="false">IFERROR(O875/V875,0)</f>
        <v>2052</v>
      </c>
      <c r="X875" s="91" t="n">
        <f aca="false">O875/L875</f>
        <v>0.797202797202797</v>
      </c>
      <c r="Y875" s="92" t="str">
        <f aca="false">IFERROR(VLOOKUP(E:E,'Item Data Support Sheet'!A:J,6,0),0)</f>
        <v>HMC</v>
      </c>
      <c r="Z875" s="93" t="n">
        <f aca="false">IFERROR(VLOOKUP(E:E,'Item Data Support Sheet'!A:O,4,0),0)</f>
        <v>28.1</v>
      </c>
      <c r="AA875" s="93" t="n">
        <f aca="false">IFERROR(((N875)*(Z875/1000))+P875,0)</f>
        <v>60.1092</v>
      </c>
      <c r="AB875" s="94" t="n">
        <f aca="false">IFERROR((O875*(Z875/1000)/(AA875))," ")</f>
        <v>0.959274121099599</v>
      </c>
      <c r="AC875" s="95" t="n">
        <f aca="false">IFERROR((T875)/((T875)+O875),0)</f>
        <v>0.0144092219020173</v>
      </c>
      <c r="AD875" s="96" t="n">
        <f aca="false">IFERROR(Q875/(Q875+N875),0)</f>
        <v>0.0193192272309108</v>
      </c>
      <c r="AE875" s="91" t="n">
        <f aca="false">(N875-T875)/N875</f>
        <v>0.985928705440901</v>
      </c>
      <c r="AF875" s="97" t="n">
        <f aca="false">BR875</f>
        <v>2.83333333333333</v>
      </c>
      <c r="AG875" s="98" t="n">
        <f aca="false">K875-AF875</f>
        <v>5.16666666666667</v>
      </c>
      <c r="AH875" s="99" t="n">
        <f aca="false">IFERROR(AG875/K875," ")</f>
        <v>0.645833333333334</v>
      </c>
      <c r="AI875" s="100" t="n">
        <f aca="false">IFERROR(O875/K875,0)</f>
        <v>256.5</v>
      </c>
      <c r="AJ875" s="101" t="n">
        <f aca="false">VLOOKUP(D875,'Standard Cycle time'!C:D,2,0)</f>
        <v>9</v>
      </c>
      <c r="AK875" s="101" t="n">
        <f aca="false">AG875*V875*3600/O875</f>
        <v>9.06432748538012</v>
      </c>
      <c r="AL875" s="102" t="n">
        <f aca="false">AJ875/AK875</f>
        <v>0.992903225806451</v>
      </c>
      <c r="AM875" s="99" t="n">
        <f aca="false">AE875*AL875*AH875</f>
        <v>0.632226782363978</v>
      </c>
      <c r="AN875" s="103" t="n">
        <v>0.632226782363978</v>
      </c>
      <c r="AO875" s="112" t="s">
        <v>1485</v>
      </c>
      <c r="AP875" s="105" t="n">
        <v>0</v>
      </c>
      <c r="AQ875" s="105" t="n">
        <v>0</v>
      </c>
      <c r="AR875" s="105" t="n">
        <v>80</v>
      </c>
      <c r="AS875" s="105" t="n">
        <v>0</v>
      </c>
      <c r="AT875" s="105" t="n">
        <v>0</v>
      </c>
      <c r="AU875" s="105" t="n">
        <v>0</v>
      </c>
      <c r="AV875" s="105" t="n">
        <v>0</v>
      </c>
      <c r="AW875" s="105" t="n">
        <v>30</v>
      </c>
      <c r="AX875" s="105" t="n">
        <v>0</v>
      </c>
      <c r="AY875" s="105" t="n">
        <v>0</v>
      </c>
      <c r="AZ875" s="105" t="n">
        <v>0</v>
      </c>
      <c r="BA875" s="105" t="n">
        <v>0</v>
      </c>
      <c r="BB875" s="105" t="n">
        <v>60</v>
      </c>
      <c r="BC875" s="105" t="n">
        <v>0</v>
      </c>
      <c r="BD875" s="105" t="n">
        <v>0</v>
      </c>
      <c r="BE875" s="105" t="n">
        <v>0</v>
      </c>
      <c r="BF875" s="105" t="n">
        <v>0</v>
      </c>
      <c r="BG875" s="105" t="n">
        <v>0</v>
      </c>
      <c r="BH875" s="105" t="n">
        <v>0</v>
      </c>
      <c r="BI875" s="105" t="n">
        <v>0</v>
      </c>
      <c r="BJ875" s="105" t="n">
        <v>0</v>
      </c>
      <c r="BK875" s="105" t="n">
        <v>0</v>
      </c>
      <c r="BL875" s="105" t="n">
        <v>0</v>
      </c>
      <c r="BM875" s="105" t="n">
        <v>0</v>
      </c>
      <c r="BN875" s="105" t="n">
        <v>0</v>
      </c>
      <c r="BO875" s="105" t="n">
        <v>0</v>
      </c>
      <c r="BP875" s="105" t="n">
        <v>0</v>
      </c>
      <c r="BQ875" s="105" t="n">
        <v>0</v>
      </c>
      <c r="BR875" s="106" t="n">
        <v>2.83333333333333</v>
      </c>
      <c r="BS875" s="106" t="n">
        <v>2.83333333333333</v>
      </c>
      <c r="BT875" s="107"/>
      <c r="BU875" s="107"/>
      <c r="BV875" s="107"/>
      <c r="BW875" s="107"/>
      <c r="BX875" s="107"/>
      <c r="BY875" s="107"/>
      <c r="BZ875" s="107"/>
      <c r="CA875" s="107"/>
      <c r="CB875" s="107"/>
      <c r="CC875" s="107"/>
      <c r="CD875" s="107"/>
      <c r="CE875" s="107"/>
      <c r="CF875" s="107"/>
      <c r="CG875" s="107"/>
      <c r="CH875" s="107"/>
      <c r="CI875" s="107"/>
      <c r="CJ875" s="107"/>
      <c r="CK875" s="107"/>
      <c r="CL875" s="107"/>
      <c r="CM875" s="107"/>
      <c r="CN875" s="107"/>
      <c r="CO875" s="107"/>
      <c r="CP875" s="107"/>
      <c r="CQ875" s="107"/>
      <c r="CR875" s="107"/>
      <c r="CS875" s="107"/>
      <c r="CT875" s="107"/>
      <c r="CU875" s="107"/>
      <c r="CV875" s="107"/>
    </row>
    <row r="876" customFormat="false" ht="14.9" hidden="false" customHeight="false" outlineLevel="0" collapsed="false">
      <c r="A876" s="74" t="n">
        <f aca="false">MONTH(B876)</f>
        <v>10</v>
      </c>
      <c r="B876" s="135" t="n">
        <v>44480</v>
      </c>
      <c r="C876" s="128" t="s">
        <v>51</v>
      </c>
      <c r="D876" s="77" t="str">
        <f aca="false">IFERROR(VLOOKUP(E:E,'Item Data Support Sheet'!A:O,7,0),"")</f>
        <v>NIPPLE MOLDED</v>
      </c>
      <c r="E876" s="80" t="s">
        <v>661</v>
      </c>
      <c r="F876" s="122" t="s">
        <v>137</v>
      </c>
      <c r="G876" s="137" t="s">
        <v>138</v>
      </c>
      <c r="H876" s="79" t="str">
        <f aca="false">IFERROR(VLOOKUP(E:E,'Item Data Support Sheet'!A:O,2,0),"")</f>
        <v>NIPPLE S TYPE L SIZE INJECTION</v>
      </c>
      <c r="I876" s="80" t="s">
        <v>1634</v>
      </c>
      <c r="J876" s="80" t="s">
        <v>143</v>
      </c>
      <c r="K876" s="124" t="n">
        <v>8</v>
      </c>
      <c r="L876" s="124" t="n">
        <v>4815</v>
      </c>
      <c r="M876" s="83" t="n">
        <v>601.875</v>
      </c>
      <c r="N876" s="84" t="n">
        <f aca="false">+O876+Q876+T876+U876</f>
        <v>4348</v>
      </c>
      <c r="O876" s="85" t="n">
        <v>4200</v>
      </c>
      <c r="P876" s="86" t="n">
        <v>1</v>
      </c>
      <c r="Q876" s="86" t="n">
        <v>80</v>
      </c>
      <c r="R876" s="132" t="n">
        <v>0</v>
      </c>
      <c r="S876" s="128" t="n">
        <v>0</v>
      </c>
      <c r="T876" s="132" t="n">
        <v>60</v>
      </c>
      <c r="U876" s="128" t="n">
        <v>8</v>
      </c>
      <c r="V876" s="128" t="n">
        <v>1</v>
      </c>
      <c r="W876" s="90" t="n">
        <f aca="false">IFERROR(O876/V876,0)</f>
        <v>4200</v>
      </c>
      <c r="X876" s="91" t="n">
        <f aca="false">O876/L876</f>
        <v>0.872274143302181</v>
      </c>
      <c r="Y876" s="92" t="str">
        <f aca="false">IFERROR(VLOOKUP(E:E,'Item Data Support Sheet'!A:J,6,0),0)</f>
        <v>Silicon</v>
      </c>
      <c r="Z876" s="93" t="n">
        <f aca="false">IFERROR(VLOOKUP(E:E,'Item Data Support Sheet'!A:O,4,0),0)</f>
        <v>6.8</v>
      </c>
      <c r="AA876" s="93" t="n">
        <f aca="false">IFERROR(((N876)*(Z876/1000))+P876,0)</f>
        <v>30.5664</v>
      </c>
      <c r="AB876" s="94" t="n">
        <f aca="false">IFERROR((O876*(Z876/1000)/(AA876))," ")</f>
        <v>0.934359296482412</v>
      </c>
      <c r="AC876" s="95" t="n">
        <f aca="false">IFERROR((T876)/((T876)+O876),0)</f>
        <v>0.0140845070422535</v>
      </c>
      <c r="AD876" s="96" t="n">
        <f aca="false">IFERROR(Q876/(Q876+N876),0)</f>
        <v>0.01806684733514</v>
      </c>
      <c r="AE876" s="91" t="n">
        <f aca="false">(N876-T876)/N876</f>
        <v>0.986200551977921</v>
      </c>
      <c r="AF876" s="97" t="n">
        <f aca="false">BR876</f>
        <v>1.83333333333333</v>
      </c>
      <c r="AG876" s="98" t="n">
        <f aca="false">K876-AF876</f>
        <v>6.16666666666667</v>
      </c>
      <c r="AH876" s="99" t="n">
        <f aca="false">IFERROR(AG876/K876," ")</f>
        <v>0.770833333333334</v>
      </c>
      <c r="AI876" s="100" t="n">
        <f aca="false">IFERROR(O876/K876,0)</f>
        <v>525</v>
      </c>
      <c r="AJ876" s="101" t="n">
        <f aca="false">VLOOKUP(D876,'Standard Cycle time'!C:D,2,0)</f>
        <v>5.25</v>
      </c>
      <c r="AK876" s="101" t="n">
        <f aca="false">AG876*V876*3600/O876</f>
        <v>5.28571428571429</v>
      </c>
      <c r="AL876" s="102" t="n">
        <f aca="false">AJ876/AK876</f>
        <v>0.993243243243243</v>
      </c>
      <c r="AM876" s="99" t="n">
        <f aca="false">AE876*AL876*AH876</f>
        <v>0.755059797608096</v>
      </c>
      <c r="AN876" s="103" t="n">
        <v>0.755059797608096</v>
      </c>
      <c r="AO876" s="112" t="s">
        <v>1635</v>
      </c>
      <c r="AP876" s="105" t="n">
        <v>0</v>
      </c>
      <c r="AQ876" s="105" t="n">
        <v>0</v>
      </c>
      <c r="AR876" s="105" t="n">
        <v>0</v>
      </c>
      <c r="AS876" s="105" t="n">
        <v>0</v>
      </c>
      <c r="AT876" s="105" t="n">
        <v>0</v>
      </c>
      <c r="AU876" s="105" t="n">
        <v>30</v>
      </c>
      <c r="AV876" s="105" t="n">
        <v>0</v>
      </c>
      <c r="AW876" s="105" t="n">
        <v>0</v>
      </c>
      <c r="AX876" s="105" t="n">
        <v>0</v>
      </c>
      <c r="AY876" s="105" t="n">
        <v>0</v>
      </c>
      <c r="AZ876" s="105" t="n">
        <v>0</v>
      </c>
      <c r="BA876" s="105" t="n">
        <v>0</v>
      </c>
      <c r="BB876" s="105" t="n">
        <v>80</v>
      </c>
      <c r="BC876" s="105" t="n">
        <v>0</v>
      </c>
      <c r="BD876" s="105" t="n">
        <v>0</v>
      </c>
      <c r="BE876" s="105" t="n">
        <v>0</v>
      </c>
      <c r="BF876" s="105" t="n">
        <v>0</v>
      </c>
      <c r="BG876" s="105" t="n">
        <v>0</v>
      </c>
      <c r="BH876" s="105" t="n">
        <v>0</v>
      </c>
      <c r="BI876" s="105" t="n">
        <v>0</v>
      </c>
      <c r="BJ876" s="105" t="n">
        <v>0</v>
      </c>
      <c r="BK876" s="105" t="n">
        <v>0</v>
      </c>
      <c r="BL876" s="105" t="n">
        <v>0</v>
      </c>
      <c r="BM876" s="105" t="n">
        <v>0</v>
      </c>
      <c r="BN876" s="105" t="n">
        <v>0</v>
      </c>
      <c r="BO876" s="105" t="n">
        <v>0</v>
      </c>
      <c r="BP876" s="105" t="n">
        <v>0</v>
      </c>
      <c r="BQ876" s="105" t="n">
        <v>0</v>
      </c>
      <c r="BR876" s="106" t="n">
        <v>1.83333333333333</v>
      </c>
      <c r="BS876" s="106" t="n">
        <v>1.83333333333333</v>
      </c>
      <c r="BT876" s="107"/>
      <c r="BU876" s="107"/>
      <c r="BV876" s="107"/>
      <c r="BW876" s="107"/>
      <c r="BX876" s="107"/>
      <c r="BY876" s="107"/>
      <c r="BZ876" s="107"/>
      <c r="CA876" s="107"/>
      <c r="CB876" s="107"/>
      <c r="CC876" s="107"/>
      <c r="CD876" s="107"/>
      <c r="CE876" s="107"/>
      <c r="CF876" s="107"/>
      <c r="CG876" s="107"/>
      <c r="CH876" s="107"/>
      <c r="CI876" s="107"/>
      <c r="CJ876" s="107"/>
      <c r="CK876" s="107"/>
      <c r="CL876" s="107"/>
      <c r="CM876" s="107"/>
      <c r="CN876" s="107"/>
      <c r="CO876" s="107"/>
      <c r="CP876" s="107"/>
      <c r="CQ876" s="107"/>
      <c r="CR876" s="107"/>
      <c r="CS876" s="107"/>
      <c r="CT876" s="107"/>
      <c r="CU876" s="107"/>
      <c r="CV876" s="107"/>
    </row>
    <row r="877" customFormat="false" ht="14.9" hidden="false" customHeight="false" outlineLevel="0" collapsed="false">
      <c r="A877" s="74" t="n">
        <f aca="false">MONTH(B877)</f>
        <v>10</v>
      </c>
      <c r="B877" s="135" t="n">
        <v>44480</v>
      </c>
      <c r="C877" s="128" t="s">
        <v>51</v>
      </c>
      <c r="D877" s="77" t="str">
        <f aca="false">IFERROR(VLOOKUP(E:E,'Item Data Support Sheet'!A:O,7,0),"")</f>
        <v>CAP MOLDED</v>
      </c>
      <c r="E877" s="80" t="s">
        <v>343</v>
      </c>
      <c r="F877" s="122"/>
      <c r="G877" s="137" t="s">
        <v>1215</v>
      </c>
      <c r="H877" s="79" t="str">
        <f aca="false">IFERROR(VLOOKUP(E:E,'Item Data Support Sheet'!A:O,2,0),"")</f>
        <v>CAP S TYPE MOLDED BLUE</v>
      </c>
      <c r="I877" s="80" t="s">
        <v>1636</v>
      </c>
      <c r="J877" s="80" t="s">
        <v>143</v>
      </c>
      <c r="K877" s="124" t="n">
        <v>8</v>
      </c>
      <c r="L877" s="124" t="n">
        <v>4137</v>
      </c>
      <c r="M877" s="83" t="n">
        <v>517.125</v>
      </c>
      <c r="N877" s="84" t="n">
        <f aca="false">+O877+Q877+T877+U877</f>
        <v>3808</v>
      </c>
      <c r="O877" s="85" t="n">
        <v>3800</v>
      </c>
      <c r="P877" s="86" t="n">
        <v>0</v>
      </c>
      <c r="Q877" s="86" t="n">
        <v>0</v>
      </c>
      <c r="R877" s="132" t="n">
        <v>0</v>
      </c>
      <c r="S877" s="128" t="n">
        <v>0</v>
      </c>
      <c r="T877" s="132" t="n">
        <v>0</v>
      </c>
      <c r="U877" s="128" t="n">
        <v>8</v>
      </c>
      <c r="V877" s="128" t="n">
        <v>1</v>
      </c>
      <c r="W877" s="90" t="n">
        <f aca="false">IFERROR(O877/V877,0)</f>
        <v>3800</v>
      </c>
      <c r="X877" s="91" t="n">
        <f aca="false">O877/L877</f>
        <v>0.918540004834421</v>
      </c>
      <c r="Y877" s="92" t="str">
        <f aca="false">IFERROR(VLOOKUP(E:E,'Item Data Support Sheet'!A:J,6,0),0)</f>
        <v>RM000114</v>
      </c>
      <c r="Z877" s="93" t="n">
        <f aca="false">IFERROR(VLOOKUP(E:E,'Item Data Support Sheet'!A:O,4,0),0)</f>
        <v>7.3</v>
      </c>
      <c r="AA877" s="93" t="n">
        <f aca="false">IFERROR(((N877)*(Z877/1000))+P877,0)</f>
        <v>27.7984</v>
      </c>
      <c r="AB877" s="94" t="n">
        <f aca="false">IFERROR((O877*(Z877/1000)/(AA877))," ")</f>
        <v>0.997899159663866</v>
      </c>
      <c r="AC877" s="95" t="n">
        <f aca="false">IFERROR((T877)/((T877)+O877),0)</f>
        <v>0</v>
      </c>
      <c r="AD877" s="96" t="n">
        <f aca="false">IFERROR(Q877/(Q877+N877),0)</f>
        <v>0</v>
      </c>
      <c r="AE877" s="91" t="n">
        <f aca="false">(N877-T877)/N877</f>
        <v>1</v>
      </c>
      <c r="AF877" s="97" t="n">
        <f aca="false">BR877</f>
        <v>1</v>
      </c>
      <c r="AG877" s="98" t="n">
        <f aca="false">K877-AF877</f>
        <v>7</v>
      </c>
      <c r="AH877" s="99" t="n">
        <f aca="false">IFERROR(AG877/K877," ")</f>
        <v>0.875</v>
      </c>
      <c r="AI877" s="100" t="n">
        <f aca="false">IFERROR(O877/K877,0)</f>
        <v>475</v>
      </c>
      <c r="AJ877" s="101" t="n">
        <f aca="false">VLOOKUP(D877,'Standard Cycle time'!C:D,2,0)</f>
        <v>6</v>
      </c>
      <c r="AK877" s="101" t="n">
        <f aca="false">AG877*V877*3600/O877</f>
        <v>6.63157894736842</v>
      </c>
      <c r="AL877" s="102" t="n">
        <f aca="false">AJ877/AK877</f>
        <v>0.904761904761905</v>
      </c>
      <c r="AM877" s="99" t="n">
        <f aca="false">AE877*AL877*AH877</f>
        <v>0.791666666666667</v>
      </c>
      <c r="AN877" s="103" t="n">
        <v>0.791666666666667</v>
      </c>
      <c r="AO877" s="112"/>
      <c r="AP877" s="105" t="n">
        <v>0</v>
      </c>
      <c r="AQ877" s="105" t="n">
        <v>0</v>
      </c>
      <c r="AR877" s="105" t="n">
        <v>0</v>
      </c>
      <c r="AS877" s="105" t="n">
        <v>0</v>
      </c>
      <c r="AT877" s="105" t="n">
        <v>0</v>
      </c>
      <c r="AU877" s="105" t="n">
        <v>0</v>
      </c>
      <c r="AV877" s="105" t="n">
        <v>30</v>
      </c>
      <c r="AW877" s="105" t="n">
        <v>0</v>
      </c>
      <c r="AX877" s="105" t="n">
        <v>0</v>
      </c>
      <c r="AY877" s="105" t="n">
        <v>0</v>
      </c>
      <c r="AZ877" s="105" t="n">
        <v>30</v>
      </c>
      <c r="BA877" s="105" t="n">
        <v>0</v>
      </c>
      <c r="BB877" s="105" t="n">
        <v>0</v>
      </c>
      <c r="BC877" s="105" t="n">
        <v>0</v>
      </c>
      <c r="BD877" s="105" t="n">
        <v>0</v>
      </c>
      <c r="BE877" s="105" t="n">
        <v>0</v>
      </c>
      <c r="BF877" s="105" t="n">
        <v>0</v>
      </c>
      <c r="BG877" s="105" t="n">
        <v>0</v>
      </c>
      <c r="BH877" s="105" t="n">
        <v>0</v>
      </c>
      <c r="BI877" s="105" t="n">
        <v>0</v>
      </c>
      <c r="BJ877" s="105" t="n">
        <v>0</v>
      </c>
      <c r="BK877" s="105" t="n">
        <v>0</v>
      </c>
      <c r="BL877" s="105" t="n">
        <v>0</v>
      </c>
      <c r="BM877" s="105" t="n">
        <v>0</v>
      </c>
      <c r="BN877" s="105" t="n">
        <v>0</v>
      </c>
      <c r="BO877" s="105" t="n">
        <v>0</v>
      </c>
      <c r="BP877" s="105" t="n">
        <v>0</v>
      </c>
      <c r="BQ877" s="105" t="n">
        <v>0</v>
      </c>
      <c r="BR877" s="106" t="n">
        <v>1</v>
      </c>
      <c r="BS877" s="106" t="n">
        <v>1</v>
      </c>
      <c r="BT877" s="107"/>
      <c r="BU877" s="107"/>
      <c r="BV877" s="107"/>
      <c r="BW877" s="107"/>
      <c r="BX877" s="107"/>
      <c r="BY877" s="107"/>
      <c r="BZ877" s="107"/>
      <c r="CA877" s="107"/>
      <c r="CB877" s="107"/>
      <c r="CC877" s="107"/>
      <c r="CD877" s="107"/>
      <c r="CE877" s="107"/>
      <c r="CF877" s="107"/>
      <c r="CG877" s="107"/>
      <c r="CH877" s="107"/>
      <c r="CI877" s="107"/>
      <c r="CJ877" s="107"/>
      <c r="CK877" s="107"/>
      <c r="CL877" s="107"/>
      <c r="CM877" s="107"/>
      <c r="CN877" s="107"/>
      <c r="CO877" s="107"/>
      <c r="CP877" s="107"/>
      <c r="CQ877" s="107"/>
      <c r="CR877" s="107"/>
      <c r="CS877" s="107"/>
      <c r="CT877" s="107"/>
      <c r="CU877" s="107"/>
      <c r="CV877" s="107"/>
    </row>
    <row r="878" customFormat="false" ht="14.9" hidden="false" customHeight="false" outlineLevel="0" collapsed="false">
      <c r="A878" s="74" t="n">
        <f aca="false">MONTH(B878)</f>
        <v>10</v>
      </c>
      <c r="B878" s="135" t="n">
        <v>44480</v>
      </c>
      <c r="C878" s="128" t="s">
        <v>51</v>
      </c>
      <c r="D878" s="77" t="str">
        <f aca="false">IFERROR(VLOOKUP(E:E,'Item Data Support Sheet'!A:O,7,0),"")</f>
        <v>NIPPLE PUNCH</v>
      </c>
      <c r="E878" s="80" t="s">
        <v>666</v>
      </c>
      <c r="F878" s="122"/>
      <c r="G878" s="137" t="s">
        <v>54</v>
      </c>
      <c r="H878" s="79" t="str">
        <f aca="false">IFERROR(VLOOKUP(E:E,'Item Data Support Sheet'!A:O,2,0),"")</f>
        <v>NIPPLE S TYPE L SIZE PUNCHED</v>
      </c>
      <c r="I878" s="80" t="s">
        <v>1637</v>
      </c>
      <c r="J878" s="80" t="s">
        <v>143</v>
      </c>
      <c r="K878" s="124" t="n">
        <v>8</v>
      </c>
      <c r="L878" s="124" t="n">
        <v>7000</v>
      </c>
      <c r="M878" s="83" t="n">
        <v>875</v>
      </c>
      <c r="N878" s="84" t="n">
        <f aca="false">+O878+Q878+T878+U878</f>
        <v>5762</v>
      </c>
      <c r="O878" s="85" t="n">
        <v>5762</v>
      </c>
      <c r="P878" s="86" t="n">
        <v>0</v>
      </c>
      <c r="Q878" s="86" t="n">
        <v>0</v>
      </c>
      <c r="R878" s="132" t="n">
        <v>0</v>
      </c>
      <c r="S878" s="128" t="n">
        <v>0</v>
      </c>
      <c r="T878" s="132" t="n">
        <v>0</v>
      </c>
      <c r="U878" s="128" t="n">
        <v>0</v>
      </c>
      <c r="V878" s="128" t="n">
        <v>1</v>
      </c>
      <c r="W878" s="90" t="n">
        <f aca="false">IFERROR(O878/V878,0)</f>
        <v>5762</v>
      </c>
      <c r="X878" s="91" t="n">
        <f aca="false">O878/L878</f>
        <v>0.823142857142857</v>
      </c>
      <c r="Y878" s="92" t="str">
        <f aca="false">IFERROR(VLOOKUP(E:E,'Item Data Support Sheet'!A:J,6,0),0)</f>
        <v>FO017</v>
      </c>
      <c r="Z878" s="93" t="n">
        <f aca="false">IFERROR(VLOOKUP(E:E,'Item Data Support Sheet'!A:O,4,0),0)</f>
        <v>0</v>
      </c>
      <c r="AA878" s="93" t="n">
        <f aca="false">IFERROR(((N878)*(Z878/1000))+P878,0)</f>
        <v>0</v>
      </c>
      <c r="AB878" s="94" t="str">
        <f aca="false">IFERROR((O878*(Z878/1000)/(AA878))," ")</f>
        <v> </v>
      </c>
      <c r="AC878" s="95" t="n">
        <f aca="false">IFERROR((T878)/((T878)+O878),0)</f>
        <v>0</v>
      </c>
      <c r="AD878" s="96" t="n">
        <f aca="false">IFERROR(Q878/(Q878+N878),0)</f>
        <v>0</v>
      </c>
      <c r="AE878" s="91" t="n">
        <f aca="false">(N878-T878)/N878</f>
        <v>1</v>
      </c>
      <c r="AF878" s="97" t="n">
        <f aca="false">BR878</f>
        <v>1.5</v>
      </c>
      <c r="AG878" s="98" t="n">
        <f aca="false">K878-AF878</f>
        <v>6.5</v>
      </c>
      <c r="AH878" s="99" t="n">
        <f aca="false">IFERROR(AG878/K878," ")</f>
        <v>0.8125</v>
      </c>
      <c r="AI878" s="100" t="n">
        <f aca="false">IFERROR(O878/K878,0)</f>
        <v>720.25</v>
      </c>
      <c r="AJ878" s="101" t="n">
        <f aca="false">VLOOKUP(D878,'Standard Cycle time'!C:D,2,0)</f>
        <v>3.5</v>
      </c>
      <c r="AK878" s="101" t="n">
        <f aca="false">AG878*V878*3600/O878</f>
        <v>4.06108989934051</v>
      </c>
      <c r="AL878" s="102" t="n">
        <f aca="false">AJ878/AK878</f>
        <v>0.861837606837607</v>
      </c>
      <c r="AM878" s="99" t="n">
        <f aca="false">AE878*AL878*AH878</f>
        <v>0.700243055555556</v>
      </c>
      <c r="AN878" s="103" t="n">
        <v>0.700243055555556</v>
      </c>
      <c r="AO878" s="112" t="s">
        <v>1638</v>
      </c>
      <c r="AP878" s="105" t="n">
        <v>0</v>
      </c>
      <c r="AQ878" s="105" t="n">
        <v>0</v>
      </c>
      <c r="AR878" s="105" t="n">
        <v>0</v>
      </c>
      <c r="AS878" s="105" t="n">
        <v>0</v>
      </c>
      <c r="AT878" s="105" t="n">
        <v>0</v>
      </c>
      <c r="AU878" s="105" t="n">
        <v>0</v>
      </c>
      <c r="AV878" s="105" t="n">
        <v>0</v>
      </c>
      <c r="AW878" s="105" t="n">
        <v>0</v>
      </c>
      <c r="AX878" s="105" t="n">
        <v>0</v>
      </c>
      <c r="AY878" s="105" t="n">
        <v>0</v>
      </c>
      <c r="AZ878" s="105" t="n">
        <v>0</v>
      </c>
      <c r="BA878" s="105" t="n">
        <v>0</v>
      </c>
      <c r="BB878" s="105" t="n">
        <v>0</v>
      </c>
      <c r="BC878" s="105" t="n">
        <v>0</v>
      </c>
      <c r="BD878" s="105" t="n">
        <v>0</v>
      </c>
      <c r="BE878" s="105" t="n">
        <v>0</v>
      </c>
      <c r="BF878" s="105" t="n">
        <v>0</v>
      </c>
      <c r="BG878" s="105" t="n">
        <v>0</v>
      </c>
      <c r="BH878" s="105" t="n">
        <v>0</v>
      </c>
      <c r="BI878" s="105" t="n">
        <v>0</v>
      </c>
      <c r="BJ878" s="105" t="n">
        <v>60</v>
      </c>
      <c r="BK878" s="105" t="n">
        <v>0</v>
      </c>
      <c r="BL878" s="105" t="n">
        <v>0</v>
      </c>
      <c r="BM878" s="105" t="n">
        <v>0</v>
      </c>
      <c r="BN878" s="105" t="n">
        <v>0</v>
      </c>
      <c r="BO878" s="105" t="n">
        <v>0</v>
      </c>
      <c r="BP878" s="105" t="n">
        <v>0</v>
      </c>
      <c r="BQ878" s="105" t="n">
        <v>30</v>
      </c>
      <c r="BR878" s="106" t="n">
        <v>1.5</v>
      </c>
      <c r="BS878" s="106" t="n">
        <v>1.5</v>
      </c>
      <c r="BT878" s="107"/>
      <c r="BU878" s="107"/>
      <c r="BV878" s="107"/>
      <c r="BW878" s="107"/>
      <c r="BX878" s="107"/>
      <c r="BY878" s="107"/>
      <c r="BZ878" s="107"/>
      <c r="CA878" s="107"/>
      <c r="CB878" s="107"/>
      <c r="CC878" s="107"/>
      <c r="CD878" s="107"/>
      <c r="CE878" s="107"/>
      <c r="CF878" s="107"/>
      <c r="CG878" s="107"/>
      <c r="CH878" s="107"/>
      <c r="CI878" s="107"/>
      <c r="CJ878" s="107"/>
      <c r="CK878" s="107"/>
      <c r="CL878" s="107"/>
      <c r="CM878" s="107"/>
      <c r="CN878" s="107"/>
      <c r="CO878" s="107"/>
      <c r="CP878" s="107"/>
      <c r="CQ878" s="107"/>
      <c r="CR878" s="107"/>
      <c r="CS878" s="107"/>
      <c r="CT878" s="107"/>
      <c r="CU878" s="107"/>
      <c r="CV878" s="107"/>
    </row>
    <row r="879" customFormat="false" ht="14.9" hidden="false" customHeight="false" outlineLevel="0" collapsed="false">
      <c r="A879" s="74" t="n">
        <f aca="false">MONTH(B879)</f>
        <v>10</v>
      </c>
      <c r="B879" s="135" t="n">
        <v>44480</v>
      </c>
      <c r="C879" s="128" t="s">
        <v>51</v>
      </c>
      <c r="D879" s="77" t="str">
        <f aca="false">IFERROR(VLOOKUP(E:E,'Item Data Support Sheet'!A:O,7,0),"")</f>
        <v>NIPPLE LASER MARKING</v>
      </c>
      <c r="E879" s="80" t="s">
        <v>681</v>
      </c>
      <c r="F879" s="122"/>
      <c r="G879" s="137" t="s">
        <v>517</v>
      </c>
      <c r="H879" s="79" t="str">
        <f aca="false">IFERROR(VLOOKUP(E:E,'Item Data Support Sheet'!A:O,2,0),"")</f>
        <v>NIPPLE S TYPE L SIZE PUNCHED LASER MARKED</v>
      </c>
      <c r="I879" s="80" t="s">
        <v>1639</v>
      </c>
      <c r="J879" s="80" t="s">
        <v>143</v>
      </c>
      <c r="K879" s="124" t="n">
        <v>8</v>
      </c>
      <c r="L879" s="124" t="n">
        <v>7000</v>
      </c>
      <c r="M879" s="83" t="n">
        <v>875</v>
      </c>
      <c r="N879" s="84" t="n">
        <f aca="false">+O879+Q879+T879+U879</f>
        <v>4762</v>
      </c>
      <c r="O879" s="85" t="n">
        <v>4762</v>
      </c>
      <c r="P879" s="86" t="n">
        <v>0</v>
      </c>
      <c r="Q879" s="86" t="n">
        <v>0</v>
      </c>
      <c r="R879" s="132" t="n">
        <v>0</v>
      </c>
      <c r="S879" s="128" t="n">
        <v>0</v>
      </c>
      <c r="T879" s="132" t="n">
        <v>0</v>
      </c>
      <c r="U879" s="128" t="n">
        <v>0</v>
      </c>
      <c r="V879" s="128" t="n">
        <v>1</v>
      </c>
      <c r="W879" s="90" t="n">
        <f aca="false">IFERROR(O879/V879,0)</f>
        <v>4762</v>
      </c>
      <c r="X879" s="91" t="n">
        <f aca="false">O879/L879</f>
        <v>0.680285714285714</v>
      </c>
      <c r="Y879" s="92" t="str">
        <f aca="false">IFERROR(VLOOKUP(E:E,'Item Data Support Sheet'!A:J,6,0),0)</f>
        <v>FO021</v>
      </c>
      <c r="Z879" s="93" t="n">
        <f aca="false">IFERROR(VLOOKUP(E:E,'Item Data Support Sheet'!A:O,4,0),0)</f>
        <v>0</v>
      </c>
      <c r="AA879" s="93" t="n">
        <f aca="false">IFERROR(((N879)*(Z879/1000))+P879,0)</f>
        <v>0</v>
      </c>
      <c r="AB879" s="94" t="str">
        <f aca="false">IFERROR((O879*(Z879/1000)/(AA879))," ")</f>
        <v> </v>
      </c>
      <c r="AC879" s="95" t="n">
        <f aca="false">IFERROR((T879)/((T879)+O879),0)</f>
        <v>0</v>
      </c>
      <c r="AD879" s="96" t="n">
        <f aca="false">IFERROR(Q879/(Q879+N879),0)</f>
        <v>0</v>
      </c>
      <c r="AE879" s="91" t="n">
        <f aca="false">(N879-T879)/N879</f>
        <v>1</v>
      </c>
      <c r="AF879" s="97" t="n">
        <f aca="false">BR879</f>
        <v>2.5</v>
      </c>
      <c r="AG879" s="98" t="n">
        <f aca="false">K879-AF879</f>
        <v>5.5</v>
      </c>
      <c r="AH879" s="99" t="n">
        <f aca="false">IFERROR(AG879/K879," ")</f>
        <v>0.6875</v>
      </c>
      <c r="AI879" s="100" t="n">
        <f aca="false">IFERROR(O879/K879,0)</f>
        <v>595.25</v>
      </c>
      <c r="AJ879" s="101" t="n">
        <f aca="false">VLOOKUP(D879,'Standard Cycle time'!C:D,2,0)</f>
        <v>3.5</v>
      </c>
      <c r="AK879" s="101" t="n">
        <f aca="false">AG879*V879*3600/O879</f>
        <v>4.15791684166317</v>
      </c>
      <c r="AL879" s="102" t="n">
        <f aca="false">AJ879/AK879</f>
        <v>0.841767676767677</v>
      </c>
      <c r="AM879" s="99" t="n">
        <f aca="false">AE879*AL879*AH879</f>
        <v>0.578715277777778</v>
      </c>
      <c r="AN879" s="103" t="n">
        <v>0.578715277777778</v>
      </c>
      <c r="AO879" s="112" t="s">
        <v>755</v>
      </c>
      <c r="AP879" s="105" t="n">
        <v>0</v>
      </c>
      <c r="AQ879" s="105" t="n">
        <v>0</v>
      </c>
      <c r="AR879" s="105" t="n">
        <v>0</v>
      </c>
      <c r="AS879" s="105" t="n">
        <v>0</v>
      </c>
      <c r="AT879" s="105" t="n">
        <v>150</v>
      </c>
      <c r="AU879" s="105" t="n">
        <v>0</v>
      </c>
      <c r="AV879" s="105" t="n">
        <v>0</v>
      </c>
      <c r="AW879" s="105" t="n">
        <v>0</v>
      </c>
      <c r="AX879" s="105" t="n">
        <v>0</v>
      </c>
      <c r="AY879" s="105" t="n">
        <v>0</v>
      </c>
      <c r="AZ879" s="105" t="n">
        <v>0</v>
      </c>
      <c r="BA879" s="105" t="n">
        <v>0</v>
      </c>
      <c r="BB879" s="105" t="n">
        <v>0</v>
      </c>
      <c r="BC879" s="105" t="n">
        <v>0</v>
      </c>
      <c r="BD879" s="105" t="n">
        <v>0</v>
      </c>
      <c r="BE879" s="105" t="n">
        <v>0</v>
      </c>
      <c r="BF879" s="105" t="n">
        <v>0</v>
      </c>
      <c r="BG879" s="105" t="n">
        <v>0</v>
      </c>
      <c r="BH879" s="105" t="n">
        <v>0</v>
      </c>
      <c r="BI879" s="105" t="n">
        <v>0</v>
      </c>
      <c r="BJ879" s="105" t="n">
        <v>0</v>
      </c>
      <c r="BK879" s="105" t="n">
        <v>0</v>
      </c>
      <c r="BL879" s="105" t="n">
        <v>0</v>
      </c>
      <c r="BM879" s="105" t="n">
        <v>0</v>
      </c>
      <c r="BN879" s="105" t="n">
        <v>0</v>
      </c>
      <c r="BO879" s="105" t="n">
        <v>0</v>
      </c>
      <c r="BP879" s="105" t="n">
        <v>0</v>
      </c>
      <c r="BQ879" s="105" t="n">
        <v>0</v>
      </c>
      <c r="BR879" s="106" t="n">
        <v>2.5</v>
      </c>
      <c r="BS879" s="106" t="n">
        <v>2.5</v>
      </c>
      <c r="BT879" s="107"/>
      <c r="BU879" s="107"/>
      <c r="BV879" s="107"/>
      <c r="BW879" s="107"/>
      <c r="BX879" s="107"/>
      <c r="BY879" s="107"/>
      <c r="BZ879" s="107"/>
      <c r="CA879" s="107"/>
      <c r="CB879" s="107"/>
      <c r="CC879" s="107"/>
      <c r="CD879" s="107"/>
      <c r="CE879" s="107"/>
      <c r="CF879" s="107"/>
      <c r="CG879" s="107"/>
      <c r="CH879" s="107"/>
      <c r="CI879" s="107"/>
      <c r="CJ879" s="107"/>
      <c r="CK879" s="107"/>
      <c r="CL879" s="107"/>
      <c r="CM879" s="107"/>
      <c r="CN879" s="107"/>
      <c r="CO879" s="107"/>
      <c r="CP879" s="107"/>
      <c r="CQ879" s="107"/>
      <c r="CR879" s="107"/>
      <c r="CS879" s="107"/>
      <c r="CT879" s="107"/>
      <c r="CU879" s="107"/>
      <c r="CV879" s="107"/>
    </row>
    <row r="880" customFormat="false" ht="14.9" hidden="false" customHeight="false" outlineLevel="0" collapsed="false">
      <c r="A880" s="74" t="n">
        <f aca="false">MONTH(B880)</f>
        <v>10</v>
      </c>
      <c r="B880" s="135" t="n">
        <v>44480</v>
      </c>
      <c r="C880" s="128" t="s">
        <v>63</v>
      </c>
      <c r="D880" s="77" t="str">
        <f aca="false">IFERROR(VLOOKUP(E:E,'Item Data Support Sheet'!A:O,7,0),"")</f>
        <v>BOTTLE PRINTED</v>
      </c>
      <c r="E880" s="80" t="s">
        <v>691</v>
      </c>
      <c r="F880" s="122"/>
      <c r="G880" s="137"/>
      <c r="H880" s="79" t="str">
        <f aca="false">IFERROR(VLOOKUP(E:E,'Item Data Support Sheet'!A:O,2,0),"")</f>
        <v>KPP 120 ML BOTTLE PRINTED</v>
      </c>
      <c r="I880" s="80" t="s">
        <v>1640</v>
      </c>
      <c r="J880" s="80" t="s">
        <v>155</v>
      </c>
      <c r="K880" s="124" t="n">
        <v>8</v>
      </c>
      <c r="L880" s="124" t="n">
        <v>5100</v>
      </c>
      <c r="M880" s="83" t="n">
        <v>637.5</v>
      </c>
      <c r="N880" s="84" t="n">
        <f aca="false">+O880+Q880+T880+U880</f>
        <v>5244</v>
      </c>
      <c r="O880" s="85" t="n">
        <v>5227</v>
      </c>
      <c r="P880" s="86" t="n">
        <v>0</v>
      </c>
      <c r="Q880" s="86" t="n">
        <v>0</v>
      </c>
      <c r="R880" s="132" t="n">
        <v>41</v>
      </c>
      <c r="S880" s="128" t="n">
        <v>0</v>
      </c>
      <c r="T880" s="132" t="n">
        <v>17</v>
      </c>
      <c r="U880" s="128" t="n">
        <v>0</v>
      </c>
      <c r="V880" s="128" t="n">
        <v>5</v>
      </c>
      <c r="W880" s="90" t="n">
        <f aca="false">IFERROR(O880/V880,0)</f>
        <v>1045.4</v>
      </c>
      <c r="X880" s="91" t="n">
        <f aca="false">O880/L880</f>
        <v>1.02490196078431</v>
      </c>
      <c r="Y880" s="92" t="str">
        <f aca="false">IFERROR(VLOOKUP(E:E,'Item Data Support Sheet'!A:J,6,0),0)</f>
        <v>FO001</v>
      </c>
      <c r="Z880" s="93" t="n">
        <f aca="false">IFERROR(VLOOKUP(E:E,'Item Data Support Sheet'!A:O,4,0),0)</f>
        <v>0</v>
      </c>
      <c r="AA880" s="93" t="n">
        <f aca="false">IFERROR(((N880)*(Z880/1000))+P880,0)</f>
        <v>0</v>
      </c>
      <c r="AB880" s="94" t="str">
        <f aca="false">IFERROR((O880*(Z880/1000)/(AA880))," ")</f>
        <v> </v>
      </c>
      <c r="AC880" s="95" t="n">
        <f aca="false">IFERROR((T880)/((T880)+O880),0)</f>
        <v>0.0032418001525553</v>
      </c>
      <c r="AD880" s="96" t="n">
        <f aca="false">IFERROR(Q880/(Q880+N880),0)</f>
        <v>0</v>
      </c>
      <c r="AE880" s="91" t="n">
        <f aca="false">(N880-T880)/N880</f>
        <v>0.996758199847445</v>
      </c>
      <c r="AF880" s="97" t="n">
        <f aca="false">BR880</f>
        <v>0.666666666666667</v>
      </c>
      <c r="AG880" s="98" t="n">
        <f aca="false">K880-AF880</f>
        <v>7.33333333333333</v>
      </c>
      <c r="AH880" s="99" t="n">
        <f aca="false">IFERROR(AG880/K880," ")</f>
        <v>0.916666666666667</v>
      </c>
      <c r="AI880" s="100" t="n">
        <f aca="false">IFERROR(O880/K880,0)</f>
        <v>653.375</v>
      </c>
      <c r="AJ880" s="101" t="n">
        <f aca="false">VLOOKUP(D880,'Standard Cycle time'!C:D,2,0)</f>
        <v>32.4</v>
      </c>
      <c r="AK880" s="101" t="n">
        <f aca="false">AG880*V880*3600/O880</f>
        <v>25.2534914865123</v>
      </c>
      <c r="AL880" s="102" t="n">
        <f aca="false">AJ880/AK880</f>
        <v>1.28299090909091</v>
      </c>
      <c r="AM880" s="99" t="n">
        <f aca="false">AE880*AL880*AH880</f>
        <v>1.17226239988558</v>
      </c>
      <c r="AN880" s="103" t="n">
        <v>1.17226239988558</v>
      </c>
      <c r="AO880" s="112"/>
      <c r="AP880" s="105" t="n">
        <v>40</v>
      </c>
      <c r="AQ880" s="105" t="n">
        <v>0</v>
      </c>
      <c r="AR880" s="105" t="n">
        <v>0</v>
      </c>
      <c r="AS880" s="105" t="n">
        <v>0</v>
      </c>
      <c r="AT880" s="105" t="n">
        <v>0</v>
      </c>
      <c r="AU880" s="105" t="n">
        <v>0</v>
      </c>
      <c r="AV880" s="105" t="n">
        <v>0</v>
      </c>
      <c r="AW880" s="105" t="n">
        <v>0</v>
      </c>
      <c r="AX880" s="105" t="n">
        <v>0</v>
      </c>
      <c r="AY880" s="105" t="n">
        <v>0</v>
      </c>
      <c r="AZ880" s="105" t="n">
        <v>0</v>
      </c>
      <c r="BA880" s="105" t="n">
        <v>0</v>
      </c>
      <c r="BB880" s="105" t="n">
        <v>0</v>
      </c>
      <c r="BC880" s="105" t="n">
        <v>0</v>
      </c>
      <c r="BD880" s="105" t="n">
        <v>0</v>
      </c>
      <c r="BE880" s="105" t="n">
        <v>0</v>
      </c>
      <c r="BF880" s="105" t="n">
        <v>0</v>
      </c>
      <c r="BG880" s="105" t="n">
        <v>0</v>
      </c>
      <c r="BH880" s="105" t="n">
        <v>0</v>
      </c>
      <c r="BI880" s="105" t="n">
        <v>0</v>
      </c>
      <c r="BJ880" s="105" t="n">
        <v>0</v>
      </c>
      <c r="BK880" s="105" t="n">
        <v>0</v>
      </c>
      <c r="BL880" s="105" t="n">
        <v>0</v>
      </c>
      <c r="BM880" s="105" t="n">
        <v>0</v>
      </c>
      <c r="BN880" s="105" t="n">
        <v>0</v>
      </c>
      <c r="BO880" s="105" t="n">
        <v>0</v>
      </c>
      <c r="BP880" s="105" t="n">
        <v>0</v>
      </c>
      <c r="BQ880" s="105" t="n">
        <v>0</v>
      </c>
      <c r="BR880" s="106" t="n">
        <v>0.666666666666667</v>
      </c>
      <c r="BS880" s="106" t="n">
        <v>0.666666666666667</v>
      </c>
      <c r="BT880" s="107"/>
      <c r="BU880" s="107"/>
      <c r="BV880" s="107"/>
      <c r="BW880" s="107"/>
      <c r="BX880" s="107"/>
      <c r="BY880" s="107"/>
      <c r="BZ880" s="107"/>
      <c r="CA880" s="107"/>
      <c r="CB880" s="107"/>
      <c r="CC880" s="107"/>
      <c r="CD880" s="107"/>
      <c r="CE880" s="107"/>
      <c r="CF880" s="107"/>
      <c r="CG880" s="107"/>
      <c r="CH880" s="107"/>
      <c r="CI880" s="107"/>
      <c r="CJ880" s="107"/>
      <c r="CK880" s="107"/>
      <c r="CL880" s="107"/>
      <c r="CM880" s="107"/>
      <c r="CN880" s="107"/>
      <c r="CO880" s="107"/>
      <c r="CP880" s="107"/>
      <c r="CQ880" s="107"/>
      <c r="CR880" s="107"/>
      <c r="CS880" s="107"/>
      <c r="CT880" s="107"/>
      <c r="CU880" s="107"/>
      <c r="CV880" s="107"/>
    </row>
    <row r="881" customFormat="false" ht="14.9" hidden="false" customHeight="false" outlineLevel="0" collapsed="false">
      <c r="A881" s="74" t="n">
        <f aca="false">MONTH(B881)</f>
        <v>10</v>
      </c>
      <c r="B881" s="135" t="n">
        <v>44480</v>
      </c>
      <c r="C881" s="128" t="s">
        <v>63</v>
      </c>
      <c r="D881" s="77" t="str">
        <f aca="false">IFERROR(VLOOKUP(E:E,'Item Data Support Sheet'!A:O,7,0),"")</f>
        <v>NIPPLE PUNCH INSPECTED</v>
      </c>
      <c r="E881" s="80" t="s">
        <v>688</v>
      </c>
      <c r="F881" s="122"/>
      <c r="G881" s="137"/>
      <c r="H881" s="79" t="str">
        <f aca="false">IFERROR(VLOOKUP(E:E,'Item Data Support Sheet'!A:O,2,0),"")</f>
        <v>NIPPLE S TYPE L SIZE PUNCHED INSPECTED</v>
      </c>
      <c r="I881" s="80"/>
      <c r="J881" s="80" t="s">
        <v>155</v>
      </c>
      <c r="K881" s="124" t="n">
        <v>8</v>
      </c>
      <c r="L881" s="124" t="n">
        <v>14132</v>
      </c>
      <c r="M881" s="83" t="n">
        <v>1766.5</v>
      </c>
      <c r="N881" s="84" t="n">
        <f aca="false">+O881+Q881+T881+U881</f>
        <v>12762</v>
      </c>
      <c r="O881" s="85" t="n">
        <v>12694</v>
      </c>
      <c r="P881" s="86" t="n">
        <v>0</v>
      </c>
      <c r="Q881" s="86" t="n">
        <v>0</v>
      </c>
      <c r="R881" s="132" t="n">
        <v>0</v>
      </c>
      <c r="S881" s="128" t="n">
        <v>0</v>
      </c>
      <c r="T881" s="132" t="n">
        <v>68</v>
      </c>
      <c r="U881" s="128" t="n">
        <v>0</v>
      </c>
      <c r="V881" s="128" t="n">
        <v>2</v>
      </c>
      <c r="W881" s="90" t="n">
        <f aca="false">IFERROR(O881/V881,0)</f>
        <v>6347</v>
      </c>
      <c r="X881" s="91" t="n">
        <f aca="false">O881/L881</f>
        <v>0.898245117463912</v>
      </c>
      <c r="Y881" s="92" t="str">
        <f aca="false">IFERROR(VLOOKUP(E:E,'Item Data Support Sheet'!A:J,6,0),0)</f>
        <v>FO106</v>
      </c>
      <c r="Z881" s="93" t="n">
        <f aca="false">IFERROR(VLOOKUP(E:E,'Item Data Support Sheet'!A:O,4,0),0)</f>
        <v>0</v>
      </c>
      <c r="AA881" s="93" t="n">
        <f aca="false">IFERROR(((N881)*(Z881/1000))+P881,0)</f>
        <v>0</v>
      </c>
      <c r="AB881" s="94" t="str">
        <f aca="false">IFERROR((O881*(Z881/1000)/(AA881))," ")</f>
        <v> </v>
      </c>
      <c r="AC881" s="95" t="n">
        <f aca="false">IFERROR((T881)/((T881)+O881),0)</f>
        <v>0.00532831844538474</v>
      </c>
      <c r="AD881" s="96" t="n">
        <f aca="false">IFERROR(Q881/(Q881+N881),0)</f>
        <v>0</v>
      </c>
      <c r="AE881" s="91" t="n">
        <f aca="false">(N881-T881)/N881</f>
        <v>0.994671681554615</v>
      </c>
      <c r="AF881" s="97" t="n">
        <f aca="false">BR881</f>
        <v>0.833333333333333</v>
      </c>
      <c r="AG881" s="98" t="n">
        <f aca="false">K881-AF881</f>
        <v>7.16666666666667</v>
      </c>
      <c r="AH881" s="99" t="n">
        <f aca="false">IFERROR(AG881/K881," ")</f>
        <v>0.895833333333333</v>
      </c>
      <c r="AI881" s="100" t="n">
        <f aca="false">IFERROR(O881/K881,0)</f>
        <v>1586.75</v>
      </c>
      <c r="AJ881" s="101" t="n">
        <f aca="false">VLOOKUP(D881,'Standard Cycle time'!C:D,2,0)</f>
        <v>4</v>
      </c>
      <c r="AK881" s="101" t="n">
        <f aca="false">AG881*V881*3600/O881</f>
        <v>4.0649125571136</v>
      </c>
      <c r="AL881" s="102" t="n">
        <f aca="false">AJ881/AK881</f>
        <v>0.984031007751938</v>
      </c>
      <c r="AM881" s="99" t="n">
        <f aca="false">AE881*AL881*AH881</f>
        <v>0.876830717059325</v>
      </c>
      <c r="AN881" s="103" t="n">
        <v>0.876830717059325</v>
      </c>
      <c r="AO881" s="112"/>
      <c r="AP881" s="105" t="n">
        <v>50</v>
      </c>
      <c r="AQ881" s="105" t="n">
        <v>0</v>
      </c>
      <c r="AR881" s="105" t="n">
        <v>0</v>
      </c>
      <c r="AS881" s="105" t="n">
        <v>0</v>
      </c>
      <c r="AT881" s="105" t="n">
        <v>0</v>
      </c>
      <c r="AU881" s="105" t="n">
        <v>0</v>
      </c>
      <c r="AV881" s="105" t="n">
        <v>0</v>
      </c>
      <c r="AW881" s="105" t="n">
        <v>0</v>
      </c>
      <c r="AX881" s="105" t="n">
        <v>0</v>
      </c>
      <c r="AY881" s="105" t="n">
        <v>0</v>
      </c>
      <c r="AZ881" s="105" t="n">
        <v>0</v>
      </c>
      <c r="BA881" s="105" t="n">
        <v>0</v>
      </c>
      <c r="BB881" s="105" t="n">
        <v>0</v>
      </c>
      <c r="BC881" s="105" t="n">
        <v>0</v>
      </c>
      <c r="BD881" s="105" t="n">
        <v>0</v>
      </c>
      <c r="BE881" s="105" t="n">
        <v>0</v>
      </c>
      <c r="BF881" s="105" t="n">
        <v>0</v>
      </c>
      <c r="BG881" s="105" t="n">
        <v>0</v>
      </c>
      <c r="BH881" s="105" t="n">
        <v>0</v>
      </c>
      <c r="BI881" s="105" t="n">
        <v>0</v>
      </c>
      <c r="BJ881" s="105" t="n">
        <v>0</v>
      </c>
      <c r="BK881" s="105" t="n">
        <v>0</v>
      </c>
      <c r="BL881" s="105" t="n">
        <v>0</v>
      </c>
      <c r="BM881" s="105" t="n">
        <v>0</v>
      </c>
      <c r="BN881" s="105" t="n">
        <v>0</v>
      </c>
      <c r="BO881" s="105" t="n">
        <v>0</v>
      </c>
      <c r="BP881" s="105" t="n">
        <v>0</v>
      </c>
      <c r="BQ881" s="105" t="n">
        <v>0</v>
      </c>
      <c r="BR881" s="106" t="n">
        <v>0.833333333333333</v>
      </c>
      <c r="BS881" s="106" t="n">
        <v>0.833333333333333</v>
      </c>
      <c r="BT881" s="107"/>
      <c r="BU881" s="107"/>
      <c r="BV881" s="107"/>
      <c r="BW881" s="107"/>
      <c r="BX881" s="107"/>
      <c r="BY881" s="107"/>
      <c r="BZ881" s="107"/>
      <c r="CA881" s="107"/>
      <c r="CB881" s="107"/>
      <c r="CC881" s="107"/>
      <c r="CD881" s="107"/>
      <c r="CE881" s="107"/>
      <c r="CF881" s="107"/>
      <c r="CG881" s="107"/>
      <c r="CH881" s="107"/>
      <c r="CI881" s="107"/>
      <c r="CJ881" s="107"/>
      <c r="CK881" s="107"/>
      <c r="CL881" s="107"/>
      <c r="CM881" s="107"/>
      <c r="CN881" s="107"/>
      <c r="CO881" s="107"/>
      <c r="CP881" s="107"/>
      <c r="CQ881" s="107"/>
      <c r="CR881" s="107"/>
      <c r="CS881" s="107"/>
      <c r="CT881" s="107"/>
      <c r="CU881" s="107"/>
      <c r="CV881" s="107"/>
    </row>
    <row r="882" customFormat="false" ht="14.9" hidden="false" customHeight="false" outlineLevel="0" collapsed="false">
      <c r="A882" s="74" t="n">
        <f aca="false">MONTH(B882)</f>
        <v>10</v>
      </c>
      <c r="B882" s="135" t="n">
        <v>44480</v>
      </c>
      <c r="C882" s="128" t="s">
        <v>63</v>
      </c>
      <c r="D882" s="77" t="str">
        <f aca="false">IFERROR(VLOOKUP(E:E,'Item Data Support Sheet'!A:O,7,0),"")</f>
        <v>NIPPLE WRAP PRINTED</v>
      </c>
      <c r="E882" s="80" t="s">
        <v>474</v>
      </c>
      <c r="F882" s="122"/>
      <c r="G882" s="137" t="s">
        <v>432</v>
      </c>
      <c r="H882" s="79" t="str">
        <f aca="false">IFERROR(VLOOKUP(E:E,'Item Data Support Sheet'!A:O,2,0),"")</f>
        <v>NIPPLE S TYPE L SIZE WITH PRINTED WRAP</v>
      </c>
      <c r="I882" s="80"/>
      <c r="J882" s="80" t="s">
        <v>155</v>
      </c>
      <c r="K882" s="124" t="n">
        <v>4</v>
      </c>
      <c r="L882" s="124" t="n">
        <v>8066</v>
      </c>
      <c r="M882" s="83" t="n">
        <v>2016.5</v>
      </c>
      <c r="N882" s="84" t="n">
        <f aca="false">+O882+Q882+T882+U882</f>
        <v>8650</v>
      </c>
      <c r="O882" s="85" t="n">
        <v>8650</v>
      </c>
      <c r="P882" s="86" t="n">
        <v>0</v>
      </c>
      <c r="Q882" s="86" t="n">
        <v>0</v>
      </c>
      <c r="R882" s="132" t="n">
        <v>0</v>
      </c>
      <c r="S882" s="128" t="n">
        <v>0</v>
      </c>
      <c r="T882" s="132" t="n">
        <v>0</v>
      </c>
      <c r="U882" s="128" t="n">
        <v>0</v>
      </c>
      <c r="V882" s="128" t="n">
        <v>2</v>
      </c>
      <c r="W882" s="90" t="n">
        <f aca="false">IFERROR(O882/V882,0)</f>
        <v>4325</v>
      </c>
      <c r="X882" s="91" t="n">
        <f aca="false">O882/L882</f>
        <v>1.07240267790727</v>
      </c>
      <c r="Y882" s="92" t="str">
        <f aca="false">IFERROR(VLOOKUP(E:E,'Item Data Support Sheet'!A:J,6,0),0)</f>
        <v>FO021</v>
      </c>
      <c r="Z882" s="93" t="n">
        <f aca="false">IFERROR(VLOOKUP(E:E,'Item Data Support Sheet'!A:O,4,0),0)</f>
        <v>0</v>
      </c>
      <c r="AA882" s="93" t="n">
        <f aca="false">IFERROR(((N882)*(Z882/1000))+P882,0)</f>
        <v>0</v>
      </c>
      <c r="AB882" s="94" t="str">
        <f aca="false">IFERROR((O882*(Z882/1000)/(AA882))," ")</f>
        <v> </v>
      </c>
      <c r="AC882" s="95" t="n">
        <f aca="false">IFERROR((T882)/((T882)+O882),0)</f>
        <v>0</v>
      </c>
      <c r="AD882" s="96" t="n">
        <f aca="false">IFERROR(Q882/(Q882+N882),0)</f>
        <v>0</v>
      </c>
      <c r="AE882" s="91" t="n">
        <f aca="false">(N882-T882)/N882</f>
        <v>1</v>
      </c>
      <c r="AF882" s="97" t="n">
        <f aca="false">BR882</f>
        <v>0.833333333333333</v>
      </c>
      <c r="AG882" s="98" t="n">
        <f aca="false">K882-AF882</f>
        <v>3.16666666666667</v>
      </c>
      <c r="AH882" s="99" t="n">
        <f aca="false">IFERROR(AG882/K882," ")</f>
        <v>0.791666666666667</v>
      </c>
      <c r="AI882" s="100" t="n">
        <f aca="false">IFERROR(O882/K882,0)</f>
        <v>2162.5</v>
      </c>
      <c r="AJ882" s="101" t="n">
        <f aca="false">VLOOKUP(D882,'Standard Cycle time'!C:D,2,0)</f>
        <v>2.5</v>
      </c>
      <c r="AK882" s="101" t="n">
        <f aca="false">AG882*V882*3600/O882</f>
        <v>2.63583815028902</v>
      </c>
      <c r="AL882" s="102" t="n">
        <f aca="false">AJ882/AK882</f>
        <v>0.948464912280702</v>
      </c>
      <c r="AM882" s="99" t="n">
        <f aca="false">AE882*AL882*AH882</f>
        <v>0.750868055555555</v>
      </c>
      <c r="AN882" s="103" t="n">
        <v>0.750868055555555</v>
      </c>
      <c r="AO882" s="112"/>
      <c r="AP882" s="105" t="n">
        <v>50</v>
      </c>
      <c r="AQ882" s="105" t="n">
        <v>0</v>
      </c>
      <c r="AR882" s="105" t="n">
        <v>0</v>
      </c>
      <c r="AS882" s="105" t="n">
        <v>0</v>
      </c>
      <c r="AT882" s="105" t="n">
        <v>0</v>
      </c>
      <c r="AU882" s="105" t="n">
        <v>0</v>
      </c>
      <c r="AV882" s="105" t="n">
        <v>0</v>
      </c>
      <c r="AW882" s="105" t="n">
        <v>0</v>
      </c>
      <c r="AX882" s="105" t="n">
        <v>0</v>
      </c>
      <c r="AY882" s="105" t="n">
        <v>0</v>
      </c>
      <c r="AZ882" s="105" t="n">
        <v>0</v>
      </c>
      <c r="BA882" s="105" t="n">
        <v>0</v>
      </c>
      <c r="BB882" s="105" t="n">
        <v>0</v>
      </c>
      <c r="BC882" s="105" t="n">
        <v>0</v>
      </c>
      <c r="BD882" s="105" t="n">
        <v>0</v>
      </c>
      <c r="BE882" s="105" t="n">
        <v>0</v>
      </c>
      <c r="BF882" s="105" t="n">
        <v>0</v>
      </c>
      <c r="BG882" s="105" t="n">
        <v>0</v>
      </c>
      <c r="BH882" s="105" t="n">
        <v>0</v>
      </c>
      <c r="BI882" s="105" t="n">
        <v>0</v>
      </c>
      <c r="BJ882" s="105" t="n">
        <v>0</v>
      </c>
      <c r="BK882" s="105" t="n">
        <v>0</v>
      </c>
      <c r="BL882" s="105" t="n">
        <v>0</v>
      </c>
      <c r="BM882" s="105" t="n">
        <v>0</v>
      </c>
      <c r="BN882" s="105" t="n">
        <v>0</v>
      </c>
      <c r="BO882" s="105" t="n">
        <v>0</v>
      </c>
      <c r="BP882" s="105" t="n">
        <v>0</v>
      </c>
      <c r="BQ882" s="105" t="n">
        <v>0</v>
      </c>
      <c r="BR882" s="106" t="n">
        <v>0.833333333333333</v>
      </c>
      <c r="BS882" s="106" t="n">
        <v>0.833333333333333</v>
      </c>
      <c r="BT882" s="107"/>
      <c r="BU882" s="107"/>
      <c r="BV882" s="107"/>
      <c r="BW882" s="107"/>
      <c r="BX882" s="107"/>
      <c r="BY882" s="107"/>
      <c r="BZ882" s="107"/>
      <c r="CA882" s="107"/>
      <c r="CB882" s="107"/>
      <c r="CC882" s="107"/>
      <c r="CD882" s="107"/>
      <c r="CE882" s="107"/>
      <c r="CF882" s="107"/>
      <c r="CG882" s="107"/>
      <c r="CH882" s="107"/>
      <c r="CI882" s="107"/>
      <c r="CJ882" s="107"/>
      <c r="CK882" s="107"/>
      <c r="CL882" s="107"/>
      <c r="CM882" s="107"/>
      <c r="CN882" s="107"/>
      <c r="CO882" s="107"/>
      <c r="CP882" s="107"/>
      <c r="CQ882" s="107"/>
      <c r="CR882" s="107"/>
      <c r="CS882" s="107"/>
      <c r="CT882" s="107"/>
      <c r="CU882" s="107"/>
      <c r="CV882" s="107"/>
    </row>
    <row r="883" customFormat="false" ht="14.9" hidden="false" customHeight="false" outlineLevel="0" collapsed="false">
      <c r="A883" s="74" t="n">
        <f aca="false">MONTH(B883)</f>
        <v>10</v>
      </c>
      <c r="B883" s="135" t="n">
        <v>44480</v>
      </c>
      <c r="C883" s="128" t="s">
        <v>63</v>
      </c>
      <c r="D883" s="77" t="str">
        <f aca="false">IFERROR(VLOOKUP(E:E,'Item Data Support Sheet'!A:O,7,0),"")</f>
        <v>NIPPLE WRAP PRINTED</v>
      </c>
      <c r="E883" s="80" t="s">
        <v>937</v>
      </c>
      <c r="F883" s="122"/>
      <c r="G883" s="137" t="s">
        <v>432</v>
      </c>
      <c r="H883" s="79" t="str">
        <f aca="false">IFERROR(VLOOKUP(E:E,'Item Data Support Sheet'!A:O,2,0),"")</f>
        <v>NIPPLE S TYPE Y SIZE WITH PRINTED WRAP</v>
      </c>
      <c r="I883" s="80"/>
      <c r="J883" s="80" t="s">
        <v>155</v>
      </c>
      <c r="K883" s="124" t="n">
        <v>4</v>
      </c>
      <c r="L883" s="124" t="n">
        <v>8066</v>
      </c>
      <c r="M883" s="83" t="n">
        <v>2016.5</v>
      </c>
      <c r="N883" s="84" t="n">
        <f aca="false">+O883+Q883+T883+U883</f>
        <v>9206</v>
      </c>
      <c r="O883" s="85" t="n">
        <v>9206</v>
      </c>
      <c r="P883" s="86" t="n">
        <v>0</v>
      </c>
      <c r="Q883" s="86" t="n">
        <v>0</v>
      </c>
      <c r="R883" s="132" t="n">
        <v>0</v>
      </c>
      <c r="S883" s="128" t="n">
        <v>0</v>
      </c>
      <c r="T883" s="132" t="n">
        <v>0</v>
      </c>
      <c r="U883" s="128" t="n">
        <v>0</v>
      </c>
      <c r="V883" s="128" t="n">
        <v>2</v>
      </c>
      <c r="W883" s="90" t="n">
        <f aca="false">IFERROR(O883/V883,0)</f>
        <v>4603</v>
      </c>
      <c r="X883" s="91" t="n">
        <f aca="false">O883/L883</f>
        <v>1.141333994545</v>
      </c>
      <c r="Y883" s="92" t="str">
        <f aca="false">IFERROR(VLOOKUP(E:E,'Item Data Support Sheet'!A:J,6,0),0)</f>
        <v>FO022</v>
      </c>
      <c r="Z883" s="93" t="n">
        <f aca="false">IFERROR(VLOOKUP(E:E,'Item Data Support Sheet'!A:O,4,0),0)</f>
        <v>0</v>
      </c>
      <c r="AA883" s="93" t="n">
        <f aca="false">IFERROR(((N883)*(Z883/1000))+P883,0)</f>
        <v>0</v>
      </c>
      <c r="AB883" s="94" t="str">
        <f aca="false">IFERROR((O883*(Z883/1000)/(AA883))," ")</f>
        <v> </v>
      </c>
      <c r="AC883" s="95" t="n">
        <f aca="false">IFERROR((T883)/((T883)+O883),0)</f>
        <v>0</v>
      </c>
      <c r="AD883" s="96" t="n">
        <f aca="false">IFERROR(Q883/(Q883+N883),0)</f>
        <v>0</v>
      </c>
      <c r="AE883" s="91" t="n">
        <f aca="false">(N883-T883)/N883</f>
        <v>1</v>
      </c>
      <c r="AF883" s="97" t="n">
        <f aca="false">BR883</f>
        <v>0</v>
      </c>
      <c r="AG883" s="98" t="n">
        <f aca="false">K883-AF883</f>
        <v>4</v>
      </c>
      <c r="AH883" s="99" t="n">
        <f aca="false">IFERROR(AG883/K883," ")</f>
        <v>1</v>
      </c>
      <c r="AI883" s="100" t="n">
        <f aca="false">IFERROR(O883/K883,0)</f>
        <v>2301.5</v>
      </c>
      <c r="AJ883" s="101" t="n">
        <f aca="false">VLOOKUP(D883,'Standard Cycle time'!C:D,2,0)</f>
        <v>2.5</v>
      </c>
      <c r="AK883" s="101" t="n">
        <f aca="false">AG883*V883*3600/O883</f>
        <v>3.12839452530958</v>
      </c>
      <c r="AL883" s="102" t="n">
        <f aca="false">AJ883/AK883</f>
        <v>0.799131944444444</v>
      </c>
      <c r="AM883" s="99" t="n">
        <f aca="false">AE883*AL883*AH883</f>
        <v>0.799131944444444</v>
      </c>
      <c r="AN883" s="103" t="n">
        <v>0.799131944444445</v>
      </c>
      <c r="AO883" s="112"/>
      <c r="AP883" s="105" t="n">
        <v>0</v>
      </c>
      <c r="AQ883" s="105" t="n">
        <v>0</v>
      </c>
      <c r="AR883" s="105" t="n">
        <v>0</v>
      </c>
      <c r="AS883" s="105" t="n">
        <v>0</v>
      </c>
      <c r="AT883" s="105" t="n">
        <v>0</v>
      </c>
      <c r="AU883" s="105" t="n">
        <v>0</v>
      </c>
      <c r="AV883" s="105" t="n">
        <v>0</v>
      </c>
      <c r="AW883" s="105" t="n">
        <v>0</v>
      </c>
      <c r="AX883" s="105" t="n">
        <v>0</v>
      </c>
      <c r="AY883" s="105" t="n">
        <v>0</v>
      </c>
      <c r="AZ883" s="105" t="n">
        <v>0</v>
      </c>
      <c r="BA883" s="105" t="n">
        <v>0</v>
      </c>
      <c r="BB883" s="105" t="n">
        <v>0</v>
      </c>
      <c r="BC883" s="105" t="n">
        <v>0</v>
      </c>
      <c r="BD883" s="105" t="n">
        <v>0</v>
      </c>
      <c r="BE883" s="105" t="n">
        <v>0</v>
      </c>
      <c r="BF883" s="105" t="n">
        <v>0</v>
      </c>
      <c r="BG883" s="105" t="n">
        <v>0</v>
      </c>
      <c r="BH883" s="105" t="n">
        <v>0</v>
      </c>
      <c r="BI883" s="105" t="n">
        <v>0</v>
      </c>
      <c r="BJ883" s="105" t="n">
        <v>0</v>
      </c>
      <c r="BK883" s="105" t="n">
        <v>0</v>
      </c>
      <c r="BL883" s="105" t="n">
        <v>0</v>
      </c>
      <c r="BM883" s="105" t="n">
        <v>0</v>
      </c>
      <c r="BN883" s="105" t="n">
        <v>0</v>
      </c>
      <c r="BO883" s="105" t="n">
        <v>0</v>
      </c>
      <c r="BP883" s="105" t="n">
        <v>0</v>
      </c>
      <c r="BQ883" s="105" t="n">
        <v>0</v>
      </c>
      <c r="BR883" s="106" t="n">
        <v>0</v>
      </c>
      <c r="BS883" s="106" t="n">
        <v>0</v>
      </c>
      <c r="BT883" s="107"/>
      <c r="BU883" s="107"/>
      <c r="BV883" s="107"/>
      <c r="BW883" s="107"/>
      <c r="BX883" s="107"/>
      <c r="BY883" s="107"/>
      <c r="BZ883" s="107"/>
      <c r="CA883" s="107"/>
      <c r="CB883" s="107"/>
      <c r="CC883" s="107"/>
      <c r="CD883" s="107"/>
      <c r="CE883" s="107"/>
      <c r="CF883" s="107"/>
      <c r="CG883" s="107"/>
      <c r="CH883" s="107"/>
      <c r="CI883" s="107"/>
      <c r="CJ883" s="107"/>
      <c r="CK883" s="107"/>
      <c r="CL883" s="107"/>
      <c r="CM883" s="107"/>
      <c r="CN883" s="107"/>
      <c r="CO883" s="107"/>
      <c r="CP883" s="107"/>
      <c r="CQ883" s="107"/>
      <c r="CR883" s="107"/>
      <c r="CS883" s="107"/>
      <c r="CT883" s="107"/>
      <c r="CU883" s="107"/>
      <c r="CV883" s="107"/>
    </row>
    <row r="884" customFormat="false" ht="14.9" hidden="false" customHeight="false" outlineLevel="0" collapsed="false">
      <c r="A884" s="74" t="n">
        <f aca="false">MONTH(B884)</f>
        <v>10</v>
      </c>
      <c r="B884" s="135" t="n">
        <v>44480</v>
      </c>
      <c r="C884" s="128" t="s">
        <v>1641</v>
      </c>
      <c r="D884" s="77" t="str">
        <f aca="false">IFERROR(VLOOKUP(E:E,'Item Data Support Sheet'!A:O,7,0),"")</f>
        <v>CAP MOLDED</v>
      </c>
      <c r="E884" s="80" t="s">
        <v>343</v>
      </c>
      <c r="F884" s="122"/>
      <c r="G884" s="137" t="s">
        <v>1215</v>
      </c>
      <c r="H884" s="79" t="str">
        <f aca="false">IFERROR(VLOOKUP(E:E,'Item Data Support Sheet'!A:O,2,0),"")</f>
        <v>CAP S TYPE MOLDED BLUE</v>
      </c>
      <c r="I884" s="80" t="s">
        <v>1642</v>
      </c>
      <c r="J884" s="80" t="s">
        <v>155</v>
      </c>
      <c r="K884" s="124" t="n">
        <v>4</v>
      </c>
      <c r="L884" s="124" t="n">
        <v>2060</v>
      </c>
      <c r="M884" s="83" t="n">
        <v>515</v>
      </c>
      <c r="N884" s="84" t="n">
        <f aca="false">+O884+Q884+T884+U884</f>
        <v>2510</v>
      </c>
      <c r="O884" s="85" t="n">
        <v>2510</v>
      </c>
      <c r="P884" s="86" t="n">
        <v>0.6</v>
      </c>
      <c r="Q884" s="86" t="n">
        <v>0</v>
      </c>
      <c r="R884" s="132" t="n">
        <v>0</v>
      </c>
      <c r="S884" s="128" t="n">
        <v>0</v>
      </c>
      <c r="T884" s="132" t="n">
        <v>0</v>
      </c>
      <c r="U884" s="128" t="n">
        <v>0</v>
      </c>
      <c r="V884" s="128" t="n">
        <v>1</v>
      </c>
      <c r="W884" s="90" t="n">
        <f aca="false">IFERROR(O884/V884,0)</f>
        <v>2510</v>
      </c>
      <c r="X884" s="91" t="n">
        <f aca="false">O884/L884</f>
        <v>1.21844660194175</v>
      </c>
      <c r="Y884" s="92" t="str">
        <f aca="false">IFERROR(VLOOKUP(E:E,'Item Data Support Sheet'!A:J,6,0),0)</f>
        <v>RM000114</v>
      </c>
      <c r="Z884" s="93" t="n">
        <f aca="false">IFERROR(VLOOKUP(E:E,'Item Data Support Sheet'!A:O,4,0),0)</f>
        <v>7.3</v>
      </c>
      <c r="AA884" s="93" t="n">
        <f aca="false">IFERROR(((N884)*(Z884/1000))+P884,0)</f>
        <v>18.923</v>
      </c>
      <c r="AB884" s="94" t="n">
        <f aca="false">IFERROR((O884*(Z884/1000)/(AA884))," ")</f>
        <v>0.968292554034772</v>
      </c>
      <c r="AC884" s="95" t="n">
        <f aca="false">IFERROR((T884)/((T884)+O884),0)</f>
        <v>0</v>
      </c>
      <c r="AD884" s="96" t="n">
        <f aca="false">IFERROR(Q884/(Q884+N884),0)</f>
        <v>0</v>
      </c>
      <c r="AE884" s="91" t="n">
        <f aca="false">(N884-T884)/N884</f>
        <v>1</v>
      </c>
      <c r="AF884" s="97" t="n">
        <f aca="false">BR884</f>
        <v>0</v>
      </c>
      <c r="AG884" s="98" t="n">
        <f aca="false">K884-AF884</f>
        <v>4</v>
      </c>
      <c r="AH884" s="99" t="n">
        <f aca="false">IFERROR(AG884/K884," ")</f>
        <v>1</v>
      </c>
      <c r="AI884" s="100" t="n">
        <f aca="false">IFERROR(O884/K884,0)</f>
        <v>627.5</v>
      </c>
      <c r="AJ884" s="101" t="n">
        <f aca="false">VLOOKUP(D884,'Standard Cycle time'!C:D,2,0)</f>
        <v>6</v>
      </c>
      <c r="AK884" s="101" t="n">
        <f aca="false">AG884*V884*3600/O884</f>
        <v>5.73705179282869</v>
      </c>
      <c r="AL884" s="102" t="n">
        <f aca="false">AJ884/AK884</f>
        <v>1.04583333333333</v>
      </c>
      <c r="AM884" s="99" t="n">
        <f aca="false">AE884*AL884*AH884</f>
        <v>1.04583333333333</v>
      </c>
      <c r="AN884" s="103" t="n">
        <v>1.04583333333333</v>
      </c>
      <c r="AO884" s="112"/>
      <c r="AP884" s="105" t="n">
        <v>0</v>
      </c>
      <c r="AQ884" s="105" t="n">
        <v>0</v>
      </c>
      <c r="AR884" s="105" t="n">
        <v>0</v>
      </c>
      <c r="AS884" s="105" t="n">
        <v>0</v>
      </c>
      <c r="AT884" s="105" t="n">
        <v>0</v>
      </c>
      <c r="AU884" s="105" t="n">
        <v>0</v>
      </c>
      <c r="AV884" s="105" t="n">
        <v>0</v>
      </c>
      <c r="AW884" s="105" t="n">
        <v>0</v>
      </c>
      <c r="AX884" s="105" t="n">
        <v>0</v>
      </c>
      <c r="AY884" s="105" t="n">
        <v>0</v>
      </c>
      <c r="AZ884" s="105" t="n">
        <v>0</v>
      </c>
      <c r="BA884" s="105" t="n">
        <v>0</v>
      </c>
      <c r="BB884" s="105" t="n">
        <v>0</v>
      </c>
      <c r="BC884" s="105" t="n">
        <v>0</v>
      </c>
      <c r="BD884" s="105" t="n">
        <v>0</v>
      </c>
      <c r="BE884" s="105" t="n">
        <v>0</v>
      </c>
      <c r="BF884" s="105" t="n">
        <v>0</v>
      </c>
      <c r="BG884" s="105" t="n">
        <v>0</v>
      </c>
      <c r="BH884" s="105" t="n">
        <v>0</v>
      </c>
      <c r="BI884" s="105" t="n">
        <v>0</v>
      </c>
      <c r="BJ884" s="105" t="n">
        <v>0</v>
      </c>
      <c r="BK884" s="105" t="n">
        <v>0</v>
      </c>
      <c r="BL884" s="105" t="n">
        <v>0</v>
      </c>
      <c r="BM884" s="105" t="n">
        <v>0</v>
      </c>
      <c r="BN884" s="105" t="n">
        <v>0</v>
      </c>
      <c r="BO884" s="105" t="n">
        <v>0</v>
      </c>
      <c r="BP884" s="105" t="n">
        <v>0</v>
      </c>
      <c r="BQ884" s="105" t="n">
        <v>0</v>
      </c>
      <c r="BR884" s="106" t="n">
        <v>0</v>
      </c>
      <c r="BS884" s="106" t="n">
        <v>0</v>
      </c>
      <c r="BT884" s="107"/>
      <c r="BU884" s="107"/>
      <c r="BV884" s="107"/>
      <c r="BW884" s="107"/>
      <c r="BX884" s="107"/>
      <c r="BY884" s="107"/>
      <c r="BZ884" s="107"/>
      <c r="CA884" s="107"/>
      <c r="CB884" s="107"/>
      <c r="CC884" s="107"/>
      <c r="CD884" s="107"/>
      <c r="CE884" s="107"/>
      <c r="CF884" s="107"/>
      <c r="CG884" s="107"/>
      <c r="CH884" s="107"/>
      <c r="CI884" s="107"/>
      <c r="CJ884" s="107"/>
      <c r="CK884" s="107"/>
      <c r="CL884" s="107"/>
      <c r="CM884" s="107"/>
      <c r="CN884" s="107"/>
      <c r="CO884" s="107"/>
      <c r="CP884" s="107"/>
      <c r="CQ884" s="107"/>
      <c r="CR884" s="107"/>
      <c r="CS884" s="107"/>
      <c r="CT884" s="107"/>
      <c r="CU884" s="107"/>
      <c r="CV884" s="107"/>
    </row>
    <row r="885" customFormat="false" ht="14.9" hidden="false" customHeight="false" outlineLevel="0" collapsed="false">
      <c r="A885" s="74" t="n">
        <f aca="false">MONTH(B885)</f>
        <v>10</v>
      </c>
      <c r="B885" s="135" t="n">
        <v>44480</v>
      </c>
      <c r="C885" s="128" t="s">
        <v>70</v>
      </c>
      <c r="D885" s="77" t="str">
        <f aca="false">IFERROR(VLOOKUP(E:E,'Item Data Support Sheet'!A:O,7,0),"")</f>
        <v>CAP MOLDED</v>
      </c>
      <c r="E885" s="80" t="s">
        <v>420</v>
      </c>
      <c r="F885" s="122"/>
      <c r="G885" s="137" t="s">
        <v>1215</v>
      </c>
      <c r="H885" s="79" t="str">
        <f aca="false">IFERROR(VLOOKUP(E:E,'Item Data Support Sheet'!A:O,2,0),"")</f>
        <v>CAP S TYPE MOLDED PALE BLUE</v>
      </c>
      <c r="I885" s="80" t="s">
        <v>1643</v>
      </c>
      <c r="J885" s="80" t="s">
        <v>155</v>
      </c>
      <c r="K885" s="124" t="n">
        <v>4</v>
      </c>
      <c r="L885" s="124" t="n">
        <v>2060</v>
      </c>
      <c r="M885" s="83" t="n">
        <v>515</v>
      </c>
      <c r="N885" s="84" t="n">
        <f aca="false">+O885+Q885+T885+U885</f>
        <v>2000</v>
      </c>
      <c r="O885" s="85" t="n">
        <v>2000</v>
      </c>
      <c r="P885" s="86" t="n">
        <v>0.4</v>
      </c>
      <c r="Q885" s="86" t="n">
        <v>0</v>
      </c>
      <c r="R885" s="132" t="n">
        <v>0</v>
      </c>
      <c r="S885" s="128" t="n">
        <v>0</v>
      </c>
      <c r="T885" s="132" t="n">
        <v>0</v>
      </c>
      <c r="U885" s="128" t="n">
        <v>0</v>
      </c>
      <c r="V885" s="128" t="n">
        <v>1</v>
      </c>
      <c r="W885" s="90" t="n">
        <f aca="false">IFERROR(O885/V885,0)</f>
        <v>2000</v>
      </c>
      <c r="X885" s="91" t="n">
        <f aca="false">O885/L885</f>
        <v>0.970873786407767</v>
      </c>
      <c r="Y885" s="92" t="str">
        <f aca="false">IFERROR(VLOOKUP(E:E,'Item Data Support Sheet'!A:J,6,0),0)</f>
        <v>RM000115</v>
      </c>
      <c r="Z885" s="93" t="n">
        <f aca="false">IFERROR(VLOOKUP(E:E,'Item Data Support Sheet'!A:O,4,0),0)</f>
        <v>7.3</v>
      </c>
      <c r="AA885" s="93" t="n">
        <f aca="false">IFERROR(((N885)*(Z885/1000))+P885,0)</f>
        <v>15</v>
      </c>
      <c r="AB885" s="94" t="n">
        <f aca="false">IFERROR((O885*(Z885/1000)/(AA885))," ")</f>
        <v>0.973333333333333</v>
      </c>
      <c r="AC885" s="95" t="n">
        <f aca="false">IFERROR((T885)/((T885)+O885),0)</f>
        <v>0</v>
      </c>
      <c r="AD885" s="96" t="n">
        <f aca="false">IFERROR(Q885/(Q885+N885),0)</f>
        <v>0</v>
      </c>
      <c r="AE885" s="91" t="n">
        <f aca="false">(N885-T885)/N885</f>
        <v>1</v>
      </c>
      <c r="AF885" s="97" t="n">
        <f aca="false">BR885</f>
        <v>0.833333333333333</v>
      </c>
      <c r="AG885" s="98" t="n">
        <f aca="false">K885-AF885</f>
        <v>3.16666666666667</v>
      </c>
      <c r="AH885" s="99" t="n">
        <f aca="false">IFERROR(AG885/K885," ")</f>
        <v>0.791666666666667</v>
      </c>
      <c r="AI885" s="100" t="n">
        <f aca="false">IFERROR(O885/K885,0)</f>
        <v>500</v>
      </c>
      <c r="AJ885" s="101" t="n">
        <f aca="false">VLOOKUP(D885,'Standard Cycle time'!C:D,2,0)</f>
        <v>6</v>
      </c>
      <c r="AK885" s="101" t="n">
        <f aca="false">AG885*V885*3600/O885</f>
        <v>5.7</v>
      </c>
      <c r="AL885" s="102" t="n">
        <f aca="false">AJ885/AK885</f>
        <v>1.05263157894737</v>
      </c>
      <c r="AM885" s="99" t="n">
        <f aca="false">AE885*AL885*AH885</f>
        <v>0.833333333333333</v>
      </c>
      <c r="AN885" s="103" t="n">
        <v>0.833333333333333</v>
      </c>
      <c r="AO885" s="112"/>
      <c r="AP885" s="105" t="n">
        <v>0</v>
      </c>
      <c r="AQ885" s="105" t="n">
        <v>0</v>
      </c>
      <c r="AR885" s="105" t="n">
        <v>0</v>
      </c>
      <c r="AS885" s="105" t="n">
        <v>0</v>
      </c>
      <c r="AT885" s="105" t="n">
        <v>0</v>
      </c>
      <c r="AU885" s="105" t="n">
        <v>0</v>
      </c>
      <c r="AV885" s="105" t="n">
        <v>30</v>
      </c>
      <c r="AW885" s="105" t="n">
        <v>20</v>
      </c>
      <c r="AX885" s="105" t="n">
        <v>0</v>
      </c>
      <c r="AY885" s="105" t="n">
        <v>0</v>
      </c>
      <c r="AZ885" s="105" t="n">
        <v>0</v>
      </c>
      <c r="BA885" s="105" t="n">
        <v>0</v>
      </c>
      <c r="BB885" s="105" t="n">
        <v>0</v>
      </c>
      <c r="BC885" s="105" t="n">
        <v>0</v>
      </c>
      <c r="BD885" s="105" t="n">
        <v>0</v>
      </c>
      <c r="BE885" s="105" t="n">
        <v>0</v>
      </c>
      <c r="BF885" s="105" t="n">
        <v>0</v>
      </c>
      <c r="BG885" s="105" t="n">
        <v>0</v>
      </c>
      <c r="BH885" s="105" t="n">
        <v>0</v>
      </c>
      <c r="BI885" s="105" t="n">
        <v>0</v>
      </c>
      <c r="BJ885" s="105" t="n">
        <v>0</v>
      </c>
      <c r="BK885" s="105" t="n">
        <v>0</v>
      </c>
      <c r="BL885" s="105" t="n">
        <v>0</v>
      </c>
      <c r="BM885" s="105" t="n">
        <v>0</v>
      </c>
      <c r="BN885" s="105" t="n">
        <v>0</v>
      </c>
      <c r="BO885" s="105" t="n">
        <v>0</v>
      </c>
      <c r="BP885" s="105" t="n">
        <v>0</v>
      </c>
      <c r="BQ885" s="105" t="n">
        <v>0</v>
      </c>
      <c r="BR885" s="106" t="n">
        <v>0.833333333333333</v>
      </c>
      <c r="BS885" s="106" t="n">
        <v>0.833333333333333</v>
      </c>
      <c r="BT885" s="107"/>
      <c r="BU885" s="107"/>
      <c r="BV885" s="107"/>
      <c r="BW885" s="107"/>
      <c r="BX885" s="107"/>
      <c r="BY885" s="107"/>
      <c r="BZ885" s="107"/>
      <c r="CA885" s="107"/>
      <c r="CB885" s="107"/>
      <c r="CC885" s="107"/>
      <c r="CD885" s="107"/>
      <c r="CE885" s="107"/>
      <c r="CF885" s="107"/>
      <c r="CG885" s="107"/>
      <c r="CH885" s="107"/>
      <c r="CI885" s="107"/>
      <c r="CJ885" s="107"/>
      <c r="CK885" s="107"/>
      <c r="CL885" s="107"/>
      <c r="CM885" s="107"/>
      <c r="CN885" s="107"/>
      <c r="CO885" s="107"/>
      <c r="CP885" s="107"/>
      <c r="CQ885" s="107"/>
      <c r="CR885" s="107"/>
      <c r="CS885" s="107"/>
      <c r="CT885" s="107"/>
      <c r="CU885" s="107"/>
      <c r="CV885" s="107"/>
    </row>
    <row r="886" customFormat="false" ht="14.9" hidden="false" customHeight="false" outlineLevel="0" collapsed="false">
      <c r="A886" s="74" t="n">
        <f aca="false">MONTH(B886)</f>
        <v>10</v>
      </c>
      <c r="B886" s="135" t="n">
        <v>44480</v>
      </c>
      <c r="C886" s="128" t="s">
        <v>70</v>
      </c>
      <c r="D886" s="77" t="str">
        <f aca="false">IFERROR(VLOOKUP(E:E,'Item Data Support Sheet'!A:O,7,0),"")</f>
        <v>BOTTLE MOLDED</v>
      </c>
      <c r="E886" s="80" t="s">
        <v>235</v>
      </c>
      <c r="F886" s="122" t="s">
        <v>216</v>
      </c>
      <c r="G886" s="137" t="s">
        <v>74</v>
      </c>
      <c r="H886" s="79" t="str">
        <f aca="false">IFERROR(VLOOKUP(E:E,'Item Data Support Sheet'!A:O,2,0),"")</f>
        <v>KPP 200 ML BOTTLE MOLDED</v>
      </c>
      <c r="I886" s="80" t="s">
        <v>1644</v>
      </c>
      <c r="J886" s="80" t="s">
        <v>155</v>
      </c>
      <c r="K886" s="124" t="n">
        <v>8</v>
      </c>
      <c r="L886" s="124" t="n">
        <v>2574</v>
      </c>
      <c r="M886" s="83" t="n">
        <v>321.75</v>
      </c>
      <c r="N886" s="84" t="n">
        <f aca="false">+O886+Q886+T886+U886</f>
        <v>3420</v>
      </c>
      <c r="O886" s="85" t="n">
        <v>3348</v>
      </c>
      <c r="P886" s="86" t="n">
        <v>0</v>
      </c>
      <c r="Q886" s="86" t="n">
        <v>24</v>
      </c>
      <c r="R886" s="132" t="n">
        <v>0</v>
      </c>
      <c r="S886" s="128" t="n">
        <v>0</v>
      </c>
      <c r="T886" s="132" t="n">
        <v>48</v>
      </c>
      <c r="U886" s="128" t="n">
        <v>0</v>
      </c>
      <c r="V886" s="128" t="n">
        <v>1</v>
      </c>
      <c r="W886" s="90" t="n">
        <f aca="false">IFERROR(O886/V886,0)</f>
        <v>3348</v>
      </c>
      <c r="X886" s="91" t="n">
        <f aca="false">O886/L886</f>
        <v>1.3006993006993</v>
      </c>
      <c r="Y886" s="92" t="str">
        <f aca="false">IFERROR(VLOOKUP(E:E,'Item Data Support Sheet'!A:J,6,0),0)</f>
        <v>HMC</v>
      </c>
      <c r="Z886" s="93" t="n">
        <f aca="false">IFERROR(VLOOKUP(E:E,'Item Data Support Sheet'!A:O,4,0),0)</f>
        <v>28.1</v>
      </c>
      <c r="AA886" s="93" t="n">
        <f aca="false">IFERROR(((N886)*(Z886/1000))+P886,0)</f>
        <v>96.102</v>
      </c>
      <c r="AB886" s="94" t="n">
        <f aca="false">IFERROR((O886*(Z886/1000)/(AA886))," ")</f>
        <v>0.978947368421053</v>
      </c>
      <c r="AC886" s="95" t="n">
        <f aca="false">IFERROR((T886)/((T886)+O886),0)</f>
        <v>0.0141342756183746</v>
      </c>
      <c r="AD886" s="96" t="n">
        <f aca="false">IFERROR(Q886/(Q886+N886),0)</f>
        <v>0.00696864111498258</v>
      </c>
      <c r="AE886" s="91" t="n">
        <f aca="false">(N886-T886)/N886</f>
        <v>0.985964912280702</v>
      </c>
      <c r="AF886" s="97" t="n">
        <f aca="false">BR886</f>
        <v>0</v>
      </c>
      <c r="AG886" s="98" t="n">
        <f aca="false">K886-AF886</f>
        <v>8</v>
      </c>
      <c r="AH886" s="99" t="n">
        <f aca="false">IFERROR(AG886/K886," ")</f>
        <v>1</v>
      </c>
      <c r="AI886" s="100" t="n">
        <f aca="false">IFERROR(O886/K886,0)</f>
        <v>418.5</v>
      </c>
      <c r="AJ886" s="101" t="n">
        <f aca="false">VLOOKUP(D886,'Standard Cycle time'!C:D,2,0)</f>
        <v>9</v>
      </c>
      <c r="AK886" s="101" t="n">
        <f aca="false">AG886*V886*3600/O886</f>
        <v>8.60215053763441</v>
      </c>
      <c r="AL886" s="102" t="n">
        <f aca="false">AJ886/AK886</f>
        <v>1.04625</v>
      </c>
      <c r="AM886" s="99" t="n">
        <f aca="false">AE886*AL886*AH886</f>
        <v>1.03156578947368</v>
      </c>
      <c r="AN886" s="103" t="n">
        <v>1.03156578947368</v>
      </c>
      <c r="AO886" s="112"/>
      <c r="AP886" s="105" t="n">
        <v>0</v>
      </c>
      <c r="AQ886" s="105" t="n">
        <v>0</v>
      </c>
      <c r="AR886" s="105" t="n">
        <v>0</v>
      </c>
      <c r="AS886" s="105" t="n">
        <v>0</v>
      </c>
      <c r="AT886" s="105" t="n">
        <v>0</v>
      </c>
      <c r="AU886" s="105" t="n">
        <v>0</v>
      </c>
      <c r="AV886" s="105" t="n">
        <v>0</v>
      </c>
      <c r="AW886" s="105" t="n">
        <v>0</v>
      </c>
      <c r="AX886" s="105" t="n">
        <v>0</v>
      </c>
      <c r="AY886" s="105" t="n">
        <v>0</v>
      </c>
      <c r="AZ886" s="105" t="n">
        <v>0</v>
      </c>
      <c r="BA886" s="105" t="n">
        <v>0</v>
      </c>
      <c r="BB886" s="105" t="n">
        <v>0</v>
      </c>
      <c r="BC886" s="105" t="n">
        <v>0</v>
      </c>
      <c r="BD886" s="105" t="n">
        <v>0</v>
      </c>
      <c r="BE886" s="105" t="n">
        <v>0</v>
      </c>
      <c r="BF886" s="105" t="n">
        <v>0</v>
      </c>
      <c r="BG886" s="105" t="n">
        <v>0</v>
      </c>
      <c r="BH886" s="105" t="n">
        <v>0</v>
      </c>
      <c r="BI886" s="105" t="n">
        <v>0</v>
      </c>
      <c r="BJ886" s="105" t="n">
        <v>0</v>
      </c>
      <c r="BK886" s="105" t="n">
        <v>0</v>
      </c>
      <c r="BL886" s="105" t="n">
        <v>0</v>
      </c>
      <c r="BM886" s="105" t="n">
        <v>0</v>
      </c>
      <c r="BN886" s="105" t="n">
        <v>0</v>
      </c>
      <c r="BO886" s="105" t="n">
        <v>0</v>
      </c>
      <c r="BP886" s="105" t="n">
        <v>0</v>
      </c>
      <c r="BQ886" s="105" t="n">
        <v>0</v>
      </c>
      <c r="BR886" s="106" t="n">
        <v>0</v>
      </c>
      <c r="BS886" s="106" t="n">
        <v>0</v>
      </c>
      <c r="BT886" s="107"/>
      <c r="BU886" s="107"/>
      <c r="BV886" s="107"/>
      <c r="BW886" s="107"/>
      <c r="BX886" s="107"/>
      <c r="BY886" s="107"/>
      <c r="BZ886" s="107"/>
      <c r="CA886" s="107"/>
      <c r="CB886" s="107"/>
      <c r="CC886" s="107"/>
      <c r="CD886" s="107"/>
      <c r="CE886" s="107"/>
      <c r="CF886" s="107"/>
      <c r="CG886" s="107"/>
      <c r="CH886" s="107"/>
      <c r="CI886" s="107"/>
      <c r="CJ886" s="107"/>
      <c r="CK886" s="107"/>
      <c r="CL886" s="107"/>
      <c r="CM886" s="107"/>
      <c r="CN886" s="107"/>
      <c r="CO886" s="107"/>
      <c r="CP886" s="107"/>
      <c r="CQ886" s="107"/>
      <c r="CR886" s="107"/>
      <c r="CS886" s="107"/>
      <c r="CT886" s="107"/>
      <c r="CU886" s="107"/>
      <c r="CV886" s="107"/>
    </row>
    <row r="887" customFormat="false" ht="14.9" hidden="false" customHeight="false" outlineLevel="0" collapsed="false">
      <c r="A887" s="74" t="n">
        <f aca="false">MONTH(B887)</f>
        <v>10</v>
      </c>
      <c r="B887" s="135" t="n">
        <v>44480</v>
      </c>
      <c r="C887" s="128" t="s">
        <v>70</v>
      </c>
      <c r="D887" s="77" t="str">
        <f aca="false">IFERROR(VLOOKUP(E:E,'Item Data Support Sheet'!A:O,7,0),"")</f>
        <v>NIPPLE MOLDED</v>
      </c>
      <c r="E887" s="80" t="s">
        <v>661</v>
      </c>
      <c r="F887" s="122" t="s">
        <v>137</v>
      </c>
      <c r="G887" s="137" t="s">
        <v>138</v>
      </c>
      <c r="H887" s="79" t="str">
        <f aca="false">IFERROR(VLOOKUP(E:E,'Item Data Support Sheet'!A:O,2,0),"")</f>
        <v>NIPPLE S TYPE L SIZE INJECTION</v>
      </c>
      <c r="I887" s="80" t="s">
        <v>1645</v>
      </c>
      <c r="J887" s="80" t="s">
        <v>155</v>
      </c>
      <c r="K887" s="124" t="n">
        <v>8</v>
      </c>
      <c r="L887" s="124" t="n">
        <v>4815</v>
      </c>
      <c r="M887" s="83" t="n">
        <v>601.875</v>
      </c>
      <c r="N887" s="84" t="n">
        <f aca="false">+O887+Q887+T887+U887</f>
        <v>5565</v>
      </c>
      <c r="O887" s="85" t="n">
        <v>5500</v>
      </c>
      <c r="P887" s="86" t="n">
        <v>0</v>
      </c>
      <c r="Q887" s="86" t="n">
        <v>20</v>
      </c>
      <c r="R887" s="132" t="n">
        <v>0</v>
      </c>
      <c r="S887" s="128" t="n">
        <v>0</v>
      </c>
      <c r="T887" s="132" t="n">
        <v>45</v>
      </c>
      <c r="U887" s="128" t="n">
        <v>0</v>
      </c>
      <c r="V887" s="128" t="n">
        <v>1</v>
      </c>
      <c r="W887" s="90" t="n">
        <f aca="false">IFERROR(O887/V887,0)</f>
        <v>5500</v>
      </c>
      <c r="X887" s="91" t="n">
        <f aca="false">O887/L887</f>
        <v>1.14226375908619</v>
      </c>
      <c r="Y887" s="92" t="str">
        <f aca="false">IFERROR(VLOOKUP(E:E,'Item Data Support Sheet'!A:J,6,0),0)</f>
        <v>Silicon</v>
      </c>
      <c r="Z887" s="93" t="n">
        <f aca="false">IFERROR(VLOOKUP(E:E,'Item Data Support Sheet'!A:O,4,0),0)</f>
        <v>6.8</v>
      </c>
      <c r="AA887" s="93" t="n">
        <f aca="false">IFERROR(((N887)*(Z887/1000))+P887,0)</f>
        <v>37.842</v>
      </c>
      <c r="AB887" s="94" t="n">
        <f aca="false">IFERROR((O887*(Z887/1000)/(AA887))," ")</f>
        <v>0.988319856244384</v>
      </c>
      <c r="AC887" s="95" t="n">
        <f aca="false">IFERROR((T887)/((T887)+O887),0)</f>
        <v>0.00811541929666366</v>
      </c>
      <c r="AD887" s="96" t="n">
        <f aca="false">IFERROR(Q887/(Q887+N887),0)</f>
        <v>0.0035810205908684</v>
      </c>
      <c r="AE887" s="91" t="n">
        <f aca="false">(N887-T887)/N887</f>
        <v>0.991913746630728</v>
      </c>
      <c r="AF887" s="97" t="n">
        <f aca="false">BR887</f>
        <v>0</v>
      </c>
      <c r="AG887" s="98" t="n">
        <f aca="false">K887-AF887</f>
        <v>8</v>
      </c>
      <c r="AH887" s="99" t="n">
        <f aca="false">IFERROR(AG887/K887," ")</f>
        <v>1</v>
      </c>
      <c r="AI887" s="100" t="n">
        <f aca="false">IFERROR(O887/K887,0)</f>
        <v>687.5</v>
      </c>
      <c r="AJ887" s="101" t="n">
        <f aca="false">VLOOKUP(D887,'Standard Cycle time'!C:D,2,0)</f>
        <v>5.25</v>
      </c>
      <c r="AK887" s="101" t="n">
        <f aca="false">AG887*V887*3600/O887</f>
        <v>5.23636363636364</v>
      </c>
      <c r="AL887" s="102" t="n">
        <f aca="false">AJ887/AK887</f>
        <v>1.00260416666667</v>
      </c>
      <c r="AM887" s="99" t="n">
        <f aca="false">AE887*AL887*AH887</f>
        <v>0.994496855345912</v>
      </c>
      <c r="AN887" s="103" t="n">
        <v>0.994496855345912</v>
      </c>
      <c r="AO887" s="112"/>
      <c r="AP887" s="105" t="n">
        <v>0</v>
      </c>
      <c r="AQ887" s="105" t="n">
        <v>0</v>
      </c>
      <c r="AR887" s="105" t="n">
        <v>0</v>
      </c>
      <c r="AS887" s="105" t="n">
        <v>0</v>
      </c>
      <c r="AT887" s="105" t="n">
        <v>0</v>
      </c>
      <c r="AU887" s="105" t="n">
        <v>0</v>
      </c>
      <c r="AV887" s="105" t="n">
        <v>0</v>
      </c>
      <c r="AW887" s="105" t="n">
        <v>0</v>
      </c>
      <c r="AX887" s="105" t="n">
        <v>0</v>
      </c>
      <c r="AY887" s="105" t="n">
        <v>0</v>
      </c>
      <c r="AZ887" s="105" t="n">
        <v>0</v>
      </c>
      <c r="BA887" s="105" t="n">
        <v>0</v>
      </c>
      <c r="BB887" s="105" t="n">
        <v>0</v>
      </c>
      <c r="BC887" s="105" t="n">
        <v>0</v>
      </c>
      <c r="BD887" s="105" t="n">
        <v>0</v>
      </c>
      <c r="BE887" s="105" t="n">
        <v>0</v>
      </c>
      <c r="BF887" s="105" t="n">
        <v>0</v>
      </c>
      <c r="BG887" s="105" t="n">
        <v>0</v>
      </c>
      <c r="BH887" s="105" t="n">
        <v>0</v>
      </c>
      <c r="BI887" s="105" t="n">
        <v>0</v>
      </c>
      <c r="BJ887" s="105" t="n">
        <v>0</v>
      </c>
      <c r="BK887" s="105" t="n">
        <v>0</v>
      </c>
      <c r="BL887" s="105" t="n">
        <v>0</v>
      </c>
      <c r="BM887" s="105" t="n">
        <v>0</v>
      </c>
      <c r="BN887" s="105" t="n">
        <v>0</v>
      </c>
      <c r="BO887" s="105" t="n">
        <v>0</v>
      </c>
      <c r="BP887" s="105" t="n">
        <v>0</v>
      </c>
      <c r="BQ887" s="105" t="n">
        <v>0</v>
      </c>
      <c r="BR887" s="106" t="n">
        <v>0</v>
      </c>
      <c r="BS887" s="106" t="n">
        <v>0</v>
      </c>
      <c r="BT887" s="107"/>
      <c r="BU887" s="107"/>
      <c r="BV887" s="107"/>
      <c r="BW887" s="107"/>
      <c r="BX887" s="107"/>
      <c r="BY887" s="107"/>
      <c r="BZ887" s="107"/>
      <c r="CA887" s="107"/>
      <c r="CB887" s="107"/>
      <c r="CC887" s="107"/>
      <c r="CD887" s="107"/>
      <c r="CE887" s="107"/>
      <c r="CF887" s="107"/>
      <c r="CG887" s="107"/>
      <c r="CH887" s="107"/>
      <c r="CI887" s="107"/>
      <c r="CJ887" s="107"/>
      <c r="CK887" s="107"/>
      <c r="CL887" s="107"/>
      <c r="CM887" s="107"/>
      <c r="CN887" s="107"/>
      <c r="CO887" s="107"/>
      <c r="CP887" s="107"/>
      <c r="CQ887" s="107"/>
      <c r="CR887" s="107"/>
      <c r="CS887" s="107"/>
      <c r="CT887" s="107"/>
      <c r="CU887" s="107"/>
      <c r="CV887" s="107"/>
    </row>
    <row r="888" customFormat="false" ht="14.9" hidden="false" customHeight="false" outlineLevel="0" collapsed="false">
      <c r="A888" s="74" t="n">
        <f aca="false">MONTH(B888)</f>
        <v>10</v>
      </c>
      <c r="B888" s="135" t="n">
        <v>44480</v>
      </c>
      <c r="C888" s="128" t="s">
        <v>70</v>
      </c>
      <c r="D888" s="77" t="str">
        <f aca="false">IFERROR(VLOOKUP(E:E,'Item Data Support Sheet'!A:O,7,0),"")</f>
        <v>NIPPLE PUNCH</v>
      </c>
      <c r="E888" s="80" t="s">
        <v>666</v>
      </c>
      <c r="F888" s="122"/>
      <c r="G888" s="137"/>
      <c r="H888" s="79" t="str">
        <f aca="false">IFERROR(VLOOKUP(E:E,'Item Data Support Sheet'!A:O,2,0),"")</f>
        <v>NIPPLE S TYPE L SIZE PUNCHED</v>
      </c>
      <c r="I888" s="80" t="s">
        <v>1646</v>
      </c>
      <c r="J888" s="80" t="s">
        <v>155</v>
      </c>
      <c r="K888" s="124" t="n">
        <v>8</v>
      </c>
      <c r="L888" s="124" t="n">
        <v>7000</v>
      </c>
      <c r="M888" s="83" t="n">
        <v>875</v>
      </c>
      <c r="N888" s="84" t="n">
        <f aca="false">+O888+Q888+T888+U888</f>
        <v>7000</v>
      </c>
      <c r="O888" s="85" t="n">
        <v>7000</v>
      </c>
      <c r="P888" s="86" t="n">
        <v>0</v>
      </c>
      <c r="Q888" s="86" t="n">
        <v>0</v>
      </c>
      <c r="R888" s="132" t="n">
        <v>0</v>
      </c>
      <c r="S888" s="128" t="n">
        <v>0</v>
      </c>
      <c r="T888" s="132" t="n">
        <v>0</v>
      </c>
      <c r="U888" s="128" t="n">
        <v>0</v>
      </c>
      <c r="V888" s="128" t="n">
        <v>1</v>
      </c>
      <c r="W888" s="90" t="n">
        <f aca="false">IFERROR(O888/V888,0)</f>
        <v>7000</v>
      </c>
      <c r="X888" s="91" t="n">
        <f aca="false">O888/L888</f>
        <v>1</v>
      </c>
      <c r="Y888" s="92" t="str">
        <f aca="false">IFERROR(VLOOKUP(E:E,'Item Data Support Sheet'!A:J,6,0),0)</f>
        <v>FO017</v>
      </c>
      <c r="Z888" s="93" t="n">
        <f aca="false">IFERROR(VLOOKUP(E:E,'Item Data Support Sheet'!A:O,4,0),0)</f>
        <v>0</v>
      </c>
      <c r="AA888" s="93" t="n">
        <f aca="false">IFERROR(((N888)*(Z888/1000))+P888,0)</f>
        <v>0</v>
      </c>
      <c r="AB888" s="94" t="str">
        <f aca="false">IFERROR((O888*(Z888/1000)/(AA888))," ")</f>
        <v> </v>
      </c>
      <c r="AC888" s="95" t="n">
        <f aca="false">IFERROR((T888)/((T888)+O888),0)</f>
        <v>0</v>
      </c>
      <c r="AD888" s="96" t="n">
        <f aca="false">IFERROR(Q888/(Q888+N888),0)</f>
        <v>0</v>
      </c>
      <c r="AE888" s="91" t="n">
        <f aca="false">(N888-T888)/N888</f>
        <v>1</v>
      </c>
      <c r="AF888" s="97" t="n">
        <f aca="false">BR888</f>
        <v>0</v>
      </c>
      <c r="AG888" s="98" t="n">
        <f aca="false">K888-AF888</f>
        <v>8</v>
      </c>
      <c r="AH888" s="99" t="n">
        <f aca="false">IFERROR(AG888/K888," ")</f>
        <v>1</v>
      </c>
      <c r="AI888" s="100" t="n">
        <f aca="false">IFERROR(O888/K888,0)</f>
        <v>875</v>
      </c>
      <c r="AJ888" s="101" t="n">
        <f aca="false">VLOOKUP(D888,'Standard Cycle time'!C:D,2,0)</f>
        <v>3.5</v>
      </c>
      <c r="AK888" s="101" t="n">
        <f aca="false">AG888*V888*3600/O888</f>
        <v>4.11428571428571</v>
      </c>
      <c r="AL888" s="102" t="n">
        <f aca="false">AJ888/AK888</f>
        <v>0.850694444444444</v>
      </c>
      <c r="AM888" s="99" t="n">
        <f aca="false">AE888*AL888*AH888</f>
        <v>0.850694444444444</v>
      </c>
      <c r="AN888" s="103" t="n">
        <v>0.850694444444444</v>
      </c>
      <c r="AO888" s="112"/>
      <c r="AP888" s="105" t="n">
        <v>0</v>
      </c>
      <c r="AQ888" s="105" t="n">
        <v>0</v>
      </c>
      <c r="AR888" s="105" t="n">
        <v>0</v>
      </c>
      <c r="AS888" s="105" t="n">
        <v>0</v>
      </c>
      <c r="AT888" s="105" t="n">
        <v>0</v>
      </c>
      <c r="AU888" s="105" t="n">
        <v>0</v>
      </c>
      <c r="AV888" s="105" t="n">
        <v>0</v>
      </c>
      <c r="AW888" s="105" t="n">
        <v>0</v>
      </c>
      <c r="AX888" s="105" t="n">
        <v>0</v>
      </c>
      <c r="AY888" s="105" t="n">
        <v>0</v>
      </c>
      <c r="AZ888" s="105" t="n">
        <v>0</v>
      </c>
      <c r="BA888" s="105" t="n">
        <v>0</v>
      </c>
      <c r="BB888" s="105" t="n">
        <v>0</v>
      </c>
      <c r="BC888" s="105" t="n">
        <v>0</v>
      </c>
      <c r="BD888" s="105" t="n">
        <v>0</v>
      </c>
      <c r="BE888" s="105" t="n">
        <v>0</v>
      </c>
      <c r="BF888" s="105" t="n">
        <v>0</v>
      </c>
      <c r="BG888" s="105" t="n">
        <v>0</v>
      </c>
      <c r="BH888" s="105" t="n">
        <v>0</v>
      </c>
      <c r="BI888" s="105" t="n">
        <v>0</v>
      </c>
      <c r="BJ888" s="105" t="n">
        <v>0</v>
      </c>
      <c r="BK888" s="105" t="n">
        <v>0</v>
      </c>
      <c r="BL888" s="105" t="n">
        <v>0</v>
      </c>
      <c r="BM888" s="105" t="n">
        <v>0</v>
      </c>
      <c r="BN888" s="105" t="n">
        <v>0</v>
      </c>
      <c r="BO888" s="105" t="n">
        <v>0</v>
      </c>
      <c r="BP888" s="105" t="n">
        <v>0</v>
      </c>
      <c r="BQ888" s="105" t="n">
        <v>0</v>
      </c>
      <c r="BR888" s="106" t="n">
        <v>0</v>
      </c>
      <c r="BS888" s="106" t="n">
        <v>0</v>
      </c>
      <c r="BT888" s="107"/>
      <c r="BU888" s="107"/>
      <c r="BV888" s="107"/>
      <c r="BW888" s="107"/>
      <c r="BX888" s="107"/>
      <c r="BY888" s="107"/>
      <c r="BZ888" s="107"/>
      <c r="CA888" s="107"/>
      <c r="CB888" s="107"/>
      <c r="CC888" s="107"/>
      <c r="CD888" s="107"/>
      <c r="CE888" s="107"/>
      <c r="CF888" s="107"/>
      <c r="CG888" s="107"/>
      <c r="CH888" s="107"/>
      <c r="CI888" s="107"/>
      <c r="CJ888" s="107"/>
      <c r="CK888" s="107"/>
      <c r="CL888" s="107"/>
      <c r="CM888" s="107"/>
      <c r="CN888" s="107"/>
      <c r="CO888" s="107"/>
      <c r="CP888" s="107"/>
      <c r="CQ888" s="107"/>
      <c r="CR888" s="107"/>
      <c r="CS888" s="107"/>
      <c r="CT888" s="107"/>
      <c r="CU888" s="107"/>
      <c r="CV888" s="107"/>
    </row>
    <row r="889" customFormat="false" ht="14.9" hidden="false" customHeight="false" outlineLevel="0" collapsed="false">
      <c r="A889" s="74" t="n">
        <f aca="false">MONTH(B889)</f>
        <v>10</v>
      </c>
      <c r="B889" s="135" t="n">
        <v>44480</v>
      </c>
      <c r="C889" s="128" t="s">
        <v>70</v>
      </c>
      <c r="D889" s="77" t="str">
        <f aca="false">IFERROR(VLOOKUP(E:E,'Item Data Support Sheet'!A:O,7,0),"")</f>
        <v>NIPPLE LASER MARKING</v>
      </c>
      <c r="E889" s="80" t="s">
        <v>681</v>
      </c>
      <c r="F889" s="122"/>
      <c r="G889" s="137" t="s">
        <v>517</v>
      </c>
      <c r="H889" s="79" t="str">
        <f aca="false">IFERROR(VLOOKUP(E:E,'Item Data Support Sheet'!A:O,2,0),"")</f>
        <v>NIPPLE S TYPE L SIZE PUNCHED LASER MARKED</v>
      </c>
      <c r="I889" s="80"/>
      <c r="J889" s="80" t="s">
        <v>155</v>
      </c>
      <c r="K889" s="124" t="n">
        <v>8</v>
      </c>
      <c r="L889" s="124" t="n">
        <v>7000</v>
      </c>
      <c r="M889" s="83" t="n">
        <v>875</v>
      </c>
      <c r="N889" s="84" t="n">
        <f aca="false">+O889+Q889+T889+U889</f>
        <v>7000</v>
      </c>
      <c r="O889" s="85" t="n">
        <v>7000</v>
      </c>
      <c r="P889" s="86" t="n">
        <v>0</v>
      </c>
      <c r="Q889" s="86" t="n">
        <v>0</v>
      </c>
      <c r="R889" s="132" t="n">
        <v>0</v>
      </c>
      <c r="S889" s="128" t="n">
        <v>0</v>
      </c>
      <c r="T889" s="132" t="n">
        <v>0</v>
      </c>
      <c r="U889" s="128" t="n">
        <v>0</v>
      </c>
      <c r="V889" s="128" t="n">
        <v>1</v>
      </c>
      <c r="W889" s="90" t="n">
        <f aca="false">IFERROR(O889/V889,0)</f>
        <v>7000</v>
      </c>
      <c r="X889" s="91" t="n">
        <f aca="false">O889/L889</f>
        <v>1</v>
      </c>
      <c r="Y889" s="92" t="str">
        <f aca="false">IFERROR(VLOOKUP(E:E,'Item Data Support Sheet'!A:J,6,0),0)</f>
        <v>FO021</v>
      </c>
      <c r="Z889" s="93" t="n">
        <f aca="false">IFERROR(VLOOKUP(E:E,'Item Data Support Sheet'!A:O,4,0),0)</f>
        <v>0</v>
      </c>
      <c r="AA889" s="93" t="n">
        <f aca="false">IFERROR(((N889)*(Z889/1000))+P889,0)</f>
        <v>0</v>
      </c>
      <c r="AB889" s="94" t="str">
        <f aca="false">IFERROR((O889*(Z889/1000)/(AA889))," ")</f>
        <v> </v>
      </c>
      <c r="AC889" s="95" t="n">
        <f aca="false">IFERROR((T889)/((T889)+O889),0)</f>
        <v>0</v>
      </c>
      <c r="AD889" s="96" t="n">
        <f aca="false">IFERROR(Q889/(Q889+N889),0)</f>
        <v>0</v>
      </c>
      <c r="AE889" s="91" t="n">
        <f aca="false">(N889-T889)/N889</f>
        <v>1</v>
      </c>
      <c r="AF889" s="97" t="n">
        <f aca="false">BR889</f>
        <v>0</v>
      </c>
      <c r="AG889" s="98" t="n">
        <f aca="false">K889-AF889</f>
        <v>8</v>
      </c>
      <c r="AH889" s="99" t="n">
        <f aca="false">IFERROR(AG889/K889," ")</f>
        <v>1</v>
      </c>
      <c r="AI889" s="100" t="n">
        <f aca="false">IFERROR(O889/K889,0)</f>
        <v>875</v>
      </c>
      <c r="AJ889" s="101" t="n">
        <f aca="false">VLOOKUP(D889,'Standard Cycle time'!C:D,2,0)</f>
        <v>3.5</v>
      </c>
      <c r="AK889" s="101" t="n">
        <f aca="false">AG889*V889*3600/O889</f>
        <v>4.11428571428571</v>
      </c>
      <c r="AL889" s="102" t="n">
        <f aca="false">AJ889/AK889</f>
        <v>0.850694444444444</v>
      </c>
      <c r="AM889" s="99" t="n">
        <f aca="false">AE889*AL889*AH889</f>
        <v>0.850694444444444</v>
      </c>
      <c r="AN889" s="103" t="n">
        <v>0.850694444444444</v>
      </c>
      <c r="AO889" s="112"/>
      <c r="AP889" s="105" t="n">
        <v>0</v>
      </c>
      <c r="AQ889" s="105" t="n">
        <v>0</v>
      </c>
      <c r="AR889" s="105" t="n">
        <v>0</v>
      </c>
      <c r="AS889" s="105" t="n">
        <v>0</v>
      </c>
      <c r="AT889" s="105" t="n">
        <v>0</v>
      </c>
      <c r="AU889" s="105" t="n">
        <v>0</v>
      </c>
      <c r="AV889" s="105" t="n">
        <v>0</v>
      </c>
      <c r="AW889" s="105" t="n">
        <v>0</v>
      </c>
      <c r="AX889" s="105" t="n">
        <v>0</v>
      </c>
      <c r="AY889" s="105" t="n">
        <v>0</v>
      </c>
      <c r="AZ889" s="105" t="n">
        <v>0</v>
      </c>
      <c r="BA889" s="105" t="n">
        <v>0</v>
      </c>
      <c r="BB889" s="105" t="n">
        <v>0</v>
      </c>
      <c r="BC889" s="105" t="n">
        <v>0</v>
      </c>
      <c r="BD889" s="105" t="n">
        <v>0</v>
      </c>
      <c r="BE889" s="105" t="n">
        <v>0</v>
      </c>
      <c r="BF889" s="105" t="n">
        <v>0</v>
      </c>
      <c r="BG889" s="105" t="n">
        <v>0</v>
      </c>
      <c r="BH889" s="105" t="n">
        <v>0</v>
      </c>
      <c r="BI889" s="105" t="n">
        <v>0</v>
      </c>
      <c r="BJ889" s="105" t="n">
        <v>0</v>
      </c>
      <c r="BK889" s="105" t="n">
        <v>0</v>
      </c>
      <c r="BL889" s="105" t="n">
        <v>0</v>
      </c>
      <c r="BM889" s="105" t="n">
        <v>0</v>
      </c>
      <c r="BN889" s="105" t="n">
        <v>0</v>
      </c>
      <c r="BO889" s="105" t="n">
        <v>0</v>
      </c>
      <c r="BP889" s="105" t="n">
        <v>0</v>
      </c>
      <c r="BQ889" s="105" t="n">
        <v>0</v>
      </c>
      <c r="BR889" s="106" t="n">
        <v>0</v>
      </c>
      <c r="BS889" s="106" t="n">
        <v>0</v>
      </c>
      <c r="BT889" s="107"/>
      <c r="BU889" s="107"/>
      <c r="BV889" s="107"/>
      <c r="BW889" s="107"/>
      <c r="BX889" s="107"/>
      <c r="BY889" s="107"/>
      <c r="BZ889" s="107"/>
      <c r="CA889" s="107"/>
      <c r="CB889" s="107"/>
      <c r="CC889" s="107"/>
      <c r="CD889" s="107"/>
      <c r="CE889" s="107"/>
      <c r="CF889" s="107"/>
      <c r="CG889" s="107"/>
      <c r="CH889" s="107"/>
      <c r="CI889" s="107"/>
      <c r="CJ889" s="107"/>
      <c r="CK889" s="107"/>
      <c r="CL889" s="107"/>
      <c r="CM889" s="107"/>
      <c r="CN889" s="107"/>
      <c r="CO889" s="107"/>
      <c r="CP889" s="107"/>
      <c r="CQ889" s="107"/>
      <c r="CR889" s="107"/>
      <c r="CS889" s="107"/>
      <c r="CT889" s="107"/>
      <c r="CU889" s="107"/>
      <c r="CV889" s="107"/>
    </row>
    <row r="890" customFormat="false" ht="14.9" hidden="false" customHeight="false" outlineLevel="0" collapsed="false">
      <c r="A890" s="74" t="n">
        <f aca="false">MONTH(B890)</f>
        <v>10</v>
      </c>
      <c r="B890" s="135" t="n">
        <v>44480</v>
      </c>
      <c r="C890" s="128" t="s">
        <v>152</v>
      </c>
      <c r="D890" s="77" t="str">
        <f aca="false">IFERROR(VLOOKUP(E:E,'Item Data Support Sheet'!A:O,7,0),"")</f>
        <v>BOTTLE MOLDED</v>
      </c>
      <c r="E890" s="80" t="s">
        <v>215</v>
      </c>
      <c r="F890" s="122" t="s">
        <v>73</v>
      </c>
      <c r="G890" s="137" t="s">
        <v>74</v>
      </c>
      <c r="H890" s="79" t="str">
        <f aca="false">IFERROR(VLOOKUP(E:E,'Item Data Support Sheet'!A:O,2,0),"")</f>
        <v>KPP BOTTLE 200 ML MOULDED-WMG3B</v>
      </c>
      <c r="I890" s="80" t="s">
        <v>1647</v>
      </c>
      <c r="J890" s="80" t="s">
        <v>815</v>
      </c>
      <c r="K890" s="124" t="n">
        <v>8</v>
      </c>
      <c r="L890" s="124" t="n">
        <v>2137</v>
      </c>
      <c r="M890" s="83" t="n">
        <v>267.125</v>
      </c>
      <c r="N890" s="84" t="n">
        <f aca="false">+O890+Q890+T890+U890</f>
        <v>1710</v>
      </c>
      <c r="O890" s="85" t="n">
        <v>1512</v>
      </c>
      <c r="P890" s="86" t="n">
        <v>0.8</v>
      </c>
      <c r="Q890" s="86" t="n">
        <v>127</v>
      </c>
      <c r="R890" s="132" t="n">
        <v>0</v>
      </c>
      <c r="S890" s="128" t="n">
        <v>0</v>
      </c>
      <c r="T890" s="132" t="n">
        <v>47</v>
      </c>
      <c r="U890" s="128" t="n">
        <v>24</v>
      </c>
      <c r="V890" s="128" t="n">
        <v>1</v>
      </c>
      <c r="W890" s="90" t="n">
        <f aca="false">IFERROR(O890/V890,0)</f>
        <v>1512</v>
      </c>
      <c r="X890" s="91" t="n">
        <f aca="false">O890/L890</f>
        <v>0.707533926064577</v>
      </c>
      <c r="Y890" s="92" t="str">
        <f aca="false">IFERROR(VLOOKUP(E:E,'Item Data Support Sheet'!A:J,6,0),0)</f>
        <v>WMG3B</v>
      </c>
      <c r="Z890" s="93" t="n">
        <f aca="false">IFERROR(VLOOKUP(E:E,'Item Data Support Sheet'!A:O,4,0),0)</f>
        <v>28.6</v>
      </c>
      <c r="AA890" s="93" t="n">
        <f aca="false">IFERROR(((N890)*(Z890/1000))+P890,0)</f>
        <v>49.706</v>
      </c>
      <c r="AB890" s="94" t="n">
        <f aca="false">IFERROR((O890*(Z890/1000)/(AA890))," ")</f>
        <v>0.86997947933851</v>
      </c>
      <c r="AC890" s="95" t="n">
        <f aca="false">IFERROR((T890)/((T890)+O890),0)</f>
        <v>0.0301475304682489</v>
      </c>
      <c r="AD890" s="96" t="n">
        <f aca="false">IFERROR(Q890/(Q890+N890),0)</f>
        <v>0.0691344583560152</v>
      </c>
      <c r="AE890" s="91" t="n">
        <f aca="false">(N890-T890)/N890</f>
        <v>0.972514619883041</v>
      </c>
      <c r="AF890" s="97" t="n">
        <f aca="false">BR890</f>
        <v>3.66666666666667</v>
      </c>
      <c r="AG890" s="98" t="n">
        <f aca="false">K890-AF890</f>
        <v>4.33333333333333</v>
      </c>
      <c r="AH890" s="99" t="n">
        <f aca="false">IFERROR(AG890/K890," ")</f>
        <v>0.541666666666666</v>
      </c>
      <c r="AI890" s="100" t="n">
        <f aca="false">IFERROR(O890/K890,0)</f>
        <v>189</v>
      </c>
      <c r="AJ890" s="101" t="n">
        <f aca="false">VLOOKUP(D890,'Standard Cycle time'!C:D,2,0)</f>
        <v>9</v>
      </c>
      <c r="AK890" s="101" t="n">
        <f aca="false">AG890*V890*3600/O890</f>
        <v>10.3174603174603</v>
      </c>
      <c r="AL890" s="102" t="n">
        <f aca="false">AJ890/AK890</f>
        <v>0.872307692307693</v>
      </c>
      <c r="AM890" s="99" t="n">
        <f aca="false">AE890*AL890*AH890</f>
        <v>0.459513157894737</v>
      </c>
      <c r="AN890" s="103" t="n">
        <v>0.459513157894737</v>
      </c>
      <c r="AO890" s="112" t="s">
        <v>1648</v>
      </c>
      <c r="AP890" s="105" t="n">
        <v>0</v>
      </c>
      <c r="AQ890" s="105" t="n">
        <v>0</v>
      </c>
      <c r="AR890" s="105" t="n">
        <v>120</v>
      </c>
      <c r="AS890" s="105" t="n">
        <v>0</v>
      </c>
      <c r="AT890" s="105" t="n">
        <v>0</v>
      </c>
      <c r="AU890" s="105" t="n">
        <v>0</v>
      </c>
      <c r="AV890" s="105" t="n">
        <v>40</v>
      </c>
      <c r="AW890" s="105" t="n">
        <v>40</v>
      </c>
      <c r="AX890" s="105" t="n">
        <v>0</v>
      </c>
      <c r="AY890" s="105" t="n">
        <v>0</v>
      </c>
      <c r="AZ890" s="105" t="n">
        <v>20</v>
      </c>
      <c r="BA890" s="105" t="n">
        <v>0</v>
      </c>
      <c r="BB890" s="105" t="n">
        <v>0</v>
      </c>
      <c r="BC890" s="105" t="n">
        <v>0</v>
      </c>
      <c r="BD890" s="105" t="n">
        <v>0</v>
      </c>
      <c r="BE890" s="105" t="n">
        <v>0</v>
      </c>
      <c r="BF890" s="105" t="n">
        <v>0</v>
      </c>
      <c r="BG890" s="105" t="n">
        <v>0</v>
      </c>
      <c r="BH890" s="105" t="n">
        <v>0</v>
      </c>
      <c r="BI890" s="105" t="n">
        <v>0</v>
      </c>
      <c r="BJ890" s="105" t="n">
        <v>0</v>
      </c>
      <c r="BK890" s="105" t="n">
        <v>0</v>
      </c>
      <c r="BL890" s="105" t="n">
        <v>0</v>
      </c>
      <c r="BM890" s="105" t="n">
        <v>0</v>
      </c>
      <c r="BN890" s="105" t="n">
        <v>0</v>
      </c>
      <c r="BO890" s="105" t="n">
        <v>0</v>
      </c>
      <c r="BP890" s="105" t="n">
        <v>0</v>
      </c>
      <c r="BQ890" s="105" t="n">
        <v>0</v>
      </c>
      <c r="BR890" s="106" t="n">
        <v>3.66666666666667</v>
      </c>
      <c r="BS890" s="106" t="n">
        <v>3.66666666666667</v>
      </c>
      <c r="BT890" s="107"/>
      <c r="BU890" s="107"/>
      <c r="BV890" s="107"/>
      <c r="BW890" s="107"/>
      <c r="BX890" s="107"/>
      <c r="BY890" s="107"/>
      <c r="BZ890" s="107"/>
      <c r="CA890" s="107"/>
      <c r="CB890" s="107"/>
      <c r="CC890" s="107"/>
      <c r="CD890" s="107"/>
      <c r="CE890" s="107"/>
      <c r="CF890" s="107"/>
      <c r="CG890" s="107"/>
      <c r="CH890" s="107"/>
      <c r="CI890" s="107"/>
      <c r="CJ890" s="107"/>
      <c r="CK890" s="107"/>
      <c r="CL890" s="107"/>
      <c r="CM890" s="107"/>
      <c r="CN890" s="107"/>
      <c r="CO890" s="107"/>
      <c r="CP890" s="107"/>
      <c r="CQ890" s="107"/>
      <c r="CR890" s="107"/>
      <c r="CS890" s="107"/>
      <c r="CT890" s="107"/>
      <c r="CU890" s="107"/>
      <c r="CV890" s="107"/>
    </row>
    <row r="891" customFormat="false" ht="14.9" hidden="false" customHeight="false" outlineLevel="0" collapsed="false">
      <c r="A891" s="74" t="n">
        <f aca="false">MONTH(B891)</f>
        <v>10</v>
      </c>
      <c r="B891" s="135" t="n">
        <v>44480</v>
      </c>
      <c r="C891" s="128" t="s">
        <v>152</v>
      </c>
      <c r="D891" s="77" t="str">
        <f aca="false">IFERROR(VLOOKUP(E:E,'Item Data Support Sheet'!A:O,7,0),"")</f>
        <v>CAP MOLDED</v>
      </c>
      <c r="E891" s="80" t="s">
        <v>420</v>
      </c>
      <c r="F891" s="122"/>
      <c r="G891" s="137" t="s">
        <v>1215</v>
      </c>
      <c r="H891" s="79" t="str">
        <f aca="false">IFERROR(VLOOKUP(E:E,'Item Data Support Sheet'!A:O,2,0),"")</f>
        <v>CAP S TYPE MOLDED PALE BLUE</v>
      </c>
      <c r="I891" s="80" t="s">
        <v>1649</v>
      </c>
      <c r="J891" s="80" t="s">
        <v>815</v>
      </c>
      <c r="K891" s="124" t="n">
        <v>4.5</v>
      </c>
      <c r="L891" s="124" t="n">
        <v>2320</v>
      </c>
      <c r="M891" s="83" t="n">
        <v>515.555555555556</v>
      </c>
      <c r="N891" s="84" t="n">
        <f aca="false">+O891+Q891+T891+U891</f>
        <v>2332</v>
      </c>
      <c r="O891" s="85" t="n">
        <v>2320</v>
      </c>
      <c r="P891" s="86" t="n">
        <v>0</v>
      </c>
      <c r="Q891" s="86" t="n">
        <v>0</v>
      </c>
      <c r="R891" s="132" t="n">
        <v>0</v>
      </c>
      <c r="S891" s="128" t="n">
        <v>0</v>
      </c>
      <c r="T891" s="132" t="n">
        <v>4</v>
      </c>
      <c r="U891" s="128" t="n">
        <v>8</v>
      </c>
      <c r="V891" s="128" t="n">
        <v>1</v>
      </c>
      <c r="W891" s="90" t="n">
        <f aca="false">IFERROR(O891/V891,0)</f>
        <v>2320</v>
      </c>
      <c r="X891" s="91" t="n">
        <f aca="false">O891/L891</f>
        <v>1</v>
      </c>
      <c r="Y891" s="92" t="str">
        <f aca="false">IFERROR(VLOOKUP(E:E,'Item Data Support Sheet'!A:J,6,0),0)</f>
        <v>RM000115</v>
      </c>
      <c r="Z891" s="93" t="n">
        <f aca="false">IFERROR(VLOOKUP(E:E,'Item Data Support Sheet'!A:O,4,0),0)</f>
        <v>7.3</v>
      </c>
      <c r="AA891" s="93" t="n">
        <f aca="false">IFERROR(((N891)*(Z891/1000))+P891,0)</f>
        <v>17.0236</v>
      </c>
      <c r="AB891" s="94" t="n">
        <f aca="false">IFERROR((O891*(Z891/1000)/(AA891))," ")</f>
        <v>0.994854202401372</v>
      </c>
      <c r="AC891" s="95" t="n">
        <f aca="false">IFERROR((T891)/((T891)+O891),0)</f>
        <v>0.00172117039586919</v>
      </c>
      <c r="AD891" s="96" t="n">
        <f aca="false">IFERROR(Q891/(Q891+N891),0)</f>
        <v>0</v>
      </c>
      <c r="AE891" s="91" t="n">
        <f aca="false">(N891-T891)/N891</f>
        <v>0.998284734133791</v>
      </c>
      <c r="AF891" s="97" t="n">
        <f aca="false">BR891</f>
        <v>0.666666666666667</v>
      </c>
      <c r="AG891" s="98" t="n">
        <f aca="false">K891-AF891</f>
        <v>3.83333333333333</v>
      </c>
      <c r="AH891" s="99" t="n">
        <f aca="false">IFERROR(AG891/K891," ")</f>
        <v>0.851851851851852</v>
      </c>
      <c r="AI891" s="100" t="n">
        <f aca="false">IFERROR(O891/K891,0)</f>
        <v>515.555555555556</v>
      </c>
      <c r="AJ891" s="101" t="n">
        <f aca="false">VLOOKUP(D891,'Standard Cycle time'!C:D,2,0)</f>
        <v>6</v>
      </c>
      <c r="AK891" s="101" t="n">
        <f aca="false">AG891*V891*3600/O891</f>
        <v>5.94827586206896</v>
      </c>
      <c r="AL891" s="102" t="n">
        <f aca="false">AJ891/AK891</f>
        <v>1.00869565217391</v>
      </c>
      <c r="AM891" s="99" t="n">
        <f aca="false">AE891*AL891*AH891</f>
        <v>0.857785401181628</v>
      </c>
      <c r="AN891" s="103" t="n">
        <v>0.857785401181628</v>
      </c>
      <c r="AO891" s="112"/>
      <c r="AP891" s="105" t="n">
        <v>0</v>
      </c>
      <c r="AQ891" s="105" t="n">
        <v>0</v>
      </c>
      <c r="AR891" s="105" t="n">
        <v>0</v>
      </c>
      <c r="AS891" s="105" t="n">
        <v>0</v>
      </c>
      <c r="AT891" s="105" t="n">
        <v>0</v>
      </c>
      <c r="AU891" s="105" t="n">
        <v>0</v>
      </c>
      <c r="AV891" s="105" t="n">
        <v>30</v>
      </c>
      <c r="AW891" s="105"/>
      <c r="AX891" s="105" t="n">
        <v>0</v>
      </c>
      <c r="AY891" s="105" t="n">
        <v>0</v>
      </c>
      <c r="AZ891" s="105" t="n">
        <v>10</v>
      </c>
      <c r="BA891" s="105" t="n">
        <v>0</v>
      </c>
      <c r="BB891" s="105" t="n">
        <v>0</v>
      </c>
      <c r="BC891" s="105" t="n">
        <v>0</v>
      </c>
      <c r="BD891" s="105" t="n">
        <v>0</v>
      </c>
      <c r="BE891" s="105" t="n">
        <v>0</v>
      </c>
      <c r="BF891" s="105" t="n">
        <v>0</v>
      </c>
      <c r="BG891" s="105" t="n">
        <v>0</v>
      </c>
      <c r="BH891" s="105" t="n">
        <v>0</v>
      </c>
      <c r="BI891" s="105" t="n">
        <v>0</v>
      </c>
      <c r="BJ891" s="105" t="n">
        <v>0</v>
      </c>
      <c r="BK891" s="105" t="n">
        <v>0</v>
      </c>
      <c r="BL891" s="105" t="n">
        <v>0</v>
      </c>
      <c r="BM891" s="105" t="n">
        <v>0</v>
      </c>
      <c r="BN891" s="105" t="n">
        <v>0</v>
      </c>
      <c r="BO891" s="105" t="n">
        <v>0</v>
      </c>
      <c r="BP891" s="105" t="n">
        <v>0</v>
      </c>
      <c r="BQ891" s="105" t="n">
        <v>0</v>
      </c>
      <c r="BR891" s="106" t="n">
        <v>0.666666666666667</v>
      </c>
      <c r="BS891" s="106" t="n">
        <v>0.666666666666667</v>
      </c>
      <c r="BT891" s="107"/>
      <c r="BU891" s="107"/>
      <c r="BV891" s="107"/>
      <c r="BW891" s="107"/>
      <c r="BX891" s="107"/>
      <c r="BY891" s="107"/>
      <c r="BZ891" s="107"/>
      <c r="CA891" s="107"/>
      <c r="CB891" s="107"/>
      <c r="CC891" s="107"/>
      <c r="CD891" s="107"/>
      <c r="CE891" s="107"/>
      <c r="CF891" s="107"/>
      <c r="CG891" s="107"/>
      <c r="CH891" s="107"/>
      <c r="CI891" s="107"/>
      <c r="CJ891" s="107"/>
      <c r="CK891" s="107"/>
      <c r="CL891" s="107"/>
      <c r="CM891" s="107"/>
      <c r="CN891" s="107"/>
      <c r="CO891" s="107"/>
      <c r="CP891" s="107"/>
      <c r="CQ891" s="107"/>
      <c r="CR891" s="107"/>
      <c r="CS891" s="107"/>
      <c r="CT891" s="107"/>
      <c r="CU891" s="107"/>
      <c r="CV891" s="107"/>
    </row>
    <row r="892" customFormat="false" ht="14.9" hidden="false" customHeight="false" outlineLevel="0" collapsed="false">
      <c r="A892" s="74" t="n">
        <f aca="false">MONTH(B892)</f>
        <v>10</v>
      </c>
      <c r="B892" s="135" t="n">
        <v>44480</v>
      </c>
      <c r="C892" s="128" t="s">
        <v>152</v>
      </c>
      <c r="D892" s="77" t="str">
        <f aca="false">IFERROR(VLOOKUP(E:E,'Item Data Support Sheet'!A:O,7,0),"")</f>
        <v>CAP MOLDED</v>
      </c>
      <c r="E892" s="80" t="s">
        <v>420</v>
      </c>
      <c r="F892" s="122"/>
      <c r="G892" s="137" t="s">
        <v>1595</v>
      </c>
      <c r="H892" s="79" t="str">
        <f aca="false">IFERROR(VLOOKUP(E:E,'Item Data Support Sheet'!A:O,2,0),"")</f>
        <v>CAP S TYPE MOLDED PALE BLUE</v>
      </c>
      <c r="I892" s="80" t="s">
        <v>1650</v>
      </c>
      <c r="J892" s="80" t="s">
        <v>815</v>
      </c>
      <c r="K892" s="124" t="n">
        <v>3.5</v>
      </c>
      <c r="L892" s="124" t="n">
        <v>1817</v>
      </c>
      <c r="M892" s="83" t="n">
        <v>519.142857142857</v>
      </c>
      <c r="N892" s="84" t="n">
        <f aca="false">+O892+Q892+T892+U892</f>
        <v>1700</v>
      </c>
      <c r="O892" s="85" t="n">
        <v>1700</v>
      </c>
      <c r="P892" s="86" t="n">
        <v>0</v>
      </c>
      <c r="Q892" s="86" t="n">
        <v>0</v>
      </c>
      <c r="R892" s="132" t="n">
        <v>0</v>
      </c>
      <c r="S892" s="128" t="n">
        <v>0</v>
      </c>
      <c r="T892" s="132" t="n">
        <v>0</v>
      </c>
      <c r="U892" s="128" t="n">
        <v>0</v>
      </c>
      <c r="V892" s="128" t="n">
        <v>1</v>
      </c>
      <c r="W892" s="90" t="n">
        <f aca="false">IFERROR(O892/V892,0)</f>
        <v>1700</v>
      </c>
      <c r="X892" s="91" t="n">
        <f aca="false">O892/L892</f>
        <v>0.935608145294441</v>
      </c>
      <c r="Y892" s="92" t="str">
        <f aca="false">IFERROR(VLOOKUP(E:E,'Item Data Support Sheet'!A:J,6,0),0)</f>
        <v>RM000115</v>
      </c>
      <c r="Z892" s="93" t="n">
        <f aca="false">IFERROR(VLOOKUP(E:E,'Item Data Support Sheet'!A:O,4,0),0)</f>
        <v>7.3</v>
      </c>
      <c r="AA892" s="93" t="n">
        <f aca="false">IFERROR(((N892)*(Z892/1000))+P892,0)</f>
        <v>12.41</v>
      </c>
      <c r="AB892" s="94" t="n">
        <f aca="false">IFERROR((O892*(Z892/1000)/(AA892))," ")</f>
        <v>1</v>
      </c>
      <c r="AC892" s="95" t="n">
        <f aca="false">IFERROR((T892)/((T892)+O892),0)</f>
        <v>0</v>
      </c>
      <c r="AD892" s="96" t="n">
        <f aca="false">IFERROR(Q892/(Q892+N892),0)</f>
        <v>0</v>
      </c>
      <c r="AE892" s="91" t="n">
        <f aca="false">(N892-T892)/N892</f>
        <v>1</v>
      </c>
      <c r="AF892" s="97" t="n">
        <f aca="false">BR892</f>
        <v>0.833333333333333</v>
      </c>
      <c r="AG892" s="98" t="n">
        <f aca="false">K892-AF892</f>
        <v>2.66666666666667</v>
      </c>
      <c r="AH892" s="99" t="n">
        <f aca="false">IFERROR(AG892/K892," ")</f>
        <v>0.761904761904762</v>
      </c>
      <c r="AI892" s="100" t="n">
        <f aca="false">IFERROR(O892/K892,0)</f>
        <v>485.714285714286</v>
      </c>
      <c r="AJ892" s="101" t="n">
        <f aca="false">VLOOKUP(D892,'Standard Cycle time'!C:D,2,0)</f>
        <v>6</v>
      </c>
      <c r="AK892" s="101" t="n">
        <f aca="false">AG892*V892*3600/O892</f>
        <v>5.64705882352941</v>
      </c>
      <c r="AL892" s="102" t="n">
        <f aca="false">AJ892/AK892</f>
        <v>1.0625</v>
      </c>
      <c r="AM892" s="99" t="n">
        <f aca="false">AE892*AL892*AH892</f>
        <v>0.809523809523809</v>
      </c>
      <c r="AN892" s="103" t="n">
        <v>0.80952380952381</v>
      </c>
      <c r="AO892" s="112"/>
      <c r="AP892" s="105" t="n">
        <v>0</v>
      </c>
      <c r="AQ892" s="105" t="n">
        <v>0</v>
      </c>
      <c r="AR892" s="105" t="n">
        <v>0</v>
      </c>
      <c r="AS892" s="105" t="n">
        <v>0</v>
      </c>
      <c r="AT892" s="105" t="n">
        <v>0</v>
      </c>
      <c r="AU892" s="105" t="n">
        <v>0</v>
      </c>
      <c r="AV892" s="105" t="n">
        <v>30</v>
      </c>
      <c r="AW892" s="105" t="n">
        <v>0</v>
      </c>
      <c r="AX892" s="105" t="n">
        <v>0</v>
      </c>
      <c r="AY892" s="105" t="n">
        <v>0</v>
      </c>
      <c r="AZ892" s="105" t="n">
        <v>20</v>
      </c>
      <c r="BA892" s="105" t="n">
        <v>0</v>
      </c>
      <c r="BB892" s="105" t="n">
        <v>0</v>
      </c>
      <c r="BC892" s="105" t="n">
        <v>0</v>
      </c>
      <c r="BD892" s="105" t="n">
        <v>0</v>
      </c>
      <c r="BE892" s="105" t="n">
        <v>0</v>
      </c>
      <c r="BF892" s="105" t="n">
        <v>0</v>
      </c>
      <c r="BG892" s="105" t="n">
        <v>0</v>
      </c>
      <c r="BH892" s="105" t="n">
        <v>0</v>
      </c>
      <c r="BI892" s="105" t="n">
        <v>0</v>
      </c>
      <c r="BJ892" s="105" t="n">
        <v>0</v>
      </c>
      <c r="BK892" s="105" t="n">
        <v>0</v>
      </c>
      <c r="BL892" s="105" t="n">
        <v>0</v>
      </c>
      <c r="BM892" s="105" t="n">
        <v>0</v>
      </c>
      <c r="BN892" s="105" t="n">
        <v>0</v>
      </c>
      <c r="BO892" s="105" t="n">
        <v>0</v>
      </c>
      <c r="BP892" s="105" t="n">
        <v>0</v>
      </c>
      <c r="BQ892" s="105" t="n">
        <v>0</v>
      </c>
      <c r="BR892" s="106" t="n">
        <v>0.833333333333333</v>
      </c>
      <c r="BS892" s="106" t="n">
        <v>0.833333333333333</v>
      </c>
      <c r="BT892" s="107"/>
      <c r="BU892" s="107"/>
      <c r="BV892" s="107"/>
      <c r="BW892" s="107"/>
      <c r="BX892" s="107"/>
      <c r="BY892" s="107"/>
      <c r="BZ892" s="107"/>
      <c r="CA892" s="107"/>
      <c r="CB892" s="107"/>
      <c r="CC892" s="107"/>
      <c r="CD892" s="107"/>
      <c r="CE892" s="107"/>
      <c r="CF892" s="107"/>
      <c r="CG892" s="107"/>
      <c r="CH892" s="107"/>
      <c r="CI892" s="107"/>
      <c r="CJ892" s="107"/>
      <c r="CK892" s="107"/>
      <c r="CL892" s="107"/>
      <c r="CM892" s="107"/>
      <c r="CN892" s="107"/>
      <c r="CO892" s="107"/>
      <c r="CP892" s="107"/>
      <c r="CQ892" s="107"/>
      <c r="CR892" s="107"/>
      <c r="CS892" s="107"/>
      <c r="CT892" s="107"/>
      <c r="CU892" s="107"/>
      <c r="CV892" s="107"/>
    </row>
    <row r="893" customFormat="false" ht="14.9" hidden="false" customHeight="false" outlineLevel="0" collapsed="false">
      <c r="A893" s="74" t="n">
        <f aca="false">MONTH(B893)</f>
        <v>10</v>
      </c>
      <c r="B893" s="135" t="n">
        <v>44480</v>
      </c>
      <c r="C893" s="128" t="s">
        <v>152</v>
      </c>
      <c r="D893" s="77" t="str">
        <f aca="false">IFERROR(VLOOKUP(E:E,'Item Data Support Sheet'!A:O,7,0),"")</f>
        <v>NIPPLE MOLDED</v>
      </c>
      <c r="E893" s="80" t="s">
        <v>661</v>
      </c>
      <c r="F893" s="122" t="s">
        <v>137</v>
      </c>
      <c r="G893" s="137" t="s">
        <v>138</v>
      </c>
      <c r="H893" s="79" t="str">
        <f aca="false">IFERROR(VLOOKUP(E:E,'Item Data Support Sheet'!A:O,2,0),"")</f>
        <v>NIPPLE S TYPE L SIZE INJECTION</v>
      </c>
      <c r="I893" s="80" t="s">
        <v>1651</v>
      </c>
      <c r="J893" s="80" t="s">
        <v>815</v>
      </c>
      <c r="K893" s="124" t="n">
        <v>8</v>
      </c>
      <c r="L893" s="124" t="n">
        <v>4815</v>
      </c>
      <c r="M893" s="83" t="n">
        <v>601.875</v>
      </c>
      <c r="N893" s="84" t="n">
        <f aca="false">+O893+Q893+T893+U893</f>
        <v>5487</v>
      </c>
      <c r="O893" s="85" t="n">
        <v>5400</v>
      </c>
      <c r="P893" s="86" t="n">
        <v>0</v>
      </c>
      <c r="Q893" s="86" t="n">
        <v>23</v>
      </c>
      <c r="R893" s="132" t="n">
        <v>0</v>
      </c>
      <c r="S893" s="128" t="n">
        <v>0</v>
      </c>
      <c r="T893" s="132" t="n">
        <v>56</v>
      </c>
      <c r="U893" s="128" t="n">
        <v>8</v>
      </c>
      <c r="V893" s="128" t="n">
        <v>1</v>
      </c>
      <c r="W893" s="90" t="n">
        <f aca="false">IFERROR(O893/V893,0)</f>
        <v>5400</v>
      </c>
      <c r="X893" s="91" t="n">
        <f aca="false">O893/L893</f>
        <v>1.1214953271028</v>
      </c>
      <c r="Y893" s="92" t="str">
        <f aca="false">IFERROR(VLOOKUP(E:E,'Item Data Support Sheet'!A:J,6,0),0)</f>
        <v>Silicon</v>
      </c>
      <c r="Z893" s="93" t="n">
        <f aca="false">IFERROR(VLOOKUP(E:E,'Item Data Support Sheet'!A:O,4,0),0)</f>
        <v>6.8</v>
      </c>
      <c r="AA893" s="93" t="n">
        <f aca="false">IFERROR(((N893)*(Z893/1000))+P893,0)</f>
        <v>37.3116</v>
      </c>
      <c r="AB893" s="94" t="n">
        <f aca="false">IFERROR((O893*(Z893/1000)/(AA893))," ")</f>
        <v>0.984144341170038</v>
      </c>
      <c r="AC893" s="95" t="n">
        <f aca="false">IFERROR((T893)/((T893)+O893),0)</f>
        <v>0.0102639296187683</v>
      </c>
      <c r="AD893" s="96" t="n">
        <f aca="false">IFERROR(Q893/(Q893+N893),0)</f>
        <v>0.00417422867513612</v>
      </c>
      <c r="AE893" s="91" t="n">
        <f aca="false">(N893-T893)/N893</f>
        <v>0.989794058684163</v>
      </c>
      <c r="AF893" s="97" t="n">
        <f aca="false">BR893</f>
        <v>0</v>
      </c>
      <c r="AG893" s="98" t="n">
        <f aca="false">K893-AF893</f>
        <v>8</v>
      </c>
      <c r="AH893" s="99" t="n">
        <f aca="false">IFERROR(AG893/K893," ")</f>
        <v>1</v>
      </c>
      <c r="AI893" s="100" t="n">
        <f aca="false">IFERROR(O893/K893,0)</f>
        <v>675</v>
      </c>
      <c r="AJ893" s="101" t="n">
        <f aca="false">VLOOKUP(D893,'Standard Cycle time'!C:D,2,0)</f>
        <v>5.25</v>
      </c>
      <c r="AK893" s="101" t="n">
        <f aca="false">AG893*V893*3600/O893</f>
        <v>5.33333333333333</v>
      </c>
      <c r="AL893" s="102" t="n">
        <f aca="false">AJ893/AK893</f>
        <v>0.984375</v>
      </c>
      <c r="AM893" s="99" t="n">
        <f aca="false">AE893*AL893*AH893</f>
        <v>0.974328526517223</v>
      </c>
      <c r="AN893" s="103" t="n">
        <v>0.974328526517222</v>
      </c>
      <c r="AO893" s="112"/>
      <c r="AP893" s="105" t="n">
        <v>0</v>
      </c>
      <c r="AQ893" s="105" t="n">
        <v>0</v>
      </c>
      <c r="AR893" s="105" t="n">
        <v>0</v>
      </c>
      <c r="AS893" s="105" t="n">
        <v>0</v>
      </c>
      <c r="AT893" s="105" t="n">
        <v>0</v>
      </c>
      <c r="AU893" s="105" t="n">
        <v>0</v>
      </c>
      <c r="AV893" s="105" t="n">
        <v>0</v>
      </c>
      <c r="AW893" s="105" t="n">
        <v>0</v>
      </c>
      <c r="AX893" s="105" t="n">
        <v>0</v>
      </c>
      <c r="AY893" s="105" t="n">
        <v>0</v>
      </c>
      <c r="AZ893" s="105" t="n">
        <v>0</v>
      </c>
      <c r="BA893" s="105" t="n">
        <v>0</v>
      </c>
      <c r="BB893" s="105" t="n">
        <v>0</v>
      </c>
      <c r="BC893" s="105" t="n">
        <v>0</v>
      </c>
      <c r="BD893" s="105" t="n">
        <v>0</v>
      </c>
      <c r="BE893" s="105" t="n">
        <v>0</v>
      </c>
      <c r="BF893" s="105" t="n">
        <v>0</v>
      </c>
      <c r="BG893" s="105" t="n">
        <v>0</v>
      </c>
      <c r="BH893" s="105" t="n">
        <v>0</v>
      </c>
      <c r="BI893" s="105" t="n">
        <v>0</v>
      </c>
      <c r="BJ893" s="105" t="n">
        <v>0</v>
      </c>
      <c r="BK893" s="105" t="n">
        <v>0</v>
      </c>
      <c r="BL893" s="105" t="n">
        <v>0</v>
      </c>
      <c r="BM893" s="105" t="n">
        <v>0</v>
      </c>
      <c r="BN893" s="105" t="n">
        <v>0</v>
      </c>
      <c r="BO893" s="105" t="n">
        <v>0</v>
      </c>
      <c r="BP893" s="105" t="n">
        <v>0</v>
      </c>
      <c r="BQ893" s="105" t="n">
        <v>0</v>
      </c>
      <c r="BR893" s="106" t="n">
        <v>0</v>
      </c>
      <c r="BS893" s="106" t="n">
        <v>0</v>
      </c>
      <c r="BT893" s="107"/>
      <c r="BU893" s="107"/>
      <c r="BV893" s="107"/>
      <c r="BW893" s="107"/>
      <c r="BX893" s="107"/>
      <c r="BY893" s="107"/>
      <c r="BZ893" s="107"/>
      <c r="CA893" s="107"/>
      <c r="CB893" s="107"/>
      <c r="CC893" s="107"/>
      <c r="CD893" s="107"/>
      <c r="CE893" s="107"/>
      <c r="CF893" s="107"/>
      <c r="CG893" s="107"/>
      <c r="CH893" s="107"/>
      <c r="CI893" s="107"/>
      <c r="CJ893" s="107"/>
      <c r="CK893" s="107"/>
      <c r="CL893" s="107"/>
      <c r="CM893" s="107"/>
      <c r="CN893" s="107"/>
      <c r="CO893" s="107"/>
      <c r="CP893" s="107"/>
      <c r="CQ893" s="107"/>
      <c r="CR893" s="107"/>
      <c r="CS893" s="107"/>
      <c r="CT893" s="107"/>
      <c r="CU893" s="107"/>
      <c r="CV893" s="107"/>
    </row>
    <row r="894" customFormat="false" ht="14.9" hidden="false" customHeight="false" outlineLevel="0" collapsed="false">
      <c r="A894" s="74" t="n">
        <f aca="false">MONTH(B894)</f>
        <v>10</v>
      </c>
      <c r="B894" s="135" t="n">
        <v>44481</v>
      </c>
      <c r="C894" s="128" t="s">
        <v>51</v>
      </c>
      <c r="D894" s="77" t="str">
        <f aca="false">IFERROR(VLOOKUP(E:E,'Item Data Support Sheet'!A:O,7,0),"")</f>
        <v>BOTTLE MOLDED</v>
      </c>
      <c r="E894" s="80" t="s">
        <v>215</v>
      </c>
      <c r="F894" s="122" t="s">
        <v>216</v>
      </c>
      <c r="G894" s="137" t="s">
        <v>74</v>
      </c>
      <c r="H894" s="79" t="str">
        <f aca="false">IFERROR(VLOOKUP(E:E,'Item Data Support Sheet'!A:O,2,0),"")</f>
        <v>KPP BOTTLE 200 ML MOULDED-WMG3B</v>
      </c>
      <c r="I894" s="80" t="s">
        <v>1652</v>
      </c>
      <c r="J894" s="80" t="s">
        <v>143</v>
      </c>
      <c r="K894" s="124" t="n">
        <v>8</v>
      </c>
      <c r="L894" s="124" t="n">
        <v>2503</v>
      </c>
      <c r="M894" s="83" t="n">
        <v>312.875</v>
      </c>
      <c r="N894" s="84" t="n">
        <f aca="false">+O894+Q894+T894+U894</f>
        <v>2715</v>
      </c>
      <c r="O894" s="85" t="n">
        <v>2592</v>
      </c>
      <c r="P894" s="86" t="n">
        <v>0.3</v>
      </c>
      <c r="Q894" s="86" t="n">
        <v>55</v>
      </c>
      <c r="R894" s="132" t="n">
        <v>0</v>
      </c>
      <c r="S894" s="128" t="n">
        <v>0</v>
      </c>
      <c r="T894" s="132" t="n">
        <v>60</v>
      </c>
      <c r="U894" s="128" t="n">
        <v>8</v>
      </c>
      <c r="V894" s="128" t="n">
        <v>1</v>
      </c>
      <c r="W894" s="90" t="n">
        <f aca="false">IFERROR(O894/V894,0)</f>
        <v>2592</v>
      </c>
      <c r="X894" s="91" t="n">
        <f aca="false">O894/L894</f>
        <v>1.03555733120256</v>
      </c>
      <c r="Y894" s="92" t="str">
        <f aca="false">IFERROR(VLOOKUP(E:E,'Item Data Support Sheet'!A:J,6,0),0)</f>
        <v>WMG3B</v>
      </c>
      <c r="Z894" s="93" t="n">
        <f aca="false">IFERROR(VLOOKUP(E:E,'Item Data Support Sheet'!A:O,4,0),0)</f>
        <v>28.6</v>
      </c>
      <c r="AA894" s="93" t="n">
        <f aca="false">IFERROR(((N894)*(Z894/1000))+P894,0)</f>
        <v>77.949</v>
      </c>
      <c r="AB894" s="94" t="n">
        <f aca="false">IFERROR((O894*(Z894/1000)/(AA894))," ")</f>
        <v>0.951021821960513</v>
      </c>
      <c r="AC894" s="95" t="n">
        <f aca="false">IFERROR((T894)/((T894)+O894),0)</f>
        <v>0.0226244343891403</v>
      </c>
      <c r="AD894" s="96" t="n">
        <f aca="false">IFERROR(Q894/(Q894+N894),0)</f>
        <v>0.01985559566787</v>
      </c>
      <c r="AE894" s="91" t="n">
        <f aca="false">(N894-T894)/N894</f>
        <v>0.977900552486188</v>
      </c>
      <c r="AF894" s="97" t="n">
        <f aca="false">BR894</f>
        <v>0.833333333333333</v>
      </c>
      <c r="AG894" s="98" t="n">
        <f aca="false">K894-AF894</f>
        <v>7.16666666666667</v>
      </c>
      <c r="AH894" s="99" t="n">
        <f aca="false">IFERROR(AG894/K894," ")</f>
        <v>0.895833333333333</v>
      </c>
      <c r="AI894" s="100" t="n">
        <f aca="false">IFERROR(O894/K894,0)</f>
        <v>324</v>
      </c>
      <c r="AJ894" s="101" t="n">
        <f aca="false">VLOOKUP(D894,'Standard Cycle time'!C:D,2,0)</f>
        <v>9</v>
      </c>
      <c r="AK894" s="101" t="n">
        <f aca="false">AG894*V894*3600/O894</f>
        <v>9.9537037037037</v>
      </c>
      <c r="AL894" s="102" t="n">
        <f aca="false">AJ894/AK894</f>
        <v>0.904186046511628</v>
      </c>
      <c r="AM894" s="99" t="n">
        <f aca="false">AE894*AL894*AH894</f>
        <v>0.792099447513812</v>
      </c>
      <c r="AN894" s="103" t="n">
        <v>0.792099447513812</v>
      </c>
      <c r="AO894" s="112"/>
      <c r="AP894" s="105" t="n">
        <v>0</v>
      </c>
      <c r="AQ894" s="105" t="n">
        <v>0</v>
      </c>
      <c r="AR894" s="105" t="n">
        <v>0</v>
      </c>
      <c r="AS894" s="105" t="n">
        <v>0</v>
      </c>
      <c r="AT894" s="105" t="n">
        <v>0</v>
      </c>
      <c r="AU894" s="105" t="n">
        <v>0</v>
      </c>
      <c r="AV894" s="105" t="n">
        <v>30</v>
      </c>
      <c r="AW894" s="105" t="n">
        <v>20</v>
      </c>
      <c r="AX894" s="105" t="n">
        <v>0</v>
      </c>
      <c r="AY894" s="105" t="n">
        <v>0</v>
      </c>
      <c r="AZ894" s="105" t="n">
        <v>0</v>
      </c>
      <c r="BA894" s="105" t="n">
        <v>0</v>
      </c>
      <c r="BB894" s="105" t="n">
        <v>0</v>
      </c>
      <c r="BC894" s="105" t="n">
        <v>0</v>
      </c>
      <c r="BD894" s="105" t="n">
        <v>0</v>
      </c>
      <c r="BE894" s="105" t="n">
        <v>0</v>
      </c>
      <c r="BF894" s="105" t="n">
        <v>0</v>
      </c>
      <c r="BG894" s="105" t="n">
        <v>0</v>
      </c>
      <c r="BH894" s="105" t="n">
        <v>0</v>
      </c>
      <c r="BI894" s="105" t="n">
        <v>0</v>
      </c>
      <c r="BJ894" s="105" t="n">
        <v>0</v>
      </c>
      <c r="BK894" s="105" t="n">
        <v>0</v>
      </c>
      <c r="BL894" s="105" t="n">
        <v>0</v>
      </c>
      <c r="BM894" s="105" t="n">
        <v>0</v>
      </c>
      <c r="BN894" s="105" t="n">
        <v>0</v>
      </c>
      <c r="BO894" s="105" t="n">
        <v>0</v>
      </c>
      <c r="BP894" s="105" t="n">
        <v>0</v>
      </c>
      <c r="BQ894" s="105" t="n">
        <v>0</v>
      </c>
      <c r="BR894" s="106" t="n">
        <v>0.833333333333333</v>
      </c>
      <c r="BS894" s="106" t="n">
        <v>0.833333333333333</v>
      </c>
      <c r="BT894" s="107"/>
      <c r="BU894" s="107"/>
      <c r="BV894" s="107"/>
      <c r="BW894" s="107"/>
      <c r="BX894" s="107"/>
      <c r="BY894" s="107"/>
      <c r="BZ894" s="107"/>
      <c r="CA894" s="107"/>
      <c r="CB894" s="107"/>
      <c r="CC894" s="107"/>
      <c r="CD894" s="107"/>
      <c r="CE894" s="107"/>
      <c r="CF894" s="107"/>
      <c r="CG894" s="107"/>
      <c r="CH894" s="107"/>
      <c r="CI894" s="107"/>
      <c r="CJ894" s="107"/>
      <c r="CK894" s="107"/>
      <c r="CL894" s="107"/>
      <c r="CM894" s="107"/>
      <c r="CN894" s="107"/>
      <c r="CO894" s="107"/>
      <c r="CP894" s="107"/>
      <c r="CQ894" s="107"/>
      <c r="CR894" s="107"/>
      <c r="CS894" s="107"/>
      <c r="CT894" s="107"/>
      <c r="CU894" s="107"/>
      <c r="CV894" s="107"/>
    </row>
    <row r="895" customFormat="false" ht="14.9" hidden="false" customHeight="false" outlineLevel="0" collapsed="false">
      <c r="A895" s="74" t="n">
        <f aca="false">MONTH(B895)</f>
        <v>10</v>
      </c>
      <c r="B895" s="135" t="n">
        <v>44481</v>
      </c>
      <c r="C895" s="128" t="s">
        <v>51</v>
      </c>
      <c r="D895" s="77" t="str">
        <f aca="false">IFERROR(VLOOKUP(E:E,'Item Data Support Sheet'!A:O,7,0),"")</f>
        <v>NIPPLE MOLDED</v>
      </c>
      <c r="E895" s="80" t="s">
        <v>661</v>
      </c>
      <c r="F895" s="122" t="s">
        <v>137</v>
      </c>
      <c r="G895" s="137" t="s">
        <v>138</v>
      </c>
      <c r="H895" s="79" t="str">
        <f aca="false">IFERROR(VLOOKUP(E:E,'Item Data Support Sheet'!A:O,2,0),"")</f>
        <v>NIPPLE S TYPE L SIZE INJECTION</v>
      </c>
      <c r="I895" s="80" t="s">
        <v>1653</v>
      </c>
      <c r="J895" s="80" t="s">
        <v>143</v>
      </c>
      <c r="K895" s="124" t="n">
        <v>8</v>
      </c>
      <c r="L895" s="124" t="n">
        <v>4815</v>
      </c>
      <c r="M895" s="83" t="n">
        <v>601.875</v>
      </c>
      <c r="N895" s="84" t="n">
        <f aca="false">+O895+Q895+T895+U895</f>
        <v>5400</v>
      </c>
      <c r="O895" s="85" t="n">
        <v>5350</v>
      </c>
      <c r="P895" s="86" t="n">
        <v>0</v>
      </c>
      <c r="Q895" s="86" t="n">
        <v>0</v>
      </c>
      <c r="R895" s="132" t="n">
        <v>0</v>
      </c>
      <c r="S895" s="128" t="n">
        <v>0</v>
      </c>
      <c r="T895" s="132" t="n">
        <v>42</v>
      </c>
      <c r="U895" s="128" t="n">
        <v>8</v>
      </c>
      <c r="V895" s="128" t="n">
        <v>1</v>
      </c>
      <c r="W895" s="90" t="n">
        <f aca="false">IFERROR(O895/V895,0)</f>
        <v>5350</v>
      </c>
      <c r="X895" s="91" t="n">
        <f aca="false">O895/L895</f>
        <v>1.11111111111111</v>
      </c>
      <c r="Y895" s="92" t="str">
        <f aca="false">IFERROR(VLOOKUP(E:E,'Item Data Support Sheet'!A:J,6,0),0)</f>
        <v>Silicon</v>
      </c>
      <c r="Z895" s="93" t="n">
        <f aca="false">IFERROR(VLOOKUP(E:E,'Item Data Support Sheet'!A:O,4,0),0)</f>
        <v>6.8</v>
      </c>
      <c r="AA895" s="93" t="n">
        <f aca="false">IFERROR(((N895)*(Z895/1000))+P895,0)</f>
        <v>36.72</v>
      </c>
      <c r="AB895" s="94" t="n">
        <f aca="false">IFERROR((O895*(Z895/1000)/(AA895))," ")</f>
        <v>0.990740740740741</v>
      </c>
      <c r="AC895" s="95" t="n">
        <f aca="false">IFERROR((T895)/((T895)+O895),0)</f>
        <v>0.0077893175074184</v>
      </c>
      <c r="AD895" s="96" t="n">
        <f aca="false">IFERROR(Q895/(Q895+N895),0)</f>
        <v>0</v>
      </c>
      <c r="AE895" s="91" t="n">
        <f aca="false">(N895-T895)/N895</f>
        <v>0.992222222222222</v>
      </c>
      <c r="AF895" s="97" t="n">
        <f aca="false">BR895</f>
        <v>0</v>
      </c>
      <c r="AG895" s="98" t="n">
        <f aca="false">K895-AF895</f>
        <v>8</v>
      </c>
      <c r="AH895" s="99" t="n">
        <f aca="false">IFERROR(AG895/K895," ")</f>
        <v>1</v>
      </c>
      <c r="AI895" s="100" t="n">
        <f aca="false">IFERROR(O895/K895,0)</f>
        <v>668.75</v>
      </c>
      <c r="AJ895" s="101" t="n">
        <f aca="false">VLOOKUP(D895,'Standard Cycle time'!C:D,2,0)</f>
        <v>5.25</v>
      </c>
      <c r="AK895" s="101" t="n">
        <f aca="false">AG895*V895*3600/O895</f>
        <v>5.38317757009346</v>
      </c>
      <c r="AL895" s="102" t="n">
        <f aca="false">AJ895/AK895</f>
        <v>0.975260416666667</v>
      </c>
      <c r="AM895" s="99" t="n">
        <f aca="false">AE895*AL895*AH895</f>
        <v>0.96767505787037</v>
      </c>
      <c r="AN895" s="103" t="n">
        <v>0.96767505787037</v>
      </c>
      <c r="AO895" s="112"/>
      <c r="AP895" s="105" t="n">
        <v>0</v>
      </c>
      <c r="AQ895" s="105" t="n">
        <v>0</v>
      </c>
      <c r="AR895" s="105" t="n">
        <v>0</v>
      </c>
      <c r="AS895" s="105" t="n">
        <v>0</v>
      </c>
      <c r="AT895" s="105" t="n">
        <v>0</v>
      </c>
      <c r="AU895" s="105" t="n">
        <v>0</v>
      </c>
      <c r="AV895" s="105" t="n">
        <v>0</v>
      </c>
      <c r="AW895" s="105" t="n">
        <v>0</v>
      </c>
      <c r="AX895" s="105" t="n">
        <v>0</v>
      </c>
      <c r="AY895" s="105" t="n">
        <v>0</v>
      </c>
      <c r="AZ895" s="105" t="n">
        <v>0</v>
      </c>
      <c r="BA895" s="105" t="n">
        <v>0</v>
      </c>
      <c r="BB895" s="105" t="n">
        <v>0</v>
      </c>
      <c r="BC895" s="105" t="n">
        <v>0</v>
      </c>
      <c r="BD895" s="105" t="n">
        <v>0</v>
      </c>
      <c r="BE895" s="105" t="n">
        <v>0</v>
      </c>
      <c r="BF895" s="105" t="n">
        <v>0</v>
      </c>
      <c r="BG895" s="105" t="n">
        <v>0</v>
      </c>
      <c r="BH895" s="105" t="n">
        <v>0</v>
      </c>
      <c r="BI895" s="105" t="n">
        <v>0</v>
      </c>
      <c r="BJ895" s="105" t="n">
        <v>0</v>
      </c>
      <c r="BK895" s="105" t="n">
        <v>0</v>
      </c>
      <c r="BL895" s="105" t="n">
        <v>0</v>
      </c>
      <c r="BM895" s="105" t="n">
        <v>0</v>
      </c>
      <c r="BN895" s="105" t="n">
        <v>0</v>
      </c>
      <c r="BO895" s="105" t="n">
        <v>0</v>
      </c>
      <c r="BP895" s="105" t="n">
        <v>0</v>
      </c>
      <c r="BQ895" s="105" t="n">
        <v>0</v>
      </c>
      <c r="BR895" s="106" t="n">
        <v>0</v>
      </c>
      <c r="BS895" s="106" t="n">
        <v>0</v>
      </c>
      <c r="BT895" s="107"/>
      <c r="BU895" s="107"/>
      <c r="BV895" s="107"/>
      <c r="BW895" s="107"/>
      <c r="BX895" s="107"/>
      <c r="BY895" s="107"/>
      <c r="BZ895" s="107"/>
      <c r="CA895" s="107"/>
      <c r="CB895" s="107"/>
      <c r="CC895" s="107"/>
      <c r="CD895" s="107"/>
      <c r="CE895" s="107"/>
      <c r="CF895" s="107"/>
      <c r="CG895" s="107"/>
      <c r="CH895" s="107"/>
      <c r="CI895" s="107"/>
      <c r="CJ895" s="107"/>
      <c r="CK895" s="107"/>
      <c r="CL895" s="107"/>
      <c r="CM895" s="107"/>
      <c r="CN895" s="107"/>
      <c r="CO895" s="107"/>
      <c r="CP895" s="107"/>
      <c r="CQ895" s="107"/>
      <c r="CR895" s="107"/>
      <c r="CS895" s="107"/>
      <c r="CT895" s="107"/>
      <c r="CU895" s="107"/>
      <c r="CV895" s="107"/>
    </row>
    <row r="896" customFormat="false" ht="14.9" hidden="false" customHeight="false" outlineLevel="0" collapsed="false">
      <c r="A896" s="74" t="n">
        <f aca="false">MONTH(B896)</f>
        <v>10</v>
      </c>
      <c r="B896" s="135" t="n">
        <v>44481</v>
      </c>
      <c r="C896" s="128" t="s">
        <v>51</v>
      </c>
      <c r="D896" s="77" t="str">
        <f aca="false">IFERROR(VLOOKUP(E:E,'Item Data Support Sheet'!A:O,7,0),"")</f>
        <v>CAP MOLDED</v>
      </c>
      <c r="E896" s="80" t="s">
        <v>420</v>
      </c>
      <c r="F896" s="122"/>
      <c r="G896" s="137" t="s">
        <v>1595</v>
      </c>
      <c r="H896" s="79" t="str">
        <f aca="false">IFERROR(VLOOKUP(E:E,'Item Data Support Sheet'!A:O,2,0),"")</f>
        <v>CAP S TYPE MOLDED PALE BLUE</v>
      </c>
      <c r="I896" s="80" t="s">
        <v>1654</v>
      </c>
      <c r="J896" s="80" t="s">
        <v>143</v>
      </c>
      <c r="K896" s="124" t="n">
        <v>8</v>
      </c>
      <c r="L896" s="124" t="n">
        <v>4137</v>
      </c>
      <c r="M896" s="83" t="n">
        <v>517.125</v>
      </c>
      <c r="N896" s="84" t="n">
        <f aca="false">+O896+Q896+T896+U896</f>
        <v>4208</v>
      </c>
      <c r="O896" s="85" t="n">
        <v>4200</v>
      </c>
      <c r="P896" s="86" t="n">
        <v>0</v>
      </c>
      <c r="Q896" s="86" t="n">
        <v>0</v>
      </c>
      <c r="R896" s="132" t="n">
        <v>0</v>
      </c>
      <c r="S896" s="128" t="n">
        <v>0</v>
      </c>
      <c r="T896" s="132" t="n">
        <v>0</v>
      </c>
      <c r="U896" s="128" t="n">
        <v>8</v>
      </c>
      <c r="V896" s="128" t="n">
        <v>1</v>
      </c>
      <c r="W896" s="90" t="n">
        <f aca="false">IFERROR(O896/V896,0)</f>
        <v>4200</v>
      </c>
      <c r="X896" s="91" t="n">
        <f aca="false">O896/L896</f>
        <v>1.01522842639594</v>
      </c>
      <c r="Y896" s="92" t="str">
        <f aca="false">IFERROR(VLOOKUP(E:E,'Item Data Support Sheet'!A:J,6,0),0)</f>
        <v>RM000115</v>
      </c>
      <c r="Z896" s="93" t="n">
        <f aca="false">IFERROR(VLOOKUP(E:E,'Item Data Support Sheet'!A:O,4,0),0)</f>
        <v>7.3</v>
      </c>
      <c r="AA896" s="93" t="n">
        <f aca="false">IFERROR(((N896)*(Z896/1000))+P896,0)</f>
        <v>30.7184</v>
      </c>
      <c r="AB896" s="94" t="n">
        <f aca="false">IFERROR((O896*(Z896/1000)/(AA896))," ")</f>
        <v>0.998098859315589</v>
      </c>
      <c r="AC896" s="95" t="n">
        <f aca="false">IFERROR((T896)/((T896)+O896),0)</f>
        <v>0</v>
      </c>
      <c r="AD896" s="96" t="n">
        <f aca="false">IFERROR(Q896/(Q896+N896),0)</f>
        <v>0</v>
      </c>
      <c r="AE896" s="91" t="n">
        <f aca="false">(N896-T896)/N896</f>
        <v>1</v>
      </c>
      <c r="AF896" s="97" t="n">
        <f aca="false">BR896</f>
        <v>0.833333333333333</v>
      </c>
      <c r="AG896" s="98" t="n">
        <f aca="false">K896-AF896</f>
        <v>7.16666666666667</v>
      </c>
      <c r="AH896" s="99" t="n">
        <f aca="false">IFERROR(AG896/K896," ")</f>
        <v>0.895833333333333</v>
      </c>
      <c r="AI896" s="100" t="n">
        <f aca="false">IFERROR(O896/K896,0)</f>
        <v>525</v>
      </c>
      <c r="AJ896" s="101" t="n">
        <f aca="false">VLOOKUP(D896,'Standard Cycle time'!C:D,2,0)</f>
        <v>6</v>
      </c>
      <c r="AK896" s="101" t="n">
        <f aca="false">AG896*V896*3600/O896</f>
        <v>6.14285714285714</v>
      </c>
      <c r="AL896" s="102" t="n">
        <f aca="false">AJ896/AK896</f>
        <v>0.976744186046512</v>
      </c>
      <c r="AM896" s="99" t="n">
        <f aca="false">AE896*AL896*AH896</f>
        <v>0.875</v>
      </c>
      <c r="AN896" s="103" t="n">
        <v>0.875</v>
      </c>
      <c r="AO896" s="112"/>
      <c r="AP896" s="105" t="n">
        <v>0</v>
      </c>
      <c r="AQ896" s="105" t="n">
        <v>0</v>
      </c>
      <c r="AR896" s="105" t="n">
        <v>0</v>
      </c>
      <c r="AS896" s="105" t="n">
        <v>0</v>
      </c>
      <c r="AT896" s="105" t="n">
        <v>0</v>
      </c>
      <c r="AU896" s="105" t="n">
        <v>0</v>
      </c>
      <c r="AV896" s="105" t="n">
        <v>20</v>
      </c>
      <c r="AW896" s="105" t="n">
        <v>0</v>
      </c>
      <c r="AX896" s="105" t="n">
        <v>0</v>
      </c>
      <c r="AY896" s="105" t="n">
        <v>0</v>
      </c>
      <c r="AZ896" s="105" t="n">
        <v>30</v>
      </c>
      <c r="BA896" s="105" t="n">
        <v>0</v>
      </c>
      <c r="BB896" s="105" t="n">
        <v>0</v>
      </c>
      <c r="BC896" s="105" t="n">
        <v>0</v>
      </c>
      <c r="BD896" s="105" t="n">
        <v>0</v>
      </c>
      <c r="BE896" s="105" t="n">
        <v>0</v>
      </c>
      <c r="BF896" s="105" t="n">
        <v>0</v>
      </c>
      <c r="BG896" s="105" t="n">
        <v>0</v>
      </c>
      <c r="BH896" s="105" t="n">
        <v>0</v>
      </c>
      <c r="BI896" s="105" t="n">
        <v>0</v>
      </c>
      <c r="BJ896" s="105" t="n">
        <v>0</v>
      </c>
      <c r="BK896" s="105" t="n">
        <v>0</v>
      </c>
      <c r="BL896" s="105" t="n">
        <v>0</v>
      </c>
      <c r="BM896" s="105" t="n">
        <v>0</v>
      </c>
      <c r="BN896" s="105" t="n">
        <v>0</v>
      </c>
      <c r="BO896" s="105" t="n">
        <v>0</v>
      </c>
      <c r="BP896" s="105" t="n">
        <v>0</v>
      </c>
      <c r="BQ896" s="105" t="n">
        <v>0</v>
      </c>
      <c r="BR896" s="106" t="n">
        <v>0.833333333333333</v>
      </c>
      <c r="BS896" s="106" t="n">
        <v>0.833333333333333</v>
      </c>
      <c r="BT896" s="107"/>
      <c r="BU896" s="107"/>
      <c r="BV896" s="107"/>
      <c r="BW896" s="107"/>
      <c r="BX896" s="107"/>
      <c r="BY896" s="107"/>
      <c r="BZ896" s="107"/>
      <c r="CA896" s="107"/>
      <c r="CB896" s="107"/>
      <c r="CC896" s="107"/>
      <c r="CD896" s="107"/>
      <c r="CE896" s="107"/>
      <c r="CF896" s="107"/>
      <c r="CG896" s="107"/>
      <c r="CH896" s="107"/>
      <c r="CI896" s="107"/>
      <c r="CJ896" s="107"/>
      <c r="CK896" s="107"/>
      <c r="CL896" s="107"/>
      <c r="CM896" s="107"/>
      <c r="CN896" s="107"/>
      <c r="CO896" s="107"/>
      <c r="CP896" s="107"/>
      <c r="CQ896" s="107"/>
      <c r="CR896" s="107"/>
      <c r="CS896" s="107"/>
      <c r="CT896" s="107"/>
      <c r="CU896" s="107"/>
      <c r="CV896" s="107"/>
    </row>
    <row r="897" customFormat="false" ht="14.9" hidden="false" customHeight="false" outlineLevel="0" collapsed="false">
      <c r="A897" s="74" t="n">
        <f aca="false">MONTH(B897)</f>
        <v>10</v>
      </c>
      <c r="B897" s="135" t="n">
        <v>44481</v>
      </c>
      <c r="C897" s="128" t="s">
        <v>51</v>
      </c>
      <c r="D897" s="77" t="str">
        <f aca="false">IFERROR(VLOOKUP(E:E,'Item Data Support Sheet'!A:O,7,0),"")</f>
        <v>NIPPLE PUNCH</v>
      </c>
      <c r="E897" s="80" t="s">
        <v>666</v>
      </c>
      <c r="F897" s="122"/>
      <c r="G897" s="137" t="s">
        <v>54</v>
      </c>
      <c r="H897" s="79" t="str">
        <f aca="false">IFERROR(VLOOKUP(E:E,'Item Data Support Sheet'!A:O,2,0),"")</f>
        <v>NIPPLE S TYPE L SIZE PUNCHED</v>
      </c>
      <c r="I897" s="80" t="s">
        <v>1655</v>
      </c>
      <c r="J897" s="80" t="s">
        <v>143</v>
      </c>
      <c r="K897" s="124" t="n">
        <v>8</v>
      </c>
      <c r="L897" s="124" t="n">
        <v>7000</v>
      </c>
      <c r="M897" s="83" t="n">
        <v>875</v>
      </c>
      <c r="N897" s="84" t="n">
        <f aca="false">+O897+Q897+T897+U897</f>
        <v>6700</v>
      </c>
      <c r="O897" s="85" t="n">
        <v>6700</v>
      </c>
      <c r="P897" s="86" t="n">
        <v>0</v>
      </c>
      <c r="Q897" s="86" t="n">
        <v>0</v>
      </c>
      <c r="R897" s="132" t="n">
        <v>0</v>
      </c>
      <c r="S897" s="128" t="n">
        <v>0</v>
      </c>
      <c r="T897" s="132" t="n">
        <v>0</v>
      </c>
      <c r="U897" s="128" t="n">
        <v>0</v>
      </c>
      <c r="V897" s="128" t="n">
        <v>1</v>
      </c>
      <c r="W897" s="90" t="n">
        <f aca="false">IFERROR(O897/V897,0)</f>
        <v>6700</v>
      </c>
      <c r="X897" s="91" t="n">
        <f aca="false">O897/L897</f>
        <v>0.957142857142857</v>
      </c>
      <c r="Y897" s="92" t="str">
        <f aca="false">IFERROR(VLOOKUP(E:E,'Item Data Support Sheet'!A:J,6,0),0)</f>
        <v>FO017</v>
      </c>
      <c r="Z897" s="93" t="n">
        <f aca="false">IFERROR(VLOOKUP(E:E,'Item Data Support Sheet'!A:O,4,0),0)</f>
        <v>0</v>
      </c>
      <c r="AA897" s="93" t="n">
        <f aca="false">IFERROR(((N897)*(Z897/1000))+P897,0)</f>
        <v>0</v>
      </c>
      <c r="AB897" s="94" t="str">
        <f aca="false">IFERROR((O897*(Z897/1000)/(AA897))," ")</f>
        <v> </v>
      </c>
      <c r="AC897" s="95" t="n">
        <f aca="false">IFERROR((T897)/((T897)+O897),0)</f>
        <v>0</v>
      </c>
      <c r="AD897" s="96" t="n">
        <f aca="false">IFERROR(Q897/(Q897+N897),0)</f>
        <v>0</v>
      </c>
      <c r="AE897" s="91" t="n">
        <f aca="false">(N897-T897)/N897</f>
        <v>1</v>
      </c>
      <c r="AF897" s="97" t="n">
        <f aca="false">BR897</f>
        <v>0.5</v>
      </c>
      <c r="AG897" s="98" t="n">
        <f aca="false">K897-AF897</f>
        <v>7.5</v>
      </c>
      <c r="AH897" s="99" t="n">
        <f aca="false">IFERROR(AG897/K897," ")</f>
        <v>0.9375</v>
      </c>
      <c r="AI897" s="100" t="n">
        <f aca="false">IFERROR(O897/K897,0)</f>
        <v>837.5</v>
      </c>
      <c r="AJ897" s="101" t="n">
        <f aca="false">VLOOKUP(D897,'Standard Cycle time'!C:D,2,0)</f>
        <v>3.5</v>
      </c>
      <c r="AK897" s="101" t="n">
        <f aca="false">AG897*V897*3600/O897</f>
        <v>4.02985074626866</v>
      </c>
      <c r="AL897" s="102" t="n">
        <f aca="false">AJ897/AK897</f>
        <v>0.868518518518519</v>
      </c>
      <c r="AM897" s="99" t="n">
        <f aca="false">AE897*AL897*AH897</f>
        <v>0.814236111111111</v>
      </c>
      <c r="AN897" s="103" t="n">
        <v>0.814236111111111</v>
      </c>
      <c r="AO897" s="112" t="s">
        <v>1656</v>
      </c>
      <c r="AP897" s="105" t="n">
        <v>0</v>
      </c>
      <c r="AQ897" s="105" t="n">
        <v>0</v>
      </c>
      <c r="AR897" s="105" t="n">
        <v>0</v>
      </c>
      <c r="AS897" s="105" t="n">
        <v>0</v>
      </c>
      <c r="AT897" s="105" t="n">
        <v>0</v>
      </c>
      <c r="AU897" s="105" t="n">
        <v>0</v>
      </c>
      <c r="AV897" s="105" t="n">
        <v>0</v>
      </c>
      <c r="AW897" s="105" t="n">
        <v>0</v>
      </c>
      <c r="AX897" s="105" t="n">
        <v>0</v>
      </c>
      <c r="AY897" s="105" t="n">
        <v>0</v>
      </c>
      <c r="AZ897" s="105" t="n">
        <v>0</v>
      </c>
      <c r="BA897" s="105" t="n">
        <v>0</v>
      </c>
      <c r="BB897" s="105" t="n">
        <v>0</v>
      </c>
      <c r="BC897" s="105" t="n">
        <v>0</v>
      </c>
      <c r="BD897" s="105" t="n">
        <v>0</v>
      </c>
      <c r="BE897" s="105" t="n">
        <v>0</v>
      </c>
      <c r="BF897" s="105" t="n">
        <v>0</v>
      </c>
      <c r="BG897" s="105" t="n">
        <v>0</v>
      </c>
      <c r="BH897" s="105" t="n">
        <v>0</v>
      </c>
      <c r="BI897" s="105" t="n">
        <v>0</v>
      </c>
      <c r="BJ897" s="105" t="n">
        <v>0</v>
      </c>
      <c r="BK897" s="105" t="n">
        <v>0</v>
      </c>
      <c r="BL897" s="105" t="n">
        <v>0</v>
      </c>
      <c r="BM897" s="105" t="n">
        <v>0</v>
      </c>
      <c r="BN897" s="105" t="n">
        <v>0</v>
      </c>
      <c r="BO897" s="105" t="n">
        <v>0</v>
      </c>
      <c r="BP897" s="105" t="n">
        <v>0</v>
      </c>
      <c r="BQ897" s="105" t="n">
        <v>30</v>
      </c>
      <c r="BR897" s="106" t="n">
        <v>0.5</v>
      </c>
      <c r="BS897" s="106" t="n">
        <v>0.5</v>
      </c>
      <c r="BT897" s="107"/>
      <c r="BU897" s="107"/>
      <c r="BV897" s="107"/>
      <c r="BW897" s="107"/>
      <c r="BX897" s="107"/>
      <c r="BY897" s="107"/>
      <c r="BZ897" s="107"/>
      <c r="CA897" s="107"/>
      <c r="CB897" s="107"/>
      <c r="CC897" s="107"/>
      <c r="CD897" s="107"/>
      <c r="CE897" s="107"/>
      <c r="CF897" s="107"/>
      <c r="CG897" s="107"/>
      <c r="CH897" s="107"/>
      <c r="CI897" s="107"/>
      <c r="CJ897" s="107"/>
      <c r="CK897" s="107"/>
      <c r="CL897" s="107"/>
      <c r="CM897" s="107"/>
      <c r="CN897" s="107"/>
      <c r="CO897" s="107"/>
      <c r="CP897" s="107"/>
      <c r="CQ897" s="107"/>
      <c r="CR897" s="107"/>
      <c r="CS897" s="107"/>
      <c r="CT897" s="107"/>
      <c r="CU897" s="107"/>
      <c r="CV897" s="107"/>
    </row>
    <row r="898" customFormat="false" ht="14.9" hidden="false" customHeight="false" outlineLevel="0" collapsed="false">
      <c r="A898" s="74" t="n">
        <f aca="false">MONTH(B898)</f>
        <v>10</v>
      </c>
      <c r="B898" s="135" t="n">
        <v>44481</v>
      </c>
      <c r="C898" s="128" t="s">
        <v>51</v>
      </c>
      <c r="D898" s="77" t="str">
        <f aca="false">IFERROR(VLOOKUP(E:E,'Item Data Support Sheet'!A:O,7,0),"")</f>
        <v>NIPPLE LASER MARKING</v>
      </c>
      <c r="E898" s="80" t="s">
        <v>681</v>
      </c>
      <c r="F898" s="122"/>
      <c r="G898" s="137" t="s">
        <v>517</v>
      </c>
      <c r="H898" s="79" t="str">
        <f aca="false">IFERROR(VLOOKUP(E:E,'Item Data Support Sheet'!A:O,2,0),"")</f>
        <v>NIPPLE S TYPE L SIZE PUNCHED LASER MARKED</v>
      </c>
      <c r="I898" s="80"/>
      <c r="J898" s="80" t="s">
        <v>143</v>
      </c>
      <c r="K898" s="124" t="n">
        <v>8</v>
      </c>
      <c r="L898" s="124" t="n">
        <v>7000</v>
      </c>
      <c r="M898" s="83" t="n">
        <v>875</v>
      </c>
      <c r="N898" s="84" t="n">
        <f aca="false">+O898+Q898+T898+U898</f>
        <v>5200</v>
      </c>
      <c r="O898" s="85" t="n">
        <v>5200</v>
      </c>
      <c r="P898" s="86" t="n">
        <v>0</v>
      </c>
      <c r="Q898" s="86" t="n">
        <v>0</v>
      </c>
      <c r="R898" s="132" t="n">
        <v>0</v>
      </c>
      <c r="S898" s="128" t="n">
        <v>0</v>
      </c>
      <c r="T898" s="132" t="n">
        <v>0</v>
      </c>
      <c r="U898" s="128" t="n">
        <v>0</v>
      </c>
      <c r="V898" s="128" t="n">
        <v>1</v>
      </c>
      <c r="W898" s="90" t="n">
        <f aca="false">IFERROR(O898/V898,0)</f>
        <v>5200</v>
      </c>
      <c r="X898" s="91" t="n">
        <f aca="false">O898/L898</f>
        <v>0.742857142857143</v>
      </c>
      <c r="Y898" s="92" t="str">
        <f aca="false">IFERROR(VLOOKUP(E:E,'Item Data Support Sheet'!A:J,6,0),0)</f>
        <v>FO021</v>
      </c>
      <c r="Z898" s="93" t="n">
        <f aca="false">IFERROR(VLOOKUP(E:E,'Item Data Support Sheet'!A:O,4,0),0)</f>
        <v>0</v>
      </c>
      <c r="AA898" s="93" t="n">
        <f aca="false">IFERROR(((N898)*(Z898/1000))+P898,0)</f>
        <v>0</v>
      </c>
      <c r="AB898" s="94" t="str">
        <f aca="false">IFERROR((O898*(Z898/1000)/(AA898))," ")</f>
        <v> </v>
      </c>
      <c r="AC898" s="95" t="n">
        <f aca="false">IFERROR((T898)/((T898)+O898),0)</f>
        <v>0</v>
      </c>
      <c r="AD898" s="96" t="n">
        <f aca="false">IFERROR(Q898/(Q898+N898),0)</f>
        <v>0</v>
      </c>
      <c r="AE898" s="91" t="n">
        <f aca="false">(N898-T898)/N898</f>
        <v>1</v>
      </c>
      <c r="AF898" s="97" t="n">
        <f aca="false">BR898</f>
        <v>2</v>
      </c>
      <c r="AG898" s="98" t="n">
        <f aca="false">K898-AF898</f>
        <v>6</v>
      </c>
      <c r="AH898" s="99" t="n">
        <f aca="false">IFERROR(AG898/K898," ")</f>
        <v>0.75</v>
      </c>
      <c r="AI898" s="100" t="n">
        <f aca="false">IFERROR(O898/K898,0)</f>
        <v>650</v>
      </c>
      <c r="AJ898" s="101" t="n">
        <f aca="false">VLOOKUP(D898,'Standard Cycle time'!C:D,2,0)</f>
        <v>3.5</v>
      </c>
      <c r="AK898" s="101" t="n">
        <f aca="false">AG898*V898*3600/O898</f>
        <v>4.15384615384615</v>
      </c>
      <c r="AL898" s="102" t="n">
        <f aca="false">AJ898/AK898</f>
        <v>0.842592592592593</v>
      </c>
      <c r="AM898" s="99" t="n">
        <f aca="false">AE898*AL898*AH898</f>
        <v>0.631944444444444</v>
      </c>
      <c r="AN898" s="103" t="n">
        <v>0.631944444444444</v>
      </c>
      <c r="AO898" s="112" t="s">
        <v>824</v>
      </c>
      <c r="AP898" s="105" t="n">
        <v>0</v>
      </c>
      <c r="AQ898" s="105" t="n">
        <v>0</v>
      </c>
      <c r="AR898" s="105" t="n">
        <v>0</v>
      </c>
      <c r="AS898" s="105" t="n">
        <v>0</v>
      </c>
      <c r="AT898" s="105" t="n">
        <v>120</v>
      </c>
      <c r="AU898" s="105" t="n">
        <v>0</v>
      </c>
      <c r="AV898" s="105" t="n">
        <v>0</v>
      </c>
      <c r="AW898" s="105" t="n">
        <v>0</v>
      </c>
      <c r="AX898" s="105" t="n">
        <v>0</v>
      </c>
      <c r="AY898" s="105" t="n">
        <v>0</v>
      </c>
      <c r="AZ898" s="105" t="n">
        <v>0</v>
      </c>
      <c r="BA898" s="105" t="n">
        <v>0</v>
      </c>
      <c r="BB898" s="105" t="n">
        <v>0</v>
      </c>
      <c r="BC898" s="105" t="n">
        <v>0</v>
      </c>
      <c r="BD898" s="105" t="n">
        <v>0</v>
      </c>
      <c r="BE898" s="105" t="n">
        <v>0</v>
      </c>
      <c r="BF898" s="105" t="n">
        <v>0</v>
      </c>
      <c r="BG898" s="105" t="n">
        <v>0</v>
      </c>
      <c r="BH898" s="105" t="n">
        <v>0</v>
      </c>
      <c r="BI898" s="105" t="n">
        <v>0</v>
      </c>
      <c r="BJ898" s="105" t="n">
        <v>0</v>
      </c>
      <c r="BK898" s="105" t="n">
        <v>0</v>
      </c>
      <c r="BL898" s="105" t="n">
        <v>0</v>
      </c>
      <c r="BM898" s="105" t="n">
        <v>0</v>
      </c>
      <c r="BN898" s="105" t="n">
        <v>0</v>
      </c>
      <c r="BO898" s="105" t="n">
        <v>0</v>
      </c>
      <c r="BP898" s="105" t="n">
        <v>0</v>
      </c>
      <c r="BQ898" s="105" t="n">
        <v>0</v>
      </c>
      <c r="BR898" s="106" t="n">
        <v>2</v>
      </c>
      <c r="BS898" s="106" t="n">
        <v>2</v>
      </c>
      <c r="BT898" s="107"/>
      <c r="BU898" s="107"/>
      <c r="BV898" s="107"/>
      <c r="BW898" s="107"/>
      <c r="BX898" s="107"/>
      <c r="BY898" s="107"/>
      <c r="BZ898" s="107"/>
      <c r="CA898" s="107"/>
      <c r="CB898" s="107"/>
      <c r="CC898" s="107"/>
      <c r="CD898" s="107"/>
      <c r="CE898" s="107"/>
      <c r="CF898" s="107"/>
      <c r="CG898" s="107"/>
      <c r="CH898" s="107"/>
      <c r="CI898" s="107"/>
      <c r="CJ898" s="107"/>
      <c r="CK898" s="107"/>
      <c r="CL898" s="107"/>
      <c r="CM898" s="107"/>
      <c r="CN898" s="107"/>
      <c r="CO898" s="107"/>
      <c r="CP898" s="107"/>
      <c r="CQ898" s="107"/>
      <c r="CR898" s="107"/>
      <c r="CS898" s="107"/>
      <c r="CT898" s="107"/>
      <c r="CU898" s="107"/>
      <c r="CV898" s="107"/>
    </row>
    <row r="899" customFormat="false" ht="14.9" hidden="false" customHeight="false" outlineLevel="0" collapsed="false">
      <c r="A899" s="74" t="n">
        <f aca="false">MONTH(B899)</f>
        <v>10</v>
      </c>
      <c r="B899" s="135" t="n">
        <v>44481</v>
      </c>
      <c r="C899" s="128" t="s">
        <v>63</v>
      </c>
      <c r="D899" s="77" t="str">
        <f aca="false">IFERROR(VLOOKUP(E:E,'Item Data Support Sheet'!A:O,7,0),"")</f>
        <v>NIPPLE WRAP PRINTED</v>
      </c>
      <c r="E899" s="80" t="s">
        <v>474</v>
      </c>
      <c r="F899" s="122"/>
      <c r="G899" s="137" t="s">
        <v>432</v>
      </c>
      <c r="H899" s="79" t="str">
        <f aca="false">IFERROR(VLOOKUP(E:E,'Item Data Support Sheet'!A:O,2,0),"")</f>
        <v>NIPPLE S TYPE L SIZE WITH PRINTED WRAP</v>
      </c>
      <c r="I899" s="80" t="s">
        <v>1441</v>
      </c>
      <c r="J899" s="80" t="s">
        <v>155</v>
      </c>
      <c r="K899" s="124" t="n">
        <v>8</v>
      </c>
      <c r="L899" s="124" t="n">
        <v>16137</v>
      </c>
      <c r="M899" s="83" t="n">
        <v>2017.125</v>
      </c>
      <c r="N899" s="84" t="n">
        <f aca="false">+O899+Q899+T899+U899</f>
        <v>16992</v>
      </c>
      <c r="O899" s="85" t="n">
        <v>16982</v>
      </c>
      <c r="P899" s="86" t="n">
        <v>0</v>
      </c>
      <c r="Q899" s="86" t="n">
        <v>0</v>
      </c>
      <c r="R899" s="132" t="n">
        <v>0</v>
      </c>
      <c r="S899" s="128" t="n">
        <v>0</v>
      </c>
      <c r="T899" s="132" t="n">
        <v>10</v>
      </c>
      <c r="U899" s="128" t="n">
        <v>0</v>
      </c>
      <c r="V899" s="128" t="n">
        <v>2</v>
      </c>
      <c r="W899" s="90" t="n">
        <f aca="false">IFERROR(O899/V899,0)</f>
        <v>8491</v>
      </c>
      <c r="X899" s="91" t="n">
        <f aca="false">O899/L899</f>
        <v>1.05236413211873</v>
      </c>
      <c r="Y899" s="92" t="str">
        <f aca="false">IFERROR(VLOOKUP(E:E,'Item Data Support Sheet'!A:J,6,0),0)</f>
        <v>FO021</v>
      </c>
      <c r="Z899" s="93" t="n">
        <f aca="false">IFERROR(VLOOKUP(E:E,'Item Data Support Sheet'!A:O,4,0),0)</f>
        <v>0</v>
      </c>
      <c r="AA899" s="93" t="n">
        <f aca="false">IFERROR(((N899)*(Z899/1000))+P899,0)</f>
        <v>0</v>
      </c>
      <c r="AB899" s="94" t="str">
        <f aca="false">IFERROR((O899*(Z899/1000)/(AA899))," ")</f>
        <v> </v>
      </c>
      <c r="AC899" s="95" t="n">
        <f aca="false">IFERROR((T899)/((T899)+O899),0)</f>
        <v>0.000588512241054614</v>
      </c>
      <c r="AD899" s="96" t="n">
        <f aca="false">IFERROR(Q899/(Q899+N899),0)</f>
        <v>0</v>
      </c>
      <c r="AE899" s="91" t="n">
        <f aca="false">(N899-T899)/N899</f>
        <v>0.999411487758945</v>
      </c>
      <c r="AF899" s="97" t="n">
        <f aca="false">BR899</f>
        <v>0.833333333333333</v>
      </c>
      <c r="AG899" s="98" t="n">
        <f aca="false">K899-AF899</f>
        <v>7.16666666666667</v>
      </c>
      <c r="AH899" s="99" t="n">
        <f aca="false">IFERROR(AG899/K899," ")</f>
        <v>0.895833333333333</v>
      </c>
      <c r="AI899" s="100" t="n">
        <f aca="false">IFERROR(O899/K899,0)</f>
        <v>2122.75</v>
      </c>
      <c r="AJ899" s="101" t="n">
        <f aca="false">VLOOKUP(D899,'Standard Cycle time'!C:D,2,0)</f>
        <v>2.5</v>
      </c>
      <c r="AK899" s="101" t="n">
        <f aca="false">AG899*V899*3600/O899</f>
        <v>3.03851136497468</v>
      </c>
      <c r="AL899" s="102" t="n">
        <f aca="false">AJ899/AK899</f>
        <v>0.822771317829457</v>
      </c>
      <c r="AM899" s="99" t="n">
        <f aca="false">AE899*AL899*AH899</f>
        <v>0.736632199875105</v>
      </c>
      <c r="AN899" s="103" t="n">
        <v>0.736632199875105</v>
      </c>
      <c r="AO899" s="112"/>
      <c r="AP899" s="105" t="n">
        <v>50</v>
      </c>
      <c r="AQ899" s="105" t="n">
        <v>0</v>
      </c>
      <c r="AR899" s="105" t="n">
        <v>0</v>
      </c>
      <c r="AS899" s="105" t="n">
        <v>0</v>
      </c>
      <c r="AT899" s="105" t="n">
        <v>0</v>
      </c>
      <c r="AU899" s="105" t="n">
        <v>0</v>
      </c>
      <c r="AV899" s="105" t="n">
        <v>0</v>
      </c>
      <c r="AW899" s="105" t="n">
        <v>0</v>
      </c>
      <c r="AX899" s="105" t="n">
        <v>0</v>
      </c>
      <c r="AY899" s="105" t="n">
        <v>0</v>
      </c>
      <c r="AZ899" s="105" t="n">
        <v>0</v>
      </c>
      <c r="BA899" s="105" t="n">
        <v>0</v>
      </c>
      <c r="BB899" s="105" t="n">
        <v>0</v>
      </c>
      <c r="BC899" s="105" t="n">
        <v>0</v>
      </c>
      <c r="BD899" s="105" t="n">
        <v>0</v>
      </c>
      <c r="BE899" s="105" t="n">
        <v>0</v>
      </c>
      <c r="BF899" s="105" t="n">
        <v>0</v>
      </c>
      <c r="BG899" s="105" t="n">
        <v>0</v>
      </c>
      <c r="BH899" s="105" t="n">
        <v>0</v>
      </c>
      <c r="BI899" s="105" t="n">
        <v>0</v>
      </c>
      <c r="BJ899" s="105" t="n">
        <v>0</v>
      </c>
      <c r="BK899" s="105" t="n">
        <v>0</v>
      </c>
      <c r="BL899" s="105" t="n">
        <v>0</v>
      </c>
      <c r="BM899" s="105" t="n">
        <v>0</v>
      </c>
      <c r="BN899" s="105" t="n">
        <v>0</v>
      </c>
      <c r="BO899" s="105" t="n">
        <v>0</v>
      </c>
      <c r="BP899" s="105" t="n">
        <v>0</v>
      </c>
      <c r="BQ899" s="105" t="n">
        <v>0</v>
      </c>
      <c r="BR899" s="106" t="n">
        <v>0.833333333333333</v>
      </c>
      <c r="BS899" s="106" t="n">
        <v>0.833333333333333</v>
      </c>
      <c r="BT899" s="107"/>
      <c r="BU899" s="107"/>
      <c r="BV899" s="107"/>
      <c r="BW899" s="107"/>
      <c r="BX899" s="107"/>
      <c r="BY899" s="107"/>
      <c r="BZ899" s="107"/>
      <c r="CA899" s="107"/>
      <c r="CB899" s="107"/>
      <c r="CC899" s="107"/>
      <c r="CD899" s="107"/>
      <c r="CE899" s="107"/>
      <c r="CF899" s="107"/>
      <c r="CG899" s="107"/>
      <c r="CH899" s="107"/>
      <c r="CI899" s="107"/>
      <c r="CJ899" s="107"/>
      <c r="CK899" s="107"/>
      <c r="CL899" s="107"/>
      <c r="CM899" s="107"/>
      <c r="CN899" s="107"/>
      <c r="CO899" s="107"/>
      <c r="CP899" s="107"/>
      <c r="CQ899" s="107"/>
      <c r="CR899" s="107"/>
      <c r="CS899" s="107"/>
      <c r="CT899" s="107"/>
      <c r="CU899" s="107"/>
      <c r="CV899" s="107"/>
    </row>
    <row r="900" customFormat="false" ht="14.9" hidden="false" customHeight="false" outlineLevel="0" collapsed="false">
      <c r="A900" s="74" t="n">
        <f aca="false">MONTH(B900)</f>
        <v>10</v>
      </c>
      <c r="B900" s="135" t="n">
        <v>44481</v>
      </c>
      <c r="C900" s="128" t="s">
        <v>63</v>
      </c>
      <c r="D900" s="77" t="str">
        <f aca="false">IFERROR(VLOOKUP(E:E,'Item Data Support Sheet'!A:O,7,0),"")</f>
        <v>NIPPLE PUNCH INSPECTED</v>
      </c>
      <c r="E900" s="80" t="s">
        <v>688</v>
      </c>
      <c r="F900" s="122"/>
      <c r="G900" s="137"/>
      <c r="H900" s="79" t="str">
        <f aca="false">IFERROR(VLOOKUP(E:E,'Item Data Support Sheet'!A:O,2,0),"")</f>
        <v>NIPPLE S TYPE L SIZE PUNCHED INSPECTED</v>
      </c>
      <c r="I900" s="80" t="s">
        <v>1657</v>
      </c>
      <c r="J900" s="80" t="s">
        <v>155</v>
      </c>
      <c r="K900" s="124" t="n">
        <v>8</v>
      </c>
      <c r="L900" s="124" t="n">
        <v>14132</v>
      </c>
      <c r="M900" s="83" t="n">
        <v>1766.5</v>
      </c>
      <c r="N900" s="84" t="n">
        <f aca="false">+O900+Q900+T900+U900</f>
        <v>12700</v>
      </c>
      <c r="O900" s="85" t="n">
        <v>12669</v>
      </c>
      <c r="P900" s="86" t="n">
        <v>0</v>
      </c>
      <c r="Q900" s="86" t="n">
        <v>0</v>
      </c>
      <c r="R900" s="132" t="n">
        <v>0</v>
      </c>
      <c r="S900" s="128" t="n">
        <v>0</v>
      </c>
      <c r="T900" s="132" t="n">
        <v>31</v>
      </c>
      <c r="U900" s="128" t="n">
        <v>0</v>
      </c>
      <c r="V900" s="128" t="n">
        <v>1</v>
      </c>
      <c r="W900" s="90" t="n">
        <f aca="false">IFERROR(O900/V900,0)</f>
        <v>12669</v>
      </c>
      <c r="X900" s="91" t="n">
        <f aca="false">O900/L900</f>
        <v>0.896476082649306</v>
      </c>
      <c r="Y900" s="92" t="str">
        <f aca="false">IFERROR(VLOOKUP(E:E,'Item Data Support Sheet'!A:J,6,0),0)</f>
        <v>FO106</v>
      </c>
      <c r="Z900" s="93" t="n">
        <f aca="false">IFERROR(VLOOKUP(E:E,'Item Data Support Sheet'!A:O,4,0),0)</f>
        <v>0</v>
      </c>
      <c r="AA900" s="93" t="n">
        <f aca="false">IFERROR(((N900)*(Z900/1000))+P900,0)</f>
        <v>0</v>
      </c>
      <c r="AB900" s="94" t="str">
        <f aca="false">IFERROR((O900*(Z900/1000)/(AA900))," ")</f>
        <v> </v>
      </c>
      <c r="AC900" s="95" t="n">
        <f aca="false">IFERROR((T900)/((T900)+O900),0)</f>
        <v>0.00244094488188976</v>
      </c>
      <c r="AD900" s="96" t="n">
        <f aca="false">IFERROR(Q900/(Q900+N900),0)</f>
        <v>0</v>
      </c>
      <c r="AE900" s="91" t="n">
        <f aca="false">(N900-T900)/N900</f>
        <v>0.99755905511811</v>
      </c>
      <c r="AF900" s="97" t="n">
        <f aca="false">BR900</f>
        <v>0.833333333333333</v>
      </c>
      <c r="AG900" s="98" t="n">
        <f aca="false">K900-AF900</f>
        <v>7.16666666666667</v>
      </c>
      <c r="AH900" s="99" t="n">
        <f aca="false">IFERROR(AG900/K900," ")</f>
        <v>0.895833333333333</v>
      </c>
      <c r="AI900" s="100" t="n">
        <f aca="false">IFERROR(O900/K900,0)</f>
        <v>1583.625</v>
      </c>
      <c r="AJ900" s="101" t="n">
        <f aca="false">VLOOKUP(D900,'Standard Cycle time'!C:D,2,0)</f>
        <v>4</v>
      </c>
      <c r="AK900" s="101" t="n">
        <f aca="false">AG900*V900*3600/O900</f>
        <v>2.03646696661141</v>
      </c>
      <c r="AL900" s="102" t="n">
        <f aca="false">AJ900/AK900</f>
        <v>1.96418604651163</v>
      </c>
      <c r="AM900" s="99" t="n">
        <f aca="false">AE900*AL900*AH900</f>
        <v>1.75528828740158</v>
      </c>
      <c r="AN900" s="103" t="n">
        <v>1.75528828740157</v>
      </c>
      <c r="AO900" s="112"/>
      <c r="AP900" s="105" t="n">
        <v>50</v>
      </c>
      <c r="AQ900" s="105" t="n">
        <v>0</v>
      </c>
      <c r="AR900" s="105" t="n">
        <v>0</v>
      </c>
      <c r="AS900" s="105" t="n">
        <v>0</v>
      </c>
      <c r="AT900" s="105" t="n">
        <v>0</v>
      </c>
      <c r="AU900" s="105" t="n">
        <v>0</v>
      </c>
      <c r="AV900" s="105" t="n">
        <v>0</v>
      </c>
      <c r="AW900" s="105" t="n">
        <v>0</v>
      </c>
      <c r="AX900" s="105" t="n">
        <v>0</v>
      </c>
      <c r="AY900" s="105" t="n">
        <v>0</v>
      </c>
      <c r="AZ900" s="105" t="n">
        <v>0</v>
      </c>
      <c r="BA900" s="105" t="n">
        <v>0</v>
      </c>
      <c r="BB900" s="105" t="n">
        <v>0</v>
      </c>
      <c r="BC900" s="105" t="n">
        <v>0</v>
      </c>
      <c r="BD900" s="105" t="n">
        <v>0</v>
      </c>
      <c r="BE900" s="105" t="n">
        <v>0</v>
      </c>
      <c r="BF900" s="105" t="n">
        <v>0</v>
      </c>
      <c r="BG900" s="105" t="n">
        <v>0</v>
      </c>
      <c r="BH900" s="105" t="n">
        <v>0</v>
      </c>
      <c r="BI900" s="105" t="n">
        <v>0</v>
      </c>
      <c r="BJ900" s="105" t="n">
        <v>0</v>
      </c>
      <c r="BK900" s="105" t="n">
        <v>0</v>
      </c>
      <c r="BL900" s="105" t="n">
        <v>0</v>
      </c>
      <c r="BM900" s="105" t="n">
        <v>0</v>
      </c>
      <c r="BN900" s="105" t="n">
        <v>0</v>
      </c>
      <c r="BO900" s="105" t="n">
        <v>0</v>
      </c>
      <c r="BP900" s="105" t="n">
        <v>0</v>
      </c>
      <c r="BQ900" s="105" t="n">
        <v>0</v>
      </c>
      <c r="BR900" s="106" t="n">
        <v>0.833333333333333</v>
      </c>
      <c r="BS900" s="106" t="n">
        <v>0.833333333333333</v>
      </c>
      <c r="BT900" s="107"/>
      <c r="BU900" s="107"/>
      <c r="BV900" s="107"/>
      <c r="BW900" s="107"/>
      <c r="BX900" s="107"/>
      <c r="BY900" s="107"/>
      <c r="BZ900" s="107"/>
      <c r="CA900" s="107"/>
      <c r="CB900" s="107"/>
      <c r="CC900" s="107"/>
      <c r="CD900" s="107"/>
      <c r="CE900" s="107"/>
      <c r="CF900" s="107"/>
      <c r="CG900" s="107"/>
      <c r="CH900" s="107"/>
      <c r="CI900" s="107"/>
      <c r="CJ900" s="107"/>
      <c r="CK900" s="107"/>
      <c r="CL900" s="107"/>
      <c r="CM900" s="107"/>
      <c r="CN900" s="107"/>
      <c r="CO900" s="107"/>
      <c r="CP900" s="107"/>
      <c r="CQ900" s="107"/>
      <c r="CR900" s="107"/>
      <c r="CS900" s="107"/>
      <c r="CT900" s="107"/>
      <c r="CU900" s="107"/>
      <c r="CV900" s="107"/>
    </row>
    <row r="901" customFormat="false" ht="14.9" hidden="false" customHeight="false" outlineLevel="0" collapsed="false">
      <c r="A901" s="74" t="n">
        <f aca="false">MONTH(B901)</f>
        <v>10</v>
      </c>
      <c r="B901" s="135" t="n">
        <v>44481</v>
      </c>
      <c r="C901" s="128" t="s">
        <v>63</v>
      </c>
      <c r="D901" s="77" t="str">
        <f aca="false">IFERROR(VLOOKUP(E:E,'Item Data Support Sheet'!A:O,7,0),"")</f>
        <v>BOTTLE PRINTED</v>
      </c>
      <c r="E901" s="80" t="s">
        <v>1323</v>
      </c>
      <c r="F901" s="122"/>
      <c r="G901" s="137"/>
      <c r="H901" s="79" t="str">
        <f aca="false">IFERROR(VLOOKUP(E:E,'Item Data Support Sheet'!A:O,2,0),"")</f>
        <v>RPP 240ML ABSTRCT BLU BOTLE PNTD WM3GB W/BIS LOGO</v>
      </c>
      <c r="I901" s="80" t="s">
        <v>1658</v>
      </c>
      <c r="J901" s="80" t="s">
        <v>155</v>
      </c>
      <c r="K901" s="124" t="n">
        <v>2</v>
      </c>
      <c r="L901" s="124" t="n">
        <v>600</v>
      </c>
      <c r="M901" s="83" t="n">
        <v>300</v>
      </c>
      <c r="N901" s="84" t="n">
        <f aca="false">+O901+Q901+T901+U901</f>
        <v>608</v>
      </c>
      <c r="O901" s="85" t="n">
        <v>600</v>
      </c>
      <c r="P901" s="86" t="n">
        <v>0</v>
      </c>
      <c r="Q901" s="86" t="n">
        <v>0</v>
      </c>
      <c r="R901" s="132" t="n">
        <v>0</v>
      </c>
      <c r="S901" s="128" t="n">
        <v>0</v>
      </c>
      <c r="T901" s="132" t="n">
        <v>8</v>
      </c>
      <c r="U901" s="128" t="n">
        <v>0</v>
      </c>
      <c r="V901" s="128" t="n">
        <v>5</v>
      </c>
      <c r="W901" s="90" t="n">
        <f aca="false">IFERROR(O901/V901,0)</f>
        <v>120</v>
      </c>
      <c r="X901" s="91" t="n">
        <f aca="false">O901/L901</f>
        <v>1</v>
      </c>
      <c r="Y901" s="92" t="str">
        <f aca="false">IFERROR(VLOOKUP(E:E,'Item Data Support Sheet'!A:J,6,0),0)</f>
        <v>FO055</v>
      </c>
      <c r="Z901" s="93" t="n">
        <f aca="false">IFERROR(VLOOKUP(E:E,'Item Data Support Sheet'!A:O,4,0),0)</f>
        <v>0</v>
      </c>
      <c r="AA901" s="93" t="n">
        <f aca="false">IFERROR(((N901)*(Z901/1000))+P901,0)</f>
        <v>0</v>
      </c>
      <c r="AB901" s="94" t="str">
        <f aca="false">IFERROR((O901*(Z901/1000)/(AA901))," ")</f>
        <v> </v>
      </c>
      <c r="AC901" s="95" t="n">
        <f aca="false">IFERROR((T901)/((T901)+O901),0)</f>
        <v>0.0131578947368421</v>
      </c>
      <c r="AD901" s="96" t="n">
        <f aca="false">IFERROR(Q901/(Q901+N901),0)</f>
        <v>0</v>
      </c>
      <c r="AE901" s="91" t="n">
        <f aca="false">(N901-T901)/N901</f>
        <v>0.986842105263158</v>
      </c>
      <c r="AF901" s="97" t="n">
        <f aca="false">BR901</f>
        <v>1.83333333333333</v>
      </c>
      <c r="AG901" s="98" t="n">
        <f aca="false">K901-AF901</f>
        <v>0.16666666666667</v>
      </c>
      <c r="AH901" s="99" t="n">
        <f aca="false">IFERROR(AG901/K901," ")</f>
        <v>0.083333333333335</v>
      </c>
      <c r="AI901" s="100" t="n">
        <f aca="false">IFERROR(O901/K901,0)</f>
        <v>300</v>
      </c>
      <c r="AJ901" s="101" t="n">
        <f aca="false">VLOOKUP(D901,'Standard Cycle time'!C:D,2,0)</f>
        <v>32.4</v>
      </c>
      <c r="AK901" s="101" t="n">
        <f aca="false">AG901*V901*3600/O901</f>
        <v>5.0000000000001</v>
      </c>
      <c r="AL901" s="102" t="n">
        <f aca="false">AJ901/AK901</f>
        <v>6.47999999999987</v>
      </c>
      <c r="AM901" s="99" t="n">
        <f aca="false">AE901*AL901*AH901</f>
        <v>0.532894736842105</v>
      </c>
      <c r="AN901" s="103" t="n">
        <v>0.532894736842105</v>
      </c>
      <c r="AO901" s="112" t="s">
        <v>1659</v>
      </c>
      <c r="AP901" s="105"/>
      <c r="AQ901" s="105" t="n">
        <v>50</v>
      </c>
      <c r="AR901" s="105" t="n">
        <v>0</v>
      </c>
      <c r="AS901" s="105" t="n">
        <v>0</v>
      </c>
      <c r="AT901" s="105" t="n">
        <v>60</v>
      </c>
      <c r="AU901" s="105" t="n">
        <v>0</v>
      </c>
      <c r="AV901" s="105" t="n">
        <v>0</v>
      </c>
      <c r="AW901" s="105" t="n">
        <v>0</v>
      </c>
      <c r="AX901" s="105" t="n">
        <v>0</v>
      </c>
      <c r="AY901" s="105" t="n">
        <v>0</v>
      </c>
      <c r="AZ901" s="105" t="n">
        <v>0</v>
      </c>
      <c r="BA901" s="105" t="n">
        <v>0</v>
      </c>
      <c r="BB901" s="105" t="n">
        <v>0</v>
      </c>
      <c r="BC901" s="105" t="n">
        <v>0</v>
      </c>
      <c r="BD901" s="105" t="n">
        <v>0</v>
      </c>
      <c r="BE901" s="105" t="n">
        <v>0</v>
      </c>
      <c r="BF901" s="105" t="n">
        <v>0</v>
      </c>
      <c r="BG901" s="105" t="n">
        <v>0</v>
      </c>
      <c r="BH901" s="105" t="n">
        <v>0</v>
      </c>
      <c r="BI901" s="105" t="n">
        <v>0</v>
      </c>
      <c r="BJ901" s="105" t="n">
        <v>0</v>
      </c>
      <c r="BK901" s="105" t="n">
        <v>0</v>
      </c>
      <c r="BL901" s="105" t="n">
        <v>0</v>
      </c>
      <c r="BM901" s="105" t="n">
        <v>0</v>
      </c>
      <c r="BN901" s="105" t="n">
        <v>0</v>
      </c>
      <c r="BO901" s="105" t="n">
        <v>0</v>
      </c>
      <c r="BP901" s="105" t="n">
        <v>0</v>
      </c>
      <c r="BQ901" s="105" t="n">
        <v>0</v>
      </c>
      <c r="BR901" s="106" t="n">
        <v>1.83333333333333</v>
      </c>
      <c r="BS901" s="106" t="n">
        <v>1.83333333333333</v>
      </c>
      <c r="BT901" s="107"/>
      <c r="BU901" s="107"/>
      <c r="BV901" s="107"/>
      <c r="BW901" s="107"/>
      <c r="BX901" s="107"/>
      <c r="BY901" s="107"/>
      <c r="BZ901" s="107"/>
      <c r="CA901" s="107"/>
      <c r="CB901" s="107"/>
      <c r="CC901" s="107"/>
      <c r="CD901" s="107"/>
      <c r="CE901" s="107"/>
      <c r="CF901" s="107"/>
      <c r="CG901" s="107"/>
      <c r="CH901" s="107"/>
      <c r="CI901" s="107"/>
      <c r="CJ901" s="107"/>
      <c r="CK901" s="107"/>
      <c r="CL901" s="107"/>
      <c r="CM901" s="107"/>
      <c r="CN901" s="107"/>
      <c r="CO901" s="107"/>
      <c r="CP901" s="107"/>
      <c r="CQ901" s="107"/>
      <c r="CR901" s="107"/>
      <c r="CS901" s="107"/>
      <c r="CT901" s="107"/>
      <c r="CU901" s="107"/>
      <c r="CV901" s="107"/>
    </row>
    <row r="902" customFormat="false" ht="14.9" hidden="false" customHeight="false" outlineLevel="0" collapsed="false">
      <c r="A902" s="74" t="n">
        <f aca="false">MONTH(B902)</f>
        <v>10</v>
      </c>
      <c r="B902" s="135" t="n">
        <v>44481</v>
      </c>
      <c r="C902" s="128" t="s">
        <v>63</v>
      </c>
      <c r="D902" s="77" t="str">
        <f aca="false">IFERROR(VLOOKUP(E:E,'Item Data Support Sheet'!A:O,7,0),"")</f>
        <v>BOTTLE PRINTED</v>
      </c>
      <c r="E902" s="80" t="s">
        <v>1660</v>
      </c>
      <c r="F902" s="122"/>
      <c r="G902" s="137"/>
      <c r="H902" s="79" t="str">
        <f aca="false">IFERROR(VLOOKUP(E:E,'Item Data Support Sheet'!A:O,2,0),"")</f>
        <v>RPP 240ML ABSTRCT PNK BOTLE PNTD WM3GB W/BIS LOGO</v>
      </c>
      <c r="I902" s="80" t="s">
        <v>1661</v>
      </c>
      <c r="J902" s="80" t="s">
        <v>155</v>
      </c>
      <c r="K902" s="124" t="n">
        <v>3</v>
      </c>
      <c r="L902" s="124" t="n">
        <v>1000</v>
      </c>
      <c r="M902" s="83" t="n">
        <v>333.333333333333</v>
      </c>
      <c r="N902" s="84" t="n">
        <f aca="false">+O902+Q902+T902+U902</f>
        <v>987</v>
      </c>
      <c r="O902" s="85" t="n">
        <v>973</v>
      </c>
      <c r="P902" s="86" t="n">
        <v>0</v>
      </c>
      <c r="Q902" s="86" t="n">
        <v>0</v>
      </c>
      <c r="R902" s="132" t="n">
        <v>0</v>
      </c>
      <c r="S902" s="128" t="n">
        <v>0</v>
      </c>
      <c r="T902" s="132" t="n">
        <v>14</v>
      </c>
      <c r="U902" s="128" t="n">
        <v>0</v>
      </c>
      <c r="V902" s="128" t="n">
        <v>5</v>
      </c>
      <c r="W902" s="90" t="n">
        <f aca="false">IFERROR(O902/V902,0)</f>
        <v>194.6</v>
      </c>
      <c r="X902" s="91" t="n">
        <f aca="false">O902/L902</f>
        <v>0.973</v>
      </c>
      <c r="Y902" s="92" t="str">
        <f aca="false">IFERROR(VLOOKUP(E:E,'Item Data Support Sheet'!A:J,6,0),0)</f>
        <v>FO055</v>
      </c>
      <c r="Z902" s="93" t="n">
        <f aca="false">IFERROR(VLOOKUP(E:E,'Item Data Support Sheet'!A:O,4,0),0)</f>
        <v>0</v>
      </c>
      <c r="AA902" s="93" t="n">
        <f aca="false">IFERROR(((N902)*(Z902/1000))+P902,0)</f>
        <v>0</v>
      </c>
      <c r="AB902" s="94" t="str">
        <f aca="false">IFERROR((O902*(Z902/1000)/(AA902))," ")</f>
        <v> </v>
      </c>
      <c r="AC902" s="95" t="n">
        <f aca="false">IFERROR((T902)/((T902)+O902),0)</f>
        <v>0.0141843971631206</v>
      </c>
      <c r="AD902" s="96" t="n">
        <f aca="false">IFERROR(Q902/(Q902+N902),0)</f>
        <v>0</v>
      </c>
      <c r="AE902" s="91" t="n">
        <f aca="false">(N902-T902)/N902</f>
        <v>0.985815602836879</v>
      </c>
      <c r="AF902" s="97" t="n">
        <f aca="false">BR902</f>
        <v>1.83333333333333</v>
      </c>
      <c r="AG902" s="98" t="n">
        <f aca="false">K902-AF902</f>
        <v>1.16666666666667</v>
      </c>
      <c r="AH902" s="99" t="n">
        <f aca="false">IFERROR(AG902/K902," ")</f>
        <v>0.38888888888889</v>
      </c>
      <c r="AI902" s="100" t="n">
        <f aca="false">IFERROR(O902/K902,0)</f>
        <v>324.333333333333</v>
      </c>
      <c r="AJ902" s="101" t="n">
        <f aca="false">VLOOKUP(D902,'Standard Cycle time'!C:D,2,0)</f>
        <v>32.4</v>
      </c>
      <c r="AK902" s="101" t="n">
        <f aca="false">AG902*V902*3600/O902</f>
        <v>21.5827338129497</v>
      </c>
      <c r="AL902" s="102" t="n">
        <f aca="false">AJ902/AK902</f>
        <v>1.5012</v>
      </c>
      <c r="AM902" s="99" t="n">
        <f aca="false">AE902*AL902*AH902</f>
        <v>0.57551914893617</v>
      </c>
      <c r="AN902" s="103" t="n">
        <v>0.57551914893617</v>
      </c>
      <c r="AO902" s="112"/>
      <c r="AP902" s="105" t="n">
        <v>50</v>
      </c>
      <c r="AQ902" s="105" t="n">
        <v>60</v>
      </c>
      <c r="AR902" s="105" t="n">
        <v>0</v>
      </c>
      <c r="AS902" s="105" t="n">
        <v>0</v>
      </c>
      <c r="AT902" s="105"/>
      <c r="AU902" s="105" t="n">
        <v>0</v>
      </c>
      <c r="AV902" s="105" t="n">
        <v>0</v>
      </c>
      <c r="AW902" s="105" t="n">
        <v>0</v>
      </c>
      <c r="AX902" s="105" t="n">
        <v>0</v>
      </c>
      <c r="AY902" s="105" t="n">
        <v>0</v>
      </c>
      <c r="AZ902" s="105" t="n">
        <v>0</v>
      </c>
      <c r="BA902" s="105" t="n">
        <v>0</v>
      </c>
      <c r="BB902" s="105" t="n">
        <v>0</v>
      </c>
      <c r="BC902" s="105" t="n">
        <v>0</v>
      </c>
      <c r="BD902" s="105" t="n">
        <v>0</v>
      </c>
      <c r="BE902" s="105" t="n">
        <v>0</v>
      </c>
      <c r="BF902" s="105" t="n">
        <v>0</v>
      </c>
      <c r="BG902" s="105" t="n">
        <v>0</v>
      </c>
      <c r="BH902" s="105" t="n">
        <v>0</v>
      </c>
      <c r="BI902" s="105" t="n">
        <v>0</v>
      </c>
      <c r="BJ902" s="105" t="n">
        <v>0</v>
      </c>
      <c r="BK902" s="105" t="n">
        <v>0</v>
      </c>
      <c r="BL902" s="105" t="n">
        <v>0</v>
      </c>
      <c r="BM902" s="105" t="n">
        <v>0</v>
      </c>
      <c r="BN902" s="105" t="n">
        <v>0</v>
      </c>
      <c r="BO902" s="105" t="n">
        <v>0</v>
      </c>
      <c r="BP902" s="105" t="n">
        <v>0</v>
      </c>
      <c r="BQ902" s="105" t="n">
        <v>0</v>
      </c>
      <c r="BR902" s="106" t="n">
        <v>1.83333333333333</v>
      </c>
      <c r="BS902" s="106" t="n">
        <v>1.83333333333333</v>
      </c>
      <c r="BT902" s="107"/>
      <c r="BU902" s="107"/>
      <c r="BV902" s="107"/>
      <c r="BW902" s="107"/>
      <c r="BX902" s="107"/>
      <c r="BY902" s="107"/>
      <c r="BZ902" s="107"/>
      <c r="CA902" s="107"/>
      <c r="CB902" s="107"/>
      <c r="CC902" s="107"/>
      <c r="CD902" s="107"/>
      <c r="CE902" s="107"/>
      <c r="CF902" s="107"/>
      <c r="CG902" s="107"/>
      <c r="CH902" s="107"/>
      <c r="CI902" s="107"/>
      <c r="CJ902" s="107"/>
      <c r="CK902" s="107"/>
      <c r="CL902" s="107"/>
      <c r="CM902" s="107"/>
      <c r="CN902" s="107"/>
      <c r="CO902" s="107"/>
      <c r="CP902" s="107"/>
      <c r="CQ902" s="107"/>
      <c r="CR902" s="107"/>
      <c r="CS902" s="107"/>
      <c r="CT902" s="107"/>
      <c r="CU902" s="107"/>
      <c r="CV902" s="107"/>
    </row>
    <row r="903" customFormat="false" ht="14.9" hidden="false" customHeight="false" outlineLevel="0" collapsed="false">
      <c r="A903" s="74" t="n">
        <f aca="false">MONTH(B903)</f>
        <v>10</v>
      </c>
      <c r="B903" s="135" t="n">
        <v>44481</v>
      </c>
      <c r="C903" s="128" t="s">
        <v>63</v>
      </c>
      <c r="D903" s="77" t="str">
        <f aca="false">IFERROR(VLOOKUP(E:E,'Item Data Support Sheet'!A:O,7,0),"")</f>
        <v>BOTTLE PRINTED</v>
      </c>
      <c r="E903" s="80" t="s">
        <v>758</v>
      </c>
      <c r="F903" s="122"/>
      <c r="G903" s="137"/>
      <c r="H903" s="79" t="str">
        <f aca="false">IFERROR(VLOOKUP(E:E,'Item Data Support Sheet'!A:O,2,0),"")</f>
        <v>KPP 120 BOTTLE PRINTED (WMG3B) W/O OZ &amp; W/BIS LOGO</v>
      </c>
      <c r="I903" s="80" t="s">
        <v>1662</v>
      </c>
      <c r="J903" s="80" t="s">
        <v>155</v>
      </c>
      <c r="K903" s="124" t="n">
        <v>0.3</v>
      </c>
      <c r="L903" s="124" t="n">
        <v>425</v>
      </c>
      <c r="M903" s="83" t="n">
        <v>1416.66666666667</v>
      </c>
      <c r="N903" s="84" t="n">
        <f aca="false">+O903+Q903+T903+U903</f>
        <v>268</v>
      </c>
      <c r="O903" s="85" t="n">
        <v>259</v>
      </c>
      <c r="P903" s="86" t="n">
        <v>0</v>
      </c>
      <c r="Q903" s="86" t="n">
        <v>0</v>
      </c>
      <c r="R903" s="132" t="n">
        <v>0</v>
      </c>
      <c r="S903" s="128" t="n">
        <v>0</v>
      </c>
      <c r="T903" s="132" t="n">
        <v>9</v>
      </c>
      <c r="U903" s="128" t="n">
        <v>0</v>
      </c>
      <c r="V903" s="128" t="n">
        <v>1</v>
      </c>
      <c r="W903" s="90" t="n">
        <f aca="false">IFERROR(O903/V903,0)</f>
        <v>259</v>
      </c>
      <c r="X903" s="91" t="n">
        <f aca="false">O903/L903</f>
        <v>0.609411764705882</v>
      </c>
      <c r="Y903" s="92" t="str">
        <f aca="false">IFERROR(VLOOKUP(E:E,'Item Data Support Sheet'!A:J,6,0),0)</f>
        <v>FO042</v>
      </c>
      <c r="Z903" s="93" t="n">
        <f aca="false">IFERROR(VLOOKUP(E:E,'Item Data Support Sheet'!A:O,4,0),0)</f>
        <v>0</v>
      </c>
      <c r="AA903" s="93" t="n">
        <f aca="false">IFERROR(((N903)*(Z903/1000))+P903,0)</f>
        <v>0</v>
      </c>
      <c r="AB903" s="94" t="str">
        <f aca="false">IFERROR((O903*(Z903/1000)/(AA903))," ")</f>
        <v> </v>
      </c>
      <c r="AC903" s="95" t="n">
        <f aca="false">IFERROR((T903)/((T903)+O903),0)</f>
        <v>0.0335820895522388</v>
      </c>
      <c r="AD903" s="96" t="n">
        <f aca="false">IFERROR(Q903/(Q903+N903),0)</f>
        <v>0</v>
      </c>
      <c r="AE903" s="91" t="n">
        <f aca="false">(N903-T903)/N903</f>
        <v>0.966417910447761</v>
      </c>
      <c r="AF903" s="97" t="n">
        <f aca="false">BR903</f>
        <v>1</v>
      </c>
      <c r="AG903" s="98" t="n">
        <f aca="false">K903-AF903</f>
        <v>-0.7</v>
      </c>
      <c r="AH903" s="99" t="n">
        <f aca="false">IFERROR(AG903/K903," ")</f>
        <v>-2.33333333333333</v>
      </c>
      <c r="AI903" s="100" t="n">
        <f aca="false">IFERROR(O903/K903,0)</f>
        <v>863.333333333333</v>
      </c>
      <c r="AJ903" s="101" t="n">
        <f aca="false">VLOOKUP(D903,'Standard Cycle time'!C:D,2,0)</f>
        <v>32.4</v>
      </c>
      <c r="AK903" s="101" t="n">
        <f aca="false">AG903*V903*3600/O903</f>
        <v>-9.72972972972973</v>
      </c>
      <c r="AL903" s="102" t="n">
        <f aca="false">AJ903/AK903</f>
        <v>-3.33</v>
      </c>
      <c r="AM903" s="99" t="n">
        <f aca="false">AE903*AL903*AH903</f>
        <v>7.5090671641791</v>
      </c>
      <c r="AN903" s="103" t="n">
        <v>7.5090671641791</v>
      </c>
      <c r="AO903" s="112"/>
      <c r="AP903" s="105" t="n">
        <v>0</v>
      </c>
      <c r="AQ903" s="105" t="n">
        <v>60</v>
      </c>
      <c r="AR903" s="105" t="n">
        <v>0</v>
      </c>
      <c r="AS903" s="105" t="n">
        <v>0</v>
      </c>
      <c r="AT903" s="105"/>
      <c r="AU903" s="105" t="n">
        <v>0</v>
      </c>
      <c r="AV903" s="105" t="n">
        <v>0</v>
      </c>
      <c r="AW903" s="105" t="n">
        <v>0</v>
      </c>
      <c r="AX903" s="105" t="n">
        <v>0</v>
      </c>
      <c r="AY903" s="105" t="n">
        <v>0</v>
      </c>
      <c r="AZ903" s="105" t="n">
        <v>0</v>
      </c>
      <c r="BA903" s="105" t="n">
        <v>0</v>
      </c>
      <c r="BB903" s="105" t="n">
        <v>0</v>
      </c>
      <c r="BC903" s="105" t="n">
        <v>0</v>
      </c>
      <c r="BD903" s="105" t="n">
        <v>0</v>
      </c>
      <c r="BE903" s="105" t="n">
        <v>0</v>
      </c>
      <c r="BF903" s="105" t="n">
        <v>0</v>
      </c>
      <c r="BG903" s="105" t="n">
        <v>0</v>
      </c>
      <c r="BH903" s="105" t="n">
        <v>0</v>
      </c>
      <c r="BI903" s="105" t="n">
        <v>0</v>
      </c>
      <c r="BJ903" s="105" t="n">
        <v>0</v>
      </c>
      <c r="BK903" s="105" t="n">
        <v>0</v>
      </c>
      <c r="BL903" s="105" t="n">
        <v>0</v>
      </c>
      <c r="BM903" s="105" t="n">
        <v>0</v>
      </c>
      <c r="BN903" s="105" t="n">
        <v>0</v>
      </c>
      <c r="BO903" s="105" t="n">
        <v>0</v>
      </c>
      <c r="BP903" s="105" t="n">
        <v>0</v>
      </c>
      <c r="BQ903" s="105" t="n">
        <v>0</v>
      </c>
      <c r="BR903" s="106" t="n">
        <v>1</v>
      </c>
      <c r="BS903" s="106" t="n">
        <v>1</v>
      </c>
      <c r="BT903" s="107"/>
      <c r="BU903" s="107"/>
      <c r="BV903" s="107"/>
      <c r="BW903" s="107"/>
      <c r="BX903" s="107"/>
      <c r="BY903" s="107"/>
      <c r="BZ903" s="107"/>
      <c r="CA903" s="107"/>
      <c r="CB903" s="107"/>
      <c r="CC903" s="107"/>
      <c r="CD903" s="107"/>
      <c r="CE903" s="107"/>
      <c r="CF903" s="107"/>
      <c r="CG903" s="107"/>
      <c r="CH903" s="107"/>
      <c r="CI903" s="107"/>
      <c r="CJ903" s="107"/>
      <c r="CK903" s="107"/>
      <c r="CL903" s="107"/>
      <c r="CM903" s="107"/>
      <c r="CN903" s="107"/>
      <c r="CO903" s="107"/>
      <c r="CP903" s="107"/>
      <c r="CQ903" s="107"/>
      <c r="CR903" s="107"/>
      <c r="CS903" s="107"/>
      <c r="CT903" s="107"/>
      <c r="CU903" s="107"/>
      <c r="CV903" s="107"/>
    </row>
    <row r="904" customFormat="false" ht="14.9" hidden="false" customHeight="false" outlineLevel="0" collapsed="false">
      <c r="A904" s="74" t="n">
        <f aca="false">MONTH(B904)</f>
        <v>10</v>
      </c>
      <c r="B904" s="135" t="n">
        <v>44481</v>
      </c>
      <c r="C904" s="128" t="s">
        <v>70</v>
      </c>
      <c r="D904" s="77" t="str">
        <f aca="false">IFERROR(VLOOKUP(E:E,'Item Data Support Sheet'!A:O,7,0),"")</f>
        <v>BOTTLE MOLDED</v>
      </c>
      <c r="E904" s="80" t="s">
        <v>215</v>
      </c>
      <c r="F904" s="122" t="s">
        <v>216</v>
      </c>
      <c r="G904" s="137" t="s">
        <v>74</v>
      </c>
      <c r="H904" s="79" t="str">
        <f aca="false">IFERROR(VLOOKUP(E:E,'Item Data Support Sheet'!A:O,2,0),"")</f>
        <v>KPP BOTTLE 200 ML MOULDED-WMG3B</v>
      </c>
      <c r="I904" s="80" t="s">
        <v>1663</v>
      </c>
      <c r="J904" s="80" t="s">
        <v>155</v>
      </c>
      <c r="K904" s="124" t="n">
        <v>2</v>
      </c>
      <c r="L904" s="124" t="n">
        <v>1034</v>
      </c>
      <c r="M904" s="83" t="n">
        <v>517</v>
      </c>
      <c r="N904" s="84" t="n">
        <f aca="false">+O904+Q904+T904+U904</f>
        <v>896</v>
      </c>
      <c r="O904" s="85" t="n">
        <v>830</v>
      </c>
      <c r="P904" s="86" t="n">
        <v>0.2</v>
      </c>
      <c r="Q904" s="86" t="n">
        <v>26</v>
      </c>
      <c r="R904" s="132" t="n">
        <v>0</v>
      </c>
      <c r="S904" s="128" t="n">
        <v>0</v>
      </c>
      <c r="T904" s="132" t="n">
        <v>40</v>
      </c>
      <c r="U904" s="128" t="n">
        <v>0</v>
      </c>
      <c r="V904" s="128" t="n">
        <v>1</v>
      </c>
      <c r="W904" s="90" t="n">
        <f aca="false">IFERROR(O904/V904,0)</f>
        <v>830</v>
      </c>
      <c r="X904" s="91" t="n">
        <f aca="false">O904/L904</f>
        <v>0.802707930367505</v>
      </c>
      <c r="Y904" s="92" t="str">
        <f aca="false">IFERROR(VLOOKUP(E:E,'Item Data Support Sheet'!A:J,6,0),0)</f>
        <v>WMG3B</v>
      </c>
      <c r="Z904" s="93" t="n">
        <f aca="false">IFERROR(VLOOKUP(E:E,'Item Data Support Sheet'!A:O,4,0),0)</f>
        <v>28.6</v>
      </c>
      <c r="AA904" s="93" t="n">
        <f aca="false">IFERROR(((N904)*(Z904/1000))+P904,0)</f>
        <v>25.8256</v>
      </c>
      <c r="AB904" s="94" t="n">
        <f aca="false">IFERROR((O904*(Z904/1000)/(AA904))," ")</f>
        <v>0.919165479214423</v>
      </c>
      <c r="AC904" s="95" t="n">
        <f aca="false">IFERROR((T904)/((T904)+O904),0)</f>
        <v>0.0459770114942529</v>
      </c>
      <c r="AD904" s="96" t="n">
        <f aca="false">IFERROR(Q904/(Q904+N904),0)</f>
        <v>0.0281995661605206</v>
      </c>
      <c r="AE904" s="91" t="n">
        <f aca="false">(N904-T904)/N904</f>
        <v>0.955357142857143</v>
      </c>
      <c r="AF904" s="97" t="n">
        <f aca="false">BR904</f>
        <v>0</v>
      </c>
      <c r="AG904" s="98" t="n">
        <f aca="false">K904-AF904</f>
        <v>2</v>
      </c>
      <c r="AH904" s="99" t="n">
        <f aca="false">IFERROR(AG904/K904," ")</f>
        <v>1</v>
      </c>
      <c r="AI904" s="100" t="n">
        <f aca="false">IFERROR(O904/K904,0)</f>
        <v>415</v>
      </c>
      <c r="AJ904" s="101" t="n">
        <f aca="false">VLOOKUP(D904,'Standard Cycle time'!C:D,2,0)</f>
        <v>9</v>
      </c>
      <c r="AK904" s="101" t="n">
        <f aca="false">AG904*V904*3600/O904</f>
        <v>8.67469879518072</v>
      </c>
      <c r="AL904" s="102" t="n">
        <f aca="false">AJ904/AK904</f>
        <v>1.0375</v>
      </c>
      <c r="AM904" s="99" t="n">
        <f aca="false">AE904*AL904*AH904</f>
        <v>0.991183035714286</v>
      </c>
      <c r="AN904" s="103" t="n">
        <v>0.991183035714286</v>
      </c>
      <c r="AO904" s="112"/>
      <c r="AP904" s="105" t="n">
        <v>0</v>
      </c>
      <c r="AQ904" s="105" t="n">
        <v>0</v>
      </c>
      <c r="AR904" s="105" t="n">
        <v>0</v>
      </c>
      <c r="AS904" s="105" t="n">
        <v>0</v>
      </c>
      <c r="AT904" s="105" t="n">
        <v>0</v>
      </c>
      <c r="AU904" s="105" t="n">
        <v>0</v>
      </c>
      <c r="AV904" s="105" t="n">
        <v>0</v>
      </c>
      <c r="AW904" s="105" t="n">
        <v>0</v>
      </c>
      <c r="AX904" s="105" t="n">
        <v>0</v>
      </c>
      <c r="AY904" s="105" t="n">
        <v>0</v>
      </c>
      <c r="AZ904" s="105" t="n">
        <v>0</v>
      </c>
      <c r="BA904" s="105" t="n">
        <v>0</v>
      </c>
      <c r="BB904" s="105" t="n">
        <v>0</v>
      </c>
      <c r="BC904" s="105" t="n">
        <v>0</v>
      </c>
      <c r="BD904" s="105" t="n">
        <v>0</v>
      </c>
      <c r="BE904" s="105" t="n">
        <v>0</v>
      </c>
      <c r="BF904" s="105" t="n">
        <v>0</v>
      </c>
      <c r="BG904" s="105" t="n">
        <v>0</v>
      </c>
      <c r="BH904" s="105" t="n">
        <v>0</v>
      </c>
      <c r="BI904" s="105" t="n">
        <v>0</v>
      </c>
      <c r="BJ904" s="105" t="n">
        <v>0</v>
      </c>
      <c r="BK904" s="105" t="n">
        <v>0</v>
      </c>
      <c r="BL904" s="105" t="n">
        <v>0</v>
      </c>
      <c r="BM904" s="105" t="n">
        <v>0</v>
      </c>
      <c r="BN904" s="105" t="n">
        <v>0</v>
      </c>
      <c r="BO904" s="105" t="n">
        <v>0</v>
      </c>
      <c r="BP904" s="105" t="n">
        <v>0</v>
      </c>
      <c r="BQ904" s="105" t="n">
        <v>0</v>
      </c>
      <c r="BR904" s="106" t="n">
        <v>0</v>
      </c>
      <c r="BS904" s="106" t="n">
        <v>0</v>
      </c>
      <c r="BT904" s="107"/>
      <c r="BU904" s="107"/>
      <c r="BV904" s="107"/>
      <c r="BW904" s="107"/>
      <c r="BX904" s="107"/>
      <c r="BY904" s="107"/>
      <c r="BZ904" s="107"/>
      <c r="CA904" s="107"/>
      <c r="CB904" s="107"/>
      <c r="CC904" s="107"/>
      <c r="CD904" s="107"/>
      <c r="CE904" s="107"/>
      <c r="CF904" s="107"/>
      <c r="CG904" s="107"/>
      <c r="CH904" s="107"/>
      <c r="CI904" s="107"/>
      <c r="CJ904" s="107"/>
      <c r="CK904" s="107"/>
      <c r="CL904" s="107"/>
      <c r="CM904" s="107"/>
      <c r="CN904" s="107"/>
      <c r="CO904" s="107"/>
      <c r="CP904" s="107"/>
      <c r="CQ904" s="107"/>
      <c r="CR904" s="107"/>
      <c r="CS904" s="107"/>
      <c r="CT904" s="107"/>
      <c r="CU904" s="107"/>
      <c r="CV904" s="107"/>
    </row>
    <row r="905" customFormat="false" ht="14.9" hidden="false" customHeight="false" outlineLevel="0" collapsed="false">
      <c r="A905" s="74" t="n">
        <f aca="false">MONTH(B905)</f>
        <v>10</v>
      </c>
      <c r="B905" s="135" t="n">
        <v>44481</v>
      </c>
      <c r="C905" s="128" t="s">
        <v>70</v>
      </c>
      <c r="D905" s="77" t="str">
        <f aca="false">IFERROR(VLOOKUP(E:E,'Item Data Support Sheet'!A:O,7,0),"")</f>
        <v>BOTTLE MOLDED</v>
      </c>
      <c r="E905" s="80" t="s">
        <v>69</v>
      </c>
      <c r="F905" s="122" t="s">
        <v>73</v>
      </c>
      <c r="G905" s="137" t="s">
        <v>80</v>
      </c>
      <c r="H905" s="79" t="str">
        <f aca="false">IFERROR(VLOOKUP(E:E,'Item Data Support Sheet'!A:O,2,0),"")</f>
        <v>KPP 240 ML BOTTLE MOLDED</v>
      </c>
      <c r="I905" s="80" t="s">
        <v>1664</v>
      </c>
      <c r="J905" s="80" t="s">
        <v>155</v>
      </c>
      <c r="K905" s="124" t="n">
        <v>8</v>
      </c>
      <c r="L905" s="124" t="n">
        <v>2503</v>
      </c>
      <c r="M905" s="83" t="n">
        <v>312.875</v>
      </c>
      <c r="N905" s="84" t="n">
        <f aca="false">+O905+Q905+T905+U905</f>
        <v>3498</v>
      </c>
      <c r="O905" s="85" t="n">
        <v>3348</v>
      </c>
      <c r="P905" s="86" t="n">
        <v>0.615</v>
      </c>
      <c r="Q905" s="86" t="n">
        <v>70</v>
      </c>
      <c r="R905" s="132" t="n">
        <v>0</v>
      </c>
      <c r="S905" s="128" t="n">
        <v>0</v>
      </c>
      <c r="T905" s="132" t="n">
        <v>80</v>
      </c>
      <c r="U905" s="128" t="n">
        <v>0</v>
      </c>
      <c r="V905" s="128" t="n">
        <v>1</v>
      </c>
      <c r="W905" s="90" t="n">
        <f aca="false">IFERROR(O905/V905,0)</f>
        <v>3348</v>
      </c>
      <c r="X905" s="91" t="n">
        <f aca="false">O905/L905</f>
        <v>1.33759488613664</v>
      </c>
      <c r="Y905" s="92" t="str">
        <f aca="false">IFERROR(VLOOKUP(E:E,'Item Data Support Sheet'!A:J,6,0),0)</f>
        <v>HMC</v>
      </c>
      <c r="Z905" s="93" t="n">
        <f aca="false">IFERROR(VLOOKUP(E:E,'Item Data Support Sheet'!A:O,4,0),0)</f>
        <v>32.1</v>
      </c>
      <c r="AA905" s="93" t="n">
        <f aca="false">IFERROR(((N905)*(Z905/1000))+P905,0)</f>
        <v>112.9008</v>
      </c>
      <c r="AB905" s="94" t="n">
        <f aca="false">IFERROR((O905*(Z905/1000)/(AA905))," ")</f>
        <v>0.95190468092343</v>
      </c>
      <c r="AC905" s="95" t="n">
        <f aca="false">IFERROR((T905)/((T905)+O905),0)</f>
        <v>0.0233372228704784</v>
      </c>
      <c r="AD905" s="96" t="n">
        <f aca="false">IFERROR(Q905/(Q905+N905),0)</f>
        <v>0.0196188340807175</v>
      </c>
      <c r="AE905" s="91" t="n">
        <f aca="false">(N905-T905)/N905</f>
        <v>0.977129788450543</v>
      </c>
      <c r="AF905" s="97" t="n">
        <f aca="false">BR905</f>
        <v>0</v>
      </c>
      <c r="AG905" s="98" t="n">
        <f aca="false">K905-AF905</f>
        <v>8</v>
      </c>
      <c r="AH905" s="99" t="n">
        <f aca="false">IFERROR(AG905/K905," ")</f>
        <v>1</v>
      </c>
      <c r="AI905" s="100" t="n">
        <f aca="false">IFERROR(O905/K905,0)</f>
        <v>418.5</v>
      </c>
      <c r="AJ905" s="101" t="n">
        <f aca="false">VLOOKUP(D905,'Standard Cycle time'!C:D,2,0)</f>
        <v>9</v>
      </c>
      <c r="AK905" s="101" t="n">
        <f aca="false">AG905*V905*3600/O905</f>
        <v>8.60215053763441</v>
      </c>
      <c r="AL905" s="102" t="n">
        <f aca="false">AJ905/AK905</f>
        <v>1.04625</v>
      </c>
      <c r="AM905" s="99" t="n">
        <f aca="false">AE905*AL905*AH905</f>
        <v>1.02232204116638</v>
      </c>
      <c r="AN905" s="103" t="n">
        <v>1.02232204116638</v>
      </c>
      <c r="AO905" s="112"/>
      <c r="AP905" s="105" t="n">
        <v>0</v>
      </c>
      <c r="AQ905" s="105" t="n">
        <v>0</v>
      </c>
      <c r="AR905" s="105" t="n">
        <v>0</v>
      </c>
      <c r="AS905" s="105" t="n">
        <v>0</v>
      </c>
      <c r="AT905" s="105" t="n">
        <v>0</v>
      </c>
      <c r="AU905" s="105" t="n">
        <v>0</v>
      </c>
      <c r="AV905" s="105" t="n">
        <v>0</v>
      </c>
      <c r="AW905" s="105" t="n">
        <v>0</v>
      </c>
      <c r="AX905" s="105" t="n">
        <v>0</v>
      </c>
      <c r="AY905" s="105" t="n">
        <v>0</v>
      </c>
      <c r="AZ905" s="105" t="n">
        <v>0</v>
      </c>
      <c r="BA905" s="105" t="n">
        <v>0</v>
      </c>
      <c r="BB905" s="105" t="n">
        <v>0</v>
      </c>
      <c r="BC905" s="105" t="n">
        <v>0</v>
      </c>
      <c r="BD905" s="105" t="n">
        <v>0</v>
      </c>
      <c r="BE905" s="105" t="n">
        <v>0</v>
      </c>
      <c r="BF905" s="105" t="n">
        <v>0</v>
      </c>
      <c r="BG905" s="105" t="n">
        <v>0</v>
      </c>
      <c r="BH905" s="105" t="n">
        <v>0</v>
      </c>
      <c r="BI905" s="105" t="n">
        <v>0</v>
      </c>
      <c r="BJ905" s="105" t="n">
        <v>0</v>
      </c>
      <c r="BK905" s="105" t="n">
        <v>0</v>
      </c>
      <c r="BL905" s="105" t="n">
        <v>0</v>
      </c>
      <c r="BM905" s="105" t="n">
        <v>0</v>
      </c>
      <c r="BN905" s="105" t="n">
        <v>0</v>
      </c>
      <c r="BO905" s="105" t="n">
        <v>0</v>
      </c>
      <c r="BP905" s="105" t="n">
        <v>0</v>
      </c>
      <c r="BQ905" s="105" t="n">
        <v>0</v>
      </c>
      <c r="BR905" s="106" t="n">
        <v>0</v>
      </c>
      <c r="BS905" s="106" t="n">
        <v>0</v>
      </c>
      <c r="BT905" s="107"/>
      <c r="BU905" s="107"/>
      <c r="BV905" s="107"/>
      <c r="BW905" s="107"/>
      <c r="BX905" s="107"/>
      <c r="BY905" s="107"/>
      <c r="BZ905" s="107"/>
      <c r="CA905" s="107"/>
      <c r="CB905" s="107"/>
      <c r="CC905" s="107"/>
      <c r="CD905" s="107"/>
      <c r="CE905" s="107"/>
      <c r="CF905" s="107"/>
      <c r="CG905" s="107"/>
      <c r="CH905" s="107"/>
      <c r="CI905" s="107"/>
      <c r="CJ905" s="107"/>
      <c r="CK905" s="107"/>
      <c r="CL905" s="107"/>
      <c r="CM905" s="107"/>
      <c r="CN905" s="107"/>
      <c r="CO905" s="107"/>
      <c r="CP905" s="107"/>
      <c r="CQ905" s="107"/>
      <c r="CR905" s="107"/>
      <c r="CS905" s="107"/>
      <c r="CT905" s="107"/>
      <c r="CU905" s="107"/>
      <c r="CV905" s="107"/>
    </row>
    <row r="906" customFormat="false" ht="14.9" hidden="false" customHeight="false" outlineLevel="0" collapsed="false">
      <c r="A906" s="74" t="n">
        <f aca="false">MONTH(B906)</f>
        <v>10</v>
      </c>
      <c r="B906" s="135" t="n">
        <v>44481</v>
      </c>
      <c r="C906" s="128" t="s">
        <v>70</v>
      </c>
      <c r="D906" s="77" t="str">
        <f aca="false">IFERROR(VLOOKUP(E:E,'Item Data Support Sheet'!A:O,7,0),"")</f>
        <v>CAP MOLDED</v>
      </c>
      <c r="E906" s="80" t="s">
        <v>420</v>
      </c>
      <c r="F906" s="122"/>
      <c r="G906" s="137" t="s">
        <v>1595</v>
      </c>
      <c r="H906" s="79" t="str">
        <f aca="false">IFERROR(VLOOKUP(E:E,'Item Data Support Sheet'!A:O,2,0),"")</f>
        <v>CAP S TYPE MOLDED PALE BLUE</v>
      </c>
      <c r="I906" s="80" t="s">
        <v>1665</v>
      </c>
      <c r="J906" s="80" t="s">
        <v>155</v>
      </c>
      <c r="K906" s="124" t="n">
        <v>2</v>
      </c>
      <c r="L906" s="124" t="n">
        <v>1034</v>
      </c>
      <c r="M906" s="83" t="n">
        <v>517</v>
      </c>
      <c r="N906" s="84" t="n">
        <f aca="false">+O906+Q906+T906+U906</f>
        <v>990</v>
      </c>
      <c r="O906" s="85" t="n">
        <v>990</v>
      </c>
      <c r="P906" s="86" t="n">
        <v>0</v>
      </c>
      <c r="Q906" s="86" t="n">
        <v>0</v>
      </c>
      <c r="R906" s="132" t="n">
        <v>0</v>
      </c>
      <c r="S906" s="128" t="n">
        <v>0</v>
      </c>
      <c r="T906" s="132" t="n">
        <v>0</v>
      </c>
      <c r="U906" s="128" t="n">
        <v>0</v>
      </c>
      <c r="V906" s="128" t="n">
        <v>1</v>
      </c>
      <c r="W906" s="90" t="n">
        <f aca="false">IFERROR(O906/V906,0)</f>
        <v>990</v>
      </c>
      <c r="X906" s="91" t="n">
        <f aca="false">O906/L906</f>
        <v>0.957446808510638</v>
      </c>
      <c r="Y906" s="92" t="str">
        <f aca="false">IFERROR(VLOOKUP(E:E,'Item Data Support Sheet'!A:J,6,0),0)</f>
        <v>RM000115</v>
      </c>
      <c r="Z906" s="93" t="n">
        <f aca="false">IFERROR(VLOOKUP(E:E,'Item Data Support Sheet'!A:O,4,0),0)</f>
        <v>7.3</v>
      </c>
      <c r="AA906" s="93" t="n">
        <f aca="false">IFERROR(((N906)*(Z906/1000))+P906,0)</f>
        <v>7.227</v>
      </c>
      <c r="AB906" s="94" t="n">
        <f aca="false">IFERROR((O906*(Z906/1000)/(AA906))," ")</f>
        <v>1</v>
      </c>
      <c r="AC906" s="95" t="n">
        <f aca="false">IFERROR((T906)/((T906)+O906),0)</f>
        <v>0</v>
      </c>
      <c r="AD906" s="96" t="n">
        <f aca="false">IFERROR(Q906/(Q906+N906),0)</f>
        <v>0</v>
      </c>
      <c r="AE906" s="91" t="n">
        <f aca="false">(N906-T906)/N906</f>
        <v>1</v>
      </c>
      <c r="AF906" s="97" t="n">
        <f aca="false">BR906</f>
        <v>0.5</v>
      </c>
      <c r="AG906" s="98" t="n">
        <f aca="false">K906-AF906</f>
        <v>1.5</v>
      </c>
      <c r="AH906" s="99" t="n">
        <f aca="false">IFERROR(AG906/K906," ")</f>
        <v>0.75</v>
      </c>
      <c r="AI906" s="100" t="n">
        <f aca="false">IFERROR(O906/K906,0)</f>
        <v>495</v>
      </c>
      <c r="AJ906" s="101" t="n">
        <f aca="false">VLOOKUP(D906,'Standard Cycle time'!C:D,2,0)</f>
        <v>6</v>
      </c>
      <c r="AK906" s="101" t="n">
        <f aca="false">AG906*V906*3600/O906</f>
        <v>5.45454545454545</v>
      </c>
      <c r="AL906" s="102" t="n">
        <f aca="false">AJ906/AK906</f>
        <v>1.1</v>
      </c>
      <c r="AM906" s="99" t="n">
        <f aca="false">AE906*AL906*AH906</f>
        <v>0.825</v>
      </c>
      <c r="AN906" s="103" t="n">
        <v>0.825</v>
      </c>
      <c r="AO906" s="112"/>
      <c r="AP906" s="105" t="n">
        <v>0</v>
      </c>
      <c r="AQ906" s="105" t="n">
        <v>0</v>
      </c>
      <c r="AR906" s="105" t="n">
        <v>0</v>
      </c>
      <c r="AS906" s="105" t="n">
        <v>0</v>
      </c>
      <c r="AT906" s="105" t="n">
        <v>0</v>
      </c>
      <c r="AU906" s="105" t="n">
        <v>0</v>
      </c>
      <c r="AV906" s="105" t="n">
        <v>30</v>
      </c>
      <c r="AW906" s="105" t="n">
        <v>0</v>
      </c>
      <c r="AX906" s="105" t="n">
        <v>0</v>
      </c>
      <c r="AY906" s="105" t="n">
        <v>0</v>
      </c>
      <c r="AZ906" s="105" t="n">
        <v>0</v>
      </c>
      <c r="BA906" s="105" t="n">
        <v>0</v>
      </c>
      <c r="BB906" s="105" t="n">
        <v>0</v>
      </c>
      <c r="BC906" s="105" t="n">
        <v>0</v>
      </c>
      <c r="BD906" s="105" t="n">
        <v>0</v>
      </c>
      <c r="BE906" s="105" t="n">
        <v>0</v>
      </c>
      <c r="BF906" s="105" t="n">
        <v>0</v>
      </c>
      <c r="BG906" s="105" t="n">
        <v>0</v>
      </c>
      <c r="BH906" s="105" t="n">
        <v>0</v>
      </c>
      <c r="BI906" s="105" t="n">
        <v>0</v>
      </c>
      <c r="BJ906" s="105" t="n">
        <v>0</v>
      </c>
      <c r="BK906" s="105" t="n">
        <v>0</v>
      </c>
      <c r="BL906" s="105" t="n">
        <v>0</v>
      </c>
      <c r="BM906" s="105" t="n">
        <v>0</v>
      </c>
      <c r="BN906" s="105" t="n">
        <v>0</v>
      </c>
      <c r="BO906" s="105" t="n">
        <v>0</v>
      </c>
      <c r="BP906" s="105" t="n">
        <v>0</v>
      </c>
      <c r="BQ906" s="105" t="n">
        <v>0</v>
      </c>
      <c r="BR906" s="106" t="n">
        <v>0.5</v>
      </c>
      <c r="BS906" s="106" t="n">
        <v>0.5</v>
      </c>
      <c r="BT906" s="107"/>
      <c r="BU906" s="107"/>
      <c r="BV906" s="107"/>
      <c r="BW906" s="107"/>
      <c r="BX906" s="107"/>
      <c r="BY906" s="107"/>
      <c r="BZ906" s="107"/>
      <c r="CA906" s="107"/>
      <c r="CB906" s="107"/>
      <c r="CC906" s="107"/>
      <c r="CD906" s="107"/>
      <c r="CE906" s="107"/>
      <c r="CF906" s="107"/>
      <c r="CG906" s="107"/>
      <c r="CH906" s="107"/>
      <c r="CI906" s="107"/>
      <c r="CJ906" s="107"/>
      <c r="CK906" s="107"/>
      <c r="CL906" s="107"/>
      <c r="CM906" s="107"/>
      <c r="CN906" s="107"/>
      <c r="CO906" s="107"/>
      <c r="CP906" s="107"/>
      <c r="CQ906" s="107"/>
      <c r="CR906" s="107"/>
      <c r="CS906" s="107"/>
      <c r="CT906" s="107"/>
      <c r="CU906" s="107"/>
      <c r="CV906" s="107"/>
    </row>
    <row r="907" customFormat="false" ht="14.9" hidden="false" customHeight="false" outlineLevel="0" collapsed="false">
      <c r="A907" s="74" t="n">
        <f aca="false">MONTH(B907)</f>
        <v>10</v>
      </c>
      <c r="B907" s="135" t="n">
        <v>44481</v>
      </c>
      <c r="C907" s="128" t="s">
        <v>70</v>
      </c>
      <c r="D907" s="77" t="str">
        <f aca="false">IFERROR(VLOOKUP(E:E,'Item Data Support Sheet'!A:O,7,0),"")</f>
        <v>CAP MOLDED</v>
      </c>
      <c r="E907" s="80" t="s">
        <v>420</v>
      </c>
      <c r="F907" s="122"/>
      <c r="G907" s="137" t="s">
        <v>1215</v>
      </c>
      <c r="H907" s="79" t="str">
        <f aca="false">IFERROR(VLOOKUP(E:E,'Item Data Support Sheet'!A:O,2,0),"")</f>
        <v>CAP S TYPE MOLDED PALE BLUE</v>
      </c>
      <c r="I907" s="80" t="s">
        <v>1666</v>
      </c>
      <c r="J907" s="80" t="s">
        <v>155</v>
      </c>
      <c r="K907" s="124" t="n">
        <v>6</v>
      </c>
      <c r="L907" s="124" t="n">
        <v>3200</v>
      </c>
      <c r="M907" s="83" t="n">
        <v>533.333333333333</v>
      </c>
      <c r="N907" s="84" t="n">
        <f aca="false">+O907+Q907+T907+U907</f>
        <v>3400</v>
      </c>
      <c r="O907" s="85" t="n">
        <v>3400</v>
      </c>
      <c r="P907" s="86" t="n">
        <v>0.2</v>
      </c>
      <c r="Q907" s="86" t="n">
        <v>0</v>
      </c>
      <c r="R907" s="132" t="n">
        <v>0</v>
      </c>
      <c r="S907" s="128" t="n">
        <v>0</v>
      </c>
      <c r="T907" s="132" t="n">
        <v>0</v>
      </c>
      <c r="U907" s="128" t="n">
        <v>0</v>
      </c>
      <c r="V907" s="128" t="n">
        <v>1</v>
      </c>
      <c r="W907" s="90" t="n">
        <f aca="false">IFERROR(O907/V907,0)</f>
        <v>3400</v>
      </c>
      <c r="X907" s="91" t="n">
        <f aca="false">O907/L907</f>
        <v>1.0625</v>
      </c>
      <c r="Y907" s="92" t="str">
        <f aca="false">IFERROR(VLOOKUP(E:E,'Item Data Support Sheet'!A:J,6,0),0)</f>
        <v>RM000115</v>
      </c>
      <c r="Z907" s="93" t="n">
        <f aca="false">IFERROR(VLOOKUP(E:E,'Item Data Support Sheet'!A:O,4,0),0)</f>
        <v>7.3</v>
      </c>
      <c r="AA907" s="93" t="n">
        <f aca="false">IFERROR(((N907)*(Z907/1000))+P907,0)</f>
        <v>25.02</v>
      </c>
      <c r="AB907" s="94" t="n">
        <f aca="false">IFERROR((O907*(Z907/1000)/(AA907))," ")</f>
        <v>0.992006394884093</v>
      </c>
      <c r="AC907" s="95" t="n">
        <f aca="false">IFERROR((T907)/((T907)+O907),0)</f>
        <v>0</v>
      </c>
      <c r="AD907" s="96" t="n">
        <f aca="false">IFERROR(Q907/(Q907+N907),0)</f>
        <v>0</v>
      </c>
      <c r="AE907" s="91" t="n">
        <f aca="false">(N907-T907)/N907</f>
        <v>1</v>
      </c>
      <c r="AF907" s="97" t="n">
        <f aca="false">BR907</f>
        <v>0</v>
      </c>
      <c r="AG907" s="98" t="n">
        <f aca="false">K907-AF907</f>
        <v>6</v>
      </c>
      <c r="AH907" s="99" t="n">
        <f aca="false">IFERROR(AG907/K907," ")</f>
        <v>1</v>
      </c>
      <c r="AI907" s="100" t="n">
        <f aca="false">IFERROR(O907/K907,0)</f>
        <v>566.666666666667</v>
      </c>
      <c r="AJ907" s="101" t="n">
        <f aca="false">VLOOKUP(D907,'Standard Cycle time'!C:D,2,0)</f>
        <v>6</v>
      </c>
      <c r="AK907" s="101" t="n">
        <f aca="false">AG907*V907*3600/O907</f>
        <v>6.35294117647059</v>
      </c>
      <c r="AL907" s="102" t="n">
        <f aca="false">AJ907/AK907</f>
        <v>0.944444444444444</v>
      </c>
      <c r="AM907" s="99" t="n">
        <f aca="false">AE907*AL907*AH907</f>
        <v>0.944444444444444</v>
      </c>
      <c r="AN907" s="103" t="n">
        <v>0.944444444444444</v>
      </c>
      <c r="AO907" s="112"/>
      <c r="AP907" s="105" t="n">
        <v>0</v>
      </c>
      <c r="AQ907" s="105" t="n">
        <v>0</v>
      </c>
      <c r="AR907" s="105" t="n">
        <v>0</v>
      </c>
      <c r="AS907" s="105" t="n">
        <v>0</v>
      </c>
      <c r="AT907" s="105" t="n">
        <v>0</v>
      </c>
      <c r="AU907" s="105" t="n">
        <v>0</v>
      </c>
      <c r="AV907" s="105" t="n">
        <v>0</v>
      </c>
      <c r="AW907" s="105" t="n">
        <v>0</v>
      </c>
      <c r="AX907" s="105" t="n">
        <v>0</v>
      </c>
      <c r="AY907" s="105" t="n">
        <v>0</v>
      </c>
      <c r="AZ907" s="105" t="n">
        <v>0</v>
      </c>
      <c r="BA907" s="105" t="n">
        <v>0</v>
      </c>
      <c r="BB907" s="105" t="n">
        <v>0</v>
      </c>
      <c r="BC907" s="105" t="n">
        <v>0</v>
      </c>
      <c r="BD907" s="105" t="n">
        <v>0</v>
      </c>
      <c r="BE907" s="105" t="n">
        <v>0</v>
      </c>
      <c r="BF907" s="105" t="n">
        <v>0</v>
      </c>
      <c r="BG907" s="105" t="n">
        <v>0</v>
      </c>
      <c r="BH907" s="105" t="n">
        <v>0</v>
      </c>
      <c r="BI907" s="105" t="n">
        <v>0</v>
      </c>
      <c r="BJ907" s="105" t="n">
        <v>0</v>
      </c>
      <c r="BK907" s="105" t="n">
        <v>0</v>
      </c>
      <c r="BL907" s="105" t="n">
        <v>0</v>
      </c>
      <c r="BM907" s="105" t="n">
        <v>0</v>
      </c>
      <c r="BN907" s="105" t="n">
        <v>0</v>
      </c>
      <c r="BO907" s="105" t="n">
        <v>0</v>
      </c>
      <c r="BP907" s="105" t="n">
        <v>0</v>
      </c>
      <c r="BQ907" s="105" t="n">
        <v>0</v>
      </c>
      <c r="BR907" s="106" t="n">
        <v>0</v>
      </c>
      <c r="BS907" s="106" t="n">
        <v>0</v>
      </c>
      <c r="BT907" s="107"/>
      <c r="BU907" s="107"/>
      <c r="BV907" s="107"/>
      <c r="BW907" s="107"/>
      <c r="BX907" s="107"/>
      <c r="BY907" s="107"/>
      <c r="BZ907" s="107"/>
      <c r="CA907" s="107"/>
      <c r="CB907" s="107"/>
      <c r="CC907" s="107"/>
      <c r="CD907" s="107"/>
      <c r="CE907" s="107"/>
      <c r="CF907" s="107"/>
      <c r="CG907" s="107"/>
      <c r="CH907" s="107"/>
      <c r="CI907" s="107"/>
      <c r="CJ907" s="107"/>
      <c r="CK907" s="107"/>
      <c r="CL907" s="107"/>
      <c r="CM907" s="107"/>
      <c r="CN907" s="107"/>
      <c r="CO907" s="107"/>
      <c r="CP907" s="107"/>
      <c r="CQ907" s="107"/>
      <c r="CR907" s="107"/>
      <c r="CS907" s="107"/>
      <c r="CT907" s="107"/>
      <c r="CU907" s="107"/>
      <c r="CV907" s="107"/>
    </row>
    <row r="908" customFormat="false" ht="14.9" hidden="false" customHeight="false" outlineLevel="0" collapsed="false">
      <c r="A908" s="74" t="n">
        <f aca="false">MONTH(B908)</f>
        <v>10</v>
      </c>
      <c r="B908" s="135" t="n">
        <v>44481</v>
      </c>
      <c r="C908" s="128" t="s">
        <v>70</v>
      </c>
      <c r="D908" s="77" t="str">
        <f aca="false">IFERROR(VLOOKUP(E:E,'Item Data Support Sheet'!A:O,7,0),"")</f>
        <v>NIPPLE MOLDED</v>
      </c>
      <c r="E908" s="80" t="s">
        <v>661</v>
      </c>
      <c r="F908" s="122" t="s">
        <v>137</v>
      </c>
      <c r="G908" s="137" t="s">
        <v>138</v>
      </c>
      <c r="H908" s="79" t="str">
        <f aca="false">IFERROR(VLOOKUP(E:E,'Item Data Support Sheet'!A:O,2,0),"")</f>
        <v>NIPPLE S TYPE L SIZE INJECTION</v>
      </c>
      <c r="I908" s="80" t="s">
        <v>1667</v>
      </c>
      <c r="J908" s="80" t="s">
        <v>155</v>
      </c>
      <c r="K908" s="124" t="n">
        <v>8</v>
      </c>
      <c r="L908" s="124" t="n">
        <v>4815</v>
      </c>
      <c r="M908" s="83" t="n">
        <v>601.875</v>
      </c>
      <c r="N908" s="84" t="n">
        <f aca="false">+O908+Q908+T908+U908</f>
        <v>5565</v>
      </c>
      <c r="O908" s="85" t="n">
        <v>5500</v>
      </c>
      <c r="P908" s="86" t="n">
        <v>0</v>
      </c>
      <c r="Q908" s="86" t="n">
        <v>20</v>
      </c>
      <c r="R908" s="132" t="n">
        <v>0</v>
      </c>
      <c r="S908" s="128" t="n">
        <v>0</v>
      </c>
      <c r="T908" s="132" t="n">
        <v>45</v>
      </c>
      <c r="U908" s="128" t="n">
        <v>0</v>
      </c>
      <c r="V908" s="128" t="n">
        <v>1</v>
      </c>
      <c r="W908" s="90" t="n">
        <f aca="false">IFERROR(O908/V908,0)</f>
        <v>5500</v>
      </c>
      <c r="X908" s="91" t="n">
        <f aca="false">O908/L908</f>
        <v>1.14226375908619</v>
      </c>
      <c r="Y908" s="92" t="str">
        <f aca="false">IFERROR(VLOOKUP(E:E,'Item Data Support Sheet'!A:J,6,0),0)</f>
        <v>Silicon</v>
      </c>
      <c r="Z908" s="93" t="n">
        <f aca="false">IFERROR(VLOOKUP(E:E,'Item Data Support Sheet'!A:O,4,0),0)</f>
        <v>6.8</v>
      </c>
      <c r="AA908" s="93" t="n">
        <f aca="false">IFERROR(((N908)*(Z908/1000))+P908,0)</f>
        <v>37.842</v>
      </c>
      <c r="AB908" s="94" t="n">
        <f aca="false">IFERROR((O908*(Z908/1000)/(AA908))," ")</f>
        <v>0.988319856244384</v>
      </c>
      <c r="AC908" s="95" t="n">
        <f aca="false">IFERROR((T908)/((T908)+O908),0)</f>
        <v>0.00811541929666366</v>
      </c>
      <c r="AD908" s="96" t="n">
        <f aca="false">IFERROR(Q908/(Q908+N908),0)</f>
        <v>0.0035810205908684</v>
      </c>
      <c r="AE908" s="91" t="n">
        <f aca="false">(N908-T908)/N908</f>
        <v>0.991913746630728</v>
      </c>
      <c r="AF908" s="97" t="n">
        <f aca="false">BR908</f>
        <v>0</v>
      </c>
      <c r="AG908" s="98" t="n">
        <f aca="false">K908-AF908</f>
        <v>8</v>
      </c>
      <c r="AH908" s="99" t="n">
        <f aca="false">IFERROR(AG908/K908," ")</f>
        <v>1</v>
      </c>
      <c r="AI908" s="100" t="n">
        <f aca="false">IFERROR(O908/K908,0)</f>
        <v>687.5</v>
      </c>
      <c r="AJ908" s="101" t="n">
        <f aca="false">VLOOKUP(D908,'Standard Cycle time'!C:D,2,0)</f>
        <v>5.25</v>
      </c>
      <c r="AK908" s="101" t="n">
        <f aca="false">AG908*V908*3600/O908</f>
        <v>5.23636363636364</v>
      </c>
      <c r="AL908" s="102" t="n">
        <f aca="false">AJ908/AK908</f>
        <v>1.00260416666667</v>
      </c>
      <c r="AM908" s="99" t="n">
        <f aca="false">AE908*AL908*AH908</f>
        <v>0.994496855345912</v>
      </c>
      <c r="AN908" s="103" t="n">
        <v>0.994496855345912</v>
      </c>
      <c r="AO908" s="112"/>
      <c r="AP908" s="105" t="n">
        <v>0</v>
      </c>
      <c r="AQ908" s="105" t="n">
        <v>0</v>
      </c>
      <c r="AR908" s="105" t="n">
        <v>0</v>
      </c>
      <c r="AS908" s="105" t="n">
        <v>0</v>
      </c>
      <c r="AT908" s="105" t="n">
        <v>0</v>
      </c>
      <c r="AU908" s="105" t="n">
        <v>0</v>
      </c>
      <c r="AV908" s="105" t="n">
        <v>0</v>
      </c>
      <c r="AW908" s="105" t="n">
        <v>0</v>
      </c>
      <c r="AX908" s="105" t="n">
        <v>0</v>
      </c>
      <c r="AY908" s="105" t="n">
        <v>0</v>
      </c>
      <c r="AZ908" s="105" t="n">
        <v>0</v>
      </c>
      <c r="BA908" s="105" t="n">
        <v>0</v>
      </c>
      <c r="BB908" s="105" t="n">
        <v>0</v>
      </c>
      <c r="BC908" s="105" t="n">
        <v>0</v>
      </c>
      <c r="BD908" s="105" t="n">
        <v>0</v>
      </c>
      <c r="BE908" s="105" t="n">
        <v>0</v>
      </c>
      <c r="BF908" s="105" t="n">
        <v>0</v>
      </c>
      <c r="BG908" s="105" t="n">
        <v>0</v>
      </c>
      <c r="BH908" s="105" t="n">
        <v>0</v>
      </c>
      <c r="BI908" s="105" t="n">
        <v>0</v>
      </c>
      <c r="BJ908" s="105" t="n">
        <v>0</v>
      </c>
      <c r="BK908" s="105" t="n">
        <v>0</v>
      </c>
      <c r="BL908" s="105" t="n">
        <v>0</v>
      </c>
      <c r="BM908" s="105" t="n">
        <v>0</v>
      </c>
      <c r="BN908" s="105" t="n">
        <v>0</v>
      </c>
      <c r="BO908" s="105" t="n">
        <v>0</v>
      </c>
      <c r="BP908" s="105" t="n">
        <v>0</v>
      </c>
      <c r="BQ908" s="105" t="n">
        <v>0</v>
      </c>
      <c r="BR908" s="106" t="n">
        <v>0</v>
      </c>
      <c r="BS908" s="106" t="n">
        <v>0</v>
      </c>
      <c r="BT908" s="107"/>
      <c r="BU908" s="107"/>
      <c r="BV908" s="107"/>
      <c r="BW908" s="107"/>
      <c r="BX908" s="107"/>
      <c r="BY908" s="107"/>
      <c r="BZ908" s="107"/>
      <c r="CA908" s="107"/>
      <c r="CB908" s="107"/>
      <c r="CC908" s="107"/>
      <c r="CD908" s="107"/>
      <c r="CE908" s="107"/>
      <c r="CF908" s="107"/>
      <c r="CG908" s="107"/>
      <c r="CH908" s="107"/>
      <c r="CI908" s="107"/>
      <c r="CJ908" s="107"/>
      <c r="CK908" s="107"/>
      <c r="CL908" s="107"/>
      <c r="CM908" s="107"/>
      <c r="CN908" s="107"/>
      <c r="CO908" s="107"/>
      <c r="CP908" s="107"/>
      <c r="CQ908" s="107"/>
      <c r="CR908" s="107"/>
      <c r="CS908" s="107"/>
      <c r="CT908" s="107"/>
      <c r="CU908" s="107"/>
      <c r="CV908" s="107"/>
    </row>
    <row r="909" customFormat="false" ht="14.9" hidden="false" customHeight="false" outlineLevel="0" collapsed="false">
      <c r="A909" s="74" t="n">
        <f aca="false">MONTH(B909)</f>
        <v>10</v>
      </c>
      <c r="B909" s="135" t="n">
        <v>44481</v>
      </c>
      <c r="C909" s="128" t="s">
        <v>70</v>
      </c>
      <c r="D909" s="77" t="str">
        <f aca="false">IFERROR(VLOOKUP(E:E,'Item Data Support Sheet'!A:O,7,0),"")</f>
        <v>NIPPLE PUNCH</v>
      </c>
      <c r="E909" s="80" t="s">
        <v>666</v>
      </c>
      <c r="F909" s="122"/>
      <c r="G909" s="137" t="s">
        <v>54</v>
      </c>
      <c r="H909" s="79" t="str">
        <f aca="false">IFERROR(VLOOKUP(E:E,'Item Data Support Sheet'!A:O,2,0),"")</f>
        <v>NIPPLE S TYPE L SIZE PUNCHED</v>
      </c>
      <c r="I909" s="80" t="s">
        <v>1668</v>
      </c>
      <c r="J909" s="80" t="s">
        <v>155</v>
      </c>
      <c r="K909" s="124" t="n">
        <v>8</v>
      </c>
      <c r="L909" s="124" t="n">
        <v>7000</v>
      </c>
      <c r="M909" s="83" t="n">
        <v>875</v>
      </c>
      <c r="N909" s="84" t="n">
        <f aca="false">+O909+Q909+T909+U909</f>
        <v>6750</v>
      </c>
      <c r="O909" s="85" t="n">
        <v>6750</v>
      </c>
      <c r="P909" s="86" t="n">
        <v>0</v>
      </c>
      <c r="Q909" s="86" t="n">
        <v>0</v>
      </c>
      <c r="R909" s="132" t="n">
        <v>0</v>
      </c>
      <c r="S909" s="128" t="n">
        <v>0</v>
      </c>
      <c r="T909" s="132" t="n">
        <v>0</v>
      </c>
      <c r="U909" s="128" t="n">
        <v>0</v>
      </c>
      <c r="V909" s="128" t="n">
        <v>1</v>
      </c>
      <c r="W909" s="90" t="n">
        <f aca="false">IFERROR(O909/V909,0)</f>
        <v>6750</v>
      </c>
      <c r="X909" s="91" t="n">
        <f aca="false">O909/L909</f>
        <v>0.964285714285714</v>
      </c>
      <c r="Y909" s="92" t="str">
        <f aca="false">IFERROR(VLOOKUP(E:E,'Item Data Support Sheet'!A:J,6,0),0)</f>
        <v>FO017</v>
      </c>
      <c r="Z909" s="93" t="n">
        <f aca="false">IFERROR(VLOOKUP(E:E,'Item Data Support Sheet'!A:O,4,0),0)</f>
        <v>0</v>
      </c>
      <c r="AA909" s="93" t="n">
        <f aca="false">IFERROR(((N909)*(Z909/1000))+P909,0)</f>
        <v>0</v>
      </c>
      <c r="AB909" s="94" t="str">
        <f aca="false">IFERROR((O909*(Z909/1000)/(AA909))," ")</f>
        <v> </v>
      </c>
      <c r="AC909" s="95" t="n">
        <f aca="false">IFERROR((T909)/((T909)+O909),0)</f>
        <v>0</v>
      </c>
      <c r="AD909" s="96" t="n">
        <f aca="false">IFERROR(Q909/(Q909+N909),0)</f>
        <v>0</v>
      </c>
      <c r="AE909" s="91" t="n">
        <f aca="false">(N909-T909)/N909</f>
        <v>1</v>
      </c>
      <c r="AF909" s="97" t="n">
        <f aca="false">BR909</f>
        <v>0.666666666666667</v>
      </c>
      <c r="AG909" s="98" t="n">
        <f aca="false">K909-AF909</f>
        <v>7.33333333333333</v>
      </c>
      <c r="AH909" s="99" t="n">
        <f aca="false">IFERROR(AG909/K909," ")</f>
        <v>0.916666666666667</v>
      </c>
      <c r="AI909" s="100" t="n">
        <f aca="false">IFERROR(O909/K909,0)</f>
        <v>843.75</v>
      </c>
      <c r="AJ909" s="101" t="n">
        <f aca="false">VLOOKUP(D909,'Standard Cycle time'!C:D,2,0)</f>
        <v>3.5</v>
      </c>
      <c r="AK909" s="101" t="n">
        <f aca="false">AG909*V909*3600/O909</f>
        <v>3.91111111111111</v>
      </c>
      <c r="AL909" s="102" t="n">
        <f aca="false">AJ909/AK909</f>
        <v>0.894886363636364</v>
      </c>
      <c r="AM909" s="99" t="n">
        <f aca="false">AE909*AL909*AH909</f>
        <v>0.8203125</v>
      </c>
      <c r="AN909" s="103" t="n">
        <v>0.8203125</v>
      </c>
      <c r="AO909" s="112" t="s">
        <v>1669</v>
      </c>
      <c r="AP909" s="105" t="n">
        <v>40</v>
      </c>
      <c r="AQ909" s="105" t="n">
        <v>0</v>
      </c>
      <c r="AR909" s="105" t="n">
        <v>0</v>
      </c>
      <c r="AS909" s="105" t="n">
        <v>0</v>
      </c>
      <c r="AT909" s="105" t="n">
        <v>0</v>
      </c>
      <c r="AU909" s="105" t="n">
        <v>0</v>
      </c>
      <c r="AV909" s="105" t="n">
        <v>0</v>
      </c>
      <c r="AW909" s="105" t="n">
        <v>0</v>
      </c>
      <c r="AX909" s="105" t="n">
        <v>0</v>
      </c>
      <c r="AY909" s="105" t="n">
        <v>0</v>
      </c>
      <c r="AZ909" s="105" t="n">
        <v>0</v>
      </c>
      <c r="BA909" s="105" t="n">
        <v>0</v>
      </c>
      <c r="BB909" s="105" t="n">
        <v>0</v>
      </c>
      <c r="BC909" s="105" t="n">
        <v>0</v>
      </c>
      <c r="BD909" s="105" t="n">
        <v>0</v>
      </c>
      <c r="BE909" s="105" t="n">
        <v>0</v>
      </c>
      <c r="BF909" s="105" t="n">
        <v>0</v>
      </c>
      <c r="BG909" s="105" t="n">
        <v>0</v>
      </c>
      <c r="BH909" s="105" t="n">
        <v>0</v>
      </c>
      <c r="BI909" s="105" t="n">
        <v>0</v>
      </c>
      <c r="BJ909" s="105" t="n">
        <v>0</v>
      </c>
      <c r="BK909" s="105" t="n">
        <v>0</v>
      </c>
      <c r="BL909" s="105" t="n">
        <v>0</v>
      </c>
      <c r="BM909" s="105" t="n">
        <v>0</v>
      </c>
      <c r="BN909" s="105" t="n">
        <v>0</v>
      </c>
      <c r="BO909" s="105" t="n">
        <v>0</v>
      </c>
      <c r="BP909" s="105" t="n">
        <v>0</v>
      </c>
      <c r="BQ909" s="105" t="n">
        <v>0</v>
      </c>
      <c r="BR909" s="106" t="n">
        <v>0.666666666666667</v>
      </c>
      <c r="BS909" s="106" t="n">
        <v>0.666666666666667</v>
      </c>
      <c r="BT909" s="107"/>
      <c r="BU909" s="107"/>
      <c r="BV909" s="107"/>
      <c r="BW909" s="107"/>
      <c r="BX909" s="107"/>
      <c r="BY909" s="107"/>
      <c r="BZ909" s="107"/>
      <c r="CA909" s="107"/>
      <c r="CB909" s="107"/>
      <c r="CC909" s="107"/>
      <c r="CD909" s="107"/>
      <c r="CE909" s="107"/>
      <c r="CF909" s="107"/>
      <c r="CG909" s="107"/>
      <c r="CH909" s="107"/>
      <c r="CI909" s="107"/>
      <c r="CJ909" s="107"/>
      <c r="CK909" s="107"/>
      <c r="CL909" s="107"/>
      <c r="CM909" s="107"/>
      <c r="CN909" s="107"/>
      <c r="CO909" s="107"/>
      <c r="CP909" s="107"/>
      <c r="CQ909" s="107"/>
      <c r="CR909" s="107"/>
      <c r="CS909" s="107"/>
      <c r="CT909" s="107"/>
      <c r="CU909" s="107"/>
      <c r="CV909" s="107"/>
    </row>
    <row r="910" customFormat="false" ht="14.9" hidden="false" customHeight="false" outlineLevel="0" collapsed="false">
      <c r="A910" s="74" t="n">
        <f aca="false">MONTH(B910)</f>
        <v>10</v>
      </c>
      <c r="B910" s="135" t="n">
        <v>44481</v>
      </c>
      <c r="C910" s="128" t="s">
        <v>70</v>
      </c>
      <c r="D910" s="77" t="str">
        <f aca="false">IFERROR(VLOOKUP(E:E,'Item Data Support Sheet'!A:O,7,0),"")</f>
        <v>NIPPLE LASER MARKING</v>
      </c>
      <c r="E910" s="80" t="s">
        <v>681</v>
      </c>
      <c r="F910" s="122"/>
      <c r="G910" s="137" t="s">
        <v>517</v>
      </c>
      <c r="H910" s="79" t="str">
        <f aca="false">IFERROR(VLOOKUP(E:E,'Item Data Support Sheet'!A:O,2,0),"")</f>
        <v>NIPPLE S TYPE L SIZE PUNCHED LASER MARKED</v>
      </c>
      <c r="I910" s="80"/>
      <c r="J910" s="80" t="s">
        <v>155</v>
      </c>
      <c r="K910" s="124" t="n">
        <v>8</v>
      </c>
      <c r="L910" s="124" t="n">
        <v>7000</v>
      </c>
      <c r="M910" s="83" t="n">
        <v>875</v>
      </c>
      <c r="N910" s="84" t="n">
        <f aca="false">+O910+Q910+T910+U910</f>
        <v>6900</v>
      </c>
      <c r="O910" s="85" t="n">
        <v>6900</v>
      </c>
      <c r="P910" s="86" t="n">
        <v>0</v>
      </c>
      <c r="Q910" s="86" t="n">
        <v>0</v>
      </c>
      <c r="R910" s="132" t="n">
        <v>0</v>
      </c>
      <c r="S910" s="128" t="n">
        <v>0</v>
      </c>
      <c r="T910" s="132" t="n">
        <v>0</v>
      </c>
      <c r="U910" s="128" t="n">
        <v>0</v>
      </c>
      <c r="V910" s="128" t="n">
        <v>1</v>
      </c>
      <c r="W910" s="90" t="n">
        <f aca="false">IFERROR(O910/V910,0)</f>
        <v>6900</v>
      </c>
      <c r="X910" s="91" t="n">
        <f aca="false">O910/L910</f>
        <v>0.985714285714286</v>
      </c>
      <c r="Y910" s="92" t="str">
        <f aca="false">IFERROR(VLOOKUP(E:E,'Item Data Support Sheet'!A:J,6,0),0)</f>
        <v>FO021</v>
      </c>
      <c r="Z910" s="93" t="n">
        <f aca="false">IFERROR(VLOOKUP(E:E,'Item Data Support Sheet'!A:O,4,0),0)</f>
        <v>0</v>
      </c>
      <c r="AA910" s="93" t="n">
        <f aca="false">IFERROR(((N910)*(Z910/1000))+P910,0)</f>
        <v>0</v>
      </c>
      <c r="AB910" s="94" t="str">
        <f aca="false">IFERROR((O910*(Z910/1000)/(AA910))," ")</f>
        <v> </v>
      </c>
      <c r="AC910" s="95" t="n">
        <f aca="false">IFERROR((T910)/((T910)+O910),0)</f>
        <v>0</v>
      </c>
      <c r="AD910" s="96" t="n">
        <f aca="false">IFERROR(Q910/(Q910+N910),0)</f>
        <v>0</v>
      </c>
      <c r="AE910" s="91" t="n">
        <f aca="false">(N910-T910)/N910</f>
        <v>1</v>
      </c>
      <c r="AF910" s="97" t="n">
        <f aca="false">BR910</f>
        <v>0.666666666666667</v>
      </c>
      <c r="AG910" s="98" t="n">
        <f aca="false">K910-AF910</f>
        <v>7.33333333333333</v>
      </c>
      <c r="AH910" s="99" t="n">
        <f aca="false">IFERROR(AG910/K910," ")</f>
        <v>0.916666666666667</v>
      </c>
      <c r="AI910" s="100" t="n">
        <f aca="false">IFERROR(O910/K910,0)</f>
        <v>862.5</v>
      </c>
      <c r="AJ910" s="101" t="n">
        <f aca="false">VLOOKUP(D910,'Standard Cycle time'!C:D,2,0)</f>
        <v>3.5</v>
      </c>
      <c r="AK910" s="101" t="n">
        <f aca="false">AG910*V910*3600/O910</f>
        <v>3.82608695652174</v>
      </c>
      <c r="AL910" s="102" t="n">
        <f aca="false">AJ910/AK910</f>
        <v>0.914772727272727</v>
      </c>
      <c r="AM910" s="99" t="n">
        <f aca="false">AE910*AL910*AH910</f>
        <v>0.838541666666667</v>
      </c>
      <c r="AN910" s="103" t="n">
        <v>0.838541666666667</v>
      </c>
      <c r="AO910" s="112"/>
      <c r="AP910" s="105" t="n">
        <v>40</v>
      </c>
      <c r="AQ910" s="105" t="n">
        <v>0</v>
      </c>
      <c r="AR910" s="105" t="n">
        <v>0</v>
      </c>
      <c r="AS910" s="105" t="n">
        <v>0</v>
      </c>
      <c r="AT910" s="105" t="n">
        <v>0</v>
      </c>
      <c r="AU910" s="105" t="n">
        <v>0</v>
      </c>
      <c r="AV910" s="105" t="n">
        <v>0</v>
      </c>
      <c r="AW910" s="105" t="n">
        <v>0</v>
      </c>
      <c r="AX910" s="105" t="n">
        <v>0</v>
      </c>
      <c r="AY910" s="105" t="n">
        <v>0</v>
      </c>
      <c r="AZ910" s="105" t="n">
        <v>0</v>
      </c>
      <c r="BA910" s="105" t="n">
        <v>0</v>
      </c>
      <c r="BB910" s="105" t="n">
        <v>0</v>
      </c>
      <c r="BC910" s="105" t="n">
        <v>0</v>
      </c>
      <c r="BD910" s="105" t="n">
        <v>0</v>
      </c>
      <c r="BE910" s="105" t="n">
        <v>0</v>
      </c>
      <c r="BF910" s="105" t="n">
        <v>0</v>
      </c>
      <c r="BG910" s="105" t="n">
        <v>0</v>
      </c>
      <c r="BH910" s="105" t="n">
        <v>0</v>
      </c>
      <c r="BI910" s="105" t="n">
        <v>0</v>
      </c>
      <c r="BJ910" s="105" t="n">
        <v>0</v>
      </c>
      <c r="BK910" s="105" t="n">
        <v>0</v>
      </c>
      <c r="BL910" s="105" t="n">
        <v>0</v>
      </c>
      <c r="BM910" s="105" t="n">
        <v>0</v>
      </c>
      <c r="BN910" s="105" t="n">
        <v>0</v>
      </c>
      <c r="BO910" s="105" t="n">
        <v>0</v>
      </c>
      <c r="BP910" s="105" t="n">
        <v>0</v>
      </c>
      <c r="BQ910" s="105" t="n">
        <v>0</v>
      </c>
      <c r="BR910" s="106" t="n">
        <v>0.666666666666667</v>
      </c>
      <c r="BS910" s="106" t="n">
        <v>0.666666666666667</v>
      </c>
      <c r="BT910" s="107"/>
      <c r="BU910" s="107"/>
      <c r="BV910" s="107"/>
      <c r="BW910" s="107"/>
      <c r="BX910" s="107"/>
      <c r="BY910" s="107"/>
      <c r="BZ910" s="107"/>
      <c r="CA910" s="107"/>
      <c r="CB910" s="107"/>
      <c r="CC910" s="107"/>
      <c r="CD910" s="107"/>
      <c r="CE910" s="107"/>
      <c r="CF910" s="107"/>
      <c r="CG910" s="107"/>
      <c r="CH910" s="107"/>
      <c r="CI910" s="107"/>
      <c r="CJ910" s="107"/>
      <c r="CK910" s="107"/>
      <c r="CL910" s="107"/>
      <c r="CM910" s="107"/>
      <c r="CN910" s="107"/>
      <c r="CO910" s="107"/>
      <c r="CP910" s="107"/>
      <c r="CQ910" s="107"/>
      <c r="CR910" s="107"/>
      <c r="CS910" s="107"/>
      <c r="CT910" s="107"/>
      <c r="CU910" s="107"/>
      <c r="CV910" s="107"/>
    </row>
    <row r="911" customFormat="false" ht="14.9" hidden="false" customHeight="false" outlineLevel="0" collapsed="false">
      <c r="A911" s="74" t="n">
        <f aca="false">MONTH(B911)</f>
        <v>10</v>
      </c>
      <c r="B911" s="135" t="n">
        <v>44481</v>
      </c>
      <c r="C911" s="128" t="s">
        <v>152</v>
      </c>
      <c r="D911" s="77" t="str">
        <f aca="false">IFERROR(VLOOKUP(E:E,'Item Data Support Sheet'!A:O,7,0),"")</f>
        <v>BOTTLE MOLDED</v>
      </c>
      <c r="E911" s="80" t="s">
        <v>69</v>
      </c>
      <c r="F911" s="122" t="s">
        <v>73</v>
      </c>
      <c r="G911" s="137" t="s">
        <v>80</v>
      </c>
      <c r="H911" s="79" t="str">
        <f aca="false">IFERROR(VLOOKUP(E:E,'Item Data Support Sheet'!A:O,2,0),"")</f>
        <v>KPP 240 ML BOTTLE MOLDED</v>
      </c>
      <c r="I911" s="80" t="s">
        <v>1670</v>
      </c>
      <c r="J911" s="80" t="s">
        <v>815</v>
      </c>
      <c r="K911" s="124" t="n">
        <v>8</v>
      </c>
      <c r="L911" s="124" t="n">
        <v>2574</v>
      </c>
      <c r="M911" s="83" t="n">
        <v>321.75</v>
      </c>
      <c r="N911" s="84" t="n">
        <f aca="false">+O911+Q911+T911+U911</f>
        <v>3046</v>
      </c>
      <c r="O911" s="85" t="n">
        <v>2916</v>
      </c>
      <c r="P911" s="86" t="n">
        <v>0.35</v>
      </c>
      <c r="Q911" s="86" t="n">
        <v>55</v>
      </c>
      <c r="R911" s="132" t="n">
        <v>0</v>
      </c>
      <c r="S911" s="128" t="n">
        <v>0</v>
      </c>
      <c r="T911" s="132" t="n">
        <v>67</v>
      </c>
      <c r="U911" s="128" t="n">
        <v>8</v>
      </c>
      <c r="V911" s="128" t="n">
        <v>1</v>
      </c>
      <c r="W911" s="90" t="n">
        <f aca="false">IFERROR(O911/V911,0)</f>
        <v>2916</v>
      </c>
      <c r="X911" s="91" t="n">
        <f aca="false">O911/L911</f>
        <v>1.13286713286713</v>
      </c>
      <c r="Y911" s="92" t="str">
        <f aca="false">IFERROR(VLOOKUP(E:E,'Item Data Support Sheet'!A:J,6,0),0)</f>
        <v>HMC</v>
      </c>
      <c r="Z911" s="93" t="n">
        <f aca="false">IFERROR(VLOOKUP(E:E,'Item Data Support Sheet'!A:O,4,0),0)</f>
        <v>32.1</v>
      </c>
      <c r="AA911" s="93" t="n">
        <f aca="false">IFERROR(((N911)*(Z911/1000))+P911,0)</f>
        <v>98.1266</v>
      </c>
      <c r="AB911" s="94" t="n">
        <f aca="false">IFERROR((O911*(Z911/1000)/(AA911))," ")</f>
        <v>0.953906484072616</v>
      </c>
      <c r="AC911" s="95" t="n">
        <f aca="false">IFERROR((T911)/((T911)+O911),0)</f>
        <v>0.0224606101240362</v>
      </c>
      <c r="AD911" s="96" t="n">
        <f aca="false">IFERROR(Q911/(Q911+N911),0)</f>
        <v>0.017736214124476</v>
      </c>
      <c r="AE911" s="91" t="n">
        <f aca="false">(N911-T911)/N911</f>
        <v>0.978003939592909</v>
      </c>
      <c r="AF911" s="97" t="n">
        <f aca="false">BR911</f>
        <v>0</v>
      </c>
      <c r="AG911" s="98" t="n">
        <f aca="false">K911-AF911</f>
        <v>8</v>
      </c>
      <c r="AH911" s="99" t="n">
        <f aca="false">IFERROR(AG911/K911," ")</f>
        <v>1</v>
      </c>
      <c r="AI911" s="100" t="n">
        <f aca="false">IFERROR(O911/K911,0)</f>
        <v>364.5</v>
      </c>
      <c r="AJ911" s="101" t="n">
        <f aca="false">VLOOKUP(D911,'Standard Cycle time'!C:D,2,0)</f>
        <v>9</v>
      </c>
      <c r="AK911" s="101" t="n">
        <f aca="false">AG911*V911*3600/O911</f>
        <v>9.87654320987654</v>
      </c>
      <c r="AL911" s="102" t="n">
        <f aca="false">AJ911/AK911</f>
        <v>0.91125</v>
      </c>
      <c r="AM911" s="99" t="n">
        <f aca="false">AE911*AL911*AH911</f>
        <v>0.891206089954038</v>
      </c>
      <c r="AN911" s="103" t="n">
        <v>0.891206089954038</v>
      </c>
      <c r="AO911" s="112"/>
      <c r="AP911" s="105" t="n">
        <v>0</v>
      </c>
      <c r="AQ911" s="105" t="n">
        <v>0</v>
      </c>
      <c r="AR911" s="105" t="n">
        <v>0</v>
      </c>
      <c r="AS911" s="105" t="n">
        <v>0</v>
      </c>
      <c r="AT911" s="105" t="n">
        <v>0</v>
      </c>
      <c r="AU911" s="105" t="n">
        <v>0</v>
      </c>
      <c r="AV911" s="105" t="n">
        <v>0</v>
      </c>
      <c r="AW911" s="105" t="n">
        <v>0</v>
      </c>
      <c r="AX911" s="105" t="n">
        <v>0</v>
      </c>
      <c r="AY911" s="105" t="n">
        <v>0</v>
      </c>
      <c r="AZ911" s="105" t="n">
        <v>0</v>
      </c>
      <c r="BA911" s="105" t="n">
        <v>0</v>
      </c>
      <c r="BB911" s="105" t="n">
        <v>0</v>
      </c>
      <c r="BC911" s="105" t="n">
        <v>0</v>
      </c>
      <c r="BD911" s="105" t="n">
        <v>0</v>
      </c>
      <c r="BE911" s="105" t="n">
        <v>0</v>
      </c>
      <c r="BF911" s="105" t="n">
        <v>0</v>
      </c>
      <c r="BG911" s="105" t="n">
        <v>0</v>
      </c>
      <c r="BH911" s="105" t="n">
        <v>0</v>
      </c>
      <c r="BI911" s="105" t="n">
        <v>0</v>
      </c>
      <c r="BJ911" s="105" t="n">
        <v>0</v>
      </c>
      <c r="BK911" s="105" t="n">
        <v>0</v>
      </c>
      <c r="BL911" s="105" t="n">
        <v>0</v>
      </c>
      <c r="BM911" s="105" t="n">
        <v>0</v>
      </c>
      <c r="BN911" s="105" t="n">
        <v>0</v>
      </c>
      <c r="BO911" s="105" t="n">
        <v>0</v>
      </c>
      <c r="BP911" s="105" t="n">
        <v>0</v>
      </c>
      <c r="BQ911" s="105" t="n">
        <v>0</v>
      </c>
      <c r="BR911" s="106" t="n">
        <v>0</v>
      </c>
      <c r="BS911" s="106" t="n">
        <v>0</v>
      </c>
      <c r="BT911" s="107"/>
      <c r="BU911" s="107"/>
      <c r="BV911" s="107"/>
      <c r="BW911" s="107"/>
      <c r="BX911" s="107"/>
      <c r="BY911" s="107"/>
      <c r="BZ911" s="107"/>
      <c r="CA911" s="107"/>
      <c r="CB911" s="107"/>
      <c r="CC911" s="107"/>
      <c r="CD911" s="107"/>
      <c r="CE911" s="107"/>
      <c r="CF911" s="107"/>
      <c r="CG911" s="107"/>
      <c r="CH911" s="107"/>
      <c r="CI911" s="107"/>
      <c r="CJ911" s="107"/>
      <c r="CK911" s="107"/>
      <c r="CL911" s="107"/>
      <c r="CM911" s="107"/>
      <c r="CN911" s="107"/>
      <c r="CO911" s="107"/>
      <c r="CP911" s="107"/>
      <c r="CQ911" s="107"/>
      <c r="CR911" s="107"/>
      <c r="CS911" s="107"/>
      <c r="CT911" s="107"/>
      <c r="CU911" s="107"/>
      <c r="CV911" s="107"/>
    </row>
    <row r="912" customFormat="false" ht="14.9" hidden="false" customHeight="false" outlineLevel="0" collapsed="false">
      <c r="A912" s="74" t="n">
        <f aca="false">MONTH(B912)</f>
        <v>10</v>
      </c>
      <c r="B912" s="135" t="n">
        <v>44481</v>
      </c>
      <c r="C912" s="128" t="s">
        <v>152</v>
      </c>
      <c r="D912" s="77" t="str">
        <f aca="false">IFERROR(VLOOKUP(E:E,'Item Data Support Sheet'!A:O,7,0),"")</f>
        <v>NIPPLE MOLDED</v>
      </c>
      <c r="E912" s="80" t="s">
        <v>661</v>
      </c>
      <c r="F912" s="122" t="s">
        <v>137</v>
      </c>
      <c r="G912" s="137" t="s">
        <v>138</v>
      </c>
      <c r="H912" s="79" t="str">
        <f aca="false">IFERROR(VLOOKUP(E:E,'Item Data Support Sheet'!A:O,2,0),"")</f>
        <v>NIPPLE S TYPE L SIZE INJECTION</v>
      </c>
      <c r="I912" s="80" t="s">
        <v>1671</v>
      </c>
      <c r="J912" s="80" t="s">
        <v>815</v>
      </c>
      <c r="K912" s="124" t="n">
        <v>8</v>
      </c>
      <c r="L912" s="124" t="n">
        <v>4815</v>
      </c>
      <c r="M912" s="83" t="n">
        <v>601.875</v>
      </c>
      <c r="N912" s="84" t="n">
        <f aca="false">+O912+Q912+T912+U912</f>
        <v>2848</v>
      </c>
      <c r="O912" s="85" t="n">
        <v>2730</v>
      </c>
      <c r="P912" s="86" t="n">
        <v>5.25</v>
      </c>
      <c r="Q912" s="86" t="n">
        <v>65</v>
      </c>
      <c r="R912" s="132" t="n">
        <v>0</v>
      </c>
      <c r="S912" s="128" t="n">
        <v>0</v>
      </c>
      <c r="T912" s="132" t="n">
        <v>45</v>
      </c>
      <c r="U912" s="128" t="n">
        <v>8</v>
      </c>
      <c r="V912" s="128" t="n">
        <v>1</v>
      </c>
      <c r="W912" s="90" t="n">
        <f aca="false">IFERROR(O912/V912,0)</f>
        <v>2730</v>
      </c>
      <c r="X912" s="91" t="n">
        <f aca="false">O912/L912</f>
        <v>0.566978193146417</v>
      </c>
      <c r="Y912" s="92" t="str">
        <f aca="false">IFERROR(VLOOKUP(E:E,'Item Data Support Sheet'!A:J,6,0),0)</f>
        <v>Silicon</v>
      </c>
      <c r="Z912" s="93" t="n">
        <f aca="false">IFERROR(VLOOKUP(E:E,'Item Data Support Sheet'!A:O,4,0),0)</f>
        <v>6.8</v>
      </c>
      <c r="AA912" s="93" t="n">
        <f aca="false">IFERROR(((N912)*(Z912/1000))+P912,0)</f>
        <v>24.6164</v>
      </c>
      <c r="AB912" s="94" t="n">
        <f aca="false">IFERROR((O912*(Z912/1000)/(AA912))," ")</f>
        <v>0.754131392080077</v>
      </c>
      <c r="AC912" s="95" t="n">
        <f aca="false">IFERROR((T912)/((T912)+O912),0)</f>
        <v>0.0162162162162162</v>
      </c>
      <c r="AD912" s="96" t="n">
        <f aca="false">IFERROR(Q912/(Q912+N912),0)</f>
        <v>0.0223137658771026</v>
      </c>
      <c r="AE912" s="91" t="n">
        <f aca="false">(N912-T912)/N912</f>
        <v>0.984199438202247</v>
      </c>
      <c r="AF912" s="97" t="n">
        <f aca="false">BR912</f>
        <v>3.41666666666667</v>
      </c>
      <c r="AG912" s="98" t="n">
        <f aca="false">K912-AF912</f>
        <v>4.58333333333333</v>
      </c>
      <c r="AH912" s="99" t="n">
        <f aca="false">IFERROR(AG912/K912," ")</f>
        <v>0.572916666666666</v>
      </c>
      <c r="AI912" s="100" t="n">
        <f aca="false">IFERROR(O912/K912,0)</f>
        <v>341.25</v>
      </c>
      <c r="AJ912" s="101" t="n">
        <f aca="false">VLOOKUP(D912,'Standard Cycle time'!C:D,2,0)</f>
        <v>5.25</v>
      </c>
      <c r="AK912" s="101" t="n">
        <f aca="false">AG912*V912*3600/O912</f>
        <v>6.04395604395604</v>
      </c>
      <c r="AL912" s="102" t="n">
        <f aca="false">AJ912/AK912</f>
        <v>0.868636363636364</v>
      </c>
      <c r="AM912" s="99" t="n">
        <f aca="false">AE912*AL912*AH912</f>
        <v>0.489793001667837</v>
      </c>
      <c r="AN912" s="103" t="n">
        <v>0.489793001667837</v>
      </c>
      <c r="AO912" s="112" t="s">
        <v>1672</v>
      </c>
      <c r="AP912" s="105" t="n">
        <v>0</v>
      </c>
      <c r="AQ912" s="105" t="n">
        <v>0</v>
      </c>
      <c r="AR912" s="105" t="n">
        <v>0</v>
      </c>
      <c r="AS912" s="105" t="n">
        <v>0</v>
      </c>
      <c r="AT912" s="105" t="n">
        <v>0</v>
      </c>
      <c r="AU912" s="105" t="n">
        <v>60</v>
      </c>
      <c r="AV912" s="105" t="n">
        <v>30</v>
      </c>
      <c r="AW912" s="105" t="n">
        <v>70</v>
      </c>
      <c r="AX912" s="105" t="n">
        <v>45</v>
      </c>
      <c r="AY912" s="105" t="n">
        <v>0</v>
      </c>
      <c r="AZ912" s="105" t="n">
        <v>0</v>
      </c>
      <c r="BA912" s="105" t="n">
        <v>0</v>
      </c>
      <c r="BB912" s="105" t="n">
        <v>0</v>
      </c>
      <c r="BC912" s="105" t="n">
        <v>0</v>
      </c>
      <c r="BD912" s="105" t="n">
        <v>0</v>
      </c>
      <c r="BE912" s="105" t="n">
        <v>0</v>
      </c>
      <c r="BF912" s="105" t="n">
        <v>0</v>
      </c>
      <c r="BG912" s="105" t="n">
        <v>0</v>
      </c>
      <c r="BH912" s="105" t="n">
        <v>0</v>
      </c>
      <c r="BI912" s="105" t="n">
        <v>0</v>
      </c>
      <c r="BJ912" s="105" t="n">
        <v>0</v>
      </c>
      <c r="BK912" s="105" t="n">
        <v>0</v>
      </c>
      <c r="BL912" s="105" t="n">
        <v>0</v>
      </c>
      <c r="BM912" s="105" t="n">
        <v>0</v>
      </c>
      <c r="BN912" s="105" t="n">
        <v>0</v>
      </c>
      <c r="BO912" s="105" t="n">
        <v>0</v>
      </c>
      <c r="BP912" s="105" t="n">
        <v>0</v>
      </c>
      <c r="BQ912" s="105" t="n">
        <v>0</v>
      </c>
      <c r="BR912" s="106" t="n">
        <v>3.41666666666667</v>
      </c>
      <c r="BS912" s="106" t="n">
        <v>3.41666666666667</v>
      </c>
      <c r="BT912" s="107"/>
      <c r="BU912" s="107"/>
      <c r="BV912" s="107"/>
      <c r="BW912" s="107"/>
      <c r="BX912" s="107"/>
      <c r="BY912" s="107"/>
      <c r="BZ912" s="107"/>
      <c r="CA912" s="107"/>
      <c r="CB912" s="107"/>
      <c r="CC912" s="107"/>
      <c r="CD912" s="107"/>
      <c r="CE912" s="107"/>
      <c r="CF912" s="107"/>
      <c r="CG912" s="107"/>
      <c r="CH912" s="107"/>
      <c r="CI912" s="107"/>
      <c r="CJ912" s="107"/>
      <c r="CK912" s="107"/>
      <c r="CL912" s="107"/>
      <c r="CM912" s="107"/>
      <c r="CN912" s="107"/>
      <c r="CO912" s="107"/>
      <c r="CP912" s="107"/>
      <c r="CQ912" s="107"/>
      <c r="CR912" s="107"/>
      <c r="CS912" s="107"/>
      <c r="CT912" s="107"/>
      <c r="CU912" s="107"/>
      <c r="CV912" s="107"/>
    </row>
    <row r="913" customFormat="false" ht="14.9" hidden="false" customHeight="false" outlineLevel="0" collapsed="false">
      <c r="A913" s="74" t="n">
        <f aca="false">MONTH(B913)</f>
        <v>10</v>
      </c>
      <c r="B913" s="135" t="n">
        <v>44481</v>
      </c>
      <c r="C913" s="128" t="s">
        <v>152</v>
      </c>
      <c r="D913" s="77" t="str">
        <f aca="false">IFERROR(VLOOKUP(E:E,'Item Data Support Sheet'!A:O,7,0),"")</f>
        <v>CAP MOLDED</v>
      </c>
      <c r="E913" s="80" t="s">
        <v>420</v>
      </c>
      <c r="F913" s="122"/>
      <c r="G913" s="137" t="s">
        <v>1215</v>
      </c>
      <c r="H913" s="79" t="str">
        <f aca="false">IFERROR(VLOOKUP(E:E,'Item Data Support Sheet'!A:O,2,0),"")</f>
        <v>CAP S TYPE MOLDED PALE BLUE</v>
      </c>
      <c r="I913" s="80" t="s">
        <v>1673</v>
      </c>
      <c r="J913" s="80" t="s">
        <v>815</v>
      </c>
      <c r="K913" s="124" t="n">
        <v>8</v>
      </c>
      <c r="L913" s="124" t="n">
        <v>4137</v>
      </c>
      <c r="M913" s="83" t="n">
        <v>517.125</v>
      </c>
      <c r="N913" s="84" t="n">
        <f aca="false">+O913+Q913+T913+U913</f>
        <v>4316</v>
      </c>
      <c r="O913" s="85" t="n">
        <v>4300</v>
      </c>
      <c r="P913" s="86" t="n">
        <v>0</v>
      </c>
      <c r="Q913" s="86" t="n">
        <v>0</v>
      </c>
      <c r="R913" s="132" t="n">
        <v>0</v>
      </c>
      <c r="S913" s="128" t="n">
        <v>0</v>
      </c>
      <c r="T913" s="132" t="n">
        <v>8</v>
      </c>
      <c r="U913" s="128" t="n">
        <v>8</v>
      </c>
      <c r="V913" s="128" t="n">
        <v>1</v>
      </c>
      <c r="W913" s="90" t="n">
        <f aca="false">IFERROR(O913/V913,0)</f>
        <v>4300</v>
      </c>
      <c r="X913" s="91" t="n">
        <f aca="false">O913/L913</f>
        <v>1.03940053178632</v>
      </c>
      <c r="Y913" s="92" t="str">
        <f aca="false">IFERROR(VLOOKUP(E:E,'Item Data Support Sheet'!A:J,6,0),0)</f>
        <v>RM000115</v>
      </c>
      <c r="Z913" s="93" t="n">
        <f aca="false">IFERROR(VLOOKUP(E:E,'Item Data Support Sheet'!A:O,4,0),0)</f>
        <v>7.3</v>
      </c>
      <c r="AA913" s="93" t="n">
        <f aca="false">IFERROR(((N913)*(Z913/1000))+P913,0)</f>
        <v>31.5068</v>
      </c>
      <c r="AB913" s="94" t="n">
        <f aca="false">IFERROR((O913*(Z913/1000)/(AA913))," ")</f>
        <v>0.996292863762743</v>
      </c>
      <c r="AC913" s="95" t="n">
        <f aca="false">IFERROR((T913)/((T913)+O913),0)</f>
        <v>0.00185701021355617</v>
      </c>
      <c r="AD913" s="96" t="n">
        <f aca="false">IFERROR(Q913/(Q913+N913),0)</f>
        <v>0</v>
      </c>
      <c r="AE913" s="91" t="n">
        <f aca="false">(N913-T913)/N913</f>
        <v>0.998146431881372</v>
      </c>
      <c r="AF913" s="97" t="n">
        <f aca="false">BR913</f>
        <v>0.666666666666667</v>
      </c>
      <c r="AG913" s="98" t="n">
        <f aca="false">K913-AF913</f>
        <v>7.33333333333333</v>
      </c>
      <c r="AH913" s="99" t="n">
        <f aca="false">IFERROR(AG913/K913," ")</f>
        <v>0.916666666666667</v>
      </c>
      <c r="AI913" s="100" t="n">
        <f aca="false">IFERROR(O913/K913,0)</f>
        <v>537.5</v>
      </c>
      <c r="AJ913" s="101" t="n">
        <f aca="false">VLOOKUP(D913,'Standard Cycle time'!C:D,2,0)</f>
        <v>6</v>
      </c>
      <c r="AK913" s="101" t="n">
        <f aca="false">AG913*V913*3600/O913</f>
        <v>6.13953488372093</v>
      </c>
      <c r="AL913" s="102" t="n">
        <f aca="false">AJ913/AK913</f>
        <v>0.977272727272727</v>
      </c>
      <c r="AM913" s="99" t="n">
        <f aca="false">AE913*AL913*AH913</f>
        <v>0.894172845227062</v>
      </c>
      <c r="AN913" s="103" t="n">
        <v>0.894172845227062</v>
      </c>
      <c r="AO913" s="112"/>
      <c r="AP913" s="105" t="n">
        <v>0</v>
      </c>
      <c r="AQ913" s="105" t="n">
        <v>0</v>
      </c>
      <c r="AR913" s="105" t="n">
        <v>0</v>
      </c>
      <c r="AS913" s="105" t="n">
        <v>0</v>
      </c>
      <c r="AT913" s="105" t="n">
        <v>0</v>
      </c>
      <c r="AU913" s="105" t="n">
        <v>0</v>
      </c>
      <c r="AV913" s="105" t="n">
        <v>0</v>
      </c>
      <c r="AW913" s="105" t="n">
        <v>20</v>
      </c>
      <c r="AX913" s="105" t="n">
        <v>0</v>
      </c>
      <c r="AY913" s="105" t="n">
        <v>0</v>
      </c>
      <c r="AZ913" s="105" t="n">
        <v>20</v>
      </c>
      <c r="BA913" s="105" t="n">
        <v>0</v>
      </c>
      <c r="BB913" s="105" t="n">
        <v>0</v>
      </c>
      <c r="BC913" s="105" t="n">
        <v>0</v>
      </c>
      <c r="BD913" s="105" t="n">
        <v>0</v>
      </c>
      <c r="BE913" s="105" t="n">
        <v>0</v>
      </c>
      <c r="BF913" s="105" t="n">
        <v>0</v>
      </c>
      <c r="BG913" s="105" t="n">
        <v>0</v>
      </c>
      <c r="BH913" s="105" t="n">
        <v>0</v>
      </c>
      <c r="BI913" s="105" t="n">
        <v>0</v>
      </c>
      <c r="BJ913" s="105" t="n">
        <v>0</v>
      </c>
      <c r="BK913" s="105" t="n">
        <v>0</v>
      </c>
      <c r="BL913" s="105" t="n">
        <v>0</v>
      </c>
      <c r="BM913" s="105" t="n">
        <v>0</v>
      </c>
      <c r="BN913" s="105" t="n">
        <v>0</v>
      </c>
      <c r="BO913" s="105" t="n">
        <v>0</v>
      </c>
      <c r="BP913" s="105" t="n">
        <v>0</v>
      </c>
      <c r="BQ913" s="105" t="n">
        <v>0</v>
      </c>
      <c r="BR913" s="106" t="n">
        <v>0.666666666666667</v>
      </c>
      <c r="BS913" s="106" t="n">
        <v>0.666666666666667</v>
      </c>
      <c r="BT913" s="107"/>
      <c r="BU913" s="107"/>
      <c r="BV913" s="107"/>
      <c r="BW913" s="107"/>
      <c r="BX913" s="107"/>
      <c r="BY913" s="107"/>
      <c r="BZ913" s="107"/>
      <c r="CA913" s="107"/>
      <c r="CB913" s="107"/>
      <c r="CC913" s="107"/>
      <c r="CD913" s="107"/>
      <c r="CE913" s="107"/>
      <c r="CF913" s="107"/>
      <c r="CG913" s="107"/>
      <c r="CH913" s="107"/>
      <c r="CI913" s="107"/>
      <c r="CJ913" s="107"/>
      <c r="CK913" s="107"/>
      <c r="CL913" s="107"/>
      <c r="CM913" s="107"/>
      <c r="CN913" s="107"/>
      <c r="CO913" s="107"/>
      <c r="CP913" s="107"/>
      <c r="CQ913" s="107"/>
      <c r="CR913" s="107"/>
      <c r="CS913" s="107"/>
      <c r="CT913" s="107"/>
      <c r="CU913" s="107"/>
      <c r="CV913" s="107"/>
    </row>
    <row r="914" customFormat="false" ht="14.9" hidden="false" customHeight="false" outlineLevel="0" collapsed="false">
      <c r="A914" s="74" t="n">
        <f aca="false">MONTH(B914)</f>
        <v>10</v>
      </c>
      <c r="B914" s="135" t="n">
        <v>44482</v>
      </c>
      <c r="C914" s="128" t="s">
        <v>51</v>
      </c>
      <c r="D914" s="77" t="str">
        <f aca="false">IFERROR(VLOOKUP(E:E,'Item Data Support Sheet'!A:O,7,0),"")</f>
        <v>BOTTLE MOLDED</v>
      </c>
      <c r="E914" s="80" t="s">
        <v>69</v>
      </c>
      <c r="F914" s="122" t="s">
        <v>73</v>
      </c>
      <c r="G914" s="137" t="s">
        <v>80</v>
      </c>
      <c r="H914" s="79" t="str">
        <f aca="false">IFERROR(VLOOKUP(E:E,'Item Data Support Sheet'!A:O,2,0),"")</f>
        <v>KPP 240 ML BOTTLE MOLDED</v>
      </c>
      <c r="I914" s="80" t="s">
        <v>1674</v>
      </c>
      <c r="J914" s="80" t="s">
        <v>143</v>
      </c>
      <c r="K914" s="124" t="n">
        <v>8</v>
      </c>
      <c r="L914" s="124" t="n">
        <v>2574</v>
      </c>
      <c r="M914" s="83" t="n">
        <v>321.75</v>
      </c>
      <c r="N914" s="84" t="n">
        <f aca="false">+O914+Q914+T914+U914</f>
        <v>2520</v>
      </c>
      <c r="O914" s="85" t="n">
        <v>2376</v>
      </c>
      <c r="P914" s="86" t="n">
        <v>0.2</v>
      </c>
      <c r="Q914" s="86" t="n">
        <v>66</v>
      </c>
      <c r="R914" s="132" t="n">
        <v>0</v>
      </c>
      <c r="S914" s="128" t="n">
        <v>0</v>
      </c>
      <c r="T914" s="132" t="n">
        <v>70</v>
      </c>
      <c r="U914" s="128" t="n">
        <v>8</v>
      </c>
      <c r="V914" s="128" t="n">
        <v>1</v>
      </c>
      <c r="W914" s="90" t="n">
        <f aca="false">IFERROR(O914/V914,0)</f>
        <v>2376</v>
      </c>
      <c r="X914" s="91" t="n">
        <f aca="false">O914/L914</f>
        <v>0.923076923076923</v>
      </c>
      <c r="Y914" s="92" t="str">
        <f aca="false">IFERROR(VLOOKUP(E:E,'Item Data Support Sheet'!A:J,6,0),0)</f>
        <v>HMC</v>
      </c>
      <c r="Z914" s="93" t="n">
        <f aca="false">IFERROR(VLOOKUP(E:E,'Item Data Support Sheet'!A:O,4,0),0)</f>
        <v>32.1</v>
      </c>
      <c r="AA914" s="93" t="n">
        <f aca="false">IFERROR(((N914)*(Z914/1000))+P914,0)</f>
        <v>81.092</v>
      </c>
      <c r="AB914" s="94" t="n">
        <f aca="false">IFERROR((O914*(Z914/1000)/(AA914))," ")</f>
        <v>0.940531741725448</v>
      </c>
      <c r="AC914" s="95" t="n">
        <f aca="false">IFERROR((T914)/((T914)+O914),0)</f>
        <v>0.0286181520850368</v>
      </c>
      <c r="AD914" s="96" t="n">
        <f aca="false">IFERROR(Q914/(Q914+N914),0)</f>
        <v>0.0255220417633411</v>
      </c>
      <c r="AE914" s="91" t="n">
        <f aca="false">(N914-T914)/N914</f>
        <v>0.972222222222222</v>
      </c>
      <c r="AF914" s="97" t="n">
        <f aca="false">BR914</f>
        <v>2</v>
      </c>
      <c r="AG914" s="98" t="n">
        <f aca="false">K914-AF914</f>
        <v>6</v>
      </c>
      <c r="AH914" s="99" t="n">
        <f aca="false">IFERROR(AG914/K914," ")</f>
        <v>0.75</v>
      </c>
      <c r="AI914" s="100" t="n">
        <f aca="false">IFERROR(O914/K914,0)</f>
        <v>297</v>
      </c>
      <c r="AJ914" s="101" t="n">
        <f aca="false">VLOOKUP(D914,'Standard Cycle time'!C:D,2,0)</f>
        <v>9</v>
      </c>
      <c r="AK914" s="101" t="n">
        <f aca="false">AG914*V914*3600/O914</f>
        <v>9.09090909090909</v>
      </c>
      <c r="AL914" s="102" t="n">
        <f aca="false">AJ914/AK914</f>
        <v>0.99</v>
      </c>
      <c r="AM914" s="99" t="n">
        <f aca="false">AE914*AL914*AH914</f>
        <v>0.721875</v>
      </c>
      <c r="AN914" s="103" t="n">
        <v>0.721875</v>
      </c>
      <c r="AO914" s="112" t="s">
        <v>1675</v>
      </c>
      <c r="AP914" s="105" t="n">
        <v>0</v>
      </c>
      <c r="AQ914" s="105" t="n">
        <v>0</v>
      </c>
      <c r="AR914" s="105" t="n">
        <v>0</v>
      </c>
      <c r="AS914" s="105" t="n">
        <v>0</v>
      </c>
      <c r="AT914" s="105" t="n">
        <v>0</v>
      </c>
      <c r="AU914" s="105" t="n">
        <v>0</v>
      </c>
      <c r="AV914" s="105" t="n">
        <v>0</v>
      </c>
      <c r="AW914" s="105" t="n">
        <v>120</v>
      </c>
      <c r="AX914" s="105" t="n">
        <v>0</v>
      </c>
      <c r="AY914" s="105" t="n">
        <v>0</v>
      </c>
      <c r="AZ914" s="105" t="n">
        <v>0</v>
      </c>
      <c r="BA914" s="105" t="n">
        <v>0</v>
      </c>
      <c r="BB914" s="105" t="n">
        <v>0</v>
      </c>
      <c r="BC914" s="105" t="n">
        <v>0</v>
      </c>
      <c r="BD914" s="105" t="n">
        <v>0</v>
      </c>
      <c r="BE914" s="105" t="n">
        <v>0</v>
      </c>
      <c r="BF914" s="105" t="n">
        <v>0</v>
      </c>
      <c r="BG914" s="105" t="n">
        <v>0</v>
      </c>
      <c r="BH914" s="105" t="n">
        <v>0</v>
      </c>
      <c r="BI914" s="105" t="n">
        <v>0</v>
      </c>
      <c r="BJ914" s="105" t="n">
        <v>0</v>
      </c>
      <c r="BK914" s="105" t="n">
        <v>0</v>
      </c>
      <c r="BL914" s="105" t="n">
        <v>0</v>
      </c>
      <c r="BM914" s="105" t="n">
        <v>0</v>
      </c>
      <c r="BN914" s="105" t="n">
        <v>0</v>
      </c>
      <c r="BO914" s="105" t="n">
        <v>0</v>
      </c>
      <c r="BP914" s="105" t="n">
        <v>0</v>
      </c>
      <c r="BQ914" s="105" t="n">
        <v>0</v>
      </c>
      <c r="BR914" s="106" t="n">
        <v>2</v>
      </c>
      <c r="BS914" s="106" t="n">
        <v>2</v>
      </c>
      <c r="BT914" s="107"/>
      <c r="BU914" s="107"/>
      <c r="BV914" s="107"/>
      <c r="BW914" s="107"/>
      <c r="BX914" s="107"/>
      <c r="BY914" s="107"/>
      <c r="BZ914" s="107"/>
      <c r="CA914" s="107"/>
      <c r="CB914" s="107"/>
      <c r="CC914" s="107"/>
      <c r="CD914" s="107"/>
      <c r="CE914" s="107"/>
      <c r="CF914" s="107"/>
      <c r="CG914" s="107"/>
      <c r="CH914" s="107"/>
      <c r="CI914" s="107"/>
      <c r="CJ914" s="107"/>
      <c r="CK914" s="107"/>
      <c r="CL914" s="107"/>
      <c r="CM914" s="107"/>
      <c r="CN914" s="107"/>
      <c r="CO914" s="107"/>
      <c r="CP914" s="107"/>
      <c r="CQ914" s="107"/>
      <c r="CR914" s="107"/>
      <c r="CS914" s="107"/>
      <c r="CT914" s="107"/>
      <c r="CU914" s="107"/>
      <c r="CV914" s="107"/>
    </row>
    <row r="915" customFormat="false" ht="14.9" hidden="false" customHeight="false" outlineLevel="0" collapsed="false">
      <c r="A915" s="74" t="n">
        <f aca="false">MONTH(B915)</f>
        <v>10</v>
      </c>
      <c r="B915" s="135" t="n">
        <v>44482</v>
      </c>
      <c r="C915" s="128" t="s">
        <v>51</v>
      </c>
      <c r="D915" s="77" t="str">
        <f aca="false">IFERROR(VLOOKUP(E:E,'Item Data Support Sheet'!A:O,7,0),"")</f>
        <v>NIPPLE MOLDED</v>
      </c>
      <c r="E915" s="80" t="s">
        <v>661</v>
      </c>
      <c r="F915" s="122" t="s">
        <v>137</v>
      </c>
      <c r="G915" s="137" t="s">
        <v>138</v>
      </c>
      <c r="H915" s="79" t="str">
        <f aca="false">IFERROR(VLOOKUP(E:E,'Item Data Support Sheet'!A:O,2,0),"")</f>
        <v>NIPPLE S TYPE L SIZE INJECTION</v>
      </c>
      <c r="I915" s="80" t="s">
        <v>1676</v>
      </c>
      <c r="J915" s="80" t="s">
        <v>143</v>
      </c>
      <c r="K915" s="124" t="n">
        <v>8</v>
      </c>
      <c r="L915" s="124" t="n">
        <v>4815</v>
      </c>
      <c r="M915" s="83" t="n">
        <v>601.875</v>
      </c>
      <c r="N915" s="84" t="n">
        <f aca="false">+O915+Q915+T915+U915</f>
        <v>3060</v>
      </c>
      <c r="O915" s="85" t="n">
        <v>2910</v>
      </c>
      <c r="P915" s="86" t="n">
        <v>0</v>
      </c>
      <c r="Q915" s="86" t="n">
        <v>92</v>
      </c>
      <c r="R915" s="132" t="n">
        <v>0</v>
      </c>
      <c r="S915" s="128" t="n">
        <v>0</v>
      </c>
      <c r="T915" s="132" t="n">
        <v>50</v>
      </c>
      <c r="U915" s="128" t="n">
        <v>8</v>
      </c>
      <c r="V915" s="128" t="n">
        <v>1</v>
      </c>
      <c r="W915" s="90" t="n">
        <f aca="false">IFERROR(O915/V915,0)</f>
        <v>2910</v>
      </c>
      <c r="X915" s="91" t="n">
        <f aca="false">O915/L915</f>
        <v>0.604361370716511</v>
      </c>
      <c r="Y915" s="92" t="str">
        <f aca="false">IFERROR(VLOOKUP(E:E,'Item Data Support Sheet'!A:J,6,0),0)</f>
        <v>Silicon</v>
      </c>
      <c r="Z915" s="93" t="n">
        <f aca="false">IFERROR(VLOOKUP(E:E,'Item Data Support Sheet'!A:O,4,0),0)</f>
        <v>6.8</v>
      </c>
      <c r="AA915" s="93" t="n">
        <f aca="false">IFERROR(((N915)*(Z915/1000))+P915,0)</f>
        <v>20.808</v>
      </c>
      <c r="AB915" s="94" t="n">
        <f aca="false">IFERROR((O915*(Z915/1000)/(AA915))," ")</f>
        <v>0.950980392156863</v>
      </c>
      <c r="AC915" s="95" t="n">
        <f aca="false">IFERROR((T915)/((T915)+O915),0)</f>
        <v>0.0168918918918919</v>
      </c>
      <c r="AD915" s="96" t="n">
        <f aca="false">IFERROR(Q915/(Q915+N915),0)</f>
        <v>0.0291878172588832</v>
      </c>
      <c r="AE915" s="91" t="n">
        <f aca="false">(N915-T915)/N915</f>
        <v>0.983660130718954</v>
      </c>
      <c r="AF915" s="97" t="n">
        <f aca="false">BR915</f>
        <v>3.5</v>
      </c>
      <c r="AG915" s="98" t="n">
        <f aca="false">K915-AF915</f>
        <v>4.5</v>
      </c>
      <c r="AH915" s="99" t="n">
        <f aca="false">IFERROR(AG915/K915," ")</f>
        <v>0.5625</v>
      </c>
      <c r="AI915" s="100" t="n">
        <f aca="false">IFERROR(O915/K915,0)</f>
        <v>363.75</v>
      </c>
      <c r="AJ915" s="101" t="n">
        <f aca="false">VLOOKUP(D915,'Standard Cycle time'!C:D,2,0)</f>
        <v>5.25</v>
      </c>
      <c r="AK915" s="101" t="n">
        <f aca="false">AG915*V915*3600/O915</f>
        <v>5.56701030927835</v>
      </c>
      <c r="AL915" s="102" t="n">
        <f aca="false">AJ915/AK915</f>
        <v>0.943055555555556</v>
      </c>
      <c r="AM915" s="99" t="n">
        <f aca="false">AE915*AL915*AH915</f>
        <v>0.52180095996732</v>
      </c>
      <c r="AN915" s="103" t="n">
        <v>0.52180095996732</v>
      </c>
      <c r="AO915" s="112" t="s">
        <v>1677</v>
      </c>
      <c r="AP915" s="105" t="n">
        <v>0</v>
      </c>
      <c r="AQ915" s="105" t="n">
        <v>0</v>
      </c>
      <c r="AR915" s="105" t="n">
        <v>0</v>
      </c>
      <c r="AS915" s="105" t="n">
        <v>0</v>
      </c>
      <c r="AT915" s="105" t="n">
        <v>0</v>
      </c>
      <c r="AU915" s="105" t="n">
        <v>30</v>
      </c>
      <c r="AV915" s="105" t="n">
        <v>30</v>
      </c>
      <c r="AW915" s="105" t="n">
        <v>30</v>
      </c>
      <c r="AX915" s="105" t="n">
        <v>0</v>
      </c>
      <c r="AY915" s="105" t="n">
        <v>0</v>
      </c>
      <c r="AZ915" s="105" t="n">
        <v>0</v>
      </c>
      <c r="BA915" s="105" t="n">
        <v>0</v>
      </c>
      <c r="BB915" s="105" t="n">
        <v>0</v>
      </c>
      <c r="BC915" s="105" t="n">
        <v>0</v>
      </c>
      <c r="BD915" s="105" t="n">
        <v>0</v>
      </c>
      <c r="BE915" s="105" t="n">
        <v>0</v>
      </c>
      <c r="BF915" s="105" t="n">
        <v>0</v>
      </c>
      <c r="BG915" s="105" t="n">
        <v>0</v>
      </c>
      <c r="BH915" s="105" t="n">
        <v>0</v>
      </c>
      <c r="BI915" s="105" t="n">
        <v>0</v>
      </c>
      <c r="BJ915" s="105" t="n">
        <v>0</v>
      </c>
      <c r="BK915" s="105" t="n">
        <v>120</v>
      </c>
      <c r="BL915" s="105" t="n">
        <v>0</v>
      </c>
      <c r="BM915" s="105" t="n">
        <v>0</v>
      </c>
      <c r="BN915" s="105" t="n">
        <v>0</v>
      </c>
      <c r="BO915" s="105" t="n">
        <v>0</v>
      </c>
      <c r="BP915" s="105" t="n">
        <v>0</v>
      </c>
      <c r="BQ915" s="105" t="n">
        <v>0</v>
      </c>
      <c r="BR915" s="106" t="n">
        <v>3.5</v>
      </c>
      <c r="BS915" s="106" t="n">
        <v>3.5</v>
      </c>
      <c r="BT915" s="107"/>
      <c r="BU915" s="107"/>
      <c r="BV915" s="107"/>
      <c r="BW915" s="107"/>
      <c r="BX915" s="107"/>
      <c r="BY915" s="107"/>
      <c r="BZ915" s="107"/>
      <c r="CA915" s="107"/>
      <c r="CB915" s="107"/>
      <c r="CC915" s="107"/>
      <c r="CD915" s="107"/>
      <c r="CE915" s="107"/>
      <c r="CF915" s="107"/>
      <c r="CG915" s="107"/>
      <c r="CH915" s="107"/>
      <c r="CI915" s="107"/>
      <c r="CJ915" s="107"/>
      <c r="CK915" s="107"/>
      <c r="CL915" s="107"/>
      <c r="CM915" s="107"/>
      <c r="CN915" s="107"/>
      <c r="CO915" s="107"/>
      <c r="CP915" s="107"/>
      <c r="CQ915" s="107"/>
      <c r="CR915" s="107"/>
      <c r="CS915" s="107"/>
      <c r="CT915" s="107"/>
      <c r="CU915" s="107"/>
      <c r="CV915" s="107"/>
    </row>
    <row r="916" customFormat="false" ht="14.9" hidden="false" customHeight="false" outlineLevel="0" collapsed="false">
      <c r="A916" s="74" t="n">
        <f aca="false">MONTH(B916)</f>
        <v>10</v>
      </c>
      <c r="B916" s="135" t="n">
        <v>44482</v>
      </c>
      <c r="C916" s="128" t="s">
        <v>51</v>
      </c>
      <c r="D916" s="77" t="str">
        <f aca="false">IFERROR(VLOOKUP(E:E,'Item Data Support Sheet'!A:O,7,0),"")</f>
        <v>CAP MOLDED</v>
      </c>
      <c r="E916" s="80" t="s">
        <v>420</v>
      </c>
      <c r="F916" s="122"/>
      <c r="G916" s="137" t="s">
        <v>1215</v>
      </c>
      <c r="H916" s="79" t="str">
        <f aca="false">IFERROR(VLOOKUP(E:E,'Item Data Support Sheet'!A:O,2,0),"")</f>
        <v>CAP S TYPE MOLDED PALE BLUE</v>
      </c>
      <c r="I916" s="80" t="s">
        <v>1678</v>
      </c>
      <c r="J916" s="80" t="s">
        <v>143</v>
      </c>
      <c r="K916" s="124" t="n">
        <v>2.3</v>
      </c>
      <c r="L916" s="124" t="n">
        <v>1200</v>
      </c>
      <c r="M916" s="83" t="n">
        <v>521.739130434783</v>
      </c>
      <c r="N916" s="84" t="n">
        <f aca="false">+O916+Q916+T916+U916</f>
        <v>1290</v>
      </c>
      <c r="O916" s="85" t="n">
        <v>1290</v>
      </c>
      <c r="P916" s="86" t="n">
        <v>0</v>
      </c>
      <c r="Q916" s="86" t="n">
        <v>0</v>
      </c>
      <c r="R916" s="132" t="n">
        <v>0</v>
      </c>
      <c r="S916" s="128" t="n">
        <v>0</v>
      </c>
      <c r="T916" s="132" t="n">
        <v>0</v>
      </c>
      <c r="U916" s="128" t="n">
        <v>0</v>
      </c>
      <c r="V916" s="128" t="n">
        <v>1</v>
      </c>
      <c r="W916" s="90" t="n">
        <f aca="false">IFERROR(O916/V916,0)</f>
        <v>1290</v>
      </c>
      <c r="X916" s="91" t="n">
        <f aca="false">O916/L916</f>
        <v>1.075</v>
      </c>
      <c r="Y916" s="92" t="str">
        <f aca="false">IFERROR(VLOOKUP(E:E,'Item Data Support Sheet'!A:J,6,0),0)</f>
        <v>RM000115</v>
      </c>
      <c r="Z916" s="93" t="n">
        <f aca="false">IFERROR(VLOOKUP(E:E,'Item Data Support Sheet'!A:O,4,0),0)</f>
        <v>7.3</v>
      </c>
      <c r="AA916" s="93" t="n">
        <f aca="false">IFERROR(((N916)*(Z916/1000))+P916,0)</f>
        <v>9.417</v>
      </c>
      <c r="AB916" s="94" t="n">
        <f aca="false">IFERROR((O916*(Z916/1000)/(AA916))," ")</f>
        <v>1</v>
      </c>
      <c r="AC916" s="95" t="n">
        <f aca="false">IFERROR((T916)/((T916)+O916),0)</f>
        <v>0</v>
      </c>
      <c r="AD916" s="96" t="n">
        <f aca="false">IFERROR(Q916/(Q916+N916),0)</f>
        <v>0</v>
      </c>
      <c r="AE916" s="91" t="n">
        <f aca="false">(N916-T916)/N916</f>
        <v>1</v>
      </c>
      <c r="AF916" s="97" t="n">
        <f aca="false">BR916</f>
        <v>0.5</v>
      </c>
      <c r="AG916" s="98" t="n">
        <f aca="false">K916-AF916</f>
        <v>1.8</v>
      </c>
      <c r="AH916" s="99" t="n">
        <f aca="false">IFERROR(AG916/K916," ")</f>
        <v>0.782608695652174</v>
      </c>
      <c r="AI916" s="100" t="n">
        <f aca="false">IFERROR(O916/K916,0)</f>
        <v>560.869565217391</v>
      </c>
      <c r="AJ916" s="101" t="n">
        <f aca="false">VLOOKUP(D916,'Standard Cycle time'!C:D,2,0)</f>
        <v>6</v>
      </c>
      <c r="AK916" s="101" t="n">
        <f aca="false">AG916*V916*3600/O916</f>
        <v>5.02325581395349</v>
      </c>
      <c r="AL916" s="102" t="n">
        <f aca="false">AJ916/AK916</f>
        <v>1.19444444444444</v>
      </c>
      <c r="AM916" s="99" t="n">
        <f aca="false">AE916*AL916*AH916</f>
        <v>0.934782608695652</v>
      </c>
      <c r="AN916" s="103" t="n">
        <v>0.934782608695653</v>
      </c>
      <c r="AO916" s="112" t="s">
        <v>1679</v>
      </c>
      <c r="AP916" s="105" t="n">
        <v>0</v>
      </c>
      <c r="AQ916" s="105" t="n">
        <v>0</v>
      </c>
      <c r="AR916" s="105" t="n">
        <v>0</v>
      </c>
      <c r="AS916" s="105" t="n">
        <v>0</v>
      </c>
      <c r="AT916" s="105" t="n">
        <v>0</v>
      </c>
      <c r="AU916" s="105" t="n">
        <v>0</v>
      </c>
      <c r="AV916" s="105" t="n">
        <v>0</v>
      </c>
      <c r="AW916" s="105" t="n">
        <v>0</v>
      </c>
      <c r="AX916" s="105" t="n">
        <v>0</v>
      </c>
      <c r="AY916" s="105" t="n">
        <v>0</v>
      </c>
      <c r="AZ916" s="105" t="n">
        <v>30</v>
      </c>
      <c r="BA916" s="105" t="n">
        <v>0</v>
      </c>
      <c r="BB916" s="105" t="n">
        <v>0</v>
      </c>
      <c r="BC916" s="105" t="n">
        <v>0</v>
      </c>
      <c r="BD916" s="105" t="n">
        <v>0</v>
      </c>
      <c r="BE916" s="105" t="n">
        <v>0</v>
      </c>
      <c r="BF916" s="105" t="n">
        <v>0</v>
      </c>
      <c r="BG916" s="105" t="n">
        <v>0</v>
      </c>
      <c r="BH916" s="105" t="n">
        <v>0</v>
      </c>
      <c r="BI916" s="105" t="n">
        <v>0</v>
      </c>
      <c r="BJ916" s="105" t="n">
        <v>0</v>
      </c>
      <c r="BK916" s="105" t="n">
        <v>0</v>
      </c>
      <c r="BL916" s="105" t="n">
        <v>0</v>
      </c>
      <c r="BM916" s="105" t="n">
        <v>0</v>
      </c>
      <c r="BN916" s="105" t="n">
        <v>0</v>
      </c>
      <c r="BO916" s="105" t="n">
        <v>0</v>
      </c>
      <c r="BP916" s="105" t="n">
        <v>0</v>
      </c>
      <c r="BQ916" s="105" t="n">
        <v>0</v>
      </c>
      <c r="BR916" s="106" t="n">
        <v>0.5</v>
      </c>
      <c r="BS916" s="106" t="n">
        <v>0.5</v>
      </c>
      <c r="BT916" s="107"/>
      <c r="BU916" s="107"/>
      <c r="BV916" s="107"/>
      <c r="BW916" s="107"/>
      <c r="BX916" s="107"/>
      <c r="BY916" s="107"/>
      <c r="BZ916" s="107"/>
      <c r="CA916" s="107"/>
      <c r="CB916" s="107"/>
      <c r="CC916" s="107"/>
      <c r="CD916" s="107"/>
      <c r="CE916" s="107"/>
      <c r="CF916" s="107"/>
      <c r="CG916" s="107"/>
      <c r="CH916" s="107"/>
      <c r="CI916" s="107"/>
      <c r="CJ916" s="107"/>
      <c r="CK916" s="107"/>
      <c r="CL916" s="107"/>
      <c r="CM916" s="107"/>
      <c r="CN916" s="107"/>
      <c r="CO916" s="107"/>
      <c r="CP916" s="107"/>
      <c r="CQ916" s="107"/>
      <c r="CR916" s="107"/>
      <c r="CS916" s="107"/>
      <c r="CT916" s="107"/>
      <c r="CU916" s="107"/>
      <c r="CV916" s="107"/>
    </row>
    <row r="917" customFormat="false" ht="14.9" hidden="false" customHeight="false" outlineLevel="0" collapsed="false">
      <c r="A917" s="74" t="n">
        <f aca="false">MONTH(B917)</f>
        <v>10</v>
      </c>
      <c r="B917" s="135" t="n">
        <v>44482</v>
      </c>
      <c r="C917" s="128" t="s">
        <v>51</v>
      </c>
      <c r="D917" s="77" t="str">
        <f aca="false">IFERROR(VLOOKUP(E:E,'Item Data Support Sheet'!A:O,7,0),"")</f>
        <v>CAP MOLDED</v>
      </c>
      <c r="E917" s="80" t="s">
        <v>453</v>
      </c>
      <c r="F917" s="122"/>
      <c r="G917" s="137" t="s">
        <v>1595</v>
      </c>
      <c r="H917" s="79" t="str">
        <f aca="false">IFERROR(VLOOKUP(E:E,'Item Data Support Sheet'!A:O,2,0),"")</f>
        <v>CAP S TYPE MOLDED WHITE</v>
      </c>
      <c r="I917" s="80" t="s">
        <v>1680</v>
      </c>
      <c r="J917" s="80" t="s">
        <v>143</v>
      </c>
      <c r="K917" s="124" t="n">
        <v>5.7</v>
      </c>
      <c r="L917" s="124" t="n">
        <v>2937</v>
      </c>
      <c r="M917" s="83" t="n">
        <v>515.263157894737</v>
      </c>
      <c r="N917" s="84" t="n">
        <f aca="false">+O917+Q917+T917+U917</f>
        <v>2808</v>
      </c>
      <c r="O917" s="85" t="n">
        <v>2800</v>
      </c>
      <c r="P917" s="86" t="n">
        <v>0</v>
      </c>
      <c r="Q917" s="86" t="n">
        <v>0</v>
      </c>
      <c r="R917" s="132" t="n">
        <v>0</v>
      </c>
      <c r="S917" s="128" t="n">
        <v>0</v>
      </c>
      <c r="T917" s="132" t="n">
        <v>0</v>
      </c>
      <c r="U917" s="128" t="n">
        <v>8</v>
      </c>
      <c r="V917" s="128" t="n">
        <v>1</v>
      </c>
      <c r="W917" s="90" t="n">
        <f aca="false">IFERROR(O917/V917,0)</f>
        <v>2800</v>
      </c>
      <c r="X917" s="91" t="n">
        <f aca="false">O917/L917</f>
        <v>0.953353762342526</v>
      </c>
      <c r="Y917" s="92" t="str">
        <f aca="false">IFERROR(VLOOKUP(E:E,'Item Data Support Sheet'!A:J,6,0),0)</f>
        <v>RM000106</v>
      </c>
      <c r="Z917" s="93" t="n">
        <f aca="false">IFERROR(VLOOKUP(E:E,'Item Data Support Sheet'!A:O,4,0),0)</f>
        <v>7.3</v>
      </c>
      <c r="AA917" s="93" t="n">
        <f aca="false">IFERROR(((N917)*(Z917/1000))+P917,0)</f>
        <v>20.4984</v>
      </c>
      <c r="AB917" s="94" t="n">
        <f aca="false">IFERROR((O917*(Z917/1000)/(AA917))," ")</f>
        <v>0.997150997150997</v>
      </c>
      <c r="AC917" s="95" t="n">
        <f aca="false">IFERROR((T917)/((T917)+O917),0)</f>
        <v>0</v>
      </c>
      <c r="AD917" s="96" t="n">
        <f aca="false">IFERROR(Q917/(Q917+N917),0)</f>
        <v>0</v>
      </c>
      <c r="AE917" s="91" t="n">
        <f aca="false">(N917-T917)/N917</f>
        <v>1</v>
      </c>
      <c r="AF917" s="97" t="n">
        <f aca="false">BR917</f>
        <v>1.16666666666667</v>
      </c>
      <c r="AG917" s="98" t="n">
        <f aca="false">K917-AF917</f>
        <v>4.53333333333333</v>
      </c>
      <c r="AH917" s="99" t="n">
        <f aca="false">IFERROR(AG917/K917," ")</f>
        <v>0.7953216374269</v>
      </c>
      <c r="AI917" s="100" t="n">
        <f aca="false">IFERROR(O917/K917,0)</f>
        <v>491.228070175439</v>
      </c>
      <c r="AJ917" s="101" t="n">
        <f aca="false">VLOOKUP(D917,'Standard Cycle time'!C:D,2,0)</f>
        <v>6</v>
      </c>
      <c r="AK917" s="101" t="n">
        <f aca="false">AG917*V917*3600/O917</f>
        <v>5.82857142857142</v>
      </c>
      <c r="AL917" s="102" t="n">
        <f aca="false">AJ917/AK917</f>
        <v>1.02941176470588</v>
      </c>
      <c r="AM917" s="99" t="n">
        <f aca="false">AE917*AL917*AH917</f>
        <v>0.818713450292398</v>
      </c>
      <c r="AN917" s="103" t="n">
        <v>0.818713450292398</v>
      </c>
      <c r="AO917" s="112"/>
      <c r="AP917" s="105" t="n">
        <v>0</v>
      </c>
      <c r="AQ917" s="105" t="n">
        <v>0</v>
      </c>
      <c r="AR917" s="105" t="n">
        <v>0</v>
      </c>
      <c r="AS917" s="105" t="n">
        <v>0</v>
      </c>
      <c r="AT917" s="105" t="n">
        <v>0</v>
      </c>
      <c r="AU917" s="105" t="n">
        <v>0</v>
      </c>
      <c r="AV917" s="105" t="n">
        <v>30</v>
      </c>
      <c r="AW917" s="105" t="n">
        <v>30</v>
      </c>
      <c r="AX917" s="105" t="n">
        <v>0</v>
      </c>
      <c r="AY917" s="105" t="n">
        <v>0</v>
      </c>
      <c r="AZ917" s="105" t="n">
        <v>10</v>
      </c>
      <c r="BA917" s="105" t="n">
        <v>0</v>
      </c>
      <c r="BB917" s="105" t="n">
        <v>0</v>
      </c>
      <c r="BC917" s="105" t="n">
        <v>0</v>
      </c>
      <c r="BD917" s="105" t="n">
        <v>0</v>
      </c>
      <c r="BE917" s="105" t="n">
        <v>0</v>
      </c>
      <c r="BF917" s="105" t="n">
        <v>0</v>
      </c>
      <c r="BG917" s="105" t="n">
        <v>0</v>
      </c>
      <c r="BH917" s="105" t="n">
        <v>0</v>
      </c>
      <c r="BI917" s="105" t="n">
        <v>0</v>
      </c>
      <c r="BJ917" s="105" t="n">
        <v>0</v>
      </c>
      <c r="BK917" s="105" t="n">
        <v>0</v>
      </c>
      <c r="BL917" s="105" t="n">
        <v>0</v>
      </c>
      <c r="BM917" s="105" t="n">
        <v>0</v>
      </c>
      <c r="BN917" s="105" t="n">
        <v>0</v>
      </c>
      <c r="BO917" s="105" t="n">
        <v>0</v>
      </c>
      <c r="BP917" s="105" t="n">
        <v>0</v>
      </c>
      <c r="BQ917" s="105" t="n">
        <v>0</v>
      </c>
      <c r="BR917" s="106" t="n">
        <v>1.16666666666667</v>
      </c>
      <c r="BS917" s="106" t="n">
        <v>1.16666666666667</v>
      </c>
      <c r="BT917" s="107"/>
      <c r="BU917" s="107"/>
      <c r="BV917" s="107"/>
      <c r="BW917" s="107"/>
      <c r="BX917" s="107"/>
      <c r="BY917" s="107"/>
      <c r="BZ917" s="107"/>
      <c r="CA917" s="107"/>
      <c r="CB917" s="107"/>
      <c r="CC917" s="107"/>
      <c r="CD917" s="107"/>
      <c r="CE917" s="107"/>
      <c r="CF917" s="107"/>
      <c r="CG917" s="107"/>
      <c r="CH917" s="107"/>
      <c r="CI917" s="107"/>
      <c r="CJ917" s="107"/>
      <c r="CK917" s="107"/>
      <c r="CL917" s="107"/>
      <c r="CM917" s="107"/>
      <c r="CN917" s="107"/>
      <c r="CO917" s="107"/>
      <c r="CP917" s="107"/>
      <c r="CQ917" s="107"/>
      <c r="CR917" s="107"/>
      <c r="CS917" s="107"/>
      <c r="CT917" s="107"/>
      <c r="CU917" s="107"/>
      <c r="CV917" s="107"/>
    </row>
    <row r="918" customFormat="false" ht="14.9" hidden="false" customHeight="false" outlineLevel="0" collapsed="false">
      <c r="A918" s="74" t="n">
        <f aca="false">MONTH(B918)</f>
        <v>10</v>
      </c>
      <c r="B918" s="135" t="n">
        <v>44482</v>
      </c>
      <c r="C918" s="128" t="s">
        <v>51</v>
      </c>
      <c r="D918" s="77" t="str">
        <f aca="false">IFERROR(VLOOKUP(E:E,'Item Data Support Sheet'!A:O,7,0),"")</f>
        <v>NIPPLE PUNCH</v>
      </c>
      <c r="E918" s="80" t="s">
        <v>666</v>
      </c>
      <c r="F918" s="122"/>
      <c r="G918" s="137" t="s">
        <v>54</v>
      </c>
      <c r="H918" s="79" t="str">
        <f aca="false">IFERROR(VLOOKUP(E:E,'Item Data Support Sheet'!A:O,2,0),"")</f>
        <v>NIPPLE S TYPE L SIZE PUNCHED</v>
      </c>
      <c r="I918" s="80" t="s">
        <v>1681</v>
      </c>
      <c r="J918" s="80" t="s">
        <v>143</v>
      </c>
      <c r="K918" s="124" t="n">
        <v>8</v>
      </c>
      <c r="L918" s="124" t="n">
        <v>7000</v>
      </c>
      <c r="M918" s="83" t="n">
        <v>875</v>
      </c>
      <c r="N918" s="84" t="n">
        <f aca="false">+O918+Q918+T918+U918</f>
        <v>5500</v>
      </c>
      <c r="O918" s="85" t="n">
        <v>5500</v>
      </c>
      <c r="P918" s="86" t="n">
        <v>0</v>
      </c>
      <c r="Q918" s="86" t="n">
        <v>0</v>
      </c>
      <c r="R918" s="132" t="n">
        <v>0</v>
      </c>
      <c r="S918" s="128" t="n">
        <v>0</v>
      </c>
      <c r="T918" s="132" t="n">
        <v>0</v>
      </c>
      <c r="U918" s="128" t="n">
        <v>0</v>
      </c>
      <c r="V918" s="128" t="n">
        <v>1</v>
      </c>
      <c r="W918" s="90" t="n">
        <f aca="false">IFERROR(O918/V918,0)</f>
        <v>5500</v>
      </c>
      <c r="X918" s="91" t="n">
        <f aca="false">O918/L918</f>
        <v>0.785714285714286</v>
      </c>
      <c r="Y918" s="92" t="str">
        <f aca="false">IFERROR(VLOOKUP(E:E,'Item Data Support Sheet'!A:J,6,0),0)</f>
        <v>FO017</v>
      </c>
      <c r="Z918" s="93" t="n">
        <f aca="false">IFERROR(VLOOKUP(E:E,'Item Data Support Sheet'!A:O,4,0),0)</f>
        <v>0</v>
      </c>
      <c r="AA918" s="93" t="n">
        <f aca="false">IFERROR(((N918)*(Z918/1000))+P918,0)</f>
        <v>0</v>
      </c>
      <c r="AB918" s="94" t="str">
        <f aca="false">IFERROR((O918*(Z918/1000)/(AA918))," ")</f>
        <v> </v>
      </c>
      <c r="AC918" s="95" t="n">
        <f aca="false">IFERROR((T918)/((T918)+O918),0)</f>
        <v>0</v>
      </c>
      <c r="AD918" s="96" t="n">
        <f aca="false">IFERROR(Q918/(Q918+N918),0)</f>
        <v>0</v>
      </c>
      <c r="AE918" s="91" t="n">
        <f aca="false">(N918-T918)/N918</f>
        <v>1</v>
      </c>
      <c r="AF918" s="97" t="n">
        <f aca="false">BR918</f>
        <v>2.66666666666667</v>
      </c>
      <c r="AG918" s="98" t="n">
        <f aca="false">K918-AF918</f>
        <v>5.33333333333333</v>
      </c>
      <c r="AH918" s="99" t="n">
        <f aca="false">IFERROR(AG918/K918," ")</f>
        <v>0.666666666666666</v>
      </c>
      <c r="AI918" s="100" t="n">
        <f aca="false">IFERROR(O918/K918,0)</f>
        <v>687.5</v>
      </c>
      <c r="AJ918" s="101" t="n">
        <f aca="false">VLOOKUP(D918,'Standard Cycle time'!C:D,2,0)</f>
        <v>3.5</v>
      </c>
      <c r="AK918" s="101" t="n">
        <f aca="false">AG918*V918*3600/O918</f>
        <v>3.49090909090909</v>
      </c>
      <c r="AL918" s="102" t="n">
        <f aca="false">AJ918/AK918</f>
        <v>1.00260416666667</v>
      </c>
      <c r="AM918" s="99" t="n">
        <f aca="false">AE918*AL918*AH918</f>
        <v>0.668402777777778</v>
      </c>
      <c r="AN918" s="103" t="n">
        <v>0.668402777777778</v>
      </c>
      <c r="AO918" s="112" t="s">
        <v>997</v>
      </c>
      <c r="AP918" s="105" t="n">
        <v>40</v>
      </c>
      <c r="AQ918" s="105" t="n">
        <v>0</v>
      </c>
      <c r="AR918" s="105" t="n">
        <v>0</v>
      </c>
      <c r="AS918" s="105" t="n">
        <v>0</v>
      </c>
      <c r="AT918" s="105" t="n">
        <v>120</v>
      </c>
      <c r="AU918" s="105" t="n">
        <v>0</v>
      </c>
      <c r="AV918" s="105" t="n">
        <v>0</v>
      </c>
      <c r="AW918" s="105" t="n">
        <v>0</v>
      </c>
      <c r="AX918" s="105" t="n">
        <v>0</v>
      </c>
      <c r="AY918" s="105" t="n">
        <v>0</v>
      </c>
      <c r="AZ918" s="105" t="n">
        <v>0</v>
      </c>
      <c r="BA918" s="105" t="n">
        <v>0</v>
      </c>
      <c r="BB918" s="105" t="n">
        <v>0</v>
      </c>
      <c r="BC918" s="105" t="n">
        <v>0</v>
      </c>
      <c r="BD918" s="105" t="n">
        <v>0</v>
      </c>
      <c r="BE918" s="105" t="n">
        <v>0</v>
      </c>
      <c r="BF918" s="105" t="n">
        <v>0</v>
      </c>
      <c r="BG918" s="105" t="n">
        <v>0</v>
      </c>
      <c r="BH918" s="105" t="n">
        <v>0</v>
      </c>
      <c r="BI918" s="105" t="n">
        <v>0</v>
      </c>
      <c r="BJ918" s="105" t="n">
        <v>0</v>
      </c>
      <c r="BK918" s="105" t="n">
        <v>0</v>
      </c>
      <c r="BL918" s="105" t="n">
        <v>0</v>
      </c>
      <c r="BM918" s="105" t="n">
        <v>0</v>
      </c>
      <c r="BN918" s="105" t="n">
        <v>0</v>
      </c>
      <c r="BO918" s="105" t="n">
        <v>0</v>
      </c>
      <c r="BP918" s="105" t="n">
        <v>0</v>
      </c>
      <c r="BQ918" s="105" t="n">
        <v>0</v>
      </c>
      <c r="BR918" s="106" t="n">
        <v>2.66666666666667</v>
      </c>
      <c r="BS918" s="106" t="n">
        <v>2.66666666666667</v>
      </c>
      <c r="BT918" s="107"/>
      <c r="BU918" s="107"/>
      <c r="BV918" s="107"/>
      <c r="BW918" s="107"/>
      <c r="BX918" s="107"/>
      <c r="BY918" s="107"/>
      <c r="BZ918" s="107"/>
      <c r="CA918" s="107"/>
      <c r="CB918" s="107"/>
      <c r="CC918" s="107"/>
      <c r="CD918" s="107"/>
      <c r="CE918" s="107"/>
      <c r="CF918" s="107"/>
      <c r="CG918" s="107"/>
      <c r="CH918" s="107"/>
      <c r="CI918" s="107"/>
      <c r="CJ918" s="107"/>
      <c r="CK918" s="107"/>
      <c r="CL918" s="107"/>
      <c r="CM918" s="107"/>
      <c r="CN918" s="107"/>
      <c r="CO918" s="107"/>
      <c r="CP918" s="107"/>
      <c r="CQ918" s="107"/>
      <c r="CR918" s="107"/>
      <c r="CS918" s="107"/>
      <c r="CT918" s="107"/>
      <c r="CU918" s="107"/>
      <c r="CV918" s="107"/>
    </row>
    <row r="919" customFormat="false" ht="14.9" hidden="false" customHeight="false" outlineLevel="0" collapsed="false">
      <c r="A919" s="74" t="n">
        <f aca="false">MONTH(B919)</f>
        <v>10</v>
      </c>
      <c r="B919" s="135" t="n">
        <v>44482</v>
      </c>
      <c r="C919" s="128" t="s">
        <v>51</v>
      </c>
      <c r="D919" s="77" t="str">
        <f aca="false">IFERROR(VLOOKUP(E:E,'Item Data Support Sheet'!A:O,7,0),"")</f>
        <v>NIPPLE LASER MARKING</v>
      </c>
      <c r="E919" s="80" t="s">
        <v>681</v>
      </c>
      <c r="F919" s="122"/>
      <c r="G919" s="137" t="s">
        <v>517</v>
      </c>
      <c r="H919" s="79" t="str">
        <f aca="false">IFERROR(VLOOKUP(E:E,'Item Data Support Sheet'!A:O,2,0),"")</f>
        <v>NIPPLE S TYPE L SIZE PUNCHED LASER MARKED</v>
      </c>
      <c r="I919" s="80" t="s">
        <v>1682</v>
      </c>
      <c r="J919" s="80" t="s">
        <v>143</v>
      </c>
      <c r="K919" s="124" t="n">
        <v>8</v>
      </c>
      <c r="L919" s="124" t="n">
        <v>7000</v>
      </c>
      <c r="M919" s="83" t="n">
        <v>875</v>
      </c>
      <c r="N919" s="84" t="n">
        <f aca="false">+O919+Q919+T919+U919</f>
        <v>6850</v>
      </c>
      <c r="O919" s="85" t="n">
        <v>6850</v>
      </c>
      <c r="P919" s="86" t="n">
        <v>0</v>
      </c>
      <c r="Q919" s="86" t="n">
        <v>0</v>
      </c>
      <c r="R919" s="132" t="n">
        <v>0</v>
      </c>
      <c r="S919" s="128" t="n">
        <v>0</v>
      </c>
      <c r="T919" s="132" t="n">
        <v>0</v>
      </c>
      <c r="U919" s="128" t="n">
        <v>0</v>
      </c>
      <c r="V919" s="128" t="n">
        <v>1</v>
      </c>
      <c r="W919" s="90" t="n">
        <f aca="false">IFERROR(O919/V919,0)</f>
        <v>6850</v>
      </c>
      <c r="X919" s="91" t="n">
        <f aca="false">O919/L919</f>
        <v>0.978571428571429</v>
      </c>
      <c r="Y919" s="92" t="str">
        <f aca="false">IFERROR(VLOOKUP(E:E,'Item Data Support Sheet'!A:J,6,0),0)</f>
        <v>FO021</v>
      </c>
      <c r="Z919" s="93" t="n">
        <f aca="false">IFERROR(VLOOKUP(E:E,'Item Data Support Sheet'!A:O,4,0),0)</f>
        <v>0</v>
      </c>
      <c r="AA919" s="93" t="n">
        <f aca="false">IFERROR(((N919)*(Z919/1000))+P919,0)</f>
        <v>0</v>
      </c>
      <c r="AB919" s="94" t="str">
        <f aca="false">IFERROR((O919*(Z919/1000)/(AA919))," ")</f>
        <v> </v>
      </c>
      <c r="AC919" s="95" t="n">
        <f aca="false">IFERROR((T919)/((T919)+O919),0)</f>
        <v>0</v>
      </c>
      <c r="AD919" s="96" t="n">
        <f aca="false">IFERROR(Q919/(Q919+N919),0)</f>
        <v>0</v>
      </c>
      <c r="AE919" s="91" t="n">
        <f aca="false">(N919-T919)/N919</f>
        <v>1</v>
      </c>
      <c r="AF919" s="97" t="n">
        <f aca="false">BR919</f>
        <v>0.666666666666667</v>
      </c>
      <c r="AG919" s="98" t="n">
        <f aca="false">K919-AF919</f>
        <v>7.33333333333333</v>
      </c>
      <c r="AH919" s="99" t="n">
        <f aca="false">IFERROR(AG919/K919," ")</f>
        <v>0.916666666666667</v>
      </c>
      <c r="AI919" s="100" t="n">
        <f aca="false">IFERROR(O919/K919,0)</f>
        <v>856.25</v>
      </c>
      <c r="AJ919" s="101" t="n">
        <f aca="false">VLOOKUP(D919,'Standard Cycle time'!C:D,2,0)</f>
        <v>3.5</v>
      </c>
      <c r="AK919" s="101" t="n">
        <f aca="false">AG919*V919*3600/O919</f>
        <v>3.85401459854015</v>
      </c>
      <c r="AL919" s="102" t="n">
        <f aca="false">AJ919/AK919</f>
        <v>0.908143939393939</v>
      </c>
      <c r="AM919" s="99" t="n">
        <f aca="false">AE919*AL919*AH919</f>
        <v>0.832465277777778</v>
      </c>
      <c r="AN919" s="103" t="n">
        <v>0.832465277777778</v>
      </c>
      <c r="AO919" s="112"/>
      <c r="AP919" s="105" t="n">
        <v>40</v>
      </c>
      <c r="AQ919" s="105" t="n">
        <v>0</v>
      </c>
      <c r="AR919" s="105" t="n">
        <v>0</v>
      </c>
      <c r="AS919" s="105" t="n">
        <v>0</v>
      </c>
      <c r="AT919" s="105" t="n">
        <v>0</v>
      </c>
      <c r="AU919" s="105" t="n">
        <v>0</v>
      </c>
      <c r="AV919" s="105" t="n">
        <v>0</v>
      </c>
      <c r="AW919" s="105" t="n">
        <v>0</v>
      </c>
      <c r="AX919" s="105" t="n">
        <v>0</v>
      </c>
      <c r="AY919" s="105" t="n">
        <v>0</v>
      </c>
      <c r="AZ919" s="105" t="n">
        <v>0</v>
      </c>
      <c r="BA919" s="105" t="n">
        <v>0</v>
      </c>
      <c r="BB919" s="105" t="n">
        <v>0</v>
      </c>
      <c r="BC919" s="105" t="n">
        <v>0</v>
      </c>
      <c r="BD919" s="105" t="n">
        <v>0</v>
      </c>
      <c r="BE919" s="105" t="n">
        <v>0</v>
      </c>
      <c r="BF919" s="105" t="n">
        <v>0</v>
      </c>
      <c r="BG919" s="105" t="n">
        <v>0</v>
      </c>
      <c r="BH919" s="105" t="n">
        <v>0</v>
      </c>
      <c r="BI919" s="105" t="n">
        <v>0</v>
      </c>
      <c r="BJ919" s="105" t="n">
        <v>0</v>
      </c>
      <c r="BK919" s="105" t="n">
        <v>0</v>
      </c>
      <c r="BL919" s="105" t="n">
        <v>0</v>
      </c>
      <c r="BM919" s="105" t="n">
        <v>0</v>
      </c>
      <c r="BN919" s="105" t="n">
        <v>0</v>
      </c>
      <c r="BO919" s="105" t="n">
        <v>0</v>
      </c>
      <c r="BP919" s="105" t="n">
        <v>0</v>
      </c>
      <c r="BQ919" s="105" t="n">
        <v>0</v>
      </c>
      <c r="BR919" s="106" t="n">
        <v>0.666666666666667</v>
      </c>
      <c r="BS919" s="106" t="n">
        <v>0.666666666666667</v>
      </c>
      <c r="BT919" s="107"/>
      <c r="BU919" s="107"/>
      <c r="BV919" s="107"/>
      <c r="BW919" s="107"/>
      <c r="BX919" s="107"/>
      <c r="BY919" s="107"/>
      <c r="BZ919" s="107"/>
      <c r="CA919" s="107"/>
      <c r="CB919" s="107"/>
      <c r="CC919" s="107"/>
      <c r="CD919" s="107"/>
      <c r="CE919" s="107"/>
      <c r="CF919" s="107"/>
      <c r="CG919" s="107"/>
      <c r="CH919" s="107"/>
      <c r="CI919" s="107"/>
      <c r="CJ919" s="107"/>
      <c r="CK919" s="107"/>
      <c r="CL919" s="107"/>
      <c r="CM919" s="107"/>
      <c r="CN919" s="107"/>
      <c r="CO919" s="107"/>
      <c r="CP919" s="107"/>
      <c r="CQ919" s="107"/>
      <c r="CR919" s="107"/>
      <c r="CS919" s="107"/>
      <c r="CT919" s="107"/>
      <c r="CU919" s="107"/>
      <c r="CV919" s="107"/>
    </row>
    <row r="920" customFormat="false" ht="14.9" hidden="false" customHeight="false" outlineLevel="0" collapsed="false">
      <c r="A920" s="74" t="n">
        <f aca="false">MONTH(B920)</f>
        <v>10</v>
      </c>
      <c r="B920" s="135" t="n">
        <v>44482</v>
      </c>
      <c r="C920" s="128" t="s">
        <v>63</v>
      </c>
      <c r="D920" s="77" t="str">
        <f aca="false">IFERROR(VLOOKUP(E:E,'Item Data Support Sheet'!A:O,7,0),"")</f>
        <v>NIPPLE WRAP PRINTED</v>
      </c>
      <c r="E920" s="80" t="s">
        <v>506</v>
      </c>
      <c r="F920" s="122"/>
      <c r="G920" s="137" t="s">
        <v>432</v>
      </c>
      <c r="H920" s="79" t="str">
        <f aca="false">IFERROR(VLOOKUP(E:E,'Item Data Support Sheet'!A:O,2,0),"")</f>
        <v>NIPPLE S TYPE LL SIZE WRAPPED</v>
      </c>
      <c r="I920" s="80" t="s">
        <v>1597</v>
      </c>
      <c r="J920" s="80" t="s">
        <v>155</v>
      </c>
      <c r="K920" s="124" t="n">
        <v>8</v>
      </c>
      <c r="L920" s="124" t="n">
        <v>16137</v>
      </c>
      <c r="M920" s="83" t="n">
        <v>2017.125</v>
      </c>
      <c r="N920" s="84" t="n">
        <f aca="false">+O920+Q920+T920+U920</f>
        <v>16530</v>
      </c>
      <c r="O920" s="85" t="n">
        <v>16516</v>
      </c>
      <c r="P920" s="86" t="n">
        <v>0</v>
      </c>
      <c r="Q920" s="86" t="n">
        <v>0</v>
      </c>
      <c r="R920" s="132" t="n">
        <v>0</v>
      </c>
      <c r="S920" s="128" t="n">
        <v>0</v>
      </c>
      <c r="T920" s="132" t="n">
        <v>14</v>
      </c>
      <c r="U920" s="128" t="n">
        <v>0</v>
      </c>
      <c r="V920" s="128" t="n">
        <v>2</v>
      </c>
      <c r="W920" s="90" t="n">
        <f aca="false">IFERROR(O920/V920,0)</f>
        <v>8258</v>
      </c>
      <c r="X920" s="91" t="n">
        <f aca="false">O920/L920</f>
        <v>1.02348639771953</v>
      </c>
      <c r="Y920" s="92" t="str">
        <f aca="false">IFERROR(VLOOKUP(E:E,'Item Data Support Sheet'!A:J,6,0),0)</f>
        <v>FO141</v>
      </c>
      <c r="Z920" s="93" t="n">
        <f aca="false">IFERROR(VLOOKUP(E:E,'Item Data Support Sheet'!A:O,4,0),0)</f>
        <v>0</v>
      </c>
      <c r="AA920" s="93" t="n">
        <f aca="false">IFERROR(((N920)*(Z920/1000))+P920,0)</f>
        <v>0</v>
      </c>
      <c r="AB920" s="94" t="str">
        <f aca="false">IFERROR((O920*(Z920/1000)/(AA920))," ")</f>
        <v> </v>
      </c>
      <c r="AC920" s="95" t="n">
        <f aca="false">IFERROR((T920)/((T920)+O920),0)</f>
        <v>0.000846944948578342</v>
      </c>
      <c r="AD920" s="96" t="n">
        <f aca="false">IFERROR(Q920/(Q920+N920),0)</f>
        <v>0</v>
      </c>
      <c r="AE920" s="91" t="n">
        <f aca="false">(N920-T920)/N920</f>
        <v>0.999153055051422</v>
      </c>
      <c r="AF920" s="97" t="n">
        <f aca="false">BR920</f>
        <v>0.833333333333333</v>
      </c>
      <c r="AG920" s="98" t="n">
        <f aca="false">K920-AF920</f>
        <v>7.16666666666667</v>
      </c>
      <c r="AH920" s="99" t="n">
        <f aca="false">IFERROR(AG920/K920," ")</f>
        <v>0.895833333333333</v>
      </c>
      <c r="AI920" s="100" t="n">
        <f aca="false">IFERROR(O920/K920,0)</f>
        <v>2064.5</v>
      </c>
      <c r="AJ920" s="101" t="n">
        <f aca="false">VLOOKUP(D920,'Standard Cycle time'!C:D,2,0)</f>
        <v>2.5</v>
      </c>
      <c r="AK920" s="101" t="n">
        <f aca="false">AG920*V920*3600/O920</f>
        <v>3.12424315814967</v>
      </c>
      <c r="AL920" s="102" t="n">
        <f aca="false">AJ920/AK920</f>
        <v>0.800193798449612</v>
      </c>
      <c r="AM920" s="99" t="n">
        <f aca="false">AE920*AL920*AH920</f>
        <v>0.716233153525576</v>
      </c>
      <c r="AN920" s="103" t="n">
        <v>0.716233153525576</v>
      </c>
      <c r="AO920" s="112"/>
      <c r="AP920" s="105" t="n">
        <v>50</v>
      </c>
      <c r="AQ920" s="105" t="n">
        <v>0</v>
      </c>
      <c r="AR920" s="105" t="n">
        <v>0</v>
      </c>
      <c r="AS920" s="105" t="n">
        <v>0</v>
      </c>
      <c r="AT920" s="105" t="n">
        <v>0</v>
      </c>
      <c r="AU920" s="105" t="n">
        <v>0</v>
      </c>
      <c r="AV920" s="105" t="n">
        <v>0</v>
      </c>
      <c r="AW920" s="105" t="n">
        <v>0</v>
      </c>
      <c r="AX920" s="105" t="n">
        <v>0</v>
      </c>
      <c r="AY920" s="105" t="n">
        <v>0</v>
      </c>
      <c r="AZ920" s="105" t="n">
        <v>0</v>
      </c>
      <c r="BA920" s="105" t="n">
        <v>0</v>
      </c>
      <c r="BB920" s="105" t="n">
        <v>0</v>
      </c>
      <c r="BC920" s="105" t="n">
        <v>0</v>
      </c>
      <c r="BD920" s="105" t="n">
        <v>0</v>
      </c>
      <c r="BE920" s="105" t="n">
        <v>0</v>
      </c>
      <c r="BF920" s="105" t="n">
        <v>0</v>
      </c>
      <c r="BG920" s="105" t="n">
        <v>0</v>
      </c>
      <c r="BH920" s="105" t="n">
        <v>0</v>
      </c>
      <c r="BI920" s="105" t="n">
        <v>0</v>
      </c>
      <c r="BJ920" s="105" t="n">
        <v>0</v>
      </c>
      <c r="BK920" s="105" t="n">
        <v>0</v>
      </c>
      <c r="BL920" s="105" t="n">
        <v>0</v>
      </c>
      <c r="BM920" s="105" t="n">
        <v>0</v>
      </c>
      <c r="BN920" s="105" t="n">
        <v>0</v>
      </c>
      <c r="BO920" s="105" t="n">
        <v>0</v>
      </c>
      <c r="BP920" s="105" t="n">
        <v>0</v>
      </c>
      <c r="BQ920" s="105" t="n">
        <v>0</v>
      </c>
      <c r="BR920" s="106" t="n">
        <v>0.833333333333333</v>
      </c>
      <c r="BS920" s="106" t="n">
        <v>0.833333333333333</v>
      </c>
      <c r="BT920" s="107"/>
      <c r="BU920" s="107"/>
      <c r="BV920" s="107"/>
      <c r="BW920" s="107"/>
      <c r="BX920" s="107"/>
      <c r="BY920" s="107"/>
      <c r="BZ920" s="107"/>
      <c r="CA920" s="107"/>
      <c r="CB920" s="107"/>
      <c r="CC920" s="107"/>
      <c r="CD920" s="107"/>
      <c r="CE920" s="107"/>
      <c r="CF920" s="107"/>
      <c r="CG920" s="107"/>
      <c r="CH920" s="107"/>
      <c r="CI920" s="107"/>
      <c r="CJ920" s="107"/>
      <c r="CK920" s="107"/>
      <c r="CL920" s="107"/>
      <c r="CM920" s="107"/>
      <c r="CN920" s="107"/>
      <c r="CO920" s="107"/>
      <c r="CP920" s="107"/>
      <c r="CQ920" s="107"/>
      <c r="CR920" s="107"/>
      <c r="CS920" s="107"/>
      <c r="CT920" s="107"/>
      <c r="CU920" s="107"/>
      <c r="CV920" s="107"/>
    </row>
    <row r="921" customFormat="false" ht="14.9" hidden="false" customHeight="false" outlineLevel="0" collapsed="false">
      <c r="A921" s="74" t="n">
        <f aca="false">MONTH(B921)</f>
        <v>10</v>
      </c>
      <c r="B921" s="135" t="n">
        <v>44482</v>
      </c>
      <c r="C921" s="128" t="s">
        <v>63</v>
      </c>
      <c r="D921" s="77" t="str">
        <f aca="false">IFERROR(VLOOKUP(E:E,'Item Data Support Sheet'!A:O,7,0),"")</f>
        <v>NIPPLE PUNCH INSPECTED</v>
      </c>
      <c r="E921" s="80" t="s">
        <v>688</v>
      </c>
      <c r="F921" s="122"/>
      <c r="G921" s="137"/>
      <c r="H921" s="79" t="str">
        <f aca="false">IFERROR(VLOOKUP(E:E,'Item Data Support Sheet'!A:O,2,0),"")</f>
        <v>NIPPLE S TYPE L SIZE PUNCHED INSPECTED</v>
      </c>
      <c r="I921" s="80" t="s">
        <v>1683</v>
      </c>
      <c r="J921" s="80" t="s">
        <v>155</v>
      </c>
      <c r="K921" s="124" t="n">
        <v>8</v>
      </c>
      <c r="L921" s="124" t="n">
        <v>14137</v>
      </c>
      <c r="M921" s="83" t="n">
        <v>1767.125</v>
      </c>
      <c r="N921" s="84" t="n">
        <f aca="false">+O921+Q921+T921+U921</f>
        <v>14250</v>
      </c>
      <c r="O921" s="85" t="n">
        <v>14223</v>
      </c>
      <c r="P921" s="86" t="n">
        <v>0</v>
      </c>
      <c r="Q921" s="86" t="n">
        <v>0</v>
      </c>
      <c r="R921" s="132" t="n">
        <v>0</v>
      </c>
      <c r="S921" s="128" t="n">
        <v>0</v>
      </c>
      <c r="T921" s="132" t="n">
        <v>27</v>
      </c>
      <c r="U921" s="128" t="n">
        <v>0</v>
      </c>
      <c r="V921" s="128" t="n">
        <v>1</v>
      </c>
      <c r="W921" s="90" t="n">
        <f aca="false">IFERROR(O921/V921,0)</f>
        <v>14223</v>
      </c>
      <c r="X921" s="91" t="n">
        <f aca="false">O921/L921</f>
        <v>1.00608332743864</v>
      </c>
      <c r="Y921" s="92" t="str">
        <f aca="false">IFERROR(VLOOKUP(E:E,'Item Data Support Sheet'!A:J,6,0),0)</f>
        <v>FO106</v>
      </c>
      <c r="Z921" s="93" t="n">
        <f aca="false">IFERROR(VLOOKUP(E:E,'Item Data Support Sheet'!A:O,4,0),0)</f>
        <v>0</v>
      </c>
      <c r="AA921" s="93" t="n">
        <f aca="false">IFERROR(((N921)*(Z921/1000))+P921,0)</f>
        <v>0</v>
      </c>
      <c r="AB921" s="94" t="str">
        <f aca="false">IFERROR((O921*(Z921/1000)/(AA921))," ")</f>
        <v> </v>
      </c>
      <c r="AC921" s="95" t="n">
        <f aca="false">IFERROR((T921)/((T921)+O921),0)</f>
        <v>0.00189473684210526</v>
      </c>
      <c r="AD921" s="96" t="n">
        <f aca="false">IFERROR(Q921/(Q921+N921),0)</f>
        <v>0</v>
      </c>
      <c r="AE921" s="91" t="n">
        <f aca="false">(N921-T921)/N921</f>
        <v>0.998105263157895</v>
      </c>
      <c r="AF921" s="97" t="n">
        <f aca="false">BR921</f>
        <v>0.833333333333333</v>
      </c>
      <c r="AG921" s="98" t="n">
        <f aca="false">K921-AF921</f>
        <v>7.16666666666667</v>
      </c>
      <c r="AH921" s="99" t="n">
        <f aca="false">IFERROR(AG921/K921," ")</f>
        <v>0.895833333333333</v>
      </c>
      <c r="AI921" s="100" t="n">
        <f aca="false">IFERROR(O921/K921,0)</f>
        <v>1777.875</v>
      </c>
      <c r="AJ921" s="101" t="n">
        <f aca="false">VLOOKUP(D921,'Standard Cycle time'!C:D,2,0)</f>
        <v>4</v>
      </c>
      <c r="AK921" s="101" t="n">
        <f aca="false">AG921*V921*3600/O921</f>
        <v>1.81396329888209</v>
      </c>
      <c r="AL921" s="102" t="n">
        <f aca="false">AJ921/AK921</f>
        <v>2.20511627906977</v>
      </c>
      <c r="AM921" s="99" t="n">
        <f aca="false">AE921*AL921*AH921</f>
        <v>1.97167377192982</v>
      </c>
      <c r="AN921" s="103" t="n">
        <v>1.97167377192982</v>
      </c>
      <c r="AO921" s="112"/>
      <c r="AP921" s="105" t="n">
        <v>50</v>
      </c>
      <c r="AQ921" s="105" t="n">
        <v>0</v>
      </c>
      <c r="AR921" s="105" t="n">
        <v>0</v>
      </c>
      <c r="AS921" s="105" t="n">
        <v>0</v>
      </c>
      <c r="AT921" s="105" t="n">
        <v>0</v>
      </c>
      <c r="AU921" s="105" t="n">
        <v>0</v>
      </c>
      <c r="AV921" s="105" t="n">
        <v>0</v>
      </c>
      <c r="AW921" s="105" t="n">
        <v>0</v>
      </c>
      <c r="AX921" s="105" t="n">
        <v>0</v>
      </c>
      <c r="AY921" s="105" t="n">
        <v>0</v>
      </c>
      <c r="AZ921" s="105" t="n">
        <v>0</v>
      </c>
      <c r="BA921" s="105" t="n">
        <v>0</v>
      </c>
      <c r="BB921" s="105" t="n">
        <v>0</v>
      </c>
      <c r="BC921" s="105" t="n">
        <v>0</v>
      </c>
      <c r="BD921" s="105" t="n">
        <v>0</v>
      </c>
      <c r="BE921" s="105" t="n">
        <v>0</v>
      </c>
      <c r="BF921" s="105" t="n">
        <v>0</v>
      </c>
      <c r="BG921" s="105" t="n">
        <v>0</v>
      </c>
      <c r="BH921" s="105" t="n">
        <v>0</v>
      </c>
      <c r="BI921" s="105" t="n">
        <v>0</v>
      </c>
      <c r="BJ921" s="105" t="n">
        <v>0</v>
      </c>
      <c r="BK921" s="105" t="n">
        <v>0</v>
      </c>
      <c r="BL921" s="105" t="n">
        <v>0</v>
      </c>
      <c r="BM921" s="105" t="n">
        <v>0</v>
      </c>
      <c r="BN921" s="105" t="n">
        <v>0</v>
      </c>
      <c r="BO921" s="105" t="n">
        <v>0</v>
      </c>
      <c r="BP921" s="105" t="n">
        <v>0</v>
      </c>
      <c r="BQ921" s="105" t="n">
        <v>0</v>
      </c>
      <c r="BR921" s="106" t="n">
        <v>0.833333333333333</v>
      </c>
      <c r="BS921" s="106" t="n">
        <v>0.833333333333333</v>
      </c>
      <c r="BT921" s="107"/>
      <c r="BU921" s="107"/>
      <c r="BV921" s="107"/>
      <c r="BW921" s="107"/>
      <c r="BX921" s="107"/>
      <c r="BY921" s="107"/>
      <c r="BZ921" s="107"/>
      <c r="CA921" s="107"/>
      <c r="CB921" s="107"/>
      <c r="CC921" s="107"/>
      <c r="CD921" s="107"/>
      <c r="CE921" s="107"/>
      <c r="CF921" s="107"/>
      <c r="CG921" s="107"/>
      <c r="CH921" s="107"/>
      <c r="CI921" s="107"/>
      <c r="CJ921" s="107"/>
      <c r="CK921" s="107"/>
      <c r="CL921" s="107"/>
      <c r="CM921" s="107"/>
      <c r="CN921" s="107"/>
      <c r="CO921" s="107"/>
      <c r="CP921" s="107"/>
      <c r="CQ921" s="107"/>
      <c r="CR921" s="107"/>
      <c r="CS921" s="107"/>
      <c r="CT921" s="107"/>
      <c r="CU921" s="107"/>
      <c r="CV921" s="107"/>
    </row>
    <row r="922" customFormat="false" ht="14.9" hidden="false" customHeight="false" outlineLevel="0" collapsed="false">
      <c r="A922" s="74" t="n">
        <f aca="false">MONTH(B922)</f>
        <v>10</v>
      </c>
      <c r="B922" s="135" t="n">
        <v>44482</v>
      </c>
      <c r="C922" s="128" t="s">
        <v>63</v>
      </c>
      <c r="D922" s="77" t="str">
        <f aca="false">IFERROR(VLOOKUP(E:E,'Item Data Support Sheet'!A:O,7,0),"")</f>
        <v>BOTTLE PRINTED</v>
      </c>
      <c r="E922" s="80" t="s">
        <v>1684</v>
      </c>
      <c r="F922" s="122"/>
      <c r="G922" s="137"/>
      <c r="H922" s="79" t="str">
        <f aca="false">IFERROR(VLOOKUP(E:E,'Item Data Support Sheet'!A:O,2,0),"")</f>
        <v>RPP 120 ML RPP PRINTED BEE</v>
      </c>
      <c r="I922" s="80" t="s">
        <v>1685</v>
      </c>
      <c r="J922" s="80" t="s">
        <v>155</v>
      </c>
      <c r="K922" s="124" t="n">
        <v>2</v>
      </c>
      <c r="L922" s="124" t="n">
        <v>638</v>
      </c>
      <c r="M922" s="83" t="n">
        <v>319</v>
      </c>
      <c r="N922" s="84" t="n">
        <f aca="false">+O922+Q922+T922+U922</f>
        <v>607</v>
      </c>
      <c r="O922" s="85" t="n">
        <v>599</v>
      </c>
      <c r="P922" s="86" t="n">
        <v>0</v>
      </c>
      <c r="Q922" s="86" t="n">
        <v>0</v>
      </c>
      <c r="R922" s="132" t="n">
        <v>11</v>
      </c>
      <c r="S922" s="128" t="n">
        <v>0</v>
      </c>
      <c r="T922" s="132" t="n">
        <v>8</v>
      </c>
      <c r="U922" s="128" t="n">
        <v>0</v>
      </c>
      <c r="V922" s="128" t="n">
        <v>5</v>
      </c>
      <c r="W922" s="90" t="n">
        <f aca="false">IFERROR(O922/V922,0)</f>
        <v>119.8</v>
      </c>
      <c r="X922" s="91" t="n">
        <f aca="false">O922/L922</f>
        <v>0.938871473354232</v>
      </c>
      <c r="Y922" s="92" t="str">
        <f aca="false">IFERROR(VLOOKUP(E:E,'Item Data Support Sheet'!A:J,6,0),0)</f>
        <v>FO004</v>
      </c>
      <c r="Z922" s="93" t="n">
        <f aca="false">IFERROR(VLOOKUP(E:E,'Item Data Support Sheet'!A:O,4,0),0)</f>
        <v>0</v>
      </c>
      <c r="AA922" s="93" t="n">
        <f aca="false">IFERROR(((N922)*(Z922/1000))+P922,0)</f>
        <v>0</v>
      </c>
      <c r="AB922" s="94" t="str">
        <f aca="false">IFERROR((O922*(Z922/1000)/(AA922))," ")</f>
        <v> </v>
      </c>
      <c r="AC922" s="95" t="n">
        <f aca="false">IFERROR((T922)/((T922)+O922),0)</f>
        <v>0.0131795716639209</v>
      </c>
      <c r="AD922" s="96" t="n">
        <f aca="false">IFERROR(Q922/(Q922+N922),0)</f>
        <v>0</v>
      </c>
      <c r="AE922" s="91" t="n">
        <f aca="false">(N922-T922)/N922</f>
        <v>0.986820428336079</v>
      </c>
      <c r="AF922" s="97" t="n">
        <f aca="false">BR922</f>
        <v>0.833333333333333</v>
      </c>
      <c r="AG922" s="98" t="n">
        <f aca="false">K922-AF922</f>
        <v>1.16666666666667</v>
      </c>
      <c r="AH922" s="99" t="n">
        <f aca="false">IFERROR(AG922/K922," ")</f>
        <v>0.583333333333334</v>
      </c>
      <c r="AI922" s="100" t="n">
        <f aca="false">IFERROR(O922/K922,0)</f>
        <v>299.5</v>
      </c>
      <c r="AJ922" s="101" t="n">
        <f aca="false">VLOOKUP(D922,'Standard Cycle time'!C:D,2,0)</f>
        <v>32.4</v>
      </c>
      <c r="AK922" s="101" t="n">
        <f aca="false">AG922*V922*3600/O922</f>
        <v>35.0584307178631</v>
      </c>
      <c r="AL922" s="102" t="n">
        <f aca="false">AJ922/AK922</f>
        <v>0.924171428571428</v>
      </c>
      <c r="AM922" s="99" t="n">
        <f aca="false">AE922*AL922*AH922</f>
        <v>0.53199489291598</v>
      </c>
      <c r="AN922" s="103" t="n">
        <v>0.53199489291598</v>
      </c>
      <c r="AO922" s="112"/>
      <c r="AP922" s="105" t="n">
        <v>50</v>
      </c>
      <c r="AQ922" s="105" t="n">
        <v>0</v>
      </c>
      <c r="AR922" s="105" t="n">
        <v>0</v>
      </c>
      <c r="AS922" s="105" t="n">
        <v>0</v>
      </c>
      <c r="AT922" s="105" t="n">
        <v>0</v>
      </c>
      <c r="AU922" s="105" t="n">
        <v>0</v>
      </c>
      <c r="AV922" s="105" t="n">
        <v>0</v>
      </c>
      <c r="AW922" s="105" t="n">
        <v>0</v>
      </c>
      <c r="AX922" s="105" t="n">
        <v>0</v>
      </c>
      <c r="AY922" s="105" t="n">
        <v>0</v>
      </c>
      <c r="AZ922" s="105" t="n">
        <v>0</v>
      </c>
      <c r="BA922" s="105" t="n">
        <v>0</v>
      </c>
      <c r="BB922" s="105" t="n">
        <v>0</v>
      </c>
      <c r="BC922" s="105" t="n">
        <v>0</v>
      </c>
      <c r="BD922" s="105" t="n">
        <v>0</v>
      </c>
      <c r="BE922" s="105" t="n">
        <v>0</v>
      </c>
      <c r="BF922" s="105" t="n">
        <v>0</v>
      </c>
      <c r="BG922" s="105" t="n">
        <v>0</v>
      </c>
      <c r="BH922" s="105" t="n">
        <v>0</v>
      </c>
      <c r="BI922" s="105" t="n">
        <v>0</v>
      </c>
      <c r="BJ922" s="105" t="n">
        <v>0</v>
      </c>
      <c r="BK922" s="105" t="n">
        <v>0</v>
      </c>
      <c r="BL922" s="105" t="n">
        <v>0</v>
      </c>
      <c r="BM922" s="105" t="n">
        <v>0</v>
      </c>
      <c r="BN922" s="105" t="n">
        <v>0</v>
      </c>
      <c r="BO922" s="105" t="n">
        <v>0</v>
      </c>
      <c r="BP922" s="105" t="n">
        <v>0</v>
      </c>
      <c r="BQ922" s="105" t="n">
        <v>0</v>
      </c>
      <c r="BR922" s="106" t="n">
        <v>0.833333333333333</v>
      </c>
      <c r="BS922" s="106" t="n">
        <v>0.833333333333333</v>
      </c>
      <c r="BT922" s="107"/>
      <c r="BU922" s="107"/>
      <c r="BV922" s="107"/>
      <c r="BW922" s="107"/>
      <c r="BX922" s="107"/>
      <c r="BY922" s="107"/>
      <c r="BZ922" s="107"/>
      <c r="CA922" s="107"/>
      <c r="CB922" s="107"/>
      <c r="CC922" s="107"/>
      <c r="CD922" s="107"/>
      <c r="CE922" s="107"/>
      <c r="CF922" s="107"/>
      <c r="CG922" s="107"/>
      <c r="CH922" s="107"/>
      <c r="CI922" s="107"/>
      <c r="CJ922" s="107"/>
      <c r="CK922" s="107"/>
      <c r="CL922" s="107"/>
      <c r="CM922" s="107"/>
      <c r="CN922" s="107"/>
      <c r="CO922" s="107"/>
      <c r="CP922" s="107"/>
      <c r="CQ922" s="107"/>
      <c r="CR922" s="107"/>
      <c r="CS922" s="107"/>
      <c r="CT922" s="107"/>
      <c r="CU922" s="107"/>
      <c r="CV922" s="107"/>
    </row>
    <row r="923" customFormat="false" ht="14.9" hidden="false" customHeight="false" outlineLevel="0" collapsed="false">
      <c r="A923" s="74" t="n">
        <f aca="false">MONTH(B923)</f>
        <v>10</v>
      </c>
      <c r="B923" s="135" t="n">
        <v>44482</v>
      </c>
      <c r="C923" s="128" t="s">
        <v>63</v>
      </c>
      <c r="D923" s="77" t="str">
        <f aca="false">IFERROR(VLOOKUP(E:E,'Item Data Support Sheet'!A:O,7,0),"")</f>
        <v>BOTTLE PRINTED</v>
      </c>
      <c r="E923" s="80" t="s">
        <v>646</v>
      </c>
      <c r="F923" s="122"/>
      <c r="G923" s="137"/>
      <c r="H923" s="79" t="str">
        <f aca="false">IFERROR(VLOOKUP(E:E,'Item Data Support Sheet'!A:O,2,0),"")</f>
        <v>RPP 240ML FLORAL PNK BOTLE PNTD WM3GB W/BIS LOGO</v>
      </c>
      <c r="I923" s="80" t="s">
        <v>1686</v>
      </c>
      <c r="J923" s="80" t="s">
        <v>155</v>
      </c>
      <c r="K923" s="124" t="n">
        <v>2</v>
      </c>
      <c r="L923" s="124" t="n">
        <v>600</v>
      </c>
      <c r="M923" s="83" t="n">
        <v>300</v>
      </c>
      <c r="N923" s="84" t="n">
        <f aca="false">+O923+Q923+T923+U923</f>
        <v>665</v>
      </c>
      <c r="O923" s="85" t="n">
        <v>648</v>
      </c>
      <c r="P923" s="86" t="n">
        <v>0</v>
      </c>
      <c r="Q923" s="86" t="n">
        <v>0</v>
      </c>
      <c r="R923" s="132" t="n">
        <v>11</v>
      </c>
      <c r="S923" s="128" t="n">
        <v>0</v>
      </c>
      <c r="T923" s="132" t="n">
        <v>17</v>
      </c>
      <c r="U923" s="128"/>
      <c r="V923" s="128" t="n">
        <v>5</v>
      </c>
      <c r="W923" s="90" t="n">
        <f aca="false">IFERROR(O923/V923,0)</f>
        <v>129.6</v>
      </c>
      <c r="X923" s="91" t="n">
        <f aca="false">O923/L923</f>
        <v>1.08</v>
      </c>
      <c r="Y923" s="92" t="str">
        <f aca="false">IFERROR(VLOOKUP(E:E,'Item Data Support Sheet'!A:J,6,0),0)</f>
        <v>FO053</v>
      </c>
      <c r="Z923" s="93" t="n">
        <f aca="false">IFERROR(VLOOKUP(E:E,'Item Data Support Sheet'!A:O,4,0),0)</f>
        <v>0</v>
      </c>
      <c r="AA923" s="93" t="n">
        <f aca="false">IFERROR(((N923)*(Z923/1000))+P923,0)</f>
        <v>0</v>
      </c>
      <c r="AB923" s="94" t="str">
        <f aca="false">IFERROR((O923*(Z923/1000)/(AA923))," ")</f>
        <v> </v>
      </c>
      <c r="AC923" s="95" t="n">
        <f aca="false">IFERROR((T923)/((T923)+O923),0)</f>
        <v>0.0255639097744361</v>
      </c>
      <c r="AD923" s="96" t="n">
        <f aca="false">IFERROR(Q923/(Q923+N923),0)</f>
        <v>0</v>
      </c>
      <c r="AE923" s="91" t="n">
        <f aca="false">(N923-T923)/N923</f>
        <v>0.974436090225564</v>
      </c>
      <c r="AF923" s="97" t="n">
        <f aca="false">BR923</f>
        <v>0</v>
      </c>
      <c r="AG923" s="98" t="n">
        <f aca="false">K923-AF923</f>
        <v>2</v>
      </c>
      <c r="AH923" s="99" t="n">
        <f aca="false">IFERROR(AG923/K923," ")</f>
        <v>1</v>
      </c>
      <c r="AI923" s="100" t="n">
        <f aca="false">IFERROR(O923/K923,0)</f>
        <v>324</v>
      </c>
      <c r="AJ923" s="101" t="n">
        <f aca="false">VLOOKUP(D923,'Standard Cycle time'!C:D,2,0)</f>
        <v>32.4</v>
      </c>
      <c r="AK923" s="101" t="n">
        <f aca="false">AG923*V923*3600/O923</f>
        <v>55.5555555555556</v>
      </c>
      <c r="AL923" s="102" t="n">
        <f aca="false">AJ923/AK923</f>
        <v>0.5832</v>
      </c>
      <c r="AM923" s="99" t="n">
        <f aca="false">AE923*AL923*AH923</f>
        <v>0.568291127819549</v>
      </c>
      <c r="AN923" s="103" t="n">
        <v>0.568291127819549</v>
      </c>
      <c r="AO923" s="112" t="s">
        <v>1687</v>
      </c>
      <c r="AP923" s="105" t="n">
        <v>0</v>
      </c>
      <c r="AQ923" s="105" t="n">
        <v>0</v>
      </c>
      <c r="AR923" s="105" t="n">
        <v>0</v>
      </c>
      <c r="AS923" s="105" t="n">
        <v>0</v>
      </c>
      <c r="AT923" s="105" t="n">
        <v>0</v>
      </c>
      <c r="AU923" s="105" t="n">
        <v>0</v>
      </c>
      <c r="AV923" s="105" t="n">
        <v>0</v>
      </c>
      <c r="AW923" s="105" t="n">
        <v>0</v>
      </c>
      <c r="AX923" s="105" t="n">
        <v>0</v>
      </c>
      <c r="AY923" s="105" t="n">
        <v>0</v>
      </c>
      <c r="AZ923" s="105" t="n">
        <v>0</v>
      </c>
      <c r="BA923" s="105" t="n">
        <v>0</v>
      </c>
      <c r="BB923" s="105" t="n">
        <v>0</v>
      </c>
      <c r="BC923" s="105" t="n">
        <v>0</v>
      </c>
      <c r="BD923" s="105" t="n">
        <v>0</v>
      </c>
      <c r="BE923" s="105" t="n">
        <v>0</v>
      </c>
      <c r="BF923" s="105" t="n">
        <v>0</v>
      </c>
      <c r="BG923" s="105" t="n">
        <v>0</v>
      </c>
      <c r="BH923" s="105" t="n">
        <v>0</v>
      </c>
      <c r="BI923" s="105" t="n">
        <v>0</v>
      </c>
      <c r="BJ923" s="105" t="n">
        <v>0</v>
      </c>
      <c r="BK923" s="105" t="n">
        <v>0</v>
      </c>
      <c r="BL923" s="105" t="n">
        <v>0</v>
      </c>
      <c r="BM923" s="105" t="n">
        <v>0</v>
      </c>
      <c r="BN923" s="105" t="n">
        <v>0</v>
      </c>
      <c r="BO923" s="105" t="n">
        <v>0</v>
      </c>
      <c r="BP923" s="105" t="n">
        <v>0</v>
      </c>
      <c r="BQ923" s="105" t="n">
        <v>0</v>
      </c>
      <c r="BR923" s="106" t="n">
        <v>0</v>
      </c>
      <c r="BS923" s="106" t="n">
        <v>0</v>
      </c>
      <c r="BT923" s="107"/>
      <c r="BU923" s="107"/>
      <c r="BV923" s="107"/>
      <c r="BW923" s="107"/>
      <c r="BX923" s="107"/>
      <c r="BY923" s="107"/>
      <c r="BZ923" s="107"/>
      <c r="CA923" s="107"/>
      <c r="CB923" s="107"/>
      <c r="CC923" s="107"/>
      <c r="CD923" s="107"/>
      <c r="CE923" s="107"/>
      <c r="CF923" s="107"/>
      <c r="CG923" s="107"/>
      <c r="CH923" s="107"/>
      <c r="CI923" s="107"/>
      <c r="CJ923" s="107"/>
      <c r="CK923" s="107"/>
      <c r="CL923" s="107"/>
      <c r="CM923" s="107"/>
      <c r="CN923" s="107"/>
      <c r="CO923" s="107"/>
      <c r="CP923" s="107"/>
      <c r="CQ923" s="107"/>
      <c r="CR923" s="107"/>
      <c r="CS923" s="107"/>
      <c r="CT923" s="107"/>
      <c r="CU923" s="107"/>
      <c r="CV923" s="107"/>
    </row>
    <row r="924" customFormat="false" ht="14.9" hidden="false" customHeight="false" outlineLevel="0" collapsed="false">
      <c r="A924" s="74" t="n">
        <f aca="false">MONTH(B924)</f>
        <v>10</v>
      </c>
      <c r="B924" s="135" t="n">
        <v>44482</v>
      </c>
      <c r="C924" s="128" t="s">
        <v>63</v>
      </c>
      <c r="D924" s="77" t="str">
        <f aca="false">IFERROR(VLOOKUP(E:E,'Item Data Support Sheet'!A:O,7,0),"")</f>
        <v>BOTTLE PRINTED</v>
      </c>
      <c r="E924" s="80" t="s">
        <v>229</v>
      </c>
      <c r="F924" s="122"/>
      <c r="G924" s="137"/>
      <c r="H924" s="79" t="str">
        <f aca="false">IFERROR(VLOOKUP(E:E,'Item Data Support Sheet'!A:O,2,0),"")</f>
        <v>KPP BOTTLE 200 ML PRINTED-WMG3B</v>
      </c>
      <c r="I924" s="80" t="s">
        <v>1688</v>
      </c>
      <c r="J924" s="80" t="s">
        <v>155</v>
      </c>
      <c r="K924" s="124" t="n">
        <v>4</v>
      </c>
      <c r="L924" s="124" t="n">
        <v>2100</v>
      </c>
      <c r="M924" s="83" t="n">
        <v>525</v>
      </c>
      <c r="N924" s="84" t="n">
        <f aca="false">+O924+Q924+T924+U924</f>
        <v>1956</v>
      </c>
      <c r="O924" s="85" t="n">
        <v>1944</v>
      </c>
      <c r="P924" s="86" t="n">
        <v>0</v>
      </c>
      <c r="Q924" s="86" t="n">
        <v>0</v>
      </c>
      <c r="R924" s="132" t="n">
        <v>20</v>
      </c>
      <c r="S924" s="128" t="n">
        <v>0</v>
      </c>
      <c r="T924" s="132" t="n">
        <v>12</v>
      </c>
      <c r="U924" s="128" t="n">
        <v>0</v>
      </c>
      <c r="V924" s="128" t="n">
        <v>5</v>
      </c>
      <c r="W924" s="90" t="n">
        <f aca="false">IFERROR(O924/V924,0)</f>
        <v>388.8</v>
      </c>
      <c r="X924" s="91" t="n">
        <f aca="false">O924/L924</f>
        <v>0.925714285714286</v>
      </c>
      <c r="Y924" s="92" t="str">
        <f aca="false">IFERROR(VLOOKUP(E:E,'Item Data Support Sheet'!A:J,6,0),0)</f>
        <v>FO043</v>
      </c>
      <c r="Z924" s="93" t="n">
        <f aca="false">IFERROR(VLOOKUP(E:E,'Item Data Support Sheet'!A:O,4,0),0)</f>
        <v>0</v>
      </c>
      <c r="AA924" s="93" t="n">
        <f aca="false">IFERROR(((N924)*(Z924/1000))+P924,0)</f>
        <v>0</v>
      </c>
      <c r="AB924" s="94" t="str">
        <f aca="false">IFERROR((O924*(Z924/1000)/(AA924))," ")</f>
        <v> </v>
      </c>
      <c r="AC924" s="95" t="n">
        <f aca="false">IFERROR((T924)/((T924)+O924),0)</f>
        <v>0.00613496932515337</v>
      </c>
      <c r="AD924" s="96" t="n">
        <f aca="false">IFERROR(Q924/(Q924+N924),0)</f>
        <v>0</v>
      </c>
      <c r="AE924" s="91" t="n">
        <f aca="false">(N924-T924)/N924</f>
        <v>0.993865030674847</v>
      </c>
      <c r="AF924" s="97" t="n">
        <f aca="false">BR924</f>
        <v>0</v>
      </c>
      <c r="AG924" s="98" t="n">
        <f aca="false">K924-AF924</f>
        <v>4</v>
      </c>
      <c r="AH924" s="99" t="n">
        <f aca="false">IFERROR(AG924/K924," ")</f>
        <v>1</v>
      </c>
      <c r="AI924" s="100" t="n">
        <f aca="false">IFERROR(O924/K924,0)</f>
        <v>486</v>
      </c>
      <c r="AJ924" s="101" t="n">
        <f aca="false">VLOOKUP(D924,'Standard Cycle time'!C:D,2,0)</f>
        <v>32.4</v>
      </c>
      <c r="AK924" s="101" t="n">
        <f aca="false">AG924*V924*3600/O924</f>
        <v>37.037037037037</v>
      </c>
      <c r="AL924" s="102" t="n">
        <f aca="false">AJ924/AK924</f>
        <v>0.8748</v>
      </c>
      <c r="AM924" s="99" t="n">
        <f aca="false">AE924*AL924*AH924</f>
        <v>0.869433128834356</v>
      </c>
      <c r="AN924" s="103" t="n">
        <v>0.869433128834356</v>
      </c>
      <c r="AO924" s="112"/>
      <c r="AP924" s="105" t="n">
        <v>0</v>
      </c>
      <c r="AQ924" s="105" t="n">
        <v>0</v>
      </c>
      <c r="AR924" s="105" t="n">
        <v>0</v>
      </c>
      <c r="AS924" s="105" t="n">
        <v>0</v>
      </c>
      <c r="AT924" s="105" t="n">
        <v>0</v>
      </c>
      <c r="AU924" s="105" t="n">
        <v>0</v>
      </c>
      <c r="AV924" s="105" t="n">
        <v>0</v>
      </c>
      <c r="AW924" s="105" t="n">
        <v>0</v>
      </c>
      <c r="AX924" s="105" t="n">
        <v>0</v>
      </c>
      <c r="AY924" s="105" t="n">
        <v>0</v>
      </c>
      <c r="AZ924" s="105" t="n">
        <v>0</v>
      </c>
      <c r="BA924" s="105" t="n">
        <v>0</v>
      </c>
      <c r="BB924" s="105" t="n">
        <v>0</v>
      </c>
      <c r="BC924" s="105" t="n">
        <v>0</v>
      </c>
      <c r="BD924" s="105" t="n">
        <v>0</v>
      </c>
      <c r="BE924" s="105" t="n">
        <v>0</v>
      </c>
      <c r="BF924" s="105" t="n">
        <v>0</v>
      </c>
      <c r="BG924" s="105" t="n">
        <v>0</v>
      </c>
      <c r="BH924" s="105" t="n">
        <v>0</v>
      </c>
      <c r="BI924" s="105" t="n">
        <v>0</v>
      </c>
      <c r="BJ924" s="105" t="n">
        <v>0</v>
      </c>
      <c r="BK924" s="105" t="n">
        <v>0</v>
      </c>
      <c r="BL924" s="105" t="n">
        <v>0</v>
      </c>
      <c r="BM924" s="105" t="n">
        <v>0</v>
      </c>
      <c r="BN924" s="105" t="n">
        <v>0</v>
      </c>
      <c r="BO924" s="105" t="n">
        <v>0</v>
      </c>
      <c r="BP924" s="105" t="n">
        <v>0</v>
      </c>
      <c r="BQ924" s="105" t="n">
        <v>0</v>
      </c>
      <c r="BR924" s="106" t="n">
        <v>0</v>
      </c>
      <c r="BS924" s="106" t="n">
        <v>0</v>
      </c>
      <c r="BT924" s="107"/>
      <c r="BU924" s="107"/>
      <c r="BV924" s="107"/>
      <c r="BW924" s="107"/>
      <c r="BX924" s="107"/>
      <c r="BY924" s="107"/>
      <c r="BZ924" s="107"/>
      <c r="CA924" s="107"/>
      <c r="CB924" s="107"/>
      <c r="CC924" s="107"/>
      <c r="CD924" s="107"/>
      <c r="CE924" s="107"/>
      <c r="CF924" s="107"/>
      <c r="CG924" s="107"/>
      <c r="CH924" s="107"/>
      <c r="CI924" s="107"/>
      <c r="CJ924" s="107"/>
      <c r="CK924" s="107"/>
      <c r="CL924" s="107"/>
      <c r="CM924" s="107"/>
      <c r="CN924" s="107"/>
      <c r="CO924" s="107"/>
      <c r="CP924" s="107"/>
      <c r="CQ924" s="107"/>
      <c r="CR924" s="107"/>
      <c r="CS924" s="107"/>
      <c r="CT924" s="107"/>
      <c r="CU924" s="107"/>
      <c r="CV924" s="107"/>
    </row>
    <row r="925" customFormat="false" ht="14.9" hidden="false" customHeight="false" outlineLevel="0" collapsed="false">
      <c r="A925" s="74" t="n">
        <f aca="false">MONTH(B925)</f>
        <v>10</v>
      </c>
      <c r="B925" s="135" t="n">
        <v>44482</v>
      </c>
      <c r="C925" s="128" t="s">
        <v>70</v>
      </c>
      <c r="D925" s="77" t="str">
        <f aca="false">IFERROR(VLOOKUP(E:E,'Item Data Support Sheet'!A:O,7,0),"")</f>
        <v>BOTTLE MOLDED</v>
      </c>
      <c r="E925" s="80" t="s">
        <v>69</v>
      </c>
      <c r="F925" s="122" t="s">
        <v>73</v>
      </c>
      <c r="G925" s="137" t="s">
        <v>80</v>
      </c>
      <c r="H925" s="79" t="str">
        <f aca="false">IFERROR(VLOOKUP(E:E,'Item Data Support Sheet'!A:O,2,0),"")</f>
        <v>KPP 240 ML BOTTLE MOLDED</v>
      </c>
      <c r="I925" s="80" t="s">
        <v>1689</v>
      </c>
      <c r="J925" s="80" t="s">
        <v>155</v>
      </c>
      <c r="K925" s="124" t="n">
        <v>8</v>
      </c>
      <c r="L925" s="124" t="n">
        <v>2574</v>
      </c>
      <c r="M925" s="83" t="n">
        <v>321.75</v>
      </c>
      <c r="N925" s="84" t="n">
        <f aca="false">+O925+Q925+T925+U925</f>
        <v>959</v>
      </c>
      <c r="O925" s="85" t="n">
        <v>864</v>
      </c>
      <c r="P925" s="86" t="n">
        <v>0</v>
      </c>
      <c r="Q925" s="86" t="n">
        <v>35</v>
      </c>
      <c r="R925" s="132" t="n">
        <v>0</v>
      </c>
      <c r="S925" s="128" t="n">
        <v>0</v>
      </c>
      <c r="T925" s="132" t="n">
        <v>60</v>
      </c>
      <c r="U925" s="128" t="n">
        <v>0</v>
      </c>
      <c r="V925" s="128" t="n">
        <v>1</v>
      </c>
      <c r="W925" s="90" t="n">
        <f aca="false">IFERROR(O925/V925,0)</f>
        <v>864</v>
      </c>
      <c r="X925" s="91" t="n">
        <f aca="false">O925/L925</f>
        <v>0.335664335664336</v>
      </c>
      <c r="Y925" s="92" t="str">
        <f aca="false">IFERROR(VLOOKUP(E:E,'Item Data Support Sheet'!A:J,6,0),0)</f>
        <v>HMC</v>
      </c>
      <c r="Z925" s="93" t="n">
        <f aca="false">IFERROR(VLOOKUP(E:E,'Item Data Support Sheet'!A:O,4,0),0)</f>
        <v>32.1</v>
      </c>
      <c r="AA925" s="93" t="n">
        <f aca="false">IFERROR(((N925)*(Z925/1000))+P925,0)</f>
        <v>30.7839</v>
      </c>
      <c r="AB925" s="94" t="n">
        <f aca="false">IFERROR((O925*(Z925/1000)/(AA925))," ")</f>
        <v>0.900938477580813</v>
      </c>
      <c r="AC925" s="95" t="n">
        <f aca="false">IFERROR((T925)/((T925)+O925),0)</f>
        <v>0.0649350649350649</v>
      </c>
      <c r="AD925" s="96" t="n">
        <f aca="false">IFERROR(Q925/(Q925+N925),0)</f>
        <v>0.0352112676056338</v>
      </c>
      <c r="AE925" s="91" t="n">
        <f aca="false">(N925-T925)/N925</f>
        <v>0.937434827945777</v>
      </c>
      <c r="AF925" s="97" t="n">
        <f aca="false">BR925</f>
        <v>6</v>
      </c>
      <c r="AG925" s="98" t="n">
        <f aca="false">K925-AF925</f>
        <v>2</v>
      </c>
      <c r="AH925" s="99" t="n">
        <f aca="false">IFERROR(AG925/K925," ")</f>
        <v>0.25</v>
      </c>
      <c r="AI925" s="100" t="n">
        <f aca="false">IFERROR(O925/K925,0)</f>
        <v>108</v>
      </c>
      <c r="AJ925" s="101" t="n">
        <f aca="false">VLOOKUP(D925,'Standard Cycle time'!C:D,2,0)</f>
        <v>9</v>
      </c>
      <c r="AK925" s="101" t="n">
        <f aca="false">AG925*V925*3600/O925</f>
        <v>8.33333333333333</v>
      </c>
      <c r="AL925" s="102" t="n">
        <f aca="false">AJ925/AK925</f>
        <v>1.08</v>
      </c>
      <c r="AM925" s="99" t="n">
        <f aca="false">AE925*AL925*AH925</f>
        <v>0.25310740354536</v>
      </c>
      <c r="AN925" s="103" t="n">
        <v>0.25310740354536</v>
      </c>
      <c r="AO925" s="112" t="s">
        <v>1690</v>
      </c>
      <c r="AP925" s="105" t="n">
        <v>0</v>
      </c>
      <c r="AQ925" s="105" t="n">
        <v>0</v>
      </c>
      <c r="AR925" s="105" t="n">
        <v>0</v>
      </c>
      <c r="AS925" s="105" t="n">
        <v>0</v>
      </c>
      <c r="AT925" s="105" t="n">
        <v>0</v>
      </c>
      <c r="AU925" s="105" t="n">
        <v>0</v>
      </c>
      <c r="AV925" s="105" t="n">
        <v>360</v>
      </c>
      <c r="AW925" s="105" t="n">
        <v>0</v>
      </c>
      <c r="AX925" s="105" t="n">
        <v>0</v>
      </c>
      <c r="AY925" s="105" t="n">
        <v>0</v>
      </c>
      <c r="AZ925" s="105" t="n">
        <v>0</v>
      </c>
      <c r="BA925" s="105" t="n">
        <v>0</v>
      </c>
      <c r="BB925" s="105" t="n">
        <v>0</v>
      </c>
      <c r="BC925" s="105" t="n">
        <v>0</v>
      </c>
      <c r="BD925" s="105" t="n">
        <v>0</v>
      </c>
      <c r="BE925" s="105" t="n">
        <v>0</v>
      </c>
      <c r="BF925" s="105" t="n">
        <v>0</v>
      </c>
      <c r="BG925" s="105" t="n">
        <v>0</v>
      </c>
      <c r="BH925" s="105" t="n">
        <v>0</v>
      </c>
      <c r="BI925" s="105" t="n">
        <v>0</v>
      </c>
      <c r="BJ925" s="105" t="n">
        <v>0</v>
      </c>
      <c r="BK925" s="105" t="n">
        <v>0</v>
      </c>
      <c r="BL925" s="105" t="n">
        <v>0</v>
      </c>
      <c r="BM925" s="105" t="n">
        <v>0</v>
      </c>
      <c r="BN925" s="105" t="n">
        <v>0</v>
      </c>
      <c r="BO925" s="105" t="n">
        <v>0</v>
      </c>
      <c r="BP925" s="105" t="n">
        <v>0</v>
      </c>
      <c r="BQ925" s="105" t="n">
        <v>0</v>
      </c>
      <c r="BR925" s="106" t="n">
        <v>6</v>
      </c>
      <c r="BS925" s="106" t="n">
        <v>6</v>
      </c>
      <c r="BT925" s="107"/>
      <c r="BU925" s="107"/>
      <c r="BV925" s="107"/>
      <c r="BW925" s="107"/>
      <c r="BX925" s="107"/>
      <c r="BY925" s="107"/>
      <c r="BZ925" s="107"/>
      <c r="CA925" s="107"/>
      <c r="CB925" s="107"/>
      <c r="CC925" s="107"/>
      <c r="CD925" s="107"/>
      <c r="CE925" s="107"/>
      <c r="CF925" s="107"/>
      <c r="CG925" s="107"/>
      <c r="CH925" s="107"/>
      <c r="CI925" s="107"/>
      <c r="CJ925" s="107"/>
      <c r="CK925" s="107"/>
      <c r="CL925" s="107"/>
      <c r="CM925" s="107"/>
      <c r="CN925" s="107"/>
      <c r="CO925" s="107"/>
      <c r="CP925" s="107"/>
      <c r="CQ925" s="107"/>
      <c r="CR925" s="107"/>
      <c r="CS925" s="107"/>
      <c r="CT925" s="107"/>
      <c r="CU925" s="107"/>
      <c r="CV925" s="107"/>
    </row>
    <row r="926" customFormat="false" ht="14.9" hidden="false" customHeight="false" outlineLevel="0" collapsed="false">
      <c r="A926" s="74" t="n">
        <f aca="false">MONTH(B926)</f>
        <v>10</v>
      </c>
      <c r="B926" s="135" t="n">
        <v>44482</v>
      </c>
      <c r="C926" s="128" t="s">
        <v>70</v>
      </c>
      <c r="D926" s="77" t="str">
        <f aca="false">IFERROR(VLOOKUP(E:E,'Item Data Support Sheet'!A:O,7,0),"")</f>
        <v>CAP MOLDED</v>
      </c>
      <c r="E926" s="80" t="s">
        <v>453</v>
      </c>
      <c r="F926" s="122"/>
      <c r="G926" s="137" t="s">
        <v>1595</v>
      </c>
      <c r="H926" s="79" t="str">
        <f aca="false">IFERROR(VLOOKUP(E:E,'Item Data Support Sheet'!A:O,2,0),"")</f>
        <v>CAP S TYPE MOLDED WHITE</v>
      </c>
      <c r="I926" s="80" t="s">
        <v>1691</v>
      </c>
      <c r="J926" s="80" t="s">
        <v>155</v>
      </c>
      <c r="K926" s="124" t="n">
        <v>4</v>
      </c>
      <c r="L926" s="124" t="n">
        <v>2050</v>
      </c>
      <c r="M926" s="83" t="n">
        <v>512.5</v>
      </c>
      <c r="N926" s="84" t="n">
        <f aca="false">+O926+Q926+T926+U926</f>
        <v>2300</v>
      </c>
      <c r="O926" s="85" t="n">
        <v>2300</v>
      </c>
      <c r="P926" s="86" t="n">
        <v>0</v>
      </c>
      <c r="Q926" s="86" t="n">
        <v>0</v>
      </c>
      <c r="R926" s="132" t="n">
        <v>0</v>
      </c>
      <c r="S926" s="128" t="n">
        <v>0</v>
      </c>
      <c r="T926" s="132" t="n">
        <v>0</v>
      </c>
      <c r="U926" s="128" t="n">
        <v>0</v>
      </c>
      <c r="V926" s="128" t="n">
        <v>1</v>
      </c>
      <c r="W926" s="90" t="n">
        <f aca="false">IFERROR(O926/V926,0)</f>
        <v>2300</v>
      </c>
      <c r="X926" s="91" t="n">
        <f aca="false">O926/L926</f>
        <v>1.1219512195122</v>
      </c>
      <c r="Y926" s="92" t="str">
        <f aca="false">IFERROR(VLOOKUP(E:E,'Item Data Support Sheet'!A:J,6,0),0)</f>
        <v>RM000106</v>
      </c>
      <c r="Z926" s="93" t="n">
        <f aca="false">IFERROR(VLOOKUP(E:E,'Item Data Support Sheet'!A:O,4,0),0)</f>
        <v>7.3</v>
      </c>
      <c r="AA926" s="93" t="n">
        <f aca="false">IFERROR(((N926)*(Z926/1000))+P926,0)</f>
        <v>16.79</v>
      </c>
      <c r="AB926" s="94" t="n">
        <f aca="false">IFERROR((O926*(Z926/1000)/(AA926))," ")</f>
        <v>1</v>
      </c>
      <c r="AC926" s="95" t="n">
        <f aca="false">IFERROR((T926)/((T926)+O926),0)</f>
        <v>0</v>
      </c>
      <c r="AD926" s="96" t="n">
        <f aca="false">IFERROR(Q926/(Q926+N926),0)</f>
        <v>0</v>
      </c>
      <c r="AE926" s="91" t="n">
        <f aca="false">(N926-T926)/N926</f>
        <v>1</v>
      </c>
      <c r="AF926" s="97" t="n">
        <f aca="false">BR926</f>
        <v>0</v>
      </c>
      <c r="AG926" s="98" t="n">
        <f aca="false">K926-AF926</f>
        <v>4</v>
      </c>
      <c r="AH926" s="99" t="n">
        <f aca="false">IFERROR(AG926/K926," ")</f>
        <v>1</v>
      </c>
      <c r="AI926" s="100" t="n">
        <f aca="false">IFERROR(O926/K926,0)</f>
        <v>575</v>
      </c>
      <c r="AJ926" s="101" t="n">
        <f aca="false">VLOOKUP(D926,'Standard Cycle time'!C:D,2,0)</f>
        <v>6</v>
      </c>
      <c r="AK926" s="101" t="n">
        <f aca="false">AG926*V926*3600/O926</f>
        <v>6.26086956521739</v>
      </c>
      <c r="AL926" s="102" t="n">
        <f aca="false">AJ926/AK926</f>
        <v>0.958333333333333</v>
      </c>
      <c r="AM926" s="99" t="n">
        <f aca="false">AE926*AL926*AH926</f>
        <v>0.958333333333333</v>
      </c>
      <c r="AN926" s="103" t="n">
        <v>0.958333333333333</v>
      </c>
      <c r="AO926" s="112"/>
      <c r="AP926" s="105" t="n">
        <v>0</v>
      </c>
      <c r="AQ926" s="105" t="n">
        <v>0</v>
      </c>
      <c r="AR926" s="105" t="n">
        <v>0</v>
      </c>
      <c r="AS926" s="105" t="n">
        <v>0</v>
      </c>
      <c r="AT926" s="105" t="n">
        <v>0</v>
      </c>
      <c r="AU926" s="105" t="n">
        <v>0</v>
      </c>
      <c r="AV926" s="105" t="n">
        <v>0</v>
      </c>
      <c r="AW926" s="105" t="n">
        <v>0</v>
      </c>
      <c r="AX926" s="105" t="n">
        <v>0</v>
      </c>
      <c r="AY926" s="105" t="n">
        <v>0</v>
      </c>
      <c r="AZ926" s="105" t="n">
        <v>0</v>
      </c>
      <c r="BA926" s="105" t="n">
        <v>0</v>
      </c>
      <c r="BB926" s="105" t="n">
        <v>0</v>
      </c>
      <c r="BC926" s="105" t="n">
        <v>0</v>
      </c>
      <c r="BD926" s="105" t="n">
        <v>0</v>
      </c>
      <c r="BE926" s="105" t="n">
        <v>0</v>
      </c>
      <c r="BF926" s="105" t="n">
        <v>0</v>
      </c>
      <c r="BG926" s="105" t="n">
        <v>0</v>
      </c>
      <c r="BH926" s="105" t="n">
        <v>0</v>
      </c>
      <c r="BI926" s="105" t="n">
        <v>0</v>
      </c>
      <c r="BJ926" s="105" t="n">
        <v>0</v>
      </c>
      <c r="BK926" s="105" t="n">
        <v>0</v>
      </c>
      <c r="BL926" s="105" t="n">
        <v>0</v>
      </c>
      <c r="BM926" s="105" t="n">
        <v>0</v>
      </c>
      <c r="BN926" s="105" t="n">
        <v>0</v>
      </c>
      <c r="BO926" s="105" t="n">
        <v>0</v>
      </c>
      <c r="BP926" s="105" t="n">
        <v>0</v>
      </c>
      <c r="BQ926" s="105" t="n">
        <v>0</v>
      </c>
      <c r="BR926" s="106" t="n">
        <v>0</v>
      </c>
      <c r="BS926" s="106" t="n">
        <v>0</v>
      </c>
      <c r="BT926" s="107"/>
      <c r="BU926" s="107"/>
      <c r="BV926" s="107"/>
      <c r="BW926" s="107"/>
      <c r="BX926" s="107"/>
      <c r="BY926" s="107"/>
      <c r="BZ926" s="107"/>
      <c r="CA926" s="107"/>
      <c r="CB926" s="107"/>
      <c r="CC926" s="107"/>
      <c r="CD926" s="107"/>
      <c r="CE926" s="107"/>
      <c r="CF926" s="107"/>
      <c r="CG926" s="107"/>
      <c r="CH926" s="107"/>
      <c r="CI926" s="107"/>
      <c r="CJ926" s="107"/>
      <c r="CK926" s="107"/>
      <c r="CL926" s="107"/>
      <c r="CM926" s="107"/>
      <c r="CN926" s="107"/>
      <c r="CO926" s="107"/>
      <c r="CP926" s="107"/>
      <c r="CQ926" s="107"/>
      <c r="CR926" s="107"/>
      <c r="CS926" s="107"/>
      <c r="CT926" s="107"/>
      <c r="CU926" s="107"/>
      <c r="CV926" s="107"/>
    </row>
    <row r="927" customFormat="false" ht="14.9" hidden="false" customHeight="false" outlineLevel="0" collapsed="false">
      <c r="A927" s="74" t="n">
        <f aca="false">MONTH(B927)</f>
        <v>10</v>
      </c>
      <c r="B927" s="135" t="n">
        <v>44482</v>
      </c>
      <c r="C927" s="128" t="s">
        <v>70</v>
      </c>
      <c r="D927" s="77" t="str">
        <f aca="false">IFERROR(VLOOKUP(E:E,'Item Data Support Sheet'!A:O,7,0),"")</f>
        <v>CAP MOLDED</v>
      </c>
      <c r="E927" s="80" t="s">
        <v>453</v>
      </c>
      <c r="F927" s="122"/>
      <c r="G927" s="137" t="s">
        <v>1215</v>
      </c>
      <c r="H927" s="79" t="str">
        <f aca="false">IFERROR(VLOOKUP(E:E,'Item Data Support Sheet'!A:O,2,0),"")</f>
        <v>CAP S TYPE MOLDED WHITE</v>
      </c>
      <c r="I927" s="80" t="s">
        <v>1692</v>
      </c>
      <c r="J927" s="80" t="s">
        <v>155</v>
      </c>
      <c r="K927" s="124" t="n">
        <v>4</v>
      </c>
      <c r="L927" s="124" t="n">
        <v>2050</v>
      </c>
      <c r="M927" s="83" t="n">
        <v>512.5</v>
      </c>
      <c r="N927" s="84" t="n">
        <f aca="false">+O927+Q927+T927+U927</f>
        <v>2000</v>
      </c>
      <c r="O927" s="85" t="n">
        <v>2000</v>
      </c>
      <c r="P927" s="86" t="n">
        <v>0</v>
      </c>
      <c r="Q927" s="86" t="n">
        <v>0</v>
      </c>
      <c r="R927" s="132" t="n">
        <v>0</v>
      </c>
      <c r="S927" s="128" t="n">
        <v>0</v>
      </c>
      <c r="T927" s="132" t="n">
        <v>0</v>
      </c>
      <c r="U927" s="128" t="n">
        <v>0</v>
      </c>
      <c r="V927" s="128" t="n">
        <v>1</v>
      </c>
      <c r="W927" s="90" t="n">
        <f aca="false">IFERROR(O927/V927,0)</f>
        <v>2000</v>
      </c>
      <c r="X927" s="91" t="n">
        <f aca="false">O927/L927</f>
        <v>0.975609756097561</v>
      </c>
      <c r="Y927" s="92" t="str">
        <f aca="false">IFERROR(VLOOKUP(E:E,'Item Data Support Sheet'!A:J,6,0),0)</f>
        <v>RM000106</v>
      </c>
      <c r="Z927" s="93" t="n">
        <f aca="false">IFERROR(VLOOKUP(E:E,'Item Data Support Sheet'!A:O,4,0),0)</f>
        <v>7.3</v>
      </c>
      <c r="AA927" s="93" t="n">
        <f aca="false">IFERROR(((N927)*(Z927/1000))+P927,0)</f>
        <v>14.6</v>
      </c>
      <c r="AB927" s="94" t="n">
        <f aca="false">IFERROR((O927*(Z927/1000)/(AA927))," ")</f>
        <v>1</v>
      </c>
      <c r="AC927" s="95" t="n">
        <f aca="false">IFERROR((T927)/((T927)+O927),0)</f>
        <v>0</v>
      </c>
      <c r="AD927" s="96" t="n">
        <f aca="false">IFERROR(Q927/(Q927+N927),0)</f>
        <v>0</v>
      </c>
      <c r="AE927" s="91" t="n">
        <f aca="false">(N927-T927)/N927</f>
        <v>1</v>
      </c>
      <c r="AF927" s="97" t="n">
        <f aca="false">BR927</f>
        <v>0.833333333333333</v>
      </c>
      <c r="AG927" s="98" t="n">
        <f aca="false">K927-AF927</f>
        <v>3.16666666666667</v>
      </c>
      <c r="AH927" s="99" t="n">
        <f aca="false">IFERROR(AG927/K927," ")</f>
        <v>0.791666666666667</v>
      </c>
      <c r="AI927" s="100" t="n">
        <f aca="false">IFERROR(O927/K927,0)</f>
        <v>500</v>
      </c>
      <c r="AJ927" s="101" t="n">
        <f aca="false">VLOOKUP(D927,'Standard Cycle time'!C:D,2,0)</f>
        <v>6</v>
      </c>
      <c r="AK927" s="101" t="n">
        <f aca="false">AG927*V927*3600/O927</f>
        <v>5.7</v>
      </c>
      <c r="AL927" s="102" t="n">
        <f aca="false">AJ927/AK927</f>
        <v>1.05263157894737</v>
      </c>
      <c r="AM927" s="99" t="n">
        <f aca="false">AE927*AL927*AH927</f>
        <v>0.833333333333333</v>
      </c>
      <c r="AN927" s="103" t="n">
        <v>0.833333333333333</v>
      </c>
      <c r="AO927" s="112"/>
      <c r="AP927" s="105" t="n">
        <v>0</v>
      </c>
      <c r="AQ927" s="105" t="n">
        <v>0</v>
      </c>
      <c r="AR927" s="105" t="n">
        <v>0</v>
      </c>
      <c r="AS927" s="105" t="n">
        <v>0</v>
      </c>
      <c r="AT927" s="105" t="n">
        <v>0</v>
      </c>
      <c r="AU927" s="105" t="n">
        <v>0</v>
      </c>
      <c r="AV927" s="105" t="n">
        <v>30</v>
      </c>
      <c r="AW927" s="105" t="n">
        <v>0</v>
      </c>
      <c r="AX927" s="105" t="n">
        <v>0</v>
      </c>
      <c r="AY927" s="105" t="n">
        <v>0</v>
      </c>
      <c r="AZ927" s="105" t="n">
        <v>20</v>
      </c>
      <c r="BA927" s="105" t="n">
        <v>0</v>
      </c>
      <c r="BB927" s="105" t="n">
        <v>0</v>
      </c>
      <c r="BC927" s="105" t="n">
        <v>0</v>
      </c>
      <c r="BD927" s="105" t="n">
        <v>0</v>
      </c>
      <c r="BE927" s="105" t="n">
        <v>0</v>
      </c>
      <c r="BF927" s="105" t="n">
        <v>0</v>
      </c>
      <c r="BG927" s="105" t="n">
        <v>0</v>
      </c>
      <c r="BH927" s="105" t="n">
        <v>0</v>
      </c>
      <c r="BI927" s="105" t="n">
        <v>0</v>
      </c>
      <c r="BJ927" s="105" t="n">
        <v>0</v>
      </c>
      <c r="BK927" s="105" t="n">
        <v>0</v>
      </c>
      <c r="BL927" s="105" t="n">
        <v>0</v>
      </c>
      <c r="BM927" s="105" t="n">
        <v>0</v>
      </c>
      <c r="BN927" s="105" t="n">
        <v>0</v>
      </c>
      <c r="BO927" s="105" t="n">
        <v>0</v>
      </c>
      <c r="BP927" s="105" t="n">
        <v>0</v>
      </c>
      <c r="BQ927" s="105" t="n">
        <v>0</v>
      </c>
      <c r="BR927" s="106" t="n">
        <v>0.833333333333333</v>
      </c>
      <c r="BS927" s="106" t="n">
        <v>0.833333333333333</v>
      </c>
      <c r="BT927" s="107"/>
      <c r="BU927" s="107"/>
      <c r="BV927" s="107"/>
      <c r="BW927" s="107"/>
      <c r="BX927" s="107"/>
      <c r="BY927" s="107"/>
      <c r="BZ927" s="107"/>
      <c r="CA927" s="107"/>
      <c r="CB927" s="107"/>
      <c r="CC927" s="107"/>
      <c r="CD927" s="107"/>
      <c r="CE927" s="107"/>
      <c r="CF927" s="107"/>
      <c r="CG927" s="107"/>
      <c r="CH927" s="107"/>
      <c r="CI927" s="107"/>
      <c r="CJ927" s="107"/>
      <c r="CK927" s="107"/>
      <c r="CL927" s="107"/>
      <c r="CM927" s="107"/>
      <c r="CN927" s="107"/>
      <c r="CO927" s="107"/>
      <c r="CP927" s="107"/>
      <c r="CQ927" s="107"/>
      <c r="CR927" s="107"/>
      <c r="CS927" s="107"/>
      <c r="CT927" s="107"/>
      <c r="CU927" s="107"/>
      <c r="CV927" s="107"/>
    </row>
    <row r="928" customFormat="false" ht="14.9" hidden="false" customHeight="false" outlineLevel="0" collapsed="false">
      <c r="A928" s="74" t="n">
        <f aca="false">MONTH(B928)</f>
        <v>10</v>
      </c>
      <c r="B928" s="135" t="n">
        <v>44482</v>
      </c>
      <c r="C928" s="128" t="s">
        <v>70</v>
      </c>
      <c r="D928" s="77" t="str">
        <f aca="false">IFERROR(VLOOKUP(E:E,'Item Data Support Sheet'!A:O,7,0),"")</f>
        <v>NIPPLE MOLDED</v>
      </c>
      <c r="E928" s="80" t="s">
        <v>661</v>
      </c>
      <c r="F928" s="122" t="s">
        <v>137</v>
      </c>
      <c r="G928" s="137" t="s">
        <v>138</v>
      </c>
      <c r="H928" s="79" t="str">
        <f aca="false">IFERROR(VLOOKUP(E:E,'Item Data Support Sheet'!A:O,2,0),"")</f>
        <v>NIPPLE S TYPE L SIZE INJECTION</v>
      </c>
      <c r="I928" s="80" t="s">
        <v>1693</v>
      </c>
      <c r="J928" s="80" t="s">
        <v>155</v>
      </c>
      <c r="K928" s="124" t="n">
        <v>8</v>
      </c>
      <c r="L928" s="124" t="n">
        <v>4815</v>
      </c>
      <c r="M928" s="83" t="n">
        <v>601.875</v>
      </c>
      <c r="N928" s="84" t="n">
        <f aca="false">+O928+Q928+T928+U928</f>
        <v>4610</v>
      </c>
      <c r="O928" s="85" t="n">
        <v>4500</v>
      </c>
      <c r="P928" s="86" t="n">
        <v>0</v>
      </c>
      <c r="Q928" s="86" t="n">
        <v>58</v>
      </c>
      <c r="R928" s="132" t="n">
        <v>0</v>
      </c>
      <c r="S928" s="128" t="n">
        <v>0</v>
      </c>
      <c r="T928" s="132" t="n">
        <v>52</v>
      </c>
      <c r="U928" s="128" t="n">
        <v>0</v>
      </c>
      <c r="V928" s="128" t="n">
        <v>1</v>
      </c>
      <c r="W928" s="90" t="n">
        <f aca="false">IFERROR(O928/V928,0)</f>
        <v>4500</v>
      </c>
      <c r="X928" s="91" t="n">
        <f aca="false">O928/L928</f>
        <v>0.934579439252336</v>
      </c>
      <c r="Y928" s="92" t="str">
        <f aca="false">IFERROR(VLOOKUP(E:E,'Item Data Support Sheet'!A:J,6,0),0)</f>
        <v>Silicon</v>
      </c>
      <c r="Z928" s="93" t="n">
        <f aca="false">IFERROR(VLOOKUP(E:E,'Item Data Support Sheet'!A:O,4,0),0)</f>
        <v>6.8</v>
      </c>
      <c r="AA928" s="93" t="n">
        <f aca="false">IFERROR(((N928)*(Z928/1000))+P928,0)</f>
        <v>31.348</v>
      </c>
      <c r="AB928" s="94" t="n">
        <f aca="false">IFERROR((O928*(Z928/1000)/(AA928))," ")</f>
        <v>0.976138828633406</v>
      </c>
      <c r="AC928" s="95" t="n">
        <f aca="false">IFERROR((T928)/((T928)+O928),0)</f>
        <v>0.0114235500878735</v>
      </c>
      <c r="AD928" s="96" t="n">
        <f aca="false">IFERROR(Q928/(Q928+N928),0)</f>
        <v>0.0124250214224507</v>
      </c>
      <c r="AE928" s="91" t="n">
        <f aca="false">(N928-T928)/N928</f>
        <v>0.988720173535792</v>
      </c>
      <c r="AF928" s="97" t="n">
        <f aca="false">BR928</f>
        <v>1</v>
      </c>
      <c r="AG928" s="98" t="n">
        <f aca="false">K928-AF928</f>
        <v>7</v>
      </c>
      <c r="AH928" s="99" t="n">
        <f aca="false">IFERROR(AG928/K928," ")</f>
        <v>0.875</v>
      </c>
      <c r="AI928" s="100" t="n">
        <f aca="false">IFERROR(O928/K928,0)</f>
        <v>562.5</v>
      </c>
      <c r="AJ928" s="101" t="n">
        <f aca="false">VLOOKUP(D928,'Standard Cycle time'!C:D,2,0)</f>
        <v>5.25</v>
      </c>
      <c r="AK928" s="101" t="n">
        <f aca="false">AG928*V928*3600/O928</f>
        <v>5.6</v>
      </c>
      <c r="AL928" s="102" t="n">
        <f aca="false">AJ928/AK928</f>
        <v>0.9375</v>
      </c>
      <c r="AM928" s="99" t="n">
        <f aca="false">AE928*AL928*AH928</f>
        <v>0.811059517353579</v>
      </c>
      <c r="AN928" s="103" t="n">
        <v>0.811059517353579</v>
      </c>
      <c r="AO928" s="112"/>
      <c r="AP928" s="105" t="n">
        <v>0</v>
      </c>
      <c r="AQ928" s="105" t="n">
        <v>0</v>
      </c>
      <c r="AR928" s="105" t="n">
        <v>0</v>
      </c>
      <c r="AS928" s="105" t="n">
        <v>0</v>
      </c>
      <c r="AT928" s="105" t="n">
        <v>0</v>
      </c>
      <c r="AU928" s="105" t="n">
        <v>30</v>
      </c>
      <c r="AV928" s="105" t="n">
        <v>0</v>
      </c>
      <c r="AW928" s="105" t="n">
        <v>30</v>
      </c>
      <c r="AX928" s="105" t="n">
        <v>0</v>
      </c>
      <c r="AY928" s="105" t="n">
        <v>0</v>
      </c>
      <c r="AZ928" s="105" t="n">
        <v>0</v>
      </c>
      <c r="BA928" s="105" t="n">
        <v>0</v>
      </c>
      <c r="BB928" s="105" t="n">
        <v>0</v>
      </c>
      <c r="BC928" s="105" t="n">
        <v>0</v>
      </c>
      <c r="BD928" s="105" t="n">
        <v>0</v>
      </c>
      <c r="BE928" s="105" t="n">
        <v>0</v>
      </c>
      <c r="BF928" s="105" t="n">
        <v>0</v>
      </c>
      <c r="BG928" s="105" t="n">
        <v>0</v>
      </c>
      <c r="BH928" s="105" t="n">
        <v>0</v>
      </c>
      <c r="BI928" s="105" t="n">
        <v>0</v>
      </c>
      <c r="BJ928" s="105" t="n">
        <v>0</v>
      </c>
      <c r="BK928" s="105" t="n">
        <v>0</v>
      </c>
      <c r="BL928" s="105" t="n">
        <v>0</v>
      </c>
      <c r="BM928" s="105" t="n">
        <v>0</v>
      </c>
      <c r="BN928" s="105" t="n">
        <v>0</v>
      </c>
      <c r="BO928" s="105" t="n">
        <v>0</v>
      </c>
      <c r="BP928" s="105" t="n">
        <v>0</v>
      </c>
      <c r="BQ928" s="105" t="n">
        <v>0</v>
      </c>
      <c r="BR928" s="106" t="n">
        <v>1</v>
      </c>
      <c r="BS928" s="106" t="n">
        <v>1</v>
      </c>
      <c r="BT928" s="107"/>
      <c r="BU928" s="107"/>
      <c r="BV928" s="107"/>
      <c r="BW928" s="107"/>
      <c r="BX928" s="107"/>
      <c r="BY928" s="107"/>
      <c r="BZ928" s="107"/>
      <c r="CA928" s="107"/>
      <c r="CB928" s="107"/>
      <c r="CC928" s="107"/>
      <c r="CD928" s="107"/>
      <c r="CE928" s="107"/>
      <c r="CF928" s="107"/>
      <c r="CG928" s="107"/>
      <c r="CH928" s="107"/>
      <c r="CI928" s="107"/>
      <c r="CJ928" s="107"/>
      <c r="CK928" s="107"/>
      <c r="CL928" s="107"/>
      <c r="CM928" s="107"/>
      <c r="CN928" s="107"/>
      <c r="CO928" s="107"/>
      <c r="CP928" s="107"/>
      <c r="CQ928" s="107"/>
      <c r="CR928" s="107"/>
      <c r="CS928" s="107"/>
      <c r="CT928" s="107"/>
      <c r="CU928" s="107"/>
      <c r="CV928" s="107"/>
    </row>
    <row r="929" customFormat="false" ht="14.9" hidden="false" customHeight="false" outlineLevel="0" collapsed="false">
      <c r="A929" s="74" t="n">
        <f aca="false">MONTH(B929)</f>
        <v>10</v>
      </c>
      <c r="B929" s="135" t="n">
        <v>44482</v>
      </c>
      <c r="C929" s="128" t="s">
        <v>70</v>
      </c>
      <c r="D929" s="77" t="str">
        <f aca="false">IFERROR(VLOOKUP(E:E,'Item Data Support Sheet'!A:O,7,0),"")</f>
        <v>NIPPLE PUNCH</v>
      </c>
      <c r="E929" s="80" t="s">
        <v>666</v>
      </c>
      <c r="F929" s="122"/>
      <c r="G929" s="137"/>
      <c r="H929" s="79" t="str">
        <f aca="false">IFERROR(VLOOKUP(E:E,'Item Data Support Sheet'!A:O,2,0),"")</f>
        <v>NIPPLE S TYPE L SIZE PUNCHED</v>
      </c>
      <c r="I929" s="80" t="s">
        <v>1694</v>
      </c>
      <c r="J929" s="80" t="s">
        <v>155</v>
      </c>
      <c r="K929" s="124" t="n">
        <v>8</v>
      </c>
      <c r="L929" s="124" t="n">
        <v>7000</v>
      </c>
      <c r="M929" s="83" t="n">
        <v>875</v>
      </c>
      <c r="N929" s="84" t="n">
        <f aca="false">+O929+Q929+T929+U929</f>
        <v>6730</v>
      </c>
      <c r="O929" s="85" t="n">
        <v>6730</v>
      </c>
      <c r="P929" s="86" t="n">
        <v>0</v>
      </c>
      <c r="Q929" s="86" t="n">
        <v>0</v>
      </c>
      <c r="R929" s="132" t="n">
        <v>0</v>
      </c>
      <c r="S929" s="128" t="n">
        <v>0</v>
      </c>
      <c r="T929" s="132" t="n">
        <v>0</v>
      </c>
      <c r="U929" s="128" t="n">
        <v>0</v>
      </c>
      <c r="V929" s="128" t="n">
        <v>1</v>
      </c>
      <c r="W929" s="90" t="n">
        <f aca="false">IFERROR(O929/V929,0)</f>
        <v>6730</v>
      </c>
      <c r="X929" s="91" t="n">
        <f aca="false">O929/L929</f>
        <v>0.961428571428571</v>
      </c>
      <c r="Y929" s="92" t="str">
        <f aca="false">IFERROR(VLOOKUP(E:E,'Item Data Support Sheet'!A:J,6,0),0)</f>
        <v>FO017</v>
      </c>
      <c r="Z929" s="93" t="n">
        <f aca="false">IFERROR(VLOOKUP(E:E,'Item Data Support Sheet'!A:O,4,0),0)</f>
        <v>0</v>
      </c>
      <c r="AA929" s="93" t="n">
        <f aca="false">IFERROR(((N929)*(Z929/1000))+P929,0)</f>
        <v>0</v>
      </c>
      <c r="AB929" s="94" t="str">
        <f aca="false">IFERROR((O929*(Z929/1000)/(AA929))," ")</f>
        <v> </v>
      </c>
      <c r="AC929" s="95" t="n">
        <f aca="false">IFERROR((T929)/((T929)+O929),0)</f>
        <v>0</v>
      </c>
      <c r="AD929" s="96" t="n">
        <f aca="false">IFERROR(Q929/(Q929+N929),0)</f>
        <v>0</v>
      </c>
      <c r="AE929" s="91" t="n">
        <f aca="false">(N929-T929)/N929</f>
        <v>1</v>
      </c>
      <c r="AF929" s="97" t="n">
        <f aca="false">BR929</f>
        <v>0.666666666666667</v>
      </c>
      <c r="AG929" s="98" t="n">
        <f aca="false">K929-AF929</f>
        <v>7.33333333333333</v>
      </c>
      <c r="AH929" s="99" t="n">
        <f aca="false">IFERROR(AG929/K929," ")</f>
        <v>0.916666666666667</v>
      </c>
      <c r="AI929" s="100" t="n">
        <f aca="false">IFERROR(O929/K929,0)</f>
        <v>841.25</v>
      </c>
      <c r="AJ929" s="101" t="n">
        <f aca="false">VLOOKUP(D929,'Standard Cycle time'!C:D,2,0)</f>
        <v>3.5</v>
      </c>
      <c r="AK929" s="101" t="n">
        <f aca="false">AG929*V929*3600/O929</f>
        <v>3.92273402674591</v>
      </c>
      <c r="AL929" s="102" t="n">
        <f aca="false">AJ929/AK929</f>
        <v>0.892234848484848</v>
      </c>
      <c r="AM929" s="99" t="n">
        <f aca="false">AE929*AL929*AH929</f>
        <v>0.817881944444444</v>
      </c>
      <c r="AN929" s="103" t="n">
        <v>0.817881944444444</v>
      </c>
      <c r="AO929" s="112" t="s">
        <v>1695</v>
      </c>
      <c r="AP929" s="105" t="n">
        <v>40</v>
      </c>
      <c r="AQ929" s="105" t="n">
        <v>0</v>
      </c>
      <c r="AR929" s="105" t="n">
        <v>0</v>
      </c>
      <c r="AS929" s="105" t="n">
        <v>0</v>
      </c>
      <c r="AT929" s="105" t="n">
        <v>0</v>
      </c>
      <c r="AU929" s="105" t="n">
        <v>0</v>
      </c>
      <c r="AV929" s="105" t="n">
        <v>0</v>
      </c>
      <c r="AW929" s="105" t="n">
        <v>0</v>
      </c>
      <c r="AX929" s="105" t="n">
        <v>0</v>
      </c>
      <c r="AY929" s="105" t="n">
        <v>0</v>
      </c>
      <c r="AZ929" s="105" t="n">
        <v>0</v>
      </c>
      <c r="BA929" s="105" t="n">
        <v>0</v>
      </c>
      <c r="BB929" s="105" t="n">
        <v>0</v>
      </c>
      <c r="BC929" s="105" t="n">
        <v>0</v>
      </c>
      <c r="BD929" s="105" t="n">
        <v>0</v>
      </c>
      <c r="BE929" s="105" t="n">
        <v>0</v>
      </c>
      <c r="BF929" s="105" t="n">
        <v>0</v>
      </c>
      <c r="BG929" s="105" t="n">
        <v>0</v>
      </c>
      <c r="BH929" s="105" t="n">
        <v>0</v>
      </c>
      <c r="BI929" s="105" t="n">
        <v>0</v>
      </c>
      <c r="BJ929" s="105" t="n">
        <v>0</v>
      </c>
      <c r="BK929" s="105" t="n">
        <v>0</v>
      </c>
      <c r="BL929" s="105" t="n">
        <v>0</v>
      </c>
      <c r="BM929" s="105" t="n">
        <v>0</v>
      </c>
      <c r="BN929" s="105" t="n">
        <v>0</v>
      </c>
      <c r="BO929" s="105" t="n">
        <v>0</v>
      </c>
      <c r="BP929" s="105" t="n">
        <v>0</v>
      </c>
      <c r="BQ929" s="105" t="n">
        <v>0</v>
      </c>
      <c r="BR929" s="106" t="n">
        <v>0.666666666666667</v>
      </c>
      <c r="BS929" s="106" t="n">
        <v>0.666666666666667</v>
      </c>
      <c r="BT929" s="107"/>
      <c r="BU929" s="107"/>
      <c r="BV929" s="107"/>
      <c r="BW929" s="107"/>
      <c r="BX929" s="107"/>
      <c r="BY929" s="107"/>
      <c r="BZ929" s="107"/>
      <c r="CA929" s="107"/>
      <c r="CB929" s="107"/>
      <c r="CC929" s="107"/>
      <c r="CD929" s="107"/>
      <c r="CE929" s="107"/>
      <c r="CF929" s="107"/>
      <c r="CG929" s="107"/>
      <c r="CH929" s="107"/>
      <c r="CI929" s="107"/>
      <c r="CJ929" s="107"/>
      <c r="CK929" s="107"/>
      <c r="CL929" s="107"/>
      <c r="CM929" s="107"/>
      <c r="CN929" s="107"/>
      <c r="CO929" s="107"/>
      <c r="CP929" s="107"/>
      <c r="CQ929" s="107"/>
      <c r="CR929" s="107"/>
      <c r="CS929" s="107"/>
      <c r="CT929" s="107"/>
      <c r="CU929" s="107"/>
      <c r="CV929" s="107"/>
    </row>
    <row r="930" customFormat="false" ht="14.9" hidden="false" customHeight="false" outlineLevel="0" collapsed="false">
      <c r="A930" s="74" t="n">
        <f aca="false">MONTH(B930)</f>
        <v>10</v>
      </c>
      <c r="B930" s="135" t="n">
        <v>44482</v>
      </c>
      <c r="C930" s="128" t="s">
        <v>70</v>
      </c>
      <c r="D930" s="77" t="str">
        <f aca="false">IFERROR(VLOOKUP(E:E,'Item Data Support Sheet'!A:O,7,0),"")</f>
        <v>NIPPLE LASER MARKING</v>
      </c>
      <c r="E930" s="80" t="s">
        <v>681</v>
      </c>
      <c r="F930" s="122"/>
      <c r="G930" s="137" t="s">
        <v>517</v>
      </c>
      <c r="H930" s="79" t="str">
        <f aca="false">IFERROR(VLOOKUP(E:E,'Item Data Support Sheet'!A:O,2,0),"")</f>
        <v>NIPPLE S TYPE L SIZE PUNCHED LASER MARKED</v>
      </c>
      <c r="I930" s="80" t="s">
        <v>1682</v>
      </c>
      <c r="J930" s="80" t="s">
        <v>155</v>
      </c>
      <c r="K930" s="124" t="n">
        <v>8</v>
      </c>
      <c r="L930" s="124" t="n">
        <v>7000</v>
      </c>
      <c r="M930" s="83" t="n">
        <v>875</v>
      </c>
      <c r="N930" s="84" t="n">
        <f aca="false">+O930+Q930+T930+U930</f>
        <v>6730</v>
      </c>
      <c r="O930" s="85" t="n">
        <v>6730</v>
      </c>
      <c r="P930" s="86" t="n">
        <v>0</v>
      </c>
      <c r="Q930" s="86" t="n">
        <v>0</v>
      </c>
      <c r="R930" s="132" t="n">
        <v>0</v>
      </c>
      <c r="S930" s="128" t="n">
        <v>0</v>
      </c>
      <c r="T930" s="132" t="n">
        <v>0</v>
      </c>
      <c r="U930" s="128" t="n">
        <v>0</v>
      </c>
      <c r="V930" s="128" t="n">
        <v>1</v>
      </c>
      <c r="W930" s="90" t="n">
        <f aca="false">IFERROR(O930/V930,0)</f>
        <v>6730</v>
      </c>
      <c r="X930" s="91" t="n">
        <f aca="false">O930/L930</f>
        <v>0.961428571428571</v>
      </c>
      <c r="Y930" s="92" t="str">
        <f aca="false">IFERROR(VLOOKUP(E:E,'Item Data Support Sheet'!A:J,6,0),0)</f>
        <v>FO021</v>
      </c>
      <c r="Z930" s="93" t="n">
        <f aca="false">IFERROR(VLOOKUP(E:E,'Item Data Support Sheet'!A:O,4,0),0)</f>
        <v>0</v>
      </c>
      <c r="AA930" s="93" t="n">
        <f aca="false">IFERROR(((N930)*(Z930/1000))+P930,0)</f>
        <v>0</v>
      </c>
      <c r="AB930" s="94" t="str">
        <f aca="false">IFERROR((O930*(Z930/1000)/(AA930))," ")</f>
        <v> </v>
      </c>
      <c r="AC930" s="95" t="n">
        <f aca="false">IFERROR((T930)/((T930)+O930),0)</f>
        <v>0</v>
      </c>
      <c r="AD930" s="96" t="n">
        <f aca="false">IFERROR(Q930/(Q930+N930),0)</f>
        <v>0</v>
      </c>
      <c r="AE930" s="91" t="n">
        <f aca="false">(N930-T930)/N930</f>
        <v>1</v>
      </c>
      <c r="AF930" s="97" t="n">
        <f aca="false">BR930</f>
        <v>0.666666666666667</v>
      </c>
      <c r="AG930" s="98" t="n">
        <f aca="false">K930-AF930</f>
        <v>7.33333333333333</v>
      </c>
      <c r="AH930" s="99" t="n">
        <f aca="false">IFERROR(AG930/K930," ")</f>
        <v>0.916666666666667</v>
      </c>
      <c r="AI930" s="100" t="n">
        <f aca="false">IFERROR(O930/K930,0)</f>
        <v>841.25</v>
      </c>
      <c r="AJ930" s="101" t="n">
        <f aca="false">VLOOKUP(D930,'Standard Cycle time'!C:D,2,0)</f>
        <v>3.5</v>
      </c>
      <c r="AK930" s="101" t="n">
        <f aca="false">AG930*V930*3600/O930</f>
        <v>3.92273402674591</v>
      </c>
      <c r="AL930" s="102" t="n">
        <f aca="false">AJ930/AK930</f>
        <v>0.892234848484848</v>
      </c>
      <c r="AM930" s="99" t="n">
        <f aca="false">AE930*AL930*AH930</f>
        <v>0.817881944444444</v>
      </c>
      <c r="AN930" s="103" t="n">
        <v>0.817881944444444</v>
      </c>
      <c r="AO930" s="112"/>
      <c r="AP930" s="105" t="n">
        <v>40</v>
      </c>
      <c r="AQ930" s="105" t="n">
        <v>0</v>
      </c>
      <c r="AR930" s="105" t="n">
        <v>0</v>
      </c>
      <c r="AS930" s="105" t="n">
        <v>0</v>
      </c>
      <c r="AT930" s="105" t="n">
        <v>0</v>
      </c>
      <c r="AU930" s="105" t="n">
        <v>0</v>
      </c>
      <c r="AV930" s="105" t="n">
        <v>0</v>
      </c>
      <c r="AW930" s="105" t="n">
        <v>0</v>
      </c>
      <c r="AX930" s="105" t="n">
        <v>0</v>
      </c>
      <c r="AY930" s="105" t="n">
        <v>0</v>
      </c>
      <c r="AZ930" s="105" t="n">
        <v>0</v>
      </c>
      <c r="BA930" s="105" t="n">
        <v>0</v>
      </c>
      <c r="BB930" s="105" t="n">
        <v>0</v>
      </c>
      <c r="BC930" s="105" t="n">
        <v>0</v>
      </c>
      <c r="BD930" s="105" t="n">
        <v>0</v>
      </c>
      <c r="BE930" s="105" t="n">
        <v>0</v>
      </c>
      <c r="BF930" s="105" t="n">
        <v>0</v>
      </c>
      <c r="BG930" s="105" t="n">
        <v>0</v>
      </c>
      <c r="BH930" s="105" t="n">
        <v>0</v>
      </c>
      <c r="BI930" s="105" t="n">
        <v>0</v>
      </c>
      <c r="BJ930" s="105" t="n">
        <v>0</v>
      </c>
      <c r="BK930" s="105" t="n">
        <v>0</v>
      </c>
      <c r="BL930" s="105" t="n">
        <v>0</v>
      </c>
      <c r="BM930" s="105" t="n">
        <v>0</v>
      </c>
      <c r="BN930" s="105" t="n">
        <v>0</v>
      </c>
      <c r="BO930" s="105" t="n">
        <v>0</v>
      </c>
      <c r="BP930" s="105" t="n">
        <v>0</v>
      </c>
      <c r="BQ930" s="105" t="n">
        <v>0</v>
      </c>
      <c r="BR930" s="106" t="n">
        <v>0.666666666666667</v>
      </c>
      <c r="BS930" s="106" t="n">
        <v>0.666666666666667</v>
      </c>
      <c r="BT930" s="107"/>
      <c r="BU930" s="107"/>
      <c r="BV930" s="107"/>
      <c r="BW930" s="107"/>
      <c r="BX930" s="107"/>
      <c r="BY930" s="107"/>
      <c r="BZ930" s="107"/>
      <c r="CA930" s="107"/>
      <c r="CB930" s="107"/>
      <c r="CC930" s="107"/>
      <c r="CD930" s="107"/>
      <c r="CE930" s="107"/>
      <c r="CF930" s="107"/>
      <c r="CG930" s="107"/>
      <c r="CH930" s="107"/>
      <c r="CI930" s="107"/>
      <c r="CJ930" s="107"/>
      <c r="CK930" s="107"/>
      <c r="CL930" s="107"/>
      <c r="CM930" s="107"/>
      <c r="CN930" s="107"/>
      <c r="CO930" s="107"/>
      <c r="CP930" s="107"/>
      <c r="CQ930" s="107"/>
      <c r="CR930" s="107"/>
      <c r="CS930" s="107"/>
      <c r="CT930" s="107"/>
      <c r="CU930" s="107"/>
      <c r="CV930" s="107"/>
    </row>
    <row r="931" customFormat="false" ht="14.9" hidden="false" customHeight="false" outlineLevel="0" collapsed="false">
      <c r="A931" s="74" t="n">
        <f aca="false">MONTH(B931)</f>
        <v>10</v>
      </c>
      <c r="B931" s="135" t="n">
        <v>44482</v>
      </c>
      <c r="C931" s="128" t="s">
        <v>152</v>
      </c>
      <c r="D931" s="77" t="str">
        <f aca="false">IFERROR(VLOOKUP(E:E,'Item Data Support Sheet'!A:O,7,0),"")</f>
        <v>NIPPLE MOLDED</v>
      </c>
      <c r="E931" s="80" t="s">
        <v>661</v>
      </c>
      <c r="F931" s="122" t="s">
        <v>137</v>
      </c>
      <c r="G931" s="137" t="s">
        <v>138</v>
      </c>
      <c r="H931" s="79" t="str">
        <f aca="false">IFERROR(VLOOKUP(E:E,'Item Data Support Sheet'!A:O,2,0),"")</f>
        <v>NIPPLE S TYPE L SIZE INJECTION</v>
      </c>
      <c r="I931" s="80" t="s">
        <v>1696</v>
      </c>
      <c r="J931" s="80" t="s">
        <v>815</v>
      </c>
      <c r="K931" s="124" t="n">
        <v>8</v>
      </c>
      <c r="L931" s="124" t="n">
        <v>4815</v>
      </c>
      <c r="M931" s="83" t="n">
        <v>601.875</v>
      </c>
      <c r="N931" s="84" t="n">
        <f aca="false">+O931+Q931+T931+U931</f>
        <v>4043</v>
      </c>
      <c r="O931" s="85" t="n">
        <v>4000</v>
      </c>
      <c r="P931" s="86" t="n">
        <v>0.4</v>
      </c>
      <c r="Q931" s="86" t="n">
        <v>0</v>
      </c>
      <c r="R931" s="132" t="n">
        <v>0</v>
      </c>
      <c r="S931" s="128" t="n">
        <v>0</v>
      </c>
      <c r="T931" s="132" t="n">
        <v>35</v>
      </c>
      <c r="U931" s="128" t="n">
        <v>8</v>
      </c>
      <c r="V931" s="128" t="n">
        <v>1</v>
      </c>
      <c r="W931" s="90" t="n">
        <f aca="false">IFERROR(O931/V931,0)</f>
        <v>4000</v>
      </c>
      <c r="X931" s="91" t="n">
        <f aca="false">O931/L931</f>
        <v>0.83073727933541</v>
      </c>
      <c r="Y931" s="92" t="str">
        <f aca="false">IFERROR(VLOOKUP(E:E,'Item Data Support Sheet'!A:J,6,0),0)</f>
        <v>Silicon</v>
      </c>
      <c r="Z931" s="93" t="n">
        <f aca="false">IFERROR(VLOOKUP(E:E,'Item Data Support Sheet'!A:O,4,0),0)</f>
        <v>6.8</v>
      </c>
      <c r="AA931" s="93" t="n">
        <f aca="false">IFERROR(((N931)*(Z931/1000))+P931,0)</f>
        <v>27.8924</v>
      </c>
      <c r="AB931" s="94" t="n">
        <f aca="false">IFERROR((O931*(Z931/1000)/(AA931))," ")</f>
        <v>0.975176033614892</v>
      </c>
      <c r="AC931" s="95" t="n">
        <f aca="false">IFERROR((T931)/((T931)+O931),0)</f>
        <v>0.00867410161090459</v>
      </c>
      <c r="AD931" s="96" t="n">
        <f aca="false">IFERROR(Q931/(Q931+N931),0)</f>
        <v>0</v>
      </c>
      <c r="AE931" s="91" t="n">
        <f aca="false">(N931-T931)/N931</f>
        <v>0.991343062082612</v>
      </c>
      <c r="AF931" s="97" t="n">
        <f aca="false">BR931</f>
        <v>1.5</v>
      </c>
      <c r="AG931" s="98" t="n">
        <f aca="false">K931-AF931</f>
        <v>6.5</v>
      </c>
      <c r="AH931" s="99" t="n">
        <f aca="false">IFERROR(AG931/K931," ")</f>
        <v>0.8125</v>
      </c>
      <c r="AI931" s="100" t="n">
        <f aca="false">IFERROR(O931/K931,0)</f>
        <v>500</v>
      </c>
      <c r="AJ931" s="101" t="n">
        <f aca="false">VLOOKUP(D931,'Standard Cycle time'!C:D,2,0)</f>
        <v>5.25</v>
      </c>
      <c r="AK931" s="101" t="n">
        <f aca="false">AG931*V931*3600/O931</f>
        <v>5.85</v>
      </c>
      <c r="AL931" s="102" t="n">
        <f aca="false">AJ931/AK931</f>
        <v>0.897435897435897</v>
      </c>
      <c r="AM931" s="99" t="n">
        <f aca="false">AE931*AL931*AH931</f>
        <v>0.722854316101905</v>
      </c>
      <c r="AN931" s="103" t="n">
        <v>0.722854316101905</v>
      </c>
      <c r="AO931" s="112"/>
      <c r="AP931" s="105" t="n">
        <v>0</v>
      </c>
      <c r="AQ931" s="105" t="n">
        <v>0</v>
      </c>
      <c r="AR931" s="105" t="n">
        <v>0</v>
      </c>
      <c r="AS931" s="105" t="n">
        <v>0</v>
      </c>
      <c r="AT931" s="105" t="n">
        <v>0</v>
      </c>
      <c r="AU931" s="105" t="n">
        <v>30</v>
      </c>
      <c r="AV931" s="105" t="n">
        <v>30</v>
      </c>
      <c r="AW931" s="105" t="n">
        <v>30</v>
      </c>
      <c r="AX931" s="105" t="n">
        <v>0</v>
      </c>
      <c r="AY931" s="105" t="n">
        <v>0</v>
      </c>
      <c r="AZ931" s="105" t="n">
        <v>0</v>
      </c>
      <c r="BA931" s="105" t="n">
        <v>0</v>
      </c>
      <c r="BB931" s="105" t="n">
        <v>0</v>
      </c>
      <c r="BC931" s="105" t="n">
        <v>0</v>
      </c>
      <c r="BD931" s="105" t="n">
        <v>0</v>
      </c>
      <c r="BE931" s="105" t="n">
        <v>0</v>
      </c>
      <c r="BF931" s="105" t="n">
        <v>0</v>
      </c>
      <c r="BG931" s="105" t="n">
        <v>0</v>
      </c>
      <c r="BH931" s="105" t="n">
        <v>0</v>
      </c>
      <c r="BI931" s="105" t="n">
        <v>0</v>
      </c>
      <c r="BJ931" s="105" t="n">
        <v>0</v>
      </c>
      <c r="BK931" s="105" t="n">
        <v>0</v>
      </c>
      <c r="BL931" s="105" t="n">
        <v>0</v>
      </c>
      <c r="BM931" s="105" t="n">
        <v>0</v>
      </c>
      <c r="BN931" s="105" t="n">
        <v>0</v>
      </c>
      <c r="BO931" s="105" t="n">
        <v>0</v>
      </c>
      <c r="BP931" s="105" t="n">
        <v>0</v>
      </c>
      <c r="BQ931" s="105" t="n">
        <v>0</v>
      </c>
      <c r="BR931" s="106" t="n">
        <v>1.5</v>
      </c>
      <c r="BS931" s="106" t="n">
        <v>1.5</v>
      </c>
      <c r="BT931" s="107"/>
      <c r="BU931" s="107"/>
      <c r="BV931" s="107"/>
      <c r="BW931" s="107"/>
      <c r="BX931" s="107"/>
      <c r="BY931" s="107"/>
      <c r="BZ931" s="107"/>
      <c r="CA931" s="107"/>
      <c r="CB931" s="107"/>
      <c r="CC931" s="107"/>
      <c r="CD931" s="107"/>
      <c r="CE931" s="107"/>
      <c r="CF931" s="107"/>
      <c r="CG931" s="107"/>
      <c r="CH931" s="107"/>
      <c r="CI931" s="107"/>
      <c r="CJ931" s="107"/>
      <c r="CK931" s="107"/>
      <c r="CL931" s="107"/>
      <c r="CM931" s="107"/>
      <c r="CN931" s="107"/>
      <c r="CO931" s="107"/>
      <c r="CP931" s="107"/>
      <c r="CQ931" s="107"/>
      <c r="CR931" s="107"/>
      <c r="CS931" s="107"/>
      <c r="CT931" s="107"/>
      <c r="CU931" s="107"/>
      <c r="CV931" s="107"/>
    </row>
    <row r="932" customFormat="false" ht="14.9" hidden="false" customHeight="false" outlineLevel="0" collapsed="false">
      <c r="A932" s="74" t="n">
        <f aca="false">MONTH(B932)</f>
        <v>10</v>
      </c>
      <c r="B932" s="135" t="n">
        <v>44482</v>
      </c>
      <c r="C932" s="128" t="s">
        <v>152</v>
      </c>
      <c r="D932" s="77" t="str">
        <f aca="false">IFERROR(VLOOKUP(E:E,'Item Data Support Sheet'!A:O,7,0),"")</f>
        <v>CAP MOLDED</v>
      </c>
      <c r="E932" s="80" t="s">
        <v>453</v>
      </c>
      <c r="F932" s="122"/>
      <c r="G932" s="137" t="s">
        <v>1215</v>
      </c>
      <c r="H932" s="79" t="str">
        <f aca="false">IFERROR(VLOOKUP(E:E,'Item Data Support Sheet'!A:O,2,0),"")</f>
        <v>CAP S TYPE MOLDED WHITE</v>
      </c>
      <c r="I932" s="80" t="s">
        <v>1697</v>
      </c>
      <c r="J932" s="80" t="s">
        <v>815</v>
      </c>
      <c r="K932" s="124" t="n">
        <v>5</v>
      </c>
      <c r="L932" s="124" t="n">
        <v>2600</v>
      </c>
      <c r="M932" s="83" t="n">
        <v>520</v>
      </c>
      <c r="N932" s="84" t="n">
        <f aca="false">+O932+Q932+T932+U932</f>
        <v>2612</v>
      </c>
      <c r="O932" s="85" t="n">
        <v>2600</v>
      </c>
      <c r="P932" s="86" t="n">
        <v>0</v>
      </c>
      <c r="Q932" s="86" t="n">
        <v>0</v>
      </c>
      <c r="R932" s="132" t="n">
        <v>0</v>
      </c>
      <c r="S932" s="128" t="n">
        <v>0</v>
      </c>
      <c r="T932" s="132" t="n">
        <v>4</v>
      </c>
      <c r="U932" s="128" t="n">
        <v>8</v>
      </c>
      <c r="V932" s="128" t="n">
        <v>1</v>
      </c>
      <c r="W932" s="90" t="n">
        <f aca="false">IFERROR(O932/V932,0)</f>
        <v>2600</v>
      </c>
      <c r="X932" s="91" t="n">
        <f aca="false">O932/L932</f>
        <v>1</v>
      </c>
      <c r="Y932" s="92" t="str">
        <f aca="false">IFERROR(VLOOKUP(E:E,'Item Data Support Sheet'!A:J,6,0),0)</f>
        <v>RM000106</v>
      </c>
      <c r="Z932" s="93" t="n">
        <f aca="false">IFERROR(VLOOKUP(E:E,'Item Data Support Sheet'!A:O,4,0),0)</f>
        <v>7.3</v>
      </c>
      <c r="AA932" s="93" t="n">
        <f aca="false">IFERROR(((N932)*(Z932/1000))+P932,0)</f>
        <v>19.0676</v>
      </c>
      <c r="AB932" s="94" t="n">
        <f aca="false">IFERROR((O932*(Z932/1000)/(AA932))," ")</f>
        <v>0.995405819295559</v>
      </c>
      <c r="AC932" s="95" t="n">
        <f aca="false">IFERROR((T932)/((T932)+O932),0)</f>
        <v>0.00153609831029186</v>
      </c>
      <c r="AD932" s="96" t="n">
        <f aca="false">IFERROR(Q932/(Q932+N932),0)</f>
        <v>0</v>
      </c>
      <c r="AE932" s="91" t="n">
        <f aca="false">(N932-T932)/N932</f>
        <v>0.998468606431853</v>
      </c>
      <c r="AF932" s="97" t="n">
        <f aca="false">BR932</f>
        <v>1</v>
      </c>
      <c r="AG932" s="98" t="n">
        <f aca="false">K932-AF932</f>
        <v>4</v>
      </c>
      <c r="AH932" s="99" t="n">
        <f aca="false">IFERROR(AG932/K932," ")</f>
        <v>0.8</v>
      </c>
      <c r="AI932" s="100" t="n">
        <f aca="false">IFERROR(O932/K932,0)</f>
        <v>520</v>
      </c>
      <c r="AJ932" s="101" t="n">
        <f aca="false">VLOOKUP(D932,'Standard Cycle time'!C:D,2,0)</f>
        <v>6</v>
      </c>
      <c r="AK932" s="101" t="n">
        <f aca="false">AG932*V932*3600/O932</f>
        <v>5.53846153846154</v>
      </c>
      <c r="AL932" s="102" t="n">
        <f aca="false">AJ932/AK932</f>
        <v>1.08333333333333</v>
      </c>
      <c r="AM932" s="99" t="n">
        <f aca="false">AE932*AL932*AH932</f>
        <v>0.865339458907606</v>
      </c>
      <c r="AN932" s="103" t="n">
        <v>0.865339458907606</v>
      </c>
      <c r="AO932" s="112"/>
      <c r="AP932" s="105" t="n">
        <v>0</v>
      </c>
      <c r="AQ932" s="105" t="n">
        <v>0</v>
      </c>
      <c r="AR932" s="105" t="n">
        <v>0</v>
      </c>
      <c r="AS932" s="105" t="n">
        <v>0</v>
      </c>
      <c r="AT932" s="105" t="n">
        <v>0</v>
      </c>
      <c r="AU932" s="105" t="n">
        <v>0</v>
      </c>
      <c r="AV932" s="105" t="n">
        <v>0</v>
      </c>
      <c r="AW932" s="105" t="n">
        <v>30</v>
      </c>
      <c r="AX932" s="105" t="n">
        <v>0</v>
      </c>
      <c r="AY932" s="105" t="n">
        <v>0</v>
      </c>
      <c r="AZ932" s="105" t="n">
        <v>30</v>
      </c>
      <c r="BA932" s="105" t="n">
        <v>0</v>
      </c>
      <c r="BB932" s="105" t="n">
        <v>0</v>
      </c>
      <c r="BC932" s="105" t="n">
        <v>0</v>
      </c>
      <c r="BD932" s="105" t="n">
        <v>0</v>
      </c>
      <c r="BE932" s="105" t="n">
        <v>0</v>
      </c>
      <c r="BF932" s="105" t="n">
        <v>0</v>
      </c>
      <c r="BG932" s="105" t="n">
        <v>0</v>
      </c>
      <c r="BH932" s="105" t="n">
        <v>0</v>
      </c>
      <c r="BI932" s="105" t="n">
        <v>0</v>
      </c>
      <c r="BJ932" s="105" t="n">
        <v>0</v>
      </c>
      <c r="BK932" s="105" t="n">
        <v>0</v>
      </c>
      <c r="BL932" s="105" t="n">
        <v>0</v>
      </c>
      <c r="BM932" s="105" t="n">
        <v>0</v>
      </c>
      <c r="BN932" s="105" t="n">
        <v>0</v>
      </c>
      <c r="BO932" s="105" t="n">
        <v>0</v>
      </c>
      <c r="BP932" s="105" t="n">
        <v>0</v>
      </c>
      <c r="BQ932" s="105" t="n">
        <v>0</v>
      </c>
      <c r="BR932" s="106" t="n">
        <v>1</v>
      </c>
      <c r="BS932" s="106" t="n">
        <v>1</v>
      </c>
      <c r="BT932" s="107"/>
      <c r="BU932" s="107"/>
      <c r="BV932" s="107"/>
      <c r="BW932" s="107"/>
      <c r="BX932" s="107"/>
      <c r="BY932" s="107"/>
      <c r="BZ932" s="107"/>
      <c r="CA932" s="107"/>
      <c r="CB932" s="107"/>
      <c r="CC932" s="107"/>
      <c r="CD932" s="107"/>
      <c r="CE932" s="107"/>
      <c r="CF932" s="107"/>
      <c r="CG932" s="107"/>
      <c r="CH932" s="107"/>
      <c r="CI932" s="107"/>
      <c r="CJ932" s="107"/>
      <c r="CK932" s="107"/>
      <c r="CL932" s="107"/>
      <c r="CM932" s="107"/>
      <c r="CN932" s="107"/>
      <c r="CO932" s="107"/>
      <c r="CP932" s="107"/>
      <c r="CQ932" s="107"/>
      <c r="CR932" s="107"/>
      <c r="CS932" s="107"/>
      <c r="CT932" s="107"/>
      <c r="CU932" s="107"/>
      <c r="CV932" s="107"/>
    </row>
    <row r="933" customFormat="false" ht="14.9" hidden="false" customHeight="false" outlineLevel="0" collapsed="false">
      <c r="A933" s="74" t="n">
        <f aca="false">MONTH(B933)</f>
        <v>10</v>
      </c>
      <c r="B933" s="135" t="n">
        <v>44482</v>
      </c>
      <c r="C933" s="128" t="s">
        <v>152</v>
      </c>
      <c r="D933" s="77" t="str">
        <f aca="false">IFERROR(VLOOKUP(E:E,'Item Data Support Sheet'!A:O,7,0),"")</f>
        <v>CAP MOLDED</v>
      </c>
      <c r="E933" s="80" t="s">
        <v>453</v>
      </c>
      <c r="F933" s="122"/>
      <c r="G933" s="137" t="s">
        <v>1595</v>
      </c>
      <c r="H933" s="79" t="str">
        <f aca="false">IFERROR(VLOOKUP(E:E,'Item Data Support Sheet'!A:O,2,0),"")</f>
        <v>CAP S TYPE MOLDED WHITE</v>
      </c>
      <c r="I933" s="80" t="s">
        <v>1698</v>
      </c>
      <c r="J933" s="80" t="s">
        <v>815</v>
      </c>
      <c r="K933" s="124" t="n">
        <v>3</v>
      </c>
      <c r="L933" s="124" t="n">
        <v>1537</v>
      </c>
      <c r="M933" s="83" t="n">
        <v>512.333333333333</v>
      </c>
      <c r="N933" s="84" t="n">
        <f aca="false">+O933+Q933+T933+U933</f>
        <v>1554</v>
      </c>
      <c r="O933" s="85" t="n">
        <v>1554</v>
      </c>
      <c r="P933" s="86" t="n">
        <v>0</v>
      </c>
      <c r="Q933" s="86" t="n">
        <v>0</v>
      </c>
      <c r="R933" s="132" t="n">
        <v>0</v>
      </c>
      <c r="S933" s="128" t="n">
        <v>0</v>
      </c>
      <c r="T933" s="132" t="n">
        <v>0</v>
      </c>
      <c r="U933" s="128" t="n">
        <v>0</v>
      </c>
      <c r="V933" s="128" t="n">
        <v>1</v>
      </c>
      <c r="W933" s="90" t="n">
        <f aca="false">IFERROR(O933/V933,0)</f>
        <v>1554</v>
      </c>
      <c r="X933" s="91" t="n">
        <f aca="false">O933/L933</f>
        <v>1.01106050748211</v>
      </c>
      <c r="Y933" s="92" t="str">
        <f aca="false">IFERROR(VLOOKUP(E:E,'Item Data Support Sheet'!A:J,6,0),0)</f>
        <v>RM000106</v>
      </c>
      <c r="Z933" s="93" t="n">
        <f aca="false">IFERROR(VLOOKUP(E:E,'Item Data Support Sheet'!A:O,4,0),0)</f>
        <v>7.3</v>
      </c>
      <c r="AA933" s="93" t="n">
        <f aca="false">IFERROR(((N933)*(Z933/1000))+P933,0)</f>
        <v>11.3442</v>
      </c>
      <c r="AB933" s="94" t="n">
        <f aca="false">IFERROR((O933*(Z933/1000)/(AA933))," ")</f>
        <v>1</v>
      </c>
      <c r="AC933" s="95" t="n">
        <f aca="false">IFERROR((T933)/((T933)+O933),0)</f>
        <v>0</v>
      </c>
      <c r="AD933" s="96" t="n">
        <f aca="false">IFERROR(Q933/(Q933+N933),0)</f>
        <v>0</v>
      </c>
      <c r="AE933" s="91" t="n">
        <f aca="false">(N933-T933)/N933</f>
        <v>1</v>
      </c>
      <c r="AF933" s="97" t="n">
        <f aca="false">BR933</f>
        <v>0.5</v>
      </c>
      <c r="AG933" s="98" t="n">
        <f aca="false">K933-AF933</f>
        <v>2.5</v>
      </c>
      <c r="AH933" s="99" t="n">
        <f aca="false">IFERROR(AG933/K933," ")</f>
        <v>0.833333333333333</v>
      </c>
      <c r="AI933" s="100" t="n">
        <f aca="false">IFERROR(O933/K933,0)</f>
        <v>518</v>
      </c>
      <c r="AJ933" s="101" t="n">
        <f aca="false">VLOOKUP(D933,'Standard Cycle time'!C:D,2,0)</f>
        <v>6</v>
      </c>
      <c r="AK933" s="101" t="n">
        <f aca="false">AG933*V933*3600/O933</f>
        <v>5.79150579150579</v>
      </c>
      <c r="AL933" s="102" t="n">
        <f aca="false">AJ933/AK933</f>
        <v>1.036</v>
      </c>
      <c r="AM933" s="99" t="n">
        <f aca="false">AE933*AL933*AH933</f>
        <v>0.863333333333333</v>
      </c>
      <c r="AN933" s="103" t="n">
        <v>0.863333333333333</v>
      </c>
      <c r="AO933" s="112"/>
      <c r="AP933" s="105" t="n">
        <v>0</v>
      </c>
      <c r="AQ933" s="105" t="n">
        <v>0</v>
      </c>
      <c r="AR933" s="105" t="n">
        <v>0</v>
      </c>
      <c r="AS933" s="105" t="n">
        <v>0</v>
      </c>
      <c r="AT933" s="105" t="n">
        <v>0</v>
      </c>
      <c r="AU933" s="105" t="n">
        <v>0</v>
      </c>
      <c r="AV933" s="105" t="n">
        <v>30</v>
      </c>
      <c r="AW933" s="105" t="n">
        <v>0</v>
      </c>
      <c r="AX933" s="105" t="n">
        <v>0</v>
      </c>
      <c r="AY933" s="105" t="n">
        <v>0</v>
      </c>
      <c r="AZ933" s="105" t="n">
        <v>0</v>
      </c>
      <c r="BA933" s="105" t="n">
        <v>0</v>
      </c>
      <c r="BB933" s="105" t="n">
        <v>0</v>
      </c>
      <c r="BC933" s="105" t="n">
        <v>0</v>
      </c>
      <c r="BD933" s="105" t="n">
        <v>0</v>
      </c>
      <c r="BE933" s="105" t="n">
        <v>0</v>
      </c>
      <c r="BF933" s="105" t="n">
        <v>0</v>
      </c>
      <c r="BG933" s="105" t="n">
        <v>0</v>
      </c>
      <c r="BH933" s="105" t="n">
        <v>0</v>
      </c>
      <c r="BI933" s="105" t="n">
        <v>0</v>
      </c>
      <c r="BJ933" s="105" t="n">
        <v>0</v>
      </c>
      <c r="BK933" s="105" t="n">
        <v>0</v>
      </c>
      <c r="BL933" s="105" t="n">
        <v>0</v>
      </c>
      <c r="BM933" s="105" t="n">
        <v>0</v>
      </c>
      <c r="BN933" s="105" t="n">
        <v>0</v>
      </c>
      <c r="BO933" s="105" t="n">
        <v>0</v>
      </c>
      <c r="BP933" s="105" t="n">
        <v>0</v>
      </c>
      <c r="BQ933" s="105" t="n">
        <v>0</v>
      </c>
      <c r="BR933" s="106" t="n">
        <v>0.5</v>
      </c>
      <c r="BS933" s="106" t="n">
        <v>0.5</v>
      </c>
      <c r="BT933" s="107"/>
      <c r="BU933" s="107"/>
      <c r="BV933" s="107"/>
      <c r="BW933" s="107"/>
      <c r="BX933" s="107"/>
      <c r="BY933" s="107"/>
      <c r="BZ933" s="107"/>
      <c r="CA933" s="107"/>
      <c r="CB933" s="107"/>
      <c r="CC933" s="107"/>
      <c r="CD933" s="107"/>
      <c r="CE933" s="107"/>
      <c r="CF933" s="107"/>
      <c r="CG933" s="107"/>
      <c r="CH933" s="107"/>
      <c r="CI933" s="107"/>
      <c r="CJ933" s="107"/>
      <c r="CK933" s="107"/>
      <c r="CL933" s="107"/>
      <c r="CM933" s="107"/>
      <c r="CN933" s="107"/>
      <c r="CO933" s="107"/>
      <c r="CP933" s="107"/>
      <c r="CQ933" s="107"/>
      <c r="CR933" s="107"/>
      <c r="CS933" s="107"/>
      <c r="CT933" s="107"/>
      <c r="CU933" s="107"/>
      <c r="CV933" s="107"/>
    </row>
    <row r="934" customFormat="false" ht="14.9" hidden="false" customHeight="false" outlineLevel="0" collapsed="false">
      <c r="A934" s="74" t="n">
        <f aca="false">MONTH(B934)</f>
        <v>10</v>
      </c>
      <c r="B934" s="135" t="n">
        <v>44487</v>
      </c>
      <c r="C934" s="128" t="s">
        <v>51</v>
      </c>
      <c r="D934" s="77" t="str">
        <f aca="false">IFERROR(VLOOKUP(E:E,'Item Data Support Sheet'!A:O,7,0),"")</f>
        <v>NIPPLE PUNCH</v>
      </c>
      <c r="E934" s="80" t="s">
        <v>666</v>
      </c>
      <c r="F934" s="122"/>
      <c r="G934" s="137" t="s">
        <v>54</v>
      </c>
      <c r="H934" s="79" t="str">
        <f aca="false">IFERROR(VLOOKUP(E:E,'Item Data Support Sheet'!A:O,2,0),"")</f>
        <v>NIPPLE S TYPE L SIZE PUNCHED</v>
      </c>
      <c r="I934" s="80" t="s">
        <v>1699</v>
      </c>
      <c r="J934" s="80" t="s">
        <v>815</v>
      </c>
      <c r="K934" s="124" t="n">
        <v>8</v>
      </c>
      <c r="L934" s="124" t="n">
        <v>7000</v>
      </c>
      <c r="M934" s="83" t="n">
        <v>875</v>
      </c>
      <c r="N934" s="84" t="n">
        <f aca="false">+O934+Q934+T934+U934</f>
        <v>4410</v>
      </c>
      <c r="O934" s="85" t="n">
        <v>4410</v>
      </c>
      <c r="P934" s="86" t="n">
        <v>0</v>
      </c>
      <c r="Q934" s="86" t="n">
        <v>0</v>
      </c>
      <c r="R934" s="132" t="n">
        <v>0</v>
      </c>
      <c r="S934" s="128" t="n">
        <v>0</v>
      </c>
      <c r="T934" s="132" t="n">
        <v>0</v>
      </c>
      <c r="U934" s="128" t="n">
        <v>0</v>
      </c>
      <c r="V934" s="128" t="n">
        <v>1</v>
      </c>
      <c r="W934" s="90" t="n">
        <f aca="false">IFERROR(O934/V934,0)</f>
        <v>4410</v>
      </c>
      <c r="X934" s="91" t="n">
        <f aca="false">O934/L934</f>
        <v>0.63</v>
      </c>
      <c r="Y934" s="92" t="str">
        <f aca="false">IFERROR(VLOOKUP(E:E,'Item Data Support Sheet'!A:J,6,0),0)</f>
        <v>FO017</v>
      </c>
      <c r="Z934" s="93" t="n">
        <f aca="false">IFERROR(VLOOKUP(E:E,'Item Data Support Sheet'!A:O,4,0),0)</f>
        <v>0</v>
      </c>
      <c r="AA934" s="93" t="n">
        <f aca="false">IFERROR(((N934)*(Z934/1000))+P934,0)</f>
        <v>0</v>
      </c>
      <c r="AB934" s="94" t="str">
        <f aca="false">IFERROR((O934*(Z934/1000)/(AA934))," ")</f>
        <v> </v>
      </c>
      <c r="AC934" s="95" t="n">
        <f aca="false">IFERROR((T934)/((T934)+O934),0)</f>
        <v>0</v>
      </c>
      <c r="AD934" s="96" t="n">
        <f aca="false">IFERROR(Q934/(Q934+N934),0)</f>
        <v>0</v>
      </c>
      <c r="AE934" s="91" t="n">
        <f aca="false">(N934-T934)/N934</f>
        <v>1</v>
      </c>
      <c r="AF934" s="97" t="n">
        <f aca="false">BR934</f>
        <v>2.66666666666667</v>
      </c>
      <c r="AG934" s="98" t="n">
        <f aca="false">K934-AF934</f>
        <v>5.33333333333333</v>
      </c>
      <c r="AH934" s="99" t="n">
        <f aca="false">IFERROR(AG934/K934," ")</f>
        <v>0.666666666666666</v>
      </c>
      <c r="AI934" s="100" t="n">
        <f aca="false">IFERROR(O934/K934,0)</f>
        <v>551.25</v>
      </c>
      <c r="AJ934" s="101" t="n">
        <f aca="false">VLOOKUP(D934,'Standard Cycle time'!C:D,2,0)</f>
        <v>3.5</v>
      </c>
      <c r="AK934" s="101" t="n">
        <f aca="false">AG934*V934*3600/O934</f>
        <v>4.35374149659864</v>
      </c>
      <c r="AL934" s="102" t="n">
        <f aca="false">AJ934/AK934</f>
        <v>0.80390625</v>
      </c>
      <c r="AM934" s="99" t="n">
        <f aca="false">AE934*AL934*AH934</f>
        <v>0.5359375</v>
      </c>
      <c r="AN934" s="103" t="n">
        <v>0.5359375</v>
      </c>
      <c r="AO934" s="112" t="s">
        <v>1700</v>
      </c>
      <c r="AP934" s="105" t="n">
        <v>40</v>
      </c>
      <c r="AQ934" s="105" t="n">
        <v>0</v>
      </c>
      <c r="AR934" s="105" t="n">
        <v>0</v>
      </c>
      <c r="AS934" s="105"/>
      <c r="AT934" s="105" t="n">
        <v>120</v>
      </c>
      <c r="AU934" s="105" t="n">
        <v>0</v>
      </c>
      <c r="AV934" s="105" t="n">
        <v>0</v>
      </c>
      <c r="AW934" s="105" t="n">
        <v>0</v>
      </c>
      <c r="AX934" s="105" t="n">
        <v>0</v>
      </c>
      <c r="AY934" s="105" t="n">
        <v>0</v>
      </c>
      <c r="AZ934" s="105" t="n">
        <v>0</v>
      </c>
      <c r="BA934" s="105" t="n">
        <v>0</v>
      </c>
      <c r="BB934" s="105" t="n">
        <v>0</v>
      </c>
      <c r="BC934" s="105" t="n">
        <v>0</v>
      </c>
      <c r="BD934" s="105" t="n">
        <v>0</v>
      </c>
      <c r="BE934" s="105" t="n">
        <v>0</v>
      </c>
      <c r="BF934" s="105" t="n">
        <v>0</v>
      </c>
      <c r="BG934" s="105" t="n">
        <v>0</v>
      </c>
      <c r="BH934" s="105" t="n">
        <v>0</v>
      </c>
      <c r="BI934" s="105" t="n">
        <v>0</v>
      </c>
      <c r="BJ934" s="105" t="n">
        <v>0</v>
      </c>
      <c r="BK934" s="105" t="n">
        <v>0</v>
      </c>
      <c r="BL934" s="105" t="n">
        <v>0</v>
      </c>
      <c r="BM934" s="105" t="n">
        <v>0</v>
      </c>
      <c r="BN934" s="105" t="n">
        <v>0</v>
      </c>
      <c r="BO934" s="105" t="n">
        <v>0</v>
      </c>
      <c r="BP934" s="105" t="n">
        <v>0</v>
      </c>
      <c r="BQ934" s="105" t="n">
        <v>0</v>
      </c>
      <c r="BR934" s="106" t="n">
        <v>2.66666666666667</v>
      </c>
      <c r="BS934" s="106" t="n">
        <v>2.66666666666667</v>
      </c>
      <c r="BT934" s="107"/>
      <c r="BU934" s="107"/>
      <c r="BV934" s="107"/>
      <c r="BW934" s="107"/>
      <c r="BX934" s="107"/>
      <c r="BY934" s="107"/>
      <c r="BZ934" s="107"/>
      <c r="CA934" s="107"/>
      <c r="CB934" s="107"/>
      <c r="CC934" s="107"/>
      <c r="CD934" s="107"/>
      <c r="CE934" s="107"/>
      <c r="CF934" s="107"/>
      <c r="CG934" s="107"/>
      <c r="CH934" s="107"/>
      <c r="CI934" s="107"/>
      <c r="CJ934" s="107"/>
      <c r="CK934" s="107"/>
      <c r="CL934" s="107"/>
      <c r="CM934" s="107"/>
      <c r="CN934" s="107"/>
      <c r="CO934" s="107"/>
      <c r="CP934" s="107"/>
      <c r="CQ934" s="107"/>
      <c r="CR934" s="107"/>
      <c r="CS934" s="107"/>
      <c r="CT934" s="107"/>
      <c r="CU934" s="107"/>
      <c r="CV934" s="107"/>
    </row>
    <row r="935" customFormat="false" ht="14.9" hidden="false" customHeight="false" outlineLevel="0" collapsed="false">
      <c r="A935" s="74" t="n">
        <f aca="false">MONTH(B935)</f>
        <v>10</v>
      </c>
      <c r="B935" s="135" t="n">
        <v>44487</v>
      </c>
      <c r="C935" s="128" t="s">
        <v>51</v>
      </c>
      <c r="D935" s="77" t="str">
        <f aca="false">IFERROR(VLOOKUP(E:E,'Item Data Support Sheet'!A:O,7,0),"")</f>
        <v>NIPPLE LASER MARKING</v>
      </c>
      <c r="E935" s="80" t="s">
        <v>681</v>
      </c>
      <c r="F935" s="122"/>
      <c r="G935" s="137" t="s">
        <v>517</v>
      </c>
      <c r="H935" s="79" t="str">
        <f aca="false">IFERROR(VLOOKUP(E:E,'Item Data Support Sheet'!A:O,2,0),"")</f>
        <v>NIPPLE S TYPE L SIZE PUNCHED LASER MARKED</v>
      </c>
      <c r="I935" s="80" t="s">
        <v>1701</v>
      </c>
      <c r="J935" s="80" t="s">
        <v>815</v>
      </c>
      <c r="K935" s="124" t="n">
        <v>8</v>
      </c>
      <c r="L935" s="124" t="n">
        <v>7000</v>
      </c>
      <c r="M935" s="83" t="n">
        <v>875</v>
      </c>
      <c r="N935" s="84" t="n">
        <f aca="false">+O935+Q935+T935+U935</f>
        <v>3410</v>
      </c>
      <c r="O935" s="85" t="n">
        <v>3410</v>
      </c>
      <c r="P935" s="86" t="n">
        <v>0</v>
      </c>
      <c r="Q935" s="86" t="n">
        <v>0</v>
      </c>
      <c r="R935" s="132" t="n">
        <v>0</v>
      </c>
      <c r="S935" s="128" t="n">
        <v>0</v>
      </c>
      <c r="T935" s="132" t="n">
        <v>0</v>
      </c>
      <c r="U935" s="128" t="n">
        <v>0</v>
      </c>
      <c r="V935" s="128" t="n">
        <v>1</v>
      </c>
      <c r="W935" s="90" t="n">
        <f aca="false">IFERROR(O935/V935,0)</f>
        <v>3410</v>
      </c>
      <c r="X935" s="91" t="n">
        <f aca="false">O935/L935</f>
        <v>0.487142857142857</v>
      </c>
      <c r="Y935" s="92" t="str">
        <f aca="false">IFERROR(VLOOKUP(E:E,'Item Data Support Sheet'!A:J,6,0),0)</f>
        <v>FO021</v>
      </c>
      <c r="Z935" s="93" t="n">
        <f aca="false">IFERROR(VLOOKUP(E:E,'Item Data Support Sheet'!A:O,4,0),0)</f>
        <v>0</v>
      </c>
      <c r="AA935" s="93" t="n">
        <f aca="false">IFERROR(((N935)*(Z935/1000))+P935,0)</f>
        <v>0</v>
      </c>
      <c r="AB935" s="94" t="str">
        <f aca="false">IFERROR((O935*(Z935/1000)/(AA935))," ")</f>
        <v> </v>
      </c>
      <c r="AC935" s="95" t="n">
        <f aca="false">IFERROR((T935)/((T935)+O935),0)</f>
        <v>0</v>
      </c>
      <c r="AD935" s="96" t="n">
        <f aca="false">IFERROR(Q935/(Q935+N935),0)</f>
        <v>0</v>
      </c>
      <c r="AE935" s="91" t="n">
        <f aca="false">(N935-T935)/N935</f>
        <v>1</v>
      </c>
      <c r="AF935" s="97" t="n">
        <f aca="false">BR935</f>
        <v>3.66666666666667</v>
      </c>
      <c r="AG935" s="98" t="n">
        <f aca="false">K935-AF935</f>
        <v>4.33333333333333</v>
      </c>
      <c r="AH935" s="99" t="n">
        <f aca="false">IFERROR(AG935/K935," ")</f>
        <v>0.541666666666666</v>
      </c>
      <c r="AI935" s="100" t="n">
        <f aca="false">IFERROR(O935/K935,0)</f>
        <v>426.25</v>
      </c>
      <c r="AJ935" s="101" t="n">
        <f aca="false">VLOOKUP(D935,'Standard Cycle time'!C:D,2,0)</f>
        <v>3.5</v>
      </c>
      <c r="AK935" s="101" t="n">
        <f aca="false">AG935*V935*3600/O935</f>
        <v>4.57478005865102</v>
      </c>
      <c r="AL935" s="102" t="n">
        <f aca="false">AJ935/AK935</f>
        <v>0.765064102564103</v>
      </c>
      <c r="AM935" s="99" t="n">
        <f aca="false">AE935*AL935*AH935</f>
        <v>0.414409722222222</v>
      </c>
      <c r="AN935" s="103" t="n">
        <v>0.414409722222222</v>
      </c>
      <c r="AO935" s="112" t="s">
        <v>1702</v>
      </c>
      <c r="AP935" s="105" t="n">
        <v>40</v>
      </c>
      <c r="AQ935" s="105" t="n">
        <v>0</v>
      </c>
      <c r="AR935" s="105" t="n">
        <v>0</v>
      </c>
      <c r="AS935" s="105" t="n">
        <v>0</v>
      </c>
      <c r="AT935" s="105" t="n">
        <v>180</v>
      </c>
      <c r="AU935" s="105" t="n">
        <v>0</v>
      </c>
      <c r="AV935" s="105" t="n">
        <v>0</v>
      </c>
      <c r="AW935" s="105" t="n">
        <v>0</v>
      </c>
      <c r="AX935" s="105" t="n">
        <v>0</v>
      </c>
      <c r="AY935" s="105" t="n">
        <v>0</v>
      </c>
      <c r="AZ935" s="105" t="n">
        <v>0</v>
      </c>
      <c r="BA935" s="105" t="n">
        <v>0</v>
      </c>
      <c r="BB935" s="105" t="n">
        <v>0</v>
      </c>
      <c r="BC935" s="105" t="n">
        <v>0</v>
      </c>
      <c r="BD935" s="105" t="n">
        <v>0</v>
      </c>
      <c r="BE935" s="105" t="n">
        <v>0</v>
      </c>
      <c r="BF935" s="105" t="n">
        <v>0</v>
      </c>
      <c r="BG935" s="105" t="n">
        <v>0</v>
      </c>
      <c r="BH935" s="105" t="n">
        <v>0</v>
      </c>
      <c r="BI935" s="105" t="n">
        <v>0</v>
      </c>
      <c r="BJ935" s="105" t="n">
        <v>0</v>
      </c>
      <c r="BK935" s="105" t="n">
        <v>0</v>
      </c>
      <c r="BL935" s="105" t="n">
        <v>0</v>
      </c>
      <c r="BM935" s="105" t="n">
        <v>0</v>
      </c>
      <c r="BN935" s="105" t="n">
        <v>0</v>
      </c>
      <c r="BO935" s="105" t="n">
        <v>0</v>
      </c>
      <c r="BP935" s="105" t="n">
        <v>0</v>
      </c>
      <c r="BQ935" s="105" t="n">
        <v>0</v>
      </c>
      <c r="BR935" s="106" t="n">
        <v>3.66666666666667</v>
      </c>
      <c r="BS935" s="106" t="n">
        <v>3.66666666666667</v>
      </c>
      <c r="BT935" s="107"/>
      <c r="BU935" s="107"/>
      <c r="BV935" s="107"/>
      <c r="BW935" s="107"/>
      <c r="BX935" s="107"/>
      <c r="BY935" s="107"/>
      <c r="BZ935" s="107"/>
      <c r="CA935" s="107"/>
      <c r="CB935" s="107"/>
      <c r="CC935" s="107"/>
      <c r="CD935" s="107"/>
      <c r="CE935" s="107"/>
      <c r="CF935" s="107"/>
      <c r="CG935" s="107"/>
      <c r="CH935" s="107"/>
      <c r="CI935" s="107"/>
      <c r="CJ935" s="107"/>
      <c r="CK935" s="107"/>
      <c r="CL935" s="107"/>
      <c r="CM935" s="107"/>
      <c r="CN935" s="107"/>
      <c r="CO935" s="107"/>
      <c r="CP935" s="107"/>
      <c r="CQ935" s="107"/>
      <c r="CR935" s="107"/>
      <c r="CS935" s="107"/>
      <c r="CT935" s="107"/>
      <c r="CU935" s="107"/>
      <c r="CV935" s="107"/>
    </row>
    <row r="936" customFormat="false" ht="14.9" hidden="false" customHeight="false" outlineLevel="0" collapsed="false">
      <c r="A936" s="74" t="n">
        <f aca="false">MONTH(B936)</f>
        <v>10</v>
      </c>
      <c r="B936" s="135" t="n">
        <v>44487</v>
      </c>
      <c r="C936" s="128" t="s">
        <v>51</v>
      </c>
      <c r="D936" s="77" t="str">
        <f aca="false">IFERROR(VLOOKUP(E:E,'Item Data Support Sheet'!A:O,7,0),"")</f>
        <v>CAP MOLDED</v>
      </c>
      <c r="E936" s="80" t="s">
        <v>453</v>
      </c>
      <c r="F936" s="122"/>
      <c r="G936" s="137" t="s">
        <v>1595</v>
      </c>
      <c r="H936" s="79" t="str">
        <f aca="false">IFERROR(VLOOKUP(E:E,'Item Data Support Sheet'!A:O,2,0),"")</f>
        <v>CAP S TYPE MOLDED WHITE</v>
      </c>
      <c r="I936" s="80" t="s">
        <v>1703</v>
      </c>
      <c r="J936" s="80" t="s">
        <v>815</v>
      </c>
      <c r="K936" s="124" t="n">
        <v>8</v>
      </c>
      <c r="L936" s="124" t="n">
        <v>4137</v>
      </c>
      <c r="M936" s="83" t="n">
        <v>517.125</v>
      </c>
      <c r="N936" s="84" t="n">
        <f aca="false">+O936+Q936+T936+U936</f>
        <v>4008</v>
      </c>
      <c r="O936" s="85" t="n">
        <v>4000</v>
      </c>
      <c r="P936" s="86" t="n">
        <v>0</v>
      </c>
      <c r="Q936" s="86" t="n">
        <v>0</v>
      </c>
      <c r="R936" s="132" t="n">
        <v>0</v>
      </c>
      <c r="S936" s="128" t="n">
        <v>0</v>
      </c>
      <c r="T936" s="132" t="n">
        <v>0</v>
      </c>
      <c r="U936" s="128" t="n">
        <v>8</v>
      </c>
      <c r="V936" s="128" t="n">
        <v>1</v>
      </c>
      <c r="W936" s="90" t="n">
        <f aca="false">IFERROR(O936/V936,0)</f>
        <v>4000</v>
      </c>
      <c r="X936" s="91" t="n">
        <f aca="false">O936/L936</f>
        <v>0.96688421561518</v>
      </c>
      <c r="Y936" s="92" t="str">
        <f aca="false">IFERROR(VLOOKUP(E:E,'Item Data Support Sheet'!A:J,6,0),0)</f>
        <v>RM000106</v>
      </c>
      <c r="Z936" s="93" t="n">
        <f aca="false">IFERROR(VLOOKUP(E:E,'Item Data Support Sheet'!A:O,4,0),0)</f>
        <v>7.3</v>
      </c>
      <c r="AA936" s="93" t="n">
        <f aca="false">IFERROR(((N936)*(Z936/1000))+P936,0)</f>
        <v>29.2584</v>
      </c>
      <c r="AB936" s="94" t="n">
        <f aca="false">IFERROR((O936*(Z936/1000)/(AA936))," ")</f>
        <v>0.998003992015968</v>
      </c>
      <c r="AC936" s="95" t="n">
        <f aca="false">IFERROR((T936)/((T936)+O936),0)</f>
        <v>0</v>
      </c>
      <c r="AD936" s="96" t="n">
        <f aca="false">IFERROR(Q936/(Q936+N936),0)</f>
        <v>0</v>
      </c>
      <c r="AE936" s="91" t="n">
        <f aca="false">(N936-T936)/N936</f>
        <v>1</v>
      </c>
      <c r="AF936" s="97" t="n">
        <f aca="false">BR936</f>
        <v>1</v>
      </c>
      <c r="AG936" s="98" t="n">
        <f aca="false">K936-AF936</f>
        <v>7</v>
      </c>
      <c r="AH936" s="99" t="n">
        <f aca="false">IFERROR(AG936/K936," ")</f>
        <v>0.875</v>
      </c>
      <c r="AI936" s="100" t="n">
        <f aca="false">IFERROR(O936/K936,0)</f>
        <v>500</v>
      </c>
      <c r="AJ936" s="101" t="n">
        <f aca="false">VLOOKUP(D936,'Standard Cycle time'!C:D,2,0)</f>
        <v>6</v>
      </c>
      <c r="AK936" s="101" t="n">
        <f aca="false">AG936*V936*3600/O936</f>
        <v>6.3</v>
      </c>
      <c r="AL936" s="102" t="n">
        <f aca="false">AJ936/AK936</f>
        <v>0.952380952380952</v>
      </c>
      <c r="AM936" s="99" t="n">
        <f aca="false">AE936*AL936*AH936</f>
        <v>0.833333333333333</v>
      </c>
      <c r="AN936" s="103" t="n">
        <v>0.833333333333333</v>
      </c>
      <c r="AO936" s="112"/>
      <c r="AP936" s="105" t="n">
        <v>0</v>
      </c>
      <c r="AQ936" s="105" t="n">
        <v>0</v>
      </c>
      <c r="AR936" s="105" t="n">
        <v>0</v>
      </c>
      <c r="AS936" s="105" t="n">
        <v>0</v>
      </c>
      <c r="AT936" s="105" t="n">
        <v>0</v>
      </c>
      <c r="AU936" s="105" t="n">
        <v>0</v>
      </c>
      <c r="AV936" s="105" t="n">
        <v>0</v>
      </c>
      <c r="AW936" s="105" t="n">
        <v>30</v>
      </c>
      <c r="AX936" s="105" t="n">
        <v>0</v>
      </c>
      <c r="AY936" s="105" t="n">
        <v>0</v>
      </c>
      <c r="AZ936" s="105" t="n">
        <v>30</v>
      </c>
      <c r="BA936" s="105" t="n">
        <v>0</v>
      </c>
      <c r="BB936" s="105" t="n">
        <v>0</v>
      </c>
      <c r="BC936" s="105" t="n">
        <v>0</v>
      </c>
      <c r="BD936" s="105" t="n">
        <v>0</v>
      </c>
      <c r="BE936" s="105" t="n">
        <v>0</v>
      </c>
      <c r="BF936" s="105" t="n">
        <v>0</v>
      </c>
      <c r="BG936" s="105" t="n">
        <v>0</v>
      </c>
      <c r="BH936" s="105" t="n">
        <v>0</v>
      </c>
      <c r="BI936" s="105" t="n">
        <v>0</v>
      </c>
      <c r="BJ936" s="105" t="n">
        <v>0</v>
      </c>
      <c r="BK936" s="105" t="n">
        <v>0</v>
      </c>
      <c r="BL936" s="105" t="n">
        <v>0</v>
      </c>
      <c r="BM936" s="105" t="n">
        <v>0</v>
      </c>
      <c r="BN936" s="105" t="n">
        <v>0</v>
      </c>
      <c r="BO936" s="105" t="n">
        <v>0</v>
      </c>
      <c r="BP936" s="105" t="n">
        <v>0</v>
      </c>
      <c r="BQ936" s="105" t="n">
        <v>0</v>
      </c>
      <c r="BR936" s="106" t="n">
        <v>1</v>
      </c>
      <c r="BS936" s="106" t="n">
        <v>1</v>
      </c>
      <c r="BT936" s="107"/>
      <c r="BU936" s="107"/>
      <c r="BV936" s="107"/>
      <c r="BW936" s="107"/>
      <c r="BX936" s="107"/>
      <c r="BY936" s="107"/>
      <c r="BZ936" s="107"/>
      <c r="CA936" s="107"/>
      <c r="CB936" s="107"/>
      <c r="CC936" s="107"/>
      <c r="CD936" s="107"/>
      <c r="CE936" s="107"/>
      <c r="CF936" s="107"/>
      <c r="CG936" s="107"/>
      <c r="CH936" s="107"/>
      <c r="CI936" s="107"/>
      <c r="CJ936" s="107"/>
      <c r="CK936" s="107"/>
      <c r="CL936" s="107"/>
      <c r="CM936" s="107"/>
      <c r="CN936" s="107"/>
      <c r="CO936" s="107"/>
      <c r="CP936" s="107"/>
      <c r="CQ936" s="107"/>
      <c r="CR936" s="107"/>
      <c r="CS936" s="107"/>
      <c r="CT936" s="107"/>
      <c r="CU936" s="107"/>
      <c r="CV936" s="107"/>
    </row>
    <row r="937" customFormat="false" ht="14.9" hidden="false" customHeight="false" outlineLevel="0" collapsed="false">
      <c r="A937" s="74" t="n">
        <f aca="false">MONTH(B937)</f>
        <v>10</v>
      </c>
      <c r="B937" s="135" t="n">
        <v>44487</v>
      </c>
      <c r="C937" s="128" t="s">
        <v>51</v>
      </c>
      <c r="D937" s="77" t="str">
        <f aca="false">IFERROR(VLOOKUP(E:E,'Item Data Support Sheet'!A:O,7,0),"")</f>
        <v>NIPPLE MOLDED</v>
      </c>
      <c r="E937" s="80" t="s">
        <v>136</v>
      </c>
      <c r="F937" s="122" t="s">
        <v>137</v>
      </c>
      <c r="G937" s="137" t="s">
        <v>138</v>
      </c>
      <c r="H937" s="79" t="str">
        <f aca="false">IFERROR(VLOOKUP(E:E,'Item Data Support Sheet'!A:O,2,0),"")</f>
        <v>NIPPLE S TYPE M SIZE INJECTION</v>
      </c>
      <c r="I937" s="80" t="s">
        <v>1704</v>
      </c>
      <c r="J937" s="80" t="s">
        <v>815</v>
      </c>
      <c r="K937" s="124" t="n">
        <v>8</v>
      </c>
      <c r="L937" s="124" t="n">
        <v>3600</v>
      </c>
      <c r="M937" s="83" t="n">
        <v>450</v>
      </c>
      <c r="N937" s="84" t="n">
        <f aca="false">+O937+Q937+T937+U937</f>
        <v>2503</v>
      </c>
      <c r="O937" s="85" t="n">
        <v>2350</v>
      </c>
      <c r="P937" s="86" t="n">
        <v>2.2</v>
      </c>
      <c r="Q937" s="86" t="n">
        <v>110</v>
      </c>
      <c r="R937" s="132" t="n">
        <v>0</v>
      </c>
      <c r="S937" s="128" t="n">
        <v>0</v>
      </c>
      <c r="T937" s="132" t="n">
        <v>35</v>
      </c>
      <c r="U937" s="128" t="n">
        <v>8</v>
      </c>
      <c r="V937" s="128" t="n">
        <v>1</v>
      </c>
      <c r="W937" s="90" t="n">
        <f aca="false">IFERROR(O937/V937,0)</f>
        <v>2350</v>
      </c>
      <c r="X937" s="91" t="n">
        <f aca="false">O937/L937</f>
        <v>0.652777777777778</v>
      </c>
      <c r="Y937" s="92" t="str">
        <f aca="false">IFERROR(VLOOKUP(E:E,'Item Data Support Sheet'!A:J,6,0),0)</f>
        <v>Silicon</v>
      </c>
      <c r="Z937" s="93" t="n">
        <f aca="false">IFERROR(VLOOKUP(E:E,'Item Data Support Sheet'!A:O,4,0),0)</f>
        <v>6.8</v>
      </c>
      <c r="AA937" s="93" t="n">
        <f aca="false">IFERROR(((N937)*(Z937/1000))+P937,0)</f>
        <v>19.2204</v>
      </c>
      <c r="AB937" s="94" t="n">
        <f aca="false">IFERROR((O937*(Z937/1000)/(AA937))," ")</f>
        <v>0.831408295352854</v>
      </c>
      <c r="AC937" s="95" t="n">
        <f aca="false">IFERROR((T937)/((T937)+O937),0)</f>
        <v>0.0146750524109015</v>
      </c>
      <c r="AD937" s="96" t="n">
        <f aca="false">IFERROR(Q937/(Q937+N937),0)</f>
        <v>0.0420972062763108</v>
      </c>
      <c r="AE937" s="91" t="n">
        <f aca="false">(N937-T937)/N937</f>
        <v>0.986016779864163</v>
      </c>
      <c r="AF937" s="97" t="n">
        <f aca="false">BR937</f>
        <v>4.16666666666667</v>
      </c>
      <c r="AG937" s="98" t="n">
        <f aca="false">K937-AF937</f>
        <v>3.83333333333333</v>
      </c>
      <c r="AH937" s="99" t="n">
        <f aca="false">IFERROR(AG937/K937," ")</f>
        <v>0.479166666666666</v>
      </c>
      <c r="AI937" s="100" t="n">
        <f aca="false">IFERROR(O937/K937,0)</f>
        <v>293.75</v>
      </c>
      <c r="AJ937" s="101" t="n">
        <f aca="false">VLOOKUP(D937,'Standard Cycle time'!C:D,2,0)</f>
        <v>5.25</v>
      </c>
      <c r="AK937" s="101" t="n">
        <f aca="false">AG937*V937*3600/O937</f>
        <v>5.87234042553191</v>
      </c>
      <c r="AL937" s="102" t="n">
        <f aca="false">AJ937/AK937</f>
        <v>0.894021739130436</v>
      </c>
      <c r="AM937" s="99" t="n">
        <f aca="false">AE937*AL937*AH937</f>
        <v>0.422395209082434</v>
      </c>
      <c r="AN937" s="103" t="n">
        <v>0.422395209082434</v>
      </c>
      <c r="AO937" s="112" t="s">
        <v>1705</v>
      </c>
      <c r="AP937" s="105" t="n">
        <v>0</v>
      </c>
      <c r="AQ937" s="105" t="n">
        <v>40</v>
      </c>
      <c r="AR937" s="105" t="n">
        <v>0</v>
      </c>
      <c r="AS937" s="105" t="n">
        <v>0</v>
      </c>
      <c r="AT937" s="105" t="n">
        <v>0</v>
      </c>
      <c r="AU937" s="105" t="n">
        <v>40</v>
      </c>
      <c r="AV937" s="105" t="n">
        <v>40</v>
      </c>
      <c r="AW937" s="105" t="n">
        <v>40</v>
      </c>
      <c r="AX937" s="105" t="n">
        <v>0</v>
      </c>
      <c r="AY937" s="105" t="n">
        <v>0</v>
      </c>
      <c r="AZ937" s="105" t="n">
        <v>0</v>
      </c>
      <c r="BA937" s="105" t="n">
        <v>0</v>
      </c>
      <c r="BB937" s="105" t="n">
        <v>90</v>
      </c>
      <c r="BC937" s="105" t="n">
        <v>0</v>
      </c>
      <c r="BD937" s="105" t="n">
        <v>0</v>
      </c>
      <c r="BE937" s="105" t="n">
        <v>0</v>
      </c>
      <c r="BF937" s="105" t="n">
        <v>0</v>
      </c>
      <c r="BG937" s="105" t="n">
        <v>0</v>
      </c>
      <c r="BH937" s="105" t="n">
        <v>0</v>
      </c>
      <c r="BI937" s="105" t="n">
        <v>0</v>
      </c>
      <c r="BJ937" s="105" t="n">
        <v>0</v>
      </c>
      <c r="BK937" s="105" t="n">
        <v>0</v>
      </c>
      <c r="BL937" s="105" t="n">
        <v>0</v>
      </c>
      <c r="BM937" s="105" t="n">
        <v>0</v>
      </c>
      <c r="BN937" s="105" t="n">
        <v>0</v>
      </c>
      <c r="BO937" s="105" t="n">
        <v>0</v>
      </c>
      <c r="BP937" s="105" t="n">
        <v>0</v>
      </c>
      <c r="BQ937" s="105" t="n">
        <v>0</v>
      </c>
      <c r="BR937" s="106" t="n">
        <v>4.16666666666667</v>
      </c>
      <c r="BS937" s="106" t="n">
        <v>4.16666666666667</v>
      </c>
      <c r="BT937" s="107"/>
      <c r="BU937" s="107"/>
      <c r="BV937" s="107"/>
      <c r="BW937" s="107"/>
      <c r="BX937" s="107"/>
      <c r="BY937" s="107"/>
      <c r="BZ937" s="107"/>
      <c r="CA937" s="107"/>
      <c r="CB937" s="107"/>
      <c r="CC937" s="107"/>
      <c r="CD937" s="107"/>
      <c r="CE937" s="107"/>
      <c r="CF937" s="107"/>
      <c r="CG937" s="107"/>
      <c r="CH937" s="107"/>
      <c r="CI937" s="107"/>
      <c r="CJ937" s="107"/>
      <c r="CK937" s="107"/>
      <c r="CL937" s="107"/>
      <c r="CM937" s="107"/>
      <c r="CN937" s="107"/>
      <c r="CO937" s="107"/>
      <c r="CP937" s="107"/>
      <c r="CQ937" s="107"/>
      <c r="CR937" s="107"/>
      <c r="CS937" s="107"/>
      <c r="CT937" s="107"/>
      <c r="CU937" s="107"/>
      <c r="CV937" s="107"/>
    </row>
    <row r="938" customFormat="false" ht="14.9" hidden="false" customHeight="false" outlineLevel="0" collapsed="false">
      <c r="A938" s="74" t="n">
        <f aca="false">MONTH(B938)</f>
        <v>10</v>
      </c>
      <c r="B938" s="135" t="n">
        <v>44487</v>
      </c>
      <c r="C938" s="128" t="s">
        <v>51</v>
      </c>
      <c r="D938" s="77" t="str">
        <f aca="false">IFERROR(VLOOKUP(E:E,'Item Data Support Sheet'!A:O,7,0),"")</f>
        <v>BOTTLE PRINTED</v>
      </c>
      <c r="E938" s="80" t="s">
        <v>229</v>
      </c>
      <c r="F938" s="122"/>
      <c r="G938" s="137"/>
      <c r="H938" s="79" t="str">
        <f aca="false">IFERROR(VLOOKUP(E:E,'Item Data Support Sheet'!A:O,2,0),"")</f>
        <v>KPP BOTTLE 200 ML PRINTED-WMG3B</v>
      </c>
      <c r="I938" s="80" t="s">
        <v>1706</v>
      </c>
      <c r="J938" s="80" t="s">
        <v>161</v>
      </c>
      <c r="K938" s="124" t="n">
        <v>8</v>
      </c>
      <c r="L938" s="124" t="n">
        <v>5100</v>
      </c>
      <c r="M938" s="83" t="n">
        <v>637.5</v>
      </c>
      <c r="N938" s="84" t="n">
        <f aca="false">+O938+Q938+T938+U938</f>
        <v>3066</v>
      </c>
      <c r="O938" s="85" t="n">
        <v>3024</v>
      </c>
      <c r="P938" s="86" t="n">
        <v>0</v>
      </c>
      <c r="Q938" s="86" t="n">
        <v>0</v>
      </c>
      <c r="R938" s="132" t="n">
        <v>37</v>
      </c>
      <c r="S938" s="128" t="n">
        <v>0</v>
      </c>
      <c r="T938" s="132" t="n">
        <v>42</v>
      </c>
      <c r="U938" s="128" t="n">
        <v>0</v>
      </c>
      <c r="V938" s="128" t="n">
        <v>4</v>
      </c>
      <c r="W938" s="90" t="n">
        <f aca="false">IFERROR(O938/V938,0)</f>
        <v>756</v>
      </c>
      <c r="X938" s="91" t="n">
        <f aca="false">O938/L938</f>
        <v>0.592941176470588</v>
      </c>
      <c r="Y938" s="92" t="str">
        <f aca="false">IFERROR(VLOOKUP(E:E,'Item Data Support Sheet'!A:J,6,0),0)</f>
        <v>FO043</v>
      </c>
      <c r="Z938" s="93" t="n">
        <f aca="false">IFERROR(VLOOKUP(E:E,'Item Data Support Sheet'!A:O,4,0),0)</f>
        <v>0</v>
      </c>
      <c r="AA938" s="93" t="n">
        <f aca="false">IFERROR(((N938)*(Z938/1000))+P938,0)</f>
        <v>0</v>
      </c>
      <c r="AB938" s="94" t="str">
        <f aca="false">IFERROR((O938*(Z938/1000)/(AA938))," ")</f>
        <v> </v>
      </c>
      <c r="AC938" s="95" t="n">
        <f aca="false">IFERROR((T938)/((T938)+O938),0)</f>
        <v>0.0136986301369863</v>
      </c>
      <c r="AD938" s="96" t="n">
        <f aca="false">IFERROR(Q938/(Q938+N938),0)</f>
        <v>0</v>
      </c>
      <c r="AE938" s="91" t="n">
        <f aca="false">(N938-T938)/N938</f>
        <v>0.986301369863014</v>
      </c>
      <c r="AF938" s="97" t="n">
        <f aca="false">BR938</f>
        <v>1.33333333333333</v>
      </c>
      <c r="AG938" s="98" t="n">
        <f aca="false">K938-AF938</f>
        <v>6.66666666666667</v>
      </c>
      <c r="AH938" s="99" t="n">
        <f aca="false">IFERROR(AG938/K938," ")</f>
        <v>0.833333333333334</v>
      </c>
      <c r="AI938" s="100" t="n">
        <f aca="false">IFERROR(O938/K938,0)</f>
        <v>378</v>
      </c>
      <c r="AJ938" s="101" t="n">
        <f aca="false">VLOOKUP(D938,'Standard Cycle time'!C:D,2,0)</f>
        <v>32.4</v>
      </c>
      <c r="AK938" s="101" t="n">
        <f aca="false">AG938*V938*3600/O938</f>
        <v>31.7460317460318</v>
      </c>
      <c r="AL938" s="102" t="n">
        <f aca="false">AJ938/AK938</f>
        <v>1.0206</v>
      </c>
      <c r="AM938" s="99" t="n">
        <f aca="false">AE938*AL938*AH938</f>
        <v>0.838849315068493</v>
      </c>
      <c r="AN938" s="103" t="n">
        <v>0.838849315068493</v>
      </c>
      <c r="AO938" s="112" t="s">
        <v>1707</v>
      </c>
      <c r="AP938" s="105" t="n">
        <v>40</v>
      </c>
      <c r="AQ938" s="105" t="n">
        <v>0</v>
      </c>
      <c r="AR938" s="105" t="n">
        <v>0</v>
      </c>
      <c r="AS938" s="105" t="n">
        <v>0</v>
      </c>
      <c r="AT938" s="105" t="n">
        <v>0</v>
      </c>
      <c r="AU938" s="105" t="n">
        <v>0</v>
      </c>
      <c r="AV938" s="105" t="n">
        <v>40</v>
      </c>
      <c r="AW938" s="105" t="n">
        <v>0</v>
      </c>
      <c r="AX938" s="105" t="n">
        <v>0</v>
      </c>
      <c r="AY938" s="105" t="n">
        <v>0</v>
      </c>
      <c r="AZ938" s="105" t="n">
        <v>0</v>
      </c>
      <c r="BA938" s="105" t="n">
        <v>0</v>
      </c>
      <c r="BB938" s="105" t="n">
        <v>0</v>
      </c>
      <c r="BC938" s="105" t="n">
        <v>0</v>
      </c>
      <c r="BD938" s="105" t="n">
        <v>0</v>
      </c>
      <c r="BE938" s="105" t="n">
        <v>0</v>
      </c>
      <c r="BF938" s="105" t="n">
        <v>0</v>
      </c>
      <c r="BG938" s="105" t="n">
        <v>0</v>
      </c>
      <c r="BH938" s="105" t="n">
        <v>0</v>
      </c>
      <c r="BI938" s="105" t="n">
        <v>0</v>
      </c>
      <c r="BJ938" s="105" t="n">
        <v>0</v>
      </c>
      <c r="BK938" s="105" t="n">
        <v>0</v>
      </c>
      <c r="BL938" s="105" t="n">
        <v>0</v>
      </c>
      <c r="BM938" s="105" t="n">
        <v>0</v>
      </c>
      <c r="BN938" s="105" t="n">
        <v>0</v>
      </c>
      <c r="BO938" s="105" t="n">
        <v>0</v>
      </c>
      <c r="BP938" s="105" t="n">
        <v>0</v>
      </c>
      <c r="BQ938" s="105" t="n">
        <v>0</v>
      </c>
      <c r="BR938" s="106" t="n">
        <v>1.33333333333333</v>
      </c>
      <c r="BS938" s="106" t="n">
        <v>1.33333333333333</v>
      </c>
      <c r="BT938" s="107"/>
      <c r="BU938" s="107"/>
      <c r="BV938" s="107"/>
      <c r="BW938" s="107"/>
      <c r="BX938" s="107"/>
      <c r="BY938" s="107"/>
      <c r="BZ938" s="107"/>
      <c r="CA938" s="107"/>
      <c r="CB938" s="107"/>
      <c r="CC938" s="107"/>
      <c r="CD938" s="107"/>
      <c r="CE938" s="107"/>
      <c r="CF938" s="107"/>
      <c r="CG938" s="107"/>
      <c r="CH938" s="107"/>
      <c r="CI938" s="107"/>
      <c r="CJ938" s="107"/>
      <c r="CK938" s="107"/>
      <c r="CL938" s="107"/>
      <c r="CM938" s="107"/>
      <c r="CN938" s="107"/>
      <c r="CO938" s="107"/>
      <c r="CP938" s="107"/>
      <c r="CQ938" s="107"/>
      <c r="CR938" s="107"/>
      <c r="CS938" s="107"/>
      <c r="CT938" s="107"/>
      <c r="CU938" s="107"/>
      <c r="CV938" s="107"/>
    </row>
    <row r="939" customFormat="false" ht="14.9" hidden="false" customHeight="false" outlineLevel="0" collapsed="false">
      <c r="A939" s="74" t="n">
        <f aca="false">MONTH(B939)</f>
        <v>10</v>
      </c>
      <c r="B939" s="135" t="n">
        <v>44487</v>
      </c>
      <c r="C939" s="128" t="s">
        <v>63</v>
      </c>
      <c r="D939" s="77" t="str">
        <f aca="false">IFERROR(VLOOKUP(E:E,'Item Data Support Sheet'!A:O,7,0),"")</f>
        <v>NIPPLE PUNCH INSPECTED</v>
      </c>
      <c r="E939" s="80" t="s">
        <v>688</v>
      </c>
      <c r="F939" s="122"/>
      <c r="G939" s="137"/>
      <c r="H939" s="79" t="str">
        <f aca="false">IFERROR(VLOOKUP(E:E,'Item Data Support Sheet'!A:O,2,0),"")</f>
        <v>NIPPLE S TYPE L SIZE PUNCHED INSPECTED</v>
      </c>
      <c r="I939" s="80" t="s">
        <v>1708</v>
      </c>
      <c r="J939" s="80" t="s">
        <v>155</v>
      </c>
      <c r="K939" s="124" t="n">
        <v>8</v>
      </c>
      <c r="L939" s="124" t="n">
        <v>14137</v>
      </c>
      <c r="M939" s="83" t="n">
        <v>1767.125</v>
      </c>
      <c r="N939" s="84" t="n">
        <f aca="false">+O939+Q939+T939+U939</f>
        <v>10140</v>
      </c>
      <c r="O939" s="85" t="n">
        <v>10091</v>
      </c>
      <c r="P939" s="86" t="n">
        <v>0</v>
      </c>
      <c r="Q939" s="86" t="n">
        <v>0</v>
      </c>
      <c r="R939" s="132" t="n">
        <v>0</v>
      </c>
      <c r="S939" s="128" t="n">
        <v>0</v>
      </c>
      <c r="T939" s="132" t="n">
        <v>49</v>
      </c>
      <c r="U939" s="128" t="n">
        <v>0</v>
      </c>
      <c r="V939" s="128" t="n">
        <v>1</v>
      </c>
      <c r="W939" s="90" t="n">
        <f aca="false">IFERROR(O939/V939,0)</f>
        <v>10091</v>
      </c>
      <c r="X939" s="91" t="n">
        <f aca="false">O939/L939</f>
        <v>0.713800664921836</v>
      </c>
      <c r="Y939" s="92" t="str">
        <f aca="false">IFERROR(VLOOKUP(E:E,'Item Data Support Sheet'!A:J,6,0),0)</f>
        <v>FO106</v>
      </c>
      <c r="Z939" s="93" t="n">
        <f aca="false">IFERROR(VLOOKUP(E:E,'Item Data Support Sheet'!A:O,4,0),0)</f>
        <v>0</v>
      </c>
      <c r="AA939" s="93" t="n">
        <f aca="false">IFERROR(((N939)*(Z939/1000))+P939,0)</f>
        <v>0</v>
      </c>
      <c r="AB939" s="94" t="str">
        <f aca="false">IFERROR((O939*(Z939/1000)/(AA939))," ")</f>
        <v> </v>
      </c>
      <c r="AC939" s="95" t="n">
        <f aca="false">IFERROR((T939)/((T939)+O939),0)</f>
        <v>0.00483234714003945</v>
      </c>
      <c r="AD939" s="96" t="n">
        <f aca="false">IFERROR(Q939/(Q939+N939),0)</f>
        <v>0</v>
      </c>
      <c r="AE939" s="91" t="n">
        <f aca="false">(N939-T939)/N939</f>
        <v>0.995167652859961</v>
      </c>
      <c r="AF939" s="97" t="n">
        <f aca="false">BR939</f>
        <v>0.833333333333333</v>
      </c>
      <c r="AG939" s="98" t="n">
        <f aca="false">K939-AF939</f>
        <v>7.16666666666667</v>
      </c>
      <c r="AH939" s="99" t="n">
        <f aca="false">IFERROR(AG939/K939," ")</f>
        <v>0.895833333333333</v>
      </c>
      <c r="AI939" s="100" t="n">
        <f aca="false">IFERROR(O939/K939,0)</f>
        <v>1261.375</v>
      </c>
      <c r="AJ939" s="101" t="n">
        <f aca="false">VLOOKUP(D939,'Standard Cycle time'!C:D,2,0)</f>
        <v>4</v>
      </c>
      <c r="AK939" s="101" t="n">
        <f aca="false">AG939*V939*3600/O939</f>
        <v>2.55673372311961</v>
      </c>
      <c r="AL939" s="102" t="n">
        <f aca="false">AJ939/AK939</f>
        <v>1.56449612403101</v>
      </c>
      <c r="AM939" s="99" t="n">
        <f aca="false">AE939*AL939*AH939</f>
        <v>1.39475510902915</v>
      </c>
      <c r="AN939" s="103" t="n">
        <v>1.39475510902915</v>
      </c>
      <c r="AO939" s="112" t="s">
        <v>1659</v>
      </c>
      <c r="AP939" s="105" t="n">
        <v>50</v>
      </c>
      <c r="AQ939" s="105" t="n">
        <v>0</v>
      </c>
      <c r="AR939" s="105" t="n">
        <v>0</v>
      </c>
      <c r="AS939" s="105" t="n">
        <v>0</v>
      </c>
      <c r="AT939" s="105" t="n">
        <v>0</v>
      </c>
      <c r="AU939" s="105" t="n">
        <v>0</v>
      </c>
      <c r="AV939" s="105" t="n">
        <v>0</v>
      </c>
      <c r="AW939" s="105" t="n">
        <v>0</v>
      </c>
      <c r="AX939" s="105" t="n">
        <v>0</v>
      </c>
      <c r="AY939" s="105" t="n">
        <v>0</v>
      </c>
      <c r="AZ939" s="105" t="n">
        <v>0</v>
      </c>
      <c r="BA939" s="105" t="n">
        <v>0</v>
      </c>
      <c r="BB939" s="105" t="n">
        <v>0</v>
      </c>
      <c r="BC939" s="105" t="n">
        <v>0</v>
      </c>
      <c r="BD939" s="105" t="n">
        <v>0</v>
      </c>
      <c r="BE939" s="105" t="n">
        <v>0</v>
      </c>
      <c r="BF939" s="105" t="n">
        <v>0</v>
      </c>
      <c r="BG939" s="105" t="n">
        <v>0</v>
      </c>
      <c r="BH939" s="105" t="n">
        <v>0</v>
      </c>
      <c r="BI939" s="105" t="n">
        <v>0</v>
      </c>
      <c r="BJ939" s="105" t="n">
        <v>0</v>
      </c>
      <c r="BK939" s="105" t="n">
        <v>0</v>
      </c>
      <c r="BL939" s="105" t="n">
        <v>0</v>
      </c>
      <c r="BM939" s="105" t="n">
        <v>0</v>
      </c>
      <c r="BN939" s="105" t="n">
        <v>0</v>
      </c>
      <c r="BO939" s="105" t="n">
        <v>0</v>
      </c>
      <c r="BP939" s="105" t="n">
        <v>0</v>
      </c>
      <c r="BQ939" s="105" t="n">
        <v>0</v>
      </c>
      <c r="BR939" s="106" t="n">
        <v>0.833333333333333</v>
      </c>
      <c r="BS939" s="106" t="n">
        <v>0.833333333333333</v>
      </c>
      <c r="BT939" s="107"/>
      <c r="BU939" s="107"/>
      <c r="BV939" s="107"/>
      <c r="BW939" s="107"/>
      <c r="BX939" s="107"/>
      <c r="BY939" s="107"/>
      <c r="BZ939" s="107"/>
      <c r="CA939" s="107"/>
      <c r="CB939" s="107"/>
      <c r="CC939" s="107"/>
      <c r="CD939" s="107"/>
      <c r="CE939" s="107"/>
      <c r="CF939" s="107"/>
      <c r="CG939" s="107"/>
      <c r="CH939" s="107"/>
      <c r="CI939" s="107"/>
      <c r="CJ939" s="107"/>
      <c r="CK939" s="107"/>
      <c r="CL939" s="107"/>
      <c r="CM939" s="107"/>
      <c r="CN939" s="107"/>
      <c r="CO939" s="107"/>
      <c r="CP939" s="107"/>
      <c r="CQ939" s="107"/>
      <c r="CR939" s="107"/>
      <c r="CS939" s="107"/>
      <c r="CT939" s="107"/>
      <c r="CU939" s="107"/>
      <c r="CV939" s="107"/>
    </row>
    <row r="940" customFormat="false" ht="14.9" hidden="false" customHeight="false" outlineLevel="0" collapsed="false">
      <c r="A940" s="74" t="n">
        <f aca="false">MONTH(B940)</f>
        <v>10</v>
      </c>
      <c r="B940" s="135" t="n">
        <v>44487</v>
      </c>
      <c r="C940" s="128" t="s">
        <v>70</v>
      </c>
      <c r="D940" s="77" t="str">
        <f aca="false">IFERROR(VLOOKUP(E:E,'Item Data Support Sheet'!A:O,7,0),"")</f>
        <v>NIPPLE PUNCH</v>
      </c>
      <c r="E940" s="80" t="s">
        <v>666</v>
      </c>
      <c r="F940" s="122"/>
      <c r="G940" s="137" t="s">
        <v>54</v>
      </c>
      <c r="H940" s="79" t="str">
        <f aca="false">IFERROR(VLOOKUP(E:E,'Item Data Support Sheet'!A:O,2,0),"")</f>
        <v>NIPPLE S TYPE L SIZE PUNCHED</v>
      </c>
      <c r="I940" s="80" t="s">
        <v>1709</v>
      </c>
      <c r="J940" s="80" t="s">
        <v>155</v>
      </c>
      <c r="K940" s="124" t="n">
        <v>8</v>
      </c>
      <c r="L940" s="124" t="n">
        <v>7000</v>
      </c>
      <c r="M940" s="83" t="n">
        <v>875</v>
      </c>
      <c r="N940" s="84" t="n">
        <f aca="false">+O940+Q940+T940+U940</f>
        <v>5000</v>
      </c>
      <c r="O940" s="85" t="n">
        <v>5000</v>
      </c>
      <c r="P940" s="86" t="n">
        <v>0</v>
      </c>
      <c r="Q940" s="86" t="n">
        <v>0</v>
      </c>
      <c r="R940" s="132" t="n">
        <v>0</v>
      </c>
      <c r="S940" s="128" t="n">
        <v>0</v>
      </c>
      <c r="T940" s="132" t="n">
        <v>0</v>
      </c>
      <c r="U940" s="128" t="n">
        <v>0</v>
      </c>
      <c r="V940" s="128" t="n">
        <v>1</v>
      </c>
      <c r="W940" s="90" t="n">
        <f aca="false">IFERROR(O940/V940,0)</f>
        <v>5000</v>
      </c>
      <c r="X940" s="91" t="n">
        <f aca="false">O940/L940</f>
        <v>0.714285714285714</v>
      </c>
      <c r="Y940" s="92" t="str">
        <f aca="false">IFERROR(VLOOKUP(E:E,'Item Data Support Sheet'!A:J,6,0),0)</f>
        <v>FO017</v>
      </c>
      <c r="Z940" s="93" t="n">
        <f aca="false">IFERROR(VLOOKUP(E:E,'Item Data Support Sheet'!A:O,4,0),0)</f>
        <v>0</v>
      </c>
      <c r="AA940" s="93" t="n">
        <f aca="false">IFERROR(((N940)*(Z940/1000))+P940,0)</f>
        <v>0</v>
      </c>
      <c r="AB940" s="94" t="str">
        <f aca="false">IFERROR((O940*(Z940/1000)/(AA940))," ")</f>
        <v> </v>
      </c>
      <c r="AC940" s="95" t="n">
        <f aca="false">IFERROR((T940)/((T940)+O940),0)</f>
        <v>0</v>
      </c>
      <c r="AD940" s="96" t="n">
        <f aca="false">IFERROR(Q940/(Q940+N940),0)</f>
        <v>0</v>
      </c>
      <c r="AE940" s="91" t="n">
        <f aca="false">(N940-T940)/N940</f>
        <v>1</v>
      </c>
      <c r="AF940" s="97" t="n">
        <f aca="false">BR940</f>
        <v>0.666666666666667</v>
      </c>
      <c r="AG940" s="98" t="n">
        <f aca="false">K940-AF940</f>
        <v>7.33333333333333</v>
      </c>
      <c r="AH940" s="99" t="n">
        <f aca="false">IFERROR(AG940/K940," ")</f>
        <v>0.916666666666667</v>
      </c>
      <c r="AI940" s="100" t="n">
        <f aca="false">IFERROR(O940/K940,0)</f>
        <v>625</v>
      </c>
      <c r="AJ940" s="101" t="n">
        <f aca="false">VLOOKUP(D940,'Standard Cycle time'!C:D,2,0)</f>
        <v>3.5</v>
      </c>
      <c r="AK940" s="101" t="n">
        <f aca="false">AG940*V940*3600/O940</f>
        <v>5.28</v>
      </c>
      <c r="AL940" s="102" t="n">
        <f aca="false">AJ940/AK940</f>
        <v>0.662878787878788</v>
      </c>
      <c r="AM940" s="99" t="n">
        <f aca="false">AE940*AL940*AH940</f>
        <v>0.607638888888889</v>
      </c>
      <c r="AN940" s="103" t="n">
        <v>0.607638888888889</v>
      </c>
      <c r="AO940" s="112" t="s">
        <v>1710</v>
      </c>
      <c r="AP940" s="105" t="n">
        <v>40</v>
      </c>
      <c r="AQ940" s="105" t="n">
        <v>0</v>
      </c>
      <c r="AR940" s="105" t="n">
        <v>0</v>
      </c>
      <c r="AS940" s="105" t="n">
        <v>0</v>
      </c>
      <c r="AT940" s="105" t="n">
        <v>0</v>
      </c>
      <c r="AU940" s="105" t="n">
        <v>0</v>
      </c>
      <c r="AV940" s="105" t="n">
        <v>0</v>
      </c>
      <c r="AW940" s="105" t="n">
        <v>0</v>
      </c>
      <c r="AX940" s="105" t="n">
        <v>0</v>
      </c>
      <c r="AY940" s="105" t="n">
        <v>0</v>
      </c>
      <c r="AZ940" s="105" t="n">
        <v>0</v>
      </c>
      <c r="BA940" s="105" t="n">
        <v>0</v>
      </c>
      <c r="BB940" s="105" t="n">
        <v>0</v>
      </c>
      <c r="BC940" s="105" t="n">
        <v>0</v>
      </c>
      <c r="BD940" s="105" t="n">
        <v>0</v>
      </c>
      <c r="BE940" s="105" t="n">
        <v>0</v>
      </c>
      <c r="BF940" s="105" t="n">
        <v>0</v>
      </c>
      <c r="BG940" s="105" t="n">
        <v>0</v>
      </c>
      <c r="BH940" s="105" t="n">
        <v>0</v>
      </c>
      <c r="BI940" s="105" t="n">
        <v>0</v>
      </c>
      <c r="BJ940" s="105" t="n">
        <v>0</v>
      </c>
      <c r="BK940" s="105" t="n">
        <v>0</v>
      </c>
      <c r="BL940" s="105" t="n">
        <v>0</v>
      </c>
      <c r="BM940" s="105" t="n">
        <v>0</v>
      </c>
      <c r="BN940" s="105" t="n">
        <v>0</v>
      </c>
      <c r="BO940" s="105" t="n">
        <v>0</v>
      </c>
      <c r="BP940" s="105" t="n">
        <v>0</v>
      </c>
      <c r="BQ940" s="105" t="n">
        <v>0</v>
      </c>
      <c r="BR940" s="106" t="n">
        <v>0.666666666666667</v>
      </c>
      <c r="BS940" s="106" t="n">
        <v>0.666666666666667</v>
      </c>
      <c r="BT940" s="107"/>
      <c r="BU940" s="107"/>
      <c r="BV940" s="107"/>
      <c r="BW940" s="107"/>
      <c r="BX940" s="107"/>
      <c r="BY940" s="107"/>
      <c r="BZ940" s="107"/>
      <c r="CA940" s="107"/>
      <c r="CB940" s="107"/>
      <c r="CC940" s="107"/>
      <c r="CD940" s="107"/>
      <c r="CE940" s="107"/>
      <c r="CF940" s="107"/>
      <c r="CG940" s="107"/>
      <c r="CH940" s="107"/>
      <c r="CI940" s="107"/>
      <c r="CJ940" s="107"/>
      <c r="CK940" s="107"/>
      <c r="CL940" s="107"/>
      <c r="CM940" s="107"/>
      <c r="CN940" s="107"/>
      <c r="CO940" s="107"/>
      <c r="CP940" s="107"/>
      <c r="CQ940" s="107"/>
      <c r="CR940" s="107"/>
      <c r="CS940" s="107"/>
      <c r="CT940" s="107"/>
      <c r="CU940" s="107"/>
      <c r="CV940" s="107"/>
    </row>
    <row r="941" customFormat="false" ht="14.9" hidden="false" customHeight="false" outlineLevel="0" collapsed="false">
      <c r="A941" s="74" t="n">
        <f aca="false">MONTH(B941)</f>
        <v>10</v>
      </c>
      <c r="B941" s="135" t="n">
        <v>44487</v>
      </c>
      <c r="C941" s="128" t="s">
        <v>70</v>
      </c>
      <c r="D941" s="77" t="str">
        <f aca="false">IFERROR(VLOOKUP(E:E,'Item Data Support Sheet'!A:O,7,0),"")</f>
        <v>NIPPLE LASER MARKING</v>
      </c>
      <c r="E941" s="80" t="s">
        <v>681</v>
      </c>
      <c r="F941" s="122"/>
      <c r="G941" s="137" t="s">
        <v>517</v>
      </c>
      <c r="H941" s="79" t="str">
        <f aca="false">IFERROR(VLOOKUP(E:E,'Item Data Support Sheet'!A:O,2,0),"")</f>
        <v>NIPPLE S TYPE L SIZE PUNCHED LASER MARKED</v>
      </c>
      <c r="I941" s="80" t="s">
        <v>1711</v>
      </c>
      <c r="J941" s="80" t="s">
        <v>155</v>
      </c>
      <c r="K941" s="124" t="n">
        <v>8</v>
      </c>
      <c r="L941" s="124" t="n">
        <v>7000</v>
      </c>
      <c r="M941" s="83" t="n">
        <v>875</v>
      </c>
      <c r="N941" s="84" t="n">
        <f aca="false">+O941+Q941+T941+U941</f>
        <v>5000</v>
      </c>
      <c r="O941" s="85" t="n">
        <v>5000</v>
      </c>
      <c r="P941" s="86" t="n">
        <v>0</v>
      </c>
      <c r="Q941" s="86" t="n">
        <v>0</v>
      </c>
      <c r="R941" s="132" t="n">
        <v>0</v>
      </c>
      <c r="S941" s="128" t="n">
        <v>0</v>
      </c>
      <c r="T941" s="132" t="n">
        <v>0</v>
      </c>
      <c r="U941" s="128" t="n">
        <v>0</v>
      </c>
      <c r="V941" s="128" t="n">
        <v>1</v>
      </c>
      <c r="W941" s="90" t="n">
        <f aca="false">IFERROR(O941/V941,0)</f>
        <v>5000</v>
      </c>
      <c r="X941" s="91" t="n">
        <f aca="false">O941/L941</f>
        <v>0.714285714285714</v>
      </c>
      <c r="Y941" s="92" t="str">
        <f aca="false">IFERROR(VLOOKUP(E:E,'Item Data Support Sheet'!A:J,6,0),0)</f>
        <v>FO021</v>
      </c>
      <c r="Z941" s="93" t="n">
        <f aca="false">IFERROR(VLOOKUP(E:E,'Item Data Support Sheet'!A:O,4,0),0)</f>
        <v>0</v>
      </c>
      <c r="AA941" s="93" t="n">
        <f aca="false">IFERROR(((N941)*(Z941/1000))+P941,0)</f>
        <v>0</v>
      </c>
      <c r="AB941" s="94" t="str">
        <f aca="false">IFERROR((O941*(Z941/1000)/(AA941))," ")</f>
        <v> </v>
      </c>
      <c r="AC941" s="95" t="n">
        <f aca="false">IFERROR((T941)/((T941)+O941),0)</f>
        <v>0</v>
      </c>
      <c r="AD941" s="96" t="n">
        <f aca="false">IFERROR(Q941/(Q941+N941),0)</f>
        <v>0</v>
      </c>
      <c r="AE941" s="91" t="n">
        <f aca="false">(N941-T941)/N941</f>
        <v>1</v>
      </c>
      <c r="AF941" s="97" t="n">
        <f aca="false">BR941</f>
        <v>1.16666666666667</v>
      </c>
      <c r="AG941" s="98" t="n">
        <f aca="false">K941-AF941</f>
        <v>6.83333333333333</v>
      </c>
      <c r="AH941" s="99" t="n">
        <f aca="false">IFERROR(AG941/K941," ")</f>
        <v>0.854166666666666</v>
      </c>
      <c r="AI941" s="100" t="n">
        <f aca="false">IFERROR(O941/K941,0)</f>
        <v>625</v>
      </c>
      <c r="AJ941" s="101" t="n">
        <f aca="false">VLOOKUP(D941,'Standard Cycle time'!C:D,2,0)</f>
        <v>3.5</v>
      </c>
      <c r="AK941" s="101" t="n">
        <f aca="false">AG941*V941*3600/O941</f>
        <v>4.92</v>
      </c>
      <c r="AL941" s="102" t="n">
        <f aca="false">AJ941/AK941</f>
        <v>0.711382113821138</v>
      </c>
      <c r="AM941" s="99" t="n">
        <f aca="false">AE941*AL941*AH941</f>
        <v>0.607638888888889</v>
      </c>
      <c r="AN941" s="103" t="n">
        <v>0.607638888888889</v>
      </c>
      <c r="AO941" s="112" t="s">
        <v>755</v>
      </c>
      <c r="AP941" s="105" t="n">
        <v>40</v>
      </c>
      <c r="AQ941" s="105" t="n">
        <v>0</v>
      </c>
      <c r="AR941" s="105" t="n">
        <v>0</v>
      </c>
      <c r="AS941" s="105" t="n">
        <v>0</v>
      </c>
      <c r="AT941" s="105" t="n">
        <v>0</v>
      </c>
      <c r="AU941" s="105" t="n">
        <v>0</v>
      </c>
      <c r="AV941" s="105" t="n">
        <v>30</v>
      </c>
      <c r="AW941" s="105" t="n">
        <v>0</v>
      </c>
      <c r="AX941" s="105" t="n">
        <v>0</v>
      </c>
      <c r="AY941" s="105" t="n">
        <v>0</v>
      </c>
      <c r="AZ941" s="105" t="n">
        <v>0</v>
      </c>
      <c r="BA941" s="105" t="n">
        <v>0</v>
      </c>
      <c r="BB941" s="105" t="n">
        <v>0</v>
      </c>
      <c r="BC941" s="105" t="n">
        <v>0</v>
      </c>
      <c r="BD941" s="105" t="n">
        <v>0</v>
      </c>
      <c r="BE941" s="105" t="n">
        <v>0</v>
      </c>
      <c r="BF941" s="105" t="n">
        <v>0</v>
      </c>
      <c r="BG941" s="105" t="n">
        <v>0</v>
      </c>
      <c r="BH941" s="105" t="n">
        <v>0</v>
      </c>
      <c r="BI941" s="105" t="n">
        <v>0</v>
      </c>
      <c r="BJ941" s="105" t="n">
        <v>0</v>
      </c>
      <c r="BK941" s="105" t="n">
        <v>0</v>
      </c>
      <c r="BL941" s="105" t="n">
        <v>0</v>
      </c>
      <c r="BM941" s="105" t="n">
        <v>0</v>
      </c>
      <c r="BN941" s="105" t="n">
        <v>0</v>
      </c>
      <c r="BO941" s="105" t="n">
        <v>0</v>
      </c>
      <c r="BP941" s="105" t="n">
        <v>0</v>
      </c>
      <c r="BQ941" s="105" t="n">
        <v>0</v>
      </c>
      <c r="BR941" s="106" t="n">
        <v>1.16666666666667</v>
      </c>
      <c r="BS941" s="106" t="n">
        <v>1.16666666666667</v>
      </c>
      <c r="BT941" s="107"/>
      <c r="BU941" s="107"/>
      <c r="BV941" s="107"/>
      <c r="BW941" s="107"/>
      <c r="BX941" s="107"/>
      <c r="BY941" s="107"/>
      <c r="BZ941" s="107"/>
      <c r="CA941" s="107"/>
      <c r="CB941" s="107"/>
      <c r="CC941" s="107"/>
      <c r="CD941" s="107"/>
      <c r="CE941" s="107"/>
      <c r="CF941" s="107"/>
      <c r="CG941" s="107"/>
      <c r="CH941" s="107"/>
      <c r="CI941" s="107"/>
      <c r="CJ941" s="107"/>
      <c r="CK941" s="107"/>
      <c r="CL941" s="107"/>
      <c r="CM941" s="107"/>
      <c r="CN941" s="107"/>
      <c r="CO941" s="107"/>
      <c r="CP941" s="107"/>
      <c r="CQ941" s="107"/>
      <c r="CR941" s="107"/>
      <c r="CS941" s="107"/>
      <c r="CT941" s="107"/>
      <c r="CU941" s="107"/>
      <c r="CV941" s="107"/>
    </row>
    <row r="942" customFormat="false" ht="14.9" hidden="false" customHeight="false" outlineLevel="0" collapsed="false">
      <c r="A942" s="74" t="n">
        <f aca="false">MONTH(B942)</f>
        <v>10</v>
      </c>
      <c r="B942" s="135" t="n">
        <v>44487</v>
      </c>
      <c r="C942" s="128" t="s">
        <v>70</v>
      </c>
      <c r="D942" s="77" t="str">
        <f aca="false">IFERROR(VLOOKUP(E:E,'Item Data Support Sheet'!A:O,7,0),"")</f>
        <v>CAP MOLDED</v>
      </c>
      <c r="E942" s="80" t="s">
        <v>453</v>
      </c>
      <c r="F942" s="122"/>
      <c r="G942" s="137" t="s">
        <v>1595</v>
      </c>
      <c r="H942" s="79" t="str">
        <f aca="false">IFERROR(VLOOKUP(E:E,'Item Data Support Sheet'!A:O,2,0),"")</f>
        <v>CAP S TYPE MOLDED WHITE</v>
      </c>
      <c r="I942" s="80" t="s">
        <v>1712</v>
      </c>
      <c r="J942" s="80" t="s">
        <v>155</v>
      </c>
      <c r="K942" s="124" t="n">
        <v>8</v>
      </c>
      <c r="L942" s="124" t="n">
        <v>4137</v>
      </c>
      <c r="M942" s="83" t="n">
        <v>517.125</v>
      </c>
      <c r="N942" s="84" t="n">
        <f aca="false">+O942+Q942+T942+U942</f>
        <v>4404</v>
      </c>
      <c r="O942" s="85" t="n">
        <v>4400</v>
      </c>
      <c r="P942" s="86" t="n">
        <v>0</v>
      </c>
      <c r="Q942" s="86" t="n">
        <v>0</v>
      </c>
      <c r="R942" s="132" t="n">
        <v>0</v>
      </c>
      <c r="S942" s="128" t="n">
        <v>0</v>
      </c>
      <c r="T942" s="132" t="n">
        <v>4</v>
      </c>
      <c r="U942" s="128" t="n">
        <v>0</v>
      </c>
      <c r="V942" s="128" t="n">
        <v>1</v>
      </c>
      <c r="W942" s="90" t="n">
        <f aca="false">IFERROR(O942/V942,0)</f>
        <v>4400</v>
      </c>
      <c r="X942" s="91" t="n">
        <f aca="false">O942/L942</f>
        <v>1.0635726371767</v>
      </c>
      <c r="Y942" s="92" t="str">
        <f aca="false">IFERROR(VLOOKUP(E:E,'Item Data Support Sheet'!A:J,6,0),0)</f>
        <v>RM000106</v>
      </c>
      <c r="Z942" s="93" t="n">
        <f aca="false">IFERROR(VLOOKUP(E:E,'Item Data Support Sheet'!A:O,4,0),0)</f>
        <v>7.3</v>
      </c>
      <c r="AA942" s="93" t="n">
        <f aca="false">IFERROR(((N942)*(Z942/1000))+P942,0)</f>
        <v>32.1492</v>
      </c>
      <c r="AB942" s="94" t="n">
        <f aca="false">IFERROR((O942*(Z942/1000)/(AA942))," ")</f>
        <v>0.999091734786557</v>
      </c>
      <c r="AC942" s="95" t="n">
        <f aca="false">IFERROR((T942)/((T942)+O942),0)</f>
        <v>0.000908265213442325</v>
      </c>
      <c r="AD942" s="96" t="n">
        <f aca="false">IFERROR(Q942/(Q942+N942),0)</f>
        <v>0</v>
      </c>
      <c r="AE942" s="91" t="n">
        <f aca="false">(N942-T942)/N942</f>
        <v>0.999091734786558</v>
      </c>
      <c r="AF942" s="97" t="n">
        <f aca="false">BR942</f>
        <v>0</v>
      </c>
      <c r="AG942" s="98" t="n">
        <f aca="false">K942-AF942</f>
        <v>8</v>
      </c>
      <c r="AH942" s="99" t="n">
        <f aca="false">IFERROR(AG942/K942," ")</f>
        <v>1</v>
      </c>
      <c r="AI942" s="100" t="n">
        <f aca="false">IFERROR(O942/K942,0)</f>
        <v>550</v>
      </c>
      <c r="AJ942" s="101" t="n">
        <f aca="false">VLOOKUP(D942,'Standard Cycle time'!C:D,2,0)</f>
        <v>6</v>
      </c>
      <c r="AK942" s="101" t="n">
        <f aca="false">AG942*V942*3600/O942</f>
        <v>6.54545454545455</v>
      </c>
      <c r="AL942" s="102" t="n">
        <f aca="false">AJ942/AK942</f>
        <v>0.916666666666667</v>
      </c>
      <c r="AM942" s="99" t="n">
        <f aca="false">AE942*AL942*AH942</f>
        <v>0.915834090221011</v>
      </c>
      <c r="AN942" s="103" t="n">
        <v>0.915834090221011</v>
      </c>
      <c r="AO942" s="112"/>
      <c r="AP942" s="105"/>
      <c r="AQ942" s="105" t="n">
        <v>0</v>
      </c>
      <c r="AR942" s="105" t="n">
        <v>0</v>
      </c>
      <c r="AS942" s="105" t="n">
        <v>0</v>
      </c>
      <c r="AT942" s="105" t="n">
        <v>0</v>
      </c>
      <c r="AU942" s="105" t="n">
        <v>0</v>
      </c>
      <c r="AV942" s="105" t="n">
        <v>0</v>
      </c>
      <c r="AW942" s="105" t="n">
        <v>0</v>
      </c>
      <c r="AX942" s="105" t="n">
        <v>0</v>
      </c>
      <c r="AY942" s="105" t="n">
        <v>0</v>
      </c>
      <c r="AZ942" s="105" t="n">
        <v>0</v>
      </c>
      <c r="BA942" s="105" t="n">
        <v>0</v>
      </c>
      <c r="BB942" s="105" t="n">
        <v>0</v>
      </c>
      <c r="BC942" s="105" t="n">
        <v>0</v>
      </c>
      <c r="BD942" s="105" t="n">
        <v>0</v>
      </c>
      <c r="BE942" s="105" t="n">
        <v>0</v>
      </c>
      <c r="BF942" s="105" t="n">
        <v>0</v>
      </c>
      <c r="BG942" s="105" t="n">
        <v>0</v>
      </c>
      <c r="BH942" s="105" t="n">
        <v>0</v>
      </c>
      <c r="BI942" s="105" t="n">
        <v>0</v>
      </c>
      <c r="BJ942" s="105" t="n">
        <v>0</v>
      </c>
      <c r="BK942" s="105" t="n">
        <v>0</v>
      </c>
      <c r="BL942" s="105" t="n">
        <v>0</v>
      </c>
      <c r="BM942" s="105" t="n">
        <v>0</v>
      </c>
      <c r="BN942" s="105" t="n">
        <v>0</v>
      </c>
      <c r="BO942" s="105" t="n">
        <v>0</v>
      </c>
      <c r="BP942" s="105" t="n">
        <v>0</v>
      </c>
      <c r="BQ942" s="105" t="n">
        <v>0</v>
      </c>
      <c r="BR942" s="106" t="n">
        <v>0</v>
      </c>
      <c r="BS942" s="106" t="n">
        <v>0</v>
      </c>
      <c r="BT942" s="107"/>
      <c r="BU942" s="107"/>
      <c r="BV942" s="107"/>
      <c r="BW942" s="107"/>
      <c r="BX942" s="107"/>
      <c r="BY942" s="107"/>
      <c r="BZ942" s="107"/>
      <c r="CA942" s="107"/>
      <c r="CB942" s="107"/>
      <c r="CC942" s="107"/>
      <c r="CD942" s="107"/>
      <c r="CE942" s="107"/>
      <c r="CF942" s="107"/>
      <c r="CG942" s="107"/>
      <c r="CH942" s="107"/>
      <c r="CI942" s="107"/>
      <c r="CJ942" s="107"/>
      <c r="CK942" s="107"/>
      <c r="CL942" s="107"/>
      <c r="CM942" s="107"/>
      <c r="CN942" s="107"/>
      <c r="CO942" s="107"/>
      <c r="CP942" s="107"/>
      <c r="CQ942" s="107"/>
      <c r="CR942" s="107"/>
      <c r="CS942" s="107"/>
      <c r="CT942" s="107"/>
      <c r="CU942" s="107"/>
      <c r="CV942" s="107"/>
    </row>
    <row r="943" customFormat="false" ht="14.9" hidden="false" customHeight="false" outlineLevel="0" collapsed="false">
      <c r="A943" s="74" t="n">
        <f aca="false">MONTH(B943)</f>
        <v>10</v>
      </c>
      <c r="B943" s="135" t="n">
        <v>44487</v>
      </c>
      <c r="C943" s="128" t="s">
        <v>70</v>
      </c>
      <c r="D943" s="77" t="str">
        <f aca="false">IFERROR(VLOOKUP(E:E,'Item Data Support Sheet'!A:O,7,0),"")</f>
        <v>NIPPLE MOLDED</v>
      </c>
      <c r="E943" s="80" t="s">
        <v>136</v>
      </c>
      <c r="F943" s="122" t="s">
        <v>137</v>
      </c>
      <c r="G943" s="137" t="s">
        <v>138</v>
      </c>
      <c r="H943" s="79" t="str">
        <f aca="false">IFERROR(VLOOKUP(E:E,'Item Data Support Sheet'!A:O,2,0),"")</f>
        <v>NIPPLE S TYPE M SIZE INJECTION</v>
      </c>
      <c r="I943" s="80" t="s">
        <v>1713</v>
      </c>
      <c r="J943" s="80" t="s">
        <v>155</v>
      </c>
      <c r="K943" s="124" t="n">
        <v>8</v>
      </c>
      <c r="L943" s="124" t="n">
        <v>4815</v>
      </c>
      <c r="M943" s="83" t="n">
        <v>601.875</v>
      </c>
      <c r="N943" s="84" t="n">
        <f aca="false">+O943+Q943+T943+U943</f>
        <v>3550</v>
      </c>
      <c r="O943" s="85" t="n">
        <v>3400</v>
      </c>
      <c r="P943" s="86" t="n">
        <v>0</v>
      </c>
      <c r="Q943" s="86" t="n">
        <v>82</v>
      </c>
      <c r="R943" s="132" t="n">
        <v>0</v>
      </c>
      <c r="S943" s="128" t="n">
        <v>0</v>
      </c>
      <c r="T943" s="132" t="n">
        <v>68</v>
      </c>
      <c r="U943" s="128" t="n">
        <v>0</v>
      </c>
      <c r="V943" s="128" t="n">
        <v>1</v>
      </c>
      <c r="W943" s="90" t="n">
        <f aca="false">IFERROR(O943/V943,0)</f>
        <v>3400</v>
      </c>
      <c r="X943" s="91" t="n">
        <f aca="false">O943/L943</f>
        <v>0.706126687435099</v>
      </c>
      <c r="Y943" s="92" t="str">
        <f aca="false">IFERROR(VLOOKUP(E:E,'Item Data Support Sheet'!A:J,6,0),0)</f>
        <v>Silicon</v>
      </c>
      <c r="Z943" s="93" t="n">
        <f aca="false">IFERROR(VLOOKUP(E:E,'Item Data Support Sheet'!A:O,4,0),0)</f>
        <v>6.8</v>
      </c>
      <c r="AA943" s="93" t="n">
        <f aca="false">IFERROR(((N943)*(Z943/1000))+P943,0)</f>
        <v>24.14</v>
      </c>
      <c r="AB943" s="94" t="n">
        <f aca="false">IFERROR((O943*(Z943/1000)/(AA943))," ")</f>
        <v>0.957746478873239</v>
      </c>
      <c r="AC943" s="95" t="n">
        <f aca="false">IFERROR((T943)/((T943)+O943),0)</f>
        <v>0.0196078431372549</v>
      </c>
      <c r="AD943" s="96" t="n">
        <f aca="false">IFERROR(Q943/(Q943+N943),0)</f>
        <v>0.0225770925110132</v>
      </c>
      <c r="AE943" s="91" t="n">
        <f aca="false">(N943-T943)/N943</f>
        <v>0.980845070422535</v>
      </c>
      <c r="AF943" s="97" t="n">
        <f aca="false">BR943</f>
        <v>0</v>
      </c>
      <c r="AG943" s="98" t="n">
        <f aca="false">K943-AF943</f>
        <v>8</v>
      </c>
      <c r="AH943" s="99" t="n">
        <f aca="false">IFERROR(AG943/K943," ")</f>
        <v>1</v>
      </c>
      <c r="AI943" s="100" t="n">
        <f aca="false">IFERROR(O943/K943,0)</f>
        <v>425</v>
      </c>
      <c r="AJ943" s="101" t="n">
        <f aca="false">VLOOKUP(D943,'Standard Cycle time'!C:D,2,0)</f>
        <v>5.25</v>
      </c>
      <c r="AK943" s="101" t="n">
        <f aca="false">AG943*V943*3600/O943</f>
        <v>8.47058823529412</v>
      </c>
      <c r="AL943" s="102" t="n">
        <f aca="false">AJ943/AK943</f>
        <v>0.619791666666667</v>
      </c>
      <c r="AM943" s="99" t="n">
        <f aca="false">AE943*AL943*AH943</f>
        <v>0.607919600938967</v>
      </c>
      <c r="AN943" s="103" t="n">
        <v>0.739375</v>
      </c>
      <c r="AO943" s="112" t="s">
        <v>1714</v>
      </c>
      <c r="AP943" s="105"/>
      <c r="AQ943" s="105" t="n">
        <v>0</v>
      </c>
      <c r="AR943" s="105" t="n">
        <v>0</v>
      </c>
      <c r="AS943" s="105" t="n">
        <v>0</v>
      </c>
      <c r="AT943" s="105" t="n">
        <v>0</v>
      </c>
      <c r="AU943" s="105" t="n">
        <v>0</v>
      </c>
      <c r="AV943" s="105" t="n">
        <v>0</v>
      </c>
      <c r="AW943" s="105" t="n">
        <v>0</v>
      </c>
      <c r="AX943" s="105" t="n">
        <v>0</v>
      </c>
      <c r="AY943" s="105" t="n">
        <v>0</v>
      </c>
      <c r="AZ943" s="105" t="n">
        <v>0</v>
      </c>
      <c r="BA943" s="105" t="n">
        <v>0</v>
      </c>
      <c r="BB943" s="105" t="n">
        <v>0</v>
      </c>
      <c r="BC943" s="105" t="n">
        <v>0</v>
      </c>
      <c r="BD943" s="105" t="n">
        <v>0</v>
      </c>
      <c r="BE943" s="105" t="n">
        <v>0</v>
      </c>
      <c r="BF943" s="105" t="n">
        <v>0</v>
      </c>
      <c r="BG943" s="105" t="n">
        <v>0</v>
      </c>
      <c r="BH943" s="105" t="n">
        <v>0</v>
      </c>
      <c r="BI943" s="105" t="n">
        <v>0</v>
      </c>
      <c r="BJ943" s="105" t="n">
        <v>0</v>
      </c>
      <c r="BK943" s="105" t="n">
        <v>0</v>
      </c>
      <c r="BL943" s="105" t="n">
        <v>0</v>
      </c>
      <c r="BM943" s="105" t="n">
        <v>0</v>
      </c>
      <c r="BN943" s="105" t="n">
        <v>0</v>
      </c>
      <c r="BO943" s="105" t="n">
        <v>0</v>
      </c>
      <c r="BP943" s="105" t="n">
        <v>0</v>
      </c>
      <c r="BQ943" s="105" t="n">
        <v>0</v>
      </c>
      <c r="BR943" s="106" t="n">
        <v>0</v>
      </c>
      <c r="BS943" s="106" t="n">
        <v>0</v>
      </c>
      <c r="BT943" s="107"/>
      <c r="BU943" s="107"/>
      <c r="BV943" s="107"/>
      <c r="BW943" s="107"/>
      <c r="BX943" s="107"/>
      <c r="BY943" s="107"/>
      <c r="BZ943" s="107"/>
      <c r="CA943" s="107"/>
      <c r="CB943" s="107"/>
      <c r="CC943" s="107"/>
      <c r="CD943" s="107"/>
      <c r="CE943" s="107"/>
      <c r="CF943" s="107"/>
      <c r="CG943" s="107"/>
      <c r="CH943" s="107"/>
      <c r="CI943" s="107"/>
      <c r="CJ943" s="107"/>
      <c r="CK943" s="107"/>
      <c r="CL943" s="107"/>
      <c r="CM943" s="107"/>
      <c r="CN943" s="107"/>
      <c r="CO943" s="107"/>
      <c r="CP943" s="107"/>
      <c r="CQ943" s="107"/>
      <c r="CR943" s="107"/>
      <c r="CS943" s="107"/>
      <c r="CT943" s="107"/>
      <c r="CU943" s="107"/>
      <c r="CV943" s="107"/>
    </row>
    <row r="944" customFormat="false" ht="14.9" hidden="false" customHeight="false" outlineLevel="0" collapsed="false">
      <c r="A944" s="74" t="n">
        <f aca="false">MONTH(B944)</f>
        <v>10</v>
      </c>
      <c r="B944" s="135" t="n">
        <v>44487</v>
      </c>
      <c r="C944" s="128" t="s">
        <v>152</v>
      </c>
      <c r="D944" s="77" t="str">
        <f aca="false">IFERROR(VLOOKUP(E:E,'Item Data Support Sheet'!A:O,7,0),"")</f>
        <v>NIPPLE PUNCH</v>
      </c>
      <c r="E944" s="80" t="s">
        <v>666</v>
      </c>
      <c r="F944" s="122"/>
      <c r="G944" s="137" t="s">
        <v>54</v>
      </c>
      <c r="H944" s="79" t="str">
        <f aca="false">IFERROR(VLOOKUP(E:E,'Item Data Support Sheet'!A:O,2,0),"")</f>
        <v>NIPPLE S TYPE L SIZE PUNCHED</v>
      </c>
      <c r="I944" s="80" t="s">
        <v>1715</v>
      </c>
      <c r="J944" s="80" t="s">
        <v>143</v>
      </c>
      <c r="K944" s="124" t="n">
        <v>2</v>
      </c>
      <c r="L944" s="124" t="n">
        <v>1000</v>
      </c>
      <c r="M944" s="83" t="n">
        <v>500</v>
      </c>
      <c r="N944" s="84" t="n">
        <f aca="false">+O944+Q944+T944+U944</f>
        <v>1000</v>
      </c>
      <c r="O944" s="85" t="n">
        <v>1000</v>
      </c>
      <c r="P944" s="86" t="n">
        <v>0</v>
      </c>
      <c r="Q944" s="86" t="n">
        <v>0</v>
      </c>
      <c r="R944" s="132" t="n">
        <v>0</v>
      </c>
      <c r="S944" s="128" t="n">
        <v>0</v>
      </c>
      <c r="T944" s="132" t="n">
        <v>0</v>
      </c>
      <c r="U944" s="128" t="n">
        <v>0</v>
      </c>
      <c r="V944" s="128" t="n">
        <v>1</v>
      </c>
      <c r="W944" s="90" t="n">
        <f aca="false">IFERROR(O944/V944,0)</f>
        <v>1000</v>
      </c>
      <c r="X944" s="91" t="n">
        <f aca="false">O944/L944</f>
        <v>1</v>
      </c>
      <c r="Y944" s="92" t="str">
        <f aca="false">IFERROR(VLOOKUP(E:E,'Item Data Support Sheet'!A:J,6,0),0)</f>
        <v>FO017</v>
      </c>
      <c r="Z944" s="93" t="n">
        <f aca="false">IFERROR(VLOOKUP(E:E,'Item Data Support Sheet'!A:O,4,0),0)</f>
        <v>0</v>
      </c>
      <c r="AA944" s="93" t="n">
        <f aca="false">IFERROR(((N944)*(Z944/1000))+P944,0)</f>
        <v>0</v>
      </c>
      <c r="AB944" s="94" t="str">
        <f aca="false">IFERROR((O944*(Z944/1000)/(AA944))," ")</f>
        <v> </v>
      </c>
      <c r="AC944" s="95" t="n">
        <f aca="false">IFERROR((T944)/((T944)+O944),0)</f>
        <v>0</v>
      </c>
      <c r="AD944" s="96" t="n">
        <f aca="false">IFERROR(Q944/(Q944+N944),0)</f>
        <v>0</v>
      </c>
      <c r="AE944" s="91" t="n">
        <f aca="false">(N944-T944)/N944</f>
        <v>1</v>
      </c>
      <c r="AF944" s="97" t="n">
        <f aca="false">BR944</f>
        <v>1.16666666666667</v>
      </c>
      <c r="AG944" s="98" t="n">
        <f aca="false">K944-AF944</f>
        <v>0.83333333333333</v>
      </c>
      <c r="AH944" s="99" t="n">
        <f aca="false">IFERROR(AG944/K944," ")</f>
        <v>0.416666666666665</v>
      </c>
      <c r="AI944" s="100" t="n">
        <f aca="false">IFERROR(O944/K944,0)</f>
        <v>500</v>
      </c>
      <c r="AJ944" s="101" t="n">
        <f aca="false">VLOOKUP(D944,'Standard Cycle time'!C:D,2,0)</f>
        <v>3.5</v>
      </c>
      <c r="AK944" s="101" t="n">
        <f aca="false">AG944*V944*3600/O944</f>
        <v>2.99999999999999</v>
      </c>
      <c r="AL944" s="102" t="n">
        <f aca="false">AJ944/AK944</f>
        <v>1.16666666666667</v>
      </c>
      <c r="AM944" s="99" t="n">
        <f aca="false">AE944*AL944*AH944</f>
        <v>0.486111111111111</v>
      </c>
      <c r="AN944" s="103" t="n">
        <v>0.486111111111111</v>
      </c>
      <c r="AO944" s="112" t="s">
        <v>1716</v>
      </c>
      <c r="AP944" s="105" t="n">
        <v>40</v>
      </c>
      <c r="AQ944" s="105" t="n">
        <v>0</v>
      </c>
      <c r="AR944" s="105" t="n">
        <v>0</v>
      </c>
      <c r="AS944" s="105" t="n">
        <v>30</v>
      </c>
      <c r="AT944" s="105" t="n">
        <v>0</v>
      </c>
      <c r="AU944" s="105" t="n">
        <v>0</v>
      </c>
      <c r="AV944" s="105" t="n">
        <v>0</v>
      </c>
      <c r="AW944" s="105" t="n">
        <v>0</v>
      </c>
      <c r="AX944" s="105" t="n">
        <v>0</v>
      </c>
      <c r="AY944" s="105" t="n">
        <v>0</v>
      </c>
      <c r="AZ944" s="105" t="n">
        <v>0</v>
      </c>
      <c r="BA944" s="105" t="n">
        <v>0</v>
      </c>
      <c r="BB944" s="105" t="n">
        <v>0</v>
      </c>
      <c r="BC944" s="105" t="n">
        <v>0</v>
      </c>
      <c r="BD944" s="105" t="n">
        <v>0</v>
      </c>
      <c r="BE944" s="105" t="n">
        <v>0</v>
      </c>
      <c r="BF944" s="105" t="n">
        <v>0</v>
      </c>
      <c r="BG944" s="105" t="n">
        <v>0</v>
      </c>
      <c r="BH944" s="105" t="n">
        <v>0</v>
      </c>
      <c r="BI944" s="105" t="n">
        <v>0</v>
      </c>
      <c r="BJ944" s="105" t="n">
        <v>0</v>
      </c>
      <c r="BK944" s="105" t="n">
        <v>0</v>
      </c>
      <c r="BL944" s="105" t="n">
        <v>0</v>
      </c>
      <c r="BM944" s="105" t="n">
        <v>0</v>
      </c>
      <c r="BN944" s="105" t="n">
        <v>0</v>
      </c>
      <c r="BO944" s="105" t="n">
        <v>0</v>
      </c>
      <c r="BP944" s="105" t="n">
        <v>0</v>
      </c>
      <c r="BQ944" s="105" t="n">
        <v>0</v>
      </c>
      <c r="BR944" s="106" t="n">
        <v>1.16666666666667</v>
      </c>
      <c r="BS944" s="106" t="n">
        <v>1.16666666666667</v>
      </c>
      <c r="BT944" s="107"/>
      <c r="BU944" s="107"/>
      <c r="BV944" s="107"/>
      <c r="BW944" s="107"/>
      <c r="BX944" s="107"/>
      <c r="BY944" s="107"/>
      <c r="BZ944" s="107"/>
      <c r="CA944" s="107"/>
      <c r="CB944" s="107"/>
      <c r="CC944" s="107"/>
      <c r="CD944" s="107"/>
      <c r="CE944" s="107"/>
      <c r="CF944" s="107"/>
      <c r="CG944" s="107"/>
      <c r="CH944" s="107"/>
      <c r="CI944" s="107"/>
      <c r="CJ944" s="107"/>
      <c r="CK944" s="107"/>
      <c r="CL944" s="107"/>
      <c r="CM944" s="107"/>
      <c r="CN944" s="107"/>
      <c r="CO944" s="107"/>
      <c r="CP944" s="107"/>
      <c r="CQ944" s="107"/>
      <c r="CR944" s="107"/>
      <c r="CS944" s="107"/>
      <c r="CT944" s="107"/>
      <c r="CU944" s="107"/>
      <c r="CV944" s="107"/>
    </row>
    <row r="945" customFormat="false" ht="14.9" hidden="false" customHeight="false" outlineLevel="0" collapsed="false">
      <c r="A945" s="74" t="n">
        <f aca="false">MONTH(B945)</f>
        <v>10</v>
      </c>
      <c r="B945" s="135" t="n">
        <v>44487</v>
      </c>
      <c r="C945" s="128" t="s">
        <v>152</v>
      </c>
      <c r="D945" s="77" t="str">
        <f aca="false">IFERROR(VLOOKUP(E:E,'Item Data Support Sheet'!A:O,7,0),"")</f>
        <v>NIPPLE MOLDED</v>
      </c>
      <c r="E945" s="80" t="s">
        <v>136</v>
      </c>
      <c r="F945" s="122" t="s">
        <v>137</v>
      </c>
      <c r="G945" s="137" t="s">
        <v>138</v>
      </c>
      <c r="H945" s="79" t="str">
        <f aca="false">IFERROR(VLOOKUP(E:E,'Item Data Support Sheet'!A:O,2,0),"")</f>
        <v>NIPPLE S TYPE M SIZE INJECTION</v>
      </c>
      <c r="I945" s="80" t="s">
        <v>1717</v>
      </c>
      <c r="J945" s="80" t="s">
        <v>143</v>
      </c>
      <c r="K945" s="124" t="n">
        <v>8</v>
      </c>
      <c r="L945" s="124" t="n">
        <v>4815</v>
      </c>
      <c r="M945" s="83" t="n">
        <v>601.875</v>
      </c>
      <c r="N945" s="84" t="n">
        <f aca="false">+O945+Q945+T945+U945</f>
        <v>2988</v>
      </c>
      <c r="O945" s="85" t="n">
        <v>2800</v>
      </c>
      <c r="P945" s="86" t="n">
        <v>0</v>
      </c>
      <c r="Q945" s="86" t="n">
        <v>110</v>
      </c>
      <c r="R945" s="132" t="n">
        <v>0</v>
      </c>
      <c r="S945" s="128" t="n">
        <v>0</v>
      </c>
      <c r="T945" s="132" t="n">
        <v>70</v>
      </c>
      <c r="U945" s="128" t="n">
        <v>8</v>
      </c>
      <c r="V945" s="128" t="n">
        <v>1</v>
      </c>
      <c r="W945" s="90" t="n">
        <f aca="false">IFERROR(O945/V945,0)</f>
        <v>2800</v>
      </c>
      <c r="X945" s="91" t="n">
        <f aca="false">O945/L945</f>
        <v>0.581516095534787</v>
      </c>
      <c r="Y945" s="92" t="str">
        <f aca="false">IFERROR(VLOOKUP(E:E,'Item Data Support Sheet'!A:J,6,0),0)</f>
        <v>Silicon</v>
      </c>
      <c r="Z945" s="93" t="n">
        <f aca="false">IFERROR(VLOOKUP(E:E,'Item Data Support Sheet'!A:O,4,0),0)</f>
        <v>6.8</v>
      </c>
      <c r="AA945" s="93" t="n">
        <f aca="false">IFERROR(((N945)*(Z945/1000))+P945,0)</f>
        <v>20.3184</v>
      </c>
      <c r="AB945" s="94" t="n">
        <f aca="false">IFERROR((O945*(Z945/1000)/(AA945))," ")</f>
        <v>0.937081659973226</v>
      </c>
      <c r="AC945" s="95" t="n">
        <f aca="false">IFERROR((T945)/((T945)+O945),0)</f>
        <v>0.024390243902439</v>
      </c>
      <c r="AD945" s="96" t="n">
        <f aca="false">IFERROR(Q945/(Q945+N945),0)</f>
        <v>0.0355067785668173</v>
      </c>
      <c r="AE945" s="91" t="n">
        <f aca="false">(N945-T945)/N945</f>
        <v>0.976572958500669</v>
      </c>
      <c r="AF945" s="97" t="n">
        <f aca="false">BR945</f>
        <v>3.83333333333333</v>
      </c>
      <c r="AG945" s="98" t="n">
        <f aca="false">K945-AF945</f>
        <v>4.16666666666667</v>
      </c>
      <c r="AH945" s="99" t="n">
        <f aca="false">IFERROR(AG945/K945," ")</f>
        <v>0.520833333333334</v>
      </c>
      <c r="AI945" s="100" t="n">
        <f aca="false">IFERROR(O945/K945,0)</f>
        <v>350</v>
      </c>
      <c r="AJ945" s="101" t="n">
        <f aca="false">VLOOKUP(D945,'Standard Cycle time'!C:D,2,0)</f>
        <v>5.25</v>
      </c>
      <c r="AK945" s="101" t="n">
        <f aca="false">AG945*V945*3600/O945</f>
        <v>5.35714285714286</v>
      </c>
      <c r="AL945" s="102" t="n">
        <f aca="false">AJ945/AK945</f>
        <v>0.979999999999999</v>
      </c>
      <c r="AM945" s="99" t="n">
        <f aca="false">AE945*AL945*AH945</f>
        <v>0.498459114234717</v>
      </c>
      <c r="AN945" s="103" t="n">
        <v>0.498459114234717</v>
      </c>
      <c r="AO945" s="112" t="s">
        <v>1718</v>
      </c>
      <c r="AP945" s="105" t="n">
        <v>0</v>
      </c>
      <c r="AQ945" s="105" t="n">
        <v>0</v>
      </c>
      <c r="AR945" s="105" t="n">
        <v>0</v>
      </c>
      <c r="AS945" s="105" t="n">
        <v>0</v>
      </c>
      <c r="AT945" s="105" t="n">
        <v>0</v>
      </c>
      <c r="AU945" s="105" t="n">
        <v>90</v>
      </c>
      <c r="AV945" s="105" t="n">
        <v>0</v>
      </c>
      <c r="AW945" s="105" t="n">
        <v>40</v>
      </c>
      <c r="AX945" s="105" t="n">
        <v>0</v>
      </c>
      <c r="AY945" s="105" t="n">
        <v>0</v>
      </c>
      <c r="AZ945" s="105" t="n">
        <v>0</v>
      </c>
      <c r="BA945" s="105" t="n">
        <v>0</v>
      </c>
      <c r="BB945" s="105" t="n">
        <v>0</v>
      </c>
      <c r="BC945" s="105" t="n">
        <v>0</v>
      </c>
      <c r="BD945" s="105" t="n">
        <v>0</v>
      </c>
      <c r="BE945" s="105" t="n">
        <v>0</v>
      </c>
      <c r="BF945" s="105" t="n">
        <v>0</v>
      </c>
      <c r="BG945" s="105" t="n">
        <v>0</v>
      </c>
      <c r="BH945" s="105" t="n">
        <v>0</v>
      </c>
      <c r="BI945" s="105" t="n">
        <v>0</v>
      </c>
      <c r="BJ945" s="105" t="n">
        <v>0</v>
      </c>
      <c r="BK945" s="105" t="n">
        <v>100</v>
      </c>
      <c r="BL945" s="105" t="n">
        <v>0</v>
      </c>
      <c r="BM945" s="105" t="n">
        <v>0</v>
      </c>
      <c r="BN945" s="105" t="n">
        <v>0</v>
      </c>
      <c r="BO945" s="105" t="n">
        <v>0</v>
      </c>
      <c r="BP945" s="105" t="n">
        <v>0</v>
      </c>
      <c r="BQ945" s="105" t="n">
        <v>0</v>
      </c>
      <c r="BR945" s="106" t="n">
        <v>3.83333333333333</v>
      </c>
      <c r="BS945" s="106" t="n">
        <v>3.83333333333333</v>
      </c>
      <c r="BT945" s="107"/>
      <c r="BU945" s="107"/>
      <c r="BV945" s="107"/>
      <c r="BW945" s="107"/>
      <c r="BX945" s="107"/>
      <c r="BY945" s="107"/>
      <c r="BZ945" s="107"/>
      <c r="CA945" s="107"/>
      <c r="CB945" s="107"/>
      <c r="CC945" s="107"/>
      <c r="CD945" s="107"/>
      <c r="CE945" s="107"/>
      <c r="CF945" s="107"/>
      <c r="CG945" s="107"/>
      <c r="CH945" s="107"/>
      <c r="CI945" s="107"/>
      <c r="CJ945" s="107"/>
      <c r="CK945" s="107"/>
      <c r="CL945" s="107"/>
      <c r="CM945" s="107"/>
      <c r="CN945" s="107"/>
      <c r="CO945" s="107"/>
      <c r="CP945" s="107"/>
      <c r="CQ945" s="107"/>
      <c r="CR945" s="107"/>
      <c r="CS945" s="107"/>
      <c r="CT945" s="107"/>
      <c r="CU945" s="107"/>
      <c r="CV945" s="107"/>
    </row>
    <row r="946" customFormat="false" ht="14.9" hidden="false" customHeight="false" outlineLevel="0" collapsed="false">
      <c r="A946" s="74" t="n">
        <f aca="false">MONTH(B946)</f>
        <v>10</v>
      </c>
      <c r="B946" s="135" t="n">
        <v>44487</v>
      </c>
      <c r="C946" s="128" t="s">
        <v>152</v>
      </c>
      <c r="D946" s="77" t="str">
        <f aca="false">IFERROR(VLOOKUP(E:E,'Item Data Support Sheet'!A:O,7,0),"")</f>
        <v>CAP MOLDED</v>
      </c>
      <c r="E946" s="80" t="s">
        <v>453</v>
      </c>
      <c r="F946" s="122"/>
      <c r="G946" s="137" t="s">
        <v>1215</v>
      </c>
      <c r="H946" s="79" t="str">
        <f aca="false">IFERROR(VLOOKUP(E:E,'Item Data Support Sheet'!A:O,2,0),"")</f>
        <v>CAP S TYPE MOLDED WHITE</v>
      </c>
      <c r="I946" s="80" t="s">
        <v>1719</v>
      </c>
      <c r="J946" s="80" t="s">
        <v>143</v>
      </c>
      <c r="K946" s="124" t="n">
        <v>8</v>
      </c>
      <c r="L946" s="124" t="n">
        <v>4137</v>
      </c>
      <c r="M946" s="83" t="n">
        <v>517.125</v>
      </c>
      <c r="N946" s="84" t="n">
        <f aca="false">+O946+Q946+T946+U946</f>
        <v>4310</v>
      </c>
      <c r="O946" s="85" t="n">
        <v>4300</v>
      </c>
      <c r="P946" s="86" t="n">
        <v>0</v>
      </c>
      <c r="Q946" s="86" t="n">
        <v>0</v>
      </c>
      <c r="R946" s="132" t="n">
        <v>0</v>
      </c>
      <c r="S946" s="128" t="n">
        <v>0</v>
      </c>
      <c r="T946" s="132" t="n">
        <v>2</v>
      </c>
      <c r="U946" s="128" t="n">
        <v>8</v>
      </c>
      <c r="V946" s="128" t="n">
        <v>1</v>
      </c>
      <c r="W946" s="90" t="n">
        <f aca="false">IFERROR(O946/V946,0)</f>
        <v>4300</v>
      </c>
      <c r="X946" s="91" t="n">
        <f aca="false">O946/L946</f>
        <v>1.03940053178632</v>
      </c>
      <c r="Y946" s="92" t="str">
        <f aca="false">IFERROR(VLOOKUP(E:E,'Item Data Support Sheet'!A:J,6,0),0)</f>
        <v>RM000106</v>
      </c>
      <c r="Z946" s="93" t="n">
        <f aca="false">IFERROR(VLOOKUP(E:E,'Item Data Support Sheet'!A:O,4,0),0)</f>
        <v>7.3</v>
      </c>
      <c r="AA946" s="93" t="n">
        <f aca="false">IFERROR(((N946)*(Z946/1000))+P946,0)</f>
        <v>31.463</v>
      </c>
      <c r="AB946" s="94" t="n">
        <f aca="false">IFERROR((O946*(Z946/1000)/(AA946))," ")</f>
        <v>0.997679814385151</v>
      </c>
      <c r="AC946" s="95" t="n">
        <f aca="false">IFERROR((T946)/((T946)+O946),0)</f>
        <v>0.000464900046490005</v>
      </c>
      <c r="AD946" s="96" t="n">
        <f aca="false">IFERROR(Q946/(Q946+N946),0)</f>
        <v>0</v>
      </c>
      <c r="AE946" s="91" t="n">
        <f aca="false">(N946-T946)/N946</f>
        <v>0.99953596287703</v>
      </c>
      <c r="AF946" s="97" t="n">
        <f aca="false">BR946</f>
        <v>0.833333333333333</v>
      </c>
      <c r="AG946" s="98" t="n">
        <f aca="false">K946-AF946</f>
        <v>7.16666666666667</v>
      </c>
      <c r="AH946" s="99" t="n">
        <f aca="false">IFERROR(AG946/K946," ")</f>
        <v>0.895833333333333</v>
      </c>
      <c r="AI946" s="100" t="n">
        <f aca="false">IFERROR(O946/K946,0)</f>
        <v>537.5</v>
      </c>
      <c r="AJ946" s="101" t="n">
        <f aca="false">VLOOKUP(D946,'Standard Cycle time'!C:D,2,0)</f>
        <v>6</v>
      </c>
      <c r="AK946" s="101" t="n">
        <f aca="false">AG946*V946*3600/O946</f>
        <v>6</v>
      </c>
      <c r="AL946" s="102" t="n">
        <f aca="false">AJ946/AK946</f>
        <v>1</v>
      </c>
      <c r="AM946" s="99" t="n">
        <f aca="false">AE946*AL946*AH946</f>
        <v>0.895417633410673</v>
      </c>
      <c r="AN946" s="103" t="n">
        <v>0.895417633410673</v>
      </c>
      <c r="AO946" s="112"/>
      <c r="AP946" s="105" t="n">
        <v>0</v>
      </c>
      <c r="AQ946" s="105" t="n">
        <v>0</v>
      </c>
      <c r="AR946" s="105" t="n">
        <v>0</v>
      </c>
      <c r="AS946" s="105" t="n">
        <v>0</v>
      </c>
      <c r="AT946" s="105" t="n">
        <v>0</v>
      </c>
      <c r="AU946" s="105" t="n">
        <v>0</v>
      </c>
      <c r="AV946" s="105" t="n">
        <v>30</v>
      </c>
      <c r="AW946" s="105" t="n">
        <v>20</v>
      </c>
      <c r="AX946" s="105" t="n">
        <v>0</v>
      </c>
      <c r="AY946" s="105" t="n">
        <v>0</v>
      </c>
      <c r="AZ946" s="105" t="n">
        <v>0</v>
      </c>
      <c r="BA946" s="105" t="n">
        <v>0</v>
      </c>
      <c r="BB946" s="105" t="n">
        <v>0</v>
      </c>
      <c r="BC946" s="105" t="n">
        <v>0</v>
      </c>
      <c r="BD946" s="105" t="n">
        <v>0</v>
      </c>
      <c r="BE946" s="105" t="n">
        <v>0</v>
      </c>
      <c r="BF946" s="105" t="n">
        <v>0</v>
      </c>
      <c r="BG946" s="105" t="n">
        <v>0</v>
      </c>
      <c r="BH946" s="105" t="n">
        <v>0</v>
      </c>
      <c r="BI946" s="105" t="n">
        <v>0</v>
      </c>
      <c r="BJ946" s="105" t="n">
        <v>0</v>
      </c>
      <c r="BK946" s="105" t="n">
        <v>0</v>
      </c>
      <c r="BL946" s="105" t="n">
        <v>0</v>
      </c>
      <c r="BM946" s="105" t="n">
        <v>0</v>
      </c>
      <c r="BN946" s="105" t="n">
        <v>0</v>
      </c>
      <c r="BO946" s="105" t="n">
        <v>0</v>
      </c>
      <c r="BP946" s="105" t="n">
        <v>0</v>
      </c>
      <c r="BQ946" s="105" t="n">
        <v>0</v>
      </c>
      <c r="BR946" s="106" t="n">
        <v>0.833333333333333</v>
      </c>
      <c r="BS946" s="106" t="n">
        <v>0.833333333333333</v>
      </c>
      <c r="BT946" s="107"/>
      <c r="BU946" s="107"/>
      <c r="BV946" s="107"/>
      <c r="BW946" s="107"/>
      <c r="BX946" s="107"/>
      <c r="BY946" s="107"/>
      <c r="BZ946" s="107"/>
      <c r="CA946" s="107"/>
      <c r="CB946" s="107"/>
      <c r="CC946" s="107"/>
      <c r="CD946" s="107"/>
      <c r="CE946" s="107"/>
      <c r="CF946" s="107"/>
      <c r="CG946" s="107"/>
      <c r="CH946" s="107"/>
      <c r="CI946" s="107"/>
      <c r="CJ946" s="107"/>
      <c r="CK946" s="107"/>
      <c r="CL946" s="107"/>
      <c r="CM946" s="107"/>
      <c r="CN946" s="107"/>
      <c r="CO946" s="107"/>
      <c r="CP946" s="107"/>
      <c r="CQ946" s="107"/>
      <c r="CR946" s="107"/>
      <c r="CS946" s="107"/>
      <c r="CT946" s="107"/>
      <c r="CU946" s="107"/>
      <c r="CV946" s="107"/>
    </row>
    <row r="947" customFormat="false" ht="14.9" hidden="false" customHeight="false" outlineLevel="0" collapsed="false">
      <c r="A947" s="74" t="n">
        <f aca="false">MONTH(B947)</f>
        <v>10</v>
      </c>
      <c r="B947" s="135" t="n">
        <v>44487</v>
      </c>
      <c r="C947" s="128" t="s">
        <v>70</v>
      </c>
      <c r="D947" s="77" t="str">
        <f aca="false">IFERROR(VLOOKUP(E:E,'Item Data Support Sheet'!A:O,7,0),"")</f>
        <v>BOTTLE PRINTED</v>
      </c>
      <c r="E947" s="80" t="s">
        <v>229</v>
      </c>
      <c r="F947" s="122"/>
      <c r="G947" s="137"/>
      <c r="H947" s="79" t="str">
        <f aca="false">IFERROR(VLOOKUP(E:E,'Item Data Support Sheet'!A:O,2,0),"")</f>
        <v>KPP BOTTLE 200 ML PRINTED-WMG3B</v>
      </c>
      <c r="I947" s="80" t="s">
        <v>1720</v>
      </c>
      <c r="J947" s="80" t="s">
        <v>161</v>
      </c>
      <c r="K947" s="124" t="n">
        <v>8</v>
      </c>
      <c r="L947" s="124" t="n">
        <v>5134</v>
      </c>
      <c r="M947" s="83" t="n">
        <v>641.75</v>
      </c>
      <c r="N947" s="84" t="n">
        <f aca="false">+O947+Q947+T947+U947</f>
        <v>4356</v>
      </c>
      <c r="O947" s="85" t="n">
        <v>4312</v>
      </c>
      <c r="P947" s="86" t="n">
        <v>0</v>
      </c>
      <c r="Q947" s="86" t="n">
        <v>0</v>
      </c>
      <c r="R947" s="132" t="n">
        <v>41</v>
      </c>
      <c r="S947" s="128" t="n">
        <v>0</v>
      </c>
      <c r="T947" s="132" t="n">
        <v>44</v>
      </c>
      <c r="U947" s="128" t="n">
        <v>0</v>
      </c>
      <c r="V947" s="128" t="n">
        <v>5</v>
      </c>
      <c r="W947" s="90" t="n">
        <f aca="false">IFERROR(O947/V947,0)</f>
        <v>862.4</v>
      </c>
      <c r="X947" s="91" t="n">
        <f aca="false">O947/L947</f>
        <v>0.83989092325672</v>
      </c>
      <c r="Y947" s="92" t="str">
        <f aca="false">IFERROR(VLOOKUP(E:E,'Item Data Support Sheet'!A:J,6,0),0)</f>
        <v>FO043</v>
      </c>
      <c r="Z947" s="93" t="n">
        <f aca="false">IFERROR(VLOOKUP(E:E,'Item Data Support Sheet'!A:O,4,0),0)</f>
        <v>0</v>
      </c>
      <c r="AA947" s="93" t="n">
        <f aca="false">IFERROR(((N947)*(Z947/1000))+P947,0)</f>
        <v>0</v>
      </c>
      <c r="AB947" s="94" t="str">
        <f aca="false">IFERROR((O947*(Z947/1000)/(AA947))," ")</f>
        <v> </v>
      </c>
      <c r="AC947" s="95" t="n">
        <f aca="false">IFERROR((T947)/((T947)+O947),0)</f>
        <v>0.0101010101010101</v>
      </c>
      <c r="AD947" s="96" t="n">
        <f aca="false">IFERROR(Q947/(Q947+N947),0)</f>
        <v>0</v>
      </c>
      <c r="AE947" s="91" t="n">
        <f aca="false">(N947-T947)/N947</f>
        <v>0.98989898989899</v>
      </c>
      <c r="AF947" s="97" t="n">
        <f aca="false">BR947</f>
        <v>0.666666666666667</v>
      </c>
      <c r="AG947" s="98" t="n">
        <f aca="false">K947-AF947</f>
        <v>7.33333333333333</v>
      </c>
      <c r="AH947" s="99" t="n">
        <f aca="false">IFERROR(AG947/K947," ")</f>
        <v>0.916666666666667</v>
      </c>
      <c r="AI947" s="100" t="n">
        <f aca="false">IFERROR(O947/K947,0)</f>
        <v>539</v>
      </c>
      <c r="AJ947" s="101" t="n">
        <f aca="false">VLOOKUP(D947,'Standard Cycle time'!C:D,2,0)</f>
        <v>32.4</v>
      </c>
      <c r="AK947" s="101" t="n">
        <f aca="false">AG947*V947*3600/O947</f>
        <v>30.6122448979592</v>
      </c>
      <c r="AL947" s="102" t="n">
        <f aca="false">AJ947/AK947</f>
        <v>1.0584</v>
      </c>
      <c r="AM947" s="99" t="n">
        <f aca="false">AE947*AL947*AH947</f>
        <v>0.9604</v>
      </c>
      <c r="AN947" s="103" t="n">
        <v>0.9604</v>
      </c>
      <c r="AO947" s="112" t="s">
        <v>1721</v>
      </c>
      <c r="AP947" s="105" t="n">
        <v>0</v>
      </c>
      <c r="AQ947" s="105" t="n">
        <v>0</v>
      </c>
      <c r="AR947" s="105" t="n">
        <v>0</v>
      </c>
      <c r="AS947" s="105" t="n">
        <v>0</v>
      </c>
      <c r="AT947" s="105" t="n">
        <v>40</v>
      </c>
      <c r="AU947" s="105" t="n">
        <v>0</v>
      </c>
      <c r="AV947" s="105" t="n">
        <v>0</v>
      </c>
      <c r="AW947" s="105" t="n">
        <v>0</v>
      </c>
      <c r="AX947" s="105" t="n">
        <v>0</v>
      </c>
      <c r="AY947" s="105" t="n">
        <v>0</v>
      </c>
      <c r="AZ947" s="105" t="n">
        <v>0</v>
      </c>
      <c r="BA947" s="105" t="n">
        <v>0</v>
      </c>
      <c r="BB947" s="105" t="n">
        <v>0</v>
      </c>
      <c r="BC947" s="105" t="n">
        <v>0</v>
      </c>
      <c r="BD947" s="105" t="n">
        <v>0</v>
      </c>
      <c r="BE947" s="105" t="n">
        <v>0</v>
      </c>
      <c r="BF947" s="105" t="n">
        <v>0</v>
      </c>
      <c r="BG947" s="105" t="n">
        <v>0</v>
      </c>
      <c r="BH947" s="105" t="n">
        <v>0</v>
      </c>
      <c r="BI947" s="105" t="n">
        <v>0</v>
      </c>
      <c r="BJ947" s="105" t="n">
        <v>0</v>
      </c>
      <c r="BK947" s="105" t="n">
        <v>0</v>
      </c>
      <c r="BL947" s="105" t="n">
        <v>0</v>
      </c>
      <c r="BM947" s="105" t="n">
        <v>0</v>
      </c>
      <c r="BN947" s="105" t="n">
        <v>0</v>
      </c>
      <c r="BO947" s="105" t="n">
        <v>0</v>
      </c>
      <c r="BP947" s="105" t="n">
        <v>0</v>
      </c>
      <c r="BQ947" s="105" t="n">
        <v>0</v>
      </c>
      <c r="BR947" s="106" t="n">
        <v>0.666666666666667</v>
      </c>
      <c r="BS947" s="106" t="n">
        <v>0.666666666666667</v>
      </c>
      <c r="BT947" s="107"/>
      <c r="BU947" s="107"/>
      <c r="BV947" s="107"/>
      <c r="BW947" s="107"/>
      <c r="BX947" s="107"/>
      <c r="BY947" s="107"/>
      <c r="BZ947" s="107"/>
      <c r="CA947" s="107"/>
      <c r="CB947" s="107"/>
      <c r="CC947" s="107"/>
      <c r="CD947" s="107"/>
      <c r="CE947" s="107"/>
      <c r="CF947" s="107"/>
      <c r="CG947" s="107"/>
      <c r="CH947" s="107"/>
      <c r="CI947" s="107"/>
      <c r="CJ947" s="107"/>
      <c r="CK947" s="107"/>
      <c r="CL947" s="107"/>
      <c r="CM947" s="107"/>
      <c r="CN947" s="107"/>
      <c r="CO947" s="107"/>
      <c r="CP947" s="107"/>
      <c r="CQ947" s="107"/>
      <c r="CR947" s="107"/>
      <c r="CS947" s="107"/>
      <c r="CT947" s="107"/>
      <c r="CU947" s="107"/>
      <c r="CV947" s="107"/>
      <c r="DA947" s="0" t="s">
        <v>58</v>
      </c>
    </row>
    <row r="948" customFormat="false" ht="14.9" hidden="false" customHeight="false" outlineLevel="0" collapsed="false">
      <c r="A948" s="74" t="n">
        <f aca="false">MONTH(B948)</f>
        <v>10</v>
      </c>
      <c r="B948" s="135" t="n">
        <v>44488</v>
      </c>
      <c r="C948" s="128" t="s">
        <v>51</v>
      </c>
      <c r="D948" s="77" t="str">
        <f aca="false">IFERROR(VLOOKUP(E:E,'Item Data Support Sheet'!A:O,7,0),"")</f>
        <v>BOTTLE PRINTED</v>
      </c>
      <c r="E948" s="80" t="s">
        <v>981</v>
      </c>
      <c r="F948" s="122"/>
      <c r="G948" s="137"/>
      <c r="H948" s="79" t="str">
        <f aca="false">IFERROR(VLOOKUP(E:E,'Item Data Support Sheet'!A:O,2,0),"")</f>
        <v>KPP BOTTLE 240 ML PRINTED-WMG3B</v>
      </c>
      <c r="I948" s="80"/>
      <c r="J948" s="80" t="s">
        <v>161</v>
      </c>
      <c r="K948" s="124" t="n">
        <v>0.1</v>
      </c>
      <c r="L948" s="124" t="n">
        <v>60</v>
      </c>
      <c r="M948" s="83" t="n">
        <v>600</v>
      </c>
      <c r="N948" s="84" t="n">
        <f aca="false">+O948+Q948+T948+U948</f>
        <v>60</v>
      </c>
      <c r="O948" s="85" t="n">
        <v>60</v>
      </c>
      <c r="P948" s="86" t="n">
        <v>0</v>
      </c>
      <c r="Q948" s="86" t="n">
        <v>0</v>
      </c>
      <c r="R948" s="132" t="n">
        <v>0</v>
      </c>
      <c r="S948" s="128" t="n">
        <v>0</v>
      </c>
      <c r="T948" s="132" t="n">
        <v>0</v>
      </c>
      <c r="U948" s="128" t="n">
        <v>0</v>
      </c>
      <c r="V948" s="128" t="n">
        <v>5</v>
      </c>
      <c r="W948" s="90" t="n">
        <f aca="false">IFERROR(O948/V948,0)</f>
        <v>12</v>
      </c>
      <c r="X948" s="91" t="n">
        <f aca="false">O948/L948</f>
        <v>1</v>
      </c>
      <c r="Y948" s="92" t="str">
        <f aca="false">IFERROR(VLOOKUP(E:E,'Item Data Support Sheet'!A:J,6,0),0)</f>
        <v>FO044</v>
      </c>
      <c r="Z948" s="93" t="n">
        <f aca="false">IFERROR(VLOOKUP(E:E,'Item Data Support Sheet'!A:O,4,0),0)</f>
        <v>0</v>
      </c>
      <c r="AA948" s="93" t="n">
        <f aca="false">IFERROR(((N948)*(Z948/1000))+P948,0)</f>
        <v>0</v>
      </c>
      <c r="AB948" s="94" t="str">
        <f aca="false">IFERROR((O948*(Z948/1000)/(AA948))," ")</f>
        <v> </v>
      </c>
      <c r="AC948" s="95" t="n">
        <f aca="false">IFERROR((T948)/((T948)+O948),0)</f>
        <v>0</v>
      </c>
      <c r="AD948" s="96" t="n">
        <f aca="false">IFERROR(Q948/(Q948+N948),0)</f>
        <v>0</v>
      </c>
      <c r="AE948" s="91" t="n">
        <f aca="false">(N948-T948)/N948</f>
        <v>1</v>
      </c>
      <c r="AF948" s="97" t="n">
        <f aca="false">BR948</f>
        <v>0</v>
      </c>
      <c r="AG948" s="98" t="n">
        <f aca="false">K948-AF948</f>
        <v>0.1</v>
      </c>
      <c r="AH948" s="99" t="n">
        <f aca="false">IFERROR(AG948/K948," ")</f>
        <v>1</v>
      </c>
      <c r="AI948" s="100" t="n">
        <f aca="false">IFERROR(O948/K948,0)</f>
        <v>600</v>
      </c>
      <c r="AJ948" s="101" t="n">
        <f aca="false">VLOOKUP(D948,'Standard Cycle time'!C:D,2,0)</f>
        <v>32.4</v>
      </c>
      <c r="AK948" s="101" t="n">
        <f aca="false">AG948*V948*3600/O948</f>
        <v>30</v>
      </c>
      <c r="AL948" s="102" t="n">
        <f aca="false">AJ948/AK948</f>
        <v>1.08</v>
      </c>
      <c r="AM948" s="99" t="n">
        <f aca="false">AE948*AL948*AH948</f>
        <v>1.08</v>
      </c>
      <c r="AN948" s="103" t="n">
        <v>1.08</v>
      </c>
      <c r="AO948" s="112" t="s">
        <v>1722</v>
      </c>
      <c r="AP948" s="105" t="n">
        <v>0</v>
      </c>
      <c r="AQ948" s="105" t="n">
        <v>0</v>
      </c>
      <c r="AR948" s="105" t="n">
        <v>0</v>
      </c>
      <c r="AS948" s="105" t="n">
        <v>0</v>
      </c>
      <c r="AT948" s="105" t="n">
        <v>0</v>
      </c>
      <c r="AU948" s="105" t="n">
        <v>0</v>
      </c>
      <c r="AV948" s="105" t="n">
        <v>0</v>
      </c>
      <c r="AW948" s="105" t="n">
        <v>0</v>
      </c>
      <c r="AX948" s="105" t="n">
        <v>0</v>
      </c>
      <c r="AY948" s="105" t="n">
        <v>0</v>
      </c>
      <c r="AZ948" s="105" t="n">
        <v>0</v>
      </c>
      <c r="BA948" s="105" t="n">
        <v>0</v>
      </c>
      <c r="BB948" s="105" t="n">
        <v>0</v>
      </c>
      <c r="BC948" s="105" t="n">
        <v>0</v>
      </c>
      <c r="BD948" s="105" t="n">
        <v>0</v>
      </c>
      <c r="BE948" s="105" t="n">
        <v>0</v>
      </c>
      <c r="BF948" s="105" t="n">
        <v>0</v>
      </c>
      <c r="BG948" s="105" t="n">
        <v>0</v>
      </c>
      <c r="BH948" s="105" t="n">
        <v>0</v>
      </c>
      <c r="BI948" s="105" t="n">
        <v>0</v>
      </c>
      <c r="BJ948" s="105" t="n">
        <v>0</v>
      </c>
      <c r="BK948" s="105" t="n">
        <v>0</v>
      </c>
      <c r="BL948" s="105" t="n">
        <v>0</v>
      </c>
      <c r="BM948" s="105" t="n">
        <v>0</v>
      </c>
      <c r="BN948" s="105" t="n">
        <v>0</v>
      </c>
      <c r="BO948" s="105" t="n">
        <v>0</v>
      </c>
      <c r="BP948" s="105" t="n">
        <v>0</v>
      </c>
      <c r="BQ948" s="105" t="n">
        <v>0</v>
      </c>
      <c r="BR948" s="106" t="n">
        <v>0</v>
      </c>
      <c r="BS948" s="106" t="n">
        <v>0</v>
      </c>
      <c r="BT948" s="107"/>
      <c r="BU948" s="107"/>
      <c r="BV948" s="107"/>
      <c r="BW948" s="107"/>
      <c r="BX948" s="107"/>
      <c r="BY948" s="107"/>
      <c r="BZ948" s="107"/>
      <c r="CA948" s="107"/>
      <c r="CB948" s="107"/>
      <c r="CC948" s="107"/>
      <c r="CD948" s="107"/>
      <c r="CE948" s="107"/>
      <c r="CF948" s="107"/>
      <c r="CG948" s="107"/>
      <c r="CH948" s="107"/>
      <c r="CI948" s="107"/>
      <c r="CJ948" s="107"/>
      <c r="CK948" s="107"/>
      <c r="CL948" s="107"/>
      <c r="CM948" s="107"/>
      <c r="CN948" s="107"/>
      <c r="CO948" s="107"/>
      <c r="CP948" s="107"/>
      <c r="CQ948" s="107"/>
      <c r="CR948" s="107"/>
      <c r="CS948" s="107"/>
      <c r="CT948" s="107"/>
      <c r="CU948" s="107"/>
      <c r="CV948" s="107"/>
    </row>
    <row r="949" customFormat="false" ht="14.9" hidden="false" customHeight="false" outlineLevel="0" collapsed="false">
      <c r="A949" s="74" t="n">
        <f aca="false">MONTH(B949)</f>
        <v>10</v>
      </c>
      <c r="B949" s="135" t="n">
        <v>44488</v>
      </c>
      <c r="C949" s="128" t="s">
        <v>51</v>
      </c>
      <c r="D949" s="77" t="str">
        <f aca="false">IFERROR(VLOOKUP(E:E,'Item Data Support Sheet'!A:O,7,0),"")</f>
        <v>BOTTLE PRINTED</v>
      </c>
      <c r="E949" s="80" t="s">
        <v>616</v>
      </c>
      <c r="F949" s="122"/>
      <c r="G949" s="137"/>
      <c r="H949" s="79" t="str">
        <f aca="false">IFERROR(VLOOKUP(E:E,'Item Data Support Sheet'!A:O,2,0),"")</f>
        <v>RPP 240ML GRL PNK BOTLE PNTD WM3GB W/BIS LOGO</v>
      </c>
      <c r="I949" s="80"/>
      <c r="J949" s="80" t="s">
        <v>161</v>
      </c>
      <c r="K949" s="124" t="n">
        <v>0.1</v>
      </c>
      <c r="L949" s="124" t="n">
        <v>60</v>
      </c>
      <c r="M949" s="83" t="n">
        <v>600</v>
      </c>
      <c r="N949" s="84" t="n">
        <f aca="false">+O949+Q949+T949+U949</f>
        <v>60</v>
      </c>
      <c r="O949" s="85" t="n">
        <v>60</v>
      </c>
      <c r="P949" s="86" t="n">
        <v>0</v>
      </c>
      <c r="Q949" s="86" t="n">
        <v>0</v>
      </c>
      <c r="R949" s="132" t="n">
        <v>0</v>
      </c>
      <c r="S949" s="128" t="n">
        <v>0</v>
      </c>
      <c r="T949" s="132" t="n">
        <v>0</v>
      </c>
      <c r="U949" s="128" t="n">
        <v>0</v>
      </c>
      <c r="V949" s="128" t="n">
        <v>5</v>
      </c>
      <c r="W949" s="90" t="n">
        <f aca="false">IFERROR(O949/V949,0)</f>
        <v>12</v>
      </c>
      <c r="X949" s="91" t="n">
        <f aca="false">O949/L949</f>
        <v>1</v>
      </c>
      <c r="Y949" s="92" t="str">
        <f aca="false">IFERROR(VLOOKUP(E:E,'Item Data Support Sheet'!A:J,6,0),0)</f>
        <v>FO057</v>
      </c>
      <c r="Z949" s="93" t="n">
        <f aca="false">IFERROR(VLOOKUP(E:E,'Item Data Support Sheet'!A:O,4,0),0)</f>
        <v>0</v>
      </c>
      <c r="AA949" s="93" t="n">
        <f aca="false">IFERROR(((N949)*(Z949/1000))+P949,0)</f>
        <v>0</v>
      </c>
      <c r="AB949" s="94" t="str">
        <f aca="false">IFERROR((O949*(Z949/1000)/(AA949))," ")</f>
        <v> </v>
      </c>
      <c r="AC949" s="95" t="n">
        <f aca="false">IFERROR((T949)/((T949)+O949),0)</f>
        <v>0</v>
      </c>
      <c r="AD949" s="96" t="n">
        <f aca="false">IFERROR(Q949/(Q949+N949),0)</f>
        <v>0</v>
      </c>
      <c r="AE949" s="91" t="n">
        <f aca="false">(N949-T949)/N949</f>
        <v>1</v>
      </c>
      <c r="AF949" s="97" t="n">
        <f aca="false">BR949</f>
        <v>0</v>
      </c>
      <c r="AG949" s="98" t="n">
        <f aca="false">K949-AF949</f>
        <v>0.1</v>
      </c>
      <c r="AH949" s="99" t="n">
        <f aca="false">IFERROR(AG949/K949," ")</f>
        <v>1</v>
      </c>
      <c r="AI949" s="100" t="n">
        <f aca="false">IFERROR(O949/K949,0)</f>
        <v>600</v>
      </c>
      <c r="AJ949" s="101" t="n">
        <f aca="false">VLOOKUP(D949,'Standard Cycle time'!C:D,2,0)</f>
        <v>32.4</v>
      </c>
      <c r="AK949" s="101" t="n">
        <f aca="false">AG949*V949*3600/O949</f>
        <v>30</v>
      </c>
      <c r="AL949" s="102" t="n">
        <f aca="false">AJ949/AK949</f>
        <v>1.08</v>
      </c>
      <c r="AM949" s="99" t="n">
        <f aca="false">AE949*AL949*AH949</f>
        <v>1.08</v>
      </c>
      <c r="AN949" s="103" t="n">
        <v>1.08</v>
      </c>
      <c r="AO949" s="112" t="s">
        <v>1722</v>
      </c>
      <c r="AP949" s="105" t="n">
        <v>0</v>
      </c>
      <c r="AQ949" s="105" t="n">
        <v>0</v>
      </c>
      <c r="AR949" s="105" t="n">
        <v>0</v>
      </c>
      <c r="AS949" s="105" t="n">
        <v>0</v>
      </c>
      <c r="AT949" s="105" t="n">
        <v>0</v>
      </c>
      <c r="AU949" s="105" t="n">
        <v>0</v>
      </c>
      <c r="AV949" s="105" t="n">
        <v>0</v>
      </c>
      <c r="AW949" s="105" t="n">
        <v>0</v>
      </c>
      <c r="AX949" s="105" t="n">
        <v>0</v>
      </c>
      <c r="AY949" s="105" t="n">
        <v>0</v>
      </c>
      <c r="AZ949" s="105" t="n">
        <v>0</v>
      </c>
      <c r="BA949" s="105" t="n">
        <v>0</v>
      </c>
      <c r="BB949" s="105" t="n">
        <v>0</v>
      </c>
      <c r="BC949" s="105" t="n">
        <v>0</v>
      </c>
      <c r="BD949" s="105" t="n">
        <v>0</v>
      </c>
      <c r="BE949" s="105" t="n">
        <v>0</v>
      </c>
      <c r="BF949" s="105" t="n">
        <v>0</v>
      </c>
      <c r="BG949" s="105" t="n">
        <v>0</v>
      </c>
      <c r="BH949" s="105" t="n">
        <v>0</v>
      </c>
      <c r="BI949" s="105" t="n">
        <v>0</v>
      </c>
      <c r="BJ949" s="105" t="n">
        <v>0</v>
      </c>
      <c r="BK949" s="105" t="n">
        <v>0</v>
      </c>
      <c r="BL949" s="105" t="n">
        <v>0</v>
      </c>
      <c r="BM949" s="105" t="n">
        <v>0</v>
      </c>
      <c r="BN949" s="105" t="n">
        <v>0</v>
      </c>
      <c r="BO949" s="105" t="n">
        <v>0</v>
      </c>
      <c r="BP949" s="105" t="n">
        <v>0</v>
      </c>
      <c r="BQ949" s="105" t="n">
        <v>0</v>
      </c>
      <c r="BR949" s="106" t="n">
        <v>0</v>
      </c>
      <c r="BS949" s="106" t="n">
        <v>0</v>
      </c>
      <c r="BT949" s="107"/>
      <c r="BU949" s="107"/>
      <c r="BV949" s="107"/>
      <c r="BW949" s="107"/>
      <c r="BX949" s="107"/>
      <c r="BY949" s="107"/>
      <c r="BZ949" s="107"/>
      <c r="CA949" s="107"/>
      <c r="CB949" s="107"/>
      <c r="CC949" s="107"/>
      <c r="CD949" s="107"/>
      <c r="CE949" s="107"/>
      <c r="CF949" s="107"/>
      <c r="CG949" s="107"/>
      <c r="CH949" s="107"/>
      <c r="CI949" s="107"/>
      <c r="CJ949" s="107"/>
      <c r="CK949" s="107"/>
      <c r="CL949" s="107"/>
      <c r="CM949" s="107"/>
      <c r="CN949" s="107"/>
      <c r="CO949" s="107"/>
      <c r="CP949" s="107"/>
      <c r="CQ949" s="107"/>
      <c r="CR949" s="107"/>
      <c r="CS949" s="107"/>
      <c r="CT949" s="107"/>
      <c r="CU949" s="107"/>
      <c r="CV949" s="107"/>
    </row>
    <row r="950" customFormat="false" ht="14.9" hidden="false" customHeight="false" outlineLevel="0" collapsed="false">
      <c r="A950" s="74" t="n">
        <f aca="false">MONTH(B950)</f>
        <v>10</v>
      </c>
      <c r="B950" s="135" t="n">
        <v>44488</v>
      </c>
      <c r="C950" s="128" t="s">
        <v>51</v>
      </c>
      <c r="D950" s="77" t="str">
        <f aca="false">IFERROR(VLOOKUP(E:E,'Item Data Support Sheet'!A:O,7,0),"")</f>
        <v>NIPPLE PUNCH</v>
      </c>
      <c r="E950" s="80" t="s">
        <v>60</v>
      </c>
      <c r="F950" s="122"/>
      <c r="G950" s="137" t="s">
        <v>54</v>
      </c>
      <c r="H950" s="79" t="str">
        <f aca="false">IFERROR(VLOOKUP(E:E,'Item Data Support Sheet'!A:O,2,0),"")</f>
        <v>NIPPLE S TYPE M SIZE PUNCHED</v>
      </c>
      <c r="I950" s="80" t="s">
        <v>1723</v>
      </c>
      <c r="J950" s="80" t="s">
        <v>815</v>
      </c>
      <c r="K950" s="124" t="n">
        <v>8</v>
      </c>
      <c r="L950" s="124" t="n">
        <v>7000</v>
      </c>
      <c r="M950" s="83" t="n">
        <v>875</v>
      </c>
      <c r="N950" s="84" t="n">
        <f aca="false">+O950+Q950+T950+U950</f>
        <v>5750</v>
      </c>
      <c r="O950" s="85" t="n">
        <v>5750</v>
      </c>
      <c r="P950" s="86" t="n">
        <v>0</v>
      </c>
      <c r="Q950" s="86" t="n">
        <v>0</v>
      </c>
      <c r="R950" s="132" t="n">
        <v>0</v>
      </c>
      <c r="S950" s="128" t="n">
        <v>0</v>
      </c>
      <c r="T950" s="132" t="n">
        <v>0</v>
      </c>
      <c r="U950" s="128" t="n">
        <v>0</v>
      </c>
      <c r="V950" s="128" t="n">
        <v>1</v>
      </c>
      <c r="W950" s="90" t="n">
        <f aca="false">IFERROR(O950/V950,0)</f>
        <v>5750</v>
      </c>
      <c r="X950" s="91" t="n">
        <f aca="false">O950/L950</f>
        <v>0.821428571428571</v>
      </c>
      <c r="Y950" s="92" t="str">
        <f aca="false">IFERROR(VLOOKUP(E:E,'Item Data Support Sheet'!A:J,6,0),0)</f>
        <v>FO016</v>
      </c>
      <c r="Z950" s="93" t="n">
        <f aca="false">IFERROR(VLOOKUP(E:E,'Item Data Support Sheet'!A:O,4,0),0)</f>
        <v>0</v>
      </c>
      <c r="AA950" s="93" t="n">
        <f aca="false">IFERROR(((N950)*(Z950/1000))+P950,0)</f>
        <v>0</v>
      </c>
      <c r="AB950" s="94" t="str">
        <f aca="false">IFERROR((O950*(Z950/1000)/(AA950))," ")</f>
        <v> </v>
      </c>
      <c r="AC950" s="95" t="n">
        <f aca="false">IFERROR((T950)/((T950)+O950),0)</f>
        <v>0</v>
      </c>
      <c r="AD950" s="96" t="n">
        <f aca="false">IFERROR(Q950/(Q950+N950),0)</f>
        <v>0</v>
      </c>
      <c r="AE950" s="91" t="n">
        <f aca="false">(N950-T950)/N950</f>
        <v>1</v>
      </c>
      <c r="AF950" s="97" t="n">
        <f aca="false">BR950</f>
        <v>1.58333333333333</v>
      </c>
      <c r="AG950" s="98" t="n">
        <f aca="false">K950-AF950</f>
        <v>6.41666666666667</v>
      </c>
      <c r="AH950" s="99" t="n">
        <f aca="false">IFERROR(AG950/K950," ")</f>
        <v>0.802083333333334</v>
      </c>
      <c r="AI950" s="100" t="n">
        <f aca="false">IFERROR(O950/K950,0)</f>
        <v>718.75</v>
      </c>
      <c r="AJ950" s="101" t="n">
        <f aca="false">VLOOKUP(D950,'Standard Cycle time'!C:D,2,0)</f>
        <v>3.5</v>
      </c>
      <c r="AK950" s="101" t="n">
        <f aca="false">AG950*V950*3600/O950</f>
        <v>4.01739130434783</v>
      </c>
      <c r="AL950" s="102" t="n">
        <f aca="false">AJ950/AK950</f>
        <v>0.871212121212121</v>
      </c>
      <c r="AM950" s="99" t="n">
        <f aca="false">AE950*AL950*AH950</f>
        <v>0.698784722222222</v>
      </c>
      <c r="AN950" s="103" t="n">
        <v>0.698784722222222</v>
      </c>
      <c r="AO950" s="112" t="s">
        <v>1724</v>
      </c>
      <c r="AP950" s="105" t="n">
        <v>40</v>
      </c>
      <c r="AQ950" s="105" t="n">
        <v>25</v>
      </c>
      <c r="AR950" s="105" t="n">
        <v>0</v>
      </c>
      <c r="AS950" s="105" t="n">
        <v>0</v>
      </c>
      <c r="AT950" s="105" t="n">
        <v>0</v>
      </c>
      <c r="AU950" s="105" t="n">
        <v>0</v>
      </c>
      <c r="AV950" s="105" t="n">
        <v>30</v>
      </c>
      <c r="AW950" s="105" t="n">
        <v>0</v>
      </c>
      <c r="AX950" s="105" t="n">
        <v>0</v>
      </c>
      <c r="AY950" s="105" t="n">
        <v>0</v>
      </c>
      <c r="AZ950" s="105" t="n">
        <v>0</v>
      </c>
      <c r="BA950" s="105" t="n">
        <v>0</v>
      </c>
      <c r="BB950" s="105" t="n">
        <v>0</v>
      </c>
      <c r="BC950" s="105" t="n">
        <v>0</v>
      </c>
      <c r="BD950" s="105" t="n">
        <v>0</v>
      </c>
      <c r="BE950" s="105" t="n">
        <v>0</v>
      </c>
      <c r="BF950" s="105" t="n">
        <v>0</v>
      </c>
      <c r="BG950" s="105" t="n">
        <v>0</v>
      </c>
      <c r="BH950" s="105" t="n">
        <v>0</v>
      </c>
      <c r="BI950" s="105" t="n">
        <v>0</v>
      </c>
      <c r="BJ950" s="105" t="n">
        <v>0</v>
      </c>
      <c r="BK950" s="105" t="n">
        <v>0</v>
      </c>
      <c r="BL950" s="105" t="n">
        <v>0</v>
      </c>
      <c r="BM950" s="105" t="n">
        <v>0</v>
      </c>
      <c r="BN950" s="105" t="n">
        <v>0</v>
      </c>
      <c r="BO950" s="105" t="n">
        <v>0</v>
      </c>
      <c r="BP950" s="105" t="n">
        <v>0</v>
      </c>
      <c r="BQ950" s="105" t="n">
        <v>0</v>
      </c>
      <c r="BR950" s="106" t="n">
        <v>1.58333333333333</v>
      </c>
      <c r="BS950" s="106" t="n">
        <v>1.58333333333333</v>
      </c>
      <c r="BT950" s="107"/>
      <c r="BU950" s="107"/>
      <c r="BV950" s="107"/>
      <c r="BW950" s="107"/>
      <c r="BX950" s="107"/>
      <c r="BY950" s="107"/>
      <c r="BZ950" s="107"/>
      <c r="CA950" s="107"/>
      <c r="CB950" s="107"/>
      <c r="CC950" s="107"/>
      <c r="CD950" s="107"/>
      <c r="CE950" s="107"/>
      <c r="CF950" s="107"/>
      <c r="CG950" s="107"/>
      <c r="CH950" s="107"/>
      <c r="CI950" s="107"/>
      <c r="CJ950" s="107"/>
      <c r="CK950" s="107"/>
      <c r="CL950" s="107"/>
      <c r="CM950" s="107"/>
      <c r="CN950" s="107"/>
      <c r="CO950" s="107"/>
      <c r="CP950" s="107"/>
      <c r="CQ950" s="107"/>
      <c r="CR950" s="107"/>
      <c r="CS950" s="107"/>
      <c r="CT950" s="107"/>
      <c r="CU950" s="107"/>
      <c r="CV950" s="107"/>
    </row>
    <row r="951" customFormat="false" ht="14.9" hidden="false" customHeight="false" outlineLevel="0" collapsed="false">
      <c r="A951" s="74" t="n">
        <f aca="false">MONTH(B951)</f>
        <v>10</v>
      </c>
      <c r="B951" s="135" t="n">
        <v>44488</v>
      </c>
      <c r="C951" s="128" t="s">
        <v>51</v>
      </c>
      <c r="D951" s="77" t="str">
        <f aca="false">IFERROR(VLOOKUP(E:E,'Item Data Support Sheet'!A:O,7,0),"")</f>
        <v>NIPPLE LASER MARKING</v>
      </c>
      <c r="E951" s="80" t="s">
        <v>681</v>
      </c>
      <c r="F951" s="122"/>
      <c r="G951" s="137" t="s">
        <v>517</v>
      </c>
      <c r="H951" s="79" t="str">
        <f aca="false">IFERROR(VLOOKUP(E:E,'Item Data Support Sheet'!A:O,2,0),"")</f>
        <v>NIPPLE S TYPE L SIZE PUNCHED LASER MARKED</v>
      </c>
      <c r="I951" s="80" t="s">
        <v>1725</v>
      </c>
      <c r="J951" s="80" t="s">
        <v>815</v>
      </c>
      <c r="K951" s="124" t="n">
        <v>2</v>
      </c>
      <c r="L951" s="124" t="n">
        <v>1600</v>
      </c>
      <c r="M951" s="83" t="n">
        <v>800</v>
      </c>
      <c r="N951" s="84" t="n">
        <f aca="false">+O951+Q951+T951+U951</f>
        <v>3000</v>
      </c>
      <c r="O951" s="85" t="n">
        <v>3000</v>
      </c>
      <c r="P951" s="86" t="n">
        <v>0</v>
      </c>
      <c r="Q951" s="86" t="n">
        <v>0</v>
      </c>
      <c r="R951" s="132" t="n">
        <v>0</v>
      </c>
      <c r="S951" s="128" t="n">
        <v>0</v>
      </c>
      <c r="T951" s="132" t="n">
        <v>0</v>
      </c>
      <c r="U951" s="128" t="n">
        <v>0</v>
      </c>
      <c r="V951" s="128" t="n">
        <v>1</v>
      </c>
      <c r="W951" s="90" t="n">
        <f aca="false">IFERROR(O951/V951,0)</f>
        <v>3000</v>
      </c>
      <c r="X951" s="91" t="n">
        <f aca="false">O951/L951</f>
        <v>1.875</v>
      </c>
      <c r="Y951" s="92" t="str">
        <f aca="false">IFERROR(VLOOKUP(E:E,'Item Data Support Sheet'!A:J,6,0),0)</f>
        <v>FO021</v>
      </c>
      <c r="Z951" s="93" t="n">
        <f aca="false">IFERROR(VLOOKUP(E:E,'Item Data Support Sheet'!A:O,4,0),0)</f>
        <v>0</v>
      </c>
      <c r="AA951" s="93" t="n">
        <f aca="false">IFERROR(((N951)*(Z951/1000))+P951,0)</f>
        <v>0</v>
      </c>
      <c r="AB951" s="94" t="str">
        <f aca="false">IFERROR((O951*(Z951/1000)/(AA951))," ")</f>
        <v> </v>
      </c>
      <c r="AC951" s="95" t="n">
        <f aca="false">IFERROR((T951)/((T951)+O951),0)</f>
        <v>0</v>
      </c>
      <c r="AD951" s="96" t="n">
        <f aca="false">IFERROR(Q951/(Q951+N951),0)</f>
        <v>0</v>
      </c>
      <c r="AE951" s="91" t="n">
        <f aca="false">(N951-T951)/N951</f>
        <v>1</v>
      </c>
      <c r="AF951" s="97" t="n">
        <f aca="false">BR951</f>
        <v>0</v>
      </c>
      <c r="AG951" s="98" t="n">
        <f aca="false">K951-AF951</f>
        <v>2</v>
      </c>
      <c r="AH951" s="99" t="n">
        <f aca="false">IFERROR(AG951/K951," ")</f>
        <v>1</v>
      </c>
      <c r="AI951" s="100" t="n">
        <f aca="false">IFERROR(O951/K951,0)</f>
        <v>1500</v>
      </c>
      <c r="AJ951" s="101" t="n">
        <f aca="false">VLOOKUP(D951,'Standard Cycle time'!C:D,2,0)</f>
        <v>3.5</v>
      </c>
      <c r="AK951" s="101" t="n">
        <f aca="false">AG951*V951*3600/O951</f>
        <v>2.4</v>
      </c>
      <c r="AL951" s="102" t="n">
        <f aca="false">AJ951/AK951</f>
        <v>1.45833333333333</v>
      </c>
      <c r="AM951" s="99" t="n">
        <f aca="false">AE951*AL951*AH951</f>
        <v>1.45833333333333</v>
      </c>
      <c r="AN951" s="103" t="n">
        <v>1.45833333333333</v>
      </c>
      <c r="AO951" s="112"/>
      <c r="AP951" s="105" t="n">
        <v>0</v>
      </c>
      <c r="AQ951" s="105" t="n">
        <v>0</v>
      </c>
      <c r="AR951" s="105" t="n">
        <v>0</v>
      </c>
      <c r="AS951" s="105" t="n">
        <v>0</v>
      </c>
      <c r="AT951" s="105" t="n">
        <v>0</v>
      </c>
      <c r="AU951" s="105" t="n">
        <v>0</v>
      </c>
      <c r="AV951" s="105" t="n">
        <v>0</v>
      </c>
      <c r="AW951" s="105" t="n">
        <v>0</v>
      </c>
      <c r="AX951" s="105" t="n">
        <v>0</v>
      </c>
      <c r="AY951" s="105" t="n">
        <v>0</v>
      </c>
      <c r="AZ951" s="105" t="n">
        <v>0</v>
      </c>
      <c r="BA951" s="105" t="n">
        <v>0</v>
      </c>
      <c r="BB951" s="105" t="n">
        <v>0</v>
      </c>
      <c r="BC951" s="105" t="n">
        <v>0</v>
      </c>
      <c r="BD951" s="105" t="n">
        <v>0</v>
      </c>
      <c r="BE951" s="105" t="n">
        <v>0</v>
      </c>
      <c r="BF951" s="105" t="n">
        <v>0</v>
      </c>
      <c r="BG951" s="105" t="n">
        <v>0</v>
      </c>
      <c r="BH951" s="105" t="n">
        <v>0</v>
      </c>
      <c r="BI951" s="105" t="n">
        <v>0</v>
      </c>
      <c r="BJ951" s="105" t="n">
        <v>0</v>
      </c>
      <c r="BK951" s="105" t="n">
        <v>0</v>
      </c>
      <c r="BL951" s="105" t="n">
        <v>0</v>
      </c>
      <c r="BM951" s="105" t="n">
        <v>0</v>
      </c>
      <c r="BN951" s="105" t="n">
        <v>0</v>
      </c>
      <c r="BO951" s="105" t="n">
        <v>0</v>
      </c>
      <c r="BP951" s="105" t="n">
        <v>0</v>
      </c>
      <c r="BQ951" s="105" t="n">
        <v>0</v>
      </c>
      <c r="BR951" s="106" t="n">
        <v>0</v>
      </c>
      <c r="BS951" s="106" t="n">
        <v>0</v>
      </c>
      <c r="BT951" s="107"/>
      <c r="BU951" s="107"/>
      <c r="BV951" s="107"/>
      <c r="BW951" s="107"/>
      <c r="BX951" s="107"/>
      <c r="BY951" s="107"/>
      <c r="BZ951" s="107"/>
      <c r="CA951" s="107"/>
      <c r="CB951" s="107"/>
      <c r="CC951" s="107"/>
      <c r="CD951" s="107"/>
      <c r="CE951" s="107"/>
      <c r="CF951" s="107"/>
      <c r="CG951" s="107"/>
      <c r="CH951" s="107"/>
      <c r="CI951" s="107"/>
      <c r="CJ951" s="107"/>
      <c r="CK951" s="107"/>
      <c r="CL951" s="107"/>
      <c r="CM951" s="107"/>
      <c r="CN951" s="107"/>
      <c r="CO951" s="107"/>
      <c r="CP951" s="107"/>
      <c r="CQ951" s="107"/>
      <c r="CR951" s="107"/>
      <c r="CS951" s="107"/>
      <c r="CT951" s="107"/>
      <c r="CU951" s="107"/>
      <c r="CV951" s="107"/>
    </row>
    <row r="952" customFormat="false" ht="14.9" hidden="false" customHeight="false" outlineLevel="0" collapsed="false">
      <c r="A952" s="74" t="n">
        <f aca="false">MONTH(B952)</f>
        <v>10</v>
      </c>
      <c r="B952" s="135" t="n">
        <v>44488</v>
      </c>
      <c r="C952" s="128" t="s">
        <v>51</v>
      </c>
      <c r="D952" s="77" t="str">
        <f aca="false">IFERROR(VLOOKUP(E:E,'Item Data Support Sheet'!A:O,7,0),"")</f>
        <v>NIPPLE LASER MARKING</v>
      </c>
      <c r="E952" s="80" t="s">
        <v>932</v>
      </c>
      <c r="F952" s="122"/>
      <c r="G952" s="137" t="s">
        <v>517</v>
      </c>
      <c r="H952" s="79" t="str">
        <f aca="false">IFERROR(VLOOKUP(E:E,'Item Data Support Sheet'!A:O,2,0),"")</f>
        <v>NIPPLE S TYPE M SIZE PUNCHED LASER MARKED</v>
      </c>
      <c r="I952" s="80" t="s">
        <v>1726</v>
      </c>
      <c r="J952" s="80" t="s">
        <v>815</v>
      </c>
      <c r="K952" s="124" t="n">
        <v>6</v>
      </c>
      <c r="L952" s="124" t="n">
        <v>5400</v>
      </c>
      <c r="M952" s="83" t="n">
        <v>900</v>
      </c>
      <c r="N952" s="84" t="n">
        <f aca="false">+O952+Q952+T952+U952</f>
        <v>4750</v>
      </c>
      <c r="O952" s="85" t="n">
        <v>4750</v>
      </c>
      <c r="P952" s="86" t="n">
        <v>0</v>
      </c>
      <c r="Q952" s="86" t="n">
        <v>0</v>
      </c>
      <c r="R952" s="132" t="n">
        <v>0</v>
      </c>
      <c r="S952" s="128" t="n">
        <v>0</v>
      </c>
      <c r="T952" s="132" t="n">
        <v>0</v>
      </c>
      <c r="U952" s="128" t="n">
        <v>0</v>
      </c>
      <c r="V952" s="128" t="n">
        <v>1</v>
      </c>
      <c r="W952" s="90" t="n">
        <f aca="false">IFERROR(O952/V952,0)</f>
        <v>4750</v>
      </c>
      <c r="X952" s="91" t="n">
        <f aca="false">O952/L952</f>
        <v>0.87962962962963</v>
      </c>
      <c r="Y952" s="92" t="str">
        <f aca="false">IFERROR(VLOOKUP(E:E,'Item Data Support Sheet'!A:J,6,0),0)</f>
        <v>FO020</v>
      </c>
      <c r="Z952" s="93" t="n">
        <f aca="false">IFERROR(VLOOKUP(E:E,'Item Data Support Sheet'!A:O,4,0),0)</f>
        <v>0</v>
      </c>
      <c r="AA952" s="93" t="n">
        <f aca="false">IFERROR(((N952)*(Z952/1000))+P952,0)</f>
        <v>0</v>
      </c>
      <c r="AB952" s="94" t="str">
        <f aca="false">IFERROR((O952*(Z952/1000)/(AA952))," ")</f>
        <v> </v>
      </c>
      <c r="AC952" s="95" t="n">
        <f aca="false">IFERROR((T952)/((T952)+O952),0)</f>
        <v>0</v>
      </c>
      <c r="AD952" s="96" t="n">
        <f aca="false">IFERROR(Q952/(Q952+N952),0)</f>
        <v>0</v>
      </c>
      <c r="AE952" s="91" t="n">
        <f aca="false">(N952-T952)/N952</f>
        <v>1</v>
      </c>
      <c r="AF952" s="97" t="n">
        <f aca="false">BR952</f>
        <v>1.16666666666667</v>
      </c>
      <c r="AG952" s="98" t="n">
        <f aca="false">K952-AF952</f>
        <v>4.83333333333333</v>
      </c>
      <c r="AH952" s="99" t="n">
        <f aca="false">IFERROR(AG952/K952," ")</f>
        <v>0.805555555555555</v>
      </c>
      <c r="AI952" s="100" t="n">
        <f aca="false">IFERROR(O952/K952,0)</f>
        <v>791.666666666667</v>
      </c>
      <c r="AJ952" s="101" t="n">
        <f aca="false">VLOOKUP(D952,'Standard Cycle time'!C:D,2,0)</f>
        <v>3.5</v>
      </c>
      <c r="AK952" s="101" t="n">
        <f aca="false">AG952*V952*3600/O952</f>
        <v>3.66315789473684</v>
      </c>
      <c r="AL952" s="102" t="n">
        <f aca="false">AJ952/AK952</f>
        <v>0.955459770114943</v>
      </c>
      <c r="AM952" s="99" t="n">
        <f aca="false">AE952*AL952*AH952</f>
        <v>0.769675925925926</v>
      </c>
      <c r="AN952" s="103" t="n">
        <v>0.769675925925926</v>
      </c>
      <c r="AO952" s="112" t="s">
        <v>755</v>
      </c>
      <c r="AP952" s="105" t="n">
        <v>40</v>
      </c>
      <c r="AQ952" s="105" t="n">
        <v>0</v>
      </c>
      <c r="AR952" s="105" t="n">
        <v>0</v>
      </c>
      <c r="AS952" s="105" t="n">
        <v>30</v>
      </c>
      <c r="AT952" s="105" t="n">
        <v>0</v>
      </c>
      <c r="AU952" s="105" t="n">
        <v>0</v>
      </c>
      <c r="AV952" s="105" t="n">
        <v>0</v>
      </c>
      <c r="AW952" s="105" t="n">
        <v>0</v>
      </c>
      <c r="AX952" s="105" t="n">
        <v>0</v>
      </c>
      <c r="AY952" s="105" t="n">
        <v>0</v>
      </c>
      <c r="AZ952" s="105" t="n">
        <v>0</v>
      </c>
      <c r="BA952" s="105" t="n">
        <v>0</v>
      </c>
      <c r="BB952" s="105" t="n">
        <v>0</v>
      </c>
      <c r="BC952" s="105" t="n">
        <v>0</v>
      </c>
      <c r="BD952" s="105" t="n">
        <v>0</v>
      </c>
      <c r="BE952" s="105" t="n">
        <v>0</v>
      </c>
      <c r="BF952" s="105" t="n">
        <v>0</v>
      </c>
      <c r="BG952" s="105" t="n">
        <v>0</v>
      </c>
      <c r="BH952" s="105" t="n">
        <v>0</v>
      </c>
      <c r="BI952" s="105" t="n">
        <v>0</v>
      </c>
      <c r="BJ952" s="105" t="n">
        <v>0</v>
      </c>
      <c r="BK952" s="105" t="n">
        <v>0</v>
      </c>
      <c r="BL952" s="105" t="n">
        <v>0</v>
      </c>
      <c r="BM952" s="105" t="n">
        <v>0</v>
      </c>
      <c r="BN952" s="105" t="n">
        <v>0</v>
      </c>
      <c r="BO952" s="105" t="n">
        <v>0</v>
      </c>
      <c r="BP952" s="105" t="n">
        <v>0</v>
      </c>
      <c r="BQ952" s="105" t="n">
        <v>0</v>
      </c>
      <c r="BR952" s="106" t="n">
        <v>1.16666666666667</v>
      </c>
      <c r="BS952" s="106" t="n">
        <v>1.16666666666667</v>
      </c>
      <c r="BT952" s="107"/>
      <c r="BU952" s="107"/>
      <c r="BV952" s="107"/>
      <c r="BW952" s="107"/>
      <c r="BX952" s="107"/>
      <c r="BY952" s="107"/>
      <c r="BZ952" s="107"/>
      <c r="CA952" s="107"/>
      <c r="CB952" s="107"/>
      <c r="CC952" s="107"/>
      <c r="CD952" s="107"/>
      <c r="CE952" s="107"/>
      <c r="CF952" s="107"/>
      <c r="CG952" s="107"/>
      <c r="CH952" s="107"/>
      <c r="CI952" s="107"/>
      <c r="CJ952" s="107"/>
      <c r="CK952" s="107"/>
      <c r="CL952" s="107"/>
      <c r="CM952" s="107"/>
      <c r="CN952" s="107"/>
      <c r="CO952" s="107"/>
      <c r="CP952" s="107"/>
      <c r="CQ952" s="107"/>
      <c r="CR952" s="107"/>
      <c r="CS952" s="107"/>
      <c r="CT952" s="107"/>
      <c r="CU952" s="107"/>
      <c r="CV952" s="107"/>
    </row>
    <row r="953" customFormat="false" ht="14.9" hidden="false" customHeight="false" outlineLevel="0" collapsed="false">
      <c r="A953" s="74" t="n">
        <f aca="false">MONTH(B953)</f>
        <v>10</v>
      </c>
      <c r="B953" s="135" t="n">
        <v>44488</v>
      </c>
      <c r="C953" s="128" t="s">
        <v>51</v>
      </c>
      <c r="D953" s="77" t="str">
        <f aca="false">IFERROR(VLOOKUP(E:E,'Item Data Support Sheet'!A:O,7,0),"")</f>
        <v>NIPPLE MOLDED</v>
      </c>
      <c r="E953" s="80" t="s">
        <v>136</v>
      </c>
      <c r="F953" s="122" t="s">
        <v>137</v>
      </c>
      <c r="G953" s="137" t="s">
        <v>138</v>
      </c>
      <c r="H953" s="79" t="str">
        <f aca="false">IFERROR(VLOOKUP(E:E,'Item Data Support Sheet'!A:O,2,0),"")</f>
        <v>NIPPLE S TYPE M SIZE INJECTION</v>
      </c>
      <c r="I953" s="80" t="s">
        <v>1727</v>
      </c>
      <c r="J953" s="80" t="s">
        <v>815</v>
      </c>
      <c r="K953" s="124" t="n">
        <v>8</v>
      </c>
      <c r="L953" s="124" t="n">
        <v>4815</v>
      </c>
      <c r="M953" s="83" t="n">
        <v>601.875</v>
      </c>
      <c r="N953" s="84" t="n">
        <f aca="false">+O953+Q953+T953+U953</f>
        <v>5366</v>
      </c>
      <c r="O953" s="85" t="n">
        <v>5200</v>
      </c>
      <c r="P953" s="86" t="n">
        <v>0</v>
      </c>
      <c r="Q953" s="86" t="n">
        <v>86</v>
      </c>
      <c r="R953" s="132" t="n">
        <v>0</v>
      </c>
      <c r="S953" s="128" t="n">
        <v>0</v>
      </c>
      <c r="T953" s="132" t="n">
        <v>72</v>
      </c>
      <c r="U953" s="128" t="n">
        <v>8</v>
      </c>
      <c r="V953" s="128" t="n">
        <v>1</v>
      </c>
      <c r="W953" s="90" t="n">
        <f aca="false">IFERROR(O953/V953,0)</f>
        <v>5200</v>
      </c>
      <c r="X953" s="91" t="n">
        <f aca="false">O953/L953</f>
        <v>1.07995846313603</v>
      </c>
      <c r="Y953" s="92" t="str">
        <f aca="false">IFERROR(VLOOKUP(E:E,'Item Data Support Sheet'!A:J,6,0),0)</f>
        <v>Silicon</v>
      </c>
      <c r="Z953" s="93" t="n">
        <f aca="false">IFERROR(VLOOKUP(E:E,'Item Data Support Sheet'!A:O,4,0),0)</f>
        <v>6.8</v>
      </c>
      <c r="AA953" s="93" t="n">
        <f aca="false">IFERROR(((N953)*(Z953/1000))+P953,0)</f>
        <v>36.4888</v>
      </c>
      <c r="AB953" s="94" t="n">
        <f aca="false">IFERROR((O953*(Z953/1000)/(AA953))," ")</f>
        <v>0.969064480059635</v>
      </c>
      <c r="AC953" s="95" t="n">
        <f aca="false">IFERROR((T953)/((T953)+O953),0)</f>
        <v>0.0136570561456753</v>
      </c>
      <c r="AD953" s="96" t="n">
        <f aca="false">IFERROR(Q953/(Q953+N953),0)</f>
        <v>0.0157740278796772</v>
      </c>
      <c r="AE953" s="91" t="n">
        <f aca="false">(N953-T953)/N953</f>
        <v>0.986582184122251</v>
      </c>
      <c r="AF953" s="97" t="n">
        <f aca="false">BR953</f>
        <v>0</v>
      </c>
      <c r="AG953" s="98" t="n">
        <f aca="false">K953-AF953</f>
        <v>8</v>
      </c>
      <c r="AH953" s="99" t="n">
        <f aca="false">IFERROR(AG953/K953," ")</f>
        <v>1</v>
      </c>
      <c r="AI953" s="100" t="n">
        <f aca="false">IFERROR(O953/K953,0)</f>
        <v>650</v>
      </c>
      <c r="AJ953" s="101" t="n">
        <f aca="false">VLOOKUP(D953,'Standard Cycle time'!C:D,2,0)</f>
        <v>5.25</v>
      </c>
      <c r="AK953" s="101" t="n">
        <f aca="false">AG953*V953*3600/O953</f>
        <v>5.53846153846154</v>
      </c>
      <c r="AL953" s="102" t="n">
        <f aca="false">AJ953/AK953</f>
        <v>0.947916666666667</v>
      </c>
      <c r="AM953" s="99" t="n">
        <f aca="false">AE953*AL953*AH953</f>
        <v>0.935197695365884</v>
      </c>
      <c r="AN953" s="103" t="n">
        <v>0.935197695365884</v>
      </c>
      <c r="AO953" s="112"/>
      <c r="AP953" s="105" t="n">
        <v>0</v>
      </c>
      <c r="AQ953" s="105" t="n">
        <v>0</v>
      </c>
      <c r="AR953" s="105" t="n">
        <v>0</v>
      </c>
      <c r="AS953" s="105" t="n">
        <v>0</v>
      </c>
      <c r="AT953" s="105" t="n">
        <v>0</v>
      </c>
      <c r="AU953" s="105" t="n">
        <v>0</v>
      </c>
      <c r="AV953" s="105" t="n">
        <v>0</v>
      </c>
      <c r="AW953" s="105" t="n">
        <v>0</v>
      </c>
      <c r="AX953" s="105" t="n">
        <v>0</v>
      </c>
      <c r="AY953" s="105" t="n">
        <v>0</v>
      </c>
      <c r="AZ953" s="105" t="n">
        <v>0</v>
      </c>
      <c r="BA953" s="105" t="n">
        <v>0</v>
      </c>
      <c r="BB953" s="105" t="n">
        <v>0</v>
      </c>
      <c r="BC953" s="105" t="n">
        <v>0</v>
      </c>
      <c r="BD953" s="105" t="n">
        <v>0</v>
      </c>
      <c r="BE953" s="105" t="n">
        <v>0</v>
      </c>
      <c r="BF953" s="105" t="n">
        <v>0</v>
      </c>
      <c r="BG953" s="105" t="n">
        <v>0</v>
      </c>
      <c r="BH953" s="105" t="n">
        <v>0</v>
      </c>
      <c r="BI953" s="105" t="n">
        <v>0</v>
      </c>
      <c r="BJ953" s="105" t="n">
        <v>0</v>
      </c>
      <c r="BK953" s="105" t="n">
        <v>0</v>
      </c>
      <c r="BL953" s="105" t="n">
        <v>0</v>
      </c>
      <c r="BM953" s="105" t="n">
        <v>0</v>
      </c>
      <c r="BN953" s="105" t="n">
        <v>0</v>
      </c>
      <c r="BO953" s="105" t="n">
        <v>0</v>
      </c>
      <c r="BP953" s="105" t="n">
        <v>0</v>
      </c>
      <c r="BQ953" s="105" t="n">
        <v>0</v>
      </c>
      <c r="BR953" s="106" t="n">
        <v>0</v>
      </c>
      <c r="BS953" s="106" t="n">
        <v>0</v>
      </c>
      <c r="BT953" s="107"/>
      <c r="BU953" s="107"/>
      <c r="BV953" s="107"/>
      <c r="BW953" s="107"/>
      <c r="BX953" s="107"/>
      <c r="BY953" s="107"/>
      <c r="BZ953" s="107"/>
      <c r="CA953" s="107"/>
      <c r="CB953" s="107"/>
      <c r="CC953" s="107"/>
      <c r="CD953" s="107"/>
      <c r="CE953" s="107"/>
      <c r="CF953" s="107"/>
      <c r="CG953" s="107"/>
      <c r="CH953" s="107"/>
      <c r="CI953" s="107"/>
      <c r="CJ953" s="107"/>
      <c r="CK953" s="107"/>
      <c r="CL953" s="107"/>
      <c r="CM953" s="107"/>
      <c r="CN953" s="107"/>
      <c r="CO953" s="107"/>
      <c r="CP953" s="107"/>
      <c r="CQ953" s="107"/>
      <c r="CR953" s="107"/>
      <c r="CS953" s="107"/>
      <c r="CT953" s="107"/>
      <c r="CU953" s="107"/>
      <c r="CV953" s="107"/>
    </row>
    <row r="954" customFormat="false" ht="14.9" hidden="false" customHeight="false" outlineLevel="0" collapsed="false">
      <c r="A954" s="74" t="n">
        <f aca="false">MONTH(B954)</f>
        <v>10</v>
      </c>
      <c r="B954" s="135" t="n">
        <v>44488</v>
      </c>
      <c r="C954" s="128" t="s">
        <v>51</v>
      </c>
      <c r="D954" s="77" t="str">
        <f aca="false">IFERROR(VLOOKUP(E:E,'Item Data Support Sheet'!A:O,7,0),"")</f>
        <v>CAP MOLDED</v>
      </c>
      <c r="E954" s="80" t="s">
        <v>453</v>
      </c>
      <c r="F954" s="122"/>
      <c r="G954" s="137" t="s">
        <v>1215</v>
      </c>
      <c r="H954" s="79" t="str">
        <f aca="false">IFERROR(VLOOKUP(E:E,'Item Data Support Sheet'!A:O,2,0),"")</f>
        <v>CAP S TYPE MOLDED WHITE</v>
      </c>
      <c r="I954" s="80" t="s">
        <v>1728</v>
      </c>
      <c r="J954" s="80" t="s">
        <v>815</v>
      </c>
      <c r="K954" s="124" t="n">
        <v>8</v>
      </c>
      <c r="L954" s="124" t="n">
        <v>4137</v>
      </c>
      <c r="M954" s="83" t="n">
        <v>517.125</v>
      </c>
      <c r="N954" s="84" t="n">
        <f aca="false">+O954+Q954+T954+U954</f>
        <v>4642</v>
      </c>
      <c r="O954" s="85" t="n">
        <v>4630</v>
      </c>
      <c r="P954" s="86" t="n">
        <v>0</v>
      </c>
      <c r="Q954" s="86" t="n">
        <v>0</v>
      </c>
      <c r="R954" s="132" t="n">
        <v>0</v>
      </c>
      <c r="S954" s="128" t="n">
        <v>0</v>
      </c>
      <c r="T954" s="132" t="n">
        <v>4</v>
      </c>
      <c r="U954" s="128" t="n">
        <v>8</v>
      </c>
      <c r="V954" s="128" t="n">
        <v>1</v>
      </c>
      <c r="W954" s="90" t="n">
        <f aca="false">IFERROR(O954/V954,0)</f>
        <v>4630</v>
      </c>
      <c r="X954" s="91" t="n">
        <f aca="false">O954/L954</f>
        <v>1.11916847957457</v>
      </c>
      <c r="Y954" s="92" t="str">
        <f aca="false">IFERROR(VLOOKUP(E:E,'Item Data Support Sheet'!A:J,6,0),0)</f>
        <v>RM000106</v>
      </c>
      <c r="Z954" s="93" t="n">
        <f aca="false">IFERROR(VLOOKUP(E:E,'Item Data Support Sheet'!A:O,4,0),0)</f>
        <v>7.3</v>
      </c>
      <c r="AA954" s="93" t="n">
        <f aca="false">IFERROR(((N954)*(Z954/1000))+P954,0)</f>
        <v>33.8866</v>
      </c>
      <c r="AB954" s="94" t="n">
        <f aca="false">IFERROR((O954*(Z954/1000)/(AA954))," ")</f>
        <v>0.997414907367514</v>
      </c>
      <c r="AC954" s="95" t="n">
        <f aca="false">IFERROR((T954)/((T954)+O954),0)</f>
        <v>0.000863185153215365</v>
      </c>
      <c r="AD954" s="96" t="n">
        <f aca="false">IFERROR(Q954/(Q954+N954),0)</f>
        <v>0</v>
      </c>
      <c r="AE954" s="91" t="n">
        <f aca="false">(N954-T954)/N954</f>
        <v>0.999138302455838</v>
      </c>
      <c r="AF954" s="97" t="n">
        <f aca="false">BR954</f>
        <v>0</v>
      </c>
      <c r="AG954" s="98" t="n">
        <f aca="false">K954-AF954</f>
        <v>8</v>
      </c>
      <c r="AH954" s="99" t="n">
        <f aca="false">IFERROR(AG954/K954," ")</f>
        <v>1</v>
      </c>
      <c r="AI954" s="100" t="n">
        <f aca="false">IFERROR(O954/K954,0)</f>
        <v>578.75</v>
      </c>
      <c r="AJ954" s="101" t="n">
        <f aca="false">VLOOKUP(D954,'Standard Cycle time'!C:D,2,0)</f>
        <v>6</v>
      </c>
      <c r="AK954" s="101" t="n">
        <f aca="false">AG954*V954*3600/O954</f>
        <v>6.22030237580994</v>
      </c>
      <c r="AL954" s="102" t="n">
        <f aca="false">AJ954/AK954</f>
        <v>0.964583333333333</v>
      </c>
      <c r="AM954" s="99" t="n">
        <f aca="false">AE954*AL954*AH954</f>
        <v>0.96375215424386</v>
      </c>
      <c r="AN954" s="103" t="n">
        <v>0.96375215424386</v>
      </c>
      <c r="AO954" s="112"/>
      <c r="AP954" s="105" t="n">
        <v>0</v>
      </c>
      <c r="AQ954" s="105" t="n">
        <v>0</v>
      </c>
      <c r="AR954" s="105" t="n">
        <v>0</v>
      </c>
      <c r="AS954" s="105" t="n">
        <v>0</v>
      </c>
      <c r="AT954" s="105" t="n">
        <v>0</v>
      </c>
      <c r="AU954" s="105" t="n">
        <v>0</v>
      </c>
      <c r="AV954" s="105" t="n">
        <v>0</v>
      </c>
      <c r="AW954" s="105" t="n">
        <v>0</v>
      </c>
      <c r="AX954" s="105" t="n">
        <v>0</v>
      </c>
      <c r="AY954" s="105" t="n">
        <v>0</v>
      </c>
      <c r="AZ954" s="105" t="n">
        <v>0</v>
      </c>
      <c r="BA954" s="105" t="n">
        <v>0</v>
      </c>
      <c r="BB954" s="105" t="n">
        <v>0</v>
      </c>
      <c r="BC954" s="105" t="n">
        <v>0</v>
      </c>
      <c r="BD954" s="105" t="n">
        <v>0</v>
      </c>
      <c r="BE954" s="105" t="n">
        <v>0</v>
      </c>
      <c r="BF954" s="105" t="n">
        <v>0</v>
      </c>
      <c r="BG954" s="105" t="n">
        <v>0</v>
      </c>
      <c r="BH954" s="105" t="n">
        <v>0</v>
      </c>
      <c r="BI954" s="105" t="n">
        <v>0</v>
      </c>
      <c r="BJ954" s="105" t="n">
        <v>0</v>
      </c>
      <c r="BK954" s="105" t="n">
        <v>0</v>
      </c>
      <c r="BL954" s="105" t="n">
        <v>0</v>
      </c>
      <c r="BM954" s="105" t="n">
        <v>0</v>
      </c>
      <c r="BN954" s="105" t="n">
        <v>0</v>
      </c>
      <c r="BO954" s="105" t="n">
        <v>0</v>
      </c>
      <c r="BP954" s="105" t="n">
        <v>0</v>
      </c>
      <c r="BQ954" s="105" t="n">
        <v>0</v>
      </c>
      <c r="BR954" s="106" t="n">
        <v>0</v>
      </c>
      <c r="BS954" s="106" t="n">
        <v>0</v>
      </c>
      <c r="BT954" s="107"/>
      <c r="BU954" s="107"/>
      <c r="BV954" s="107"/>
      <c r="BW954" s="107"/>
      <c r="BX954" s="107"/>
      <c r="BY954" s="107"/>
      <c r="BZ954" s="107"/>
      <c r="CA954" s="107"/>
      <c r="CB954" s="107"/>
      <c r="CC954" s="107"/>
      <c r="CD954" s="107"/>
      <c r="CE954" s="107"/>
      <c r="CF954" s="107"/>
      <c r="CG954" s="107"/>
      <c r="CH954" s="107"/>
      <c r="CI954" s="107"/>
      <c r="CJ954" s="107"/>
      <c r="CK954" s="107"/>
      <c r="CL954" s="107"/>
      <c r="CM954" s="107"/>
      <c r="CN954" s="107"/>
      <c r="CO954" s="107"/>
      <c r="CP954" s="107"/>
      <c r="CQ954" s="107"/>
      <c r="CR954" s="107"/>
      <c r="CS954" s="107"/>
      <c r="CT954" s="107"/>
      <c r="CU954" s="107"/>
      <c r="CV954" s="107"/>
    </row>
    <row r="955" customFormat="false" ht="14.9" hidden="false" customHeight="false" outlineLevel="0" collapsed="false">
      <c r="A955" s="74" t="n">
        <f aca="false">MONTH(B955)</f>
        <v>10</v>
      </c>
      <c r="B955" s="135" t="n">
        <v>44488</v>
      </c>
      <c r="C955" s="128" t="s">
        <v>51</v>
      </c>
      <c r="D955" s="77" t="str">
        <f aca="false">IFERROR(VLOOKUP(E:E,'Item Data Support Sheet'!A:O,7,0),"")</f>
        <v>BOTTLE PRINTED</v>
      </c>
      <c r="E955" s="80" t="s">
        <v>65</v>
      </c>
      <c r="F955" s="122"/>
      <c r="G955" s="137"/>
      <c r="H955" s="79" t="str">
        <f aca="false">IFERROR(VLOOKUP(E:E,'Item Data Support Sheet'!A:O,2,0),"")</f>
        <v>KPP 240 ML BOTTLE PRINTED</v>
      </c>
      <c r="I955" s="80" t="s">
        <v>1729</v>
      </c>
      <c r="J955" s="80" t="s">
        <v>161</v>
      </c>
      <c r="K955" s="124" t="n">
        <v>8</v>
      </c>
      <c r="L955" s="124" t="n">
        <v>5130</v>
      </c>
      <c r="M955" s="83" t="n">
        <v>641.25</v>
      </c>
      <c r="N955" s="84" t="n">
        <f aca="false">+O955+Q955+T955+U955</f>
        <v>2965</v>
      </c>
      <c r="O955" s="85" t="n">
        <v>2916</v>
      </c>
      <c r="P955" s="86" t="n">
        <v>0</v>
      </c>
      <c r="Q955" s="86" t="n">
        <v>0</v>
      </c>
      <c r="R955" s="132" t="n">
        <v>23</v>
      </c>
      <c r="S955" s="128" t="n">
        <v>0</v>
      </c>
      <c r="T955" s="132" t="n">
        <v>49</v>
      </c>
      <c r="U955" s="128" t="n">
        <v>0</v>
      </c>
      <c r="V955" s="128" t="n">
        <v>5</v>
      </c>
      <c r="W955" s="90" t="n">
        <f aca="false">IFERROR(O955/V955,0)</f>
        <v>583.2</v>
      </c>
      <c r="X955" s="91" t="n">
        <f aca="false">O955/L955</f>
        <v>0.568421052631579</v>
      </c>
      <c r="Y955" s="92" t="str">
        <f aca="false">IFERROR(VLOOKUP(E:E,'Item Data Support Sheet'!A:J,6,0),0)</f>
        <v>FO003</v>
      </c>
      <c r="Z955" s="93" t="n">
        <f aca="false">IFERROR(VLOOKUP(E:E,'Item Data Support Sheet'!A:O,4,0),0)</f>
        <v>0</v>
      </c>
      <c r="AA955" s="93" t="n">
        <f aca="false">IFERROR(((N955)*(Z955/1000))+P955,0)</f>
        <v>0</v>
      </c>
      <c r="AB955" s="94" t="str">
        <f aca="false">IFERROR((O955*(Z955/1000)/(AA955))," ")</f>
        <v> </v>
      </c>
      <c r="AC955" s="95" t="n">
        <f aca="false">IFERROR((T955)/((T955)+O955),0)</f>
        <v>0.0165261382799325</v>
      </c>
      <c r="AD955" s="96" t="n">
        <f aca="false">IFERROR(Q955/(Q955+N955),0)</f>
        <v>0</v>
      </c>
      <c r="AE955" s="91" t="n">
        <f aca="false">(N955-T955)/N955</f>
        <v>0.983473861720067</v>
      </c>
      <c r="AF955" s="97" t="n">
        <f aca="false">BR955</f>
        <v>3</v>
      </c>
      <c r="AG955" s="98" t="n">
        <f aca="false">K955-AF955</f>
        <v>5</v>
      </c>
      <c r="AH955" s="99" t="n">
        <f aca="false">IFERROR(AG955/K955," ")</f>
        <v>0.625</v>
      </c>
      <c r="AI955" s="100" t="n">
        <f aca="false">IFERROR(O955/K955,0)</f>
        <v>364.5</v>
      </c>
      <c r="AJ955" s="101" t="n">
        <f aca="false">VLOOKUP(D955,'Standard Cycle time'!C:D,2,0)</f>
        <v>32.4</v>
      </c>
      <c r="AK955" s="101" t="n">
        <f aca="false">AG955*V955*3600/O955</f>
        <v>30.8641975308642</v>
      </c>
      <c r="AL955" s="102" t="n">
        <f aca="false">AJ955/AK955</f>
        <v>1.04976</v>
      </c>
      <c r="AM955" s="99" t="n">
        <f aca="false">AE955*AL955*AH955</f>
        <v>0.645257200674536</v>
      </c>
      <c r="AN955" s="103" t="n">
        <v>0.645257200674536</v>
      </c>
      <c r="AO955" s="112" t="s">
        <v>1730</v>
      </c>
      <c r="AP955" s="105" t="n">
        <v>40</v>
      </c>
      <c r="AQ955" s="105" t="n">
        <v>100</v>
      </c>
      <c r="AR955" s="105" t="n">
        <v>0</v>
      </c>
      <c r="AS955" s="105" t="n">
        <v>0</v>
      </c>
      <c r="AT955" s="105" t="n">
        <v>0</v>
      </c>
      <c r="AU955" s="105" t="n">
        <v>0</v>
      </c>
      <c r="AV955" s="105" t="n">
        <v>0</v>
      </c>
      <c r="AW955" s="105" t="n">
        <v>0</v>
      </c>
      <c r="AX955" s="105" t="n">
        <v>0</v>
      </c>
      <c r="AY955" s="105" t="n">
        <v>0</v>
      </c>
      <c r="AZ955" s="105" t="n">
        <v>0</v>
      </c>
      <c r="BA955" s="105" t="n">
        <v>0</v>
      </c>
      <c r="BB955" s="105" t="n">
        <v>0</v>
      </c>
      <c r="BC955" s="105" t="n">
        <v>0</v>
      </c>
      <c r="BD955" s="105" t="n">
        <v>0</v>
      </c>
      <c r="BE955" s="105" t="n">
        <v>0</v>
      </c>
      <c r="BF955" s="105" t="n">
        <v>0</v>
      </c>
      <c r="BG955" s="105" t="n">
        <v>0</v>
      </c>
      <c r="BH955" s="105" t="n">
        <v>0</v>
      </c>
      <c r="BI955" s="105" t="n">
        <v>0</v>
      </c>
      <c r="BJ955" s="105" t="n">
        <v>0</v>
      </c>
      <c r="BK955" s="105" t="n">
        <v>40</v>
      </c>
      <c r="BL955" s="105" t="n">
        <v>0</v>
      </c>
      <c r="BM955" s="105" t="n">
        <v>0</v>
      </c>
      <c r="BN955" s="105" t="n">
        <v>0</v>
      </c>
      <c r="BO955" s="105" t="n">
        <v>0</v>
      </c>
      <c r="BP955" s="105" t="n">
        <v>0</v>
      </c>
      <c r="BQ955" s="105" t="n">
        <v>0</v>
      </c>
      <c r="BR955" s="106" t="n">
        <v>3</v>
      </c>
      <c r="BS955" s="106" t="n">
        <v>3</v>
      </c>
      <c r="BT955" s="107"/>
      <c r="BU955" s="107"/>
      <c r="BV955" s="107"/>
      <c r="BW955" s="107"/>
      <c r="BX955" s="107"/>
      <c r="BY955" s="107"/>
      <c r="BZ955" s="107"/>
      <c r="CA955" s="107"/>
      <c r="CB955" s="107"/>
      <c r="CC955" s="107"/>
      <c r="CD955" s="107"/>
      <c r="CE955" s="107"/>
      <c r="CF955" s="107"/>
      <c r="CG955" s="107"/>
      <c r="CH955" s="107"/>
      <c r="CI955" s="107"/>
      <c r="CJ955" s="107"/>
      <c r="CK955" s="107"/>
      <c r="CL955" s="107"/>
      <c r="CM955" s="107"/>
      <c r="CN955" s="107"/>
      <c r="CO955" s="107"/>
      <c r="CP955" s="107"/>
      <c r="CQ955" s="107"/>
      <c r="CR955" s="107"/>
      <c r="CS955" s="107"/>
      <c r="CT955" s="107"/>
      <c r="CU955" s="107"/>
      <c r="CV955" s="107"/>
    </row>
    <row r="956" customFormat="false" ht="14.9" hidden="false" customHeight="false" outlineLevel="0" collapsed="false">
      <c r="A956" s="74" t="n">
        <f aca="false">MONTH(B956)</f>
        <v>10</v>
      </c>
      <c r="B956" s="135" t="n">
        <v>44488</v>
      </c>
      <c r="C956" s="128" t="s">
        <v>63</v>
      </c>
      <c r="D956" s="77" t="str">
        <f aca="false">IFERROR(VLOOKUP(E:E,'Item Data Support Sheet'!A:O,7,0),"")</f>
        <v>NIPPLE PUNCH INSPECTED</v>
      </c>
      <c r="E956" s="80" t="s">
        <v>182</v>
      </c>
      <c r="F956" s="122"/>
      <c r="G956" s="137"/>
      <c r="H956" s="79" t="str">
        <f aca="false">IFERROR(VLOOKUP(E:E,'Item Data Support Sheet'!A:O,2,0),"")</f>
        <v>NIPPLE S TYPE M SIZE PUNCHED INSPECTED</v>
      </c>
      <c r="I956" s="80" t="s">
        <v>1731</v>
      </c>
      <c r="J956" s="80" t="s">
        <v>155</v>
      </c>
      <c r="K956" s="124" t="n">
        <v>4</v>
      </c>
      <c r="L956" s="124" t="n">
        <v>7068</v>
      </c>
      <c r="M956" s="83" t="n">
        <v>1767</v>
      </c>
      <c r="N956" s="84" t="n">
        <f aca="false">+O956+Q956+T956+U956</f>
        <v>6650</v>
      </c>
      <c r="O956" s="85" t="n">
        <v>6629</v>
      </c>
      <c r="P956" s="86" t="n">
        <v>0</v>
      </c>
      <c r="Q956" s="86" t="n">
        <v>0</v>
      </c>
      <c r="R956" s="132" t="n">
        <v>0</v>
      </c>
      <c r="S956" s="128" t="n">
        <v>0</v>
      </c>
      <c r="T956" s="132" t="n">
        <v>21</v>
      </c>
      <c r="U956" s="128" t="n">
        <v>0</v>
      </c>
      <c r="V956" s="128" t="n">
        <v>2</v>
      </c>
      <c r="W956" s="90" t="n">
        <f aca="false">IFERROR(O956/V956,0)</f>
        <v>3314.5</v>
      </c>
      <c r="X956" s="91" t="n">
        <f aca="false">O956/L956</f>
        <v>0.937889077532541</v>
      </c>
      <c r="Y956" s="92" t="str">
        <f aca="false">IFERROR(VLOOKUP(E:E,'Item Data Support Sheet'!A:J,6,0),0)</f>
        <v>FO105</v>
      </c>
      <c r="Z956" s="93" t="n">
        <f aca="false">IFERROR(VLOOKUP(E:E,'Item Data Support Sheet'!A:O,4,0),0)</f>
        <v>0</v>
      </c>
      <c r="AA956" s="93" t="n">
        <f aca="false">IFERROR(((N956)*(Z956/1000))+P956,0)</f>
        <v>0</v>
      </c>
      <c r="AB956" s="94" t="str">
        <f aca="false">IFERROR((O956*(Z956/1000)/(AA956))," ")</f>
        <v> </v>
      </c>
      <c r="AC956" s="95" t="n">
        <f aca="false">IFERROR((T956)/((T956)+O956),0)</f>
        <v>0.00315789473684211</v>
      </c>
      <c r="AD956" s="96" t="n">
        <f aca="false">IFERROR(Q956/(Q956+N956),0)</f>
        <v>0</v>
      </c>
      <c r="AE956" s="91" t="n">
        <f aca="false">(N956-T956)/N956</f>
        <v>0.996842105263158</v>
      </c>
      <c r="AF956" s="97" t="n">
        <f aca="false">BR956</f>
        <v>0</v>
      </c>
      <c r="AG956" s="98" t="n">
        <f aca="false">K956-AF956</f>
        <v>4</v>
      </c>
      <c r="AH956" s="99" t="n">
        <f aca="false">IFERROR(AG956/K956," ")</f>
        <v>1</v>
      </c>
      <c r="AI956" s="100" t="n">
        <f aca="false">IFERROR(O956/K956,0)</f>
        <v>1657.25</v>
      </c>
      <c r="AJ956" s="101" t="n">
        <f aca="false">VLOOKUP(D956,'Standard Cycle time'!C:D,2,0)</f>
        <v>4</v>
      </c>
      <c r="AK956" s="101" t="n">
        <f aca="false">AG956*V956*3600/O956</f>
        <v>4.34454668879167</v>
      </c>
      <c r="AL956" s="102" t="n">
        <f aca="false">AJ956/AK956</f>
        <v>0.920694444444444</v>
      </c>
      <c r="AM956" s="99" t="n">
        <f aca="false">AE956*AL956*AH956</f>
        <v>0.917786988304094</v>
      </c>
      <c r="AN956" s="103" t="n">
        <v>0.917786988304094</v>
      </c>
      <c r="AO956" s="112"/>
      <c r="AP956" s="105" t="n">
        <v>0</v>
      </c>
      <c r="AQ956" s="105" t="n">
        <v>0</v>
      </c>
      <c r="AR956" s="105" t="n">
        <v>0</v>
      </c>
      <c r="AS956" s="105" t="n">
        <v>0</v>
      </c>
      <c r="AT956" s="105" t="n">
        <v>0</v>
      </c>
      <c r="AU956" s="105" t="n">
        <v>0</v>
      </c>
      <c r="AV956" s="105" t="n">
        <v>0</v>
      </c>
      <c r="AW956" s="105" t="n">
        <v>0</v>
      </c>
      <c r="AX956" s="105" t="n">
        <v>0</v>
      </c>
      <c r="AY956" s="105" t="n">
        <v>0</v>
      </c>
      <c r="AZ956" s="105" t="n">
        <v>0</v>
      </c>
      <c r="BA956" s="105" t="n">
        <v>0</v>
      </c>
      <c r="BB956" s="105" t="n">
        <v>0</v>
      </c>
      <c r="BC956" s="105" t="n">
        <v>0</v>
      </c>
      <c r="BD956" s="105" t="n">
        <v>0</v>
      </c>
      <c r="BE956" s="105" t="n">
        <v>0</v>
      </c>
      <c r="BF956" s="105" t="n">
        <v>0</v>
      </c>
      <c r="BG956" s="105" t="n">
        <v>0</v>
      </c>
      <c r="BH956" s="105" t="n">
        <v>0</v>
      </c>
      <c r="BI956" s="105" t="n">
        <v>0</v>
      </c>
      <c r="BJ956" s="105" t="n">
        <v>0</v>
      </c>
      <c r="BK956" s="105" t="n">
        <v>0</v>
      </c>
      <c r="BL956" s="105" t="n">
        <v>0</v>
      </c>
      <c r="BM956" s="105" t="n">
        <v>0</v>
      </c>
      <c r="BN956" s="105" t="n">
        <v>0</v>
      </c>
      <c r="BO956" s="105" t="n">
        <v>0</v>
      </c>
      <c r="BP956" s="105" t="n">
        <v>0</v>
      </c>
      <c r="BQ956" s="105" t="n">
        <v>0</v>
      </c>
      <c r="BR956" s="106" t="n">
        <v>0</v>
      </c>
      <c r="BS956" s="106" t="n">
        <v>0</v>
      </c>
      <c r="BT956" s="107"/>
      <c r="BU956" s="107"/>
      <c r="BV956" s="107"/>
      <c r="BW956" s="107"/>
      <c r="BX956" s="107"/>
      <c r="BY956" s="107"/>
      <c r="BZ956" s="107"/>
      <c r="CA956" s="107"/>
      <c r="CB956" s="107"/>
      <c r="CC956" s="107"/>
      <c r="CD956" s="107"/>
      <c r="CE956" s="107"/>
      <c r="CF956" s="107"/>
      <c r="CG956" s="107"/>
      <c r="CH956" s="107"/>
      <c r="CI956" s="107"/>
      <c r="CJ956" s="107"/>
      <c r="CK956" s="107"/>
      <c r="CL956" s="107"/>
      <c r="CM956" s="107"/>
      <c r="CN956" s="107"/>
      <c r="CO956" s="107"/>
      <c r="CP956" s="107"/>
      <c r="CQ956" s="107"/>
      <c r="CR956" s="107"/>
      <c r="CS956" s="107"/>
      <c r="CT956" s="107"/>
      <c r="CU956" s="107"/>
      <c r="CV956" s="107"/>
    </row>
    <row r="957" customFormat="false" ht="14.9" hidden="false" customHeight="false" outlineLevel="0" collapsed="false">
      <c r="A957" s="74" t="n">
        <f aca="false">MONTH(B957)</f>
        <v>10</v>
      </c>
      <c r="B957" s="135" t="n">
        <v>44488</v>
      </c>
      <c r="C957" s="128" t="s">
        <v>63</v>
      </c>
      <c r="D957" s="77" t="str">
        <f aca="false">IFERROR(VLOOKUP(E:E,'Item Data Support Sheet'!A:O,7,0),"")</f>
        <v>NIPPLE PUNCH INSPECTED</v>
      </c>
      <c r="E957" s="80" t="s">
        <v>688</v>
      </c>
      <c r="F957" s="122"/>
      <c r="G957" s="137"/>
      <c r="H957" s="79" t="str">
        <f aca="false">IFERROR(VLOOKUP(E:E,'Item Data Support Sheet'!A:O,2,0),"")</f>
        <v>NIPPLE S TYPE L SIZE PUNCHED INSPECTED</v>
      </c>
      <c r="I957" s="80" t="s">
        <v>1711</v>
      </c>
      <c r="J957" s="80" t="s">
        <v>155</v>
      </c>
      <c r="K957" s="124" t="n">
        <v>4</v>
      </c>
      <c r="L957" s="124" t="n">
        <v>7068</v>
      </c>
      <c r="M957" s="83" t="n">
        <v>1767</v>
      </c>
      <c r="N957" s="84" t="n">
        <f aca="false">+O957+Q957+T957+U957</f>
        <v>5000</v>
      </c>
      <c r="O957" s="85" t="n">
        <v>4814</v>
      </c>
      <c r="P957" s="86" t="n">
        <v>0</v>
      </c>
      <c r="Q957" s="86" t="n">
        <v>0</v>
      </c>
      <c r="R957" s="132" t="n">
        <v>0</v>
      </c>
      <c r="S957" s="128" t="n">
        <v>0</v>
      </c>
      <c r="T957" s="132" t="n">
        <v>186</v>
      </c>
      <c r="U957" s="128" t="n">
        <v>0</v>
      </c>
      <c r="V957" s="128" t="n">
        <v>2</v>
      </c>
      <c r="W957" s="90" t="n">
        <f aca="false">IFERROR(O957/V957,0)</f>
        <v>2407</v>
      </c>
      <c r="X957" s="91" t="n">
        <f aca="false">O957/L957</f>
        <v>0.681097906055461</v>
      </c>
      <c r="Y957" s="92" t="str">
        <f aca="false">IFERROR(VLOOKUP(E:E,'Item Data Support Sheet'!A:J,6,0),0)</f>
        <v>FO106</v>
      </c>
      <c r="Z957" s="93" t="n">
        <f aca="false">IFERROR(VLOOKUP(E:E,'Item Data Support Sheet'!A:O,4,0),0)</f>
        <v>0</v>
      </c>
      <c r="AA957" s="93" t="n">
        <f aca="false">IFERROR(((N957)*(Z957/1000))+P957,0)</f>
        <v>0</v>
      </c>
      <c r="AB957" s="94" t="str">
        <f aca="false">IFERROR((O957*(Z957/1000)/(AA957))," ")</f>
        <v> </v>
      </c>
      <c r="AC957" s="95" t="n">
        <f aca="false">IFERROR((T957)/((T957)+O957),0)</f>
        <v>0.0372</v>
      </c>
      <c r="AD957" s="96" t="n">
        <f aca="false">IFERROR(Q957/(Q957+N957),0)</f>
        <v>0</v>
      </c>
      <c r="AE957" s="91" t="n">
        <f aca="false">(N957-T957)/N957</f>
        <v>0.9628</v>
      </c>
      <c r="AF957" s="97" t="n">
        <f aca="false">BR957</f>
        <v>0</v>
      </c>
      <c r="AG957" s="98" t="n">
        <f aca="false">K957-AF957</f>
        <v>4</v>
      </c>
      <c r="AH957" s="99" t="n">
        <f aca="false">IFERROR(AG957/K957," ")</f>
        <v>1</v>
      </c>
      <c r="AI957" s="100" t="n">
        <f aca="false">IFERROR(O957/K957,0)</f>
        <v>1203.5</v>
      </c>
      <c r="AJ957" s="101" t="n">
        <f aca="false">VLOOKUP(D957,'Standard Cycle time'!C:D,2,0)</f>
        <v>4</v>
      </c>
      <c r="AK957" s="101" t="n">
        <f aca="false">AG957*V957*3600/O957</f>
        <v>5.98255089322809</v>
      </c>
      <c r="AL957" s="102" t="n">
        <f aca="false">AJ957/AK957</f>
        <v>0.668611111111111</v>
      </c>
      <c r="AM957" s="99" t="n">
        <f aca="false">AE957*AL957*AH957</f>
        <v>0.643738777777778</v>
      </c>
      <c r="AN957" s="103" t="n">
        <v>0.643738777777778</v>
      </c>
      <c r="AO957" s="112"/>
      <c r="AP957" s="105" t="n">
        <v>0</v>
      </c>
      <c r="AQ957" s="105" t="n">
        <v>0</v>
      </c>
      <c r="AR957" s="105" t="n">
        <v>0</v>
      </c>
      <c r="AS957" s="105" t="n">
        <v>0</v>
      </c>
      <c r="AT957" s="105" t="n">
        <v>0</v>
      </c>
      <c r="AU957" s="105" t="n">
        <v>0</v>
      </c>
      <c r="AV957" s="105" t="n">
        <v>0</v>
      </c>
      <c r="AW957" s="105" t="n">
        <v>0</v>
      </c>
      <c r="AX957" s="105" t="n">
        <v>0</v>
      </c>
      <c r="AY957" s="105" t="n">
        <v>0</v>
      </c>
      <c r="AZ957" s="105" t="n">
        <v>0</v>
      </c>
      <c r="BA957" s="105" t="n">
        <v>0</v>
      </c>
      <c r="BB957" s="105" t="n">
        <v>0</v>
      </c>
      <c r="BC957" s="105" t="n">
        <v>0</v>
      </c>
      <c r="BD957" s="105" t="n">
        <v>0</v>
      </c>
      <c r="BE957" s="105" t="n">
        <v>0</v>
      </c>
      <c r="BF957" s="105" t="n">
        <v>0</v>
      </c>
      <c r="BG957" s="105" t="n">
        <v>0</v>
      </c>
      <c r="BH957" s="105" t="n">
        <v>0</v>
      </c>
      <c r="BI957" s="105" t="n">
        <v>0</v>
      </c>
      <c r="BJ957" s="105" t="n">
        <v>0</v>
      </c>
      <c r="BK957" s="105" t="n">
        <v>0</v>
      </c>
      <c r="BL957" s="105" t="n">
        <v>0</v>
      </c>
      <c r="BM957" s="105" t="n">
        <v>0</v>
      </c>
      <c r="BN957" s="105" t="n">
        <v>0</v>
      </c>
      <c r="BO957" s="105" t="n">
        <v>0</v>
      </c>
      <c r="BP957" s="105" t="n">
        <v>0</v>
      </c>
      <c r="BQ957" s="105" t="n">
        <v>0</v>
      </c>
      <c r="BR957" s="106" t="n">
        <v>0</v>
      </c>
      <c r="BS957" s="106" t="n">
        <v>0</v>
      </c>
      <c r="BT957" s="107"/>
      <c r="BU957" s="107"/>
      <c r="BV957" s="107"/>
      <c r="BW957" s="107"/>
      <c r="BX957" s="107"/>
      <c r="BY957" s="107"/>
      <c r="BZ957" s="107"/>
      <c r="CA957" s="107"/>
      <c r="CB957" s="107"/>
      <c r="CC957" s="107"/>
      <c r="CD957" s="107"/>
      <c r="CE957" s="107"/>
      <c r="CF957" s="107"/>
      <c r="CG957" s="107"/>
      <c r="CH957" s="107"/>
      <c r="CI957" s="107"/>
      <c r="CJ957" s="107"/>
      <c r="CK957" s="107"/>
      <c r="CL957" s="107"/>
      <c r="CM957" s="107"/>
      <c r="CN957" s="107"/>
      <c r="CO957" s="107"/>
      <c r="CP957" s="107"/>
      <c r="CQ957" s="107"/>
      <c r="CR957" s="107"/>
      <c r="CS957" s="107"/>
      <c r="CT957" s="107"/>
      <c r="CU957" s="107"/>
      <c r="CV957" s="107"/>
    </row>
    <row r="958" customFormat="false" ht="14.9" hidden="false" customHeight="false" outlineLevel="0" collapsed="false">
      <c r="A958" s="74" t="n">
        <f aca="false">MONTH(B958)</f>
        <v>10</v>
      </c>
      <c r="B958" s="135" t="n">
        <v>44488</v>
      </c>
      <c r="C958" s="128" t="s">
        <v>70</v>
      </c>
      <c r="D958" s="77" t="str">
        <f aca="false">IFERROR(VLOOKUP(E:E,'Item Data Support Sheet'!A:O,7,0),"")</f>
        <v>CAP MOLDED</v>
      </c>
      <c r="E958" s="80" t="s">
        <v>453</v>
      </c>
      <c r="F958" s="122"/>
      <c r="G958" s="137" t="s">
        <v>1595</v>
      </c>
      <c r="H958" s="79" t="str">
        <f aca="false">IFERROR(VLOOKUP(E:E,'Item Data Support Sheet'!A:O,2,0),"")</f>
        <v>CAP S TYPE MOLDED WHITE</v>
      </c>
      <c r="I958" s="80" t="s">
        <v>1732</v>
      </c>
      <c r="J958" s="80" t="s">
        <v>155</v>
      </c>
      <c r="K958" s="124" t="n">
        <v>5</v>
      </c>
      <c r="L958" s="124" t="n">
        <v>2585</v>
      </c>
      <c r="M958" s="83" t="n">
        <v>517</v>
      </c>
      <c r="N958" s="84" t="n">
        <f aca="false">+O958+Q958+T958+U958</f>
        <v>3000</v>
      </c>
      <c r="O958" s="85" t="n">
        <v>3000</v>
      </c>
      <c r="P958" s="86" t="n">
        <v>0</v>
      </c>
      <c r="Q958" s="86" t="n">
        <v>0</v>
      </c>
      <c r="R958" s="132" t="n">
        <v>0</v>
      </c>
      <c r="S958" s="128" t="n">
        <v>0</v>
      </c>
      <c r="T958" s="132" t="n">
        <v>0</v>
      </c>
      <c r="U958" s="128" t="n">
        <v>0</v>
      </c>
      <c r="V958" s="128" t="n">
        <v>1</v>
      </c>
      <c r="W958" s="90" t="n">
        <f aca="false">IFERROR(O958/V958,0)</f>
        <v>3000</v>
      </c>
      <c r="X958" s="91" t="n">
        <f aca="false">O958/L958</f>
        <v>1.1605415860735</v>
      </c>
      <c r="Y958" s="92" t="str">
        <f aca="false">IFERROR(VLOOKUP(E:E,'Item Data Support Sheet'!A:J,6,0),0)</f>
        <v>RM000106</v>
      </c>
      <c r="Z958" s="93" t="n">
        <f aca="false">IFERROR(VLOOKUP(E:E,'Item Data Support Sheet'!A:O,4,0),0)</f>
        <v>7.3</v>
      </c>
      <c r="AA958" s="93" t="n">
        <f aca="false">IFERROR(((N958)*(Z958/1000))+P958,0)</f>
        <v>21.9</v>
      </c>
      <c r="AB958" s="94" t="n">
        <f aca="false">IFERROR((O958*(Z958/1000)/(AA958))," ")</f>
        <v>1</v>
      </c>
      <c r="AC958" s="95" t="n">
        <f aca="false">IFERROR((T958)/((T958)+O958),0)</f>
        <v>0</v>
      </c>
      <c r="AD958" s="96" t="n">
        <f aca="false">IFERROR(Q958/(Q958+N958),0)</f>
        <v>0</v>
      </c>
      <c r="AE958" s="91" t="n">
        <f aca="false">(N958-T958)/N958</f>
        <v>1</v>
      </c>
      <c r="AF958" s="97" t="n">
        <f aca="false">BR958</f>
        <v>0</v>
      </c>
      <c r="AG958" s="98" t="n">
        <f aca="false">K958-AF958</f>
        <v>5</v>
      </c>
      <c r="AH958" s="99" t="n">
        <f aca="false">IFERROR(AG958/K958," ")</f>
        <v>1</v>
      </c>
      <c r="AI958" s="100" t="n">
        <f aca="false">IFERROR(O958/K958,0)</f>
        <v>600</v>
      </c>
      <c r="AJ958" s="101" t="n">
        <f aca="false">VLOOKUP(D958,'Standard Cycle time'!C:D,2,0)</f>
        <v>6</v>
      </c>
      <c r="AK958" s="101" t="n">
        <f aca="false">AG958*V958*3600/O958</f>
        <v>6</v>
      </c>
      <c r="AL958" s="102" t="n">
        <f aca="false">AJ958/AK958</f>
        <v>1</v>
      </c>
      <c r="AM958" s="99" t="n">
        <f aca="false">AE958*AL958*AH958</f>
        <v>1</v>
      </c>
      <c r="AN958" s="103" t="n">
        <v>1</v>
      </c>
      <c r="AO958" s="112"/>
      <c r="AP958" s="105" t="n">
        <v>0</v>
      </c>
      <c r="AQ958" s="105" t="n">
        <v>0</v>
      </c>
      <c r="AR958" s="105" t="n">
        <v>0</v>
      </c>
      <c r="AS958" s="105" t="n">
        <v>0</v>
      </c>
      <c r="AT958" s="105" t="n">
        <v>0</v>
      </c>
      <c r="AU958" s="105" t="n">
        <v>0</v>
      </c>
      <c r="AV958" s="105" t="n">
        <v>0</v>
      </c>
      <c r="AW958" s="105" t="n">
        <v>0</v>
      </c>
      <c r="AX958" s="105" t="n">
        <v>0</v>
      </c>
      <c r="AY958" s="105" t="n">
        <v>0</v>
      </c>
      <c r="AZ958" s="105" t="n">
        <v>0</v>
      </c>
      <c r="BA958" s="105" t="n">
        <v>0</v>
      </c>
      <c r="BB958" s="105" t="n">
        <v>0</v>
      </c>
      <c r="BC958" s="105" t="n">
        <v>0</v>
      </c>
      <c r="BD958" s="105" t="n">
        <v>0</v>
      </c>
      <c r="BE958" s="105" t="n">
        <v>0</v>
      </c>
      <c r="BF958" s="105" t="n">
        <v>0</v>
      </c>
      <c r="BG958" s="105" t="n">
        <v>0</v>
      </c>
      <c r="BH958" s="105" t="n">
        <v>0</v>
      </c>
      <c r="BI958" s="105" t="n">
        <v>0</v>
      </c>
      <c r="BJ958" s="105" t="n">
        <v>0</v>
      </c>
      <c r="BK958" s="105" t="n">
        <v>0</v>
      </c>
      <c r="BL958" s="105" t="n">
        <v>0</v>
      </c>
      <c r="BM958" s="105" t="n">
        <v>0</v>
      </c>
      <c r="BN958" s="105" t="n">
        <v>0</v>
      </c>
      <c r="BO958" s="105" t="n">
        <v>0</v>
      </c>
      <c r="BP958" s="105" t="n">
        <v>0</v>
      </c>
      <c r="BQ958" s="105" t="n">
        <v>0</v>
      </c>
      <c r="BR958" s="106" t="n">
        <v>0</v>
      </c>
      <c r="BS958" s="106" t="n">
        <v>0</v>
      </c>
      <c r="BT958" s="107"/>
      <c r="BU958" s="107"/>
      <c r="BV958" s="107"/>
      <c r="BW958" s="107"/>
      <c r="BX958" s="107"/>
      <c r="BY958" s="107"/>
      <c r="BZ958" s="107"/>
      <c r="CA958" s="107"/>
      <c r="CB958" s="107"/>
      <c r="CC958" s="107"/>
      <c r="CD958" s="107"/>
      <c r="CE958" s="107"/>
      <c r="CF958" s="107"/>
      <c r="CG958" s="107"/>
      <c r="CH958" s="107"/>
      <c r="CI958" s="107"/>
      <c r="CJ958" s="107"/>
      <c r="CK958" s="107"/>
      <c r="CL958" s="107"/>
      <c r="CM958" s="107"/>
      <c r="CN958" s="107"/>
      <c r="CO958" s="107"/>
      <c r="CP958" s="107"/>
      <c r="CQ958" s="107"/>
      <c r="CR958" s="107"/>
      <c r="CS958" s="107"/>
      <c r="CT958" s="107"/>
      <c r="CU958" s="107"/>
      <c r="CV958" s="107"/>
    </row>
    <row r="959" customFormat="false" ht="14.9" hidden="false" customHeight="false" outlineLevel="0" collapsed="false">
      <c r="A959" s="74" t="n">
        <f aca="false">MONTH(B959)</f>
        <v>10</v>
      </c>
      <c r="B959" s="135" t="n">
        <v>44488</v>
      </c>
      <c r="C959" s="128" t="s">
        <v>70</v>
      </c>
      <c r="D959" s="77" t="str">
        <f aca="false">IFERROR(VLOOKUP(E:E,'Item Data Support Sheet'!A:O,7,0),"")</f>
        <v>NIPPLE PUNCH</v>
      </c>
      <c r="E959" s="80" t="s">
        <v>60</v>
      </c>
      <c r="F959" s="122"/>
      <c r="G959" s="137" t="s">
        <v>54</v>
      </c>
      <c r="H959" s="79" t="str">
        <f aca="false">IFERROR(VLOOKUP(E:E,'Item Data Support Sheet'!A:O,2,0),"")</f>
        <v>NIPPLE S TYPE M SIZE PUNCHED</v>
      </c>
      <c r="I959" s="80" t="s">
        <v>1733</v>
      </c>
      <c r="J959" s="80" t="s">
        <v>155</v>
      </c>
      <c r="K959" s="124" t="n">
        <v>8</v>
      </c>
      <c r="L959" s="124" t="n">
        <v>7000</v>
      </c>
      <c r="M959" s="83" t="n">
        <v>875</v>
      </c>
      <c r="N959" s="84" t="n">
        <f aca="false">+O959+Q959+T959+U959</f>
        <v>4800</v>
      </c>
      <c r="O959" s="85" t="n">
        <v>4775</v>
      </c>
      <c r="P959" s="86" t="n">
        <v>0</v>
      </c>
      <c r="Q959" s="86" t="n">
        <v>0</v>
      </c>
      <c r="R959" s="132" t="n">
        <v>0</v>
      </c>
      <c r="S959" s="128" t="n">
        <v>0</v>
      </c>
      <c r="T959" s="132" t="n">
        <v>25</v>
      </c>
      <c r="U959" s="128" t="n">
        <v>0</v>
      </c>
      <c r="V959" s="128" t="n">
        <v>1</v>
      </c>
      <c r="W959" s="90" t="n">
        <f aca="false">IFERROR(O959/V959,0)</f>
        <v>4775</v>
      </c>
      <c r="X959" s="91" t="n">
        <f aca="false">O959/L959</f>
        <v>0.682142857142857</v>
      </c>
      <c r="Y959" s="92" t="str">
        <f aca="false">IFERROR(VLOOKUP(E:E,'Item Data Support Sheet'!A:J,6,0),0)</f>
        <v>FO016</v>
      </c>
      <c r="Z959" s="93" t="n">
        <f aca="false">IFERROR(VLOOKUP(E:E,'Item Data Support Sheet'!A:O,4,0),0)</f>
        <v>0</v>
      </c>
      <c r="AA959" s="93" t="n">
        <f aca="false">IFERROR(((N959)*(Z959/1000))+P959,0)</f>
        <v>0</v>
      </c>
      <c r="AB959" s="94" t="str">
        <f aca="false">IFERROR((O959*(Z959/1000)/(AA959))," ")</f>
        <v> </v>
      </c>
      <c r="AC959" s="95" t="n">
        <f aca="false">IFERROR((T959)/((T959)+O959),0)</f>
        <v>0.00520833333333333</v>
      </c>
      <c r="AD959" s="96" t="n">
        <f aca="false">IFERROR(Q959/(Q959+N959),0)</f>
        <v>0</v>
      </c>
      <c r="AE959" s="91" t="n">
        <f aca="false">(N959-T959)/N959</f>
        <v>0.994791666666667</v>
      </c>
      <c r="AF959" s="97" t="n">
        <f aca="false">BR959</f>
        <v>0.666666666666667</v>
      </c>
      <c r="AG959" s="98" t="n">
        <f aca="false">K959-AF959</f>
        <v>7.33333333333333</v>
      </c>
      <c r="AH959" s="99" t="n">
        <f aca="false">IFERROR(AG959/K959," ")</f>
        <v>0.916666666666667</v>
      </c>
      <c r="AI959" s="100" t="n">
        <f aca="false">IFERROR(O959/K959,0)</f>
        <v>596.875</v>
      </c>
      <c r="AJ959" s="101" t="n">
        <f aca="false">VLOOKUP(D959,'Standard Cycle time'!C:D,2,0)</f>
        <v>3.5</v>
      </c>
      <c r="AK959" s="101" t="n">
        <f aca="false">AG959*V959*3600/O959</f>
        <v>5.52879581151832</v>
      </c>
      <c r="AL959" s="102" t="n">
        <f aca="false">AJ959/AK959</f>
        <v>0.633049242424242</v>
      </c>
      <c r="AM959" s="99" t="n">
        <f aca="false">AE959*AL959*AH959</f>
        <v>0.577272768373843</v>
      </c>
      <c r="AN959" s="103" t="n">
        <v>0.577272768373843</v>
      </c>
      <c r="AO959" s="112" t="s">
        <v>1734</v>
      </c>
      <c r="AP959" s="105" t="n">
        <v>40</v>
      </c>
      <c r="AQ959" s="105" t="n">
        <v>0</v>
      </c>
      <c r="AR959" s="105" t="n">
        <v>0</v>
      </c>
      <c r="AS959" s="105" t="n">
        <v>0</v>
      </c>
      <c r="AT959" s="105" t="n">
        <v>0</v>
      </c>
      <c r="AU959" s="105" t="n">
        <v>0</v>
      </c>
      <c r="AV959" s="105" t="n">
        <v>0</v>
      </c>
      <c r="AW959" s="105" t="n">
        <v>0</v>
      </c>
      <c r="AX959" s="105" t="n">
        <v>0</v>
      </c>
      <c r="AY959" s="105" t="n">
        <v>0</v>
      </c>
      <c r="AZ959" s="105" t="n">
        <v>0</v>
      </c>
      <c r="BA959" s="105" t="n">
        <v>0</v>
      </c>
      <c r="BB959" s="105" t="n">
        <v>0</v>
      </c>
      <c r="BC959" s="105" t="n">
        <v>0</v>
      </c>
      <c r="BD959" s="105" t="n">
        <v>0</v>
      </c>
      <c r="BE959" s="105" t="n">
        <v>0</v>
      </c>
      <c r="BF959" s="105" t="n">
        <v>0</v>
      </c>
      <c r="BG959" s="105" t="n">
        <v>0</v>
      </c>
      <c r="BH959" s="105" t="n">
        <v>0</v>
      </c>
      <c r="BI959" s="105" t="n">
        <v>0</v>
      </c>
      <c r="BJ959" s="105" t="n">
        <v>0</v>
      </c>
      <c r="BK959" s="105" t="n">
        <v>0</v>
      </c>
      <c r="BL959" s="105" t="n">
        <v>0</v>
      </c>
      <c r="BM959" s="105" t="n">
        <v>0</v>
      </c>
      <c r="BN959" s="105" t="n">
        <v>0</v>
      </c>
      <c r="BO959" s="105" t="n">
        <v>0</v>
      </c>
      <c r="BP959" s="105" t="n">
        <v>0</v>
      </c>
      <c r="BQ959" s="105" t="n">
        <v>0</v>
      </c>
      <c r="BR959" s="106" t="n">
        <v>0.666666666666667</v>
      </c>
      <c r="BS959" s="106" t="n">
        <v>0.666666666666667</v>
      </c>
      <c r="BT959" s="107"/>
      <c r="BU959" s="107"/>
      <c r="BV959" s="107"/>
      <c r="BW959" s="107"/>
      <c r="BX959" s="107"/>
      <c r="BY959" s="107"/>
      <c r="BZ959" s="107"/>
      <c r="CA959" s="107"/>
      <c r="CB959" s="107"/>
      <c r="CC959" s="107"/>
      <c r="CD959" s="107"/>
      <c r="CE959" s="107"/>
      <c r="CF959" s="107"/>
      <c r="CG959" s="107"/>
      <c r="CH959" s="107"/>
      <c r="CI959" s="107"/>
      <c r="CJ959" s="107"/>
      <c r="CK959" s="107"/>
      <c r="CL959" s="107"/>
      <c r="CM959" s="107"/>
      <c r="CN959" s="107"/>
      <c r="CO959" s="107"/>
      <c r="CP959" s="107"/>
      <c r="CQ959" s="107"/>
      <c r="CR959" s="107"/>
      <c r="CS959" s="107"/>
      <c r="CT959" s="107"/>
      <c r="CU959" s="107"/>
      <c r="CV959" s="107"/>
    </row>
    <row r="960" customFormat="false" ht="14.9" hidden="false" customHeight="false" outlineLevel="0" collapsed="false">
      <c r="A960" s="74" t="n">
        <f aca="false">MONTH(B960)</f>
        <v>10</v>
      </c>
      <c r="B960" s="135" t="n">
        <v>44488</v>
      </c>
      <c r="C960" s="128" t="s">
        <v>70</v>
      </c>
      <c r="D960" s="77" t="str">
        <f aca="false">IFERROR(VLOOKUP(E:E,'Item Data Support Sheet'!A:O,7,0),"")</f>
        <v>NIPPLE LASER MARKING</v>
      </c>
      <c r="E960" s="80" t="s">
        <v>932</v>
      </c>
      <c r="F960" s="122"/>
      <c r="G960" s="137" t="s">
        <v>517</v>
      </c>
      <c r="H960" s="79" t="str">
        <f aca="false">IFERROR(VLOOKUP(E:E,'Item Data Support Sheet'!A:O,2,0),"")</f>
        <v>NIPPLE S TYPE M SIZE PUNCHED LASER MARKED</v>
      </c>
      <c r="I960" s="80" t="s">
        <v>1735</v>
      </c>
      <c r="J960" s="80" t="s">
        <v>155</v>
      </c>
      <c r="K960" s="124" t="n">
        <v>8</v>
      </c>
      <c r="L960" s="124" t="n">
        <v>7000</v>
      </c>
      <c r="M960" s="83" t="n">
        <v>875</v>
      </c>
      <c r="N960" s="84" t="n">
        <f aca="false">+O960+Q960+T960+U960</f>
        <v>4800</v>
      </c>
      <c r="O960" s="85" t="n">
        <v>4800</v>
      </c>
      <c r="P960" s="86" t="n">
        <v>0</v>
      </c>
      <c r="Q960" s="86" t="n">
        <v>0</v>
      </c>
      <c r="R960" s="132" t="n">
        <v>0</v>
      </c>
      <c r="S960" s="128" t="n">
        <v>0</v>
      </c>
      <c r="T960" s="132" t="n">
        <v>0</v>
      </c>
      <c r="U960" s="128" t="n">
        <v>0</v>
      </c>
      <c r="V960" s="128" t="n">
        <v>1</v>
      </c>
      <c r="W960" s="90" t="n">
        <f aca="false">IFERROR(O960/V960,0)</f>
        <v>4800</v>
      </c>
      <c r="X960" s="91" t="n">
        <f aca="false">O960/L960</f>
        <v>0.685714285714286</v>
      </c>
      <c r="Y960" s="92" t="str">
        <f aca="false">IFERROR(VLOOKUP(E:E,'Item Data Support Sheet'!A:J,6,0),0)</f>
        <v>FO020</v>
      </c>
      <c r="Z960" s="93" t="n">
        <f aca="false">IFERROR(VLOOKUP(E:E,'Item Data Support Sheet'!A:O,4,0),0)</f>
        <v>0</v>
      </c>
      <c r="AA960" s="93" t="n">
        <f aca="false">IFERROR(((N960)*(Z960/1000))+P960,0)</f>
        <v>0</v>
      </c>
      <c r="AB960" s="94" t="str">
        <f aca="false">IFERROR((O960*(Z960/1000)/(AA960))," ")</f>
        <v> </v>
      </c>
      <c r="AC960" s="95" t="n">
        <f aca="false">IFERROR((T960)/((T960)+O960),0)</f>
        <v>0</v>
      </c>
      <c r="AD960" s="96" t="n">
        <f aca="false">IFERROR(Q960/(Q960+N960),0)</f>
        <v>0</v>
      </c>
      <c r="AE960" s="91" t="n">
        <f aca="false">(N960-T960)/N960</f>
        <v>1</v>
      </c>
      <c r="AF960" s="97" t="n">
        <f aca="false">BR960</f>
        <v>1</v>
      </c>
      <c r="AG960" s="98" t="n">
        <f aca="false">K960-AF960</f>
        <v>7</v>
      </c>
      <c r="AH960" s="99" t="n">
        <f aca="false">IFERROR(AG960/K960," ")</f>
        <v>0.875</v>
      </c>
      <c r="AI960" s="100" t="n">
        <f aca="false">IFERROR(O960/K960,0)</f>
        <v>600</v>
      </c>
      <c r="AJ960" s="101" t="n">
        <f aca="false">VLOOKUP(D960,'Standard Cycle time'!C:D,2,0)</f>
        <v>3.5</v>
      </c>
      <c r="AK960" s="101" t="n">
        <f aca="false">AG960*V960*3600/O960</f>
        <v>5.25</v>
      </c>
      <c r="AL960" s="102" t="n">
        <f aca="false">AJ960/AK960</f>
        <v>0.666666666666667</v>
      </c>
      <c r="AM960" s="99" t="n">
        <f aca="false">AE960*AL960*AH960</f>
        <v>0.583333333333333</v>
      </c>
      <c r="AN960" s="103" t="n">
        <v>0.583333333333333</v>
      </c>
      <c r="AO960" s="112" t="s">
        <v>755</v>
      </c>
      <c r="AP960" s="105" t="n">
        <v>0</v>
      </c>
      <c r="AQ960" s="105" t="n">
        <v>0</v>
      </c>
      <c r="AR960" s="105" t="n">
        <v>0</v>
      </c>
      <c r="AS960" s="105" t="n">
        <v>0</v>
      </c>
      <c r="AT960" s="105" t="n">
        <v>0</v>
      </c>
      <c r="AU960" s="105" t="n">
        <v>0</v>
      </c>
      <c r="AV960" s="105" t="n">
        <v>30</v>
      </c>
      <c r="AW960" s="105" t="n">
        <v>30</v>
      </c>
      <c r="AX960" s="105" t="n">
        <v>0</v>
      </c>
      <c r="AY960" s="105" t="n">
        <v>0</v>
      </c>
      <c r="AZ960" s="105" t="n">
        <v>0</v>
      </c>
      <c r="BA960" s="105" t="n">
        <v>0</v>
      </c>
      <c r="BB960" s="105" t="n">
        <v>0</v>
      </c>
      <c r="BC960" s="105" t="n">
        <v>0</v>
      </c>
      <c r="BD960" s="105" t="n">
        <v>0</v>
      </c>
      <c r="BE960" s="105" t="n">
        <v>0</v>
      </c>
      <c r="BF960" s="105" t="n">
        <v>0</v>
      </c>
      <c r="BG960" s="105" t="n">
        <v>0</v>
      </c>
      <c r="BH960" s="105" t="n">
        <v>0</v>
      </c>
      <c r="BI960" s="105" t="n">
        <v>0</v>
      </c>
      <c r="BJ960" s="105" t="n">
        <v>0</v>
      </c>
      <c r="BK960" s="105" t="n">
        <v>0</v>
      </c>
      <c r="BL960" s="105" t="n">
        <v>0</v>
      </c>
      <c r="BM960" s="105" t="n">
        <v>0</v>
      </c>
      <c r="BN960" s="105" t="n">
        <v>0</v>
      </c>
      <c r="BO960" s="105" t="n">
        <v>0</v>
      </c>
      <c r="BP960" s="105" t="n">
        <v>0</v>
      </c>
      <c r="BQ960" s="105" t="n">
        <v>0</v>
      </c>
      <c r="BR960" s="106" t="n">
        <v>1</v>
      </c>
      <c r="BS960" s="106" t="n">
        <v>1</v>
      </c>
      <c r="BT960" s="107"/>
      <c r="BU960" s="107"/>
      <c r="BV960" s="107"/>
      <c r="BW960" s="107"/>
      <c r="BX960" s="107"/>
      <c r="BY960" s="107"/>
      <c r="BZ960" s="107"/>
      <c r="CA960" s="107"/>
      <c r="CB960" s="107"/>
      <c r="CC960" s="107"/>
      <c r="CD960" s="107"/>
      <c r="CE960" s="107"/>
      <c r="CF960" s="107"/>
      <c r="CG960" s="107"/>
      <c r="CH960" s="107"/>
      <c r="CI960" s="107"/>
      <c r="CJ960" s="107"/>
      <c r="CK960" s="107"/>
      <c r="CL960" s="107"/>
      <c r="CM960" s="107"/>
      <c r="CN960" s="107"/>
      <c r="CO960" s="107"/>
      <c r="CP960" s="107"/>
      <c r="CQ960" s="107"/>
      <c r="CR960" s="107"/>
      <c r="CS960" s="107"/>
      <c r="CT960" s="107"/>
      <c r="CU960" s="107"/>
      <c r="CV960" s="107"/>
    </row>
    <row r="961" customFormat="false" ht="14.9" hidden="false" customHeight="false" outlineLevel="0" collapsed="false">
      <c r="A961" s="74" t="n">
        <f aca="false">MONTH(B961)</f>
        <v>10</v>
      </c>
      <c r="B961" s="135" t="n">
        <v>44488</v>
      </c>
      <c r="C961" s="128" t="s">
        <v>70</v>
      </c>
      <c r="D961" s="77" t="str">
        <f aca="false">IFERROR(VLOOKUP(E:E,'Item Data Support Sheet'!A:O,7,0),"")</f>
        <v>CAP MOLDED</v>
      </c>
      <c r="E961" s="80" t="s">
        <v>453</v>
      </c>
      <c r="F961" s="122"/>
      <c r="G961" s="137" t="s">
        <v>1215</v>
      </c>
      <c r="H961" s="79" t="str">
        <f aca="false">IFERROR(VLOOKUP(E:E,'Item Data Support Sheet'!A:O,2,0),"")</f>
        <v>CAP S TYPE MOLDED WHITE</v>
      </c>
      <c r="I961" s="80" t="s">
        <v>1736</v>
      </c>
      <c r="J961" s="80" t="s">
        <v>155</v>
      </c>
      <c r="K961" s="124" t="n">
        <v>3</v>
      </c>
      <c r="L961" s="124" t="n">
        <v>1553</v>
      </c>
      <c r="M961" s="83" t="n">
        <v>517.666666666667</v>
      </c>
      <c r="N961" s="84" t="n">
        <f aca="false">+O961+Q961+T961+U961</f>
        <v>1600</v>
      </c>
      <c r="O961" s="85" t="n">
        <v>1600</v>
      </c>
      <c r="P961" s="86" t="n">
        <v>0</v>
      </c>
      <c r="Q961" s="86" t="n">
        <v>0</v>
      </c>
      <c r="R961" s="132" t="n">
        <v>0</v>
      </c>
      <c r="S961" s="128" t="n">
        <v>0</v>
      </c>
      <c r="T961" s="132" t="n">
        <v>0</v>
      </c>
      <c r="U961" s="128" t="n">
        <v>0</v>
      </c>
      <c r="V961" s="128" t="n">
        <v>1</v>
      </c>
      <c r="W961" s="90" t="n">
        <f aca="false">IFERROR(O961/V961,0)</f>
        <v>1600</v>
      </c>
      <c r="X961" s="91" t="n">
        <f aca="false">O961/L961</f>
        <v>1.03026400515132</v>
      </c>
      <c r="Y961" s="92" t="str">
        <f aca="false">IFERROR(VLOOKUP(E:E,'Item Data Support Sheet'!A:J,6,0),0)</f>
        <v>RM000106</v>
      </c>
      <c r="Z961" s="93" t="n">
        <f aca="false">IFERROR(VLOOKUP(E:E,'Item Data Support Sheet'!A:O,4,0),0)</f>
        <v>7.3</v>
      </c>
      <c r="AA961" s="93" t="n">
        <f aca="false">IFERROR(((N961)*(Z961/1000))+P961,0)</f>
        <v>11.68</v>
      </c>
      <c r="AB961" s="94" t="n">
        <f aca="false">IFERROR((O961*(Z961/1000)/(AA961))," ")</f>
        <v>1</v>
      </c>
      <c r="AC961" s="95" t="n">
        <f aca="false">IFERROR((T961)/((T961)+O961),0)</f>
        <v>0</v>
      </c>
      <c r="AD961" s="96" t="n">
        <f aca="false">IFERROR(Q961/(Q961+N961),0)</f>
        <v>0</v>
      </c>
      <c r="AE961" s="91" t="n">
        <f aca="false">(N961-T961)/N961</f>
        <v>1</v>
      </c>
      <c r="AF961" s="97" t="n">
        <f aca="false">BR961</f>
        <v>0.5</v>
      </c>
      <c r="AG961" s="98" t="n">
        <f aca="false">K961-AF961</f>
        <v>2.5</v>
      </c>
      <c r="AH961" s="99" t="n">
        <f aca="false">IFERROR(AG961/K961," ")</f>
        <v>0.833333333333333</v>
      </c>
      <c r="AI961" s="100" t="n">
        <f aca="false">IFERROR(O961/K961,0)</f>
        <v>533.333333333333</v>
      </c>
      <c r="AJ961" s="101" t="n">
        <f aca="false">VLOOKUP(D961,'Standard Cycle time'!C:D,2,0)</f>
        <v>6</v>
      </c>
      <c r="AK961" s="101" t="n">
        <f aca="false">AG961*V961*3600/O961</f>
        <v>5.625</v>
      </c>
      <c r="AL961" s="102" t="n">
        <f aca="false">AJ961/AK961</f>
        <v>1.06666666666667</v>
      </c>
      <c r="AM961" s="99" t="n">
        <f aca="false">AE961*AL961*AH961</f>
        <v>0.888888888888889</v>
      </c>
      <c r="AN961" s="103" t="n">
        <v>0.888888888888889</v>
      </c>
      <c r="AO961" s="112"/>
      <c r="AP961" s="105" t="n">
        <v>0</v>
      </c>
      <c r="AQ961" s="105" t="n">
        <v>0</v>
      </c>
      <c r="AR961" s="105" t="n">
        <v>0</v>
      </c>
      <c r="AS961" s="105" t="n">
        <v>0</v>
      </c>
      <c r="AT961" s="105" t="n">
        <v>0</v>
      </c>
      <c r="AU961" s="105" t="n">
        <v>0</v>
      </c>
      <c r="AV961" s="105" t="n">
        <v>0</v>
      </c>
      <c r="AW961" s="105" t="n">
        <v>30</v>
      </c>
      <c r="AX961" s="105" t="n">
        <v>0</v>
      </c>
      <c r="AY961" s="105" t="n">
        <v>0</v>
      </c>
      <c r="AZ961" s="105" t="n">
        <v>0</v>
      </c>
      <c r="BA961" s="105" t="n">
        <v>0</v>
      </c>
      <c r="BB961" s="105" t="n">
        <v>0</v>
      </c>
      <c r="BC961" s="105" t="n">
        <v>0</v>
      </c>
      <c r="BD961" s="105" t="n">
        <v>0</v>
      </c>
      <c r="BE961" s="105" t="n">
        <v>0</v>
      </c>
      <c r="BF961" s="105" t="n">
        <v>0</v>
      </c>
      <c r="BG961" s="105" t="n">
        <v>0</v>
      </c>
      <c r="BH961" s="105" t="n">
        <v>0</v>
      </c>
      <c r="BI961" s="105" t="n">
        <v>0</v>
      </c>
      <c r="BJ961" s="105" t="n">
        <v>0</v>
      </c>
      <c r="BK961" s="105" t="n">
        <v>0</v>
      </c>
      <c r="BL961" s="105" t="n">
        <v>0</v>
      </c>
      <c r="BM961" s="105" t="n">
        <v>0</v>
      </c>
      <c r="BN961" s="105" t="n">
        <v>0</v>
      </c>
      <c r="BO961" s="105" t="n">
        <v>0</v>
      </c>
      <c r="BP961" s="105" t="n">
        <v>0</v>
      </c>
      <c r="BQ961" s="105" t="n">
        <v>0</v>
      </c>
      <c r="BR961" s="106" t="n">
        <v>0.5</v>
      </c>
      <c r="BS961" s="106" t="n">
        <v>0.5</v>
      </c>
      <c r="BT961" s="107"/>
      <c r="BU961" s="107"/>
      <c r="BV961" s="107"/>
      <c r="BW961" s="107"/>
      <c r="BX961" s="107"/>
      <c r="BY961" s="107"/>
      <c r="BZ961" s="107"/>
      <c r="CA961" s="107"/>
      <c r="CB961" s="107"/>
      <c r="CC961" s="107"/>
      <c r="CD961" s="107"/>
      <c r="CE961" s="107"/>
      <c r="CF961" s="107"/>
      <c r="CG961" s="107"/>
      <c r="CH961" s="107"/>
      <c r="CI961" s="107"/>
      <c r="CJ961" s="107"/>
      <c r="CK961" s="107"/>
      <c r="CL961" s="107"/>
      <c r="CM961" s="107"/>
      <c r="CN961" s="107"/>
      <c r="CO961" s="107"/>
      <c r="CP961" s="107"/>
      <c r="CQ961" s="107"/>
      <c r="CR961" s="107"/>
      <c r="CS961" s="107"/>
      <c r="CT961" s="107"/>
      <c r="CU961" s="107"/>
      <c r="CV961" s="107"/>
    </row>
    <row r="962" customFormat="false" ht="14.9" hidden="false" customHeight="false" outlineLevel="0" collapsed="false">
      <c r="A962" s="74" t="n">
        <f aca="false">MONTH(B962)</f>
        <v>10</v>
      </c>
      <c r="B962" s="135" t="n">
        <v>44488</v>
      </c>
      <c r="C962" s="128" t="s">
        <v>70</v>
      </c>
      <c r="D962" s="77" t="str">
        <f aca="false">IFERROR(VLOOKUP(E:E,'Item Data Support Sheet'!A:O,7,0),"")</f>
        <v>NIPPLE MOLDED</v>
      </c>
      <c r="E962" s="80" t="s">
        <v>136</v>
      </c>
      <c r="F962" s="122" t="s">
        <v>137</v>
      </c>
      <c r="G962" s="137" t="s">
        <v>138</v>
      </c>
      <c r="H962" s="79" t="str">
        <f aca="false">IFERROR(VLOOKUP(E:E,'Item Data Support Sheet'!A:O,2,0),"")</f>
        <v>NIPPLE S TYPE M SIZE INJECTION</v>
      </c>
      <c r="I962" s="80" t="s">
        <v>1737</v>
      </c>
      <c r="J962" s="80" t="s">
        <v>155</v>
      </c>
      <c r="K962" s="124" t="n">
        <v>8</v>
      </c>
      <c r="L962" s="124" t="n">
        <v>4815</v>
      </c>
      <c r="M962" s="83" t="n">
        <v>601.875</v>
      </c>
      <c r="N962" s="84" t="n">
        <f aca="false">+O962+Q962+T962+U962</f>
        <v>5123</v>
      </c>
      <c r="O962" s="85" t="n">
        <v>5000</v>
      </c>
      <c r="P962" s="86" t="n">
        <v>0</v>
      </c>
      <c r="Q962" s="86" t="n">
        <v>43</v>
      </c>
      <c r="R962" s="132" t="n">
        <v>0</v>
      </c>
      <c r="S962" s="128" t="n">
        <v>0</v>
      </c>
      <c r="T962" s="132" t="n">
        <v>80</v>
      </c>
      <c r="U962" s="128" t="n">
        <v>0</v>
      </c>
      <c r="V962" s="128" t="n">
        <v>1</v>
      </c>
      <c r="W962" s="90" t="n">
        <f aca="false">IFERROR(O962/V962,0)</f>
        <v>5000</v>
      </c>
      <c r="X962" s="91" t="n">
        <f aca="false">O962/L962</f>
        <v>1.03842159916926</v>
      </c>
      <c r="Y962" s="92" t="str">
        <f aca="false">IFERROR(VLOOKUP(E:E,'Item Data Support Sheet'!A:J,6,0),0)</f>
        <v>Silicon</v>
      </c>
      <c r="Z962" s="93" t="n">
        <f aca="false">IFERROR(VLOOKUP(E:E,'Item Data Support Sheet'!A:O,4,0),0)</f>
        <v>6.8</v>
      </c>
      <c r="AA962" s="93" t="n">
        <f aca="false">IFERROR(((N962)*(Z962/1000))+P962,0)</f>
        <v>34.8364</v>
      </c>
      <c r="AB962" s="94" t="n">
        <f aca="false">IFERROR((O962*(Z962/1000)/(AA962))," ")</f>
        <v>0.975990630489947</v>
      </c>
      <c r="AC962" s="95" t="n">
        <f aca="false">IFERROR((T962)/((T962)+O962),0)</f>
        <v>0.015748031496063</v>
      </c>
      <c r="AD962" s="96" t="n">
        <f aca="false">IFERROR(Q962/(Q962+N962),0)</f>
        <v>0.00832365466511808</v>
      </c>
      <c r="AE962" s="91" t="n">
        <f aca="false">(N962-T962)/N962</f>
        <v>0.984384149912161</v>
      </c>
      <c r="AF962" s="97" t="n">
        <f aca="false">BR962</f>
        <v>0</v>
      </c>
      <c r="AG962" s="98" t="n">
        <f aca="false">K962-AF962</f>
        <v>8</v>
      </c>
      <c r="AH962" s="99" t="n">
        <f aca="false">IFERROR(AG962/K962," ")</f>
        <v>1</v>
      </c>
      <c r="AI962" s="100" t="n">
        <f aca="false">IFERROR(O962/K962,0)</f>
        <v>625</v>
      </c>
      <c r="AJ962" s="101" t="n">
        <f aca="false">VLOOKUP(D962,'Standard Cycle time'!C:D,2,0)</f>
        <v>5.25</v>
      </c>
      <c r="AK962" s="101" t="n">
        <f aca="false">AG962*V962*3600/O962</f>
        <v>5.76</v>
      </c>
      <c r="AL962" s="102" t="n">
        <f aca="false">AJ962/AK962</f>
        <v>0.911458333333333</v>
      </c>
      <c r="AM962" s="99" t="n">
        <f aca="false">AE962*AL962*AH962</f>
        <v>0.897225136638688</v>
      </c>
      <c r="AN962" s="103" t="n">
        <v>0.897225136638688</v>
      </c>
      <c r="AO962" s="112"/>
      <c r="AP962" s="105" t="n">
        <v>0</v>
      </c>
      <c r="AQ962" s="105" t="n">
        <v>0</v>
      </c>
      <c r="AR962" s="105" t="n">
        <v>0</v>
      </c>
      <c r="AS962" s="105" t="n">
        <v>0</v>
      </c>
      <c r="AT962" s="105" t="n">
        <v>0</v>
      </c>
      <c r="AU962" s="105" t="n">
        <v>0</v>
      </c>
      <c r="AV962" s="105" t="n">
        <v>0</v>
      </c>
      <c r="AW962" s="105" t="n">
        <v>0</v>
      </c>
      <c r="AX962" s="105" t="n">
        <v>0</v>
      </c>
      <c r="AY962" s="105" t="n">
        <v>0</v>
      </c>
      <c r="AZ962" s="105" t="n">
        <v>0</v>
      </c>
      <c r="BA962" s="105" t="n">
        <v>0</v>
      </c>
      <c r="BB962" s="105" t="n">
        <v>0</v>
      </c>
      <c r="BC962" s="105" t="n">
        <v>0</v>
      </c>
      <c r="BD962" s="105" t="n">
        <v>0</v>
      </c>
      <c r="BE962" s="105" t="n">
        <v>0</v>
      </c>
      <c r="BF962" s="105" t="n">
        <v>0</v>
      </c>
      <c r="BG962" s="105" t="n">
        <v>0</v>
      </c>
      <c r="BH962" s="105" t="n">
        <v>0</v>
      </c>
      <c r="BI962" s="105" t="n">
        <v>0</v>
      </c>
      <c r="BJ962" s="105" t="n">
        <v>0</v>
      </c>
      <c r="BK962" s="105" t="n">
        <v>0</v>
      </c>
      <c r="BL962" s="105" t="n">
        <v>0</v>
      </c>
      <c r="BM962" s="105" t="n">
        <v>0</v>
      </c>
      <c r="BN962" s="105" t="n">
        <v>0</v>
      </c>
      <c r="BO962" s="105" t="n">
        <v>0</v>
      </c>
      <c r="BP962" s="105" t="n">
        <v>0</v>
      </c>
      <c r="BQ962" s="105" t="n">
        <v>0</v>
      </c>
      <c r="BR962" s="106" t="n">
        <v>0</v>
      </c>
      <c r="BS962" s="106" t="n">
        <v>0</v>
      </c>
      <c r="BT962" s="107"/>
      <c r="BU962" s="107"/>
      <c r="BV962" s="107"/>
      <c r="BW962" s="107"/>
      <c r="BX962" s="107"/>
      <c r="BY962" s="107"/>
      <c r="BZ962" s="107"/>
      <c r="CA962" s="107"/>
      <c r="CB962" s="107"/>
      <c r="CC962" s="107"/>
      <c r="CD962" s="107"/>
      <c r="CE962" s="107"/>
      <c r="CF962" s="107"/>
      <c r="CG962" s="107"/>
      <c r="CH962" s="107"/>
      <c r="CI962" s="107"/>
      <c r="CJ962" s="107"/>
      <c r="CK962" s="107"/>
      <c r="CL962" s="107"/>
      <c r="CM962" s="107"/>
      <c r="CN962" s="107"/>
      <c r="CO962" s="107"/>
      <c r="CP962" s="107"/>
      <c r="CQ962" s="107"/>
      <c r="CR962" s="107"/>
      <c r="CS962" s="107"/>
      <c r="CT962" s="107"/>
      <c r="CU962" s="107"/>
      <c r="CV962" s="107"/>
    </row>
    <row r="963" customFormat="false" ht="14.9" hidden="false" customHeight="false" outlineLevel="0" collapsed="false">
      <c r="A963" s="74" t="n">
        <f aca="false">MONTH(B963)</f>
        <v>10</v>
      </c>
      <c r="B963" s="135" t="n">
        <v>44488</v>
      </c>
      <c r="C963" s="128" t="s">
        <v>70</v>
      </c>
      <c r="D963" s="77" t="str">
        <f aca="false">IFERROR(VLOOKUP(E:E,'Item Data Support Sheet'!A:O,7,0),"")</f>
        <v>BOTTLE PRINTED</v>
      </c>
      <c r="E963" s="80" t="s">
        <v>65</v>
      </c>
      <c r="F963" s="122"/>
      <c r="G963" s="137" t="s">
        <v>66</v>
      </c>
      <c r="H963" s="79" t="str">
        <f aca="false">IFERROR(VLOOKUP(E:E,'Item Data Support Sheet'!A:O,2,0),"")</f>
        <v>KPP 240 ML BOTTLE PRINTED</v>
      </c>
      <c r="I963" s="80" t="s">
        <v>1738</v>
      </c>
      <c r="J963" s="80" t="s">
        <v>155</v>
      </c>
      <c r="K963" s="124" t="n">
        <v>8</v>
      </c>
      <c r="L963" s="124" t="n">
        <v>5100</v>
      </c>
      <c r="M963" s="83" t="n">
        <v>637.5</v>
      </c>
      <c r="N963" s="84" t="n">
        <f aca="false">+O963+Q963+T963+U963</f>
        <v>4905</v>
      </c>
      <c r="O963" s="85" t="n">
        <v>4860</v>
      </c>
      <c r="P963" s="86" t="n">
        <v>0</v>
      </c>
      <c r="Q963" s="86" t="n">
        <v>0</v>
      </c>
      <c r="R963" s="132" t="n">
        <v>45</v>
      </c>
      <c r="S963" s="128" t="n">
        <v>0</v>
      </c>
      <c r="T963" s="132" t="n">
        <v>45</v>
      </c>
      <c r="U963" s="128" t="n">
        <v>0</v>
      </c>
      <c r="V963" s="128" t="n">
        <v>5</v>
      </c>
      <c r="W963" s="90" t="n">
        <f aca="false">IFERROR(O963/V963,0)</f>
        <v>972</v>
      </c>
      <c r="X963" s="91" t="n">
        <f aca="false">O963/L963</f>
        <v>0.952941176470588</v>
      </c>
      <c r="Y963" s="92" t="str">
        <f aca="false">IFERROR(VLOOKUP(E:E,'Item Data Support Sheet'!A:J,6,0),0)</f>
        <v>FO003</v>
      </c>
      <c r="Z963" s="93" t="n">
        <f aca="false">IFERROR(VLOOKUP(E:E,'Item Data Support Sheet'!A:O,4,0),0)</f>
        <v>0</v>
      </c>
      <c r="AA963" s="93" t="n">
        <f aca="false">IFERROR(((N963)*(Z963/1000))+P963,0)</f>
        <v>0</v>
      </c>
      <c r="AB963" s="94" t="str">
        <f aca="false">IFERROR((O963*(Z963/1000)/(AA963))," ")</f>
        <v> </v>
      </c>
      <c r="AC963" s="95" t="n">
        <f aca="false">IFERROR((T963)/((T963)+O963),0)</f>
        <v>0.0091743119266055</v>
      </c>
      <c r="AD963" s="96" t="n">
        <f aca="false">IFERROR(Q963/(Q963+N963),0)</f>
        <v>0</v>
      </c>
      <c r="AE963" s="91" t="n">
        <f aca="false">(N963-T963)/N963</f>
        <v>0.990825688073394</v>
      </c>
      <c r="AF963" s="97" t="n">
        <f aca="false">BR963</f>
        <v>0.666666666666667</v>
      </c>
      <c r="AG963" s="98" t="n">
        <f aca="false">K963-AF963</f>
        <v>7.33333333333333</v>
      </c>
      <c r="AH963" s="99" t="n">
        <f aca="false">IFERROR(AG963/K963," ")</f>
        <v>0.916666666666667</v>
      </c>
      <c r="AI963" s="100" t="n">
        <f aca="false">IFERROR(O963/K963,0)</f>
        <v>607.5</v>
      </c>
      <c r="AJ963" s="101" t="n">
        <f aca="false">VLOOKUP(D963,'Standard Cycle time'!C:D,2,0)</f>
        <v>32.4</v>
      </c>
      <c r="AK963" s="101" t="n">
        <f aca="false">AG963*V963*3600/O963</f>
        <v>27.1604938271605</v>
      </c>
      <c r="AL963" s="102" t="n">
        <f aca="false">AJ963/AK963</f>
        <v>1.19290909090909</v>
      </c>
      <c r="AM963" s="99" t="n">
        <f aca="false">AE963*AL963*AH963</f>
        <v>1.08346788990826</v>
      </c>
      <c r="AN963" s="103" t="n">
        <v>1.08346788990826</v>
      </c>
      <c r="AO963" s="112" t="s">
        <v>1739</v>
      </c>
      <c r="AP963" s="105" t="n">
        <v>40</v>
      </c>
      <c r="AQ963" s="105" t="n">
        <v>0</v>
      </c>
      <c r="AR963" s="105" t="n">
        <v>0</v>
      </c>
      <c r="AS963" s="105" t="n">
        <v>0</v>
      </c>
      <c r="AT963" s="105" t="n">
        <v>0</v>
      </c>
      <c r="AU963" s="105" t="n">
        <v>0</v>
      </c>
      <c r="AV963" s="105" t="n">
        <v>0</v>
      </c>
      <c r="AW963" s="105" t="n">
        <v>0</v>
      </c>
      <c r="AX963" s="105" t="n">
        <v>0</v>
      </c>
      <c r="AY963" s="105" t="n">
        <v>0</v>
      </c>
      <c r="AZ963" s="105" t="n">
        <v>0</v>
      </c>
      <c r="BA963" s="105" t="n">
        <v>0</v>
      </c>
      <c r="BB963" s="105" t="n">
        <v>0</v>
      </c>
      <c r="BC963" s="105" t="n">
        <v>0</v>
      </c>
      <c r="BD963" s="105" t="n">
        <v>0</v>
      </c>
      <c r="BE963" s="105" t="n">
        <v>0</v>
      </c>
      <c r="BF963" s="105" t="n">
        <v>0</v>
      </c>
      <c r="BG963" s="105" t="n">
        <v>0</v>
      </c>
      <c r="BH963" s="105" t="n">
        <v>0</v>
      </c>
      <c r="BI963" s="105" t="n">
        <v>0</v>
      </c>
      <c r="BJ963" s="105" t="n">
        <v>0</v>
      </c>
      <c r="BK963" s="105" t="n">
        <v>0</v>
      </c>
      <c r="BL963" s="105" t="n">
        <v>0</v>
      </c>
      <c r="BM963" s="105" t="n">
        <v>0</v>
      </c>
      <c r="BN963" s="105" t="n">
        <v>0</v>
      </c>
      <c r="BO963" s="105" t="n">
        <v>0</v>
      </c>
      <c r="BP963" s="105" t="n">
        <v>0</v>
      </c>
      <c r="BQ963" s="105" t="n">
        <v>0</v>
      </c>
      <c r="BR963" s="106" t="n">
        <v>0.666666666666667</v>
      </c>
      <c r="BS963" s="106" t="n">
        <v>0.666666666666667</v>
      </c>
      <c r="BT963" s="107"/>
      <c r="BU963" s="107"/>
      <c r="BV963" s="107"/>
      <c r="BW963" s="107"/>
      <c r="BX963" s="107"/>
      <c r="BY963" s="107"/>
      <c r="BZ963" s="107"/>
      <c r="CA963" s="107"/>
      <c r="CB963" s="107"/>
      <c r="CC963" s="107"/>
      <c r="CD963" s="107"/>
      <c r="CE963" s="107"/>
      <c r="CF963" s="107"/>
      <c r="CG963" s="107"/>
      <c r="CH963" s="107"/>
      <c r="CI963" s="107"/>
      <c r="CJ963" s="107"/>
      <c r="CK963" s="107"/>
      <c r="CL963" s="107"/>
      <c r="CM963" s="107"/>
      <c r="CN963" s="107"/>
      <c r="CO963" s="107"/>
      <c r="CP963" s="107"/>
      <c r="CQ963" s="107"/>
      <c r="CR963" s="107"/>
      <c r="CS963" s="107"/>
      <c r="CT963" s="107"/>
      <c r="CU963" s="107"/>
      <c r="CV963" s="107"/>
    </row>
    <row r="964" customFormat="false" ht="14.9" hidden="false" customHeight="false" outlineLevel="0" collapsed="false">
      <c r="A964" s="74" t="n">
        <f aca="false">MONTH(B964)</f>
        <v>10</v>
      </c>
      <c r="B964" s="135" t="n">
        <v>44488</v>
      </c>
      <c r="C964" s="128" t="s">
        <v>152</v>
      </c>
      <c r="D964" s="77" t="str">
        <f aca="false">IFERROR(VLOOKUP(E:E,'Item Data Support Sheet'!A:O,7,0),"")</f>
        <v>CAP MOLDED</v>
      </c>
      <c r="E964" s="80" t="s">
        <v>453</v>
      </c>
      <c r="F964" s="122"/>
      <c r="G964" s="137" t="s">
        <v>1215</v>
      </c>
      <c r="H964" s="79" t="str">
        <f aca="false">IFERROR(VLOOKUP(E:E,'Item Data Support Sheet'!A:O,2,0),"")</f>
        <v>CAP S TYPE MOLDED WHITE</v>
      </c>
      <c r="I964" s="80" t="s">
        <v>1728</v>
      </c>
      <c r="J964" s="80" t="s">
        <v>143</v>
      </c>
      <c r="K964" s="124" t="n">
        <v>3.9</v>
      </c>
      <c r="L964" s="124" t="n">
        <v>2000</v>
      </c>
      <c r="M964" s="83" t="n">
        <v>512.820512820513</v>
      </c>
      <c r="N964" s="84" t="n">
        <f aca="false">+O964+Q964+T964+U964</f>
        <v>1921</v>
      </c>
      <c r="O964" s="85" t="n">
        <v>1900</v>
      </c>
      <c r="P964" s="86" t="n">
        <v>0</v>
      </c>
      <c r="Q964" s="86" t="n">
        <v>0</v>
      </c>
      <c r="R964" s="132" t="n">
        <v>0</v>
      </c>
      <c r="S964" s="128" t="n">
        <v>0</v>
      </c>
      <c r="T964" s="132" t="n">
        <v>13</v>
      </c>
      <c r="U964" s="128" t="n">
        <v>8</v>
      </c>
      <c r="V964" s="128" t="n">
        <v>1</v>
      </c>
      <c r="W964" s="90" t="n">
        <f aca="false">IFERROR(O964/V964,0)</f>
        <v>1900</v>
      </c>
      <c r="X964" s="91" t="n">
        <f aca="false">O964/L964</f>
        <v>0.95</v>
      </c>
      <c r="Y964" s="92" t="str">
        <f aca="false">IFERROR(VLOOKUP(E:E,'Item Data Support Sheet'!A:J,6,0),0)</f>
        <v>RM000106</v>
      </c>
      <c r="Z964" s="93" t="n">
        <f aca="false">IFERROR(VLOOKUP(E:E,'Item Data Support Sheet'!A:O,4,0),0)</f>
        <v>7.3</v>
      </c>
      <c r="AA964" s="93" t="n">
        <f aca="false">IFERROR(((N964)*(Z964/1000))+P964,0)</f>
        <v>14.0233</v>
      </c>
      <c r="AB964" s="94" t="n">
        <f aca="false">IFERROR((O964*(Z964/1000)/(AA964))," ")</f>
        <v>0.989068193649141</v>
      </c>
      <c r="AC964" s="95" t="n">
        <f aca="false">IFERROR((T964)/((T964)+O964),0)</f>
        <v>0.00679560899111343</v>
      </c>
      <c r="AD964" s="96" t="n">
        <f aca="false">IFERROR(Q964/(Q964+N964),0)</f>
        <v>0</v>
      </c>
      <c r="AE964" s="91" t="n">
        <f aca="false">(N964-T964)/N964</f>
        <v>0.993232691306611</v>
      </c>
      <c r="AF964" s="97" t="n">
        <f aca="false">BR964</f>
        <v>0.833333333333333</v>
      </c>
      <c r="AG964" s="98" t="n">
        <f aca="false">K964-AF964</f>
        <v>3.06666666666667</v>
      </c>
      <c r="AH964" s="99" t="n">
        <f aca="false">IFERROR(AG964/K964," ")</f>
        <v>0.786324786324786</v>
      </c>
      <c r="AI964" s="100" t="n">
        <f aca="false">IFERROR(O964/K964,0)</f>
        <v>487.179487179487</v>
      </c>
      <c r="AJ964" s="101" t="n">
        <f aca="false">VLOOKUP(D964,'Standard Cycle time'!C:D,2,0)</f>
        <v>6</v>
      </c>
      <c r="AK964" s="101" t="n">
        <f aca="false">AG964*V964*3600/O964</f>
        <v>5.81052631578947</v>
      </c>
      <c r="AL964" s="102" t="n">
        <f aca="false">AJ964/AK964</f>
        <v>1.03260869565217</v>
      </c>
      <c r="AM964" s="99" t="n">
        <f aca="false">AE964*AL964*AH964</f>
        <v>0.806470988667761</v>
      </c>
      <c r="AN964" s="103" t="n">
        <v>0.806470988667761</v>
      </c>
      <c r="AO964" s="112"/>
      <c r="AP964" s="105" t="n">
        <v>0</v>
      </c>
      <c r="AQ964" s="105" t="n">
        <v>0</v>
      </c>
      <c r="AR964" s="105" t="n">
        <v>0</v>
      </c>
      <c r="AS964" s="105" t="n">
        <v>0</v>
      </c>
      <c r="AT964" s="105" t="n">
        <v>0</v>
      </c>
      <c r="AU964" s="105" t="n">
        <v>0</v>
      </c>
      <c r="AV964" s="105" t="n">
        <v>0</v>
      </c>
      <c r="AW964" s="105" t="n">
        <v>30</v>
      </c>
      <c r="AX964" s="105" t="n">
        <v>0</v>
      </c>
      <c r="AY964" s="105" t="n">
        <v>0</v>
      </c>
      <c r="AZ964" s="105" t="n">
        <v>20</v>
      </c>
      <c r="BA964" s="105" t="n">
        <v>0</v>
      </c>
      <c r="BB964" s="105" t="n">
        <v>0</v>
      </c>
      <c r="BC964" s="105" t="n">
        <v>0</v>
      </c>
      <c r="BD964" s="105" t="n">
        <v>0</v>
      </c>
      <c r="BE964" s="105" t="n">
        <v>0</v>
      </c>
      <c r="BF964" s="105" t="n">
        <v>0</v>
      </c>
      <c r="BG964" s="105" t="n">
        <v>0</v>
      </c>
      <c r="BH964" s="105" t="n">
        <v>0</v>
      </c>
      <c r="BI964" s="105" t="n">
        <v>0</v>
      </c>
      <c r="BJ964" s="105" t="n">
        <v>0</v>
      </c>
      <c r="BK964" s="105" t="n">
        <v>0</v>
      </c>
      <c r="BL964" s="105" t="n">
        <v>0</v>
      </c>
      <c r="BM964" s="105" t="n">
        <v>0</v>
      </c>
      <c r="BN964" s="105" t="n">
        <v>0</v>
      </c>
      <c r="BO964" s="105" t="n">
        <v>0</v>
      </c>
      <c r="BP964" s="105" t="n">
        <v>0</v>
      </c>
      <c r="BQ964" s="105" t="n">
        <v>0</v>
      </c>
      <c r="BR964" s="106" t="n">
        <v>0.833333333333333</v>
      </c>
      <c r="BS964" s="106" t="n">
        <v>0.833333333333333</v>
      </c>
      <c r="BT964" s="107"/>
      <c r="BU964" s="107"/>
      <c r="BV964" s="107"/>
      <c r="BW964" s="107"/>
      <c r="BX964" s="107"/>
      <c r="BY964" s="107"/>
      <c r="BZ964" s="107"/>
      <c r="CA964" s="107"/>
      <c r="CB964" s="107"/>
      <c r="CC964" s="107"/>
      <c r="CD964" s="107"/>
      <c r="CE964" s="107"/>
      <c r="CF964" s="107"/>
      <c r="CG964" s="107"/>
      <c r="CH964" s="107"/>
      <c r="CI964" s="107"/>
      <c r="CJ964" s="107"/>
      <c r="CK964" s="107"/>
      <c r="CL964" s="107"/>
      <c r="CM964" s="107"/>
      <c r="CN964" s="107"/>
      <c r="CO964" s="107"/>
      <c r="CP964" s="107"/>
      <c r="CQ964" s="107"/>
      <c r="CR964" s="107"/>
      <c r="CS964" s="107"/>
      <c r="CT964" s="107"/>
      <c r="CU964" s="107"/>
      <c r="CV964" s="107"/>
    </row>
    <row r="965" customFormat="false" ht="14.9" hidden="false" customHeight="false" outlineLevel="0" collapsed="false">
      <c r="A965" s="74" t="n">
        <f aca="false">MONTH(B965)</f>
        <v>10</v>
      </c>
      <c r="B965" s="135" t="n">
        <v>44488</v>
      </c>
      <c r="C965" s="128" t="s">
        <v>152</v>
      </c>
      <c r="D965" s="77" t="str">
        <f aca="false">IFERROR(VLOOKUP(E:E,'Item Data Support Sheet'!A:O,7,0),"")</f>
        <v>CAP MOLDED</v>
      </c>
      <c r="E965" s="80" t="s">
        <v>1740</v>
      </c>
      <c r="F965" s="122"/>
      <c r="G965" s="137" t="s">
        <v>1595</v>
      </c>
      <c r="H965" s="79" t="str">
        <f aca="false">IFERROR(VLOOKUP(E:E,'Item Data Support Sheet'!A:O,2,0),"")</f>
        <v>CAP S TYPE MOLDED YELLOW</v>
      </c>
      <c r="I965" s="80" t="s">
        <v>1741</v>
      </c>
      <c r="J965" s="80" t="s">
        <v>143</v>
      </c>
      <c r="K965" s="124" t="n">
        <v>4.1</v>
      </c>
      <c r="L965" s="124" t="n">
        <v>2137</v>
      </c>
      <c r="M965" s="83" t="n">
        <v>521.219512195122</v>
      </c>
      <c r="N965" s="84" t="n">
        <f aca="false">+O965+Q965+T965+U965</f>
        <v>2708</v>
      </c>
      <c r="O965" s="85" t="n">
        <v>2700</v>
      </c>
      <c r="P965" s="86" t="n">
        <v>0</v>
      </c>
      <c r="Q965" s="86" t="n">
        <v>0</v>
      </c>
      <c r="R965" s="132" t="n">
        <v>0</v>
      </c>
      <c r="S965" s="128" t="n">
        <v>0</v>
      </c>
      <c r="T965" s="132" t="n">
        <v>0</v>
      </c>
      <c r="U965" s="128" t="n">
        <v>8</v>
      </c>
      <c r="V965" s="128" t="n">
        <v>1</v>
      </c>
      <c r="W965" s="90" t="n">
        <f aca="false">IFERROR(O965/V965,0)</f>
        <v>2700</v>
      </c>
      <c r="X965" s="91" t="n">
        <f aca="false">O965/L965</f>
        <v>1.26345343940103</v>
      </c>
      <c r="Y965" s="92" t="str">
        <f aca="false">IFERROR(VLOOKUP(E:E,'Item Data Support Sheet'!A:J,6,0),0)</f>
        <v>RM000112</v>
      </c>
      <c r="Z965" s="93" t="n">
        <f aca="false">IFERROR(VLOOKUP(E:E,'Item Data Support Sheet'!A:O,4,0),0)</f>
        <v>7.3</v>
      </c>
      <c r="AA965" s="93" t="n">
        <f aca="false">IFERROR(((N965)*(Z965/1000))+P965,0)</f>
        <v>19.7684</v>
      </c>
      <c r="AB965" s="94" t="n">
        <f aca="false">IFERROR((O965*(Z965/1000)/(AA965))," ")</f>
        <v>0.997045790251108</v>
      </c>
      <c r="AC965" s="95" t="n">
        <f aca="false">IFERROR((T965)/((T965)+O965),0)</f>
        <v>0</v>
      </c>
      <c r="AD965" s="96" t="n">
        <f aca="false">IFERROR(Q965/(Q965+N965),0)</f>
        <v>0</v>
      </c>
      <c r="AE965" s="91" t="n">
        <f aca="false">(N965-T965)/N965</f>
        <v>1</v>
      </c>
      <c r="AF965" s="97" t="n">
        <f aca="false">BR965</f>
        <v>0.5</v>
      </c>
      <c r="AG965" s="98" t="n">
        <f aca="false">K965-AF965</f>
        <v>3.6</v>
      </c>
      <c r="AH965" s="99" t="n">
        <f aca="false">IFERROR(AG965/K965," ")</f>
        <v>0.878048780487805</v>
      </c>
      <c r="AI965" s="100" t="n">
        <f aca="false">IFERROR(O965/K965,0)</f>
        <v>658.536585365854</v>
      </c>
      <c r="AJ965" s="101" t="n">
        <f aca="false">VLOOKUP(D965,'Standard Cycle time'!C:D,2,0)</f>
        <v>6</v>
      </c>
      <c r="AK965" s="101" t="n">
        <f aca="false">AG965*V965*3600/O965</f>
        <v>4.8</v>
      </c>
      <c r="AL965" s="102" t="n">
        <f aca="false">AJ965/AK965</f>
        <v>1.25</v>
      </c>
      <c r="AM965" s="99" t="n">
        <f aca="false">AE965*AL965*AH965</f>
        <v>1.09756097560976</v>
      </c>
      <c r="AN965" s="103" t="n">
        <v>1.09756097560976</v>
      </c>
      <c r="AO965" s="112"/>
      <c r="AP965" s="105" t="n">
        <v>0</v>
      </c>
      <c r="AQ965" s="105" t="n">
        <v>30</v>
      </c>
      <c r="AR965" s="105" t="n">
        <v>0</v>
      </c>
      <c r="AS965" s="105" t="n">
        <v>0</v>
      </c>
      <c r="AT965" s="105" t="n">
        <v>0</v>
      </c>
      <c r="AU965" s="105" t="n">
        <v>0</v>
      </c>
      <c r="AV965" s="105" t="n">
        <v>0</v>
      </c>
      <c r="AW965" s="105" t="n">
        <v>0</v>
      </c>
      <c r="AX965" s="105" t="n">
        <v>0</v>
      </c>
      <c r="AY965" s="105" t="n">
        <v>0</v>
      </c>
      <c r="AZ965" s="105" t="n">
        <v>0</v>
      </c>
      <c r="BA965" s="105" t="n">
        <v>0</v>
      </c>
      <c r="BB965" s="105" t="n">
        <v>0</v>
      </c>
      <c r="BC965" s="105" t="n">
        <v>0</v>
      </c>
      <c r="BD965" s="105" t="n">
        <v>0</v>
      </c>
      <c r="BE965" s="105" t="n">
        <v>0</v>
      </c>
      <c r="BF965" s="105" t="n">
        <v>0</v>
      </c>
      <c r="BG965" s="105" t="n">
        <v>0</v>
      </c>
      <c r="BH965" s="105" t="n">
        <v>0</v>
      </c>
      <c r="BI965" s="105" t="n">
        <v>0</v>
      </c>
      <c r="BJ965" s="105" t="n">
        <v>0</v>
      </c>
      <c r="BK965" s="105" t="n">
        <v>0</v>
      </c>
      <c r="BL965" s="105" t="n">
        <v>0</v>
      </c>
      <c r="BM965" s="105" t="n">
        <v>0</v>
      </c>
      <c r="BN965" s="105" t="n">
        <v>0</v>
      </c>
      <c r="BO965" s="105" t="n">
        <v>0</v>
      </c>
      <c r="BP965" s="105" t="n">
        <v>0</v>
      </c>
      <c r="BQ965" s="105" t="n">
        <v>0</v>
      </c>
      <c r="BR965" s="106" t="n">
        <v>0.5</v>
      </c>
      <c r="BS965" s="106" t="n">
        <v>0.5</v>
      </c>
      <c r="BT965" s="107"/>
      <c r="BU965" s="107"/>
      <c r="BV965" s="107"/>
      <c r="BW965" s="107"/>
      <c r="BX965" s="107"/>
      <c r="BY965" s="107"/>
      <c r="BZ965" s="107"/>
      <c r="CA965" s="107"/>
      <c r="CB965" s="107"/>
      <c r="CC965" s="107"/>
      <c r="CD965" s="107"/>
      <c r="CE965" s="107"/>
      <c r="CF965" s="107"/>
      <c r="CG965" s="107"/>
      <c r="CH965" s="107"/>
      <c r="CI965" s="107"/>
      <c r="CJ965" s="107"/>
      <c r="CK965" s="107"/>
      <c r="CL965" s="107"/>
      <c r="CM965" s="107"/>
      <c r="CN965" s="107"/>
      <c r="CO965" s="107"/>
      <c r="CP965" s="107"/>
      <c r="CQ965" s="107"/>
      <c r="CR965" s="107"/>
      <c r="CS965" s="107"/>
      <c r="CT965" s="107"/>
      <c r="CU965" s="107"/>
      <c r="CV965" s="107"/>
    </row>
    <row r="966" customFormat="false" ht="14.9" hidden="false" customHeight="false" outlineLevel="0" collapsed="false">
      <c r="A966" s="74" t="n">
        <f aca="false">MONTH(B966)</f>
        <v>10</v>
      </c>
      <c r="B966" s="135" t="n">
        <v>44488</v>
      </c>
      <c r="C966" s="128" t="s">
        <v>152</v>
      </c>
      <c r="D966" s="77" t="str">
        <f aca="false">IFERROR(VLOOKUP(E:E,'Item Data Support Sheet'!A:O,7,0),"")</f>
        <v>NIPPLE MOLDED</v>
      </c>
      <c r="E966" s="80" t="s">
        <v>136</v>
      </c>
      <c r="F966" s="122" t="s">
        <v>137</v>
      </c>
      <c r="G966" s="137" t="s">
        <v>138</v>
      </c>
      <c r="H966" s="79" t="str">
        <f aca="false">IFERROR(VLOOKUP(E:E,'Item Data Support Sheet'!A:O,2,0),"")</f>
        <v>NIPPLE S TYPE M SIZE INJECTION</v>
      </c>
      <c r="I966" s="80" t="s">
        <v>1742</v>
      </c>
      <c r="J966" s="80" t="s">
        <v>143</v>
      </c>
      <c r="K966" s="124" t="n">
        <v>8</v>
      </c>
      <c r="L966" s="124" t="n">
        <v>4815</v>
      </c>
      <c r="M966" s="83" t="n">
        <v>601.875</v>
      </c>
      <c r="N966" s="84" t="n">
        <f aca="false">+O966+Q966+T966+U966</f>
        <v>5138</v>
      </c>
      <c r="O966" s="85" t="n">
        <v>5000</v>
      </c>
      <c r="P966" s="86" t="n">
        <v>0</v>
      </c>
      <c r="Q966" s="86" t="n">
        <v>60</v>
      </c>
      <c r="R966" s="132" t="n">
        <v>0</v>
      </c>
      <c r="S966" s="128" t="n">
        <v>0</v>
      </c>
      <c r="T966" s="132" t="n">
        <v>70</v>
      </c>
      <c r="U966" s="128" t="n">
        <v>8</v>
      </c>
      <c r="V966" s="128" t="n">
        <v>1</v>
      </c>
      <c r="W966" s="90" t="n">
        <f aca="false">IFERROR(O966/V966,0)</f>
        <v>5000</v>
      </c>
      <c r="X966" s="91" t="n">
        <f aca="false">O966/L966</f>
        <v>1.03842159916926</v>
      </c>
      <c r="Y966" s="92" t="str">
        <f aca="false">IFERROR(VLOOKUP(E:E,'Item Data Support Sheet'!A:J,6,0),0)</f>
        <v>Silicon</v>
      </c>
      <c r="Z966" s="93" t="n">
        <f aca="false">IFERROR(VLOOKUP(E:E,'Item Data Support Sheet'!A:O,4,0),0)</f>
        <v>6.8</v>
      </c>
      <c r="AA966" s="93" t="n">
        <f aca="false">IFERROR(((N966)*(Z966/1000))+P966,0)</f>
        <v>34.9384</v>
      </c>
      <c r="AB966" s="94" t="n">
        <f aca="false">IFERROR((O966*(Z966/1000)/(AA966))," ")</f>
        <v>0.973141300116777</v>
      </c>
      <c r="AC966" s="95" t="n">
        <f aca="false">IFERROR((T966)/((T966)+O966),0)</f>
        <v>0.0138067061143984</v>
      </c>
      <c r="AD966" s="96" t="n">
        <f aca="false">IFERROR(Q966/(Q966+N966),0)</f>
        <v>0.0115429011158138</v>
      </c>
      <c r="AE966" s="91" t="n">
        <f aca="false">(N966-T966)/N966</f>
        <v>0.986376021798365</v>
      </c>
      <c r="AF966" s="97" t="n">
        <f aca="false">BR966</f>
        <v>0.5</v>
      </c>
      <c r="AG966" s="98" t="n">
        <f aca="false">K966-AF966</f>
        <v>7.5</v>
      </c>
      <c r="AH966" s="99" t="n">
        <f aca="false">IFERROR(AG966/K966," ")</f>
        <v>0.9375</v>
      </c>
      <c r="AI966" s="100" t="n">
        <f aca="false">IFERROR(O966/K966,0)</f>
        <v>625</v>
      </c>
      <c r="AJ966" s="101" t="n">
        <f aca="false">VLOOKUP(D966,'Standard Cycle time'!C:D,2,0)</f>
        <v>5.25</v>
      </c>
      <c r="AK966" s="101" t="n">
        <f aca="false">AG966*V966*3600/O966</f>
        <v>5.4</v>
      </c>
      <c r="AL966" s="102" t="n">
        <f aca="false">AJ966/AK966</f>
        <v>0.972222222222222</v>
      </c>
      <c r="AM966" s="99" t="n">
        <f aca="false">AE966*AL966*AH966</f>
        <v>0.899040644868301</v>
      </c>
      <c r="AN966" s="103" t="n">
        <v>0.899040644868302</v>
      </c>
      <c r="AO966" s="112"/>
      <c r="AP966" s="105" t="n">
        <v>0</v>
      </c>
      <c r="AQ966" s="105" t="n">
        <v>0</v>
      </c>
      <c r="AR966" s="105" t="n">
        <v>0</v>
      </c>
      <c r="AS966" s="105" t="n">
        <v>0</v>
      </c>
      <c r="AT966" s="105" t="n">
        <v>0</v>
      </c>
      <c r="AU966" s="105" t="n">
        <v>30</v>
      </c>
      <c r="AV966" s="105" t="n">
        <v>0</v>
      </c>
      <c r="AW966" s="105" t="n">
        <v>0</v>
      </c>
      <c r="AX966" s="105" t="n">
        <v>0</v>
      </c>
      <c r="AY966" s="105" t="n">
        <v>0</v>
      </c>
      <c r="AZ966" s="105" t="n">
        <v>0</v>
      </c>
      <c r="BA966" s="105" t="n">
        <v>0</v>
      </c>
      <c r="BB966" s="105" t="n">
        <v>0</v>
      </c>
      <c r="BC966" s="105" t="n">
        <v>0</v>
      </c>
      <c r="BD966" s="105" t="n">
        <v>0</v>
      </c>
      <c r="BE966" s="105" t="n">
        <v>0</v>
      </c>
      <c r="BF966" s="105" t="n">
        <v>0</v>
      </c>
      <c r="BG966" s="105" t="n">
        <v>0</v>
      </c>
      <c r="BH966" s="105" t="n">
        <v>0</v>
      </c>
      <c r="BI966" s="105" t="n">
        <v>0</v>
      </c>
      <c r="BJ966" s="105" t="n">
        <v>0</v>
      </c>
      <c r="BK966" s="105" t="n">
        <v>0</v>
      </c>
      <c r="BL966" s="105" t="n">
        <v>0</v>
      </c>
      <c r="BM966" s="105" t="n">
        <v>0</v>
      </c>
      <c r="BN966" s="105" t="n">
        <v>0</v>
      </c>
      <c r="BO966" s="105" t="n">
        <v>0</v>
      </c>
      <c r="BP966" s="105" t="n">
        <v>0</v>
      </c>
      <c r="BQ966" s="105" t="n">
        <v>0</v>
      </c>
      <c r="BR966" s="106" t="n">
        <v>0.5</v>
      </c>
      <c r="BS966" s="106" t="n">
        <v>0.5</v>
      </c>
      <c r="BT966" s="107"/>
      <c r="BU966" s="107"/>
      <c r="BV966" s="107"/>
      <c r="BW966" s="107"/>
      <c r="BX966" s="107"/>
      <c r="BY966" s="107"/>
      <c r="BZ966" s="107"/>
      <c r="CA966" s="107"/>
      <c r="CB966" s="107"/>
      <c r="CC966" s="107"/>
      <c r="CD966" s="107"/>
      <c r="CE966" s="107"/>
      <c r="CF966" s="107"/>
      <c r="CG966" s="107"/>
      <c r="CH966" s="107"/>
      <c r="CI966" s="107"/>
      <c r="CJ966" s="107"/>
      <c r="CK966" s="107"/>
      <c r="CL966" s="107"/>
      <c r="CM966" s="107"/>
      <c r="CN966" s="107"/>
      <c r="CO966" s="107"/>
      <c r="CP966" s="107"/>
      <c r="CQ966" s="107"/>
      <c r="CR966" s="107"/>
      <c r="CS966" s="107"/>
      <c r="CT966" s="107"/>
      <c r="CU966" s="107"/>
      <c r="CV966" s="107"/>
    </row>
    <row r="967" customFormat="false" ht="14.9" hidden="false" customHeight="false" outlineLevel="0" collapsed="false">
      <c r="A967" s="74" t="n">
        <f aca="false">MONTH(B967)</f>
        <v>10</v>
      </c>
      <c r="B967" s="135" t="n">
        <v>44489</v>
      </c>
      <c r="C967" s="128" t="s">
        <v>51</v>
      </c>
      <c r="D967" s="77" t="str">
        <f aca="false">IFERROR(VLOOKUP(E:E,'Item Data Support Sheet'!A:O,7,0),"")</f>
        <v>NIPPLE PUNCH</v>
      </c>
      <c r="E967" s="80" t="s">
        <v>60</v>
      </c>
      <c r="F967" s="122"/>
      <c r="G967" s="137" t="s">
        <v>54</v>
      </c>
      <c r="H967" s="79" t="str">
        <f aca="false">IFERROR(VLOOKUP(E:E,'Item Data Support Sheet'!A:O,2,0),"")</f>
        <v>NIPPLE S TYPE M SIZE PUNCHED</v>
      </c>
      <c r="I967" s="80" t="s">
        <v>1743</v>
      </c>
      <c r="J967" s="80" t="s">
        <v>815</v>
      </c>
      <c r="K967" s="124" t="n">
        <v>8</v>
      </c>
      <c r="L967" s="124" t="n">
        <v>7000</v>
      </c>
      <c r="M967" s="83" t="n">
        <v>875</v>
      </c>
      <c r="N967" s="84" t="n">
        <f aca="false">+O967+Q967+T967+U967</f>
        <v>6200</v>
      </c>
      <c r="O967" s="85" t="n">
        <v>6200</v>
      </c>
      <c r="P967" s="86" t="n">
        <v>0</v>
      </c>
      <c r="Q967" s="86" t="n">
        <v>0</v>
      </c>
      <c r="R967" s="132" t="n">
        <v>0</v>
      </c>
      <c r="S967" s="128" t="n">
        <v>0</v>
      </c>
      <c r="T967" s="132" t="n">
        <v>0</v>
      </c>
      <c r="U967" s="128" t="n">
        <v>0</v>
      </c>
      <c r="V967" s="128" t="n">
        <v>1</v>
      </c>
      <c r="W967" s="90" t="n">
        <f aca="false">IFERROR(O967/V967,0)</f>
        <v>6200</v>
      </c>
      <c r="X967" s="91" t="n">
        <f aca="false">O967/L967</f>
        <v>0.885714285714286</v>
      </c>
      <c r="Y967" s="92" t="str">
        <f aca="false">IFERROR(VLOOKUP(E:E,'Item Data Support Sheet'!A:J,6,0),0)</f>
        <v>FO016</v>
      </c>
      <c r="Z967" s="93" t="n">
        <f aca="false">IFERROR(VLOOKUP(E:E,'Item Data Support Sheet'!A:O,4,0),0)</f>
        <v>0</v>
      </c>
      <c r="AA967" s="93" t="n">
        <f aca="false">IFERROR(((N967)*(Z967/1000))+P967,0)</f>
        <v>0</v>
      </c>
      <c r="AB967" s="94" t="str">
        <f aca="false">IFERROR((O967*(Z967/1000)/(AA967))," ")</f>
        <v> </v>
      </c>
      <c r="AC967" s="95" t="n">
        <f aca="false">IFERROR((T967)/((T967)+O967),0)</f>
        <v>0</v>
      </c>
      <c r="AD967" s="96" t="n">
        <f aca="false">IFERROR(Q967/(Q967+N967),0)</f>
        <v>0</v>
      </c>
      <c r="AE967" s="91" t="n">
        <f aca="false">(N967-T967)/N967</f>
        <v>1</v>
      </c>
      <c r="AF967" s="97" t="n">
        <f aca="false">BR967</f>
        <v>1.16666666666667</v>
      </c>
      <c r="AG967" s="98" t="n">
        <f aca="false">K967-AF967</f>
        <v>6.83333333333333</v>
      </c>
      <c r="AH967" s="99" t="n">
        <f aca="false">IFERROR(AG967/K967," ")</f>
        <v>0.854166666666666</v>
      </c>
      <c r="AI967" s="100" t="n">
        <f aca="false">IFERROR(O967/K967,0)</f>
        <v>775</v>
      </c>
      <c r="AJ967" s="101" t="n">
        <f aca="false">VLOOKUP(D967,'Standard Cycle time'!C:D,2,0)</f>
        <v>3.5</v>
      </c>
      <c r="AK967" s="101" t="n">
        <f aca="false">AG967*V967*3600/O967</f>
        <v>3.96774193548387</v>
      </c>
      <c r="AL967" s="102" t="n">
        <f aca="false">AJ967/AK967</f>
        <v>0.882113821138212</v>
      </c>
      <c r="AM967" s="99" t="n">
        <f aca="false">AE967*AL967*AH967</f>
        <v>0.753472222222222</v>
      </c>
      <c r="AN967" s="103" t="n">
        <v>0.753472222222222</v>
      </c>
      <c r="AO967" s="112" t="s">
        <v>1744</v>
      </c>
      <c r="AP967" s="105" t="n">
        <v>40</v>
      </c>
      <c r="AQ967" s="105" t="n">
        <v>0</v>
      </c>
      <c r="AR967" s="105" t="n">
        <v>0</v>
      </c>
      <c r="AS967" s="105" t="n">
        <v>0</v>
      </c>
      <c r="AT967" s="105" t="n">
        <v>0</v>
      </c>
      <c r="AU967" s="105" t="n">
        <v>0</v>
      </c>
      <c r="AV967" s="105" t="n">
        <v>30</v>
      </c>
      <c r="AW967" s="105" t="n">
        <v>0</v>
      </c>
      <c r="AX967" s="105" t="n">
        <v>0</v>
      </c>
      <c r="AY967" s="105" t="n">
        <v>0</v>
      </c>
      <c r="AZ967" s="105" t="n">
        <v>0</v>
      </c>
      <c r="BA967" s="105" t="n">
        <v>0</v>
      </c>
      <c r="BB967" s="105" t="n">
        <v>0</v>
      </c>
      <c r="BC967" s="105" t="n">
        <v>0</v>
      </c>
      <c r="BD967" s="105" t="n">
        <v>0</v>
      </c>
      <c r="BE967" s="105" t="n">
        <v>0</v>
      </c>
      <c r="BF967" s="105" t="n">
        <v>0</v>
      </c>
      <c r="BG967" s="105" t="n">
        <v>0</v>
      </c>
      <c r="BH967" s="105" t="n">
        <v>0</v>
      </c>
      <c r="BI967" s="105" t="n">
        <v>0</v>
      </c>
      <c r="BJ967" s="105" t="n">
        <v>0</v>
      </c>
      <c r="BK967" s="105" t="n">
        <v>0</v>
      </c>
      <c r="BL967" s="105" t="n">
        <v>0</v>
      </c>
      <c r="BM967" s="105" t="n">
        <v>0</v>
      </c>
      <c r="BN967" s="105" t="n">
        <v>0</v>
      </c>
      <c r="BO967" s="105" t="n">
        <v>0</v>
      </c>
      <c r="BP967" s="105" t="n">
        <v>0</v>
      </c>
      <c r="BQ967" s="105" t="n">
        <v>0</v>
      </c>
      <c r="BR967" s="106" t="n">
        <v>1.16666666666667</v>
      </c>
      <c r="BS967" s="106" t="n">
        <v>1.16666666666667</v>
      </c>
      <c r="BT967" s="107"/>
      <c r="BU967" s="107"/>
      <c r="BV967" s="107"/>
      <c r="BW967" s="107"/>
      <c r="BX967" s="107"/>
      <c r="BY967" s="107"/>
      <c r="BZ967" s="107"/>
      <c r="CA967" s="107"/>
      <c r="CB967" s="107"/>
      <c r="CC967" s="107"/>
      <c r="CD967" s="107"/>
      <c r="CE967" s="107"/>
      <c r="CF967" s="107"/>
      <c r="CG967" s="107"/>
      <c r="CH967" s="107"/>
      <c r="CI967" s="107"/>
      <c r="CJ967" s="107"/>
      <c r="CK967" s="107"/>
      <c r="CL967" s="107"/>
      <c r="CM967" s="107"/>
      <c r="CN967" s="107"/>
      <c r="CO967" s="107"/>
      <c r="CP967" s="107"/>
      <c r="CQ967" s="107"/>
      <c r="CR967" s="107"/>
      <c r="CS967" s="107"/>
      <c r="CT967" s="107"/>
      <c r="CU967" s="107"/>
      <c r="CV967" s="107"/>
    </row>
    <row r="968" customFormat="false" ht="14.9" hidden="false" customHeight="false" outlineLevel="0" collapsed="false">
      <c r="A968" s="74" t="n">
        <f aca="false">MONTH(B968)</f>
        <v>10</v>
      </c>
      <c r="B968" s="135" t="n">
        <v>44489</v>
      </c>
      <c r="C968" s="128" t="s">
        <v>51</v>
      </c>
      <c r="D968" s="77" t="str">
        <f aca="false">IFERROR(VLOOKUP(E:E,'Item Data Support Sheet'!A:O,7,0),"")</f>
        <v>NIPPLE LASER MARKING</v>
      </c>
      <c r="E968" s="80" t="s">
        <v>932</v>
      </c>
      <c r="F968" s="122"/>
      <c r="G968" s="137" t="s">
        <v>517</v>
      </c>
      <c r="H968" s="79" t="str">
        <f aca="false">IFERROR(VLOOKUP(E:E,'Item Data Support Sheet'!A:O,2,0),"")</f>
        <v>NIPPLE S TYPE M SIZE PUNCHED LASER MARKED</v>
      </c>
      <c r="I968" s="80" t="s">
        <v>1745</v>
      </c>
      <c r="J968" s="80" t="s">
        <v>815</v>
      </c>
      <c r="K968" s="124" t="n">
        <v>8</v>
      </c>
      <c r="L968" s="124" t="n">
        <v>7000</v>
      </c>
      <c r="M968" s="83" t="n">
        <v>875</v>
      </c>
      <c r="N968" s="84" t="n">
        <f aca="false">+O968+Q968+T968+U968</f>
        <v>5175</v>
      </c>
      <c r="O968" s="85" t="n">
        <v>5175</v>
      </c>
      <c r="P968" s="86" t="n">
        <v>0</v>
      </c>
      <c r="Q968" s="86" t="n">
        <v>0</v>
      </c>
      <c r="R968" s="132" t="n">
        <v>0</v>
      </c>
      <c r="S968" s="128" t="n">
        <v>0</v>
      </c>
      <c r="T968" s="132" t="n">
        <v>0</v>
      </c>
      <c r="U968" s="128" t="n">
        <v>0</v>
      </c>
      <c r="V968" s="128" t="n">
        <v>1</v>
      </c>
      <c r="W968" s="90" t="n">
        <f aca="false">IFERROR(O968/V968,0)</f>
        <v>5175</v>
      </c>
      <c r="X968" s="91" t="n">
        <f aca="false">O968/L968</f>
        <v>0.739285714285714</v>
      </c>
      <c r="Y968" s="92" t="str">
        <f aca="false">IFERROR(VLOOKUP(E:E,'Item Data Support Sheet'!A:J,6,0),0)</f>
        <v>FO020</v>
      </c>
      <c r="Z968" s="93" t="n">
        <f aca="false">IFERROR(VLOOKUP(E:E,'Item Data Support Sheet'!A:O,4,0),0)</f>
        <v>0</v>
      </c>
      <c r="AA968" s="93" t="n">
        <f aca="false">IFERROR(((N968)*(Z968/1000))+P968,0)</f>
        <v>0</v>
      </c>
      <c r="AB968" s="94" t="str">
        <f aca="false">IFERROR((O968*(Z968/1000)/(AA968))," ")</f>
        <v> </v>
      </c>
      <c r="AC968" s="95" t="n">
        <f aca="false">IFERROR((T968)/((T968)+O968),0)</f>
        <v>0</v>
      </c>
      <c r="AD968" s="96" t="n">
        <f aca="false">IFERROR(Q968/(Q968+N968),0)</f>
        <v>0</v>
      </c>
      <c r="AE968" s="91" t="n">
        <f aca="false">(N968-T968)/N968</f>
        <v>1</v>
      </c>
      <c r="AF968" s="97" t="n">
        <f aca="false">BR968</f>
        <v>2.16666666666667</v>
      </c>
      <c r="AG968" s="98" t="n">
        <f aca="false">K968-AF968</f>
        <v>5.83333333333333</v>
      </c>
      <c r="AH968" s="99" t="n">
        <f aca="false">IFERROR(AG968/K968," ")</f>
        <v>0.729166666666666</v>
      </c>
      <c r="AI968" s="100" t="n">
        <f aca="false">IFERROR(O968/K968,0)</f>
        <v>646.875</v>
      </c>
      <c r="AJ968" s="101" t="n">
        <f aca="false">VLOOKUP(D968,'Standard Cycle time'!C:D,2,0)</f>
        <v>3.5</v>
      </c>
      <c r="AK968" s="101" t="n">
        <f aca="false">AG968*V968*3600/O968</f>
        <v>4.05797101449275</v>
      </c>
      <c r="AL968" s="102" t="n">
        <f aca="false">AJ968/AK968</f>
        <v>0.8625</v>
      </c>
      <c r="AM968" s="99" t="n">
        <f aca="false">AE968*AL968*AH968</f>
        <v>0.62890625</v>
      </c>
      <c r="AN968" s="103" t="n">
        <v>0.62890625</v>
      </c>
      <c r="AO968" s="112" t="s">
        <v>1702</v>
      </c>
      <c r="AP968" s="105" t="n">
        <v>40</v>
      </c>
      <c r="AQ968" s="105" t="n">
        <v>0</v>
      </c>
      <c r="AR968" s="105" t="n">
        <v>0</v>
      </c>
      <c r="AS968" s="105" t="n">
        <v>90</v>
      </c>
      <c r="AT968" s="105" t="n">
        <v>0</v>
      </c>
      <c r="AU968" s="105" t="n">
        <v>0</v>
      </c>
      <c r="AV968" s="105" t="n">
        <v>0</v>
      </c>
      <c r="AW968" s="105" t="n">
        <v>0</v>
      </c>
      <c r="AX968" s="105" t="n">
        <v>0</v>
      </c>
      <c r="AY968" s="105" t="n">
        <v>0</v>
      </c>
      <c r="AZ968" s="105" t="n">
        <v>0</v>
      </c>
      <c r="BA968" s="105" t="n">
        <v>0</v>
      </c>
      <c r="BB968" s="105" t="n">
        <v>0</v>
      </c>
      <c r="BC968" s="105" t="n">
        <v>0</v>
      </c>
      <c r="BD968" s="105" t="n">
        <v>0</v>
      </c>
      <c r="BE968" s="105" t="n">
        <v>0</v>
      </c>
      <c r="BF968" s="105" t="n">
        <v>0</v>
      </c>
      <c r="BG968" s="105" t="n">
        <v>0</v>
      </c>
      <c r="BH968" s="105" t="n">
        <v>0</v>
      </c>
      <c r="BI968" s="105" t="n">
        <v>0</v>
      </c>
      <c r="BJ968" s="105" t="n">
        <v>0</v>
      </c>
      <c r="BK968" s="105" t="n">
        <v>0</v>
      </c>
      <c r="BL968" s="105" t="n">
        <v>0</v>
      </c>
      <c r="BM968" s="105" t="n">
        <v>0</v>
      </c>
      <c r="BN968" s="105" t="n">
        <v>0</v>
      </c>
      <c r="BO968" s="105" t="n">
        <v>0</v>
      </c>
      <c r="BP968" s="105" t="n">
        <v>0</v>
      </c>
      <c r="BQ968" s="105" t="n">
        <v>0</v>
      </c>
      <c r="BR968" s="106" t="n">
        <v>2.16666666666667</v>
      </c>
      <c r="BS968" s="106" t="n">
        <v>2.16666666666667</v>
      </c>
      <c r="BT968" s="107"/>
      <c r="BU968" s="107"/>
      <c r="BV968" s="107"/>
      <c r="BW968" s="107"/>
      <c r="BX968" s="107"/>
      <c r="BY968" s="107"/>
      <c r="BZ968" s="107"/>
      <c r="CA968" s="107"/>
      <c r="CB968" s="107"/>
      <c r="CC968" s="107"/>
      <c r="CD968" s="107"/>
      <c r="CE968" s="107"/>
      <c r="CF968" s="107"/>
      <c r="CG968" s="107"/>
      <c r="CH968" s="107"/>
      <c r="CI968" s="107"/>
      <c r="CJ968" s="107"/>
      <c r="CK968" s="107"/>
      <c r="CL968" s="107"/>
      <c r="CM968" s="107"/>
      <c r="CN968" s="107"/>
      <c r="CO968" s="107"/>
      <c r="CP968" s="107"/>
      <c r="CQ968" s="107"/>
      <c r="CR968" s="107"/>
      <c r="CS968" s="107"/>
      <c r="CT968" s="107"/>
      <c r="CU968" s="107"/>
      <c r="CV968" s="107"/>
    </row>
    <row r="969" customFormat="false" ht="14.9" hidden="false" customHeight="false" outlineLevel="0" collapsed="false">
      <c r="A969" s="74" t="n">
        <f aca="false">MONTH(B969)</f>
        <v>10</v>
      </c>
      <c r="B969" s="135" t="n">
        <v>44489</v>
      </c>
      <c r="C969" s="128" t="s">
        <v>51</v>
      </c>
      <c r="D969" s="77" t="str">
        <f aca="false">IFERROR(VLOOKUP(E:E,'Item Data Support Sheet'!A:O,7,0),"")</f>
        <v>CAP MOLDED</v>
      </c>
      <c r="E969" s="80" t="s">
        <v>1740</v>
      </c>
      <c r="F969" s="122"/>
      <c r="G969" s="137" t="s">
        <v>1595</v>
      </c>
      <c r="H969" s="79" t="str">
        <f aca="false">IFERROR(VLOOKUP(E:E,'Item Data Support Sheet'!A:O,2,0),"")</f>
        <v>CAP S TYPE MOLDED YELLOW</v>
      </c>
      <c r="I969" s="80" t="s">
        <v>1746</v>
      </c>
      <c r="J969" s="80" t="s">
        <v>815</v>
      </c>
      <c r="K969" s="124" t="n">
        <v>8</v>
      </c>
      <c r="L969" s="124" t="n">
        <v>7000</v>
      </c>
      <c r="M969" s="83" t="n">
        <v>875</v>
      </c>
      <c r="N969" s="84" t="n">
        <f aca="false">+O969+Q969+T969+U969</f>
        <v>4904</v>
      </c>
      <c r="O969" s="85" t="n">
        <v>4890</v>
      </c>
      <c r="P969" s="86" t="n">
        <v>0</v>
      </c>
      <c r="Q969" s="86" t="n">
        <v>0</v>
      </c>
      <c r="R969" s="132" t="n">
        <v>0</v>
      </c>
      <c r="S969" s="128" t="n">
        <v>0</v>
      </c>
      <c r="T969" s="132" t="n">
        <v>6</v>
      </c>
      <c r="U969" s="128" t="n">
        <v>8</v>
      </c>
      <c r="V969" s="128" t="n">
        <v>1</v>
      </c>
      <c r="W969" s="90" t="n">
        <f aca="false">IFERROR(O969/V969,0)</f>
        <v>4890</v>
      </c>
      <c r="X969" s="91" t="n">
        <f aca="false">O969/L969</f>
        <v>0.698571428571429</v>
      </c>
      <c r="Y969" s="92" t="str">
        <f aca="false">IFERROR(VLOOKUP(E:E,'Item Data Support Sheet'!A:J,6,0),0)</f>
        <v>RM000112</v>
      </c>
      <c r="Z969" s="93" t="n">
        <f aca="false">IFERROR(VLOOKUP(E:E,'Item Data Support Sheet'!A:O,4,0),0)</f>
        <v>7.3</v>
      </c>
      <c r="AA969" s="93" t="n">
        <f aca="false">IFERROR(((N969)*(Z969/1000))+P969,0)</f>
        <v>35.7992</v>
      </c>
      <c r="AB969" s="94" t="n">
        <f aca="false">IFERROR((O969*(Z969/1000)/(AA969))," ")</f>
        <v>0.997145187601958</v>
      </c>
      <c r="AC969" s="95" t="n">
        <f aca="false">IFERROR((T969)/((T969)+O969),0)</f>
        <v>0.00122549019607843</v>
      </c>
      <c r="AD969" s="96" t="n">
        <f aca="false">IFERROR(Q969/(Q969+N969),0)</f>
        <v>0</v>
      </c>
      <c r="AE969" s="91" t="n">
        <f aca="false">(N969-T969)/N969</f>
        <v>0.998776508972268</v>
      </c>
      <c r="AF969" s="97" t="n">
        <f aca="false">BR969</f>
        <v>0</v>
      </c>
      <c r="AG969" s="98" t="n">
        <f aca="false">K969-AF969</f>
        <v>8</v>
      </c>
      <c r="AH969" s="99" t="n">
        <f aca="false">IFERROR(AG969/K969," ")</f>
        <v>1</v>
      </c>
      <c r="AI969" s="100" t="n">
        <f aca="false">IFERROR(O969/K969,0)</f>
        <v>611.25</v>
      </c>
      <c r="AJ969" s="101" t="n">
        <f aca="false">VLOOKUP(D969,'Standard Cycle time'!C:D,2,0)</f>
        <v>6</v>
      </c>
      <c r="AK969" s="101" t="n">
        <f aca="false">AG969*V969*3600/O969</f>
        <v>5.88957055214724</v>
      </c>
      <c r="AL969" s="102" t="n">
        <f aca="false">AJ969/AK969</f>
        <v>1.01875</v>
      </c>
      <c r="AM969" s="99" t="n">
        <f aca="false">AE969*AL969*AH969</f>
        <v>1.0175035685155</v>
      </c>
      <c r="AN969" s="103" t="n">
        <v>1.0175035685155</v>
      </c>
      <c r="AO969" s="112"/>
      <c r="AP969" s="105" t="n">
        <v>0</v>
      </c>
      <c r="AQ969" s="105" t="n">
        <v>0</v>
      </c>
      <c r="AR969" s="105" t="n">
        <v>0</v>
      </c>
      <c r="AS969" s="105" t="n">
        <v>0</v>
      </c>
      <c r="AT969" s="105" t="n">
        <v>0</v>
      </c>
      <c r="AU969" s="105" t="n">
        <v>0</v>
      </c>
      <c r="AV969" s="105" t="n">
        <v>0</v>
      </c>
      <c r="AW969" s="105" t="n">
        <v>0</v>
      </c>
      <c r="AX969" s="105" t="n">
        <v>0</v>
      </c>
      <c r="AY969" s="105" t="n">
        <v>0</v>
      </c>
      <c r="AZ969" s="105" t="n">
        <v>0</v>
      </c>
      <c r="BA969" s="105" t="n">
        <v>0</v>
      </c>
      <c r="BB969" s="105" t="n">
        <v>0</v>
      </c>
      <c r="BC969" s="105" t="n">
        <v>0</v>
      </c>
      <c r="BD969" s="105" t="n">
        <v>0</v>
      </c>
      <c r="BE969" s="105" t="n">
        <v>0</v>
      </c>
      <c r="BF969" s="105" t="n">
        <v>0</v>
      </c>
      <c r="BG969" s="105" t="n">
        <v>0</v>
      </c>
      <c r="BH969" s="105" t="n">
        <v>0</v>
      </c>
      <c r="BI969" s="105" t="n">
        <v>0</v>
      </c>
      <c r="BJ969" s="105" t="n">
        <v>0</v>
      </c>
      <c r="BK969" s="105" t="n">
        <v>0</v>
      </c>
      <c r="BL969" s="105" t="n">
        <v>0</v>
      </c>
      <c r="BM969" s="105" t="n">
        <v>0</v>
      </c>
      <c r="BN969" s="105" t="n">
        <v>0</v>
      </c>
      <c r="BO969" s="105" t="n">
        <v>0</v>
      </c>
      <c r="BP969" s="105" t="n">
        <v>0</v>
      </c>
      <c r="BQ969" s="105" t="n">
        <v>0</v>
      </c>
      <c r="BR969" s="106" t="n">
        <v>0</v>
      </c>
      <c r="BS969" s="106" t="n">
        <v>0</v>
      </c>
      <c r="BT969" s="107"/>
      <c r="BU969" s="107"/>
      <c r="BV969" s="107"/>
      <c r="BW969" s="107"/>
      <c r="BX969" s="107"/>
      <c r="BY969" s="107"/>
      <c r="BZ969" s="107"/>
      <c r="CA969" s="107"/>
      <c r="CB969" s="107"/>
      <c r="CC969" s="107"/>
      <c r="CD969" s="107"/>
      <c r="CE969" s="107"/>
      <c r="CF969" s="107"/>
      <c r="CG969" s="107"/>
      <c r="CH969" s="107"/>
      <c r="CI969" s="107"/>
      <c r="CJ969" s="107"/>
      <c r="CK969" s="107"/>
      <c r="CL969" s="107"/>
      <c r="CM969" s="107"/>
      <c r="CN969" s="107"/>
      <c r="CO969" s="107"/>
      <c r="CP969" s="107"/>
      <c r="CQ969" s="107"/>
      <c r="CR969" s="107"/>
      <c r="CS969" s="107"/>
      <c r="CT969" s="107"/>
      <c r="CU969" s="107"/>
      <c r="CV969" s="107"/>
    </row>
    <row r="970" customFormat="false" ht="14.9" hidden="false" customHeight="false" outlineLevel="0" collapsed="false">
      <c r="A970" s="74" t="n">
        <f aca="false">MONTH(B970)</f>
        <v>10</v>
      </c>
      <c r="B970" s="135" t="n">
        <v>44489</v>
      </c>
      <c r="C970" s="128" t="s">
        <v>51</v>
      </c>
      <c r="D970" s="77" t="str">
        <f aca="false">IFERROR(VLOOKUP(E:E,'Item Data Support Sheet'!A:O,7,0),"")</f>
        <v>NIPPLE MOLDED</v>
      </c>
      <c r="E970" s="80" t="s">
        <v>136</v>
      </c>
      <c r="F970" s="122" t="s">
        <v>137</v>
      </c>
      <c r="G970" s="137" t="s">
        <v>138</v>
      </c>
      <c r="H970" s="79" t="str">
        <f aca="false">IFERROR(VLOOKUP(E:E,'Item Data Support Sheet'!A:O,2,0),"")</f>
        <v>NIPPLE S TYPE M SIZE INJECTION</v>
      </c>
      <c r="I970" s="80" t="s">
        <v>1747</v>
      </c>
      <c r="J970" s="80" t="s">
        <v>815</v>
      </c>
      <c r="K970" s="124" t="n">
        <v>8</v>
      </c>
      <c r="L970" s="124" t="n">
        <v>4815</v>
      </c>
      <c r="M970" s="83" t="n">
        <v>601.875</v>
      </c>
      <c r="N970" s="84" t="n">
        <f aca="false">+O970+Q970+T970+U970</f>
        <v>3578</v>
      </c>
      <c r="O970" s="85" t="n">
        <v>3250</v>
      </c>
      <c r="P970" s="86" t="n">
        <v>0</v>
      </c>
      <c r="Q970" s="86" t="n">
        <v>255</v>
      </c>
      <c r="R970" s="132" t="n">
        <v>0</v>
      </c>
      <c r="S970" s="128" t="n">
        <v>0</v>
      </c>
      <c r="T970" s="132" t="n">
        <v>57</v>
      </c>
      <c r="U970" s="128" t="n">
        <v>16</v>
      </c>
      <c r="V970" s="128" t="n">
        <v>1</v>
      </c>
      <c r="W970" s="90" t="n">
        <f aca="false">IFERROR(O970/V970,0)</f>
        <v>3250</v>
      </c>
      <c r="X970" s="91" t="n">
        <f aca="false">O970/L970</f>
        <v>0.674974039460021</v>
      </c>
      <c r="Y970" s="92" t="str">
        <f aca="false">IFERROR(VLOOKUP(E:E,'Item Data Support Sheet'!A:J,6,0),0)</f>
        <v>Silicon</v>
      </c>
      <c r="Z970" s="93" t="n">
        <f aca="false">IFERROR(VLOOKUP(E:E,'Item Data Support Sheet'!A:O,4,0),0)</f>
        <v>6.8</v>
      </c>
      <c r="AA970" s="93" t="n">
        <f aca="false">IFERROR(((N970)*(Z970/1000))+P970,0)</f>
        <v>24.3304</v>
      </c>
      <c r="AB970" s="94" t="n">
        <f aca="false">IFERROR((O970*(Z970/1000)/(AA970))," ")</f>
        <v>0.908328675237563</v>
      </c>
      <c r="AC970" s="95" t="n">
        <f aca="false">IFERROR((T970)/((T970)+O970),0)</f>
        <v>0.0172361657091019</v>
      </c>
      <c r="AD970" s="96" t="n">
        <f aca="false">IFERROR(Q970/(Q970+N970),0)</f>
        <v>0.0665275241325333</v>
      </c>
      <c r="AE970" s="91" t="n">
        <f aca="false">(N970-T970)/N970</f>
        <v>0.984069312465064</v>
      </c>
      <c r="AF970" s="97" t="n">
        <f aca="false">BR970</f>
        <v>2.83333333333333</v>
      </c>
      <c r="AG970" s="98" t="n">
        <f aca="false">K970-AF970</f>
        <v>5.16666666666667</v>
      </c>
      <c r="AH970" s="99" t="n">
        <f aca="false">IFERROR(AG970/K970," ")</f>
        <v>0.645833333333334</v>
      </c>
      <c r="AI970" s="100" t="n">
        <f aca="false">IFERROR(O970/K970,0)</f>
        <v>406.25</v>
      </c>
      <c r="AJ970" s="101" t="n">
        <f aca="false">VLOOKUP(D970,'Standard Cycle time'!C:D,2,0)</f>
        <v>5.25</v>
      </c>
      <c r="AK970" s="101" t="n">
        <f aca="false">AG970*V970*3600/O970</f>
        <v>5.72307692307693</v>
      </c>
      <c r="AL970" s="102" t="n">
        <f aca="false">AJ970/AK970</f>
        <v>0.917338709677419</v>
      </c>
      <c r="AM970" s="99" t="n">
        <f aca="false">AE970*AL970*AH970</f>
        <v>0.583009814025526</v>
      </c>
      <c r="AN970" s="103" t="n">
        <v>0.583009814025526</v>
      </c>
      <c r="AO970" s="112" t="s">
        <v>1748</v>
      </c>
      <c r="AP970" s="105" t="n">
        <v>0</v>
      </c>
      <c r="AQ970" s="105" t="n">
        <v>0</v>
      </c>
      <c r="AR970" s="105" t="n">
        <v>0</v>
      </c>
      <c r="AS970" s="105" t="n">
        <v>0</v>
      </c>
      <c r="AT970" s="105" t="n">
        <v>0</v>
      </c>
      <c r="AU970" s="105" t="n">
        <v>80</v>
      </c>
      <c r="AV970" s="105" t="n">
        <v>0</v>
      </c>
      <c r="AW970" s="105" t="n">
        <v>90</v>
      </c>
      <c r="AX970" s="105" t="n">
        <v>0</v>
      </c>
      <c r="AY970" s="105" t="n">
        <v>0</v>
      </c>
      <c r="AZ970" s="105" t="n">
        <v>0</v>
      </c>
      <c r="BA970" s="105" t="n">
        <v>0</v>
      </c>
      <c r="BB970" s="105" t="n">
        <v>0</v>
      </c>
      <c r="BC970" s="105" t="n">
        <v>0</v>
      </c>
      <c r="BD970" s="105" t="n">
        <v>0</v>
      </c>
      <c r="BE970" s="105" t="n">
        <v>0</v>
      </c>
      <c r="BF970" s="105" t="n">
        <v>0</v>
      </c>
      <c r="BG970" s="105" t="n">
        <v>0</v>
      </c>
      <c r="BH970" s="105" t="n">
        <v>0</v>
      </c>
      <c r="BI970" s="105" t="n">
        <v>0</v>
      </c>
      <c r="BJ970" s="105" t="n">
        <v>0</v>
      </c>
      <c r="BK970" s="105" t="n">
        <v>0</v>
      </c>
      <c r="BL970" s="105" t="n">
        <v>0</v>
      </c>
      <c r="BM970" s="105" t="n">
        <v>0</v>
      </c>
      <c r="BN970" s="105" t="n">
        <v>0</v>
      </c>
      <c r="BO970" s="105" t="n">
        <v>0</v>
      </c>
      <c r="BP970" s="105" t="n">
        <v>0</v>
      </c>
      <c r="BQ970" s="105" t="n">
        <v>0</v>
      </c>
      <c r="BR970" s="106" t="n">
        <v>2.83333333333333</v>
      </c>
      <c r="BS970" s="106" t="n">
        <v>2.83333333333333</v>
      </c>
      <c r="BT970" s="107"/>
      <c r="BU970" s="107"/>
      <c r="BV970" s="107"/>
      <c r="BW970" s="107"/>
      <c r="BX970" s="107"/>
      <c r="BY970" s="107"/>
      <c r="BZ970" s="107"/>
      <c r="CA970" s="107"/>
      <c r="CB970" s="107"/>
      <c r="CC970" s="107"/>
      <c r="CD970" s="107"/>
      <c r="CE970" s="107"/>
      <c r="CF970" s="107"/>
      <c r="CG970" s="107"/>
      <c r="CH970" s="107"/>
      <c r="CI970" s="107"/>
      <c r="CJ970" s="107"/>
      <c r="CK970" s="107"/>
      <c r="CL970" s="107"/>
      <c r="CM970" s="107"/>
      <c r="CN970" s="107"/>
      <c r="CO970" s="107"/>
      <c r="CP970" s="107"/>
      <c r="CQ970" s="107"/>
      <c r="CR970" s="107"/>
      <c r="CS970" s="107"/>
      <c r="CT970" s="107"/>
      <c r="CU970" s="107"/>
      <c r="CV970" s="107"/>
    </row>
    <row r="971" customFormat="false" ht="14.9" hidden="false" customHeight="false" outlineLevel="0" collapsed="false">
      <c r="A971" s="74" t="n">
        <f aca="false">MONTH(B971)</f>
        <v>10</v>
      </c>
      <c r="B971" s="135" t="n">
        <v>44489</v>
      </c>
      <c r="C971" s="128" t="s">
        <v>51</v>
      </c>
      <c r="D971" s="77" t="str">
        <f aca="false">IFERROR(VLOOKUP(E:E,'Item Data Support Sheet'!A:O,7,0),"")</f>
        <v>BOTTLE PRINTED</v>
      </c>
      <c r="E971" s="80" t="s">
        <v>65</v>
      </c>
      <c r="F971" s="122"/>
      <c r="G971" s="137" t="s">
        <v>66</v>
      </c>
      <c r="H971" s="79" t="str">
        <f aca="false">IFERROR(VLOOKUP(E:E,'Item Data Support Sheet'!A:O,2,0),"")</f>
        <v>KPP 240 ML BOTTLE PRINTED</v>
      </c>
      <c r="I971" s="80" t="s">
        <v>1749</v>
      </c>
      <c r="J971" s="80" t="s">
        <v>161</v>
      </c>
      <c r="K971" s="124" t="n">
        <v>4</v>
      </c>
      <c r="L971" s="124" t="n">
        <v>2560</v>
      </c>
      <c r="M971" s="83" t="n">
        <v>640</v>
      </c>
      <c r="N971" s="84" t="n">
        <f aca="false">+O971+Q971+T971+U971</f>
        <v>1656</v>
      </c>
      <c r="O971" s="85" t="n">
        <v>1626</v>
      </c>
      <c r="P971" s="86" t="n">
        <v>0</v>
      </c>
      <c r="Q971" s="86" t="n">
        <v>0</v>
      </c>
      <c r="R971" s="132" t="n">
        <v>29</v>
      </c>
      <c r="S971" s="128" t="n">
        <v>0</v>
      </c>
      <c r="T971" s="132" t="n">
        <v>30</v>
      </c>
      <c r="U971" s="128" t="n">
        <v>0</v>
      </c>
      <c r="V971" s="128" t="n">
        <v>5</v>
      </c>
      <c r="W971" s="90" t="n">
        <f aca="false">IFERROR(O971/V971,0)</f>
        <v>325.2</v>
      </c>
      <c r="X971" s="91" t="n">
        <f aca="false">O971/L971</f>
        <v>0.63515625</v>
      </c>
      <c r="Y971" s="92" t="str">
        <f aca="false">IFERROR(VLOOKUP(E:E,'Item Data Support Sheet'!A:J,6,0),0)</f>
        <v>FO003</v>
      </c>
      <c r="Z971" s="93" t="n">
        <f aca="false">IFERROR(VLOOKUP(E:E,'Item Data Support Sheet'!A:O,4,0),0)</f>
        <v>0</v>
      </c>
      <c r="AA971" s="93" t="n">
        <f aca="false">IFERROR(((N971)*(Z971/1000))+P971,0)</f>
        <v>0</v>
      </c>
      <c r="AB971" s="94" t="str">
        <f aca="false">IFERROR((O971*(Z971/1000)/(AA971))," ")</f>
        <v> </v>
      </c>
      <c r="AC971" s="95" t="n">
        <f aca="false">IFERROR((T971)/((T971)+O971),0)</f>
        <v>0.0181159420289855</v>
      </c>
      <c r="AD971" s="96" t="n">
        <f aca="false">IFERROR(Q971/(Q971+N971),0)</f>
        <v>0</v>
      </c>
      <c r="AE971" s="91" t="n">
        <f aca="false">(N971-T971)/N971</f>
        <v>0.981884057971014</v>
      </c>
      <c r="AF971" s="97" t="n">
        <f aca="false">BR971</f>
        <v>1.16666666666667</v>
      </c>
      <c r="AG971" s="98" t="n">
        <f aca="false">K971-AF971</f>
        <v>2.83333333333333</v>
      </c>
      <c r="AH971" s="99" t="n">
        <f aca="false">IFERROR(AG971/K971," ")</f>
        <v>0.708333333333332</v>
      </c>
      <c r="AI971" s="100" t="n">
        <f aca="false">IFERROR(O971/K971,0)</f>
        <v>406.5</v>
      </c>
      <c r="AJ971" s="101" t="n">
        <f aca="false">VLOOKUP(D971,'Standard Cycle time'!C:D,2,0)</f>
        <v>32.4</v>
      </c>
      <c r="AK971" s="101" t="n">
        <f aca="false">AG971*V971*3600/O971</f>
        <v>31.3653136531365</v>
      </c>
      <c r="AL971" s="102" t="n">
        <f aca="false">AJ971/AK971</f>
        <v>1.03298823529412</v>
      </c>
      <c r="AM971" s="99" t="n">
        <f aca="false">AE971*AL971*AH971</f>
        <v>0.718444565217391</v>
      </c>
      <c r="AN971" s="103" t="n">
        <v>0.718444565217391</v>
      </c>
      <c r="AO971" s="112"/>
      <c r="AP971" s="105" t="n">
        <v>10</v>
      </c>
      <c r="AQ971" s="105" t="n">
        <v>60</v>
      </c>
      <c r="AR971" s="105" t="n">
        <v>0</v>
      </c>
      <c r="AS971" s="105" t="n">
        <v>0</v>
      </c>
      <c r="AT971" s="105" t="n">
        <v>0</v>
      </c>
      <c r="AU971" s="105" t="n">
        <v>0</v>
      </c>
      <c r="AV971" s="105" t="n">
        <v>0</v>
      </c>
      <c r="AW971" s="105" t="n">
        <v>0</v>
      </c>
      <c r="AX971" s="105" t="n">
        <v>0</v>
      </c>
      <c r="AY971" s="105" t="n">
        <v>0</v>
      </c>
      <c r="AZ971" s="105" t="n">
        <v>0</v>
      </c>
      <c r="BA971" s="105" t="n">
        <v>0</v>
      </c>
      <c r="BB971" s="105" t="n">
        <v>0</v>
      </c>
      <c r="BC971" s="105" t="n">
        <v>0</v>
      </c>
      <c r="BD971" s="105" t="n">
        <v>0</v>
      </c>
      <c r="BE971" s="105" t="n">
        <v>0</v>
      </c>
      <c r="BF971" s="105" t="n">
        <v>0</v>
      </c>
      <c r="BG971" s="105" t="n">
        <v>0</v>
      </c>
      <c r="BH971" s="105" t="n">
        <v>0</v>
      </c>
      <c r="BI971" s="105" t="n">
        <v>0</v>
      </c>
      <c r="BJ971" s="105" t="n">
        <v>0</v>
      </c>
      <c r="BK971" s="105" t="n">
        <v>0</v>
      </c>
      <c r="BL971" s="105" t="n">
        <v>0</v>
      </c>
      <c r="BM971" s="105" t="n">
        <v>0</v>
      </c>
      <c r="BN971" s="105" t="n">
        <v>0</v>
      </c>
      <c r="BO971" s="105" t="n">
        <v>0</v>
      </c>
      <c r="BP971" s="105" t="n">
        <v>0</v>
      </c>
      <c r="BQ971" s="105" t="n">
        <v>0</v>
      </c>
      <c r="BR971" s="106" t="n">
        <v>1.16666666666667</v>
      </c>
      <c r="BS971" s="106" t="n">
        <v>1.16666666666667</v>
      </c>
      <c r="BT971" s="107"/>
      <c r="BU971" s="107"/>
      <c r="BV971" s="107"/>
      <c r="BW971" s="107"/>
      <c r="BX971" s="107"/>
      <c r="BY971" s="107"/>
      <c r="BZ971" s="107"/>
      <c r="CA971" s="107"/>
      <c r="CB971" s="107"/>
      <c r="CC971" s="107"/>
      <c r="CD971" s="107"/>
      <c r="CE971" s="107"/>
      <c r="CF971" s="107"/>
      <c r="CG971" s="107"/>
      <c r="CH971" s="107"/>
      <c r="CI971" s="107"/>
      <c r="CJ971" s="107"/>
      <c r="CK971" s="107"/>
      <c r="CL971" s="107"/>
      <c r="CM971" s="107"/>
      <c r="CN971" s="107"/>
      <c r="CO971" s="107"/>
      <c r="CP971" s="107"/>
      <c r="CQ971" s="107"/>
      <c r="CR971" s="107"/>
      <c r="CS971" s="107"/>
      <c r="CT971" s="107"/>
      <c r="CU971" s="107"/>
      <c r="CV971" s="107"/>
    </row>
    <row r="972" customFormat="false" ht="14.9" hidden="false" customHeight="false" outlineLevel="0" collapsed="false">
      <c r="A972" s="74" t="n">
        <f aca="false">MONTH(B972)</f>
        <v>10</v>
      </c>
      <c r="B972" s="135" t="n">
        <v>44489</v>
      </c>
      <c r="C972" s="128" t="s">
        <v>51</v>
      </c>
      <c r="D972" s="77" t="str">
        <f aca="false">IFERROR(VLOOKUP(E:E,'Item Data Support Sheet'!A:O,7,0),"")</f>
        <v>BOTTLE PRINTED</v>
      </c>
      <c r="E972" s="80" t="s">
        <v>267</v>
      </c>
      <c r="F972" s="122"/>
      <c r="G972" s="137" t="s">
        <v>66</v>
      </c>
      <c r="H972" s="79" t="str">
        <f aca="false">IFERROR(VLOOKUP(E:E,'Item Data Support Sheet'!A:O,2,0),"")</f>
        <v>KPP 200 BOTTLE PRINTED (WMG3B) W/O OZ &amp; W/BIS LOGO</v>
      </c>
      <c r="I972" s="80" t="s">
        <v>1750</v>
      </c>
      <c r="J972" s="80" t="s">
        <v>161</v>
      </c>
      <c r="K972" s="124" t="n">
        <v>1.5</v>
      </c>
      <c r="L972" s="124" t="n">
        <v>960</v>
      </c>
      <c r="M972" s="83" t="n">
        <v>640</v>
      </c>
      <c r="N972" s="84" t="n">
        <f aca="false">+O972+Q972+T972+U972</f>
        <v>258</v>
      </c>
      <c r="O972" s="85" t="n">
        <v>255</v>
      </c>
      <c r="P972" s="86" t="n">
        <v>0</v>
      </c>
      <c r="Q972" s="86" t="n">
        <v>0</v>
      </c>
      <c r="R972" s="132" t="n">
        <v>0</v>
      </c>
      <c r="S972" s="128" t="n">
        <v>0</v>
      </c>
      <c r="T972" s="132" t="n">
        <v>3</v>
      </c>
      <c r="U972" s="128" t="n">
        <v>0</v>
      </c>
      <c r="V972" s="128" t="n">
        <v>5</v>
      </c>
      <c r="W972" s="90" t="n">
        <f aca="false">IFERROR(O972/V972,0)</f>
        <v>51</v>
      </c>
      <c r="X972" s="91" t="n">
        <f aca="false">O972/L972</f>
        <v>0.265625</v>
      </c>
      <c r="Y972" s="92" t="str">
        <f aca="false">IFERROR(VLOOKUP(E:E,'Item Data Support Sheet'!A:J,6,0),0)</f>
        <v>FO043</v>
      </c>
      <c r="Z972" s="93" t="n">
        <f aca="false">IFERROR(VLOOKUP(E:E,'Item Data Support Sheet'!A:O,4,0),0)</f>
        <v>0</v>
      </c>
      <c r="AA972" s="93" t="n">
        <f aca="false">IFERROR(((N972)*(Z972/1000))+P972,0)</f>
        <v>0</v>
      </c>
      <c r="AB972" s="94" t="str">
        <f aca="false">IFERROR((O972*(Z972/1000)/(AA972))," ")</f>
        <v> </v>
      </c>
      <c r="AC972" s="95" t="n">
        <f aca="false">IFERROR((T972)/((T972)+O972),0)</f>
        <v>0.0116279069767442</v>
      </c>
      <c r="AD972" s="96" t="n">
        <f aca="false">IFERROR(Q972/(Q972+N972),0)</f>
        <v>0</v>
      </c>
      <c r="AE972" s="91" t="n">
        <f aca="false">(N972-T972)/N972</f>
        <v>0.988372093023256</v>
      </c>
      <c r="AF972" s="97" t="n">
        <f aca="false">BR972</f>
        <v>1.16666666666667</v>
      </c>
      <c r="AG972" s="98" t="n">
        <f aca="false">K972-AF972</f>
        <v>0.33333333333333</v>
      </c>
      <c r="AH972" s="99" t="n">
        <f aca="false">IFERROR(AG972/K972," ")</f>
        <v>0.22222222222222</v>
      </c>
      <c r="AI972" s="100" t="n">
        <f aca="false">IFERROR(O972/K972,0)</f>
        <v>170</v>
      </c>
      <c r="AJ972" s="101" t="n">
        <f aca="false">VLOOKUP(D972,'Standard Cycle time'!C:D,2,0)</f>
        <v>32.4</v>
      </c>
      <c r="AK972" s="101" t="n">
        <f aca="false">AG972*V972*3600/O972</f>
        <v>23.5294117647056</v>
      </c>
      <c r="AL972" s="102" t="n">
        <f aca="false">AJ972/AK972</f>
        <v>1.37700000000001</v>
      </c>
      <c r="AM972" s="99" t="n">
        <f aca="false">AE972*AL972*AH972</f>
        <v>0.302441860465116</v>
      </c>
      <c r="AN972" s="103" t="n">
        <v>0.302441860465116</v>
      </c>
      <c r="AO972" s="112" t="s">
        <v>1751</v>
      </c>
      <c r="AP972" s="105" t="n">
        <v>30</v>
      </c>
      <c r="AQ972" s="105" t="n">
        <v>40</v>
      </c>
      <c r="AR972" s="105" t="n">
        <v>0</v>
      </c>
      <c r="AS972" s="105" t="n">
        <v>0</v>
      </c>
      <c r="AT972" s="105" t="n">
        <v>0</v>
      </c>
      <c r="AU972" s="105" t="n">
        <v>0</v>
      </c>
      <c r="AV972" s="105" t="n">
        <v>0</v>
      </c>
      <c r="AW972" s="105" t="n">
        <v>0</v>
      </c>
      <c r="AX972" s="105" t="n">
        <v>0</v>
      </c>
      <c r="AY972" s="105" t="n">
        <v>0</v>
      </c>
      <c r="AZ972" s="105" t="n">
        <v>0</v>
      </c>
      <c r="BA972" s="105" t="n">
        <v>0</v>
      </c>
      <c r="BB972" s="105" t="n">
        <v>0</v>
      </c>
      <c r="BC972" s="105" t="n">
        <v>0</v>
      </c>
      <c r="BD972" s="105" t="n">
        <v>0</v>
      </c>
      <c r="BE972" s="105" t="n">
        <v>0</v>
      </c>
      <c r="BF972" s="105" t="n">
        <v>0</v>
      </c>
      <c r="BG972" s="105" t="n">
        <v>0</v>
      </c>
      <c r="BH972" s="105" t="n">
        <v>0</v>
      </c>
      <c r="BI972" s="105" t="n">
        <v>0</v>
      </c>
      <c r="BJ972" s="105" t="n">
        <v>0</v>
      </c>
      <c r="BK972" s="105" t="n">
        <v>0</v>
      </c>
      <c r="BL972" s="105" t="n">
        <v>0</v>
      </c>
      <c r="BM972" s="105" t="n">
        <v>0</v>
      </c>
      <c r="BN972" s="105" t="n">
        <v>0</v>
      </c>
      <c r="BO972" s="105" t="n">
        <v>0</v>
      </c>
      <c r="BP972" s="105" t="n">
        <v>0</v>
      </c>
      <c r="BQ972" s="105" t="n">
        <v>0</v>
      </c>
      <c r="BR972" s="106" t="n">
        <v>1.16666666666667</v>
      </c>
      <c r="BS972" s="106" t="n">
        <v>1.16666666666667</v>
      </c>
      <c r="BT972" s="107"/>
      <c r="BU972" s="107"/>
      <c r="BV972" s="107"/>
      <c r="BW972" s="107"/>
      <c r="BX972" s="107"/>
      <c r="BY972" s="107"/>
      <c r="BZ972" s="107"/>
      <c r="CA972" s="107"/>
      <c r="CB972" s="107"/>
      <c r="CC972" s="107"/>
      <c r="CD972" s="107"/>
      <c r="CE972" s="107"/>
      <c r="CF972" s="107"/>
      <c r="CG972" s="107"/>
      <c r="CH972" s="107"/>
      <c r="CI972" s="107"/>
      <c r="CJ972" s="107"/>
      <c r="CK972" s="107"/>
      <c r="CL972" s="107"/>
      <c r="CM972" s="107"/>
      <c r="CN972" s="107"/>
      <c r="CO972" s="107"/>
      <c r="CP972" s="107"/>
      <c r="CQ972" s="107"/>
      <c r="CR972" s="107"/>
      <c r="CS972" s="107"/>
      <c r="CT972" s="107"/>
      <c r="CU972" s="107"/>
      <c r="CV972" s="107"/>
    </row>
    <row r="973" customFormat="false" ht="14.9" hidden="false" customHeight="false" outlineLevel="0" collapsed="false">
      <c r="A973" s="74" t="n">
        <f aca="false">MONTH(B973)</f>
        <v>10</v>
      </c>
      <c r="B973" s="135" t="n">
        <v>44489</v>
      </c>
      <c r="C973" s="128" t="s">
        <v>51</v>
      </c>
      <c r="D973" s="77" t="str">
        <f aca="false">IFERROR(VLOOKUP(E:E,'Item Data Support Sheet'!A:O,7,0),"")</f>
        <v>BOTTLE PRINTED</v>
      </c>
      <c r="E973" s="80" t="s">
        <v>320</v>
      </c>
      <c r="F973" s="122"/>
      <c r="G973" s="137" t="s">
        <v>66</v>
      </c>
      <c r="H973" s="79" t="str">
        <f aca="false">IFERROR(VLOOKUP(E:E,'Item Data Support Sheet'!A:O,2,0),"")</f>
        <v>KPP 200 ML BOTTLE PRINTED</v>
      </c>
      <c r="I973" s="80" t="s">
        <v>1752</v>
      </c>
      <c r="J973" s="80" t="s">
        <v>161</v>
      </c>
      <c r="K973" s="124" t="n">
        <v>2.5</v>
      </c>
      <c r="L973" s="124" t="n">
        <v>1600</v>
      </c>
      <c r="M973" s="83" t="n">
        <v>640</v>
      </c>
      <c r="N973" s="84" t="n">
        <f aca="false">+O973+Q973+T973+U973</f>
        <v>1629</v>
      </c>
      <c r="O973" s="85" t="n">
        <v>1620</v>
      </c>
      <c r="P973" s="86" t="n">
        <v>0</v>
      </c>
      <c r="Q973" s="86" t="n">
        <v>0</v>
      </c>
      <c r="R973" s="132" t="n">
        <v>11</v>
      </c>
      <c r="S973" s="128" t="n">
        <v>0</v>
      </c>
      <c r="T973" s="132" t="n">
        <v>9</v>
      </c>
      <c r="U973" s="128" t="n">
        <v>0</v>
      </c>
      <c r="V973" s="128" t="n">
        <v>5</v>
      </c>
      <c r="W973" s="90" t="n">
        <f aca="false">IFERROR(O973/V973,0)</f>
        <v>324</v>
      </c>
      <c r="X973" s="91" t="n">
        <f aca="false">O973/L973</f>
        <v>1.0125</v>
      </c>
      <c r="Y973" s="92" t="str">
        <f aca="false">IFERROR(VLOOKUP(E:E,'Item Data Support Sheet'!A:J,6,0),0)</f>
        <v>FO002</v>
      </c>
      <c r="Z973" s="93" t="n">
        <f aca="false">IFERROR(VLOOKUP(E:E,'Item Data Support Sheet'!A:O,4,0),0)</f>
        <v>0</v>
      </c>
      <c r="AA973" s="93" t="n">
        <f aca="false">IFERROR(((N973)*(Z973/1000))+P973,0)</f>
        <v>0</v>
      </c>
      <c r="AB973" s="94" t="str">
        <f aca="false">IFERROR((O973*(Z973/1000)/(AA973))," ")</f>
        <v> </v>
      </c>
      <c r="AC973" s="95" t="n">
        <f aca="false">IFERROR((T973)/((T973)+O973),0)</f>
        <v>0.00552486187845304</v>
      </c>
      <c r="AD973" s="96" t="n">
        <f aca="false">IFERROR(Q973/(Q973+N973),0)</f>
        <v>0</v>
      </c>
      <c r="AE973" s="91" t="n">
        <f aca="false">(N973-T973)/N973</f>
        <v>0.994475138121547</v>
      </c>
      <c r="AF973" s="97" t="n">
        <f aca="false">BR973</f>
        <v>0</v>
      </c>
      <c r="AG973" s="98" t="n">
        <f aca="false">K973-AF973</f>
        <v>2.5</v>
      </c>
      <c r="AH973" s="99" t="n">
        <f aca="false">IFERROR(AG973/K973," ")</f>
        <v>1</v>
      </c>
      <c r="AI973" s="100" t="n">
        <f aca="false">IFERROR(O973/K973,0)</f>
        <v>648</v>
      </c>
      <c r="AJ973" s="101" t="n">
        <f aca="false">VLOOKUP(D973,'Standard Cycle time'!C:D,2,0)</f>
        <v>32.4</v>
      </c>
      <c r="AK973" s="101" t="n">
        <f aca="false">AG973*V973*3600/O973</f>
        <v>27.7777777777778</v>
      </c>
      <c r="AL973" s="102" t="n">
        <f aca="false">AJ973/AK973</f>
        <v>1.1664</v>
      </c>
      <c r="AM973" s="99" t="n">
        <f aca="false">AE973*AL973*AH973</f>
        <v>1.15995580110497</v>
      </c>
      <c r="AN973" s="103" t="n">
        <v>1.15995580110497</v>
      </c>
      <c r="AO973" s="112" t="s">
        <v>1753</v>
      </c>
      <c r="AP973" s="105" t="n">
        <v>0</v>
      </c>
      <c r="AQ973" s="105" t="n">
        <v>0</v>
      </c>
      <c r="AR973" s="105" t="n">
        <v>0</v>
      </c>
      <c r="AS973" s="105" t="n">
        <v>0</v>
      </c>
      <c r="AT973" s="105" t="n">
        <v>0</v>
      </c>
      <c r="AU973" s="105" t="n">
        <v>0</v>
      </c>
      <c r="AV973" s="105" t="n">
        <v>0</v>
      </c>
      <c r="AW973" s="105" t="n">
        <v>0</v>
      </c>
      <c r="AX973" s="105" t="n">
        <v>0</v>
      </c>
      <c r="AY973" s="105" t="n">
        <v>0</v>
      </c>
      <c r="AZ973" s="105" t="n">
        <v>0</v>
      </c>
      <c r="BA973" s="105" t="n">
        <v>0</v>
      </c>
      <c r="BB973" s="105" t="n">
        <v>0</v>
      </c>
      <c r="BC973" s="105" t="n">
        <v>0</v>
      </c>
      <c r="BD973" s="105" t="n">
        <v>0</v>
      </c>
      <c r="BE973" s="105" t="n">
        <v>0</v>
      </c>
      <c r="BF973" s="105" t="n">
        <v>0</v>
      </c>
      <c r="BG973" s="105" t="n">
        <v>0</v>
      </c>
      <c r="BH973" s="105" t="n">
        <v>0</v>
      </c>
      <c r="BI973" s="105" t="n">
        <v>0</v>
      </c>
      <c r="BJ973" s="105" t="n">
        <v>0</v>
      </c>
      <c r="BK973" s="105" t="n">
        <v>0</v>
      </c>
      <c r="BL973" s="105" t="n">
        <v>0</v>
      </c>
      <c r="BM973" s="105" t="n">
        <v>0</v>
      </c>
      <c r="BN973" s="105" t="n">
        <v>0</v>
      </c>
      <c r="BO973" s="105" t="n">
        <v>0</v>
      </c>
      <c r="BP973" s="105" t="n">
        <v>0</v>
      </c>
      <c r="BQ973" s="105" t="n">
        <v>0</v>
      </c>
      <c r="BR973" s="106" t="n">
        <v>0</v>
      </c>
      <c r="BS973" s="106" t="n">
        <v>0</v>
      </c>
      <c r="BT973" s="107"/>
      <c r="BU973" s="107"/>
      <c r="BV973" s="107"/>
      <c r="BW973" s="107"/>
      <c r="BX973" s="107"/>
      <c r="BY973" s="107"/>
      <c r="BZ973" s="107"/>
      <c r="CA973" s="107"/>
      <c r="CB973" s="107"/>
      <c r="CC973" s="107"/>
      <c r="CD973" s="107"/>
      <c r="CE973" s="107"/>
      <c r="CF973" s="107"/>
      <c r="CG973" s="107"/>
      <c r="CH973" s="107"/>
      <c r="CI973" s="107"/>
      <c r="CJ973" s="107"/>
      <c r="CK973" s="107"/>
      <c r="CL973" s="107"/>
      <c r="CM973" s="107"/>
      <c r="CN973" s="107"/>
      <c r="CO973" s="107"/>
      <c r="CP973" s="107"/>
      <c r="CQ973" s="107"/>
      <c r="CR973" s="107"/>
      <c r="CS973" s="107"/>
      <c r="CT973" s="107"/>
      <c r="CU973" s="107"/>
      <c r="CV973" s="107"/>
    </row>
    <row r="974" customFormat="false" ht="14.9" hidden="false" customHeight="false" outlineLevel="0" collapsed="false">
      <c r="A974" s="74" t="n">
        <f aca="false">MONTH(B974)</f>
        <v>10</v>
      </c>
      <c r="B974" s="135" t="n">
        <v>44489</v>
      </c>
      <c r="C974" s="128" t="s">
        <v>63</v>
      </c>
      <c r="D974" s="77" t="str">
        <f aca="false">IFERROR(VLOOKUP(E:E,'Item Data Support Sheet'!A:O,7,0),"")</f>
        <v>NIPPLE PUNCH INSPECTED</v>
      </c>
      <c r="E974" s="80" t="s">
        <v>182</v>
      </c>
      <c r="F974" s="122"/>
      <c r="G974" s="137"/>
      <c r="H974" s="79" t="str">
        <f aca="false">IFERROR(VLOOKUP(E:E,'Item Data Support Sheet'!A:O,2,0),"")</f>
        <v>NIPPLE S TYPE M SIZE PUNCHED INSPECTED</v>
      </c>
      <c r="I974" s="80" t="s">
        <v>1735</v>
      </c>
      <c r="J974" s="80" t="s">
        <v>155</v>
      </c>
      <c r="K974" s="124" t="n">
        <v>8</v>
      </c>
      <c r="L974" s="124" t="n">
        <v>14137</v>
      </c>
      <c r="M974" s="83" t="n">
        <v>1767.125</v>
      </c>
      <c r="N974" s="84" t="n">
        <f aca="false">+O974+Q974+T974+U974</f>
        <v>10938</v>
      </c>
      <c r="O974" s="85" t="n">
        <v>10807</v>
      </c>
      <c r="P974" s="86" t="n">
        <v>0</v>
      </c>
      <c r="Q974" s="86" t="n">
        <v>0</v>
      </c>
      <c r="R974" s="132" t="n">
        <v>0</v>
      </c>
      <c r="S974" s="128" t="n">
        <v>0</v>
      </c>
      <c r="T974" s="132" t="n">
        <v>131</v>
      </c>
      <c r="U974" s="128" t="n">
        <v>0</v>
      </c>
      <c r="V974" s="128" t="n">
        <v>1</v>
      </c>
      <c r="W974" s="90" t="n">
        <f aca="false">IFERROR(O974/V974,0)</f>
        <v>10807</v>
      </c>
      <c r="X974" s="91" t="n">
        <f aca="false">O974/L974</f>
        <v>0.764447902666761</v>
      </c>
      <c r="Y974" s="92" t="str">
        <f aca="false">IFERROR(VLOOKUP(E:E,'Item Data Support Sheet'!A:J,6,0),0)</f>
        <v>FO105</v>
      </c>
      <c r="Z974" s="93" t="n">
        <f aca="false">IFERROR(VLOOKUP(E:E,'Item Data Support Sheet'!A:O,4,0),0)</f>
        <v>0</v>
      </c>
      <c r="AA974" s="93" t="n">
        <f aca="false">IFERROR(((N974)*(Z974/1000))+P974,0)</f>
        <v>0</v>
      </c>
      <c r="AB974" s="94" t="str">
        <f aca="false">IFERROR((O974*(Z974/1000)/(AA974))," ")</f>
        <v> </v>
      </c>
      <c r="AC974" s="95" t="n">
        <f aca="false">IFERROR((T974)/((T974)+O974),0)</f>
        <v>0.0119765953556409</v>
      </c>
      <c r="AD974" s="96" t="n">
        <f aca="false">IFERROR(Q974/(Q974+N974),0)</f>
        <v>0</v>
      </c>
      <c r="AE974" s="91" t="n">
        <f aca="false">(N974-T974)/N974</f>
        <v>0.988023404644359</v>
      </c>
      <c r="AF974" s="97" t="n">
        <f aca="false">BR974</f>
        <v>0.833333333333333</v>
      </c>
      <c r="AG974" s="98" t="n">
        <f aca="false">K974-AF974</f>
        <v>7.16666666666667</v>
      </c>
      <c r="AH974" s="99" t="n">
        <f aca="false">IFERROR(AG974/K974," ")</f>
        <v>0.895833333333333</v>
      </c>
      <c r="AI974" s="100" t="n">
        <f aca="false">IFERROR(O974/K974,0)</f>
        <v>1350.875</v>
      </c>
      <c r="AJ974" s="101" t="n">
        <f aca="false">VLOOKUP(D974,'Standard Cycle time'!C:D,2,0)</f>
        <v>4</v>
      </c>
      <c r="AK974" s="101" t="n">
        <f aca="false">AG974*V974*3600/O974</f>
        <v>2.38734153789211</v>
      </c>
      <c r="AL974" s="102" t="n">
        <f aca="false">AJ974/AK974</f>
        <v>1.67550387596899</v>
      </c>
      <c r="AM974" s="99" t="n">
        <f aca="false">AE974*AL974*AH974</f>
        <v>1.48299568527661</v>
      </c>
      <c r="AN974" s="103" t="n">
        <v>1.48299568527661</v>
      </c>
      <c r="AO974" s="112"/>
      <c r="AP974" s="105" t="n">
        <v>50</v>
      </c>
      <c r="AQ974" s="105" t="n">
        <v>0</v>
      </c>
      <c r="AR974" s="105" t="n">
        <v>0</v>
      </c>
      <c r="AS974" s="105" t="n">
        <v>0</v>
      </c>
      <c r="AT974" s="105" t="n">
        <v>0</v>
      </c>
      <c r="AU974" s="105" t="n">
        <v>0</v>
      </c>
      <c r="AV974" s="105" t="n">
        <v>0</v>
      </c>
      <c r="AW974" s="105" t="n">
        <v>0</v>
      </c>
      <c r="AX974" s="105" t="n">
        <v>0</v>
      </c>
      <c r="AY974" s="105" t="n">
        <v>0</v>
      </c>
      <c r="AZ974" s="105" t="n">
        <v>0</v>
      </c>
      <c r="BA974" s="105" t="n">
        <v>0</v>
      </c>
      <c r="BB974" s="105" t="n">
        <v>0</v>
      </c>
      <c r="BC974" s="105" t="n">
        <v>0</v>
      </c>
      <c r="BD974" s="105" t="n">
        <v>0</v>
      </c>
      <c r="BE974" s="105" t="n">
        <v>0</v>
      </c>
      <c r="BF974" s="105" t="n">
        <v>0</v>
      </c>
      <c r="BG974" s="105" t="n">
        <v>0</v>
      </c>
      <c r="BH974" s="105" t="n">
        <v>0</v>
      </c>
      <c r="BI974" s="105" t="n">
        <v>0</v>
      </c>
      <c r="BJ974" s="105" t="n">
        <v>0</v>
      </c>
      <c r="BK974" s="105" t="n">
        <v>0</v>
      </c>
      <c r="BL974" s="105" t="n">
        <v>0</v>
      </c>
      <c r="BM974" s="105" t="n">
        <v>0</v>
      </c>
      <c r="BN974" s="105" t="n">
        <v>0</v>
      </c>
      <c r="BO974" s="105" t="n">
        <v>0</v>
      </c>
      <c r="BP974" s="105" t="n">
        <v>0</v>
      </c>
      <c r="BQ974" s="105" t="n">
        <v>0</v>
      </c>
      <c r="BR974" s="106" t="n">
        <v>0.833333333333333</v>
      </c>
      <c r="BS974" s="106" t="n">
        <v>0.833333333333333</v>
      </c>
      <c r="BT974" s="107"/>
      <c r="BU974" s="107"/>
      <c r="BV974" s="107"/>
      <c r="BW974" s="107"/>
      <c r="BX974" s="107"/>
      <c r="BY974" s="107"/>
      <c r="BZ974" s="107"/>
      <c r="CA974" s="107"/>
      <c r="CB974" s="107"/>
      <c r="CC974" s="107"/>
      <c r="CD974" s="107"/>
      <c r="CE974" s="107"/>
      <c r="CF974" s="107"/>
      <c r="CG974" s="107"/>
      <c r="CH974" s="107"/>
      <c r="CI974" s="107"/>
      <c r="CJ974" s="107"/>
      <c r="CK974" s="107"/>
      <c r="CL974" s="107"/>
      <c r="CM974" s="107"/>
      <c r="CN974" s="107"/>
      <c r="CO974" s="107"/>
      <c r="CP974" s="107"/>
      <c r="CQ974" s="107"/>
      <c r="CR974" s="107"/>
      <c r="CS974" s="107"/>
      <c r="CT974" s="107"/>
      <c r="CU974" s="107"/>
      <c r="CV974" s="107"/>
    </row>
    <row r="975" customFormat="false" ht="14.9" hidden="false" customHeight="false" outlineLevel="0" collapsed="false">
      <c r="A975" s="74" t="n">
        <f aca="false">MONTH(B975)</f>
        <v>10</v>
      </c>
      <c r="B975" s="135" t="n">
        <v>44489</v>
      </c>
      <c r="C975" s="128" t="s">
        <v>70</v>
      </c>
      <c r="D975" s="77" t="str">
        <f aca="false">IFERROR(VLOOKUP(E:E,'Item Data Support Sheet'!A:O,7,0),"")</f>
        <v>NIPPLE PUNCH</v>
      </c>
      <c r="E975" s="80" t="s">
        <v>60</v>
      </c>
      <c r="F975" s="122"/>
      <c r="G975" s="137" t="s">
        <v>54</v>
      </c>
      <c r="H975" s="79" t="str">
        <f aca="false">IFERROR(VLOOKUP(E:E,'Item Data Support Sheet'!A:O,2,0),"")</f>
        <v>NIPPLE S TYPE M SIZE PUNCHED</v>
      </c>
      <c r="I975" s="80" t="s">
        <v>1754</v>
      </c>
      <c r="J975" s="80" t="s">
        <v>155</v>
      </c>
      <c r="K975" s="124" t="n">
        <v>8</v>
      </c>
      <c r="L975" s="124" t="n">
        <v>7000</v>
      </c>
      <c r="M975" s="83" t="n">
        <v>875</v>
      </c>
      <c r="N975" s="84" t="n">
        <f aca="false">+O975+Q975+T975+U975</f>
        <v>7000</v>
      </c>
      <c r="O975" s="85" t="n">
        <v>6970</v>
      </c>
      <c r="P975" s="86" t="n">
        <v>0</v>
      </c>
      <c r="Q975" s="86" t="n">
        <v>0</v>
      </c>
      <c r="R975" s="132" t="n">
        <v>0</v>
      </c>
      <c r="S975" s="128" t="n">
        <v>0</v>
      </c>
      <c r="T975" s="132" t="n">
        <v>30</v>
      </c>
      <c r="U975" s="128" t="n">
        <v>0</v>
      </c>
      <c r="V975" s="128" t="n">
        <v>1</v>
      </c>
      <c r="W975" s="90" t="n">
        <f aca="false">IFERROR(O975/V975,0)</f>
        <v>6970</v>
      </c>
      <c r="X975" s="91" t="n">
        <f aca="false">O975/L975</f>
        <v>0.995714285714286</v>
      </c>
      <c r="Y975" s="92" t="str">
        <f aca="false">IFERROR(VLOOKUP(E:E,'Item Data Support Sheet'!A:J,6,0),0)</f>
        <v>FO016</v>
      </c>
      <c r="Z975" s="93" t="n">
        <f aca="false">IFERROR(VLOOKUP(E:E,'Item Data Support Sheet'!A:O,4,0),0)</f>
        <v>0</v>
      </c>
      <c r="AA975" s="93" t="n">
        <f aca="false">IFERROR(((N975)*(Z975/1000))+P975,0)</f>
        <v>0</v>
      </c>
      <c r="AB975" s="94" t="str">
        <f aca="false">IFERROR((O975*(Z975/1000)/(AA975))," ")</f>
        <v> </v>
      </c>
      <c r="AC975" s="95" t="n">
        <f aca="false">IFERROR((T975)/((T975)+O975),0)</f>
        <v>0.00428571428571429</v>
      </c>
      <c r="AD975" s="96" t="n">
        <f aca="false">IFERROR(Q975/(Q975+N975),0)</f>
        <v>0</v>
      </c>
      <c r="AE975" s="91" t="n">
        <f aca="false">(N975-T975)/N975</f>
        <v>0.995714285714286</v>
      </c>
      <c r="AF975" s="97" t="n">
        <f aca="false">BR975</f>
        <v>0.666666666666667</v>
      </c>
      <c r="AG975" s="98" t="n">
        <f aca="false">K975-AF975</f>
        <v>7.33333333333333</v>
      </c>
      <c r="AH975" s="99" t="n">
        <f aca="false">IFERROR(AG975/K975," ")</f>
        <v>0.916666666666667</v>
      </c>
      <c r="AI975" s="100" t="n">
        <f aca="false">IFERROR(O975/K975,0)</f>
        <v>871.25</v>
      </c>
      <c r="AJ975" s="101" t="n">
        <f aca="false">VLOOKUP(D975,'Standard Cycle time'!C:D,2,0)</f>
        <v>3.5</v>
      </c>
      <c r="AK975" s="101" t="n">
        <f aca="false">AG975*V975*3600/O975</f>
        <v>3.78766140602582</v>
      </c>
      <c r="AL975" s="102" t="n">
        <f aca="false">AJ975/AK975</f>
        <v>0.92405303030303</v>
      </c>
      <c r="AM975" s="99" t="n">
        <f aca="false">AE975*AL975*AH975</f>
        <v>0.843418402777778</v>
      </c>
      <c r="AN975" s="103" t="n">
        <v>0.843418402777778</v>
      </c>
      <c r="AO975" s="112"/>
      <c r="AP975" s="105" t="n">
        <v>40</v>
      </c>
      <c r="AQ975" s="105" t="n">
        <v>0</v>
      </c>
      <c r="AR975" s="105" t="n">
        <v>0</v>
      </c>
      <c r="AS975" s="105" t="n">
        <v>0</v>
      </c>
      <c r="AT975" s="105" t="n">
        <v>0</v>
      </c>
      <c r="AU975" s="105" t="n">
        <v>0</v>
      </c>
      <c r="AV975" s="105" t="n">
        <v>0</v>
      </c>
      <c r="AW975" s="105" t="n">
        <v>0</v>
      </c>
      <c r="AX975" s="105" t="n">
        <v>0</v>
      </c>
      <c r="AY975" s="105" t="n">
        <v>0</v>
      </c>
      <c r="AZ975" s="105" t="n">
        <v>0</v>
      </c>
      <c r="BA975" s="105" t="n">
        <v>0</v>
      </c>
      <c r="BB975" s="105" t="n">
        <v>0</v>
      </c>
      <c r="BC975" s="105" t="n">
        <v>0</v>
      </c>
      <c r="BD975" s="105" t="n">
        <v>0</v>
      </c>
      <c r="BE975" s="105" t="n">
        <v>0</v>
      </c>
      <c r="BF975" s="105" t="n">
        <v>0</v>
      </c>
      <c r="BG975" s="105" t="n">
        <v>0</v>
      </c>
      <c r="BH975" s="105" t="n">
        <v>0</v>
      </c>
      <c r="BI975" s="105" t="n">
        <v>0</v>
      </c>
      <c r="BJ975" s="105" t="n">
        <v>0</v>
      </c>
      <c r="BK975" s="105" t="n">
        <v>0</v>
      </c>
      <c r="BL975" s="105" t="n">
        <v>0</v>
      </c>
      <c r="BM975" s="105" t="n">
        <v>0</v>
      </c>
      <c r="BN975" s="105" t="n">
        <v>0</v>
      </c>
      <c r="BO975" s="105" t="n">
        <v>0</v>
      </c>
      <c r="BP975" s="105" t="n">
        <v>0</v>
      </c>
      <c r="BQ975" s="105" t="n">
        <v>0</v>
      </c>
      <c r="BR975" s="106" t="n">
        <v>0.666666666666667</v>
      </c>
      <c r="BS975" s="106" t="n">
        <v>0.666666666666667</v>
      </c>
      <c r="BT975" s="107"/>
      <c r="BU975" s="107"/>
      <c r="BV975" s="107"/>
      <c r="BW975" s="107"/>
      <c r="BX975" s="107"/>
      <c r="BY975" s="107"/>
      <c r="BZ975" s="107"/>
      <c r="CA975" s="107"/>
      <c r="CB975" s="107"/>
      <c r="CC975" s="107"/>
      <c r="CD975" s="107"/>
      <c r="CE975" s="107"/>
      <c r="CF975" s="107"/>
      <c r="CG975" s="107"/>
      <c r="CH975" s="107"/>
      <c r="CI975" s="107"/>
      <c r="CJ975" s="107"/>
      <c r="CK975" s="107"/>
      <c r="CL975" s="107"/>
      <c r="CM975" s="107"/>
      <c r="CN975" s="107"/>
      <c r="CO975" s="107"/>
      <c r="CP975" s="107"/>
      <c r="CQ975" s="107"/>
      <c r="CR975" s="107"/>
      <c r="CS975" s="107"/>
      <c r="CT975" s="107"/>
      <c r="CU975" s="107"/>
      <c r="CV975" s="107"/>
    </row>
    <row r="976" customFormat="false" ht="14.9" hidden="false" customHeight="false" outlineLevel="0" collapsed="false">
      <c r="A976" s="74" t="n">
        <f aca="false">MONTH(B976)</f>
        <v>10</v>
      </c>
      <c r="B976" s="135" t="n">
        <v>44489</v>
      </c>
      <c r="C976" s="128" t="s">
        <v>70</v>
      </c>
      <c r="D976" s="77" t="str">
        <f aca="false">IFERROR(VLOOKUP(E:E,'Item Data Support Sheet'!A:O,7,0),"")</f>
        <v>NIPPLE LASER MARKING</v>
      </c>
      <c r="E976" s="80" t="s">
        <v>932</v>
      </c>
      <c r="F976" s="122"/>
      <c r="G976" s="137" t="s">
        <v>517</v>
      </c>
      <c r="H976" s="79" t="str">
        <f aca="false">IFERROR(VLOOKUP(E:E,'Item Data Support Sheet'!A:O,2,0),"")</f>
        <v>NIPPLE S TYPE M SIZE PUNCHED LASER MARKED</v>
      </c>
      <c r="I976" s="80" t="s">
        <v>1755</v>
      </c>
      <c r="J976" s="80" t="s">
        <v>155</v>
      </c>
      <c r="K976" s="124" t="n">
        <v>8</v>
      </c>
      <c r="L976" s="124" t="n">
        <v>7000</v>
      </c>
      <c r="M976" s="83" t="n">
        <v>875</v>
      </c>
      <c r="N976" s="84" t="n">
        <f aca="false">+O976+Q976+T976+U976</f>
        <v>7000</v>
      </c>
      <c r="O976" s="85" t="n">
        <v>7000</v>
      </c>
      <c r="P976" s="86" t="n">
        <v>0</v>
      </c>
      <c r="Q976" s="86" t="n">
        <v>0</v>
      </c>
      <c r="R976" s="132" t="n">
        <v>0</v>
      </c>
      <c r="S976" s="128" t="n">
        <v>0</v>
      </c>
      <c r="T976" s="132" t="n">
        <v>0</v>
      </c>
      <c r="U976" s="128" t="n">
        <v>0</v>
      </c>
      <c r="V976" s="128" t="n">
        <v>1</v>
      </c>
      <c r="W976" s="90" t="n">
        <f aca="false">IFERROR(O976/V976,0)</f>
        <v>7000</v>
      </c>
      <c r="X976" s="91" t="n">
        <f aca="false">O976/L976</f>
        <v>1</v>
      </c>
      <c r="Y976" s="92" t="str">
        <f aca="false">IFERROR(VLOOKUP(E:E,'Item Data Support Sheet'!A:J,6,0),0)</f>
        <v>FO020</v>
      </c>
      <c r="Z976" s="93" t="n">
        <f aca="false">IFERROR(VLOOKUP(E:E,'Item Data Support Sheet'!A:O,4,0),0)</f>
        <v>0</v>
      </c>
      <c r="AA976" s="93" t="n">
        <f aca="false">IFERROR(((N976)*(Z976/1000))+P976,0)</f>
        <v>0</v>
      </c>
      <c r="AB976" s="94" t="str">
        <f aca="false">IFERROR((O976*(Z976/1000)/(AA976))," ")</f>
        <v> </v>
      </c>
      <c r="AC976" s="95" t="n">
        <f aca="false">IFERROR((T976)/((T976)+O976),0)</f>
        <v>0</v>
      </c>
      <c r="AD976" s="96" t="n">
        <f aca="false">IFERROR(Q976/(Q976+N976),0)</f>
        <v>0</v>
      </c>
      <c r="AE976" s="91" t="n">
        <f aca="false">(N976-T976)/N976</f>
        <v>1</v>
      </c>
      <c r="AF976" s="97" t="n">
        <f aca="false">BR976</f>
        <v>0.666666666666667</v>
      </c>
      <c r="AG976" s="98" t="n">
        <f aca="false">K976-AF976</f>
        <v>7.33333333333333</v>
      </c>
      <c r="AH976" s="99" t="n">
        <f aca="false">IFERROR(AG976/K976," ")</f>
        <v>0.916666666666667</v>
      </c>
      <c r="AI976" s="100" t="n">
        <f aca="false">IFERROR(O976/K976,0)</f>
        <v>875</v>
      </c>
      <c r="AJ976" s="101" t="n">
        <f aca="false">VLOOKUP(D976,'Standard Cycle time'!C:D,2,0)</f>
        <v>3.5</v>
      </c>
      <c r="AK976" s="101" t="n">
        <f aca="false">AG976*V976*3600/O976</f>
        <v>3.77142857142857</v>
      </c>
      <c r="AL976" s="102" t="n">
        <f aca="false">AJ976/AK976</f>
        <v>0.928030303030303</v>
      </c>
      <c r="AM976" s="99" t="n">
        <f aca="false">AE976*AL976*AH976</f>
        <v>0.850694444444444</v>
      </c>
      <c r="AN976" s="103" t="n">
        <v>0.850694444444444</v>
      </c>
      <c r="AO976" s="112"/>
      <c r="AP976" s="105" t="n">
        <v>40</v>
      </c>
      <c r="AQ976" s="105" t="n">
        <v>0</v>
      </c>
      <c r="AR976" s="105" t="n">
        <v>0</v>
      </c>
      <c r="AS976" s="105" t="n">
        <v>0</v>
      </c>
      <c r="AT976" s="105" t="n">
        <v>0</v>
      </c>
      <c r="AU976" s="105" t="n">
        <v>0</v>
      </c>
      <c r="AV976" s="105" t="n">
        <v>0</v>
      </c>
      <c r="AW976" s="105" t="n">
        <v>0</v>
      </c>
      <c r="AX976" s="105" t="n">
        <v>0</v>
      </c>
      <c r="AY976" s="105" t="n">
        <v>0</v>
      </c>
      <c r="AZ976" s="105" t="n">
        <v>0</v>
      </c>
      <c r="BA976" s="105" t="n">
        <v>0</v>
      </c>
      <c r="BB976" s="105" t="n">
        <v>0</v>
      </c>
      <c r="BC976" s="105" t="n">
        <v>0</v>
      </c>
      <c r="BD976" s="105" t="n">
        <v>0</v>
      </c>
      <c r="BE976" s="105" t="n">
        <v>0</v>
      </c>
      <c r="BF976" s="105" t="n">
        <v>0</v>
      </c>
      <c r="BG976" s="105" t="n">
        <v>0</v>
      </c>
      <c r="BH976" s="105" t="n">
        <v>0</v>
      </c>
      <c r="BI976" s="105" t="n">
        <v>0</v>
      </c>
      <c r="BJ976" s="105" t="n">
        <v>0</v>
      </c>
      <c r="BK976" s="105" t="n">
        <v>0</v>
      </c>
      <c r="BL976" s="105" t="n">
        <v>0</v>
      </c>
      <c r="BM976" s="105" t="n">
        <v>0</v>
      </c>
      <c r="BN976" s="105" t="n">
        <v>0</v>
      </c>
      <c r="BO976" s="105" t="n">
        <v>0</v>
      </c>
      <c r="BP976" s="105" t="n">
        <v>0</v>
      </c>
      <c r="BQ976" s="105" t="n">
        <v>0</v>
      </c>
      <c r="BR976" s="106" t="n">
        <v>0.666666666666667</v>
      </c>
      <c r="BS976" s="106" t="n">
        <v>0.666666666666667</v>
      </c>
      <c r="BT976" s="107"/>
      <c r="BU976" s="107"/>
      <c r="BV976" s="107"/>
      <c r="BW976" s="107"/>
      <c r="BX976" s="107"/>
      <c r="BY976" s="107"/>
      <c r="BZ976" s="107"/>
      <c r="CA976" s="107"/>
      <c r="CB976" s="107"/>
      <c r="CC976" s="107"/>
      <c r="CD976" s="107"/>
      <c r="CE976" s="107"/>
      <c r="CF976" s="107"/>
      <c r="CG976" s="107"/>
      <c r="CH976" s="107"/>
      <c r="CI976" s="107"/>
      <c r="CJ976" s="107"/>
      <c r="CK976" s="107"/>
      <c r="CL976" s="107"/>
      <c r="CM976" s="107"/>
      <c r="CN976" s="107"/>
      <c r="CO976" s="107"/>
      <c r="CP976" s="107"/>
      <c r="CQ976" s="107"/>
      <c r="CR976" s="107"/>
      <c r="CS976" s="107"/>
      <c r="CT976" s="107"/>
      <c r="CU976" s="107"/>
      <c r="CV976" s="107"/>
    </row>
    <row r="977" customFormat="false" ht="14.9" hidden="false" customHeight="false" outlineLevel="0" collapsed="false">
      <c r="A977" s="74" t="n">
        <f aca="false">MONTH(B977)</f>
        <v>10</v>
      </c>
      <c r="B977" s="135" t="n">
        <v>44489</v>
      </c>
      <c r="C977" s="128" t="s">
        <v>70</v>
      </c>
      <c r="D977" s="77" t="str">
        <f aca="false">IFERROR(VLOOKUP(E:E,'Item Data Support Sheet'!A:O,7,0),"")</f>
        <v>CAP MOLDED</v>
      </c>
      <c r="E977" s="80" t="s">
        <v>1740</v>
      </c>
      <c r="F977" s="122"/>
      <c r="G977" s="137" t="s">
        <v>1595</v>
      </c>
      <c r="H977" s="79" t="str">
        <f aca="false">IFERROR(VLOOKUP(E:E,'Item Data Support Sheet'!A:O,2,0),"")</f>
        <v>CAP S TYPE MOLDED YELLOW</v>
      </c>
      <c r="I977" s="80" t="s">
        <v>1756</v>
      </c>
      <c r="J977" s="80" t="s">
        <v>155</v>
      </c>
      <c r="K977" s="124" t="n">
        <v>8</v>
      </c>
      <c r="L977" s="124" t="n">
        <v>4137</v>
      </c>
      <c r="M977" s="83" t="n">
        <v>517.125</v>
      </c>
      <c r="N977" s="84" t="n">
        <f aca="false">+O977+Q977+T977+U977</f>
        <v>4800</v>
      </c>
      <c r="O977" s="85" t="n">
        <v>4800</v>
      </c>
      <c r="P977" s="86" t="n">
        <v>0</v>
      </c>
      <c r="Q977" s="86" t="n">
        <v>0</v>
      </c>
      <c r="R977" s="132" t="n">
        <v>0</v>
      </c>
      <c r="S977" s="128" t="n">
        <v>0</v>
      </c>
      <c r="T977" s="132" t="n">
        <v>0</v>
      </c>
      <c r="U977" s="128" t="n">
        <v>0</v>
      </c>
      <c r="V977" s="128" t="n">
        <v>1</v>
      </c>
      <c r="W977" s="90" t="n">
        <f aca="false">IFERROR(O977/V977,0)</f>
        <v>4800</v>
      </c>
      <c r="X977" s="91" t="n">
        <f aca="false">O977/L977</f>
        <v>1.16026105873822</v>
      </c>
      <c r="Y977" s="92" t="str">
        <f aca="false">IFERROR(VLOOKUP(E:E,'Item Data Support Sheet'!A:J,6,0),0)</f>
        <v>RM000112</v>
      </c>
      <c r="Z977" s="93" t="n">
        <f aca="false">IFERROR(VLOOKUP(E:E,'Item Data Support Sheet'!A:O,4,0),0)</f>
        <v>7.3</v>
      </c>
      <c r="AA977" s="93" t="n">
        <f aca="false">IFERROR(((N977)*(Z977/1000))+P977,0)</f>
        <v>35.04</v>
      </c>
      <c r="AB977" s="94" t="n">
        <f aca="false">IFERROR((O977*(Z977/1000)/(AA977))," ")</f>
        <v>1</v>
      </c>
      <c r="AC977" s="95" t="n">
        <f aca="false">IFERROR((T977)/((T977)+O977),0)</f>
        <v>0</v>
      </c>
      <c r="AD977" s="96" t="n">
        <f aca="false">IFERROR(Q977/(Q977+N977),0)</f>
        <v>0</v>
      </c>
      <c r="AE977" s="91" t="n">
        <f aca="false">(N977-T977)/N977</f>
        <v>1</v>
      </c>
      <c r="AF977" s="97" t="n">
        <f aca="false">BR977</f>
        <v>0</v>
      </c>
      <c r="AG977" s="98" t="n">
        <f aca="false">K977-AF977</f>
        <v>8</v>
      </c>
      <c r="AH977" s="99" t="n">
        <f aca="false">IFERROR(AG977/K977," ")</f>
        <v>1</v>
      </c>
      <c r="AI977" s="100" t="n">
        <f aca="false">IFERROR(O977/K977,0)</f>
        <v>600</v>
      </c>
      <c r="AJ977" s="101" t="n">
        <f aca="false">VLOOKUP(D977,'Standard Cycle time'!C:D,2,0)</f>
        <v>6</v>
      </c>
      <c r="AK977" s="101" t="n">
        <f aca="false">AG977*V977*3600/O977</f>
        <v>6</v>
      </c>
      <c r="AL977" s="102" t="n">
        <f aca="false">AJ977/AK977</f>
        <v>1</v>
      </c>
      <c r="AM977" s="99" t="n">
        <f aca="false">AE977*AL977*AH977</f>
        <v>1</v>
      </c>
      <c r="AN977" s="103" t="n">
        <v>1</v>
      </c>
      <c r="AO977" s="112"/>
      <c r="AP977" s="105" t="n">
        <v>0</v>
      </c>
      <c r="AQ977" s="105" t="n">
        <v>0</v>
      </c>
      <c r="AR977" s="105" t="n">
        <v>0</v>
      </c>
      <c r="AS977" s="105" t="n">
        <v>0</v>
      </c>
      <c r="AT977" s="105" t="n">
        <v>0</v>
      </c>
      <c r="AU977" s="105" t="n">
        <v>0</v>
      </c>
      <c r="AV977" s="105" t="n">
        <v>0</v>
      </c>
      <c r="AW977" s="105" t="n">
        <v>0</v>
      </c>
      <c r="AX977" s="105" t="n">
        <v>0</v>
      </c>
      <c r="AY977" s="105" t="n">
        <v>0</v>
      </c>
      <c r="AZ977" s="105" t="n">
        <v>0</v>
      </c>
      <c r="BA977" s="105" t="n">
        <v>0</v>
      </c>
      <c r="BB977" s="105" t="n">
        <v>0</v>
      </c>
      <c r="BC977" s="105" t="n">
        <v>0</v>
      </c>
      <c r="BD977" s="105" t="n">
        <v>0</v>
      </c>
      <c r="BE977" s="105" t="n">
        <v>0</v>
      </c>
      <c r="BF977" s="105" t="n">
        <v>0</v>
      </c>
      <c r="BG977" s="105" t="n">
        <v>0</v>
      </c>
      <c r="BH977" s="105" t="n">
        <v>0</v>
      </c>
      <c r="BI977" s="105" t="n">
        <v>0</v>
      </c>
      <c r="BJ977" s="105" t="n">
        <v>0</v>
      </c>
      <c r="BK977" s="105" t="n">
        <v>0</v>
      </c>
      <c r="BL977" s="105" t="n">
        <v>0</v>
      </c>
      <c r="BM977" s="105" t="n">
        <v>0</v>
      </c>
      <c r="BN977" s="105" t="n">
        <v>0</v>
      </c>
      <c r="BO977" s="105" t="n">
        <v>0</v>
      </c>
      <c r="BP977" s="105" t="n">
        <v>0</v>
      </c>
      <c r="BQ977" s="105" t="n">
        <v>0</v>
      </c>
      <c r="BR977" s="106" t="n">
        <v>0</v>
      </c>
      <c r="BS977" s="106" t="n">
        <v>0</v>
      </c>
      <c r="BT977" s="107"/>
      <c r="BU977" s="107"/>
      <c r="BV977" s="107"/>
      <c r="BW977" s="107"/>
      <c r="BX977" s="107"/>
      <c r="BY977" s="107"/>
      <c r="BZ977" s="107"/>
      <c r="CA977" s="107"/>
      <c r="CB977" s="107"/>
      <c r="CC977" s="107"/>
      <c r="CD977" s="107"/>
      <c r="CE977" s="107"/>
      <c r="CF977" s="107"/>
      <c r="CG977" s="107"/>
      <c r="CH977" s="107"/>
      <c r="CI977" s="107"/>
      <c r="CJ977" s="107"/>
      <c r="CK977" s="107"/>
      <c r="CL977" s="107"/>
      <c r="CM977" s="107"/>
      <c r="CN977" s="107"/>
      <c r="CO977" s="107"/>
      <c r="CP977" s="107"/>
      <c r="CQ977" s="107"/>
      <c r="CR977" s="107"/>
      <c r="CS977" s="107"/>
      <c r="CT977" s="107"/>
      <c r="CU977" s="107"/>
      <c r="CV977" s="107"/>
    </row>
    <row r="978" customFormat="false" ht="14.9" hidden="false" customHeight="false" outlineLevel="0" collapsed="false">
      <c r="A978" s="74" t="n">
        <f aca="false">MONTH(B978)</f>
        <v>10</v>
      </c>
      <c r="B978" s="135" t="n">
        <v>44489</v>
      </c>
      <c r="C978" s="128" t="s">
        <v>70</v>
      </c>
      <c r="D978" s="77" t="str">
        <f aca="false">IFERROR(VLOOKUP(E:E,'Item Data Support Sheet'!A:O,7,0),"")</f>
        <v>NIPPLE MOLDED</v>
      </c>
      <c r="E978" s="80" t="s">
        <v>136</v>
      </c>
      <c r="F978" s="122" t="s">
        <v>137</v>
      </c>
      <c r="G978" s="137" t="s">
        <v>138</v>
      </c>
      <c r="H978" s="79" t="str">
        <f aca="false">IFERROR(VLOOKUP(E:E,'Item Data Support Sheet'!A:O,2,0),"")</f>
        <v>NIPPLE S TYPE M SIZE INJECTION</v>
      </c>
      <c r="I978" s="80" t="s">
        <v>1757</v>
      </c>
      <c r="J978" s="80" t="s">
        <v>155</v>
      </c>
      <c r="K978" s="124" t="n">
        <v>8</v>
      </c>
      <c r="L978" s="124" t="n">
        <v>4815</v>
      </c>
      <c r="M978" s="83" t="n">
        <v>601.875</v>
      </c>
      <c r="N978" s="84" t="n">
        <f aca="false">+O978+Q978+T978+U978</f>
        <v>2130</v>
      </c>
      <c r="O978" s="85" t="n">
        <v>1900</v>
      </c>
      <c r="P978" s="86" t="n">
        <v>0</v>
      </c>
      <c r="Q978" s="86" t="n">
        <v>110</v>
      </c>
      <c r="R978" s="132" t="n">
        <v>0</v>
      </c>
      <c r="S978" s="128" t="n">
        <v>0</v>
      </c>
      <c r="T978" s="132" t="n">
        <v>120</v>
      </c>
      <c r="U978" s="128" t="n">
        <v>0</v>
      </c>
      <c r="V978" s="128" t="n">
        <v>1</v>
      </c>
      <c r="W978" s="90" t="n">
        <f aca="false">IFERROR(O978/V978,0)</f>
        <v>1900</v>
      </c>
      <c r="X978" s="91" t="n">
        <f aca="false">O978/L978</f>
        <v>0.39460020768432</v>
      </c>
      <c r="Y978" s="92" t="str">
        <f aca="false">IFERROR(VLOOKUP(E:E,'Item Data Support Sheet'!A:J,6,0),0)</f>
        <v>Silicon</v>
      </c>
      <c r="Z978" s="93" t="n">
        <f aca="false">IFERROR(VLOOKUP(E:E,'Item Data Support Sheet'!A:O,4,0),0)</f>
        <v>6.8</v>
      </c>
      <c r="AA978" s="93" t="n">
        <f aca="false">IFERROR(((N978)*(Z978/1000))+P978,0)</f>
        <v>14.484</v>
      </c>
      <c r="AB978" s="94" t="n">
        <f aca="false">IFERROR((O978*(Z978/1000)/(AA978))," ")</f>
        <v>0.892018779342723</v>
      </c>
      <c r="AC978" s="95" t="n">
        <f aca="false">IFERROR((T978)/((T978)+O978),0)</f>
        <v>0.0594059405940594</v>
      </c>
      <c r="AD978" s="96" t="n">
        <f aca="false">IFERROR(Q978/(Q978+N978),0)</f>
        <v>0.0491071428571429</v>
      </c>
      <c r="AE978" s="91" t="n">
        <f aca="false">(N978-T978)/N978</f>
        <v>0.943661971830986</v>
      </c>
      <c r="AF978" s="97" t="n">
        <f aca="false">BR978</f>
        <v>5.25</v>
      </c>
      <c r="AG978" s="98" t="n">
        <f aca="false">K978-AF978</f>
        <v>2.75</v>
      </c>
      <c r="AH978" s="99" t="n">
        <f aca="false">IFERROR(AG978/K978," ")</f>
        <v>0.34375</v>
      </c>
      <c r="AI978" s="100" t="n">
        <f aca="false">IFERROR(O978/K978,0)</f>
        <v>237.5</v>
      </c>
      <c r="AJ978" s="101" t="n">
        <f aca="false">VLOOKUP(D978,'Standard Cycle time'!C:D,2,0)</f>
        <v>5.25</v>
      </c>
      <c r="AK978" s="101" t="n">
        <f aca="false">AG978*V978*3600/O978</f>
        <v>5.21052631578947</v>
      </c>
      <c r="AL978" s="102" t="n">
        <f aca="false">AJ978/AK978</f>
        <v>1.00757575757576</v>
      </c>
      <c r="AM978" s="99" t="n">
        <f aca="false">AE978*AL978*AH978</f>
        <v>0.326841255868545</v>
      </c>
      <c r="AN978" s="103" t="n">
        <v>0.326841255868545</v>
      </c>
      <c r="AO978" s="112"/>
      <c r="AP978" s="105" t="n">
        <v>0</v>
      </c>
      <c r="AQ978" s="105" t="n">
        <v>120</v>
      </c>
      <c r="AR978" s="105" t="n">
        <v>0</v>
      </c>
      <c r="AS978" s="105" t="n">
        <v>0</v>
      </c>
      <c r="AT978" s="105" t="n">
        <v>0</v>
      </c>
      <c r="AU978" s="105" t="n">
        <v>30</v>
      </c>
      <c r="AV978" s="105" t="n">
        <v>45</v>
      </c>
      <c r="AW978" s="105" t="n">
        <v>30</v>
      </c>
      <c r="AX978" s="105" t="n">
        <v>0</v>
      </c>
      <c r="AY978" s="105" t="n">
        <v>0</v>
      </c>
      <c r="AZ978" s="105" t="n">
        <v>0</v>
      </c>
      <c r="BA978" s="105" t="n">
        <v>0</v>
      </c>
      <c r="BB978" s="105" t="n">
        <v>90</v>
      </c>
      <c r="BC978" s="105" t="n">
        <v>0</v>
      </c>
      <c r="BD978" s="105" t="n">
        <v>0</v>
      </c>
      <c r="BE978" s="105" t="n">
        <v>0</v>
      </c>
      <c r="BF978" s="105" t="n">
        <v>0</v>
      </c>
      <c r="BG978" s="105" t="n">
        <v>0</v>
      </c>
      <c r="BH978" s="105" t="n">
        <v>0</v>
      </c>
      <c r="BI978" s="105" t="n">
        <v>0</v>
      </c>
      <c r="BJ978" s="105" t="n">
        <v>0</v>
      </c>
      <c r="BK978" s="105" t="n">
        <v>0</v>
      </c>
      <c r="BL978" s="105" t="n">
        <v>0</v>
      </c>
      <c r="BM978" s="105" t="n">
        <v>0</v>
      </c>
      <c r="BN978" s="105" t="n">
        <v>0</v>
      </c>
      <c r="BO978" s="105" t="n">
        <v>0</v>
      </c>
      <c r="BP978" s="105" t="n">
        <v>0</v>
      </c>
      <c r="BQ978" s="105" t="n">
        <v>0</v>
      </c>
      <c r="BR978" s="106" t="n">
        <v>5.25</v>
      </c>
      <c r="BS978" s="106" t="n">
        <v>5.25</v>
      </c>
      <c r="BT978" s="107"/>
      <c r="BU978" s="107"/>
      <c r="BV978" s="107"/>
      <c r="BW978" s="107"/>
      <c r="BX978" s="107"/>
      <c r="BY978" s="107"/>
      <c r="BZ978" s="107"/>
      <c r="CA978" s="107"/>
      <c r="CB978" s="107"/>
      <c r="CC978" s="107"/>
      <c r="CD978" s="107"/>
      <c r="CE978" s="107"/>
      <c r="CF978" s="107"/>
      <c r="CG978" s="107"/>
      <c r="CH978" s="107"/>
      <c r="CI978" s="107"/>
      <c r="CJ978" s="107"/>
      <c r="CK978" s="107"/>
      <c r="CL978" s="107"/>
      <c r="CM978" s="107"/>
      <c r="CN978" s="107"/>
      <c r="CO978" s="107"/>
      <c r="CP978" s="107"/>
      <c r="CQ978" s="107"/>
      <c r="CR978" s="107"/>
      <c r="CS978" s="107"/>
      <c r="CT978" s="107"/>
      <c r="CU978" s="107"/>
      <c r="CV978" s="107"/>
    </row>
    <row r="979" customFormat="false" ht="14.9" hidden="false" customHeight="false" outlineLevel="0" collapsed="false">
      <c r="A979" s="74" t="n">
        <f aca="false">MONTH(B979)</f>
        <v>10</v>
      </c>
      <c r="B979" s="135" t="n">
        <v>44489</v>
      </c>
      <c r="C979" s="128" t="s">
        <v>70</v>
      </c>
      <c r="D979" s="77" t="str">
        <f aca="false">IFERROR(VLOOKUP(E:E,'Item Data Support Sheet'!A:O,7,0),"")</f>
        <v>BOTTLE MOLDED</v>
      </c>
      <c r="E979" s="80" t="s">
        <v>69</v>
      </c>
      <c r="F979" s="122" t="s">
        <v>73</v>
      </c>
      <c r="G979" s="137" t="s">
        <v>74</v>
      </c>
      <c r="H979" s="79" t="str">
        <f aca="false">IFERROR(VLOOKUP(E:E,'Item Data Support Sheet'!A:O,2,0),"")</f>
        <v>KPP 240 ML BOTTLE MOLDED</v>
      </c>
      <c r="I979" s="80" t="s">
        <v>1758</v>
      </c>
      <c r="J979" s="80" t="s">
        <v>155</v>
      </c>
      <c r="K979" s="124" t="n">
        <v>6</v>
      </c>
      <c r="L979" s="124" t="n">
        <v>1932</v>
      </c>
      <c r="M979" s="83" t="n">
        <v>322</v>
      </c>
      <c r="N979" s="84" t="n">
        <f aca="false">+O979+Q979+T979+U979</f>
        <v>1676</v>
      </c>
      <c r="O979" s="85" t="n">
        <v>1620</v>
      </c>
      <c r="P979" s="86" t="n">
        <v>0</v>
      </c>
      <c r="Q979" s="86" t="n">
        <v>26</v>
      </c>
      <c r="R979" s="132" t="n">
        <v>0</v>
      </c>
      <c r="S979" s="128" t="n">
        <v>0</v>
      </c>
      <c r="T979" s="132" t="n">
        <v>30</v>
      </c>
      <c r="U979" s="128" t="n">
        <v>0</v>
      </c>
      <c r="V979" s="128" t="n">
        <v>1</v>
      </c>
      <c r="W979" s="90" t="n">
        <f aca="false">IFERROR(O979/V979,0)</f>
        <v>1620</v>
      </c>
      <c r="X979" s="91" t="n">
        <f aca="false">O979/L979</f>
        <v>0.838509316770186</v>
      </c>
      <c r="Y979" s="92" t="str">
        <f aca="false">IFERROR(VLOOKUP(E:E,'Item Data Support Sheet'!A:J,6,0),0)</f>
        <v>HMC</v>
      </c>
      <c r="Z979" s="93" t="n">
        <f aca="false">IFERROR(VLOOKUP(E:E,'Item Data Support Sheet'!A:O,4,0),0)</f>
        <v>32.1</v>
      </c>
      <c r="AA979" s="93" t="n">
        <f aca="false">IFERROR(((N979)*(Z979/1000))+P979,0)</f>
        <v>53.7996</v>
      </c>
      <c r="AB979" s="94" t="n">
        <f aca="false">IFERROR((O979*(Z979/1000)/(AA979))," ")</f>
        <v>0.966587112171838</v>
      </c>
      <c r="AC979" s="95" t="n">
        <f aca="false">IFERROR((T979)/((T979)+O979),0)</f>
        <v>0.0181818181818182</v>
      </c>
      <c r="AD979" s="96" t="n">
        <f aca="false">IFERROR(Q979/(Q979+N979),0)</f>
        <v>0.0152761457109283</v>
      </c>
      <c r="AE979" s="91" t="n">
        <f aca="false">(N979-T979)/N979</f>
        <v>0.982100238663485</v>
      </c>
      <c r="AF979" s="97" t="n">
        <f aca="false">BR979</f>
        <v>1.83333333333333</v>
      </c>
      <c r="AG979" s="98" t="n">
        <f aca="false">K979-AF979</f>
        <v>4.16666666666667</v>
      </c>
      <c r="AH979" s="99" t="n">
        <f aca="false">IFERROR(AG979/K979," ")</f>
        <v>0.694444444444445</v>
      </c>
      <c r="AI979" s="100" t="n">
        <f aca="false">IFERROR(O979/K979,0)</f>
        <v>270</v>
      </c>
      <c r="AJ979" s="101" t="n">
        <f aca="false">VLOOKUP(D979,'Standard Cycle time'!C:D,2,0)</f>
        <v>9</v>
      </c>
      <c r="AK979" s="101" t="n">
        <f aca="false">AG979*V979*3600/O979</f>
        <v>9.25925925925927</v>
      </c>
      <c r="AL979" s="102" t="n">
        <f aca="false">AJ979/AK979</f>
        <v>0.971999999999999</v>
      </c>
      <c r="AM979" s="99" t="n">
        <f aca="false">AE979*AL979*AH979</f>
        <v>0.662917661097852</v>
      </c>
      <c r="AN979" s="103" t="n">
        <v>0.662917661097852</v>
      </c>
      <c r="AO979" s="112"/>
      <c r="AP979" s="105" t="n">
        <v>0</v>
      </c>
      <c r="AQ979" s="105" t="n">
        <v>0</v>
      </c>
      <c r="AR979" s="105" t="n">
        <v>0</v>
      </c>
      <c r="AS979" s="105" t="n">
        <v>0</v>
      </c>
      <c r="AT979" s="105" t="n">
        <v>0</v>
      </c>
      <c r="AU979" s="105" t="n">
        <v>0</v>
      </c>
      <c r="AV979" s="105" t="n">
        <v>30</v>
      </c>
      <c r="AW979" s="105" t="n">
        <v>30</v>
      </c>
      <c r="AX979" s="105" t="n">
        <v>0</v>
      </c>
      <c r="AY979" s="105" t="n">
        <v>0</v>
      </c>
      <c r="AZ979" s="105" t="n">
        <v>30</v>
      </c>
      <c r="BA979" s="105" t="n">
        <v>0</v>
      </c>
      <c r="BB979" s="105" t="n">
        <v>20</v>
      </c>
      <c r="BC979" s="105" t="n">
        <v>0</v>
      </c>
      <c r="BD979" s="105" t="n">
        <v>0</v>
      </c>
      <c r="BE979" s="105" t="n">
        <v>0</v>
      </c>
      <c r="BF979" s="105" t="n">
        <v>0</v>
      </c>
      <c r="BG979" s="105" t="n">
        <v>0</v>
      </c>
      <c r="BH979" s="105" t="n">
        <v>0</v>
      </c>
      <c r="BI979" s="105" t="n">
        <v>0</v>
      </c>
      <c r="BJ979" s="105" t="n">
        <v>0</v>
      </c>
      <c r="BK979" s="105" t="n">
        <v>0</v>
      </c>
      <c r="BL979" s="105" t="n">
        <v>0</v>
      </c>
      <c r="BM979" s="105" t="n">
        <v>0</v>
      </c>
      <c r="BN979" s="105" t="n">
        <v>0</v>
      </c>
      <c r="BO979" s="105" t="n">
        <v>0</v>
      </c>
      <c r="BP979" s="105" t="n">
        <v>0</v>
      </c>
      <c r="BQ979" s="105" t="n">
        <v>0</v>
      </c>
      <c r="BR979" s="106" t="n">
        <v>1.83333333333333</v>
      </c>
      <c r="BS979" s="106" t="n">
        <v>1.83333333333333</v>
      </c>
      <c r="BT979" s="107"/>
      <c r="BU979" s="107"/>
      <c r="BV979" s="107"/>
      <c r="BW979" s="107"/>
      <c r="BX979" s="107"/>
      <c r="BY979" s="107"/>
      <c r="BZ979" s="107"/>
      <c r="CA979" s="107"/>
      <c r="CB979" s="107"/>
      <c r="CC979" s="107"/>
      <c r="CD979" s="107"/>
      <c r="CE979" s="107"/>
      <c r="CF979" s="107"/>
      <c r="CG979" s="107"/>
      <c r="CH979" s="107"/>
      <c r="CI979" s="107"/>
      <c r="CJ979" s="107"/>
      <c r="CK979" s="107"/>
      <c r="CL979" s="107"/>
      <c r="CM979" s="107"/>
      <c r="CN979" s="107"/>
      <c r="CO979" s="107"/>
      <c r="CP979" s="107"/>
      <c r="CQ979" s="107"/>
      <c r="CR979" s="107"/>
      <c r="CS979" s="107"/>
      <c r="CT979" s="107"/>
      <c r="CU979" s="107"/>
      <c r="CV979" s="107"/>
    </row>
    <row r="980" customFormat="false" ht="14.9" hidden="false" customHeight="false" outlineLevel="0" collapsed="false">
      <c r="A980" s="74" t="n">
        <f aca="false">MONTH(B980)</f>
        <v>10</v>
      </c>
      <c r="B980" s="135" t="n">
        <v>44489</v>
      </c>
      <c r="C980" s="128" t="s">
        <v>70</v>
      </c>
      <c r="D980" s="77" t="str">
        <f aca="false">IFERROR(VLOOKUP(E:E,'Item Data Support Sheet'!A:O,7,0),"")</f>
        <v>BOTTLE PRINTED</v>
      </c>
      <c r="E980" s="80" t="s">
        <v>320</v>
      </c>
      <c r="F980" s="122"/>
      <c r="G980" s="137" t="s">
        <v>66</v>
      </c>
      <c r="H980" s="79" t="str">
        <f aca="false">IFERROR(VLOOKUP(E:E,'Item Data Support Sheet'!A:O,2,0),"")</f>
        <v>KPP 200 ML BOTTLE PRINTED</v>
      </c>
      <c r="I980" s="80" t="s">
        <v>1759</v>
      </c>
      <c r="J980" s="80" t="s">
        <v>155</v>
      </c>
      <c r="K980" s="124" t="n">
        <v>8</v>
      </c>
      <c r="L980" s="124" t="n">
        <v>5100</v>
      </c>
      <c r="M980" s="83" t="n">
        <v>637.5</v>
      </c>
      <c r="N980" s="84" t="n">
        <f aca="false">+O980+Q980+T980+U980</f>
        <v>5199</v>
      </c>
      <c r="O980" s="85" t="n">
        <v>5184</v>
      </c>
      <c r="P980" s="86" t="n">
        <v>0</v>
      </c>
      <c r="Q980" s="86" t="n">
        <v>0</v>
      </c>
      <c r="R980" s="132" t="n">
        <v>47</v>
      </c>
      <c r="S980" s="128" t="n">
        <v>0</v>
      </c>
      <c r="T980" s="132" t="n">
        <v>15</v>
      </c>
      <c r="U980" s="128" t="n">
        <v>0</v>
      </c>
      <c r="V980" s="128" t="n">
        <v>5</v>
      </c>
      <c r="W980" s="90" t="n">
        <f aca="false">IFERROR(O980/V980,0)</f>
        <v>1036.8</v>
      </c>
      <c r="X980" s="91" t="n">
        <f aca="false">O980/L980</f>
        <v>1.01647058823529</v>
      </c>
      <c r="Y980" s="92" t="str">
        <f aca="false">IFERROR(VLOOKUP(E:E,'Item Data Support Sheet'!A:J,6,0),0)</f>
        <v>FO002</v>
      </c>
      <c r="Z980" s="93" t="n">
        <f aca="false">IFERROR(VLOOKUP(E:E,'Item Data Support Sheet'!A:O,4,0),0)</f>
        <v>0</v>
      </c>
      <c r="AA980" s="93" t="n">
        <f aca="false">IFERROR(((N980)*(Z980/1000))+P980,0)</f>
        <v>0</v>
      </c>
      <c r="AB980" s="94" t="str">
        <f aca="false">IFERROR((O980*(Z980/1000)/(AA980))," ")</f>
        <v> </v>
      </c>
      <c r="AC980" s="95" t="n">
        <f aca="false">IFERROR((T980)/((T980)+O980),0)</f>
        <v>0.00288517022504328</v>
      </c>
      <c r="AD980" s="96" t="n">
        <f aca="false">IFERROR(Q980/(Q980+N980),0)</f>
        <v>0</v>
      </c>
      <c r="AE980" s="91" t="n">
        <f aca="false">(N980-T980)/N980</f>
        <v>0.997114829774957</v>
      </c>
      <c r="AF980" s="97" t="n">
        <f aca="false">BR980</f>
        <v>0.666666666666667</v>
      </c>
      <c r="AG980" s="98" t="n">
        <f aca="false">K980-AF980</f>
        <v>7.33333333333333</v>
      </c>
      <c r="AH980" s="99" t="n">
        <f aca="false">IFERROR(AG980/K980," ")</f>
        <v>0.916666666666667</v>
      </c>
      <c r="AI980" s="100" t="n">
        <f aca="false">IFERROR(O980/K980,0)</f>
        <v>648</v>
      </c>
      <c r="AJ980" s="101" t="n">
        <f aca="false">VLOOKUP(D980,'Standard Cycle time'!C:D,2,0)</f>
        <v>32.4</v>
      </c>
      <c r="AK980" s="101" t="n">
        <f aca="false">AG980*V980*3600/O980</f>
        <v>25.462962962963</v>
      </c>
      <c r="AL980" s="102" t="n">
        <f aca="false">AJ980/AK980</f>
        <v>1.27243636363636</v>
      </c>
      <c r="AM980" s="99" t="n">
        <f aca="false">AE980*AL980*AH980</f>
        <v>1.16303473744951</v>
      </c>
      <c r="AN980" s="103" t="n">
        <v>1.16303473744951</v>
      </c>
      <c r="AO980" s="112"/>
      <c r="AP980" s="105" t="n">
        <v>40</v>
      </c>
      <c r="AQ980" s="105" t="n">
        <v>0</v>
      </c>
      <c r="AR980" s="105" t="n">
        <v>0</v>
      </c>
      <c r="AS980" s="105" t="n">
        <v>0</v>
      </c>
      <c r="AT980" s="105" t="n">
        <v>0</v>
      </c>
      <c r="AU980" s="105" t="n">
        <v>0</v>
      </c>
      <c r="AV980" s="105" t="n">
        <v>0</v>
      </c>
      <c r="AW980" s="105" t="n">
        <v>0</v>
      </c>
      <c r="AX980" s="105" t="n">
        <v>0</v>
      </c>
      <c r="AY980" s="105" t="n">
        <v>0</v>
      </c>
      <c r="AZ980" s="105" t="n">
        <v>0</v>
      </c>
      <c r="BA980" s="105" t="n">
        <v>0</v>
      </c>
      <c r="BB980" s="105" t="n">
        <v>0</v>
      </c>
      <c r="BC980" s="105" t="n">
        <v>0</v>
      </c>
      <c r="BD980" s="105" t="n">
        <v>0</v>
      </c>
      <c r="BE980" s="105" t="n">
        <v>0</v>
      </c>
      <c r="BF980" s="105" t="n">
        <v>0</v>
      </c>
      <c r="BG980" s="105" t="n">
        <v>0</v>
      </c>
      <c r="BH980" s="105" t="n">
        <v>0</v>
      </c>
      <c r="BI980" s="105" t="n">
        <v>0</v>
      </c>
      <c r="BJ980" s="105" t="n">
        <v>0</v>
      </c>
      <c r="BK980" s="105" t="n">
        <v>0</v>
      </c>
      <c r="BL980" s="105" t="n">
        <v>0</v>
      </c>
      <c r="BM980" s="105" t="n">
        <v>0</v>
      </c>
      <c r="BN980" s="105" t="n">
        <v>0</v>
      </c>
      <c r="BO980" s="105" t="n">
        <v>0</v>
      </c>
      <c r="BP980" s="105" t="n">
        <v>0</v>
      </c>
      <c r="BQ980" s="105" t="n">
        <v>0</v>
      </c>
      <c r="BR980" s="106" t="n">
        <v>0.666666666666667</v>
      </c>
      <c r="BS980" s="106" t="n">
        <v>0.666666666666667</v>
      </c>
      <c r="BT980" s="107"/>
      <c r="BU980" s="107"/>
      <c r="BV980" s="107"/>
      <c r="BW980" s="107"/>
      <c r="BX980" s="107"/>
      <c r="BY980" s="107"/>
      <c r="BZ980" s="107"/>
      <c r="CA980" s="107"/>
      <c r="CB980" s="107"/>
      <c r="CC980" s="107"/>
      <c r="CD980" s="107"/>
      <c r="CE980" s="107"/>
      <c r="CF980" s="107"/>
      <c r="CG980" s="107"/>
      <c r="CH980" s="107"/>
      <c r="CI980" s="107"/>
      <c r="CJ980" s="107"/>
      <c r="CK980" s="107"/>
      <c r="CL980" s="107"/>
      <c r="CM980" s="107"/>
      <c r="CN980" s="107"/>
      <c r="CO980" s="107"/>
      <c r="CP980" s="107"/>
      <c r="CQ980" s="107"/>
      <c r="CR980" s="107"/>
      <c r="CS980" s="107"/>
      <c r="CT980" s="107"/>
      <c r="CU980" s="107"/>
      <c r="CV980" s="107"/>
    </row>
    <row r="981" customFormat="false" ht="14.9" hidden="false" customHeight="false" outlineLevel="0" collapsed="false">
      <c r="A981" s="74" t="n">
        <f aca="false">MONTH(B981)</f>
        <v>10</v>
      </c>
      <c r="B981" s="135" t="n">
        <v>44489</v>
      </c>
      <c r="C981" s="128" t="s">
        <v>152</v>
      </c>
      <c r="D981" s="77" t="str">
        <f aca="false">IFERROR(VLOOKUP(E:E,'Item Data Support Sheet'!A:O,7,0),"")</f>
        <v>CAP MOLDED</v>
      </c>
      <c r="E981" s="80" t="s">
        <v>1740</v>
      </c>
      <c r="F981" s="122"/>
      <c r="G981" s="137" t="s">
        <v>1595</v>
      </c>
      <c r="H981" s="79" t="str">
        <f aca="false">IFERROR(VLOOKUP(E:E,'Item Data Support Sheet'!A:O,2,0),"")</f>
        <v>CAP S TYPE MOLDED YELLOW</v>
      </c>
      <c r="I981" s="80" t="s">
        <v>1760</v>
      </c>
      <c r="J981" s="80" t="s">
        <v>143</v>
      </c>
      <c r="K981" s="124" t="n">
        <v>8</v>
      </c>
      <c r="L981" s="124" t="n">
        <v>4137</v>
      </c>
      <c r="M981" s="83" t="n">
        <v>517.125</v>
      </c>
      <c r="N981" s="84" t="n">
        <f aca="false">+O981+Q981+T981+U981</f>
        <v>4808</v>
      </c>
      <c r="O981" s="85" t="n">
        <v>4800</v>
      </c>
      <c r="P981" s="86" t="n">
        <v>0</v>
      </c>
      <c r="Q981" s="86" t="n">
        <v>0</v>
      </c>
      <c r="R981" s="132" t="n">
        <v>0</v>
      </c>
      <c r="S981" s="128" t="n">
        <v>0</v>
      </c>
      <c r="T981" s="132" t="n">
        <v>0</v>
      </c>
      <c r="U981" s="128" t="n">
        <v>8</v>
      </c>
      <c r="V981" s="128" t="n">
        <v>1</v>
      </c>
      <c r="W981" s="90" t="n">
        <f aca="false">IFERROR(O981/V981,0)</f>
        <v>4800</v>
      </c>
      <c r="X981" s="91" t="n">
        <f aca="false">O981/L981</f>
        <v>1.16026105873822</v>
      </c>
      <c r="Y981" s="92" t="str">
        <f aca="false">IFERROR(VLOOKUP(E:E,'Item Data Support Sheet'!A:J,6,0),0)</f>
        <v>RM000112</v>
      </c>
      <c r="Z981" s="93" t="n">
        <f aca="false">IFERROR(VLOOKUP(E:E,'Item Data Support Sheet'!A:O,4,0),0)</f>
        <v>7.3</v>
      </c>
      <c r="AA981" s="93" t="n">
        <f aca="false">IFERROR(((N981)*(Z981/1000))+P981,0)</f>
        <v>35.0984</v>
      </c>
      <c r="AB981" s="94" t="n">
        <f aca="false">IFERROR((O981*(Z981/1000)/(AA981))," ")</f>
        <v>0.998336106489185</v>
      </c>
      <c r="AC981" s="95" t="n">
        <f aca="false">IFERROR((T981)/((T981)+O981),0)</f>
        <v>0</v>
      </c>
      <c r="AD981" s="96" t="n">
        <f aca="false">IFERROR(Q981/(Q981+N981),0)</f>
        <v>0</v>
      </c>
      <c r="AE981" s="91" t="n">
        <f aca="false">(N981-T981)/N981</f>
        <v>1</v>
      </c>
      <c r="AF981" s="97" t="n">
        <f aca="false">BR981</f>
        <v>0</v>
      </c>
      <c r="AG981" s="98" t="n">
        <f aca="false">K981-AF981</f>
        <v>8</v>
      </c>
      <c r="AH981" s="99" t="n">
        <f aca="false">IFERROR(AG981/K981," ")</f>
        <v>1</v>
      </c>
      <c r="AI981" s="100" t="n">
        <f aca="false">IFERROR(O981/K981,0)</f>
        <v>600</v>
      </c>
      <c r="AJ981" s="101" t="n">
        <f aca="false">VLOOKUP(D981,'Standard Cycle time'!C:D,2,0)</f>
        <v>6</v>
      </c>
      <c r="AK981" s="101" t="n">
        <f aca="false">AG981*V981*3600/O981</f>
        <v>6</v>
      </c>
      <c r="AL981" s="102" t="n">
        <f aca="false">AJ981/AK981</f>
        <v>1</v>
      </c>
      <c r="AM981" s="99" t="n">
        <f aca="false">AE981*AL981*AH981</f>
        <v>1</v>
      </c>
      <c r="AN981" s="103" t="n">
        <v>1</v>
      </c>
      <c r="AO981" s="112"/>
      <c r="AP981" s="105" t="n">
        <v>0</v>
      </c>
      <c r="AQ981" s="105" t="n">
        <v>0</v>
      </c>
      <c r="AR981" s="105" t="n">
        <v>0</v>
      </c>
      <c r="AS981" s="105" t="n">
        <v>0</v>
      </c>
      <c r="AT981" s="105" t="n">
        <v>0</v>
      </c>
      <c r="AU981" s="105" t="n">
        <v>0</v>
      </c>
      <c r="AV981" s="105" t="n">
        <v>0</v>
      </c>
      <c r="AW981" s="105" t="n">
        <v>0</v>
      </c>
      <c r="AX981" s="105" t="n">
        <v>0</v>
      </c>
      <c r="AY981" s="105" t="n">
        <v>0</v>
      </c>
      <c r="AZ981" s="105" t="n">
        <v>0</v>
      </c>
      <c r="BA981" s="105" t="n">
        <v>0</v>
      </c>
      <c r="BB981" s="105" t="n">
        <v>0</v>
      </c>
      <c r="BC981" s="105" t="n">
        <v>0</v>
      </c>
      <c r="BD981" s="105" t="n">
        <v>0</v>
      </c>
      <c r="BE981" s="105" t="n">
        <v>0</v>
      </c>
      <c r="BF981" s="105" t="n">
        <v>0</v>
      </c>
      <c r="BG981" s="105" t="n">
        <v>0</v>
      </c>
      <c r="BH981" s="105" t="n">
        <v>0</v>
      </c>
      <c r="BI981" s="105" t="n">
        <v>0</v>
      </c>
      <c r="BJ981" s="105" t="n">
        <v>0</v>
      </c>
      <c r="BK981" s="105" t="n">
        <v>0</v>
      </c>
      <c r="BL981" s="105" t="n">
        <v>0</v>
      </c>
      <c r="BM981" s="105" t="n">
        <v>0</v>
      </c>
      <c r="BN981" s="105" t="n">
        <v>0</v>
      </c>
      <c r="BO981" s="105" t="n">
        <v>0</v>
      </c>
      <c r="BP981" s="105" t="n">
        <v>0</v>
      </c>
      <c r="BQ981" s="105" t="n">
        <v>0</v>
      </c>
      <c r="BR981" s="106" t="n">
        <v>0</v>
      </c>
      <c r="BS981" s="106" t="n">
        <v>0</v>
      </c>
      <c r="BT981" s="107"/>
      <c r="BU981" s="107"/>
      <c r="BV981" s="107"/>
      <c r="BW981" s="107"/>
      <c r="BX981" s="107"/>
      <c r="BY981" s="107"/>
      <c r="BZ981" s="107"/>
      <c r="CA981" s="107"/>
      <c r="CB981" s="107"/>
      <c r="CC981" s="107"/>
      <c r="CD981" s="107"/>
      <c r="CE981" s="107"/>
      <c r="CF981" s="107"/>
      <c r="CG981" s="107"/>
      <c r="CH981" s="107"/>
      <c r="CI981" s="107"/>
      <c r="CJ981" s="107"/>
      <c r="CK981" s="107"/>
      <c r="CL981" s="107"/>
      <c r="CM981" s="107"/>
      <c r="CN981" s="107"/>
      <c r="CO981" s="107"/>
      <c r="CP981" s="107"/>
      <c r="CQ981" s="107"/>
      <c r="CR981" s="107"/>
      <c r="CS981" s="107"/>
      <c r="CT981" s="107"/>
      <c r="CU981" s="107"/>
      <c r="CV981" s="107"/>
    </row>
    <row r="982" customFormat="false" ht="14.9" hidden="false" customHeight="false" outlineLevel="0" collapsed="false">
      <c r="A982" s="74" t="n">
        <f aca="false">MONTH(B982)</f>
        <v>10</v>
      </c>
      <c r="B982" s="135" t="n">
        <v>44489</v>
      </c>
      <c r="C982" s="128" t="s">
        <v>152</v>
      </c>
      <c r="D982" s="77" t="str">
        <f aca="false">IFERROR(VLOOKUP(E:E,'Item Data Support Sheet'!A:O,7,0),"")</f>
        <v>NIPPLE MOLDED</v>
      </c>
      <c r="E982" s="80" t="s">
        <v>136</v>
      </c>
      <c r="F982" s="122" t="s">
        <v>137</v>
      </c>
      <c r="G982" s="137" t="s">
        <v>138</v>
      </c>
      <c r="H982" s="79" t="str">
        <f aca="false">IFERROR(VLOOKUP(E:E,'Item Data Support Sheet'!A:O,2,0),"")</f>
        <v>NIPPLE S TYPE M SIZE INJECTION</v>
      </c>
      <c r="I982" s="80" t="s">
        <v>1761</v>
      </c>
      <c r="J982" s="80" t="s">
        <v>143</v>
      </c>
      <c r="K982" s="124" t="n">
        <v>8</v>
      </c>
      <c r="L982" s="124" t="n">
        <v>4815</v>
      </c>
      <c r="M982" s="83" t="n">
        <v>601.875</v>
      </c>
      <c r="N982" s="84" t="n">
        <f aca="false">+O982+Q982+T982+U982</f>
        <v>3403</v>
      </c>
      <c r="O982" s="85" t="n">
        <v>3300</v>
      </c>
      <c r="P982" s="86" t="n">
        <v>0</v>
      </c>
      <c r="Q982" s="86" t="n">
        <v>55</v>
      </c>
      <c r="R982" s="132" t="n">
        <v>0</v>
      </c>
      <c r="S982" s="128" t="n">
        <v>0</v>
      </c>
      <c r="T982" s="132" t="n">
        <v>48</v>
      </c>
      <c r="U982" s="128" t="n">
        <v>0</v>
      </c>
      <c r="V982" s="128" t="n">
        <v>1</v>
      </c>
      <c r="W982" s="90" t="n">
        <f aca="false">IFERROR(O982/V982,0)</f>
        <v>3300</v>
      </c>
      <c r="X982" s="91" t="n">
        <f aca="false">O982/L982</f>
        <v>0.685358255451713</v>
      </c>
      <c r="Y982" s="92" t="str">
        <f aca="false">IFERROR(VLOOKUP(E:E,'Item Data Support Sheet'!A:J,6,0),0)</f>
        <v>Silicon</v>
      </c>
      <c r="Z982" s="93" t="n">
        <f aca="false">IFERROR(VLOOKUP(E:E,'Item Data Support Sheet'!A:O,4,0),0)</f>
        <v>6.8</v>
      </c>
      <c r="AA982" s="93" t="n">
        <f aca="false">IFERROR(((N982)*(Z982/1000))+P982,0)</f>
        <v>23.1404</v>
      </c>
      <c r="AB982" s="94" t="n">
        <f aca="false">IFERROR((O982*(Z982/1000)/(AA982))," ")</f>
        <v>0.969732588892154</v>
      </c>
      <c r="AC982" s="95" t="n">
        <f aca="false">IFERROR((T982)/((T982)+O982),0)</f>
        <v>0.014336917562724</v>
      </c>
      <c r="AD982" s="96" t="n">
        <f aca="false">IFERROR(Q982/(Q982+N982),0)</f>
        <v>0.0159051474840949</v>
      </c>
      <c r="AE982" s="91" t="n">
        <f aca="false">(N982-T982)/N982</f>
        <v>0.985894798707023</v>
      </c>
      <c r="AF982" s="97" t="n">
        <f aca="false">BR982</f>
        <v>2.33333333333333</v>
      </c>
      <c r="AG982" s="98" t="n">
        <f aca="false">K982-AF982</f>
        <v>5.66666666666667</v>
      </c>
      <c r="AH982" s="99" t="n">
        <f aca="false">IFERROR(AG982/K982," ")</f>
        <v>0.708333333333334</v>
      </c>
      <c r="AI982" s="100" t="n">
        <f aca="false">IFERROR(O982/K982,0)</f>
        <v>412.5</v>
      </c>
      <c r="AJ982" s="101" t="n">
        <f aca="false">VLOOKUP(D982,'Standard Cycle time'!C:D,2,0)</f>
        <v>5.25</v>
      </c>
      <c r="AK982" s="101" t="n">
        <f aca="false">AG982*V982*3600/O982</f>
        <v>6.18181818181819</v>
      </c>
      <c r="AL982" s="102" t="n">
        <f aca="false">AJ982/AK982</f>
        <v>0.849264705882352</v>
      </c>
      <c r="AM982" s="99" t="n">
        <f aca="false">AE982*AL982*AH982</f>
        <v>0.593077339847194</v>
      </c>
      <c r="AN982" s="103" t="n">
        <v>0.593077339847194</v>
      </c>
      <c r="AO982" s="112" t="s">
        <v>1762</v>
      </c>
      <c r="AP982" s="105" t="n">
        <v>0</v>
      </c>
      <c r="AQ982" s="105" t="n">
        <v>0</v>
      </c>
      <c r="AR982" s="105" t="n">
        <v>0</v>
      </c>
      <c r="AS982" s="105" t="n">
        <v>0</v>
      </c>
      <c r="AT982" s="105" t="n">
        <v>0</v>
      </c>
      <c r="AU982" s="105" t="n">
        <v>80</v>
      </c>
      <c r="AV982" s="105" t="n">
        <v>30</v>
      </c>
      <c r="AW982" s="105" t="n">
        <v>30</v>
      </c>
      <c r="AX982" s="105" t="n">
        <v>0</v>
      </c>
      <c r="AY982" s="105" t="n">
        <v>0</v>
      </c>
      <c r="AZ982" s="105" t="n">
        <v>0</v>
      </c>
      <c r="BA982" s="105" t="n">
        <v>0</v>
      </c>
      <c r="BB982" s="105" t="n">
        <v>0</v>
      </c>
      <c r="BC982" s="105" t="n">
        <v>0</v>
      </c>
      <c r="BD982" s="105" t="n">
        <v>0</v>
      </c>
      <c r="BE982" s="105" t="n">
        <v>0</v>
      </c>
      <c r="BF982" s="105" t="n">
        <v>0</v>
      </c>
      <c r="BG982" s="105" t="n">
        <v>0</v>
      </c>
      <c r="BH982" s="105" t="n">
        <v>0</v>
      </c>
      <c r="BI982" s="105" t="n">
        <v>0</v>
      </c>
      <c r="BJ982" s="105" t="n">
        <v>0</v>
      </c>
      <c r="BK982" s="105" t="n">
        <v>0</v>
      </c>
      <c r="BL982" s="105" t="n">
        <v>0</v>
      </c>
      <c r="BM982" s="105" t="n">
        <v>0</v>
      </c>
      <c r="BN982" s="105" t="n">
        <v>0</v>
      </c>
      <c r="BO982" s="105" t="n">
        <v>0</v>
      </c>
      <c r="BP982" s="105" t="n">
        <v>0</v>
      </c>
      <c r="BQ982" s="105" t="n">
        <v>0</v>
      </c>
      <c r="BR982" s="106" t="n">
        <v>2.33333333333333</v>
      </c>
      <c r="BS982" s="106" t="n">
        <v>2.33333333333333</v>
      </c>
      <c r="BT982" s="107"/>
      <c r="BU982" s="107"/>
      <c r="BV982" s="107"/>
      <c r="BW982" s="107"/>
      <c r="BX982" s="107"/>
      <c r="BY982" s="107"/>
      <c r="BZ982" s="107"/>
      <c r="CA982" s="107"/>
      <c r="CB982" s="107"/>
      <c r="CC982" s="107"/>
      <c r="CD982" s="107"/>
      <c r="CE982" s="107"/>
      <c r="CF982" s="107"/>
      <c r="CG982" s="107"/>
      <c r="CH982" s="107"/>
      <c r="CI982" s="107"/>
      <c r="CJ982" s="107"/>
      <c r="CK982" s="107"/>
      <c r="CL982" s="107"/>
      <c r="CM982" s="107"/>
      <c r="CN982" s="107"/>
      <c r="CO982" s="107"/>
      <c r="CP982" s="107"/>
      <c r="CQ982" s="107"/>
      <c r="CR982" s="107"/>
      <c r="CS982" s="107"/>
      <c r="CT982" s="107"/>
      <c r="CU982" s="107"/>
      <c r="CV982" s="107"/>
    </row>
    <row r="983" customFormat="false" ht="14.9" hidden="false" customHeight="false" outlineLevel="0" collapsed="false">
      <c r="A983" s="74" t="n">
        <f aca="false">MONTH(B983)</f>
        <v>10</v>
      </c>
      <c r="B983" s="135" t="n">
        <v>44489</v>
      </c>
      <c r="C983" s="128" t="s">
        <v>152</v>
      </c>
      <c r="D983" s="77" t="str">
        <f aca="false">IFERROR(VLOOKUP(E:E,'Item Data Support Sheet'!A:O,7,0),"")</f>
        <v>BOTTLE MOLDED</v>
      </c>
      <c r="E983" s="80" t="s">
        <v>69</v>
      </c>
      <c r="F983" s="122" t="s">
        <v>73</v>
      </c>
      <c r="G983" s="137" t="s">
        <v>74</v>
      </c>
      <c r="H983" s="79" t="str">
        <f aca="false">IFERROR(VLOOKUP(E:E,'Item Data Support Sheet'!A:O,2,0),"")</f>
        <v>KPP 240 ML BOTTLE MOLDED</v>
      </c>
      <c r="I983" s="80" t="s">
        <v>1763</v>
      </c>
      <c r="J983" s="80" t="s">
        <v>143</v>
      </c>
      <c r="K983" s="124" t="n">
        <v>8</v>
      </c>
      <c r="L983" s="124" t="n">
        <v>2574</v>
      </c>
      <c r="M983" s="83" t="n">
        <v>321.75</v>
      </c>
      <c r="N983" s="84" t="n">
        <f aca="false">+O983+Q983+T983+U983</f>
        <v>3364</v>
      </c>
      <c r="O983" s="85" t="n">
        <v>3240</v>
      </c>
      <c r="P983" s="86" t="n">
        <v>0.3</v>
      </c>
      <c r="Q983" s="86" t="n">
        <v>44</v>
      </c>
      <c r="R983" s="132" t="n">
        <v>0</v>
      </c>
      <c r="S983" s="128" t="n">
        <v>0</v>
      </c>
      <c r="T983" s="132" t="n">
        <v>72</v>
      </c>
      <c r="U983" s="128" t="n">
        <v>8</v>
      </c>
      <c r="V983" s="128" t="n">
        <v>1</v>
      </c>
      <c r="W983" s="90" t="n">
        <f aca="false">IFERROR(O983/V983,0)</f>
        <v>3240</v>
      </c>
      <c r="X983" s="91" t="n">
        <f aca="false">O983/L983</f>
        <v>1.25874125874126</v>
      </c>
      <c r="Y983" s="92" t="str">
        <f aca="false">IFERROR(VLOOKUP(E:E,'Item Data Support Sheet'!A:J,6,0),0)</f>
        <v>HMC</v>
      </c>
      <c r="Z983" s="93" t="n">
        <f aca="false">IFERROR(VLOOKUP(E:E,'Item Data Support Sheet'!A:O,4,0),0)</f>
        <v>32.1</v>
      </c>
      <c r="AA983" s="93" t="n">
        <f aca="false">IFERROR(((N983)*(Z983/1000))+P983,0)</f>
        <v>108.2844</v>
      </c>
      <c r="AB983" s="94" t="n">
        <f aca="false">IFERROR((O983*(Z983/1000)/(AA983))," ")</f>
        <v>0.960470760331128</v>
      </c>
      <c r="AC983" s="95" t="n">
        <f aca="false">IFERROR((T983)/((T983)+O983),0)</f>
        <v>0.0217391304347826</v>
      </c>
      <c r="AD983" s="96" t="n">
        <f aca="false">IFERROR(Q983/(Q983+N983),0)</f>
        <v>0.0129107981220657</v>
      </c>
      <c r="AE983" s="91" t="n">
        <f aca="false">(N983-T983)/N983</f>
        <v>0.978596908442331</v>
      </c>
      <c r="AF983" s="97" t="n">
        <f aca="false">BR983</f>
        <v>0</v>
      </c>
      <c r="AG983" s="98" t="n">
        <f aca="false">K983-AF983</f>
        <v>8</v>
      </c>
      <c r="AH983" s="99" t="n">
        <f aca="false">IFERROR(AG983/K983," ")</f>
        <v>1</v>
      </c>
      <c r="AI983" s="100" t="n">
        <f aca="false">IFERROR(O983/K983,0)</f>
        <v>405</v>
      </c>
      <c r="AJ983" s="101" t="n">
        <f aca="false">VLOOKUP(D983,'Standard Cycle time'!C:D,2,0)</f>
        <v>9</v>
      </c>
      <c r="AK983" s="101" t="n">
        <f aca="false">AG983*V983*3600/O983</f>
        <v>8.88888888888889</v>
      </c>
      <c r="AL983" s="102" t="n">
        <f aca="false">AJ983/AK983</f>
        <v>1.0125</v>
      </c>
      <c r="AM983" s="99" t="n">
        <f aca="false">AE983*AL983*AH983</f>
        <v>0.99082936979786</v>
      </c>
      <c r="AN983" s="103" t="n">
        <v>0.99082936979786</v>
      </c>
      <c r="AO983" s="112" t="s">
        <v>1764</v>
      </c>
      <c r="AP983" s="105" t="n">
        <v>0</v>
      </c>
      <c r="AQ983" s="105" t="n">
        <v>0</v>
      </c>
      <c r="AR983" s="105" t="n">
        <v>0</v>
      </c>
      <c r="AS983" s="105" t="n">
        <v>0</v>
      </c>
      <c r="AT983" s="105" t="n">
        <v>0</v>
      </c>
      <c r="AU983" s="105" t="n">
        <v>0</v>
      </c>
      <c r="AV983" s="105" t="n">
        <v>0</v>
      </c>
      <c r="AW983" s="105" t="n">
        <v>0</v>
      </c>
      <c r="AX983" s="105" t="n">
        <v>0</v>
      </c>
      <c r="AY983" s="105" t="n">
        <v>0</v>
      </c>
      <c r="AZ983" s="105" t="n">
        <v>0</v>
      </c>
      <c r="BA983" s="105" t="n">
        <v>0</v>
      </c>
      <c r="BB983" s="105" t="n">
        <v>0</v>
      </c>
      <c r="BC983" s="105" t="n">
        <v>0</v>
      </c>
      <c r="BD983" s="105" t="n">
        <v>0</v>
      </c>
      <c r="BE983" s="105" t="n">
        <v>0</v>
      </c>
      <c r="BF983" s="105" t="n">
        <v>0</v>
      </c>
      <c r="BG983" s="105" t="n">
        <v>0</v>
      </c>
      <c r="BH983" s="105" t="n">
        <v>0</v>
      </c>
      <c r="BI983" s="105" t="n">
        <v>0</v>
      </c>
      <c r="BJ983" s="105" t="n">
        <v>0</v>
      </c>
      <c r="BK983" s="105" t="n">
        <v>0</v>
      </c>
      <c r="BL983" s="105" t="n">
        <v>0</v>
      </c>
      <c r="BM983" s="105" t="n">
        <v>0</v>
      </c>
      <c r="BN983" s="105" t="n">
        <v>0</v>
      </c>
      <c r="BO983" s="105" t="n">
        <v>0</v>
      </c>
      <c r="BP983" s="105" t="n">
        <v>0</v>
      </c>
      <c r="BQ983" s="105" t="n">
        <v>0</v>
      </c>
      <c r="BR983" s="106" t="n">
        <v>0</v>
      </c>
      <c r="BS983" s="106" t="n">
        <v>0</v>
      </c>
      <c r="BT983" s="107"/>
      <c r="BU983" s="107"/>
      <c r="BV983" s="107"/>
      <c r="BW983" s="107"/>
      <c r="BX983" s="107"/>
      <c r="BY983" s="107"/>
      <c r="BZ983" s="107"/>
      <c r="CA983" s="107"/>
      <c r="CB983" s="107"/>
      <c r="CC983" s="107"/>
      <c r="CD983" s="107"/>
      <c r="CE983" s="107"/>
      <c r="CF983" s="107"/>
      <c r="CG983" s="107"/>
      <c r="CH983" s="107"/>
      <c r="CI983" s="107"/>
      <c r="CJ983" s="107"/>
      <c r="CK983" s="107"/>
      <c r="CL983" s="107"/>
      <c r="CM983" s="107"/>
      <c r="CN983" s="107"/>
      <c r="CO983" s="107"/>
      <c r="CP983" s="107"/>
      <c r="CQ983" s="107"/>
      <c r="CR983" s="107"/>
      <c r="CS983" s="107"/>
      <c r="CT983" s="107"/>
      <c r="CU983" s="107"/>
      <c r="CV983" s="107"/>
    </row>
    <row r="984" customFormat="false" ht="14.9" hidden="false" customHeight="false" outlineLevel="0" collapsed="false">
      <c r="A984" s="74" t="n">
        <f aca="false">MONTH(B984)</f>
        <v>10</v>
      </c>
      <c r="B984" s="135" t="n">
        <v>44490</v>
      </c>
      <c r="C984" s="128" t="s">
        <v>51</v>
      </c>
      <c r="D984" s="77" t="str">
        <f aca="false">IFERROR(VLOOKUP(E:E,'Item Data Support Sheet'!A:O,7,0),"")</f>
        <v>NIPPLE PUNCH</v>
      </c>
      <c r="E984" s="80" t="s">
        <v>60</v>
      </c>
      <c r="F984" s="122"/>
      <c r="G984" s="137" t="s">
        <v>54</v>
      </c>
      <c r="H984" s="79" t="str">
        <f aca="false">IFERROR(VLOOKUP(E:E,'Item Data Support Sheet'!A:O,2,0),"")</f>
        <v>NIPPLE S TYPE M SIZE PUNCHED</v>
      </c>
      <c r="I984" s="80" t="s">
        <v>1765</v>
      </c>
      <c r="J984" s="80" t="s">
        <v>815</v>
      </c>
      <c r="K984" s="124" t="n">
        <v>8</v>
      </c>
      <c r="L984" s="124" t="n">
        <v>7000</v>
      </c>
      <c r="M984" s="83" t="n">
        <v>875</v>
      </c>
      <c r="N984" s="84" t="n">
        <f aca="false">+O984+Q984+T984+U984</f>
        <v>7150</v>
      </c>
      <c r="O984" s="85" t="n">
        <v>7150</v>
      </c>
      <c r="P984" s="86" t="n">
        <v>0</v>
      </c>
      <c r="Q984" s="86" t="n">
        <v>0</v>
      </c>
      <c r="R984" s="132" t="n">
        <v>0</v>
      </c>
      <c r="S984" s="128" t="n">
        <v>0</v>
      </c>
      <c r="T984" s="132" t="n">
        <v>0</v>
      </c>
      <c r="U984" s="128" t="n">
        <v>0</v>
      </c>
      <c r="V984" s="128" t="n">
        <v>1</v>
      </c>
      <c r="W984" s="90" t="n">
        <f aca="false">IFERROR(O984/V984,0)</f>
        <v>7150</v>
      </c>
      <c r="X984" s="91" t="n">
        <f aca="false">O984/L984</f>
        <v>1.02142857142857</v>
      </c>
      <c r="Y984" s="92" t="str">
        <f aca="false">IFERROR(VLOOKUP(E:E,'Item Data Support Sheet'!A:J,6,0),0)</f>
        <v>FO016</v>
      </c>
      <c r="Z984" s="93" t="n">
        <f aca="false">IFERROR(VLOOKUP(E:E,'Item Data Support Sheet'!A:O,4,0),0)</f>
        <v>0</v>
      </c>
      <c r="AA984" s="93" t="n">
        <f aca="false">IFERROR(((N984)*(Z984/1000))+P984,0)</f>
        <v>0</v>
      </c>
      <c r="AB984" s="94" t="str">
        <f aca="false">IFERROR((O984*(Z984/1000)/(AA984))," ")</f>
        <v> </v>
      </c>
      <c r="AC984" s="95" t="n">
        <f aca="false">IFERROR((T984)/((T984)+O984),0)</f>
        <v>0</v>
      </c>
      <c r="AD984" s="96" t="n">
        <f aca="false">IFERROR(Q984/(Q984+N984),0)</f>
        <v>0</v>
      </c>
      <c r="AE984" s="91" t="n">
        <f aca="false">(N984-T984)/N984</f>
        <v>1</v>
      </c>
      <c r="AF984" s="97" t="n">
        <f aca="false">BR984</f>
        <v>0.666666666666667</v>
      </c>
      <c r="AG984" s="98" t="n">
        <f aca="false">K984-AF984</f>
        <v>7.33333333333333</v>
      </c>
      <c r="AH984" s="99" t="n">
        <f aca="false">IFERROR(AG984/K984," ")</f>
        <v>0.916666666666667</v>
      </c>
      <c r="AI984" s="100" t="n">
        <f aca="false">IFERROR(O984/K984,0)</f>
        <v>893.75</v>
      </c>
      <c r="AJ984" s="101" t="n">
        <f aca="false">VLOOKUP(D984,'Standard Cycle time'!C:D,2,0)</f>
        <v>3.5</v>
      </c>
      <c r="AK984" s="101" t="n">
        <f aca="false">AG984*V984*3600/O984</f>
        <v>3.69230769230769</v>
      </c>
      <c r="AL984" s="102" t="n">
        <f aca="false">AJ984/AK984</f>
        <v>0.947916666666667</v>
      </c>
      <c r="AM984" s="99" t="n">
        <f aca="false">AE984*AL984*AH984</f>
        <v>0.868923611111111</v>
      </c>
      <c r="AN984" s="103" t="n">
        <v>0.868923611111111</v>
      </c>
      <c r="AO984" s="112"/>
      <c r="AP984" s="105" t="n">
        <v>40</v>
      </c>
      <c r="AQ984" s="105" t="n">
        <v>0</v>
      </c>
      <c r="AR984" s="105" t="n">
        <v>0</v>
      </c>
      <c r="AS984" s="105" t="n">
        <v>0</v>
      </c>
      <c r="AT984" s="105" t="n">
        <v>0</v>
      </c>
      <c r="AU984" s="105" t="n">
        <v>0</v>
      </c>
      <c r="AV984" s="105" t="n">
        <v>0</v>
      </c>
      <c r="AW984" s="105" t="n">
        <v>0</v>
      </c>
      <c r="AX984" s="105" t="n">
        <v>0</v>
      </c>
      <c r="AY984" s="105" t="n">
        <v>0</v>
      </c>
      <c r="AZ984" s="105" t="n">
        <v>0</v>
      </c>
      <c r="BA984" s="105" t="n">
        <v>0</v>
      </c>
      <c r="BB984" s="105" t="n">
        <v>0</v>
      </c>
      <c r="BC984" s="105" t="n">
        <v>0</v>
      </c>
      <c r="BD984" s="105" t="n">
        <v>0</v>
      </c>
      <c r="BE984" s="105" t="n">
        <v>0</v>
      </c>
      <c r="BF984" s="105" t="n">
        <v>0</v>
      </c>
      <c r="BG984" s="105" t="n">
        <v>0</v>
      </c>
      <c r="BH984" s="105" t="n">
        <v>0</v>
      </c>
      <c r="BI984" s="105" t="n">
        <v>0</v>
      </c>
      <c r="BJ984" s="105" t="n">
        <v>0</v>
      </c>
      <c r="BK984" s="105" t="n">
        <v>0</v>
      </c>
      <c r="BL984" s="105" t="n">
        <v>0</v>
      </c>
      <c r="BM984" s="105" t="n">
        <v>0</v>
      </c>
      <c r="BN984" s="105" t="n">
        <v>0</v>
      </c>
      <c r="BO984" s="105" t="n">
        <v>0</v>
      </c>
      <c r="BP984" s="105" t="n">
        <v>0</v>
      </c>
      <c r="BQ984" s="105" t="n">
        <v>0</v>
      </c>
      <c r="BR984" s="106" t="n">
        <v>0.666666666666667</v>
      </c>
      <c r="BS984" s="106" t="n">
        <v>0.666666666666667</v>
      </c>
      <c r="BT984" s="107"/>
      <c r="BU984" s="107"/>
      <c r="BV984" s="107"/>
      <c r="BW984" s="107"/>
      <c r="BX984" s="107"/>
      <c r="BY984" s="107"/>
      <c r="BZ984" s="107"/>
      <c r="CA984" s="107"/>
      <c r="CB984" s="107"/>
      <c r="CC984" s="107"/>
      <c r="CD984" s="107"/>
      <c r="CE984" s="107"/>
      <c r="CF984" s="107"/>
      <c r="CG984" s="107"/>
      <c r="CH984" s="107"/>
      <c r="CI984" s="107"/>
      <c r="CJ984" s="107"/>
      <c r="CK984" s="107"/>
      <c r="CL984" s="107"/>
      <c r="CM984" s="107"/>
      <c r="CN984" s="107"/>
      <c r="CO984" s="107"/>
      <c r="CP984" s="107"/>
      <c r="CQ984" s="107"/>
      <c r="CR984" s="107"/>
      <c r="CS984" s="107"/>
      <c r="CT984" s="107"/>
      <c r="CU984" s="107"/>
      <c r="CV984" s="107"/>
    </row>
    <row r="985" customFormat="false" ht="14.9" hidden="false" customHeight="false" outlineLevel="0" collapsed="false">
      <c r="A985" s="74" t="n">
        <f aca="false">MONTH(B985)</f>
        <v>10</v>
      </c>
      <c r="B985" s="135" t="n">
        <v>44490</v>
      </c>
      <c r="C985" s="128" t="s">
        <v>51</v>
      </c>
      <c r="D985" s="77" t="str">
        <f aca="false">IFERROR(VLOOKUP(E:E,'Item Data Support Sheet'!A:O,7,0),"")</f>
        <v>NIPPLE LASER MARKING</v>
      </c>
      <c r="E985" s="80" t="s">
        <v>932</v>
      </c>
      <c r="F985" s="122"/>
      <c r="G985" s="137" t="s">
        <v>517</v>
      </c>
      <c r="H985" s="79" t="str">
        <f aca="false">IFERROR(VLOOKUP(E:E,'Item Data Support Sheet'!A:O,2,0),"")</f>
        <v>NIPPLE S TYPE M SIZE PUNCHED LASER MARKED</v>
      </c>
      <c r="I985" s="80" t="s">
        <v>1766</v>
      </c>
      <c r="J985" s="80" t="s">
        <v>815</v>
      </c>
      <c r="K985" s="124" t="n">
        <v>8</v>
      </c>
      <c r="L985" s="124" t="n">
        <v>7000</v>
      </c>
      <c r="M985" s="83" t="n">
        <v>875</v>
      </c>
      <c r="N985" s="84" t="n">
        <f aca="false">+O985+Q985+T985+U985</f>
        <v>7120</v>
      </c>
      <c r="O985" s="85" t="n">
        <v>7120</v>
      </c>
      <c r="P985" s="86" t="n">
        <v>0</v>
      </c>
      <c r="Q985" s="86" t="n">
        <v>0</v>
      </c>
      <c r="R985" s="132" t="n">
        <v>0</v>
      </c>
      <c r="S985" s="128" t="n">
        <v>0</v>
      </c>
      <c r="T985" s="132" t="n">
        <v>0</v>
      </c>
      <c r="U985" s="128" t="n">
        <v>0</v>
      </c>
      <c r="V985" s="128" t="n">
        <v>1</v>
      </c>
      <c r="W985" s="90" t="n">
        <f aca="false">IFERROR(O985/V985,0)</f>
        <v>7120</v>
      </c>
      <c r="X985" s="91" t="n">
        <f aca="false">O985/L985</f>
        <v>1.01714285714286</v>
      </c>
      <c r="Y985" s="92" t="str">
        <f aca="false">IFERROR(VLOOKUP(E:E,'Item Data Support Sheet'!A:J,6,0),0)</f>
        <v>FO020</v>
      </c>
      <c r="Z985" s="93" t="n">
        <f aca="false">IFERROR(VLOOKUP(E:E,'Item Data Support Sheet'!A:O,4,0),0)</f>
        <v>0</v>
      </c>
      <c r="AA985" s="93" t="n">
        <f aca="false">IFERROR(((N985)*(Z985/1000))+P985,0)</f>
        <v>0</v>
      </c>
      <c r="AB985" s="94" t="str">
        <f aca="false">IFERROR((O985*(Z985/1000)/(AA985))," ")</f>
        <v> </v>
      </c>
      <c r="AC985" s="95" t="n">
        <f aca="false">IFERROR((T985)/((T985)+O985),0)</f>
        <v>0</v>
      </c>
      <c r="AD985" s="96" t="n">
        <f aca="false">IFERROR(Q985/(Q985+N985),0)</f>
        <v>0</v>
      </c>
      <c r="AE985" s="91" t="n">
        <f aca="false">(N985-T985)/N985</f>
        <v>1</v>
      </c>
      <c r="AF985" s="97" t="n">
        <f aca="false">BR985</f>
        <v>0.666666666666667</v>
      </c>
      <c r="AG985" s="98" t="n">
        <f aca="false">K985-AF985</f>
        <v>7.33333333333333</v>
      </c>
      <c r="AH985" s="99" t="n">
        <f aca="false">IFERROR(AG985/K985," ")</f>
        <v>0.916666666666667</v>
      </c>
      <c r="AI985" s="100" t="n">
        <f aca="false">IFERROR(O985/K985,0)</f>
        <v>890</v>
      </c>
      <c r="AJ985" s="101" t="n">
        <f aca="false">VLOOKUP(D985,'Standard Cycle time'!C:D,2,0)</f>
        <v>3.5</v>
      </c>
      <c r="AK985" s="101" t="n">
        <f aca="false">AG985*V985*3600/O985</f>
        <v>3.70786516853933</v>
      </c>
      <c r="AL985" s="102" t="n">
        <f aca="false">AJ985/AK985</f>
        <v>0.943939393939394</v>
      </c>
      <c r="AM985" s="99" t="n">
        <f aca="false">AE985*AL985*AH985</f>
        <v>0.865277777777778</v>
      </c>
      <c r="AN985" s="103" t="n">
        <v>0.865277777777778</v>
      </c>
      <c r="AO985" s="112"/>
      <c r="AP985" s="105" t="n">
        <v>40</v>
      </c>
      <c r="AQ985" s="105" t="n">
        <v>0</v>
      </c>
      <c r="AR985" s="105" t="n">
        <v>0</v>
      </c>
      <c r="AS985" s="105" t="n">
        <v>0</v>
      </c>
      <c r="AT985" s="105" t="n">
        <v>0</v>
      </c>
      <c r="AU985" s="105" t="n">
        <v>0</v>
      </c>
      <c r="AV985" s="105" t="n">
        <v>0</v>
      </c>
      <c r="AW985" s="105" t="n">
        <v>0</v>
      </c>
      <c r="AX985" s="105" t="n">
        <v>0</v>
      </c>
      <c r="AY985" s="105" t="n">
        <v>0</v>
      </c>
      <c r="AZ985" s="105" t="n">
        <v>0</v>
      </c>
      <c r="BA985" s="105" t="n">
        <v>0</v>
      </c>
      <c r="BB985" s="105" t="n">
        <v>0</v>
      </c>
      <c r="BC985" s="105" t="n">
        <v>0</v>
      </c>
      <c r="BD985" s="105" t="n">
        <v>0</v>
      </c>
      <c r="BE985" s="105" t="n">
        <v>0</v>
      </c>
      <c r="BF985" s="105" t="n">
        <v>0</v>
      </c>
      <c r="BG985" s="105" t="n">
        <v>0</v>
      </c>
      <c r="BH985" s="105" t="n">
        <v>0</v>
      </c>
      <c r="BI985" s="105" t="n">
        <v>0</v>
      </c>
      <c r="BJ985" s="105" t="n">
        <v>0</v>
      </c>
      <c r="BK985" s="105" t="n">
        <v>0</v>
      </c>
      <c r="BL985" s="105" t="n">
        <v>0</v>
      </c>
      <c r="BM985" s="105" t="n">
        <v>0</v>
      </c>
      <c r="BN985" s="105" t="n">
        <v>0</v>
      </c>
      <c r="BO985" s="105" t="n">
        <v>0</v>
      </c>
      <c r="BP985" s="105" t="n">
        <v>0</v>
      </c>
      <c r="BQ985" s="105" t="n">
        <v>0</v>
      </c>
      <c r="BR985" s="106" t="n">
        <v>0.666666666666667</v>
      </c>
      <c r="BS985" s="106" t="n">
        <v>0.666666666666667</v>
      </c>
      <c r="BT985" s="107"/>
      <c r="BU985" s="107"/>
      <c r="BV985" s="107"/>
      <c r="BW985" s="107"/>
      <c r="BX985" s="107"/>
      <c r="BY985" s="107"/>
      <c r="BZ985" s="107"/>
      <c r="CA985" s="107"/>
      <c r="CB985" s="107"/>
      <c r="CC985" s="107"/>
      <c r="CD985" s="107"/>
      <c r="CE985" s="107"/>
      <c r="CF985" s="107"/>
      <c r="CG985" s="107"/>
      <c r="CH985" s="107"/>
      <c r="CI985" s="107"/>
      <c r="CJ985" s="107"/>
      <c r="CK985" s="107"/>
      <c r="CL985" s="107"/>
      <c r="CM985" s="107"/>
      <c r="CN985" s="107"/>
      <c r="CO985" s="107"/>
      <c r="CP985" s="107"/>
      <c r="CQ985" s="107"/>
      <c r="CR985" s="107"/>
      <c r="CS985" s="107"/>
      <c r="CT985" s="107"/>
      <c r="CU985" s="107"/>
      <c r="CV985" s="107"/>
    </row>
    <row r="986" customFormat="false" ht="14.9" hidden="false" customHeight="false" outlineLevel="0" collapsed="false">
      <c r="A986" s="74" t="n">
        <f aca="false">MONTH(B986)</f>
        <v>10</v>
      </c>
      <c r="B986" s="135" t="n">
        <v>44490</v>
      </c>
      <c r="C986" s="128" t="s">
        <v>51</v>
      </c>
      <c r="D986" s="77" t="str">
        <f aca="false">IFERROR(VLOOKUP(E:E,'Item Data Support Sheet'!A:O,7,0),"")</f>
        <v>BOTTLE MOLDED</v>
      </c>
      <c r="E986" s="80" t="s">
        <v>69</v>
      </c>
      <c r="F986" s="122" t="s">
        <v>73</v>
      </c>
      <c r="G986" s="137" t="s">
        <v>74</v>
      </c>
      <c r="H986" s="79" t="str">
        <f aca="false">IFERROR(VLOOKUP(E:E,'Item Data Support Sheet'!A:O,2,0),"")</f>
        <v>KPP 240 ML BOTTLE MOLDED</v>
      </c>
      <c r="I986" s="80" t="s">
        <v>1767</v>
      </c>
      <c r="J986" s="80" t="s">
        <v>815</v>
      </c>
      <c r="K986" s="124" t="n">
        <v>8</v>
      </c>
      <c r="L986" s="124" t="n">
        <v>2574</v>
      </c>
      <c r="M986" s="83" t="n">
        <v>321.75</v>
      </c>
      <c r="N986" s="84" t="n">
        <f aca="false">+O986+Q986+T986+U986</f>
        <v>3049</v>
      </c>
      <c r="O986" s="85" t="n">
        <v>2916</v>
      </c>
      <c r="P986" s="86" t="n">
        <v>0.2</v>
      </c>
      <c r="Q986" s="86" t="n">
        <v>66</v>
      </c>
      <c r="R986" s="132" t="n">
        <v>0</v>
      </c>
      <c r="S986" s="128" t="n">
        <v>0</v>
      </c>
      <c r="T986" s="132" t="n">
        <v>59</v>
      </c>
      <c r="U986" s="128" t="n">
        <v>8</v>
      </c>
      <c r="V986" s="128" t="n">
        <v>1</v>
      </c>
      <c r="W986" s="90" t="n">
        <f aca="false">IFERROR(O986/V986,0)</f>
        <v>2916</v>
      </c>
      <c r="X986" s="91" t="n">
        <f aca="false">O986/L986</f>
        <v>1.13286713286713</v>
      </c>
      <c r="Y986" s="92" t="str">
        <f aca="false">IFERROR(VLOOKUP(E:E,'Item Data Support Sheet'!A:J,6,0),0)</f>
        <v>HMC</v>
      </c>
      <c r="Z986" s="93" t="n">
        <f aca="false">IFERROR(VLOOKUP(E:E,'Item Data Support Sheet'!A:O,4,0),0)</f>
        <v>32.1</v>
      </c>
      <c r="AA986" s="93" t="n">
        <f aca="false">IFERROR(((N986)*(Z986/1000))+P986,0)</f>
        <v>98.0729</v>
      </c>
      <c r="AB986" s="94" t="n">
        <f aca="false">IFERROR((O986*(Z986/1000)/(AA986))," ")</f>
        <v>0.954428797353805</v>
      </c>
      <c r="AC986" s="95" t="n">
        <f aca="false">IFERROR((T986)/((T986)+O986),0)</f>
        <v>0.0198319327731092</v>
      </c>
      <c r="AD986" s="96" t="n">
        <f aca="false">IFERROR(Q986/(Q986+N986),0)</f>
        <v>0.0211878009630819</v>
      </c>
      <c r="AE986" s="91" t="n">
        <f aca="false">(N986-T986)/N986</f>
        <v>0.980649393243687</v>
      </c>
      <c r="AF986" s="97" t="n">
        <f aca="false">BR986</f>
        <v>0</v>
      </c>
      <c r="AG986" s="98" t="n">
        <f aca="false">K986-AF986</f>
        <v>8</v>
      </c>
      <c r="AH986" s="99" t="n">
        <f aca="false">IFERROR(AG986/K986," ")</f>
        <v>1</v>
      </c>
      <c r="AI986" s="100" t="n">
        <f aca="false">IFERROR(O986/K986,0)</f>
        <v>364.5</v>
      </c>
      <c r="AJ986" s="101" t="n">
        <f aca="false">VLOOKUP(D986,'Standard Cycle time'!C:D,2,0)</f>
        <v>9</v>
      </c>
      <c r="AK986" s="101" t="n">
        <f aca="false">AG986*V986*3600/O986</f>
        <v>9.87654320987654</v>
      </c>
      <c r="AL986" s="102" t="n">
        <f aca="false">AJ986/AK986</f>
        <v>0.91125</v>
      </c>
      <c r="AM986" s="99" t="n">
        <f aca="false">AE986*AL986*AH986</f>
        <v>0.893616759593309</v>
      </c>
      <c r="AN986" s="103" t="n">
        <v>0.893616759593309</v>
      </c>
      <c r="AO986" s="112"/>
      <c r="AP986" s="105" t="n">
        <v>0</v>
      </c>
      <c r="AQ986" s="105" t="n">
        <v>0</v>
      </c>
      <c r="AR986" s="105" t="n">
        <v>0</v>
      </c>
      <c r="AS986" s="105" t="n">
        <v>0</v>
      </c>
      <c r="AT986" s="105" t="n">
        <v>0</v>
      </c>
      <c r="AU986" s="105" t="n">
        <v>0</v>
      </c>
      <c r="AV986" s="105" t="n">
        <v>0</v>
      </c>
      <c r="AW986" s="105" t="n">
        <v>0</v>
      </c>
      <c r="AX986" s="105" t="n">
        <v>0</v>
      </c>
      <c r="AY986" s="105" t="n">
        <v>0</v>
      </c>
      <c r="AZ986" s="105" t="n">
        <v>0</v>
      </c>
      <c r="BA986" s="105" t="n">
        <v>0</v>
      </c>
      <c r="BB986" s="105" t="n">
        <v>0</v>
      </c>
      <c r="BC986" s="105" t="n">
        <v>0</v>
      </c>
      <c r="BD986" s="105" t="n">
        <v>0</v>
      </c>
      <c r="BE986" s="105" t="n">
        <v>0</v>
      </c>
      <c r="BF986" s="105" t="n">
        <v>0</v>
      </c>
      <c r="BG986" s="105" t="n">
        <v>0</v>
      </c>
      <c r="BH986" s="105" t="n">
        <v>0</v>
      </c>
      <c r="BI986" s="105" t="n">
        <v>0</v>
      </c>
      <c r="BJ986" s="105" t="n">
        <v>0</v>
      </c>
      <c r="BK986" s="105" t="n">
        <v>0</v>
      </c>
      <c r="BL986" s="105" t="n">
        <v>0</v>
      </c>
      <c r="BM986" s="105" t="n">
        <v>0</v>
      </c>
      <c r="BN986" s="105" t="n">
        <v>0</v>
      </c>
      <c r="BO986" s="105" t="n">
        <v>0</v>
      </c>
      <c r="BP986" s="105" t="n">
        <v>0</v>
      </c>
      <c r="BQ986" s="105" t="n">
        <v>0</v>
      </c>
      <c r="BR986" s="106" t="n">
        <v>0</v>
      </c>
      <c r="BS986" s="106" t="n">
        <v>0</v>
      </c>
      <c r="BT986" s="107"/>
      <c r="BU986" s="107"/>
      <c r="BV986" s="107"/>
      <c r="BW986" s="107"/>
      <c r="BX986" s="107"/>
      <c r="BY986" s="107"/>
      <c r="BZ986" s="107"/>
      <c r="CA986" s="107"/>
      <c r="CB986" s="107"/>
      <c r="CC986" s="107"/>
      <c r="CD986" s="107"/>
      <c r="CE986" s="107"/>
      <c r="CF986" s="107"/>
      <c r="CG986" s="107"/>
      <c r="CH986" s="107"/>
      <c r="CI986" s="107"/>
      <c r="CJ986" s="107"/>
      <c r="CK986" s="107"/>
      <c r="CL986" s="107"/>
      <c r="CM986" s="107"/>
      <c r="CN986" s="107"/>
      <c r="CO986" s="107"/>
      <c r="CP986" s="107"/>
      <c r="CQ986" s="107"/>
      <c r="CR986" s="107"/>
      <c r="CS986" s="107"/>
      <c r="CT986" s="107"/>
      <c r="CU986" s="107"/>
      <c r="CV986" s="107"/>
    </row>
    <row r="987" customFormat="false" ht="14.9" hidden="false" customHeight="false" outlineLevel="0" collapsed="false">
      <c r="A987" s="74" t="n">
        <f aca="false">MONTH(B987)</f>
        <v>10</v>
      </c>
      <c r="B987" s="135" t="n">
        <v>44490</v>
      </c>
      <c r="C987" s="128" t="s">
        <v>51</v>
      </c>
      <c r="D987" s="77" t="str">
        <f aca="false">IFERROR(VLOOKUP(E:E,'Item Data Support Sheet'!A:O,7,0),"")</f>
        <v>CAP MOLDED</v>
      </c>
      <c r="E987" s="80" t="s">
        <v>1740</v>
      </c>
      <c r="F987" s="122"/>
      <c r="G987" s="137" t="s">
        <v>1595</v>
      </c>
      <c r="H987" s="79" t="str">
        <f aca="false">IFERROR(VLOOKUP(E:E,'Item Data Support Sheet'!A:O,2,0),"")</f>
        <v>CAP S TYPE MOLDED YELLOW</v>
      </c>
      <c r="I987" s="80" t="s">
        <v>1768</v>
      </c>
      <c r="J987" s="80" t="s">
        <v>815</v>
      </c>
      <c r="K987" s="124" t="n">
        <v>8</v>
      </c>
      <c r="L987" s="124" t="n">
        <v>4137</v>
      </c>
      <c r="M987" s="83" t="n">
        <v>517.125</v>
      </c>
      <c r="N987" s="84" t="n">
        <f aca="false">+O987+Q987+T987+U987</f>
        <v>3522</v>
      </c>
      <c r="O987" s="85" t="n">
        <v>3510</v>
      </c>
      <c r="P987" s="86" t="n">
        <v>0.15</v>
      </c>
      <c r="Q987" s="86" t="n">
        <v>0</v>
      </c>
      <c r="R987" s="132" t="n">
        <v>0</v>
      </c>
      <c r="S987" s="128" t="n">
        <v>0</v>
      </c>
      <c r="T987" s="132" t="n">
        <v>4</v>
      </c>
      <c r="U987" s="128" t="n">
        <v>8</v>
      </c>
      <c r="V987" s="128" t="n">
        <v>1</v>
      </c>
      <c r="W987" s="90" t="n">
        <f aca="false">IFERROR(O987/V987,0)</f>
        <v>3510</v>
      </c>
      <c r="X987" s="91" t="n">
        <f aca="false">O987/L987</f>
        <v>0.848440899202321</v>
      </c>
      <c r="Y987" s="92" t="str">
        <f aca="false">IFERROR(VLOOKUP(E:E,'Item Data Support Sheet'!A:J,6,0),0)</f>
        <v>RM000112</v>
      </c>
      <c r="Z987" s="93" t="n">
        <f aca="false">IFERROR(VLOOKUP(E:E,'Item Data Support Sheet'!A:O,4,0),0)</f>
        <v>7.3</v>
      </c>
      <c r="AA987" s="93" t="n">
        <f aca="false">IFERROR(((N987)*(Z987/1000))+P987,0)</f>
        <v>25.8606</v>
      </c>
      <c r="AB987" s="94" t="n">
        <f aca="false">IFERROR((O987*(Z987/1000)/(AA987))," ")</f>
        <v>0.990812278137398</v>
      </c>
      <c r="AC987" s="95" t="n">
        <f aca="false">IFERROR((T987)/((T987)+O987),0)</f>
        <v>0.00113830392714855</v>
      </c>
      <c r="AD987" s="96" t="n">
        <f aca="false">IFERROR(Q987/(Q987+N987),0)</f>
        <v>0</v>
      </c>
      <c r="AE987" s="91" t="n">
        <f aca="false">(N987-T987)/N987</f>
        <v>0.998864281658149</v>
      </c>
      <c r="AF987" s="97" t="n">
        <f aca="false">BR987</f>
        <v>2</v>
      </c>
      <c r="AG987" s="98" t="n">
        <f aca="false">K987-AF987</f>
        <v>6</v>
      </c>
      <c r="AH987" s="99" t="n">
        <f aca="false">IFERROR(AG987/K987," ")</f>
        <v>0.75</v>
      </c>
      <c r="AI987" s="100" t="n">
        <f aca="false">IFERROR(O987/K987,0)</f>
        <v>438.75</v>
      </c>
      <c r="AJ987" s="101" t="n">
        <f aca="false">VLOOKUP(D987,'Standard Cycle time'!C:D,2,0)</f>
        <v>6</v>
      </c>
      <c r="AK987" s="101" t="n">
        <f aca="false">AG987*V987*3600/O987</f>
        <v>6.15384615384615</v>
      </c>
      <c r="AL987" s="102" t="n">
        <f aca="false">AJ987/AK987</f>
        <v>0.975</v>
      </c>
      <c r="AM987" s="99" t="n">
        <f aca="false">AE987*AL987*AH987</f>
        <v>0.730419505962521</v>
      </c>
      <c r="AN987" s="103" t="n">
        <v>0.730419505962521</v>
      </c>
      <c r="AO987" s="112"/>
      <c r="AP987" s="105" t="n">
        <v>0</v>
      </c>
      <c r="AQ987" s="105" t="n">
        <v>0</v>
      </c>
      <c r="AR987" s="105" t="n">
        <v>0</v>
      </c>
      <c r="AS987" s="105" t="n">
        <v>0</v>
      </c>
      <c r="AT987" s="105" t="n">
        <v>0</v>
      </c>
      <c r="AU987" s="105" t="n">
        <v>0</v>
      </c>
      <c r="AV987" s="105" t="n">
        <v>30</v>
      </c>
      <c r="AW987" s="105" t="n">
        <v>40</v>
      </c>
      <c r="AX987" s="105" t="n">
        <v>0</v>
      </c>
      <c r="AY987" s="105" t="n">
        <v>0</v>
      </c>
      <c r="AZ987" s="105" t="n">
        <v>50</v>
      </c>
      <c r="BA987" s="105" t="n">
        <v>0</v>
      </c>
      <c r="BB987" s="105" t="n">
        <v>0</v>
      </c>
      <c r="BC987" s="105" t="n">
        <v>0</v>
      </c>
      <c r="BD987" s="105" t="n">
        <v>0</v>
      </c>
      <c r="BE987" s="105" t="n">
        <v>0</v>
      </c>
      <c r="BF987" s="105" t="n">
        <v>0</v>
      </c>
      <c r="BG987" s="105" t="n">
        <v>0</v>
      </c>
      <c r="BH987" s="105" t="n">
        <v>0</v>
      </c>
      <c r="BI987" s="105" t="n">
        <v>0</v>
      </c>
      <c r="BJ987" s="105" t="n">
        <v>0</v>
      </c>
      <c r="BK987" s="105" t="n">
        <v>0</v>
      </c>
      <c r="BL987" s="105" t="n">
        <v>0</v>
      </c>
      <c r="BM987" s="105" t="n">
        <v>0</v>
      </c>
      <c r="BN987" s="105" t="n">
        <v>0</v>
      </c>
      <c r="BO987" s="105" t="n">
        <v>0</v>
      </c>
      <c r="BP987" s="105" t="n">
        <v>0</v>
      </c>
      <c r="BQ987" s="105" t="n">
        <v>0</v>
      </c>
      <c r="BR987" s="106" t="n">
        <v>2</v>
      </c>
      <c r="BS987" s="106" t="n">
        <v>2</v>
      </c>
      <c r="BT987" s="107"/>
      <c r="BU987" s="107"/>
      <c r="BV987" s="107"/>
      <c r="BW987" s="107"/>
      <c r="BX987" s="107"/>
      <c r="BY987" s="107"/>
      <c r="BZ987" s="107"/>
      <c r="CA987" s="107"/>
      <c r="CB987" s="107"/>
      <c r="CC987" s="107"/>
      <c r="CD987" s="107"/>
      <c r="CE987" s="107"/>
      <c r="CF987" s="107"/>
      <c r="CG987" s="107"/>
      <c r="CH987" s="107"/>
      <c r="CI987" s="107"/>
      <c r="CJ987" s="107"/>
      <c r="CK987" s="107"/>
      <c r="CL987" s="107"/>
      <c r="CM987" s="107"/>
      <c r="CN987" s="107"/>
      <c r="CO987" s="107"/>
      <c r="CP987" s="107"/>
      <c r="CQ987" s="107"/>
      <c r="CR987" s="107"/>
      <c r="CS987" s="107"/>
      <c r="CT987" s="107"/>
      <c r="CU987" s="107"/>
      <c r="CV987" s="107"/>
    </row>
    <row r="988" customFormat="false" ht="14.9" hidden="false" customHeight="false" outlineLevel="0" collapsed="false">
      <c r="A988" s="74" t="n">
        <f aca="false">MONTH(B988)</f>
        <v>10</v>
      </c>
      <c r="B988" s="135" t="n">
        <v>44490</v>
      </c>
      <c r="C988" s="128" t="s">
        <v>51</v>
      </c>
      <c r="D988" s="77" t="str">
        <f aca="false">IFERROR(VLOOKUP(E:E,'Item Data Support Sheet'!A:O,7,0),"")</f>
        <v>NIPPLE MOLDED</v>
      </c>
      <c r="E988" s="80" t="s">
        <v>136</v>
      </c>
      <c r="F988" s="122" t="s">
        <v>137</v>
      </c>
      <c r="G988" s="137" t="s">
        <v>138</v>
      </c>
      <c r="H988" s="79" t="str">
        <f aca="false">IFERROR(VLOOKUP(E:E,'Item Data Support Sheet'!A:O,2,0),"")</f>
        <v>NIPPLE S TYPE M SIZE INJECTION</v>
      </c>
      <c r="I988" s="80" t="s">
        <v>1769</v>
      </c>
      <c r="J988" s="80" t="s">
        <v>815</v>
      </c>
      <c r="K988" s="124" t="n">
        <v>2.5</v>
      </c>
      <c r="L988" s="124" t="n">
        <v>1500</v>
      </c>
      <c r="M988" s="83" t="n">
        <v>600</v>
      </c>
      <c r="N988" s="84" t="n">
        <f aca="false">+O988+Q988+T988+U988</f>
        <v>1554</v>
      </c>
      <c r="O988" s="85" t="n">
        <v>1460</v>
      </c>
      <c r="P988" s="86" t="n">
        <v>0</v>
      </c>
      <c r="Q988" s="86" t="n">
        <v>68</v>
      </c>
      <c r="R988" s="132" t="n">
        <v>0</v>
      </c>
      <c r="S988" s="128" t="n">
        <v>0</v>
      </c>
      <c r="T988" s="132" t="n">
        <v>26</v>
      </c>
      <c r="U988" s="128" t="n">
        <v>0</v>
      </c>
      <c r="V988" s="128" t="n">
        <v>1</v>
      </c>
      <c r="W988" s="90" t="n">
        <f aca="false">IFERROR(O988/V988,0)</f>
        <v>1460</v>
      </c>
      <c r="X988" s="91" t="n">
        <f aca="false">O988/L988</f>
        <v>0.973333333333333</v>
      </c>
      <c r="Y988" s="92" t="str">
        <f aca="false">IFERROR(VLOOKUP(E:E,'Item Data Support Sheet'!A:J,6,0),0)</f>
        <v>Silicon</v>
      </c>
      <c r="Z988" s="93" t="n">
        <f aca="false">IFERROR(VLOOKUP(E:E,'Item Data Support Sheet'!A:O,4,0),0)</f>
        <v>6.8</v>
      </c>
      <c r="AA988" s="93" t="n">
        <f aca="false">IFERROR(((N988)*(Z988/1000))+P988,0)</f>
        <v>10.5672</v>
      </c>
      <c r="AB988" s="94" t="n">
        <f aca="false">IFERROR((O988*(Z988/1000)/(AA988))," ")</f>
        <v>0.939510939510939</v>
      </c>
      <c r="AC988" s="95" t="n">
        <f aca="false">IFERROR((T988)/((T988)+O988),0)</f>
        <v>0.0174966352624495</v>
      </c>
      <c r="AD988" s="96" t="n">
        <f aca="false">IFERROR(Q988/(Q988+N988),0)</f>
        <v>0.0419235511713933</v>
      </c>
      <c r="AE988" s="91" t="n">
        <f aca="false">(N988-T988)/N988</f>
        <v>0.983268983268983</v>
      </c>
      <c r="AF988" s="97" t="n">
        <f aca="false">BR988</f>
        <v>0.5</v>
      </c>
      <c r="AG988" s="98" t="n">
        <f aca="false">K988-AF988</f>
        <v>2</v>
      </c>
      <c r="AH988" s="99" t="n">
        <f aca="false">IFERROR(AG988/K988," ")</f>
        <v>0.8</v>
      </c>
      <c r="AI988" s="100" t="n">
        <f aca="false">IFERROR(O988/K988,0)</f>
        <v>584</v>
      </c>
      <c r="AJ988" s="101" t="n">
        <f aca="false">VLOOKUP(D988,'Standard Cycle time'!C:D,2,0)</f>
        <v>5.25</v>
      </c>
      <c r="AK988" s="101" t="n">
        <f aca="false">AG988*V988*3600/O988</f>
        <v>4.93150684931507</v>
      </c>
      <c r="AL988" s="102" t="n">
        <f aca="false">AJ988/AK988</f>
        <v>1.06458333333333</v>
      </c>
      <c r="AM988" s="99" t="n">
        <f aca="false">AE988*AL988*AH988</f>
        <v>0.837417417417417</v>
      </c>
      <c r="AN988" s="103" t="n">
        <v>0.837417417417417</v>
      </c>
      <c r="AO988" s="112" t="s">
        <v>1770</v>
      </c>
      <c r="AP988" s="105" t="n">
        <v>0</v>
      </c>
      <c r="AQ988" s="105" t="n">
        <v>0</v>
      </c>
      <c r="AR988" s="105" t="n">
        <v>0</v>
      </c>
      <c r="AS988" s="105" t="n">
        <v>0</v>
      </c>
      <c r="AT988" s="105" t="n">
        <v>0</v>
      </c>
      <c r="AU988" s="105" t="n">
        <v>30</v>
      </c>
      <c r="AV988" s="105" t="n">
        <v>0</v>
      </c>
      <c r="AW988" s="105" t="n">
        <v>0</v>
      </c>
      <c r="AX988" s="105" t="n">
        <v>0</v>
      </c>
      <c r="AY988" s="105" t="n">
        <v>0</v>
      </c>
      <c r="AZ988" s="105" t="n">
        <v>0</v>
      </c>
      <c r="BA988" s="105" t="n">
        <v>0</v>
      </c>
      <c r="BB988" s="105" t="n">
        <v>0</v>
      </c>
      <c r="BC988" s="105" t="n">
        <v>0</v>
      </c>
      <c r="BD988" s="105" t="n">
        <v>0</v>
      </c>
      <c r="BE988" s="105" t="n">
        <v>0</v>
      </c>
      <c r="BF988" s="105" t="n">
        <v>0</v>
      </c>
      <c r="BG988" s="105" t="n">
        <v>0</v>
      </c>
      <c r="BH988" s="105" t="n">
        <v>0</v>
      </c>
      <c r="BI988" s="105" t="n">
        <v>0</v>
      </c>
      <c r="BJ988" s="105" t="n">
        <v>0</v>
      </c>
      <c r="BK988" s="105" t="n">
        <v>0</v>
      </c>
      <c r="BL988" s="105" t="n">
        <v>0</v>
      </c>
      <c r="BM988" s="105" t="n">
        <v>0</v>
      </c>
      <c r="BN988" s="105" t="n">
        <v>0</v>
      </c>
      <c r="BO988" s="105" t="n">
        <v>0</v>
      </c>
      <c r="BP988" s="105" t="n">
        <v>0</v>
      </c>
      <c r="BQ988" s="105" t="n">
        <v>0</v>
      </c>
      <c r="BR988" s="106" t="n">
        <v>0.5</v>
      </c>
      <c r="BS988" s="106" t="n">
        <v>0.5</v>
      </c>
      <c r="BT988" s="107"/>
      <c r="BU988" s="107"/>
      <c r="BV988" s="107"/>
      <c r="BW988" s="107"/>
      <c r="BX988" s="107"/>
      <c r="BY988" s="107"/>
      <c r="BZ988" s="107"/>
      <c r="CA988" s="107"/>
      <c r="CB988" s="107"/>
      <c r="CC988" s="107"/>
      <c r="CD988" s="107"/>
      <c r="CE988" s="107"/>
      <c r="CF988" s="107"/>
      <c r="CG988" s="107"/>
      <c r="CH988" s="107"/>
      <c r="CI988" s="107"/>
      <c r="CJ988" s="107"/>
      <c r="CK988" s="107"/>
      <c r="CL988" s="107"/>
      <c r="CM988" s="107"/>
      <c r="CN988" s="107"/>
      <c r="CO988" s="107"/>
      <c r="CP988" s="107"/>
      <c r="CQ988" s="107"/>
      <c r="CR988" s="107"/>
      <c r="CS988" s="107"/>
      <c r="CT988" s="107"/>
      <c r="CU988" s="107"/>
      <c r="CV988" s="107"/>
    </row>
    <row r="989" customFormat="false" ht="14.9" hidden="false" customHeight="false" outlineLevel="0" collapsed="false">
      <c r="A989" s="74" t="n">
        <f aca="false">MONTH(B989)</f>
        <v>10</v>
      </c>
      <c r="B989" s="135" t="n">
        <v>44490</v>
      </c>
      <c r="C989" s="128" t="s">
        <v>51</v>
      </c>
      <c r="D989" s="77" t="str">
        <f aca="false">IFERROR(VLOOKUP(E:E,'Item Data Support Sheet'!A:O,7,0),"")</f>
        <v>BOTTLE PRINTED</v>
      </c>
      <c r="E989" s="80" t="s">
        <v>320</v>
      </c>
      <c r="F989" s="122"/>
      <c r="G989" s="137"/>
      <c r="H989" s="79" t="str">
        <f aca="false">IFERROR(VLOOKUP(E:E,'Item Data Support Sheet'!A:O,2,0),"")</f>
        <v>KPP 200 ML BOTTLE PRINTED</v>
      </c>
      <c r="I989" s="80" t="s">
        <v>1771</v>
      </c>
      <c r="J989" s="80" t="s">
        <v>161</v>
      </c>
      <c r="K989" s="124" t="n">
        <v>5</v>
      </c>
      <c r="L989" s="124" t="n">
        <v>3200</v>
      </c>
      <c r="M989" s="83" t="n">
        <v>640</v>
      </c>
      <c r="N989" s="84" t="n">
        <f aca="false">+O989+Q989+T989+U989</f>
        <v>1897</v>
      </c>
      <c r="O989" s="85" t="n">
        <v>1877</v>
      </c>
      <c r="P989" s="86" t="n">
        <v>0</v>
      </c>
      <c r="Q989" s="86" t="n">
        <v>0</v>
      </c>
      <c r="R989" s="132" t="n">
        <v>17</v>
      </c>
      <c r="S989" s="128" t="n">
        <v>0</v>
      </c>
      <c r="T989" s="132" t="n">
        <v>20</v>
      </c>
      <c r="U989" s="128" t="n">
        <v>0</v>
      </c>
      <c r="V989" s="128" t="n">
        <v>4</v>
      </c>
      <c r="W989" s="90" t="n">
        <f aca="false">IFERROR(O989/V989,0)</f>
        <v>469.25</v>
      </c>
      <c r="X989" s="91" t="n">
        <f aca="false">O989/L989</f>
        <v>0.5865625</v>
      </c>
      <c r="Y989" s="92" t="str">
        <f aca="false">IFERROR(VLOOKUP(E:E,'Item Data Support Sheet'!A:J,6,0),0)</f>
        <v>FO002</v>
      </c>
      <c r="Z989" s="93" t="n">
        <f aca="false">IFERROR(VLOOKUP(E:E,'Item Data Support Sheet'!A:O,4,0),0)</f>
        <v>0</v>
      </c>
      <c r="AA989" s="93" t="n">
        <f aca="false">IFERROR(((N989)*(Z989/1000))+P989,0)</f>
        <v>0</v>
      </c>
      <c r="AB989" s="94" t="str">
        <f aca="false">IFERROR((O989*(Z989/1000)/(AA989))," ")</f>
        <v> </v>
      </c>
      <c r="AC989" s="95" t="n">
        <f aca="false">IFERROR((T989)/((T989)+O989),0)</f>
        <v>0.0105429625724829</v>
      </c>
      <c r="AD989" s="96" t="n">
        <f aca="false">IFERROR(Q989/(Q989+N989),0)</f>
        <v>0</v>
      </c>
      <c r="AE989" s="91" t="n">
        <f aca="false">(N989-T989)/N989</f>
        <v>0.989457037427517</v>
      </c>
      <c r="AF989" s="97" t="n">
        <f aca="false">BR989</f>
        <v>1.16666666666667</v>
      </c>
      <c r="AG989" s="98" t="n">
        <f aca="false">K989-AF989</f>
        <v>3.83333333333333</v>
      </c>
      <c r="AH989" s="99" t="n">
        <f aca="false">IFERROR(AG989/K989," ")</f>
        <v>0.766666666666666</v>
      </c>
      <c r="AI989" s="100" t="n">
        <f aca="false">IFERROR(O989/K989,0)</f>
        <v>375.4</v>
      </c>
      <c r="AJ989" s="101" t="n">
        <f aca="false">VLOOKUP(D989,'Standard Cycle time'!C:D,2,0)</f>
        <v>32.4</v>
      </c>
      <c r="AK989" s="101" t="n">
        <f aca="false">AG989*V989*3600/O989</f>
        <v>29.4086307938199</v>
      </c>
      <c r="AL989" s="102" t="n">
        <f aca="false">AJ989/AK989</f>
        <v>1.10171739130435</v>
      </c>
      <c r="AM989" s="99" t="n">
        <f aca="false">AE989*AL989*AH989</f>
        <v>0.835744886663152</v>
      </c>
      <c r="AN989" s="103" t="n">
        <v>0.835744886663152</v>
      </c>
      <c r="AO989" s="112" t="s">
        <v>1772</v>
      </c>
      <c r="AP989" s="105" t="n">
        <v>0</v>
      </c>
      <c r="AQ989" s="105" t="n">
        <v>70</v>
      </c>
      <c r="AR989" s="105" t="n">
        <v>0</v>
      </c>
      <c r="AS989" s="105" t="n">
        <v>0</v>
      </c>
      <c r="AT989" s="105" t="n">
        <v>0</v>
      </c>
      <c r="AU989" s="105" t="n">
        <v>0</v>
      </c>
      <c r="AV989" s="105" t="n">
        <v>0</v>
      </c>
      <c r="AW989" s="105" t="n">
        <v>0</v>
      </c>
      <c r="AX989" s="105" t="n">
        <v>0</v>
      </c>
      <c r="AY989" s="105" t="n">
        <v>0</v>
      </c>
      <c r="AZ989" s="105" t="n">
        <v>0</v>
      </c>
      <c r="BA989" s="105" t="n">
        <v>0</v>
      </c>
      <c r="BB989" s="105" t="n">
        <v>0</v>
      </c>
      <c r="BC989" s="105" t="n">
        <v>0</v>
      </c>
      <c r="BD989" s="105" t="n">
        <v>0</v>
      </c>
      <c r="BE989" s="105" t="n">
        <v>0</v>
      </c>
      <c r="BF989" s="105" t="n">
        <v>0</v>
      </c>
      <c r="BG989" s="105" t="n">
        <v>0</v>
      </c>
      <c r="BH989" s="105" t="n">
        <v>0</v>
      </c>
      <c r="BI989" s="105" t="n">
        <v>0</v>
      </c>
      <c r="BJ989" s="105" t="n">
        <v>0</v>
      </c>
      <c r="BK989" s="105" t="n">
        <v>0</v>
      </c>
      <c r="BL989" s="105" t="n">
        <v>0</v>
      </c>
      <c r="BM989" s="105" t="n">
        <v>0</v>
      </c>
      <c r="BN989" s="105" t="n">
        <v>0</v>
      </c>
      <c r="BO989" s="105" t="n">
        <v>0</v>
      </c>
      <c r="BP989" s="105" t="n">
        <v>0</v>
      </c>
      <c r="BQ989" s="105" t="n">
        <v>0</v>
      </c>
      <c r="BR989" s="106" t="n">
        <v>1.16666666666667</v>
      </c>
      <c r="BS989" s="106" t="n">
        <v>1.16666666666667</v>
      </c>
      <c r="BT989" s="107"/>
      <c r="BU989" s="107"/>
      <c r="BV989" s="107"/>
      <c r="BW989" s="107"/>
      <c r="BX989" s="107"/>
      <c r="BY989" s="107"/>
      <c r="BZ989" s="107"/>
      <c r="CA989" s="107"/>
      <c r="CB989" s="107"/>
      <c r="CC989" s="107"/>
      <c r="CD989" s="107"/>
      <c r="CE989" s="107"/>
      <c r="CF989" s="107"/>
      <c r="CG989" s="107"/>
      <c r="CH989" s="107"/>
      <c r="CI989" s="107"/>
      <c r="CJ989" s="107"/>
      <c r="CK989" s="107"/>
      <c r="CL989" s="107"/>
      <c r="CM989" s="107"/>
      <c r="CN989" s="107"/>
      <c r="CO989" s="107"/>
      <c r="CP989" s="107"/>
      <c r="CQ989" s="107"/>
      <c r="CR989" s="107"/>
      <c r="CS989" s="107"/>
      <c r="CT989" s="107"/>
      <c r="CU989" s="107"/>
      <c r="CV989" s="107"/>
    </row>
    <row r="990" customFormat="false" ht="14.9" hidden="false" customHeight="false" outlineLevel="0" collapsed="false">
      <c r="A990" s="74" t="n">
        <f aca="false">MONTH(B990)</f>
        <v>10</v>
      </c>
      <c r="B990" s="135" t="n">
        <v>44490</v>
      </c>
      <c r="C990" s="128" t="s">
        <v>51</v>
      </c>
      <c r="D990" s="77" t="str">
        <f aca="false">IFERROR(VLOOKUP(E:E,'Item Data Support Sheet'!A:O,7,0),"")</f>
        <v>BOTTLE PRINTED</v>
      </c>
      <c r="E990" s="80" t="s">
        <v>65</v>
      </c>
      <c r="F990" s="122"/>
      <c r="G990" s="137"/>
      <c r="H990" s="79" t="str">
        <f aca="false">IFERROR(VLOOKUP(E:E,'Item Data Support Sheet'!A:O,2,0),"")</f>
        <v>KPP 240 ML BOTTLE PRINTED</v>
      </c>
      <c r="I990" s="80" t="s">
        <v>1773</v>
      </c>
      <c r="J990" s="80" t="s">
        <v>161</v>
      </c>
      <c r="K990" s="124" t="n">
        <v>3</v>
      </c>
      <c r="L990" s="124" t="n">
        <v>1920</v>
      </c>
      <c r="M990" s="83" t="n">
        <v>640</v>
      </c>
      <c r="N990" s="84" t="n">
        <f aca="false">+O990+Q990+T990+U990</f>
        <v>1087</v>
      </c>
      <c r="O990" s="85" t="n">
        <v>1080</v>
      </c>
      <c r="P990" s="86" t="n">
        <v>0</v>
      </c>
      <c r="Q990" s="86" t="n">
        <v>0</v>
      </c>
      <c r="R990" s="132" t="n">
        <v>12</v>
      </c>
      <c r="S990" s="128" t="n">
        <v>0</v>
      </c>
      <c r="T990" s="132" t="n">
        <v>7</v>
      </c>
      <c r="U990" s="128" t="n">
        <v>0</v>
      </c>
      <c r="V990" s="128" t="n">
        <v>5</v>
      </c>
      <c r="W990" s="90" t="n">
        <f aca="false">IFERROR(O990/V990,0)</f>
        <v>216</v>
      </c>
      <c r="X990" s="91" t="n">
        <f aca="false">O990/L990</f>
        <v>0.5625</v>
      </c>
      <c r="Y990" s="92" t="str">
        <f aca="false">IFERROR(VLOOKUP(E:E,'Item Data Support Sheet'!A:J,6,0),0)</f>
        <v>FO003</v>
      </c>
      <c r="Z990" s="93" t="n">
        <f aca="false">IFERROR(VLOOKUP(E:E,'Item Data Support Sheet'!A:O,4,0),0)</f>
        <v>0</v>
      </c>
      <c r="AA990" s="93" t="n">
        <f aca="false">IFERROR(((N990)*(Z990/1000))+P990,0)</f>
        <v>0</v>
      </c>
      <c r="AB990" s="94" t="str">
        <f aca="false">IFERROR((O990*(Z990/1000)/(AA990))," ")</f>
        <v> </v>
      </c>
      <c r="AC990" s="95" t="n">
        <f aca="false">IFERROR((T990)/((T990)+O990),0)</f>
        <v>0.00643974241030359</v>
      </c>
      <c r="AD990" s="96" t="n">
        <f aca="false">IFERROR(Q990/(Q990+N990),0)</f>
        <v>0</v>
      </c>
      <c r="AE990" s="91" t="n">
        <f aca="false">(N990-T990)/N990</f>
        <v>0.993560257589696</v>
      </c>
      <c r="AF990" s="97" t="n">
        <f aca="false">BR990</f>
        <v>1</v>
      </c>
      <c r="AG990" s="98" t="n">
        <f aca="false">K990-AF990</f>
        <v>2</v>
      </c>
      <c r="AH990" s="99" t="n">
        <f aca="false">IFERROR(AG990/K990," ")</f>
        <v>0.666666666666667</v>
      </c>
      <c r="AI990" s="100" t="n">
        <f aca="false">IFERROR(O990/K990,0)</f>
        <v>360</v>
      </c>
      <c r="AJ990" s="101" t="n">
        <f aca="false">VLOOKUP(D990,'Standard Cycle time'!C:D,2,0)</f>
        <v>32.4</v>
      </c>
      <c r="AK990" s="101" t="n">
        <f aca="false">AG990*V990*3600/O990</f>
        <v>33.3333333333333</v>
      </c>
      <c r="AL990" s="102" t="n">
        <f aca="false">AJ990/AK990</f>
        <v>0.972</v>
      </c>
      <c r="AM990" s="99" t="n">
        <f aca="false">AE990*AL990*AH990</f>
        <v>0.643827046918123</v>
      </c>
      <c r="AN990" s="103" t="n">
        <v>0.643827046918123</v>
      </c>
      <c r="AO990" s="112" t="s">
        <v>1774</v>
      </c>
      <c r="AP990" s="105" t="n">
        <v>40</v>
      </c>
      <c r="AQ990" s="105" t="n">
        <v>0</v>
      </c>
      <c r="AR990" s="105" t="n">
        <v>0</v>
      </c>
      <c r="AS990" s="105" t="n">
        <v>0</v>
      </c>
      <c r="AT990" s="105" t="n">
        <v>0</v>
      </c>
      <c r="AU990" s="105" t="n">
        <v>0</v>
      </c>
      <c r="AV990" s="105" t="n">
        <v>20</v>
      </c>
      <c r="AW990" s="105" t="n">
        <v>0</v>
      </c>
      <c r="AX990" s="105" t="n">
        <v>0</v>
      </c>
      <c r="AY990" s="105" t="n">
        <v>0</v>
      </c>
      <c r="AZ990" s="105" t="n">
        <v>0</v>
      </c>
      <c r="BA990" s="105" t="n">
        <v>0</v>
      </c>
      <c r="BB990" s="105" t="n">
        <v>0</v>
      </c>
      <c r="BC990" s="105" t="n">
        <v>0</v>
      </c>
      <c r="BD990" s="105" t="n">
        <v>0</v>
      </c>
      <c r="BE990" s="105" t="n">
        <v>0</v>
      </c>
      <c r="BF990" s="105" t="n">
        <v>0</v>
      </c>
      <c r="BG990" s="105" t="n">
        <v>0</v>
      </c>
      <c r="BH990" s="105" t="n">
        <v>0</v>
      </c>
      <c r="BI990" s="105" t="n">
        <v>0</v>
      </c>
      <c r="BJ990" s="105" t="n">
        <v>0</v>
      </c>
      <c r="BK990" s="105" t="n">
        <v>0</v>
      </c>
      <c r="BL990" s="105" t="n">
        <v>0</v>
      </c>
      <c r="BM990" s="105" t="n">
        <v>0</v>
      </c>
      <c r="BN990" s="105" t="n">
        <v>0</v>
      </c>
      <c r="BO990" s="105" t="n">
        <v>0</v>
      </c>
      <c r="BP990" s="105" t="n">
        <v>0</v>
      </c>
      <c r="BQ990" s="105" t="n">
        <v>0</v>
      </c>
      <c r="BR990" s="106" t="n">
        <v>1</v>
      </c>
      <c r="BS990" s="106" t="n">
        <v>1</v>
      </c>
      <c r="BT990" s="107"/>
      <c r="BU990" s="107"/>
      <c r="BV990" s="107"/>
      <c r="BW990" s="107"/>
      <c r="BX990" s="107"/>
      <c r="BY990" s="107"/>
      <c r="BZ990" s="107"/>
      <c r="CA990" s="107"/>
      <c r="CB990" s="107"/>
      <c r="CC990" s="107"/>
      <c r="CD990" s="107"/>
      <c r="CE990" s="107"/>
      <c r="CF990" s="107"/>
      <c r="CG990" s="107"/>
      <c r="CH990" s="107"/>
      <c r="CI990" s="107"/>
      <c r="CJ990" s="107"/>
      <c r="CK990" s="107"/>
      <c r="CL990" s="107"/>
      <c r="CM990" s="107"/>
      <c r="CN990" s="107"/>
      <c r="CO990" s="107"/>
      <c r="CP990" s="107"/>
      <c r="CQ990" s="107"/>
      <c r="CR990" s="107"/>
      <c r="CS990" s="107"/>
      <c r="CT990" s="107"/>
      <c r="CU990" s="107"/>
      <c r="CV990" s="107"/>
    </row>
    <row r="991" customFormat="false" ht="14.9" hidden="false" customHeight="false" outlineLevel="0" collapsed="false">
      <c r="A991" s="74" t="n">
        <f aca="false">MONTH(B991)</f>
        <v>10</v>
      </c>
      <c r="B991" s="135" t="n">
        <v>44490</v>
      </c>
      <c r="C991" s="128" t="s">
        <v>63</v>
      </c>
      <c r="D991" s="77" t="str">
        <f aca="false">IFERROR(VLOOKUP(E:E,'Item Data Support Sheet'!A:O,7,0),"")</f>
        <v>NIPPLE PUNCH INSPECTED</v>
      </c>
      <c r="E991" s="80" t="s">
        <v>182</v>
      </c>
      <c r="F991" s="122"/>
      <c r="G991" s="137"/>
      <c r="H991" s="79" t="str">
        <f aca="false">IFERROR(VLOOKUP(E:E,'Item Data Support Sheet'!A:O,2,0),"")</f>
        <v>NIPPLE S TYPE M SIZE PUNCHED INSPECTED</v>
      </c>
      <c r="I991" s="80" t="s">
        <v>1755</v>
      </c>
      <c r="J991" s="80" t="s">
        <v>155</v>
      </c>
      <c r="K991" s="124" t="n">
        <v>8</v>
      </c>
      <c r="L991" s="124" t="n">
        <v>14137</v>
      </c>
      <c r="M991" s="83" t="n">
        <v>1767.125</v>
      </c>
      <c r="N991" s="84" t="n">
        <f aca="false">+O991+Q991+T991+U991</f>
        <v>13450</v>
      </c>
      <c r="O991" s="85" t="n">
        <v>13243</v>
      </c>
      <c r="P991" s="86" t="n">
        <v>0</v>
      </c>
      <c r="Q991" s="86" t="n">
        <v>0</v>
      </c>
      <c r="R991" s="132" t="n">
        <v>0</v>
      </c>
      <c r="S991" s="128" t="n">
        <v>0</v>
      </c>
      <c r="T991" s="132" t="n">
        <v>207</v>
      </c>
      <c r="U991" s="128" t="n">
        <v>0</v>
      </c>
      <c r="V991" s="128" t="n">
        <v>1</v>
      </c>
      <c r="W991" s="90" t="n">
        <f aca="false">IFERROR(O991/V991,0)</f>
        <v>13243</v>
      </c>
      <c r="X991" s="91" t="n">
        <f aca="false">O991/L991</f>
        <v>0.93676168918441</v>
      </c>
      <c r="Y991" s="92" t="str">
        <f aca="false">IFERROR(VLOOKUP(E:E,'Item Data Support Sheet'!A:J,6,0),0)</f>
        <v>FO105</v>
      </c>
      <c r="Z991" s="93" t="n">
        <f aca="false">IFERROR(VLOOKUP(E:E,'Item Data Support Sheet'!A:O,4,0),0)</f>
        <v>0</v>
      </c>
      <c r="AA991" s="93" t="n">
        <f aca="false">IFERROR(((N991)*(Z991/1000))+P991,0)</f>
        <v>0</v>
      </c>
      <c r="AB991" s="94" t="str">
        <f aca="false">IFERROR((O991*(Z991/1000)/(AA991))," ")</f>
        <v> </v>
      </c>
      <c r="AC991" s="95" t="n">
        <f aca="false">IFERROR((T991)/((T991)+O991),0)</f>
        <v>0.0153903345724907</v>
      </c>
      <c r="AD991" s="96" t="n">
        <f aca="false">IFERROR(Q991/(Q991+N991),0)</f>
        <v>0</v>
      </c>
      <c r="AE991" s="91" t="n">
        <f aca="false">(N991-T991)/N991</f>
        <v>0.984609665427509</v>
      </c>
      <c r="AF991" s="97" t="n">
        <f aca="false">BR991</f>
        <v>0.833333333333333</v>
      </c>
      <c r="AG991" s="98" t="n">
        <f aca="false">K991-AF991</f>
        <v>7.16666666666667</v>
      </c>
      <c r="AH991" s="99" t="n">
        <f aca="false">IFERROR(AG991/K991," ")</f>
        <v>0.895833333333333</v>
      </c>
      <c r="AI991" s="100" t="n">
        <f aca="false">IFERROR(O991/K991,0)</f>
        <v>1655.375</v>
      </c>
      <c r="AJ991" s="101" t="n">
        <f aca="false">VLOOKUP(D991,'Standard Cycle time'!C:D,2,0)</f>
        <v>4</v>
      </c>
      <c r="AK991" s="101" t="n">
        <f aca="false">AG991*V991*3600/O991</f>
        <v>1.94819904855395</v>
      </c>
      <c r="AL991" s="102" t="n">
        <f aca="false">AJ991/AK991</f>
        <v>2.05317829457364</v>
      </c>
      <c r="AM991" s="99" t="n">
        <f aca="false">AE991*AL991*AH991</f>
        <v>1.81099802767451</v>
      </c>
      <c r="AN991" s="103" t="n">
        <v>1.81099802767451</v>
      </c>
      <c r="AO991" s="112"/>
      <c r="AP991" s="105" t="n">
        <v>50</v>
      </c>
      <c r="AQ991" s="105" t="n">
        <v>0</v>
      </c>
      <c r="AR991" s="105" t="n">
        <v>0</v>
      </c>
      <c r="AS991" s="105" t="n">
        <v>0</v>
      </c>
      <c r="AT991" s="105" t="n">
        <v>0</v>
      </c>
      <c r="AU991" s="105" t="n">
        <v>0</v>
      </c>
      <c r="AV991" s="105" t="n">
        <v>0</v>
      </c>
      <c r="AW991" s="105" t="n">
        <v>0</v>
      </c>
      <c r="AX991" s="105" t="n">
        <v>0</v>
      </c>
      <c r="AY991" s="105" t="n">
        <v>0</v>
      </c>
      <c r="AZ991" s="105" t="n">
        <v>0</v>
      </c>
      <c r="BA991" s="105" t="n">
        <v>0</v>
      </c>
      <c r="BB991" s="105" t="n">
        <v>0</v>
      </c>
      <c r="BC991" s="105" t="n">
        <v>0</v>
      </c>
      <c r="BD991" s="105" t="n">
        <v>0</v>
      </c>
      <c r="BE991" s="105" t="n">
        <v>0</v>
      </c>
      <c r="BF991" s="105" t="n">
        <v>0</v>
      </c>
      <c r="BG991" s="105" t="n">
        <v>0</v>
      </c>
      <c r="BH991" s="105" t="n">
        <v>0</v>
      </c>
      <c r="BI991" s="105" t="n">
        <v>0</v>
      </c>
      <c r="BJ991" s="105" t="n">
        <v>0</v>
      </c>
      <c r="BK991" s="105" t="n">
        <v>0</v>
      </c>
      <c r="BL991" s="105" t="n">
        <v>0</v>
      </c>
      <c r="BM991" s="105" t="n">
        <v>0</v>
      </c>
      <c r="BN991" s="105" t="n">
        <v>0</v>
      </c>
      <c r="BO991" s="105" t="n">
        <v>0</v>
      </c>
      <c r="BP991" s="105" t="n">
        <v>0</v>
      </c>
      <c r="BQ991" s="105" t="n">
        <v>0</v>
      </c>
      <c r="BR991" s="106" t="n">
        <v>0.833333333333333</v>
      </c>
      <c r="BS991" s="106" t="n">
        <v>0.833333333333333</v>
      </c>
      <c r="BT991" s="107"/>
      <c r="BU991" s="107"/>
      <c r="BV991" s="107"/>
      <c r="BW991" s="107"/>
      <c r="BX991" s="107"/>
      <c r="BY991" s="107"/>
      <c r="BZ991" s="107"/>
      <c r="CA991" s="107"/>
      <c r="CB991" s="107"/>
      <c r="CC991" s="107"/>
      <c r="CD991" s="107"/>
      <c r="CE991" s="107"/>
      <c r="CF991" s="107"/>
      <c r="CG991" s="107"/>
      <c r="CH991" s="107"/>
      <c r="CI991" s="107"/>
      <c r="CJ991" s="107"/>
      <c r="CK991" s="107"/>
      <c r="CL991" s="107"/>
      <c r="CM991" s="107"/>
      <c r="CN991" s="107"/>
      <c r="CO991" s="107"/>
      <c r="CP991" s="107"/>
      <c r="CQ991" s="107"/>
      <c r="CR991" s="107"/>
      <c r="CS991" s="107"/>
      <c r="CT991" s="107"/>
      <c r="CU991" s="107"/>
      <c r="CV991" s="107"/>
    </row>
    <row r="992" customFormat="false" ht="14.9" hidden="false" customHeight="false" outlineLevel="0" collapsed="false">
      <c r="A992" s="74" t="n">
        <f aca="false">MONTH(B992)</f>
        <v>10</v>
      </c>
      <c r="B992" s="135" t="n">
        <v>44490</v>
      </c>
      <c r="C992" s="128" t="s">
        <v>70</v>
      </c>
      <c r="D992" s="77" t="str">
        <f aca="false">IFERROR(VLOOKUP(E:E,'Item Data Support Sheet'!A:O,7,0),"")</f>
        <v>NIPPLE PUNCH</v>
      </c>
      <c r="E992" s="80" t="s">
        <v>60</v>
      </c>
      <c r="F992" s="122"/>
      <c r="G992" s="137" t="s">
        <v>54</v>
      </c>
      <c r="H992" s="79" t="str">
        <f aca="false">IFERROR(VLOOKUP(E:E,'Item Data Support Sheet'!A:O,2,0),"")</f>
        <v>NIPPLE S TYPE M SIZE PUNCHED</v>
      </c>
      <c r="I992" s="80" t="s">
        <v>1775</v>
      </c>
      <c r="J992" s="80" t="s">
        <v>155</v>
      </c>
      <c r="K992" s="124" t="n">
        <v>8</v>
      </c>
      <c r="L992" s="124" t="n">
        <v>7000</v>
      </c>
      <c r="M992" s="83" t="n">
        <v>875</v>
      </c>
      <c r="N992" s="84" t="n">
        <f aca="false">+O992+Q992+T992+U992</f>
        <v>2760</v>
      </c>
      <c r="O992" s="85" t="n">
        <v>2760</v>
      </c>
      <c r="P992" s="86" t="n">
        <v>0</v>
      </c>
      <c r="Q992" s="86" t="n">
        <v>0</v>
      </c>
      <c r="R992" s="132" t="n">
        <v>0</v>
      </c>
      <c r="S992" s="128" t="n">
        <v>0</v>
      </c>
      <c r="T992" s="132" t="n">
        <v>0</v>
      </c>
      <c r="U992" s="128" t="n">
        <v>0</v>
      </c>
      <c r="V992" s="128" t="n">
        <v>1</v>
      </c>
      <c r="W992" s="90" t="n">
        <f aca="false">IFERROR(O992/V992,0)</f>
        <v>2760</v>
      </c>
      <c r="X992" s="91" t="n">
        <f aca="false">O992/L992</f>
        <v>0.394285714285714</v>
      </c>
      <c r="Y992" s="92" t="str">
        <f aca="false">IFERROR(VLOOKUP(E:E,'Item Data Support Sheet'!A:J,6,0),0)</f>
        <v>FO016</v>
      </c>
      <c r="Z992" s="93" t="n">
        <f aca="false">IFERROR(VLOOKUP(E:E,'Item Data Support Sheet'!A:O,4,0),0)</f>
        <v>0</v>
      </c>
      <c r="AA992" s="93" t="n">
        <f aca="false">IFERROR(((N992)*(Z992/1000))+P992,0)</f>
        <v>0</v>
      </c>
      <c r="AB992" s="94" t="str">
        <f aca="false">IFERROR((O992*(Z992/1000)/(AA992))," ")</f>
        <v> </v>
      </c>
      <c r="AC992" s="95" t="n">
        <f aca="false">IFERROR((T992)/((T992)+O992),0)</f>
        <v>0</v>
      </c>
      <c r="AD992" s="96" t="n">
        <f aca="false">IFERROR(Q992/(Q992+N992),0)</f>
        <v>0</v>
      </c>
      <c r="AE992" s="91" t="n">
        <f aca="false">(N992-T992)/N992</f>
        <v>1</v>
      </c>
      <c r="AF992" s="97" t="n">
        <f aca="false">BR992</f>
        <v>5.16666666666667</v>
      </c>
      <c r="AG992" s="98" t="n">
        <f aca="false">K992-AF992</f>
        <v>2.83333333333333</v>
      </c>
      <c r="AH992" s="99" t="n">
        <f aca="false">IFERROR(AG992/K992," ")</f>
        <v>0.354166666666666</v>
      </c>
      <c r="AI992" s="100" t="n">
        <f aca="false">IFERROR(O992/K992,0)</f>
        <v>345</v>
      </c>
      <c r="AJ992" s="101" t="n">
        <f aca="false">VLOOKUP(D992,'Standard Cycle time'!C:D,2,0)</f>
        <v>3.5</v>
      </c>
      <c r="AK992" s="101" t="n">
        <f aca="false">AG992*V992*3600/O992</f>
        <v>3.69565217391304</v>
      </c>
      <c r="AL992" s="102" t="n">
        <f aca="false">AJ992/AK992</f>
        <v>0.947058823529413</v>
      </c>
      <c r="AM992" s="99" t="n">
        <f aca="false">AE992*AL992*AH992</f>
        <v>0.335416666666667</v>
      </c>
      <c r="AN992" s="103" t="n">
        <v>0.335416666666667</v>
      </c>
      <c r="AO992" s="112" t="s">
        <v>1776</v>
      </c>
      <c r="AP992" s="105" t="n">
        <v>40</v>
      </c>
      <c r="AQ992" s="105" t="n">
        <v>0</v>
      </c>
      <c r="AR992" s="105" t="n">
        <v>0</v>
      </c>
      <c r="AS992" s="105" t="n">
        <v>240</v>
      </c>
      <c r="AT992" s="105" t="n">
        <v>0</v>
      </c>
      <c r="AU992" s="105" t="n">
        <v>0</v>
      </c>
      <c r="AV992" s="105" t="n">
        <v>0</v>
      </c>
      <c r="AW992" s="105" t="n">
        <v>0</v>
      </c>
      <c r="AX992" s="105" t="n">
        <v>0</v>
      </c>
      <c r="AY992" s="105" t="n">
        <v>0</v>
      </c>
      <c r="AZ992" s="105" t="n">
        <v>0</v>
      </c>
      <c r="BA992" s="105" t="n">
        <v>0</v>
      </c>
      <c r="BB992" s="105" t="n">
        <v>0</v>
      </c>
      <c r="BC992" s="105" t="n">
        <v>0</v>
      </c>
      <c r="BD992" s="105" t="n">
        <v>0</v>
      </c>
      <c r="BE992" s="105" t="n">
        <v>0</v>
      </c>
      <c r="BF992" s="105" t="n">
        <v>30</v>
      </c>
      <c r="BG992" s="105" t="n">
        <v>0</v>
      </c>
      <c r="BH992" s="105" t="n">
        <v>0</v>
      </c>
      <c r="BI992" s="105" t="n">
        <v>0</v>
      </c>
      <c r="BJ992" s="105" t="n">
        <v>0</v>
      </c>
      <c r="BK992" s="105" t="n">
        <v>0</v>
      </c>
      <c r="BL992" s="105" t="n">
        <v>0</v>
      </c>
      <c r="BM992" s="105" t="n">
        <v>0</v>
      </c>
      <c r="BN992" s="105" t="n">
        <v>0</v>
      </c>
      <c r="BO992" s="105" t="n">
        <v>0</v>
      </c>
      <c r="BP992" s="105" t="n">
        <v>0</v>
      </c>
      <c r="BQ992" s="105" t="n">
        <v>0</v>
      </c>
      <c r="BR992" s="106" t="n">
        <v>5.16666666666667</v>
      </c>
      <c r="BS992" s="106" t="n">
        <v>5.16666666666667</v>
      </c>
      <c r="BT992" s="107"/>
      <c r="BU992" s="107"/>
      <c r="BV992" s="107"/>
      <c r="BW992" s="107"/>
      <c r="BX992" s="107"/>
      <c r="BY992" s="107"/>
      <c r="BZ992" s="107"/>
      <c r="CA992" s="107"/>
      <c r="CB992" s="107"/>
      <c r="CC992" s="107"/>
      <c r="CD992" s="107"/>
      <c r="CE992" s="107"/>
      <c r="CF992" s="107"/>
      <c r="CG992" s="107"/>
      <c r="CH992" s="107"/>
      <c r="CI992" s="107"/>
      <c r="CJ992" s="107"/>
      <c r="CK992" s="107"/>
      <c r="CL992" s="107"/>
      <c r="CM992" s="107"/>
      <c r="CN992" s="107"/>
      <c r="CO992" s="107"/>
      <c r="CP992" s="107"/>
      <c r="CQ992" s="107"/>
      <c r="CR992" s="107"/>
      <c r="CS992" s="107"/>
      <c r="CT992" s="107"/>
      <c r="CU992" s="107"/>
      <c r="CV992" s="107"/>
    </row>
    <row r="993" customFormat="false" ht="14.9" hidden="false" customHeight="false" outlineLevel="0" collapsed="false">
      <c r="A993" s="74" t="n">
        <f aca="false">MONTH(B993)</f>
        <v>10</v>
      </c>
      <c r="B993" s="135" t="n">
        <v>44490</v>
      </c>
      <c r="C993" s="128" t="s">
        <v>70</v>
      </c>
      <c r="D993" s="77" t="str">
        <f aca="false">IFERROR(VLOOKUP(E:E,'Item Data Support Sheet'!A:O,7,0),"")</f>
        <v>NIPPLE LASER MARKING</v>
      </c>
      <c r="E993" s="80" t="s">
        <v>932</v>
      </c>
      <c r="F993" s="122"/>
      <c r="G993" s="137" t="s">
        <v>517</v>
      </c>
      <c r="H993" s="79" t="str">
        <f aca="false">IFERROR(VLOOKUP(E:E,'Item Data Support Sheet'!A:O,2,0),"")</f>
        <v>NIPPLE S TYPE M SIZE PUNCHED LASER MARKED</v>
      </c>
      <c r="I993" s="80"/>
      <c r="J993" s="80" t="s">
        <v>155</v>
      </c>
      <c r="K993" s="124" t="n">
        <v>8</v>
      </c>
      <c r="L993" s="124" t="n">
        <v>7000</v>
      </c>
      <c r="M993" s="83" t="n">
        <v>875</v>
      </c>
      <c r="N993" s="84" t="n">
        <f aca="false">+O993+Q993+T993+U993</f>
        <v>4760</v>
      </c>
      <c r="O993" s="85" t="n">
        <v>4760</v>
      </c>
      <c r="P993" s="86" t="n">
        <v>0</v>
      </c>
      <c r="Q993" s="86" t="n">
        <v>0</v>
      </c>
      <c r="R993" s="132" t="n">
        <v>0</v>
      </c>
      <c r="S993" s="128" t="n">
        <v>0</v>
      </c>
      <c r="T993" s="132" t="n">
        <v>0</v>
      </c>
      <c r="U993" s="128" t="n">
        <v>0</v>
      </c>
      <c r="V993" s="128" t="n">
        <v>1</v>
      </c>
      <c r="W993" s="90" t="n">
        <f aca="false">IFERROR(O993/V993,0)</f>
        <v>4760</v>
      </c>
      <c r="X993" s="91" t="n">
        <f aca="false">O993/L993</f>
        <v>0.68</v>
      </c>
      <c r="Y993" s="92" t="str">
        <f aca="false">IFERROR(VLOOKUP(E:E,'Item Data Support Sheet'!A:J,6,0),0)</f>
        <v>FO020</v>
      </c>
      <c r="Z993" s="93" t="n">
        <f aca="false">IFERROR(VLOOKUP(E:E,'Item Data Support Sheet'!A:O,4,0),0)</f>
        <v>0</v>
      </c>
      <c r="AA993" s="93" t="n">
        <f aca="false">IFERROR(((N993)*(Z993/1000))+P993,0)</f>
        <v>0</v>
      </c>
      <c r="AB993" s="94" t="str">
        <f aca="false">IFERROR((O993*(Z993/1000)/(AA993))," ")</f>
        <v> </v>
      </c>
      <c r="AC993" s="95" t="n">
        <f aca="false">IFERROR((T993)/((T993)+O993),0)</f>
        <v>0</v>
      </c>
      <c r="AD993" s="96" t="n">
        <f aca="false">IFERROR(Q993/(Q993+N993),0)</f>
        <v>0</v>
      </c>
      <c r="AE993" s="91" t="n">
        <f aca="false">(N993-T993)/N993</f>
        <v>1</v>
      </c>
      <c r="AF993" s="97" t="n">
        <f aca="false">BR993</f>
        <v>1.66666666666667</v>
      </c>
      <c r="AG993" s="98" t="n">
        <f aca="false">K993-AF993</f>
        <v>6.33333333333333</v>
      </c>
      <c r="AH993" s="99" t="n">
        <f aca="false">IFERROR(AG993/K993," ")</f>
        <v>0.791666666666666</v>
      </c>
      <c r="AI993" s="100" t="n">
        <f aca="false">IFERROR(O993/K993,0)</f>
        <v>595</v>
      </c>
      <c r="AJ993" s="101" t="n">
        <f aca="false">VLOOKUP(D993,'Standard Cycle time'!C:D,2,0)</f>
        <v>3.5</v>
      </c>
      <c r="AK993" s="101" t="n">
        <f aca="false">AG993*V993*3600/O993</f>
        <v>4.78991596638655</v>
      </c>
      <c r="AL993" s="102" t="n">
        <f aca="false">AJ993/AK993</f>
        <v>0.730701754385965</v>
      </c>
      <c r="AM993" s="99" t="n">
        <f aca="false">AE993*AL993*AH993</f>
        <v>0.578472222222222</v>
      </c>
      <c r="AN993" s="103" t="n">
        <v>0.578472222222222</v>
      </c>
      <c r="AO993" s="112" t="s">
        <v>755</v>
      </c>
      <c r="AP993" s="105" t="n">
        <v>40</v>
      </c>
      <c r="AQ993" s="105" t="n">
        <v>0</v>
      </c>
      <c r="AR993" s="105" t="n">
        <v>0</v>
      </c>
      <c r="AS993" s="105" t="n">
        <v>0</v>
      </c>
      <c r="AT993" s="105" t="n">
        <v>0</v>
      </c>
      <c r="AU993" s="105" t="n">
        <v>0</v>
      </c>
      <c r="AV993" s="105" t="n">
        <v>30</v>
      </c>
      <c r="AW993" s="105" t="n">
        <v>30</v>
      </c>
      <c r="AX993" s="105" t="n">
        <v>0</v>
      </c>
      <c r="AY993" s="105" t="n">
        <v>0</v>
      </c>
      <c r="AZ993" s="105" t="n">
        <v>0</v>
      </c>
      <c r="BA993" s="105" t="n">
        <v>0</v>
      </c>
      <c r="BB993" s="105" t="n">
        <v>0</v>
      </c>
      <c r="BC993" s="105" t="n">
        <v>0</v>
      </c>
      <c r="BD993" s="105" t="n">
        <v>0</v>
      </c>
      <c r="BE993" s="105" t="n">
        <v>0</v>
      </c>
      <c r="BF993" s="105" t="n">
        <v>0</v>
      </c>
      <c r="BG993" s="105" t="n">
        <v>0</v>
      </c>
      <c r="BH993" s="105" t="n">
        <v>0</v>
      </c>
      <c r="BI993" s="105" t="n">
        <v>0</v>
      </c>
      <c r="BJ993" s="105" t="n">
        <v>0</v>
      </c>
      <c r="BK993" s="105" t="n">
        <v>0</v>
      </c>
      <c r="BL993" s="105" t="n">
        <v>0</v>
      </c>
      <c r="BM993" s="105" t="n">
        <v>0</v>
      </c>
      <c r="BN993" s="105" t="n">
        <v>0</v>
      </c>
      <c r="BO993" s="105" t="n">
        <v>0</v>
      </c>
      <c r="BP993" s="105" t="n">
        <v>0</v>
      </c>
      <c r="BQ993" s="105" t="n">
        <v>0</v>
      </c>
      <c r="BR993" s="106" t="n">
        <v>1.66666666666667</v>
      </c>
      <c r="BS993" s="106" t="n">
        <v>1.66666666666667</v>
      </c>
      <c r="BT993" s="107"/>
      <c r="BU993" s="107"/>
      <c r="BV993" s="107"/>
      <c r="BW993" s="107"/>
      <c r="BX993" s="107"/>
      <c r="BY993" s="107"/>
      <c r="BZ993" s="107"/>
      <c r="CA993" s="107"/>
      <c r="CB993" s="107"/>
      <c r="CC993" s="107"/>
      <c r="CD993" s="107"/>
      <c r="CE993" s="107"/>
      <c r="CF993" s="107"/>
      <c r="CG993" s="107"/>
      <c r="CH993" s="107"/>
      <c r="CI993" s="107"/>
      <c r="CJ993" s="107"/>
      <c r="CK993" s="107"/>
      <c r="CL993" s="107"/>
      <c r="CM993" s="107"/>
      <c r="CN993" s="107"/>
      <c r="CO993" s="107"/>
      <c r="CP993" s="107"/>
      <c r="CQ993" s="107"/>
      <c r="CR993" s="107"/>
      <c r="CS993" s="107"/>
      <c r="CT993" s="107"/>
      <c r="CU993" s="107"/>
      <c r="CV993" s="107"/>
    </row>
    <row r="994" customFormat="false" ht="14.9" hidden="false" customHeight="false" outlineLevel="0" collapsed="false">
      <c r="A994" s="74" t="n">
        <f aca="false">MONTH(B994)</f>
        <v>10</v>
      </c>
      <c r="B994" s="135" t="n">
        <v>44490</v>
      </c>
      <c r="C994" s="128" t="s">
        <v>70</v>
      </c>
      <c r="D994" s="77" t="str">
        <f aca="false">IFERROR(VLOOKUP(E:E,'Item Data Support Sheet'!A:O,7,0),"")</f>
        <v>BOTTLE MOLDED</v>
      </c>
      <c r="E994" s="80" t="s">
        <v>69</v>
      </c>
      <c r="F994" s="122" t="s">
        <v>73</v>
      </c>
      <c r="G994" s="137" t="s">
        <v>74</v>
      </c>
      <c r="H994" s="79" t="str">
        <f aca="false">IFERROR(VLOOKUP(E:E,'Item Data Support Sheet'!A:O,2,0),"")</f>
        <v>KPP 240 ML BOTTLE MOLDED</v>
      </c>
      <c r="I994" s="80" t="s">
        <v>1777</v>
      </c>
      <c r="J994" s="80" t="s">
        <v>155</v>
      </c>
      <c r="K994" s="124" t="n">
        <v>8</v>
      </c>
      <c r="L994" s="124" t="n">
        <v>2574</v>
      </c>
      <c r="M994" s="83" t="n">
        <v>321.75</v>
      </c>
      <c r="N994" s="84" t="n">
        <f aca="false">+O994+Q994+T994+U994</f>
        <v>3046</v>
      </c>
      <c r="O994" s="85" t="n">
        <v>2916</v>
      </c>
      <c r="P994" s="86" t="n">
        <v>0</v>
      </c>
      <c r="Q994" s="86" t="n">
        <v>50</v>
      </c>
      <c r="R994" s="132" t="n">
        <v>0</v>
      </c>
      <c r="S994" s="128" t="n">
        <v>0</v>
      </c>
      <c r="T994" s="132" t="n">
        <v>80</v>
      </c>
      <c r="U994" s="128" t="n">
        <v>0</v>
      </c>
      <c r="V994" s="128" t="n">
        <v>1</v>
      </c>
      <c r="W994" s="90" t="n">
        <f aca="false">IFERROR(O994/V994,0)</f>
        <v>2916</v>
      </c>
      <c r="X994" s="91" t="n">
        <f aca="false">O994/L994</f>
        <v>1.13286713286713</v>
      </c>
      <c r="Y994" s="92" t="str">
        <f aca="false">IFERROR(VLOOKUP(E:E,'Item Data Support Sheet'!A:J,6,0),0)</f>
        <v>HMC</v>
      </c>
      <c r="Z994" s="93" t="n">
        <f aca="false">IFERROR(VLOOKUP(E:E,'Item Data Support Sheet'!A:O,4,0),0)</f>
        <v>32.1</v>
      </c>
      <c r="AA994" s="93" t="n">
        <f aca="false">IFERROR(((N994)*(Z994/1000))+P994,0)</f>
        <v>97.7766</v>
      </c>
      <c r="AB994" s="94" t="n">
        <f aca="false">IFERROR((O994*(Z994/1000)/(AA994))," ")</f>
        <v>0.957321076822062</v>
      </c>
      <c r="AC994" s="95" t="n">
        <f aca="false">IFERROR((T994)/((T994)+O994),0)</f>
        <v>0.0267022696929239</v>
      </c>
      <c r="AD994" s="96" t="n">
        <f aca="false">IFERROR(Q994/(Q994+N994),0)</f>
        <v>0.0161498708010336</v>
      </c>
      <c r="AE994" s="91" t="n">
        <f aca="false">(N994-T994)/N994</f>
        <v>0.973736047275115</v>
      </c>
      <c r="AF994" s="97" t="n">
        <f aca="false">BR994</f>
        <v>0</v>
      </c>
      <c r="AG994" s="98" t="n">
        <f aca="false">K994-AF994</f>
        <v>8</v>
      </c>
      <c r="AH994" s="99" t="n">
        <f aca="false">IFERROR(AG994/K994," ")</f>
        <v>1</v>
      </c>
      <c r="AI994" s="100" t="n">
        <f aca="false">IFERROR(O994/K994,0)</f>
        <v>364.5</v>
      </c>
      <c r="AJ994" s="101" t="n">
        <f aca="false">VLOOKUP(D994,'Standard Cycle time'!C:D,2,0)</f>
        <v>9</v>
      </c>
      <c r="AK994" s="101" t="n">
        <f aca="false">AG994*V994*3600/O994</f>
        <v>9.87654320987654</v>
      </c>
      <c r="AL994" s="102" t="n">
        <f aca="false">AJ994/AK994</f>
        <v>0.91125</v>
      </c>
      <c r="AM994" s="99" t="n">
        <f aca="false">AE994*AL994*AH994</f>
        <v>0.887316973079448</v>
      </c>
      <c r="AN994" s="103" t="n">
        <v>0.887316973079448</v>
      </c>
      <c r="AO994" s="112"/>
      <c r="AP994" s="105" t="n">
        <v>0</v>
      </c>
      <c r="AQ994" s="105" t="n">
        <v>0</v>
      </c>
      <c r="AR994" s="105" t="n">
        <v>0</v>
      </c>
      <c r="AS994" s="105" t="n">
        <v>0</v>
      </c>
      <c r="AT994" s="105" t="n">
        <v>0</v>
      </c>
      <c r="AU994" s="105" t="n">
        <v>0</v>
      </c>
      <c r="AV994" s="105" t="n">
        <v>0</v>
      </c>
      <c r="AW994" s="105" t="n">
        <v>0</v>
      </c>
      <c r="AX994" s="105" t="n">
        <v>0</v>
      </c>
      <c r="AY994" s="105" t="n">
        <v>0</v>
      </c>
      <c r="AZ994" s="105" t="n">
        <v>0</v>
      </c>
      <c r="BA994" s="105" t="n">
        <v>0</v>
      </c>
      <c r="BB994" s="105" t="n">
        <v>0</v>
      </c>
      <c r="BC994" s="105" t="n">
        <v>0</v>
      </c>
      <c r="BD994" s="105" t="n">
        <v>0</v>
      </c>
      <c r="BE994" s="105" t="n">
        <v>0</v>
      </c>
      <c r="BF994" s="105" t="n">
        <v>0</v>
      </c>
      <c r="BG994" s="105" t="n">
        <v>0</v>
      </c>
      <c r="BH994" s="105" t="n">
        <v>0</v>
      </c>
      <c r="BI994" s="105" t="n">
        <v>0</v>
      </c>
      <c r="BJ994" s="105" t="n">
        <v>0</v>
      </c>
      <c r="BK994" s="105" t="n">
        <v>0</v>
      </c>
      <c r="BL994" s="105" t="n">
        <v>0</v>
      </c>
      <c r="BM994" s="105" t="n">
        <v>0</v>
      </c>
      <c r="BN994" s="105" t="n">
        <v>0</v>
      </c>
      <c r="BO994" s="105" t="n">
        <v>0</v>
      </c>
      <c r="BP994" s="105" t="n">
        <v>0</v>
      </c>
      <c r="BQ994" s="105" t="n">
        <v>0</v>
      </c>
      <c r="BR994" s="106" t="n">
        <v>0</v>
      </c>
      <c r="BS994" s="106" t="n">
        <v>0</v>
      </c>
      <c r="BT994" s="107"/>
      <c r="BU994" s="107"/>
      <c r="BV994" s="107"/>
      <c r="BW994" s="107"/>
      <c r="BX994" s="107"/>
      <c r="BY994" s="107"/>
      <c r="BZ994" s="107"/>
      <c r="CA994" s="107"/>
      <c r="CB994" s="107"/>
      <c r="CC994" s="107"/>
      <c r="CD994" s="107"/>
      <c r="CE994" s="107"/>
      <c r="CF994" s="107"/>
      <c r="CG994" s="107"/>
      <c r="CH994" s="107"/>
      <c r="CI994" s="107"/>
      <c r="CJ994" s="107"/>
      <c r="CK994" s="107"/>
      <c r="CL994" s="107"/>
      <c r="CM994" s="107"/>
      <c r="CN994" s="107"/>
      <c r="CO994" s="107"/>
      <c r="CP994" s="107"/>
      <c r="CQ994" s="107"/>
      <c r="CR994" s="107"/>
      <c r="CS994" s="107"/>
      <c r="CT994" s="107"/>
      <c r="CU994" s="107"/>
      <c r="CV994" s="107"/>
    </row>
    <row r="995" customFormat="false" ht="14.9" hidden="false" customHeight="false" outlineLevel="0" collapsed="false">
      <c r="A995" s="74" t="n">
        <f aca="false">MONTH(B995)</f>
        <v>10</v>
      </c>
      <c r="B995" s="135" t="n">
        <v>44490</v>
      </c>
      <c r="C995" s="128" t="s">
        <v>70</v>
      </c>
      <c r="D995" s="77" t="str">
        <f aca="false">IFERROR(VLOOKUP(E:E,'Item Data Support Sheet'!A:O,7,0),"")</f>
        <v>HOOD MOLDED</v>
      </c>
      <c r="E995" s="80" t="s">
        <v>529</v>
      </c>
      <c r="F995" s="122"/>
      <c r="G995" s="137" t="s">
        <v>740</v>
      </c>
      <c r="H995" s="79" t="str">
        <f aca="false">IFERROR(VLOOKUP(E:E,'Item Data Support Sheet'!A:O,2,0),"")</f>
        <v>HOOD S TYPE MOLDED</v>
      </c>
      <c r="I995" s="80" t="s">
        <v>1778</v>
      </c>
      <c r="J995" s="80" t="s">
        <v>155</v>
      </c>
      <c r="K995" s="124" t="n">
        <v>8</v>
      </c>
      <c r="L995" s="124" t="n">
        <v>4137</v>
      </c>
      <c r="M995" s="83" t="n">
        <v>517.125</v>
      </c>
      <c r="N995" s="84" t="n">
        <f aca="false">+O995+Q995+T995+U995</f>
        <v>3320</v>
      </c>
      <c r="O995" s="85" t="n">
        <v>3300</v>
      </c>
      <c r="P995" s="86" t="n">
        <v>0</v>
      </c>
      <c r="Q995" s="86" t="n">
        <v>0</v>
      </c>
      <c r="R995" s="132" t="n">
        <v>0</v>
      </c>
      <c r="S995" s="128" t="n">
        <v>0</v>
      </c>
      <c r="T995" s="132" t="n">
        <v>12</v>
      </c>
      <c r="U995" s="128" t="n">
        <v>8</v>
      </c>
      <c r="V995" s="128" t="n">
        <v>1</v>
      </c>
      <c r="W995" s="90" t="n">
        <f aca="false">IFERROR(O995/V995,0)</f>
        <v>3300</v>
      </c>
      <c r="X995" s="91" t="n">
        <f aca="false">O995/L995</f>
        <v>0.797679477882524</v>
      </c>
      <c r="Y995" s="92" t="str">
        <f aca="false">IFERROR(VLOOKUP(E:E,'Item Data Support Sheet'!A:J,6,0),0)</f>
        <v>HMC</v>
      </c>
      <c r="Z995" s="93" t="n">
        <f aca="false">IFERROR(VLOOKUP(E:E,'Item Data Support Sheet'!A:O,4,0),0)</f>
        <v>8.6</v>
      </c>
      <c r="AA995" s="93" t="n">
        <f aca="false">IFERROR(((N995)*(Z995/1000))+P995,0)</f>
        <v>28.552</v>
      </c>
      <c r="AB995" s="94" t="n">
        <f aca="false">IFERROR((O995*(Z995/1000)/(AA995))," ")</f>
        <v>0.993975903614458</v>
      </c>
      <c r="AC995" s="95" t="n">
        <f aca="false">IFERROR((T995)/((T995)+O995),0)</f>
        <v>0.0036231884057971</v>
      </c>
      <c r="AD995" s="96" t="n">
        <f aca="false">IFERROR(Q995/(Q995+N995),0)</f>
        <v>0</v>
      </c>
      <c r="AE995" s="91" t="n">
        <f aca="false">(N995-T995)/N995</f>
        <v>0.996385542168675</v>
      </c>
      <c r="AF995" s="97" t="n">
        <f aca="false">BR995</f>
        <v>2</v>
      </c>
      <c r="AG995" s="98" t="n">
        <f aca="false">K995-AF995</f>
        <v>6</v>
      </c>
      <c r="AH995" s="99" t="n">
        <f aca="false">IFERROR(AG995/K995," ")</f>
        <v>0.75</v>
      </c>
      <c r="AI995" s="100" t="n">
        <f aca="false">IFERROR(O995/K995,0)</f>
        <v>412.5</v>
      </c>
      <c r="AJ995" s="101" t="n">
        <f aca="false">VLOOKUP(D995,'Standard Cycle time'!C:D,2,0)</f>
        <v>6</v>
      </c>
      <c r="AK995" s="101" t="n">
        <f aca="false">AG995*V995*3600/O995</f>
        <v>6.54545454545455</v>
      </c>
      <c r="AL995" s="102" t="n">
        <f aca="false">AJ995/AK995</f>
        <v>0.916666666666667</v>
      </c>
      <c r="AM995" s="99" t="n">
        <f aca="false">AE995*AL995*AH995</f>
        <v>0.685015060240964</v>
      </c>
      <c r="AN995" s="103" t="n">
        <v>0.685015060240964</v>
      </c>
      <c r="AO995" s="112"/>
      <c r="AP995" s="105" t="n">
        <v>0</v>
      </c>
      <c r="AQ995" s="105" t="n">
        <v>0</v>
      </c>
      <c r="AR995" s="105" t="n">
        <v>0</v>
      </c>
      <c r="AS995" s="105" t="n">
        <v>0</v>
      </c>
      <c r="AT995" s="105" t="n">
        <v>0</v>
      </c>
      <c r="AU995" s="105" t="n">
        <v>0</v>
      </c>
      <c r="AV995" s="105" t="n">
        <v>30</v>
      </c>
      <c r="AW995" s="105" t="n">
        <v>30</v>
      </c>
      <c r="AX995" s="105" t="n">
        <v>0</v>
      </c>
      <c r="AY995" s="105" t="n">
        <v>0</v>
      </c>
      <c r="AZ995" s="105" t="n">
        <v>30</v>
      </c>
      <c r="BA995" s="105" t="n">
        <v>0</v>
      </c>
      <c r="BB995" s="105" t="n">
        <v>30</v>
      </c>
      <c r="BC995" s="105" t="n">
        <v>0</v>
      </c>
      <c r="BD995" s="105" t="n">
        <v>0</v>
      </c>
      <c r="BE995" s="105" t="n">
        <v>0</v>
      </c>
      <c r="BF995" s="105" t="n">
        <v>0</v>
      </c>
      <c r="BG995" s="105" t="n">
        <v>0</v>
      </c>
      <c r="BH995" s="105" t="n">
        <v>0</v>
      </c>
      <c r="BI995" s="105" t="n">
        <v>0</v>
      </c>
      <c r="BJ995" s="105" t="n">
        <v>0</v>
      </c>
      <c r="BK995" s="105" t="n">
        <v>0</v>
      </c>
      <c r="BL995" s="105" t="n">
        <v>0</v>
      </c>
      <c r="BM995" s="105" t="n">
        <v>0</v>
      </c>
      <c r="BN995" s="105" t="n">
        <v>0</v>
      </c>
      <c r="BO995" s="105" t="n">
        <v>0</v>
      </c>
      <c r="BP995" s="105" t="n">
        <v>0</v>
      </c>
      <c r="BQ995" s="105" t="n">
        <v>0</v>
      </c>
      <c r="BR995" s="106" t="n">
        <v>2</v>
      </c>
      <c r="BS995" s="106" t="n">
        <v>2</v>
      </c>
      <c r="BT995" s="107"/>
      <c r="BU995" s="107"/>
      <c r="BV995" s="107"/>
      <c r="BW995" s="107"/>
      <c r="BX995" s="107"/>
      <c r="BY995" s="107"/>
      <c r="BZ995" s="107"/>
      <c r="CA995" s="107"/>
      <c r="CB995" s="107"/>
      <c r="CC995" s="107"/>
      <c r="CD995" s="107"/>
      <c r="CE995" s="107"/>
      <c r="CF995" s="107"/>
      <c r="CG995" s="107"/>
      <c r="CH995" s="107"/>
      <c r="CI995" s="107"/>
      <c r="CJ995" s="107"/>
      <c r="CK995" s="107"/>
      <c r="CL995" s="107"/>
      <c r="CM995" s="107"/>
      <c r="CN995" s="107"/>
      <c r="CO995" s="107"/>
      <c r="CP995" s="107"/>
      <c r="CQ995" s="107"/>
      <c r="CR995" s="107"/>
      <c r="CS995" s="107"/>
      <c r="CT995" s="107"/>
      <c r="CU995" s="107"/>
      <c r="CV995" s="107"/>
    </row>
    <row r="996" customFormat="false" ht="14.9" hidden="false" customHeight="false" outlineLevel="0" collapsed="false">
      <c r="A996" s="74" t="n">
        <f aca="false">MONTH(B996)</f>
        <v>10</v>
      </c>
      <c r="B996" s="135" t="n">
        <v>44490</v>
      </c>
      <c r="C996" s="128" t="s">
        <v>70</v>
      </c>
      <c r="D996" s="77" t="str">
        <f aca="false">IFERROR(VLOOKUP(E:E,'Item Data Support Sheet'!A:O,7,0),"")</f>
        <v>BOTTLE PRINTED</v>
      </c>
      <c r="E996" s="80" t="s">
        <v>65</v>
      </c>
      <c r="F996" s="122"/>
      <c r="G996" s="137"/>
      <c r="H996" s="79" t="str">
        <f aca="false">IFERROR(VLOOKUP(E:E,'Item Data Support Sheet'!A:O,2,0),"")</f>
        <v>KPP 240 ML BOTTLE PRINTED</v>
      </c>
      <c r="I996" s="80" t="s">
        <v>1779</v>
      </c>
      <c r="J996" s="80" t="s">
        <v>161</v>
      </c>
      <c r="K996" s="124" t="n">
        <v>8</v>
      </c>
      <c r="L996" s="124" t="n">
        <v>5100</v>
      </c>
      <c r="M996" s="83" t="n">
        <v>637.5</v>
      </c>
      <c r="N996" s="84" t="n">
        <f aca="false">+O996+Q996+T996+U996</f>
        <v>5207</v>
      </c>
      <c r="O996" s="85" t="n">
        <v>5184</v>
      </c>
      <c r="P996" s="86" t="n">
        <v>0</v>
      </c>
      <c r="Q996" s="86" t="n">
        <v>0</v>
      </c>
      <c r="R996" s="132" t="n">
        <v>43</v>
      </c>
      <c r="S996" s="128" t="n">
        <v>0</v>
      </c>
      <c r="T996" s="132" t="n">
        <v>23</v>
      </c>
      <c r="U996" s="128" t="n">
        <v>0</v>
      </c>
      <c r="V996" s="128" t="n">
        <v>5</v>
      </c>
      <c r="W996" s="90" t="n">
        <f aca="false">IFERROR(O996/V996,0)</f>
        <v>1036.8</v>
      </c>
      <c r="X996" s="91" t="n">
        <f aca="false">O996/L996</f>
        <v>1.01647058823529</v>
      </c>
      <c r="Y996" s="92" t="str">
        <f aca="false">IFERROR(VLOOKUP(E:E,'Item Data Support Sheet'!A:J,6,0),0)</f>
        <v>FO003</v>
      </c>
      <c r="Z996" s="93" t="n">
        <f aca="false">IFERROR(VLOOKUP(E:E,'Item Data Support Sheet'!A:O,4,0),0)</f>
        <v>0</v>
      </c>
      <c r="AA996" s="93" t="n">
        <f aca="false">IFERROR(((N996)*(Z996/1000))+P996,0)</f>
        <v>0</v>
      </c>
      <c r="AB996" s="94" t="str">
        <f aca="false">IFERROR((O996*(Z996/1000)/(AA996))," ")</f>
        <v> </v>
      </c>
      <c r="AC996" s="95" t="n">
        <f aca="false">IFERROR((T996)/((T996)+O996),0)</f>
        <v>0.00441713078548108</v>
      </c>
      <c r="AD996" s="96" t="n">
        <f aca="false">IFERROR(Q996/(Q996+N996),0)</f>
        <v>0</v>
      </c>
      <c r="AE996" s="91" t="n">
        <f aca="false">(N996-T996)/N996</f>
        <v>0.995582869214519</v>
      </c>
      <c r="AF996" s="97" t="n">
        <f aca="false">BR996</f>
        <v>0</v>
      </c>
      <c r="AG996" s="98" t="n">
        <f aca="false">K996-AF996</f>
        <v>8</v>
      </c>
      <c r="AH996" s="99" t="n">
        <f aca="false">IFERROR(AG996/K996," ")</f>
        <v>1</v>
      </c>
      <c r="AI996" s="100" t="n">
        <f aca="false">IFERROR(O996/K996,0)</f>
        <v>648</v>
      </c>
      <c r="AJ996" s="101" t="n">
        <f aca="false">VLOOKUP(D996,'Standard Cycle time'!C:D,2,0)</f>
        <v>32.4</v>
      </c>
      <c r="AK996" s="101" t="n">
        <f aca="false">AG996*V996*3600/O996</f>
        <v>27.7777777777778</v>
      </c>
      <c r="AL996" s="102" t="n">
        <f aca="false">AJ996/AK996</f>
        <v>1.1664</v>
      </c>
      <c r="AM996" s="99" t="n">
        <f aca="false">AE996*AL996*AH996</f>
        <v>1.16124785865181</v>
      </c>
      <c r="AN996" s="103" t="n">
        <v>1.16124785865181</v>
      </c>
      <c r="AO996" s="112"/>
      <c r="AP996" s="105" t="n">
        <v>0</v>
      </c>
      <c r="AQ996" s="105" t="n">
        <v>0</v>
      </c>
      <c r="AR996" s="105" t="n">
        <v>0</v>
      </c>
      <c r="AS996" s="105" t="n">
        <v>0</v>
      </c>
      <c r="AT996" s="105" t="n">
        <v>0</v>
      </c>
      <c r="AU996" s="105" t="n">
        <v>0</v>
      </c>
      <c r="AV996" s="105" t="n">
        <v>0</v>
      </c>
      <c r="AW996" s="105" t="n">
        <v>0</v>
      </c>
      <c r="AX996" s="105" t="n">
        <v>0</v>
      </c>
      <c r="AY996" s="105" t="n">
        <v>0</v>
      </c>
      <c r="AZ996" s="105" t="n">
        <v>0</v>
      </c>
      <c r="BA996" s="105" t="n">
        <v>0</v>
      </c>
      <c r="BB996" s="105" t="n">
        <v>0</v>
      </c>
      <c r="BC996" s="105" t="n">
        <v>0</v>
      </c>
      <c r="BD996" s="105" t="n">
        <v>0</v>
      </c>
      <c r="BE996" s="105" t="n">
        <v>0</v>
      </c>
      <c r="BF996" s="105" t="n">
        <v>0</v>
      </c>
      <c r="BG996" s="105" t="n">
        <v>0</v>
      </c>
      <c r="BH996" s="105" t="n">
        <v>0</v>
      </c>
      <c r="BI996" s="105" t="n">
        <v>0</v>
      </c>
      <c r="BJ996" s="105" t="n">
        <v>0</v>
      </c>
      <c r="BK996" s="105" t="n">
        <v>0</v>
      </c>
      <c r="BL996" s="105" t="n">
        <v>0</v>
      </c>
      <c r="BM996" s="105" t="n">
        <v>0</v>
      </c>
      <c r="BN996" s="105" t="n">
        <v>0</v>
      </c>
      <c r="BO996" s="105" t="n">
        <v>0</v>
      </c>
      <c r="BP996" s="105" t="n">
        <v>0</v>
      </c>
      <c r="BQ996" s="105" t="n">
        <v>0</v>
      </c>
      <c r="BR996" s="106" t="n">
        <v>0</v>
      </c>
      <c r="BS996" s="106" t="n">
        <v>0</v>
      </c>
      <c r="BT996" s="107"/>
      <c r="BU996" s="107"/>
      <c r="BV996" s="107"/>
      <c r="BW996" s="107"/>
      <c r="BX996" s="107"/>
      <c r="BY996" s="107"/>
      <c r="BZ996" s="107"/>
      <c r="CA996" s="107"/>
      <c r="CB996" s="107"/>
      <c r="CC996" s="107"/>
      <c r="CD996" s="107"/>
      <c r="CE996" s="107"/>
      <c r="CF996" s="107"/>
      <c r="CG996" s="107"/>
      <c r="CH996" s="107"/>
      <c r="CI996" s="107"/>
      <c r="CJ996" s="107"/>
      <c r="CK996" s="107"/>
      <c r="CL996" s="107"/>
      <c r="CM996" s="107"/>
      <c r="CN996" s="107"/>
      <c r="CO996" s="107"/>
      <c r="CP996" s="107"/>
      <c r="CQ996" s="107"/>
      <c r="CR996" s="107"/>
      <c r="CS996" s="107"/>
      <c r="CT996" s="107"/>
      <c r="CU996" s="107"/>
      <c r="CV996" s="107"/>
    </row>
    <row r="997" customFormat="false" ht="14.9" hidden="false" customHeight="false" outlineLevel="0" collapsed="false">
      <c r="A997" s="74" t="n">
        <f aca="false">MONTH(B997)</f>
        <v>10</v>
      </c>
      <c r="B997" s="135" t="n">
        <v>44490</v>
      </c>
      <c r="C997" s="128" t="s">
        <v>152</v>
      </c>
      <c r="D997" s="77" t="str">
        <f aca="false">IFERROR(VLOOKUP(E:E,'Item Data Support Sheet'!A:O,7,0),"")</f>
        <v>HOOD MOLDED</v>
      </c>
      <c r="E997" s="80" t="s">
        <v>529</v>
      </c>
      <c r="F997" s="122"/>
      <c r="G997" s="137" t="s">
        <v>740</v>
      </c>
      <c r="H997" s="79" t="str">
        <f aca="false">IFERROR(VLOOKUP(E:E,'Item Data Support Sheet'!A:O,2,0),"")</f>
        <v>HOOD S TYPE MOLDED</v>
      </c>
      <c r="I997" s="80" t="s">
        <v>1780</v>
      </c>
      <c r="J997" s="80" t="s">
        <v>143</v>
      </c>
      <c r="K997" s="124" t="n">
        <v>8</v>
      </c>
      <c r="L997" s="124" t="n">
        <v>4137</v>
      </c>
      <c r="M997" s="83" t="n">
        <v>517.125</v>
      </c>
      <c r="N997" s="84" t="n">
        <f aca="false">+O997+Q997+T997+U997</f>
        <v>5206</v>
      </c>
      <c r="O997" s="85" t="n">
        <v>5200</v>
      </c>
      <c r="P997" s="86" t="n">
        <v>0</v>
      </c>
      <c r="Q997" s="86" t="n">
        <v>0</v>
      </c>
      <c r="R997" s="132" t="n">
        <v>0</v>
      </c>
      <c r="S997" s="128" t="n">
        <v>0</v>
      </c>
      <c r="T997" s="132" t="n">
        <v>6</v>
      </c>
      <c r="U997" s="128" t="n">
        <v>0</v>
      </c>
      <c r="V997" s="128" t="n">
        <v>1</v>
      </c>
      <c r="W997" s="90" t="n">
        <f aca="false">IFERROR(O997/V997,0)</f>
        <v>5200</v>
      </c>
      <c r="X997" s="91" t="n">
        <f aca="false">O997/L997</f>
        <v>1.25694948029973</v>
      </c>
      <c r="Y997" s="92" t="str">
        <f aca="false">IFERROR(VLOOKUP(E:E,'Item Data Support Sheet'!A:J,6,0),0)</f>
        <v>HMC</v>
      </c>
      <c r="Z997" s="93" t="n">
        <f aca="false">IFERROR(VLOOKUP(E:E,'Item Data Support Sheet'!A:O,4,0),0)</f>
        <v>8.6</v>
      </c>
      <c r="AA997" s="93" t="n">
        <f aca="false">IFERROR(((N997)*(Z997/1000))+P997,0)</f>
        <v>44.7716</v>
      </c>
      <c r="AB997" s="94" t="n">
        <f aca="false">IFERROR((O997*(Z997/1000)/(AA997))," ")</f>
        <v>0.998847483672685</v>
      </c>
      <c r="AC997" s="95" t="n">
        <f aca="false">IFERROR((T997)/((T997)+O997),0)</f>
        <v>0.00115251632731464</v>
      </c>
      <c r="AD997" s="96" t="n">
        <f aca="false">IFERROR(Q997/(Q997+N997),0)</f>
        <v>0</v>
      </c>
      <c r="AE997" s="91" t="n">
        <f aca="false">(N997-T997)/N997</f>
        <v>0.998847483672685</v>
      </c>
      <c r="AF997" s="97" t="n">
        <f aca="false">BR997</f>
        <v>0</v>
      </c>
      <c r="AG997" s="98" t="n">
        <f aca="false">K997-AF997</f>
        <v>8</v>
      </c>
      <c r="AH997" s="99" t="n">
        <f aca="false">IFERROR(AG997/K997," ")</f>
        <v>1</v>
      </c>
      <c r="AI997" s="100" t="n">
        <f aca="false">IFERROR(O997/K997,0)</f>
        <v>650</v>
      </c>
      <c r="AJ997" s="101" t="n">
        <f aca="false">VLOOKUP(D997,'Standard Cycle time'!C:D,2,0)</f>
        <v>6</v>
      </c>
      <c r="AK997" s="101" t="n">
        <f aca="false">AG997*V997*3600/O997</f>
        <v>5.53846153846154</v>
      </c>
      <c r="AL997" s="102" t="n">
        <f aca="false">AJ997/AK997</f>
        <v>1.08333333333333</v>
      </c>
      <c r="AM997" s="99" t="n">
        <f aca="false">AE997*AL997*AH997</f>
        <v>1.08208477397874</v>
      </c>
      <c r="AN997" s="103" t="n">
        <v>1.08208477397874</v>
      </c>
      <c r="AO997" s="112"/>
      <c r="AP997" s="105" t="n">
        <v>0</v>
      </c>
      <c r="AQ997" s="105" t="n">
        <v>0</v>
      </c>
      <c r="AR997" s="105" t="n">
        <v>0</v>
      </c>
      <c r="AS997" s="105" t="n">
        <v>0</v>
      </c>
      <c r="AT997" s="105" t="n">
        <v>0</v>
      </c>
      <c r="AU997" s="105" t="n">
        <v>0</v>
      </c>
      <c r="AV997" s="105" t="n">
        <v>0</v>
      </c>
      <c r="AW997" s="105" t="n">
        <v>0</v>
      </c>
      <c r="AX997" s="105" t="n">
        <v>0</v>
      </c>
      <c r="AY997" s="105" t="n">
        <v>0</v>
      </c>
      <c r="AZ997" s="105" t="n">
        <v>0</v>
      </c>
      <c r="BA997" s="105" t="n">
        <v>0</v>
      </c>
      <c r="BB997" s="105" t="n">
        <v>0</v>
      </c>
      <c r="BC997" s="105" t="n">
        <v>0</v>
      </c>
      <c r="BD997" s="105" t="n">
        <v>0</v>
      </c>
      <c r="BE997" s="105" t="n">
        <v>0</v>
      </c>
      <c r="BF997" s="105" t="n">
        <v>0</v>
      </c>
      <c r="BG997" s="105" t="n">
        <v>0</v>
      </c>
      <c r="BH997" s="105" t="n">
        <v>0</v>
      </c>
      <c r="BI997" s="105" t="n">
        <v>0</v>
      </c>
      <c r="BJ997" s="105" t="n">
        <v>0</v>
      </c>
      <c r="BK997" s="105" t="n">
        <v>0</v>
      </c>
      <c r="BL997" s="105" t="n">
        <v>0</v>
      </c>
      <c r="BM997" s="105" t="n">
        <v>0</v>
      </c>
      <c r="BN997" s="105" t="n">
        <v>0</v>
      </c>
      <c r="BO997" s="105" t="n">
        <v>0</v>
      </c>
      <c r="BP997" s="105" t="n">
        <v>0</v>
      </c>
      <c r="BQ997" s="105" t="n">
        <v>0</v>
      </c>
      <c r="BR997" s="106" t="n">
        <v>0</v>
      </c>
      <c r="BS997" s="106" t="n">
        <v>0</v>
      </c>
      <c r="BT997" s="107"/>
      <c r="BU997" s="107"/>
      <c r="BV997" s="107"/>
      <c r="BW997" s="107"/>
      <c r="BX997" s="107"/>
      <c r="BY997" s="107"/>
      <c r="BZ997" s="107"/>
      <c r="CA997" s="107"/>
      <c r="CB997" s="107"/>
      <c r="CC997" s="107"/>
      <c r="CD997" s="107"/>
      <c r="CE997" s="107"/>
      <c r="CF997" s="107"/>
      <c r="CG997" s="107"/>
      <c r="CH997" s="107"/>
      <c r="CI997" s="107"/>
      <c r="CJ997" s="107"/>
      <c r="CK997" s="107"/>
      <c r="CL997" s="107"/>
      <c r="CM997" s="107"/>
      <c r="CN997" s="107"/>
      <c r="CO997" s="107"/>
      <c r="CP997" s="107"/>
      <c r="CQ997" s="107"/>
      <c r="CR997" s="107"/>
      <c r="CS997" s="107"/>
      <c r="CT997" s="107"/>
      <c r="CU997" s="107"/>
      <c r="CV997" s="107"/>
    </row>
    <row r="998" customFormat="false" ht="14.9" hidden="false" customHeight="false" outlineLevel="0" collapsed="false">
      <c r="A998" s="74" t="n">
        <f aca="false">MONTH(B998)</f>
        <v>10</v>
      </c>
      <c r="B998" s="135" t="n">
        <v>44490</v>
      </c>
      <c r="C998" s="128" t="s">
        <v>152</v>
      </c>
      <c r="D998" s="77" t="str">
        <f aca="false">IFERROR(VLOOKUP(E:E,'Item Data Support Sheet'!A:O,7,0),"")</f>
        <v>BOTTLE MOLDED</v>
      </c>
      <c r="E998" s="80" t="s">
        <v>69</v>
      </c>
      <c r="F998" s="122" t="s">
        <v>73</v>
      </c>
      <c r="G998" s="137" t="s">
        <v>74</v>
      </c>
      <c r="H998" s="79" t="str">
        <f aca="false">IFERROR(VLOOKUP(E:E,'Item Data Support Sheet'!A:O,2,0),"")</f>
        <v>KPP 240 ML BOTTLE MOLDED</v>
      </c>
      <c r="I998" s="80" t="s">
        <v>1781</v>
      </c>
      <c r="J998" s="80" t="s">
        <v>143</v>
      </c>
      <c r="K998" s="124" t="n">
        <v>8</v>
      </c>
      <c r="L998" s="124" t="n">
        <v>2574</v>
      </c>
      <c r="M998" s="83" t="n">
        <v>321.75</v>
      </c>
      <c r="N998" s="84" t="n">
        <f aca="false">+O998+Q998+T998+U998</f>
        <v>3142</v>
      </c>
      <c r="O998" s="85" t="n">
        <v>3024</v>
      </c>
      <c r="P998" s="86" t="n">
        <v>0.22</v>
      </c>
      <c r="Q998" s="86" t="n">
        <v>42</v>
      </c>
      <c r="R998" s="132" t="n">
        <v>0</v>
      </c>
      <c r="S998" s="128" t="n">
        <v>0</v>
      </c>
      <c r="T998" s="132" t="n">
        <v>68</v>
      </c>
      <c r="U998" s="128" t="n">
        <v>8</v>
      </c>
      <c r="V998" s="128" t="n">
        <v>1</v>
      </c>
      <c r="W998" s="90" t="n">
        <f aca="false">IFERROR(O998/V998,0)</f>
        <v>3024</v>
      </c>
      <c r="X998" s="91" t="n">
        <f aca="false">O998/L998</f>
        <v>1.17482517482517</v>
      </c>
      <c r="Y998" s="92" t="str">
        <f aca="false">IFERROR(VLOOKUP(E:E,'Item Data Support Sheet'!A:J,6,0),0)</f>
        <v>HMC</v>
      </c>
      <c r="Z998" s="93" t="n">
        <f aca="false">IFERROR(VLOOKUP(E:E,'Item Data Support Sheet'!A:O,4,0),0)</f>
        <v>32.1</v>
      </c>
      <c r="AA998" s="93" t="n">
        <f aca="false">IFERROR(((N998)*(Z998/1000))+P998,0)</f>
        <v>101.0782</v>
      </c>
      <c r="AB998" s="94" t="n">
        <f aca="false">IFERROR((O998*(Z998/1000)/(AA998))," ")</f>
        <v>0.960349511566292</v>
      </c>
      <c r="AC998" s="95" t="n">
        <f aca="false">IFERROR((T998)/((T998)+O998),0)</f>
        <v>0.0219922380336352</v>
      </c>
      <c r="AD998" s="96" t="n">
        <f aca="false">IFERROR(Q998/(Q998+N998),0)</f>
        <v>0.0131909547738693</v>
      </c>
      <c r="AE998" s="91" t="n">
        <f aca="false">(N998-T998)/N998</f>
        <v>0.978357733927435</v>
      </c>
      <c r="AF998" s="97" t="n">
        <f aca="false">BR998</f>
        <v>0.5</v>
      </c>
      <c r="AG998" s="98" t="n">
        <f aca="false">K998-AF998</f>
        <v>7.5</v>
      </c>
      <c r="AH998" s="99" t="n">
        <f aca="false">IFERROR(AG998/K998," ")</f>
        <v>0.9375</v>
      </c>
      <c r="AI998" s="100" t="n">
        <f aca="false">IFERROR(O998/K998,0)</f>
        <v>378</v>
      </c>
      <c r="AJ998" s="101" t="n">
        <f aca="false">VLOOKUP(D998,'Standard Cycle time'!C:D,2,0)</f>
        <v>9</v>
      </c>
      <c r="AK998" s="101" t="n">
        <f aca="false">AG998*V998*3600/O998</f>
        <v>8.92857142857143</v>
      </c>
      <c r="AL998" s="102" t="n">
        <f aca="false">AJ998/AK998</f>
        <v>1.008</v>
      </c>
      <c r="AM998" s="99" t="n">
        <f aca="false">AE998*AL998*AH998</f>
        <v>0.924548058561426</v>
      </c>
      <c r="AN998" s="103" t="n">
        <v>0.924548058561426</v>
      </c>
      <c r="AO998" s="112"/>
      <c r="AP998" s="105" t="n">
        <v>0</v>
      </c>
      <c r="AQ998" s="105" t="n">
        <v>0</v>
      </c>
      <c r="AR998" s="105" t="n">
        <v>30</v>
      </c>
      <c r="AS998" s="105" t="n">
        <v>0</v>
      </c>
      <c r="AT998" s="105" t="n">
        <v>0</v>
      </c>
      <c r="AU998" s="105" t="n">
        <v>0</v>
      </c>
      <c r="AV998" s="105" t="n">
        <v>0</v>
      </c>
      <c r="AW998" s="105" t="n">
        <v>0</v>
      </c>
      <c r="AX998" s="105" t="n">
        <v>0</v>
      </c>
      <c r="AY998" s="105" t="n">
        <v>0</v>
      </c>
      <c r="AZ998" s="105" t="n">
        <v>0</v>
      </c>
      <c r="BA998" s="105" t="n">
        <v>0</v>
      </c>
      <c r="BB998" s="105" t="n">
        <v>0</v>
      </c>
      <c r="BC998" s="105" t="n">
        <v>0</v>
      </c>
      <c r="BD998" s="105" t="n">
        <v>0</v>
      </c>
      <c r="BE998" s="105" t="n">
        <v>0</v>
      </c>
      <c r="BF998" s="105" t="n">
        <v>0</v>
      </c>
      <c r="BG998" s="105" t="n">
        <v>0</v>
      </c>
      <c r="BH998" s="105" t="n">
        <v>0</v>
      </c>
      <c r="BI998" s="105" t="n">
        <v>0</v>
      </c>
      <c r="BJ998" s="105" t="n">
        <v>0</v>
      </c>
      <c r="BK998" s="105" t="n">
        <v>0</v>
      </c>
      <c r="BL998" s="105" t="n">
        <v>0</v>
      </c>
      <c r="BM998" s="105" t="n">
        <v>0</v>
      </c>
      <c r="BN998" s="105" t="n">
        <v>0</v>
      </c>
      <c r="BO998" s="105" t="n">
        <v>0</v>
      </c>
      <c r="BP998" s="105" t="n">
        <v>0</v>
      </c>
      <c r="BQ998" s="105" t="n">
        <v>0</v>
      </c>
      <c r="BR998" s="106" t="n">
        <v>0.5</v>
      </c>
      <c r="BS998" s="106" t="n">
        <v>0.5</v>
      </c>
      <c r="BT998" s="107"/>
      <c r="BU998" s="107"/>
      <c r="BV998" s="107"/>
      <c r="BW998" s="107"/>
      <c r="BX998" s="107"/>
      <c r="BY998" s="107"/>
      <c r="BZ998" s="107"/>
      <c r="CA998" s="107"/>
      <c r="CB998" s="107"/>
      <c r="CC998" s="107"/>
      <c r="CD998" s="107"/>
      <c r="CE998" s="107"/>
      <c r="CF998" s="107"/>
      <c r="CG998" s="107"/>
      <c r="CH998" s="107"/>
      <c r="CI998" s="107"/>
      <c r="CJ998" s="107"/>
      <c r="CK998" s="107"/>
      <c r="CL998" s="107"/>
      <c r="CM998" s="107"/>
      <c r="CN998" s="107"/>
      <c r="CO998" s="107"/>
      <c r="CP998" s="107"/>
      <c r="CQ998" s="107"/>
      <c r="CR998" s="107"/>
      <c r="CS998" s="107"/>
      <c r="CT998" s="107"/>
      <c r="CU998" s="107"/>
      <c r="CV998" s="107"/>
    </row>
    <row r="999" customFormat="false" ht="14.9" hidden="false" customHeight="false" outlineLevel="0" collapsed="false">
      <c r="A999" s="74" t="n">
        <f aca="false">MONTH(B999)</f>
        <v>10</v>
      </c>
      <c r="B999" s="135" t="n">
        <v>44491</v>
      </c>
      <c r="C999" s="128" t="s">
        <v>51</v>
      </c>
      <c r="D999" s="77" t="str">
        <f aca="false">IFERROR(VLOOKUP(E:E,'Item Data Support Sheet'!A:O,7,0),"")</f>
        <v>BOTTLE MOLDED</v>
      </c>
      <c r="E999" s="80" t="s">
        <v>69</v>
      </c>
      <c r="F999" s="122" t="s">
        <v>73</v>
      </c>
      <c r="G999" s="137" t="s">
        <v>74</v>
      </c>
      <c r="H999" s="79" t="str">
        <f aca="false">IFERROR(VLOOKUP(E:E,'Item Data Support Sheet'!A:O,2,0),"")</f>
        <v>KPP 240 ML BOTTLE MOLDED</v>
      </c>
      <c r="I999" s="80" t="s">
        <v>1782</v>
      </c>
      <c r="J999" s="80" t="s">
        <v>815</v>
      </c>
      <c r="K999" s="124" t="n">
        <v>8</v>
      </c>
      <c r="L999" s="124" t="n">
        <v>2574</v>
      </c>
      <c r="M999" s="83" t="n">
        <v>321.75</v>
      </c>
      <c r="N999" s="84" t="n">
        <f aca="false">+O999+Q999+T999+U999</f>
        <v>3262</v>
      </c>
      <c r="O999" s="85" t="n">
        <v>3132</v>
      </c>
      <c r="P999" s="86" t="n">
        <v>0.2</v>
      </c>
      <c r="Q999" s="86" t="n">
        <v>51</v>
      </c>
      <c r="R999" s="132" t="n">
        <v>0</v>
      </c>
      <c r="S999" s="128" t="n">
        <v>0</v>
      </c>
      <c r="T999" s="132" t="n">
        <v>71</v>
      </c>
      <c r="U999" s="128" t="n">
        <v>8</v>
      </c>
      <c r="V999" s="128" t="n">
        <v>1</v>
      </c>
      <c r="W999" s="90" t="n">
        <f aca="false">IFERROR(O999/V999,0)</f>
        <v>3132</v>
      </c>
      <c r="X999" s="91" t="n">
        <f aca="false">O999/L999</f>
        <v>1.21678321678322</v>
      </c>
      <c r="Y999" s="92" t="str">
        <f aca="false">IFERROR(VLOOKUP(E:E,'Item Data Support Sheet'!A:J,6,0),0)</f>
        <v>HMC</v>
      </c>
      <c r="Z999" s="93" t="n">
        <f aca="false">IFERROR(VLOOKUP(E:E,'Item Data Support Sheet'!A:O,4,0),0)</f>
        <v>32.1</v>
      </c>
      <c r="AA999" s="93" t="n">
        <f aca="false">IFERROR(((N999)*(Z999/1000))+P999,0)</f>
        <v>104.9102</v>
      </c>
      <c r="AB999" s="94" t="n">
        <f aca="false">IFERROR((O999*(Z999/1000)/(AA999))," ")</f>
        <v>0.958316731833511</v>
      </c>
      <c r="AC999" s="95" t="n">
        <f aca="false">IFERROR((T999)/((T999)+O999),0)</f>
        <v>0.0221667187012176</v>
      </c>
      <c r="AD999" s="96" t="n">
        <f aca="false">IFERROR(Q999/(Q999+N999),0)</f>
        <v>0.0153939028071235</v>
      </c>
      <c r="AE999" s="91" t="n">
        <f aca="false">(N999-T999)/N999</f>
        <v>0.978234212139792</v>
      </c>
      <c r="AF999" s="97" t="n">
        <f aca="false">BR999</f>
        <v>0</v>
      </c>
      <c r="AG999" s="98" t="n">
        <f aca="false">K999-AF999</f>
        <v>8</v>
      </c>
      <c r="AH999" s="99" t="n">
        <f aca="false">IFERROR(AG999/K999," ")</f>
        <v>1</v>
      </c>
      <c r="AI999" s="100" t="n">
        <f aca="false">IFERROR(O999/K999,0)</f>
        <v>391.5</v>
      </c>
      <c r="AJ999" s="101" t="n">
        <f aca="false">VLOOKUP(D999,'Standard Cycle time'!C:D,2,0)</f>
        <v>9</v>
      </c>
      <c r="AK999" s="101" t="n">
        <f aca="false">AG999*V999*3600/O999</f>
        <v>9.19540229885057</v>
      </c>
      <c r="AL999" s="102" t="n">
        <f aca="false">AJ999/AK999</f>
        <v>0.97875</v>
      </c>
      <c r="AM999" s="99" t="n">
        <f aca="false">AE999*AL999*AH999</f>
        <v>0.957446735131821</v>
      </c>
      <c r="AN999" s="103" t="n">
        <v>0.957446735131821</v>
      </c>
      <c r="AO999" s="112"/>
      <c r="AP999" s="105" t="n">
        <v>0</v>
      </c>
      <c r="AQ999" s="105" t="n">
        <v>0</v>
      </c>
      <c r="AR999" s="105" t="n">
        <v>0</v>
      </c>
      <c r="AS999" s="105" t="n">
        <v>0</v>
      </c>
      <c r="AT999" s="105" t="n">
        <v>0</v>
      </c>
      <c r="AU999" s="105" t="n">
        <v>0</v>
      </c>
      <c r="AV999" s="105" t="n">
        <v>0</v>
      </c>
      <c r="AW999" s="105" t="n">
        <v>0</v>
      </c>
      <c r="AX999" s="105" t="n">
        <v>0</v>
      </c>
      <c r="AY999" s="105" t="n">
        <v>0</v>
      </c>
      <c r="AZ999" s="105" t="n">
        <v>0</v>
      </c>
      <c r="BA999" s="105" t="n">
        <v>0</v>
      </c>
      <c r="BB999" s="105" t="n">
        <v>0</v>
      </c>
      <c r="BC999" s="105" t="n">
        <v>0</v>
      </c>
      <c r="BD999" s="105" t="n">
        <v>0</v>
      </c>
      <c r="BE999" s="105" t="n">
        <v>0</v>
      </c>
      <c r="BF999" s="105" t="n">
        <v>0</v>
      </c>
      <c r="BG999" s="105" t="n">
        <v>0</v>
      </c>
      <c r="BH999" s="105" t="n">
        <v>0</v>
      </c>
      <c r="BI999" s="105" t="n">
        <v>0</v>
      </c>
      <c r="BJ999" s="105" t="n">
        <v>0</v>
      </c>
      <c r="BK999" s="105" t="n">
        <v>0</v>
      </c>
      <c r="BL999" s="105" t="n">
        <v>0</v>
      </c>
      <c r="BM999" s="105" t="n">
        <v>0</v>
      </c>
      <c r="BN999" s="105" t="n">
        <v>0</v>
      </c>
      <c r="BO999" s="105" t="n">
        <v>0</v>
      </c>
      <c r="BP999" s="105" t="n">
        <v>0</v>
      </c>
      <c r="BQ999" s="105" t="n">
        <v>0</v>
      </c>
      <c r="BR999" s="106" t="n">
        <v>0</v>
      </c>
      <c r="BS999" s="106" t="n">
        <v>0</v>
      </c>
      <c r="BT999" s="107"/>
      <c r="BU999" s="107"/>
      <c r="BV999" s="107"/>
      <c r="BW999" s="107"/>
      <c r="BX999" s="107"/>
      <c r="BY999" s="107"/>
      <c r="BZ999" s="107"/>
      <c r="CA999" s="107"/>
      <c r="CB999" s="107"/>
      <c r="CC999" s="107"/>
      <c r="CD999" s="107"/>
      <c r="CE999" s="107"/>
      <c r="CF999" s="107"/>
      <c r="CG999" s="107"/>
      <c r="CH999" s="107"/>
      <c r="CI999" s="107"/>
      <c r="CJ999" s="107"/>
      <c r="CK999" s="107"/>
      <c r="CL999" s="107"/>
      <c r="CM999" s="107"/>
      <c r="CN999" s="107"/>
      <c r="CO999" s="107"/>
      <c r="CP999" s="107"/>
      <c r="CQ999" s="107"/>
      <c r="CR999" s="107"/>
      <c r="CS999" s="107"/>
      <c r="CT999" s="107"/>
      <c r="CU999" s="107"/>
      <c r="CV999" s="107"/>
    </row>
    <row r="1000" customFormat="false" ht="14.9" hidden="false" customHeight="false" outlineLevel="0" collapsed="false">
      <c r="A1000" s="74" t="n">
        <f aca="false">MONTH(B1000)</f>
        <v>10</v>
      </c>
      <c r="B1000" s="135" t="n">
        <v>44491</v>
      </c>
      <c r="C1000" s="128" t="s">
        <v>51</v>
      </c>
      <c r="D1000" s="77" t="str">
        <f aca="false">IFERROR(VLOOKUP(E:E,'Item Data Support Sheet'!A:O,7,0),"")</f>
        <v>HOOD MOLDED</v>
      </c>
      <c r="E1000" s="80" t="s">
        <v>529</v>
      </c>
      <c r="F1000" s="122"/>
      <c r="G1000" s="137" t="s">
        <v>740</v>
      </c>
      <c r="H1000" s="79" t="str">
        <f aca="false">IFERROR(VLOOKUP(E:E,'Item Data Support Sheet'!A:O,2,0),"")</f>
        <v>HOOD S TYPE MOLDED</v>
      </c>
      <c r="I1000" s="80" t="s">
        <v>1783</v>
      </c>
      <c r="J1000" s="80" t="s">
        <v>815</v>
      </c>
      <c r="K1000" s="124" t="n">
        <v>8</v>
      </c>
      <c r="L1000" s="124" t="n">
        <v>4137</v>
      </c>
      <c r="M1000" s="83" t="n">
        <v>517.125</v>
      </c>
      <c r="N1000" s="84" t="n">
        <f aca="false">+O1000+Q1000+T1000+U1000</f>
        <v>5208</v>
      </c>
      <c r="O1000" s="85" t="n">
        <v>5200</v>
      </c>
      <c r="P1000" s="86" t="n">
        <v>0</v>
      </c>
      <c r="Q1000" s="86" t="n">
        <v>0</v>
      </c>
      <c r="R1000" s="132" t="n">
        <v>0</v>
      </c>
      <c r="S1000" s="128" t="n">
        <v>0</v>
      </c>
      <c r="T1000" s="132" t="n">
        <v>0</v>
      </c>
      <c r="U1000" s="128" t="n">
        <v>8</v>
      </c>
      <c r="V1000" s="128" t="n">
        <v>1</v>
      </c>
      <c r="W1000" s="90" t="n">
        <f aca="false">IFERROR(O1000/V1000,0)</f>
        <v>5200</v>
      </c>
      <c r="X1000" s="91" t="n">
        <f aca="false">O1000/L1000</f>
        <v>1.25694948029973</v>
      </c>
      <c r="Y1000" s="92" t="str">
        <f aca="false">IFERROR(VLOOKUP(E:E,'Item Data Support Sheet'!A:J,6,0),0)</f>
        <v>HMC</v>
      </c>
      <c r="Z1000" s="93" t="n">
        <f aca="false">IFERROR(VLOOKUP(E:E,'Item Data Support Sheet'!A:O,4,0),0)</f>
        <v>8.6</v>
      </c>
      <c r="AA1000" s="93" t="n">
        <f aca="false">IFERROR(((N1000)*(Z1000/1000))+P1000,0)</f>
        <v>44.7888</v>
      </c>
      <c r="AB1000" s="94" t="n">
        <f aca="false">IFERROR((O1000*(Z1000/1000)/(AA1000))," ")</f>
        <v>0.998463901689708</v>
      </c>
      <c r="AC1000" s="95" t="n">
        <f aca="false">IFERROR((T1000)/((T1000)+O1000),0)</f>
        <v>0</v>
      </c>
      <c r="AD1000" s="96" t="n">
        <f aca="false">IFERROR(Q1000/(Q1000+N1000),0)</f>
        <v>0</v>
      </c>
      <c r="AE1000" s="91" t="n">
        <f aca="false">(N1000-T1000)/N1000</f>
        <v>1</v>
      </c>
      <c r="AF1000" s="97" t="n">
        <f aca="false">BR1000</f>
        <v>0</v>
      </c>
      <c r="AG1000" s="98" t="n">
        <f aca="false">K1000-AF1000</f>
        <v>8</v>
      </c>
      <c r="AH1000" s="99" t="n">
        <f aca="false">IFERROR(AG1000/K1000," ")</f>
        <v>1</v>
      </c>
      <c r="AI1000" s="100" t="n">
        <f aca="false">IFERROR(O1000/K1000,0)</f>
        <v>650</v>
      </c>
      <c r="AJ1000" s="101" t="n">
        <f aca="false">VLOOKUP(D1000,'Standard Cycle time'!C:D,2,0)</f>
        <v>6</v>
      </c>
      <c r="AK1000" s="101" t="n">
        <f aca="false">AG1000*V1000*3600/O1000</f>
        <v>5.53846153846154</v>
      </c>
      <c r="AL1000" s="102" t="n">
        <f aca="false">AJ1000/AK1000</f>
        <v>1.08333333333333</v>
      </c>
      <c r="AM1000" s="99" t="n">
        <f aca="false">AE1000*AL1000*AH1000</f>
        <v>1.08333333333333</v>
      </c>
      <c r="AN1000" s="103" t="n">
        <v>1.08333333333333</v>
      </c>
      <c r="AO1000" s="112"/>
      <c r="AP1000" s="105" t="n">
        <v>0</v>
      </c>
      <c r="AQ1000" s="105" t="n">
        <v>0</v>
      </c>
      <c r="AR1000" s="105" t="n">
        <v>0</v>
      </c>
      <c r="AS1000" s="105" t="n">
        <v>0</v>
      </c>
      <c r="AT1000" s="105" t="n">
        <v>0</v>
      </c>
      <c r="AU1000" s="105" t="n">
        <v>0</v>
      </c>
      <c r="AV1000" s="105" t="n">
        <v>0</v>
      </c>
      <c r="AW1000" s="105" t="n">
        <v>0</v>
      </c>
      <c r="AX1000" s="105" t="n">
        <v>0</v>
      </c>
      <c r="AY1000" s="105" t="n">
        <v>0</v>
      </c>
      <c r="AZ1000" s="105" t="n">
        <v>0</v>
      </c>
      <c r="BA1000" s="105" t="n">
        <v>0</v>
      </c>
      <c r="BB1000" s="105" t="n">
        <v>0</v>
      </c>
      <c r="BC1000" s="105" t="n">
        <v>0</v>
      </c>
      <c r="BD1000" s="105" t="n">
        <v>0</v>
      </c>
      <c r="BE1000" s="105" t="n">
        <v>0</v>
      </c>
      <c r="BF1000" s="105" t="n">
        <v>0</v>
      </c>
      <c r="BG1000" s="105" t="n">
        <v>0</v>
      </c>
      <c r="BH1000" s="105" t="n">
        <v>0</v>
      </c>
      <c r="BI1000" s="105" t="n">
        <v>0</v>
      </c>
      <c r="BJ1000" s="105" t="n">
        <v>0</v>
      </c>
      <c r="BK1000" s="105" t="n">
        <v>0</v>
      </c>
      <c r="BL1000" s="105" t="n">
        <v>0</v>
      </c>
      <c r="BM1000" s="105" t="n">
        <v>0</v>
      </c>
      <c r="BN1000" s="105" t="n">
        <v>0</v>
      </c>
      <c r="BO1000" s="105" t="n">
        <v>0</v>
      </c>
      <c r="BP1000" s="105" t="n">
        <v>0</v>
      </c>
      <c r="BQ1000" s="105" t="n">
        <v>0</v>
      </c>
      <c r="BR1000" s="106" t="n">
        <v>0</v>
      </c>
      <c r="BS1000" s="106" t="n">
        <v>0</v>
      </c>
      <c r="BT1000" s="107"/>
      <c r="BU1000" s="107"/>
      <c r="BV1000" s="107"/>
      <c r="BW1000" s="107"/>
      <c r="BX1000" s="107"/>
      <c r="BY1000" s="107"/>
      <c r="BZ1000" s="107"/>
      <c r="CA1000" s="107"/>
      <c r="CB1000" s="107"/>
      <c r="CC1000" s="107"/>
      <c r="CD1000" s="107"/>
      <c r="CE1000" s="107"/>
      <c r="CF1000" s="107"/>
      <c r="CG1000" s="107"/>
      <c r="CH1000" s="107"/>
      <c r="CI1000" s="107"/>
      <c r="CJ1000" s="107"/>
      <c r="CK1000" s="107"/>
      <c r="CL1000" s="107"/>
      <c r="CM1000" s="107"/>
      <c r="CN1000" s="107"/>
      <c r="CO1000" s="107"/>
      <c r="CP1000" s="107"/>
      <c r="CQ1000" s="107"/>
      <c r="CR1000" s="107"/>
      <c r="CS1000" s="107"/>
      <c r="CT1000" s="107"/>
      <c r="CU1000" s="107"/>
      <c r="CV1000" s="107"/>
    </row>
    <row r="1001" customFormat="false" ht="14.9" hidden="false" customHeight="false" outlineLevel="0" collapsed="false">
      <c r="A1001" s="74" t="n">
        <f aca="false">MONTH(B1001)</f>
        <v>10</v>
      </c>
      <c r="B1001" s="135" t="n">
        <v>44491</v>
      </c>
      <c r="C1001" s="128" t="s">
        <v>51</v>
      </c>
      <c r="D1001" s="77" t="str">
        <f aca="false">IFERROR(VLOOKUP(E:E,'Item Data Support Sheet'!A:O,7,0),"")</f>
        <v>BOTTLE PRINTED</v>
      </c>
      <c r="E1001" s="80" t="s">
        <v>65</v>
      </c>
      <c r="F1001" s="122"/>
      <c r="G1001" s="137" t="s">
        <v>740</v>
      </c>
      <c r="H1001" s="79" t="str">
        <f aca="false">IFERROR(VLOOKUP(E:E,'Item Data Support Sheet'!A:O,2,0),"")</f>
        <v>KPP 240 ML BOTTLE PRINTED</v>
      </c>
      <c r="I1001" s="80" t="s">
        <v>1784</v>
      </c>
      <c r="J1001" s="80" t="s">
        <v>161</v>
      </c>
      <c r="K1001" s="124" t="n">
        <v>8</v>
      </c>
      <c r="L1001" s="124" t="n">
        <v>5100</v>
      </c>
      <c r="M1001" s="83" t="n">
        <v>637.5</v>
      </c>
      <c r="N1001" s="84" t="n">
        <f aca="false">+O1001+Q1001+T1001+U1001</f>
        <v>5462</v>
      </c>
      <c r="O1001" s="85" t="n">
        <v>5400</v>
      </c>
      <c r="P1001" s="86" t="n">
        <v>0</v>
      </c>
      <c r="Q1001" s="86" t="n">
        <v>0</v>
      </c>
      <c r="R1001" s="132" t="n">
        <v>36</v>
      </c>
      <c r="S1001" s="128" t="n">
        <v>0</v>
      </c>
      <c r="T1001" s="132" t="n">
        <v>62</v>
      </c>
      <c r="U1001" s="128" t="n">
        <v>0</v>
      </c>
      <c r="V1001" s="128" t="n">
        <v>5</v>
      </c>
      <c r="W1001" s="90" t="n">
        <f aca="false">IFERROR(O1001/V1001,0)</f>
        <v>1080</v>
      </c>
      <c r="X1001" s="91" t="n">
        <f aca="false">O1001/L1001</f>
        <v>1.05882352941176</v>
      </c>
      <c r="Y1001" s="92" t="str">
        <f aca="false">IFERROR(VLOOKUP(E:E,'Item Data Support Sheet'!A:J,6,0),0)</f>
        <v>FO003</v>
      </c>
      <c r="Z1001" s="93" t="n">
        <f aca="false">IFERROR(VLOOKUP(E:E,'Item Data Support Sheet'!A:O,4,0),0)</f>
        <v>0</v>
      </c>
      <c r="AA1001" s="93" t="n">
        <f aca="false">IFERROR(((N1001)*(Z1001/1000))+P1001,0)</f>
        <v>0</v>
      </c>
      <c r="AB1001" s="94" t="str">
        <f aca="false">IFERROR((O1001*(Z1001/1000)/(AA1001))," ")</f>
        <v> </v>
      </c>
      <c r="AC1001" s="95" t="n">
        <f aca="false">IFERROR((T1001)/((T1001)+O1001),0)</f>
        <v>0.0113511534236543</v>
      </c>
      <c r="AD1001" s="96" t="n">
        <f aca="false">IFERROR(Q1001/(Q1001+N1001),0)</f>
        <v>0</v>
      </c>
      <c r="AE1001" s="91" t="n">
        <f aca="false">(N1001-T1001)/N1001</f>
        <v>0.988648846576346</v>
      </c>
      <c r="AF1001" s="97" t="n">
        <f aca="false">BR1001</f>
        <v>0</v>
      </c>
      <c r="AG1001" s="98" t="n">
        <f aca="false">K1001-AF1001</f>
        <v>8</v>
      </c>
      <c r="AH1001" s="99" t="n">
        <f aca="false">IFERROR(AG1001/K1001," ")</f>
        <v>1</v>
      </c>
      <c r="AI1001" s="100" t="n">
        <f aca="false">IFERROR(O1001/K1001,0)</f>
        <v>675</v>
      </c>
      <c r="AJ1001" s="101" t="n">
        <f aca="false">VLOOKUP(D1001,'Standard Cycle time'!C:D,2,0)</f>
        <v>32.4</v>
      </c>
      <c r="AK1001" s="101" t="n">
        <f aca="false">AG1001*V1001*3600/O1001</f>
        <v>26.6666666666667</v>
      </c>
      <c r="AL1001" s="102" t="n">
        <f aca="false">AJ1001/AK1001</f>
        <v>1.215</v>
      </c>
      <c r="AM1001" s="99" t="n">
        <f aca="false">AE1001*AL1001*AH1001</f>
        <v>1.20120834859026</v>
      </c>
      <c r="AN1001" s="103" t="n">
        <v>1.20120834859026</v>
      </c>
      <c r="AO1001" s="112" t="s">
        <v>1785</v>
      </c>
      <c r="AP1001" s="105" t="n">
        <v>0</v>
      </c>
      <c r="AQ1001" s="105" t="n">
        <v>0</v>
      </c>
      <c r="AR1001" s="105" t="n">
        <v>0</v>
      </c>
      <c r="AS1001" s="105" t="n">
        <v>0</v>
      </c>
      <c r="AT1001" s="105" t="n">
        <v>0</v>
      </c>
      <c r="AU1001" s="105" t="n">
        <v>0</v>
      </c>
      <c r="AV1001" s="105" t="n">
        <v>0</v>
      </c>
      <c r="AW1001" s="105" t="n">
        <v>0</v>
      </c>
      <c r="AX1001" s="105" t="n">
        <v>0</v>
      </c>
      <c r="AY1001" s="105" t="n">
        <v>0</v>
      </c>
      <c r="AZ1001" s="105" t="n">
        <v>0</v>
      </c>
      <c r="BA1001" s="105" t="n">
        <v>0</v>
      </c>
      <c r="BB1001" s="105" t="n">
        <v>0</v>
      </c>
      <c r="BC1001" s="105" t="n">
        <v>0</v>
      </c>
      <c r="BD1001" s="105" t="n">
        <v>0</v>
      </c>
      <c r="BE1001" s="105" t="n">
        <v>0</v>
      </c>
      <c r="BF1001" s="105" t="n">
        <v>0</v>
      </c>
      <c r="BG1001" s="105" t="n">
        <v>0</v>
      </c>
      <c r="BH1001" s="105" t="n">
        <v>0</v>
      </c>
      <c r="BI1001" s="105" t="n">
        <v>0</v>
      </c>
      <c r="BJ1001" s="105" t="n">
        <v>0</v>
      </c>
      <c r="BK1001" s="105" t="n">
        <v>0</v>
      </c>
      <c r="BL1001" s="105" t="n">
        <v>0</v>
      </c>
      <c r="BM1001" s="105" t="n">
        <v>0</v>
      </c>
      <c r="BN1001" s="105" t="n">
        <v>0</v>
      </c>
      <c r="BO1001" s="105" t="n">
        <v>0</v>
      </c>
      <c r="BP1001" s="105" t="n">
        <v>0</v>
      </c>
      <c r="BQ1001" s="105" t="n">
        <v>0</v>
      </c>
      <c r="BR1001" s="106" t="n">
        <v>0</v>
      </c>
      <c r="BS1001" s="106" t="n">
        <v>0</v>
      </c>
      <c r="BT1001" s="107"/>
      <c r="BU1001" s="107"/>
      <c r="BV1001" s="107"/>
      <c r="BW1001" s="107"/>
      <c r="BX1001" s="107"/>
      <c r="BY1001" s="107"/>
      <c r="BZ1001" s="107"/>
      <c r="CA1001" s="107"/>
      <c r="CB1001" s="107"/>
      <c r="CC1001" s="107"/>
      <c r="CD1001" s="107"/>
      <c r="CE1001" s="107"/>
      <c r="CF1001" s="107"/>
      <c r="CG1001" s="107"/>
      <c r="CH1001" s="107"/>
      <c r="CI1001" s="107"/>
      <c r="CJ1001" s="107"/>
      <c r="CK1001" s="107"/>
      <c r="CL1001" s="107"/>
      <c r="CM1001" s="107"/>
      <c r="CN1001" s="107"/>
      <c r="CO1001" s="107"/>
      <c r="CP1001" s="107"/>
      <c r="CQ1001" s="107"/>
      <c r="CR1001" s="107"/>
      <c r="CS1001" s="107"/>
      <c r="CT1001" s="107"/>
      <c r="CU1001" s="107"/>
      <c r="CV1001" s="107"/>
    </row>
    <row r="1002" customFormat="false" ht="14.9" hidden="false" customHeight="false" outlineLevel="0" collapsed="false">
      <c r="A1002" s="74" t="n">
        <f aca="false">MONTH(B1002)</f>
        <v>10</v>
      </c>
      <c r="B1002" s="135" t="n">
        <v>44491</v>
      </c>
      <c r="C1002" s="128" t="s">
        <v>63</v>
      </c>
      <c r="D1002" s="77" t="str">
        <f aca="false">IFERROR(VLOOKUP(E:E,'Item Data Support Sheet'!A:O,7,0),"")</f>
        <v>NIPPLE WRAP PRINTED</v>
      </c>
      <c r="E1002" s="80" t="s">
        <v>474</v>
      </c>
      <c r="F1002" s="122"/>
      <c r="G1002" s="137" t="s">
        <v>432</v>
      </c>
      <c r="H1002" s="79" t="str">
        <f aca="false">IFERROR(VLOOKUP(E:E,'Item Data Support Sheet'!A:O,2,0),"")</f>
        <v>NIPPLE S TYPE L SIZE WITH PRINTED WRAP</v>
      </c>
      <c r="I1002" s="80" t="s">
        <v>1657</v>
      </c>
      <c r="J1002" s="80" t="s">
        <v>155</v>
      </c>
      <c r="K1002" s="124" t="n">
        <v>8</v>
      </c>
      <c r="L1002" s="124" t="n">
        <v>16137</v>
      </c>
      <c r="M1002" s="83" t="n">
        <v>2017.125</v>
      </c>
      <c r="N1002" s="84" t="n">
        <f aca="false">+O1002+Q1002+T1002+U1002</f>
        <v>16200</v>
      </c>
      <c r="O1002" s="85" t="n">
        <v>16180</v>
      </c>
      <c r="P1002" s="86" t="n">
        <v>0</v>
      </c>
      <c r="Q1002" s="86" t="n">
        <v>0</v>
      </c>
      <c r="R1002" s="132" t="n">
        <v>0</v>
      </c>
      <c r="S1002" s="128" t="n">
        <v>0</v>
      </c>
      <c r="T1002" s="132" t="n">
        <v>20</v>
      </c>
      <c r="U1002" s="128" t="n">
        <v>0</v>
      </c>
      <c r="V1002" s="128" t="n">
        <v>2</v>
      </c>
      <c r="W1002" s="90" t="n">
        <f aca="false">IFERROR(O1002/V1002,0)</f>
        <v>8090</v>
      </c>
      <c r="X1002" s="91" t="n">
        <f aca="false">O1002/L1002</f>
        <v>1.00266468364628</v>
      </c>
      <c r="Y1002" s="92" t="str">
        <f aca="false">IFERROR(VLOOKUP(E:E,'Item Data Support Sheet'!A:J,6,0),0)</f>
        <v>FO021</v>
      </c>
      <c r="Z1002" s="93" t="n">
        <f aca="false">IFERROR(VLOOKUP(E:E,'Item Data Support Sheet'!A:O,4,0),0)</f>
        <v>0</v>
      </c>
      <c r="AA1002" s="93" t="n">
        <f aca="false">IFERROR(((N1002)*(Z1002/1000))+P1002,0)</f>
        <v>0</v>
      </c>
      <c r="AB1002" s="94" t="str">
        <f aca="false">IFERROR((O1002*(Z1002/1000)/(AA1002))," ")</f>
        <v> </v>
      </c>
      <c r="AC1002" s="95" t="n">
        <f aca="false">IFERROR((T1002)/((T1002)+O1002),0)</f>
        <v>0.00123456790123457</v>
      </c>
      <c r="AD1002" s="96" t="n">
        <f aca="false">IFERROR(Q1002/(Q1002+N1002),0)</f>
        <v>0</v>
      </c>
      <c r="AE1002" s="91" t="n">
        <f aca="false">(N1002-T1002)/N1002</f>
        <v>0.998765432098765</v>
      </c>
      <c r="AF1002" s="97" t="n">
        <f aca="false">BR1002</f>
        <v>0.833333333333333</v>
      </c>
      <c r="AG1002" s="98" t="n">
        <f aca="false">K1002-AF1002</f>
        <v>7.16666666666667</v>
      </c>
      <c r="AH1002" s="99" t="n">
        <f aca="false">IFERROR(AG1002/K1002," ")</f>
        <v>0.895833333333333</v>
      </c>
      <c r="AI1002" s="100" t="n">
        <f aca="false">IFERROR(O1002/K1002,0)</f>
        <v>2022.5</v>
      </c>
      <c r="AJ1002" s="101" t="n">
        <f aca="false">VLOOKUP(D1002,'Standard Cycle time'!C:D,2,0)</f>
        <v>2.5</v>
      </c>
      <c r="AK1002" s="101" t="n">
        <f aca="false">AG1002*V1002*3600/O1002</f>
        <v>3.18912237330037</v>
      </c>
      <c r="AL1002" s="102" t="n">
        <f aca="false">AJ1002/AK1002</f>
        <v>0.783914728682171</v>
      </c>
      <c r="AM1002" s="99" t="n">
        <f aca="false">AE1002*AL1002*AH1002</f>
        <v>0.701389960562414</v>
      </c>
      <c r="AN1002" s="103" t="n">
        <v>0.699560105180065</v>
      </c>
      <c r="AO1002" s="112"/>
      <c r="AP1002" s="105" t="n">
        <v>50</v>
      </c>
      <c r="AQ1002" s="105" t="n">
        <v>0</v>
      </c>
      <c r="AR1002" s="105" t="n">
        <v>0</v>
      </c>
      <c r="AS1002" s="105" t="n">
        <v>0</v>
      </c>
      <c r="AT1002" s="105" t="n">
        <v>0</v>
      </c>
      <c r="AU1002" s="105" t="n">
        <v>0</v>
      </c>
      <c r="AV1002" s="105" t="n">
        <v>0</v>
      </c>
      <c r="AW1002" s="105" t="n">
        <v>0</v>
      </c>
      <c r="AX1002" s="105" t="n">
        <v>0</v>
      </c>
      <c r="AY1002" s="105" t="n">
        <v>0</v>
      </c>
      <c r="AZ1002" s="105" t="n">
        <v>0</v>
      </c>
      <c r="BA1002" s="105" t="n">
        <v>0</v>
      </c>
      <c r="BB1002" s="105" t="n">
        <v>0</v>
      </c>
      <c r="BC1002" s="105" t="n">
        <v>0</v>
      </c>
      <c r="BD1002" s="105" t="n">
        <v>0</v>
      </c>
      <c r="BE1002" s="105" t="n">
        <v>0</v>
      </c>
      <c r="BF1002" s="105" t="n">
        <v>0</v>
      </c>
      <c r="BG1002" s="105" t="n">
        <v>0</v>
      </c>
      <c r="BH1002" s="105" t="n">
        <v>0</v>
      </c>
      <c r="BI1002" s="105" t="n">
        <v>0</v>
      </c>
      <c r="BJ1002" s="105" t="n">
        <v>0</v>
      </c>
      <c r="BK1002" s="105" t="n">
        <v>0</v>
      </c>
      <c r="BL1002" s="105" t="n">
        <v>0</v>
      </c>
      <c r="BM1002" s="105" t="n">
        <v>0</v>
      </c>
      <c r="BN1002" s="105" t="n">
        <v>0</v>
      </c>
      <c r="BO1002" s="105" t="n">
        <v>0</v>
      </c>
      <c r="BP1002" s="105" t="n">
        <v>0</v>
      </c>
      <c r="BQ1002" s="105" t="n">
        <v>0</v>
      </c>
      <c r="BR1002" s="106" t="n">
        <v>0.833333333333333</v>
      </c>
      <c r="BS1002" s="106" t="n">
        <v>0.833333333333333</v>
      </c>
      <c r="BT1002" s="107"/>
      <c r="BU1002" s="107"/>
      <c r="BV1002" s="107"/>
      <c r="BW1002" s="107"/>
      <c r="BX1002" s="107"/>
      <c r="BY1002" s="107"/>
      <c r="BZ1002" s="107"/>
      <c r="CA1002" s="107"/>
      <c r="CB1002" s="107"/>
      <c r="CC1002" s="107"/>
      <c r="CD1002" s="107"/>
      <c r="CE1002" s="107"/>
      <c r="CF1002" s="107"/>
      <c r="CG1002" s="107"/>
      <c r="CH1002" s="107"/>
      <c r="CI1002" s="107"/>
      <c r="CJ1002" s="107"/>
      <c r="CK1002" s="107"/>
      <c r="CL1002" s="107"/>
      <c r="CM1002" s="107"/>
      <c r="CN1002" s="107"/>
      <c r="CO1002" s="107"/>
      <c r="CP1002" s="107"/>
      <c r="CQ1002" s="107"/>
      <c r="CR1002" s="107"/>
      <c r="CS1002" s="107"/>
      <c r="CT1002" s="107"/>
      <c r="CU1002" s="107"/>
      <c r="CV1002" s="107"/>
    </row>
    <row r="1003" customFormat="false" ht="14.9" hidden="false" customHeight="false" outlineLevel="0" collapsed="false">
      <c r="A1003" s="74" t="n">
        <f aca="false">MONTH(B1003)</f>
        <v>10</v>
      </c>
      <c r="B1003" s="135" t="n">
        <v>44491</v>
      </c>
      <c r="C1003" s="128" t="s">
        <v>70</v>
      </c>
      <c r="D1003" s="77" t="str">
        <f aca="false">IFERROR(VLOOKUP(E:E,'Item Data Support Sheet'!A:O,7,0),"")</f>
        <v>NIPPLE MOLDED</v>
      </c>
      <c r="E1003" s="80" t="s">
        <v>244</v>
      </c>
      <c r="F1003" s="122" t="s">
        <v>137</v>
      </c>
      <c r="G1003" s="137" t="s">
        <v>138</v>
      </c>
      <c r="H1003" s="79" t="str">
        <f aca="false">IFERROR(VLOOKUP(E:E,'Item Data Support Sheet'!A:O,2,0),"")</f>
        <v>NIPPLE S TYPE S SIZE INJECTION</v>
      </c>
      <c r="I1003" s="80" t="s">
        <v>1786</v>
      </c>
      <c r="J1003" s="80" t="s">
        <v>155</v>
      </c>
      <c r="K1003" s="124" t="n">
        <v>8</v>
      </c>
      <c r="L1003" s="124" t="n">
        <v>4815</v>
      </c>
      <c r="M1003" s="83" t="n">
        <v>601.875</v>
      </c>
      <c r="N1003" s="84" t="n">
        <f aca="false">+O1003+Q1003+T1003+U1003</f>
        <v>5209</v>
      </c>
      <c r="O1003" s="85" t="n">
        <v>5000</v>
      </c>
      <c r="P1003" s="86" t="n">
        <v>10.2</v>
      </c>
      <c r="Q1003" s="86" t="n">
        <v>107</v>
      </c>
      <c r="R1003" s="132" t="n">
        <v>0</v>
      </c>
      <c r="S1003" s="128" t="n">
        <v>0</v>
      </c>
      <c r="T1003" s="132" t="n">
        <v>94</v>
      </c>
      <c r="U1003" s="128" t="n">
        <v>8</v>
      </c>
      <c r="V1003" s="128" t="n">
        <v>1</v>
      </c>
      <c r="W1003" s="90" t="n">
        <f aca="false">IFERROR(O1003/V1003,0)</f>
        <v>5000</v>
      </c>
      <c r="X1003" s="91" t="n">
        <f aca="false">O1003/L1003</f>
        <v>1.03842159916926</v>
      </c>
      <c r="Y1003" s="92" t="str">
        <f aca="false">IFERROR(VLOOKUP(E:E,'Item Data Support Sheet'!A:J,6,0),0)</f>
        <v>Silicon</v>
      </c>
      <c r="Z1003" s="93" t="n">
        <f aca="false">IFERROR(VLOOKUP(E:E,'Item Data Support Sheet'!A:O,4,0),0)</f>
        <v>6.8</v>
      </c>
      <c r="AA1003" s="93" t="n">
        <f aca="false">IFERROR(((N1003)*(Z1003/1000))+P1003,0)</f>
        <v>45.6212</v>
      </c>
      <c r="AB1003" s="94" t="n">
        <f aca="false">IFERROR((O1003*(Z1003/1000)/(AA1003))," ")</f>
        <v>0.745267551050827</v>
      </c>
      <c r="AC1003" s="95" t="n">
        <f aca="false">IFERROR((T1003)/((T1003)+O1003),0)</f>
        <v>0.0184530820573223</v>
      </c>
      <c r="AD1003" s="96" t="n">
        <f aca="false">IFERROR(Q1003/(Q1003+N1003),0)</f>
        <v>0.0201279157261099</v>
      </c>
      <c r="AE1003" s="91" t="n">
        <f aca="false">(N1003-T1003)/N1003</f>
        <v>0.981954309848339</v>
      </c>
      <c r="AF1003" s="97" t="n">
        <f aca="false">BR1003</f>
        <v>0</v>
      </c>
      <c r="AG1003" s="98" t="n">
        <f aca="false">K1003-AF1003</f>
        <v>8</v>
      </c>
      <c r="AH1003" s="99" t="n">
        <f aca="false">IFERROR(AG1003/K1003," ")</f>
        <v>1</v>
      </c>
      <c r="AI1003" s="100" t="n">
        <f aca="false">IFERROR(O1003/K1003,0)</f>
        <v>625</v>
      </c>
      <c r="AJ1003" s="101" t="n">
        <f aca="false">VLOOKUP(D1003,'Standard Cycle time'!C:D,2,0)</f>
        <v>5.25</v>
      </c>
      <c r="AK1003" s="101" t="n">
        <f aca="false">AG1003*V1003*3600/O1003</f>
        <v>5.76</v>
      </c>
      <c r="AL1003" s="102" t="n">
        <f aca="false">AJ1003/AK1003</f>
        <v>0.911458333333333</v>
      </c>
      <c r="AM1003" s="99" t="n">
        <f aca="false">AE1003*AL1003*AH1003</f>
        <v>0.895010438663851</v>
      </c>
      <c r="AN1003" s="103" t="n">
        <v>0.906169624485597</v>
      </c>
      <c r="AO1003" s="112" t="s">
        <v>1787</v>
      </c>
      <c r="AP1003" s="105" t="n">
        <v>0</v>
      </c>
      <c r="AQ1003" s="105" t="n">
        <v>0</v>
      </c>
      <c r="AR1003" s="105" t="n">
        <v>0</v>
      </c>
      <c r="AS1003" s="105" t="n">
        <v>0</v>
      </c>
      <c r="AT1003" s="105" t="n">
        <v>0</v>
      </c>
      <c r="AU1003" s="105" t="n">
        <v>0</v>
      </c>
      <c r="AV1003" s="105" t="n">
        <v>0</v>
      </c>
      <c r="AW1003" s="105" t="n">
        <v>0</v>
      </c>
      <c r="AX1003" s="105" t="n">
        <v>0</v>
      </c>
      <c r="AY1003" s="105" t="n">
        <v>0</v>
      </c>
      <c r="AZ1003" s="105" t="n">
        <v>0</v>
      </c>
      <c r="BA1003" s="105" t="n">
        <v>0</v>
      </c>
      <c r="BB1003" s="105" t="n">
        <v>0</v>
      </c>
      <c r="BC1003" s="105" t="n">
        <v>0</v>
      </c>
      <c r="BD1003" s="105" t="n">
        <v>0</v>
      </c>
      <c r="BE1003" s="105" t="n">
        <v>0</v>
      </c>
      <c r="BF1003" s="105" t="n">
        <v>0</v>
      </c>
      <c r="BG1003" s="105" t="n">
        <v>0</v>
      </c>
      <c r="BH1003" s="105" t="n">
        <v>0</v>
      </c>
      <c r="BI1003" s="105" t="n">
        <v>0</v>
      </c>
      <c r="BJ1003" s="105" t="n">
        <v>0</v>
      </c>
      <c r="BK1003" s="105" t="n">
        <v>0</v>
      </c>
      <c r="BL1003" s="105" t="n">
        <v>0</v>
      </c>
      <c r="BM1003" s="105" t="n">
        <v>0</v>
      </c>
      <c r="BN1003" s="105" t="n">
        <v>0</v>
      </c>
      <c r="BO1003" s="105" t="n">
        <v>0</v>
      </c>
      <c r="BP1003" s="105" t="n">
        <v>0</v>
      </c>
      <c r="BQ1003" s="105" t="n">
        <v>0</v>
      </c>
      <c r="BR1003" s="106" t="n">
        <v>0</v>
      </c>
      <c r="BS1003" s="106" t="n">
        <v>0</v>
      </c>
      <c r="BT1003" s="107"/>
      <c r="BU1003" s="107"/>
      <c r="BV1003" s="107"/>
      <c r="BW1003" s="107"/>
      <c r="BX1003" s="107"/>
      <c r="BY1003" s="107"/>
      <c r="BZ1003" s="107"/>
      <c r="CA1003" s="107"/>
      <c r="CB1003" s="107"/>
      <c r="CC1003" s="107"/>
      <c r="CD1003" s="107"/>
      <c r="CE1003" s="107"/>
      <c r="CF1003" s="107"/>
      <c r="CG1003" s="107"/>
      <c r="CH1003" s="107"/>
      <c r="CI1003" s="107"/>
      <c r="CJ1003" s="107"/>
      <c r="CK1003" s="107"/>
      <c r="CL1003" s="107"/>
      <c r="CM1003" s="107"/>
      <c r="CN1003" s="107"/>
      <c r="CO1003" s="107"/>
      <c r="CP1003" s="107"/>
      <c r="CQ1003" s="107"/>
      <c r="CR1003" s="107"/>
      <c r="CS1003" s="107"/>
      <c r="CT1003" s="107"/>
      <c r="CU1003" s="107"/>
      <c r="CV1003" s="107"/>
    </row>
    <row r="1004" customFormat="false" ht="14.9" hidden="false" customHeight="false" outlineLevel="0" collapsed="false">
      <c r="A1004" s="74" t="n">
        <f aca="false">MONTH(B1004)</f>
        <v>10</v>
      </c>
      <c r="B1004" s="135" t="n">
        <v>44491</v>
      </c>
      <c r="C1004" s="128" t="s">
        <v>70</v>
      </c>
      <c r="D1004" s="77" t="str">
        <f aca="false">IFERROR(VLOOKUP(E:E,'Item Data Support Sheet'!A:O,7,0),"")</f>
        <v>HOOD MOLDED</v>
      </c>
      <c r="E1004" s="80" t="s">
        <v>529</v>
      </c>
      <c r="F1004" s="122"/>
      <c r="G1004" s="137" t="s">
        <v>740</v>
      </c>
      <c r="H1004" s="79" t="str">
        <f aca="false">IFERROR(VLOOKUP(E:E,'Item Data Support Sheet'!A:O,2,0),"")</f>
        <v>HOOD S TYPE MOLDED</v>
      </c>
      <c r="I1004" s="80" t="s">
        <v>1788</v>
      </c>
      <c r="J1004" s="80" t="s">
        <v>155</v>
      </c>
      <c r="K1004" s="124" t="n">
        <v>8</v>
      </c>
      <c r="L1004" s="124" t="n">
        <v>4137</v>
      </c>
      <c r="M1004" s="83" t="n">
        <v>517.125</v>
      </c>
      <c r="N1004" s="84" t="n">
        <f aca="false">+O1004+Q1004+T1004+U1004</f>
        <v>5012</v>
      </c>
      <c r="O1004" s="85" t="n">
        <v>5000</v>
      </c>
      <c r="P1004" s="86" t="n">
        <v>0</v>
      </c>
      <c r="Q1004" s="86" t="n">
        <v>0</v>
      </c>
      <c r="R1004" s="132" t="n">
        <v>0</v>
      </c>
      <c r="S1004" s="128" t="n">
        <v>0</v>
      </c>
      <c r="T1004" s="132" t="n">
        <v>12</v>
      </c>
      <c r="U1004" s="128" t="n">
        <v>0</v>
      </c>
      <c r="V1004" s="128" t="n">
        <v>1</v>
      </c>
      <c r="W1004" s="90" t="n">
        <f aca="false">IFERROR(O1004/V1004,0)</f>
        <v>5000</v>
      </c>
      <c r="X1004" s="91" t="n">
        <f aca="false">O1004/L1004</f>
        <v>1.20860526951898</v>
      </c>
      <c r="Y1004" s="92" t="str">
        <f aca="false">IFERROR(VLOOKUP(E:E,'Item Data Support Sheet'!A:J,6,0),0)</f>
        <v>HMC</v>
      </c>
      <c r="Z1004" s="93" t="n">
        <f aca="false">IFERROR(VLOOKUP(E:E,'Item Data Support Sheet'!A:O,4,0),0)</f>
        <v>8.6</v>
      </c>
      <c r="AA1004" s="93" t="n">
        <f aca="false">IFERROR(((N1004)*(Z1004/1000))+P1004,0)</f>
        <v>43.1032</v>
      </c>
      <c r="AB1004" s="94" t="n">
        <f aca="false">IFERROR((O1004*(Z1004/1000)/(AA1004))," ")</f>
        <v>0.997605746209098</v>
      </c>
      <c r="AC1004" s="95" t="n">
        <f aca="false">IFERROR((T1004)/((T1004)+O1004),0)</f>
        <v>0.00239425379090184</v>
      </c>
      <c r="AD1004" s="96" t="n">
        <f aca="false">IFERROR(Q1004/(Q1004+N1004),0)</f>
        <v>0</v>
      </c>
      <c r="AE1004" s="91" t="n">
        <f aca="false">(N1004-T1004)/N1004</f>
        <v>0.997605746209098</v>
      </c>
      <c r="AF1004" s="97" t="n">
        <f aca="false">BR1004</f>
        <v>0.5</v>
      </c>
      <c r="AG1004" s="98" t="n">
        <f aca="false">K1004-AF1004</f>
        <v>7.5</v>
      </c>
      <c r="AH1004" s="99" t="n">
        <f aca="false">IFERROR(AG1004/K1004," ")</f>
        <v>0.9375</v>
      </c>
      <c r="AI1004" s="100" t="n">
        <f aca="false">IFERROR(O1004/K1004,0)</f>
        <v>625</v>
      </c>
      <c r="AJ1004" s="101" t="n">
        <f aca="false">VLOOKUP(D1004,'Standard Cycle time'!C:D,2,0)</f>
        <v>6</v>
      </c>
      <c r="AK1004" s="101" t="n">
        <f aca="false">AG1004*V1004*3600/O1004</f>
        <v>5.4</v>
      </c>
      <c r="AL1004" s="102" t="n">
        <f aca="false">AJ1004/AK1004</f>
        <v>1.11111111111111</v>
      </c>
      <c r="AM1004" s="99" t="n">
        <f aca="false">AE1004*AL1004*AH1004</f>
        <v>1.03917265230114</v>
      </c>
      <c r="AN1004" s="103" t="n">
        <v>1.03926697382735</v>
      </c>
      <c r="AO1004" s="112"/>
      <c r="AP1004" s="105" t="n">
        <v>0</v>
      </c>
      <c r="AQ1004" s="105" t="n">
        <v>0</v>
      </c>
      <c r="AR1004" s="105" t="n">
        <v>0</v>
      </c>
      <c r="AS1004" s="105" t="n">
        <v>0</v>
      </c>
      <c r="AT1004" s="105" t="n">
        <v>0</v>
      </c>
      <c r="AU1004" s="105" t="n">
        <v>0</v>
      </c>
      <c r="AV1004" s="105" t="n">
        <v>30</v>
      </c>
      <c r="AW1004" s="105" t="n">
        <v>0</v>
      </c>
      <c r="AX1004" s="105" t="n">
        <v>0</v>
      </c>
      <c r="AY1004" s="105" t="n">
        <v>0</v>
      </c>
      <c r="AZ1004" s="105" t="n">
        <v>0</v>
      </c>
      <c r="BA1004" s="105" t="n">
        <v>0</v>
      </c>
      <c r="BB1004" s="105" t="n">
        <v>0</v>
      </c>
      <c r="BC1004" s="105" t="n">
        <v>0</v>
      </c>
      <c r="BD1004" s="105" t="n">
        <v>0</v>
      </c>
      <c r="BE1004" s="105" t="n">
        <v>0</v>
      </c>
      <c r="BF1004" s="105" t="n">
        <v>0</v>
      </c>
      <c r="BG1004" s="105" t="n">
        <v>0</v>
      </c>
      <c r="BH1004" s="105" t="n">
        <v>0</v>
      </c>
      <c r="BI1004" s="105" t="n">
        <v>0</v>
      </c>
      <c r="BJ1004" s="105" t="n">
        <v>0</v>
      </c>
      <c r="BK1004" s="105" t="n">
        <v>0</v>
      </c>
      <c r="BL1004" s="105" t="n">
        <v>0</v>
      </c>
      <c r="BM1004" s="105" t="n">
        <v>0</v>
      </c>
      <c r="BN1004" s="105" t="n">
        <v>0</v>
      </c>
      <c r="BO1004" s="105" t="n">
        <v>0</v>
      </c>
      <c r="BP1004" s="105" t="n">
        <v>0</v>
      </c>
      <c r="BQ1004" s="105" t="n">
        <v>0</v>
      </c>
      <c r="BR1004" s="106" t="n">
        <v>0.5</v>
      </c>
      <c r="BS1004" s="106" t="n">
        <v>0.5</v>
      </c>
      <c r="BT1004" s="107"/>
      <c r="BU1004" s="107"/>
      <c r="BV1004" s="107"/>
      <c r="BW1004" s="107"/>
      <c r="BX1004" s="107"/>
      <c r="BY1004" s="107"/>
      <c r="BZ1004" s="107"/>
      <c r="CA1004" s="107"/>
      <c r="CB1004" s="107"/>
      <c r="CC1004" s="107"/>
      <c r="CD1004" s="107"/>
      <c r="CE1004" s="107"/>
      <c r="CF1004" s="107"/>
      <c r="CG1004" s="107"/>
      <c r="CH1004" s="107"/>
      <c r="CI1004" s="107"/>
      <c r="CJ1004" s="107"/>
      <c r="CK1004" s="107"/>
      <c r="CL1004" s="107"/>
      <c r="CM1004" s="107"/>
      <c r="CN1004" s="107"/>
      <c r="CO1004" s="107"/>
      <c r="CP1004" s="107"/>
      <c r="CQ1004" s="107"/>
      <c r="CR1004" s="107"/>
      <c r="CS1004" s="107"/>
      <c r="CT1004" s="107"/>
      <c r="CU1004" s="107"/>
      <c r="CV1004" s="107"/>
    </row>
    <row r="1005" customFormat="false" ht="14.9" hidden="false" customHeight="false" outlineLevel="0" collapsed="false">
      <c r="A1005" s="74" t="n">
        <f aca="false">MONTH(B1005)</f>
        <v>10</v>
      </c>
      <c r="B1005" s="135" t="n">
        <v>44491</v>
      </c>
      <c r="C1005" s="128" t="s">
        <v>70</v>
      </c>
      <c r="D1005" s="77" t="str">
        <f aca="false">IFERROR(VLOOKUP(E:E,'Item Data Support Sheet'!A:O,7,0),"")</f>
        <v>BOTTLE MOLDED</v>
      </c>
      <c r="E1005" s="80" t="s">
        <v>69</v>
      </c>
      <c r="F1005" s="122" t="s">
        <v>73</v>
      </c>
      <c r="G1005" s="137" t="s">
        <v>74</v>
      </c>
      <c r="H1005" s="79" t="str">
        <f aca="false">IFERROR(VLOOKUP(E:E,'Item Data Support Sheet'!A:O,2,0),"")</f>
        <v>KPP 240 ML BOTTLE MOLDED</v>
      </c>
      <c r="I1005" s="80" t="s">
        <v>1789</v>
      </c>
      <c r="J1005" s="80" t="s">
        <v>155</v>
      </c>
      <c r="K1005" s="124" t="n">
        <v>8</v>
      </c>
      <c r="L1005" s="124" t="n">
        <v>2574</v>
      </c>
      <c r="M1005" s="83" t="n">
        <v>321.75</v>
      </c>
      <c r="N1005" s="84" t="n">
        <f aca="false">+O1005+Q1005+T1005+U1005</f>
        <v>3145</v>
      </c>
      <c r="O1005" s="85" t="n">
        <v>3024</v>
      </c>
      <c r="P1005" s="86" t="n">
        <v>0</v>
      </c>
      <c r="Q1005" s="86" t="n">
        <v>30</v>
      </c>
      <c r="R1005" s="132" t="n">
        <v>0</v>
      </c>
      <c r="S1005" s="128" t="n">
        <v>0</v>
      </c>
      <c r="T1005" s="132" t="n">
        <v>91</v>
      </c>
      <c r="U1005" s="128" t="n">
        <v>0</v>
      </c>
      <c r="V1005" s="128" t="n">
        <v>1</v>
      </c>
      <c r="W1005" s="90" t="n">
        <f aca="false">IFERROR(O1005/V1005,0)</f>
        <v>3024</v>
      </c>
      <c r="X1005" s="91" t="n">
        <f aca="false">O1005/L1005</f>
        <v>1.17482517482517</v>
      </c>
      <c r="Y1005" s="92" t="str">
        <f aca="false">IFERROR(VLOOKUP(E:E,'Item Data Support Sheet'!A:J,6,0),0)</f>
        <v>HMC</v>
      </c>
      <c r="Z1005" s="93" t="n">
        <f aca="false">IFERROR(VLOOKUP(E:E,'Item Data Support Sheet'!A:O,4,0),0)</f>
        <v>32.1</v>
      </c>
      <c r="AA1005" s="93" t="n">
        <f aca="false">IFERROR(((N1005)*(Z1005/1000))+P1005,0)</f>
        <v>100.9545</v>
      </c>
      <c r="AB1005" s="94" t="n">
        <f aca="false">IFERROR((O1005*(Z1005/1000)/(AA1005))," ")</f>
        <v>0.961526232114467</v>
      </c>
      <c r="AC1005" s="95" t="n">
        <f aca="false">IFERROR((T1005)/((T1005)+O1005),0)</f>
        <v>0.0292134831460674</v>
      </c>
      <c r="AD1005" s="96" t="n">
        <f aca="false">IFERROR(Q1005/(Q1005+N1005),0)</f>
        <v>0.00944881889763779</v>
      </c>
      <c r="AE1005" s="91" t="n">
        <f aca="false">(N1005-T1005)/N1005</f>
        <v>0.971065182829889</v>
      </c>
      <c r="AF1005" s="97" t="n">
        <f aca="false">BR1005</f>
        <v>0</v>
      </c>
      <c r="AG1005" s="98" t="n">
        <f aca="false">K1005-AF1005</f>
        <v>8</v>
      </c>
      <c r="AH1005" s="99" t="n">
        <f aca="false">IFERROR(AG1005/K1005," ")</f>
        <v>1</v>
      </c>
      <c r="AI1005" s="100" t="n">
        <f aca="false">IFERROR(O1005/K1005,0)</f>
        <v>378</v>
      </c>
      <c r="AJ1005" s="101" t="n">
        <f aca="false">VLOOKUP(D1005,'Standard Cycle time'!C:D,2,0)</f>
        <v>9</v>
      </c>
      <c r="AK1005" s="101" t="n">
        <f aca="false">AG1005*V1005*3600/O1005</f>
        <v>9.52380952380952</v>
      </c>
      <c r="AL1005" s="102" t="n">
        <f aca="false">AJ1005/AK1005</f>
        <v>0.945</v>
      </c>
      <c r="AM1005" s="99" t="n">
        <f aca="false">AE1005*AL1005*AH1005</f>
        <v>0.917656597774245</v>
      </c>
      <c r="AN1005" s="103" t="n">
        <v>0.92784217877095</v>
      </c>
      <c r="AO1005" s="112"/>
      <c r="AP1005" s="105" t="n">
        <v>0</v>
      </c>
      <c r="AQ1005" s="105" t="n">
        <v>0</v>
      </c>
      <c r="AR1005" s="105" t="n">
        <v>0</v>
      </c>
      <c r="AS1005" s="105" t="n">
        <v>0</v>
      </c>
      <c r="AT1005" s="105" t="n">
        <v>0</v>
      </c>
      <c r="AU1005" s="105" t="n">
        <v>0</v>
      </c>
      <c r="AV1005" s="105" t="n">
        <v>0</v>
      </c>
      <c r="AW1005" s="105" t="n">
        <v>0</v>
      </c>
      <c r="AX1005" s="105" t="n">
        <v>0</v>
      </c>
      <c r="AY1005" s="105" t="n">
        <v>0</v>
      </c>
      <c r="AZ1005" s="105" t="n">
        <v>0</v>
      </c>
      <c r="BA1005" s="105" t="n">
        <v>0</v>
      </c>
      <c r="BB1005" s="105" t="n">
        <v>0</v>
      </c>
      <c r="BC1005" s="105" t="n">
        <v>0</v>
      </c>
      <c r="BD1005" s="105" t="n">
        <v>0</v>
      </c>
      <c r="BE1005" s="105" t="n">
        <v>0</v>
      </c>
      <c r="BF1005" s="105" t="n">
        <v>0</v>
      </c>
      <c r="BG1005" s="105" t="n">
        <v>0</v>
      </c>
      <c r="BH1005" s="105" t="n">
        <v>0</v>
      </c>
      <c r="BI1005" s="105" t="n">
        <v>0</v>
      </c>
      <c r="BJ1005" s="105" t="n">
        <v>0</v>
      </c>
      <c r="BK1005" s="105" t="n">
        <v>0</v>
      </c>
      <c r="BL1005" s="105" t="n">
        <v>0</v>
      </c>
      <c r="BM1005" s="105" t="n">
        <v>0</v>
      </c>
      <c r="BN1005" s="105" t="n">
        <v>0</v>
      </c>
      <c r="BO1005" s="105" t="n">
        <v>0</v>
      </c>
      <c r="BP1005" s="105" t="n">
        <v>0</v>
      </c>
      <c r="BQ1005" s="105" t="n">
        <v>0</v>
      </c>
      <c r="BR1005" s="106" t="n">
        <v>0</v>
      </c>
      <c r="BS1005" s="106" t="n">
        <v>0</v>
      </c>
      <c r="BT1005" s="107"/>
      <c r="BU1005" s="107"/>
      <c r="BV1005" s="107"/>
      <c r="BW1005" s="107"/>
      <c r="BX1005" s="107"/>
      <c r="BY1005" s="107"/>
      <c r="BZ1005" s="107"/>
      <c r="CA1005" s="107"/>
      <c r="CB1005" s="107"/>
      <c r="CC1005" s="107"/>
      <c r="CD1005" s="107"/>
      <c r="CE1005" s="107"/>
      <c r="CF1005" s="107"/>
      <c r="CG1005" s="107"/>
      <c r="CH1005" s="107"/>
      <c r="CI1005" s="107"/>
      <c r="CJ1005" s="107"/>
      <c r="CK1005" s="107"/>
      <c r="CL1005" s="107"/>
      <c r="CM1005" s="107"/>
      <c r="CN1005" s="107"/>
      <c r="CO1005" s="107"/>
      <c r="CP1005" s="107"/>
      <c r="CQ1005" s="107"/>
      <c r="CR1005" s="107"/>
      <c r="CS1005" s="107"/>
      <c r="CT1005" s="107"/>
      <c r="CU1005" s="107"/>
      <c r="CV1005" s="107"/>
    </row>
    <row r="1006" customFormat="false" ht="14.9" hidden="false" customHeight="false" outlineLevel="0" collapsed="false">
      <c r="A1006" s="74" t="n">
        <f aca="false">MONTH(B1006)</f>
        <v>10</v>
      </c>
      <c r="B1006" s="135" t="n">
        <v>44491</v>
      </c>
      <c r="C1006" s="128" t="s">
        <v>70</v>
      </c>
      <c r="D1006" s="77" t="str">
        <f aca="false">IFERROR(VLOOKUP(E:E,'Item Data Support Sheet'!A:O,7,0),"")</f>
        <v>NIPPLE PUNCH</v>
      </c>
      <c r="E1006" s="80" t="s">
        <v>53</v>
      </c>
      <c r="F1006" s="122"/>
      <c r="G1006" s="137" t="s">
        <v>54</v>
      </c>
      <c r="H1006" s="79" t="str">
        <f aca="false">IFERROR(VLOOKUP(E:E,'Item Data Support Sheet'!A:O,2,0),"")</f>
        <v>NIPPLE S TYPE S SIZE PUNCHED</v>
      </c>
      <c r="I1006" s="80" t="s">
        <v>1790</v>
      </c>
      <c r="J1006" s="80" t="s">
        <v>155</v>
      </c>
      <c r="K1006" s="124" t="n">
        <v>3</v>
      </c>
      <c r="L1006" s="124" t="n">
        <v>2600</v>
      </c>
      <c r="M1006" s="83" t="n">
        <v>866.666666666667</v>
      </c>
      <c r="N1006" s="84" t="n">
        <f aca="false">+O1006+Q1006+T1006+U1006</f>
        <v>3000</v>
      </c>
      <c r="O1006" s="85" t="n">
        <v>2992</v>
      </c>
      <c r="P1006" s="86" t="n">
        <v>0</v>
      </c>
      <c r="Q1006" s="86" t="n">
        <v>0</v>
      </c>
      <c r="R1006" s="132" t="n">
        <v>0</v>
      </c>
      <c r="S1006" s="128" t="n">
        <v>0</v>
      </c>
      <c r="T1006" s="132" t="n">
        <v>0</v>
      </c>
      <c r="U1006" s="128" t="n">
        <v>8</v>
      </c>
      <c r="V1006" s="128" t="n">
        <v>1</v>
      </c>
      <c r="W1006" s="90" t="n">
        <f aca="false">IFERROR(O1006/V1006,0)</f>
        <v>2992</v>
      </c>
      <c r="X1006" s="91" t="n">
        <f aca="false">O1006/L1006</f>
        <v>1.15076923076923</v>
      </c>
      <c r="Y1006" s="92" t="str">
        <f aca="false">IFERROR(VLOOKUP(E:E,'Item Data Support Sheet'!A:J,6,0),0)</f>
        <v>FO015</v>
      </c>
      <c r="Z1006" s="93" t="n">
        <f aca="false">IFERROR(VLOOKUP(E:E,'Item Data Support Sheet'!A:O,4,0),0)</f>
        <v>0</v>
      </c>
      <c r="AA1006" s="93" t="n">
        <f aca="false">IFERROR(((N1006)*(Z1006/1000))+P1006,0)</f>
        <v>0</v>
      </c>
      <c r="AB1006" s="94" t="str">
        <f aca="false">IFERROR((O1006*(Z1006/1000)/(AA1006))," ")</f>
        <v> </v>
      </c>
      <c r="AC1006" s="95" t="n">
        <f aca="false">IFERROR((T1006)/((T1006)+O1006),0)</f>
        <v>0</v>
      </c>
      <c r="AD1006" s="96" t="n">
        <f aca="false">IFERROR(Q1006/(Q1006+N1006),0)</f>
        <v>0</v>
      </c>
      <c r="AE1006" s="91" t="n">
        <f aca="false">(N1006-T1006)/N1006</f>
        <v>1</v>
      </c>
      <c r="AF1006" s="97" t="n">
        <f aca="false">BR1006</f>
        <v>0.666666666666667</v>
      </c>
      <c r="AG1006" s="98" t="n">
        <f aca="false">K1006-AF1006</f>
        <v>2.33333333333333</v>
      </c>
      <c r="AH1006" s="99" t="n">
        <f aca="false">IFERROR(AG1006/K1006," ")</f>
        <v>0.777777777777778</v>
      </c>
      <c r="AI1006" s="100" t="n">
        <f aca="false">IFERROR(O1006/K1006,0)</f>
        <v>997.333333333333</v>
      </c>
      <c r="AJ1006" s="101" t="n">
        <f aca="false">VLOOKUP(D1006,'Standard Cycle time'!C:D,2,0)</f>
        <v>3.5</v>
      </c>
      <c r="AK1006" s="101" t="n">
        <f aca="false">AG1006*V1006*3600/O1006</f>
        <v>2.80748663101604</v>
      </c>
      <c r="AL1006" s="102" t="n">
        <f aca="false">AJ1006/AK1006</f>
        <v>1.24666666666667</v>
      </c>
      <c r="AM1006" s="99" t="n">
        <f aca="false">AE1006*AL1006*AH1006</f>
        <v>0.96962962962963</v>
      </c>
      <c r="AN1006" s="103" t="n">
        <v>0.96962962962963</v>
      </c>
      <c r="AO1006" s="112"/>
      <c r="AP1006" s="105" t="n">
        <v>40</v>
      </c>
      <c r="AQ1006" s="105" t="n">
        <v>0</v>
      </c>
      <c r="AR1006" s="105" t="n">
        <v>0</v>
      </c>
      <c r="AS1006" s="105" t="n">
        <v>0</v>
      </c>
      <c r="AT1006" s="105" t="n">
        <v>0</v>
      </c>
      <c r="AU1006" s="105" t="n">
        <v>0</v>
      </c>
      <c r="AV1006" s="105" t="n">
        <v>0</v>
      </c>
      <c r="AW1006" s="105" t="n">
        <v>0</v>
      </c>
      <c r="AX1006" s="105" t="n">
        <v>0</v>
      </c>
      <c r="AY1006" s="105" t="n">
        <v>0</v>
      </c>
      <c r="AZ1006" s="105" t="n">
        <v>0</v>
      </c>
      <c r="BA1006" s="105" t="n">
        <v>0</v>
      </c>
      <c r="BB1006" s="105" t="n">
        <v>0</v>
      </c>
      <c r="BC1006" s="105" t="n">
        <v>0</v>
      </c>
      <c r="BD1006" s="105" t="n">
        <v>0</v>
      </c>
      <c r="BE1006" s="105" t="n">
        <v>0</v>
      </c>
      <c r="BF1006" s="105" t="n">
        <v>0</v>
      </c>
      <c r="BG1006" s="105" t="n">
        <v>0</v>
      </c>
      <c r="BH1006" s="105" t="n">
        <v>0</v>
      </c>
      <c r="BI1006" s="105" t="n">
        <v>0</v>
      </c>
      <c r="BJ1006" s="105" t="n">
        <v>0</v>
      </c>
      <c r="BK1006" s="105" t="n">
        <v>0</v>
      </c>
      <c r="BL1006" s="105" t="n">
        <v>0</v>
      </c>
      <c r="BM1006" s="105" t="n">
        <v>0</v>
      </c>
      <c r="BN1006" s="105" t="n">
        <v>0</v>
      </c>
      <c r="BO1006" s="105" t="n">
        <v>0</v>
      </c>
      <c r="BP1006" s="105" t="n">
        <v>0</v>
      </c>
      <c r="BQ1006" s="105" t="n">
        <v>0</v>
      </c>
      <c r="BR1006" s="106" t="n">
        <v>0.666666666666667</v>
      </c>
      <c r="BS1006" s="106" t="n">
        <v>0.666666666666667</v>
      </c>
      <c r="BT1006" s="107"/>
      <c r="BU1006" s="107"/>
      <c r="BV1006" s="107"/>
      <c r="BW1006" s="107"/>
      <c r="BX1006" s="107"/>
      <c r="BY1006" s="107"/>
      <c r="BZ1006" s="107"/>
      <c r="CA1006" s="107"/>
      <c r="CB1006" s="107"/>
      <c r="CC1006" s="107"/>
      <c r="CD1006" s="107"/>
      <c r="CE1006" s="107"/>
      <c r="CF1006" s="107"/>
      <c r="CG1006" s="107"/>
      <c r="CH1006" s="107"/>
      <c r="CI1006" s="107"/>
      <c r="CJ1006" s="107"/>
      <c r="CK1006" s="107"/>
      <c r="CL1006" s="107"/>
      <c r="CM1006" s="107"/>
      <c r="CN1006" s="107"/>
      <c r="CO1006" s="107"/>
      <c r="CP1006" s="107"/>
      <c r="CQ1006" s="107"/>
      <c r="CR1006" s="107"/>
      <c r="CS1006" s="107"/>
      <c r="CT1006" s="107"/>
      <c r="CU1006" s="107"/>
      <c r="CV1006" s="107"/>
    </row>
    <row r="1007" customFormat="false" ht="14.9" hidden="false" customHeight="false" outlineLevel="0" collapsed="false">
      <c r="A1007" s="74" t="n">
        <f aca="false">MONTH(B1007)</f>
        <v>10</v>
      </c>
      <c r="B1007" s="135" t="n">
        <v>44491</v>
      </c>
      <c r="C1007" s="128" t="s">
        <v>70</v>
      </c>
      <c r="D1007" s="77" t="str">
        <f aca="false">IFERROR(VLOOKUP(E:E,'Item Data Support Sheet'!A:O,7,0),"")</f>
        <v>NIPPLE LASER MARKING</v>
      </c>
      <c r="E1007" s="80" t="s">
        <v>444</v>
      </c>
      <c r="F1007" s="122"/>
      <c r="G1007" s="137" t="s">
        <v>517</v>
      </c>
      <c r="H1007" s="79" t="str">
        <f aca="false">IFERROR(VLOOKUP(E:E,'Item Data Support Sheet'!A:O,2,0),"")</f>
        <v>NIPPLE S TYPE S SIZE PUNCHED LASER MARKED</v>
      </c>
      <c r="I1007" s="80" t="s">
        <v>1791</v>
      </c>
      <c r="J1007" s="80" t="s">
        <v>155</v>
      </c>
      <c r="K1007" s="124" t="n">
        <v>2</v>
      </c>
      <c r="L1007" s="124" t="n">
        <v>1750</v>
      </c>
      <c r="M1007" s="83" t="n">
        <v>875</v>
      </c>
      <c r="N1007" s="84" t="n">
        <f aca="false">+O1007+Q1007+T1007+U1007</f>
        <v>2040</v>
      </c>
      <c r="O1007" s="85" t="n">
        <v>2040</v>
      </c>
      <c r="P1007" s="86" t="n">
        <v>0</v>
      </c>
      <c r="Q1007" s="86" t="n">
        <v>0</v>
      </c>
      <c r="R1007" s="132" t="n">
        <v>0</v>
      </c>
      <c r="S1007" s="128" t="n">
        <v>0</v>
      </c>
      <c r="T1007" s="132" t="n">
        <v>0</v>
      </c>
      <c r="U1007" s="128" t="n">
        <v>0</v>
      </c>
      <c r="V1007" s="128" t="n">
        <v>1</v>
      </c>
      <c r="W1007" s="90" t="n">
        <f aca="false">IFERROR(O1007/V1007,0)</f>
        <v>2040</v>
      </c>
      <c r="X1007" s="91" t="n">
        <f aca="false">O1007/L1007</f>
        <v>1.16571428571429</v>
      </c>
      <c r="Y1007" s="92" t="str">
        <f aca="false">IFERROR(VLOOKUP(E:E,'Item Data Support Sheet'!A:J,6,0),0)</f>
        <v>FO019</v>
      </c>
      <c r="Z1007" s="93" t="n">
        <f aca="false">IFERROR(VLOOKUP(E:E,'Item Data Support Sheet'!A:O,4,0),0)</f>
        <v>0</v>
      </c>
      <c r="AA1007" s="93" t="n">
        <f aca="false">IFERROR(((N1007)*(Z1007/1000))+P1007,0)</f>
        <v>0</v>
      </c>
      <c r="AB1007" s="94" t="str">
        <f aca="false">IFERROR((O1007*(Z1007/1000)/(AA1007))," ")</f>
        <v> </v>
      </c>
      <c r="AC1007" s="95" t="n">
        <f aca="false">IFERROR((T1007)/((T1007)+O1007),0)</f>
        <v>0</v>
      </c>
      <c r="AD1007" s="96" t="n">
        <f aca="false">IFERROR(Q1007/(Q1007+N1007),0)</f>
        <v>0</v>
      </c>
      <c r="AE1007" s="91" t="n">
        <f aca="false">(N1007-T1007)/N1007</f>
        <v>1</v>
      </c>
      <c r="AF1007" s="97" t="n">
        <f aca="false">BR1007</f>
        <v>0.666666666666667</v>
      </c>
      <c r="AG1007" s="98" t="n">
        <f aca="false">K1007-AF1007</f>
        <v>1.33333333333333</v>
      </c>
      <c r="AH1007" s="99" t="n">
        <f aca="false">IFERROR(AG1007/K1007," ")</f>
        <v>0.666666666666667</v>
      </c>
      <c r="AI1007" s="100" t="n">
        <f aca="false">IFERROR(O1007/K1007,0)</f>
        <v>1020</v>
      </c>
      <c r="AJ1007" s="101" t="n">
        <f aca="false">VLOOKUP(D1007,'Standard Cycle time'!C:D,2,0)</f>
        <v>3.5</v>
      </c>
      <c r="AK1007" s="101" t="n">
        <f aca="false">AG1007*V1007*3600/O1007</f>
        <v>2.35294117647059</v>
      </c>
      <c r="AL1007" s="102" t="n">
        <f aca="false">AJ1007/AK1007</f>
        <v>1.4875</v>
      </c>
      <c r="AM1007" s="99" t="n">
        <f aca="false">AE1007*AL1007*AH1007</f>
        <v>0.991666666666667</v>
      </c>
      <c r="AN1007" s="103" t="n">
        <v>0.991666666666666</v>
      </c>
      <c r="AO1007" s="112"/>
      <c r="AP1007" s="105" t="n">
        <v>40</v>
      </c>
      <c r="AQ1007" s="105" t="n">
        <v>0</v>
      </c>
      <c r="AR1007" s="105" t="n">
        <v>0</v>
      </c>
      <c r="AS1007" s="105" t="n">
        <v>0</v>
      </c>
      <c r="AT1007" s="105" t="n">
        <v>0</v>
      </c>
      <c r="AU1007" s="105" t="n">
        <v>0</v>
      </c>
      <c r="AV1007" s="105" t="n">
        <v>0</v>
      </c>
      <c r="AW1007" s="105" t="n">
        <v>0</v>
      </c>
      <c r="AX1007" s="105" t="n">
        <v>0</v>
      </c>
      <c r="AY1007" s="105" t="n">
        <v>0</v>
      </c>
      <c r="AZ1007" s="105" t="n">
        <v>0</v>
      </c>
      <c r="BA1007" s="105" t="n">
        <v>0</v>
      </c>
      <c r="BB1007" s="105" t="n">
        <v>0</v>
      </c>
      <c r="BC1007" s="105" t="n">
        <v>0</v>
      </c>
      <c r="BD1007" s="105" t="n">
        <v>0</v>
      </c>
      <c r="BE1007" s="105" t="n">
        <v>0</v>
      </c>
      <c r="BF1007" s="105" t="n">
        <v>0</v>
      </c>
      <c r="BG1007" s="105" t="n">
        <v>0</v>
      </c>
      <c r="BH1007" s="105" t="n">
        <v>0</v>
      </c>
      <c r="BI1007" s="105" t="n">
        <v>0</v>
      </c>
      <c r="BJ1007" s="105" t="n">
        <v>0</v>
      </c>
      <c r="BK1007" s="105" t="n">
        <v>0</v>
      </c>
      <c r="BL1007" s="105" t="n">
        <v>0</v>
      </c>
      <c r="BM1007" s="105" t="n">
        <v>0</v>
      </c>
      <c r="BN1007" s="105" t="n">
        <v>0</v>
      </c>
      <c r="BO1007" s="105" t="n">
        <v>0</v>
      </c>
      <c r="BP1007" s="105" t="n">
        <v>0</v>
      </c>
      <c r="BQ1007" s="105" t="n">
        <v>0</v>
      </c>
      <c r="BR1007" s="106" t="n">
        <v>0.666666666666667</v>
      </c>
      <c r="BS1007" s="106" t="n">
        <v>0.666666666666667</v>
      </c>
      <c r="BT1007" s="107"/>
      <c r="BU1007" s="107"/>
      <c r="BV1007" s="107"/>
      <c r="BW1007" s="107"/>
      <c r="BX1007" s="107"/>
      <c r="BY1007" s="107"/>
      <c r="BZ1007" s="107"/>
      <c r="CA1007" s="107"/>
      <c r="CB1007" s="107"/>
      <c r="CC1007" s="107"/>
      <c r="CD1007" s="107"/>
      <c r="CE1007" s="107"/>
      <c r="CF1007" s="107"/>
      <c r="CG1007" s="107"/>
      <c r="CH1007" s="107"/>
      <c r="CI1007" s="107"/>
      <c r="CJ1007" s="107"/>
      <c r="CK1007" s="107"/>
      <c r="CL1007" s="107"/>
      <c r="CM1007" s="107"/>
      <c r="CN1007" s="107"/>
      <c r="CO1007" s="107"/>
      <c r="CP1007" s="107"/>
      <c r="CQ1007" s="107"/>
      <c r="CR1007" s="107"/>
      <c r="CS1007" s="107"/>
      <c r="CT1007" s="107"/>
      <c r="CU1007" s="107"/>
      <c r="CV1007" s="107"/>
    </row>
    <row r="1008" customFormat="false" ht="14.9" hidden="false" customHeight="false" outlineLevel="0" collapsed="false">
      <c r="A1008" s="74" t="n">
        <f aca="false">MONTH(B1008)</f>
        <v>10</v>
      </c>
      <c r="B1008" s="135" t="n">
        <v>44491</v>
      </c>
      <c r="C1008" s="128" t="s">
        <v>70</v>
      </c>
      <c r="D1008" s="77" t="str">
        <f aca="false">IFERROR(VLOOKUP(E:E,'Item Data Support Sheet'!A:O,7,0),"")</f>
        <v>BOTTLE PRINTED</v>
      </c>
      <c r="E1008" s="80" t="s">
        <v>65</v>
      </c>
      <c r="F1008" s="122"/>
      <c r="G1008" s="137"/>
      <c r="H1008" s="79" t="str">
        <f aca="false">IFERROR(VLOOKUP(E:E,'Item Data Support Sheet'!A:O,2,0),"")</f>
        <v>KPP 240 ML BOTTLE PRINTED</v>
      </c>
      <c r="I1008" s="80" t="s">
        <v>1792</v>
      </c>
      <c r="J1008" s="80" t="s">
        <v>155</v>
      </c>
      <c r="K1008" s="124" t="n">
        <v>8</v>
      </c>
      <c r="L1008" s="124" t="n">
        <v>5100</v>
      </c>
      <c r="M1008" s="83" t="n">
        <v>637.5</v>
      </c>
      <c r="N1008" s="84" t="n">
        <f aca="false">+O1008+Q1008+T1008+U1008</f>
        <v>5426</v>
      </c>
      <c r="O1008" s="85" t="n">
        <v>5400</v>
      </c>
      <c r="P1008" s="86" t="n">
        <v>0</v>
      </c>
      <c r="Q1008" s="86" t="n">
        <v>0</v>
      </c>
      <c r="R1008" s="132" t="n">
        <v>43</v>
      </c>
      <c r="S1008" s="128" t="n">
        <v>0</v>
      </c>
      <c r="T1008" s="132" t="n">
        <v>26</v>
      </c>
      <c r="U1008" s="128" t="n">
        <v>0</v>
      </c>
      <c r="V1008" s="128" t="n">
        <v>6</v>
      </c>
      <c r="W1008" s="90" t="n">
        <f aca="false">IFERROR(O1008/V1008,0)</f>
        <v>900</v>
      </c>
      <c r="X1008" s="91" t="n">
        <f aca="false">O1008/L1008</f>
        <v>1.05882352941176</v>
      </c>
      <c r="Y1008" s="92" t="str">
        <f aca="false">IFERROR(VLOOKUP(E:E,'Item Data Support Sheet'!A:J,6,0),0)</f>
        <v>FO003</v>
      </c>
      <c r="Z1008" s="93" t="n">
        <f aca="false">IFERROR(VLOOKUP(E:E,'Item Data Support Sheet'!A:O,4,0),0)</f>
        <v>0</v>
      </c>
      <c r="AA1008" s="93" t="n">
        <f aca="false">IFERROR(((N1008)*(Z1008/1000))+P1008,0)</f>
        <v>0</v>
      </c>
      <c r="AB1008" s="94" t="str">
        <f aca="false">IFERROR((O1008*(Z1008/1000)/(AA1008))," ")</f>
        <v> </v>
      </c>
      <c r="AC1008" s="95" t="n">
        <f aca="false">IFERROR((T1008)/((T1008)+O1008),0)</f>
        <v>0.0047917434574272</v>
      </c>
      <c r="AD1008" s="96" t="n">
        <f aca="false">IFERROR(Q1008/(Q1008+N1008),0)</f>
        <v>0</v>
      </c>
      <c r="AE1008" s="91" t="n">
        <f aca="false">(N1008-T1008)/N1008</f>
        <v>0.995208256542573</v>
      </c>
      <c r="AF1008" s="97" t="n">
        <f aca="false">BR1008</f>
        <v>0</v>
      </c>
      <c r="AG1008" s="98" t="n">
        <f aca="false">K1008-AF1008</f>
        <v>8</v>
      </c>
      <c r="AH1008" s="99" t="n">
        <f aca="false">IFERROR(AG1008/K1008," ")</f>
        <v>1</v>
      </c>
      <c r="AI1008" s="100" t="n">
        <f aca="false">IFERROR(O1008/K1008,0)</f>
        <v>675</v>
      </c>
      <c r="AJ1008" s="101" t="n">
        <f aca="false">VLOOKUP(D1008,'Standard Cycle time'!C:D,2,0)</f>
        <v>32.4</v>
      </c>
      <c r="AK1008" s="101" t="n">
        <f aca="false">AG1008*V1008*3600/O1008</f>
        <v>32</v>
      </c>
      <c r="AL1008" s="102" t="n">
        <f aca="false">AJ1008/AK1008</f>
        <v>1.0125</v>
      </c>
      <c r="AM1008" s="99" t="n">
        <f aca="false">AE1008*AL1008*AH1008</f>
        <v>1.00764835974935</v>
      </c>
      <c r="AN1008" s="103" t="n">
        <v>0.999595588235294</v>
      </c>
      <c r="AO1008" s="112"/>
      <c r="AP1008" s="105" t="n">
        <v>0</v>
      </c>
      <c r="AQ1008" s="105" t="n">
        <v>0</v>
      </c>
      <c r="AR1008" s="105" t="n">
        <v>0</v>
      </c>
      <c r="AS1008" s="105" t="n">
        <v>0</v>
      </c>
      <c r="AT1008" s="105" t="n">
        <v>0</v>
      </c>
      <c r="AU1008" s="105" t="n">
        <v>0</v>
      </c>
      <c r="AV1008" s="105" t="n">
        <v>0</v>
      </c>
      <c r="AW1008" s="105" t="n">
        <v>0</v>
      </c>
      <c r="AX1008" s="105" t="n">
        <v>0</v>
      </c>
      <c r="AY1008" s="105" t="n">
        <v>0</v>
      </c>
      <c r="AZ1008" s="105" t="n">
        <v>0</v>
      </c>
      <c r="BA1008" s="105" t="n">
        <v>0</v>
      </c>
      <c r="BB1008" s="105" t="n">
        <v>0</v>
      </c>
      <c r="BC1008" s="105" t="n">
        <v>0</v>
      </c>
      <c r="BD1008" s="105" t="n">
        <v>0</v>
      </c>
      <c r="BE1008" s="105" t="n">
        <v>0</v>
      </c>
      <c r="BF1008" s="105" t="n">
        <v>0</v>
      </c>
      <c r="BG1008" s="105" t="n">
        <v>0</v>
      </c>
      <c r="BH1008" s="105" t="n">
        <v>0</v>
      </c>
      <c r="BI1008" s="105" t="n">
        <v>0</v>
      </c>
      <c r="BJ1008" s="105" t="n">
        <v>0</v>
      </c>
      <c r="BK1008" s="105" t="n">
        <v>0</v>
      </c>
      <c r="BL1008" s="105" t="n">
        <v>0</v>
      </c>
      <c r="BM1008" s="105" t="n">
        <v>0</v>
      </c>
      <c r="BN1008" s="105" t="n">
        <v>0</v>
      </c>
      <c r="BO1008" s="105" t="n">
        <v>0</v>
      </c>
      <c r="BP1008" s="105" t="n">
        <v>0</v>
      </c>
      <c r="BQ1008" s="105" t="n">
        <v>0</v>
      </c>
      <c r="BR1008" s="106" t="n">
        <v>0</v>
      </c>
      <c r="BS1008" s="106" t="n">
        <v>0</v>
      </c>
      <c r="BT1008" s="107"/>
      <c r="BU1008" s="107"/>
      <c r="BV1008" s="107"/>
      <c r="BW1008" s="107"/>
      <c r="BX1008" s="107"/>
      <c r="BY1008" s="107"/>
      <c r="BZ1008" s="107"/>
      <c r="CA1008" s="107"/>
      <c r="CB1008" s="107"/>
      <c r="CC1008" s="107"/>
      <c r="CD1008" s="107"/>
      <c r="CE1008" s="107"/>
      <c r="CF1008" s="107"/>
      <c r="CG1008" s="107"/>
      <c r="CH1008" s="107"/>
      <c r="CI1008" s="107"/>
      <c r="CJ1008" s="107"/>
      <c r="CK1008" s="107"/>
      <c r="CL1008" s="107"/>
      <c r="CM1008" s="107"/>
      <c r="CN1008" s="107"/>
      <c r="CO1008" s="107"/>
      <c r="CP1008" s="107"/>
      <c r="CQ1008" s="107"/>
      <c r="CR1008" s="107"/>
      <c r="CS1008" s="107"/>
      <c r="CT1008" s="107"/>
      <c r="CU1008" s="107"/>
      <c r="CV1008" s="107"/>
    </row>
    <row r="1009" customFormat="false" ht="14.9" hidden="false" customHeight="false" outlineLevel="0" collapsed="false">
      <c r="A1009" s="74" t="n">
        <f aca="false">MONTH(B1009)</f>
        <v>10</v>
      </c>
      <c r="B1009" s="135" t="n">
        <v>44491</v>
      </c>
      <c r="C1009" s="128" t="s">
        <v>152</v>
      </c>
      <c r="D1009" s="77" t="str">
        <f aca="false">IFERROR(VLOOKUP(E:E,'Item Data Support Sheet'!A:O,7,0),"")</f>
        <v>NIPPLE MOLDED</v>
      </c>
      <c r="E1009" s="80" t="s">
        <v>244</v>
      </c>
      <c r="F1009" s="122" t="s">
        <v>137</v>
      </c>
      <c r="G1009" s="137" t="s">
        <v>138</v>
      </c>
      <c r="H1009" s="79" t="str">
        <f aca="false">IFERROR(VLOOKUP(E:E,'Item Data Support Sheet'!A:O,2,0),"")</f>
        <v>NIPPLE S TYPE S SIZE INJECTION</v>
      </c>
      <c r="I1009" s="80" t="s">
        <v>1793</v>
      </c>
      <c r="J1009" s="80" t="s">
        <v>143</v>
      </c>
      <c r="K1009" s="124" t="n">
        <v>8</v>
      </c>
      <c r="L1009" s="124" t="n">
        <v>4815</v>
      </c>
      <c r="M1009" s="83" t="n">
        <v>601.875</v>
      </c>
      <c r="N1009" s="84" t="n">
        <f aca="false">+O1009+Q1009+T1009+U1009</f>
        <v>5500</v>
      </c>
      <c r="O1009" s="85" t="n">
        <v>5400</v>
      </c>
      <c r="P1009" s="86" t="n">
        <v>0</v>
      </c>
      <c r="Q1009" s="86" t="n">
        <v>40</v>
      </c>
      <c r="R1009" s="132" t="n">
        <v>0</v>
      </c>
      <c r="S1009" s="128" t="n">
        <v>0</v>
      </c>
      <c r="T1009" s="132" t="n">
        <v>60</v>
      </c>
      <c r="U1009" s="128" t="n">
        <v>0</v>
      </c>
      <c r="V1009" s="128" t="n">
        <v>1</v>
      </c>
      <c r="W1009" s="90" t="n">
        <f aca="false">IFERROR(O1009/V1009,0)</f>
        <v>5400</v>
      </c>
      <c r="X1009" s="91" t="n">
        <f aca="false">O1009/L1009</f>
        <v>1.1214953271028</v>
      </c>
      <c r="Y1009" s="92" t="str">
        <f aca="false">IFERROR(VLOOKUP(E:E,'Item Data Support Sheet'!A:J,6,0),0)</f>
        <v>Silicon</v>
      </c>
      <c r="Z1009" s="93" t="n">
        <f aca="false">IFERROR(VLOOKUP(E:E,'Item Data Support Sheet'!A:O,4,0),0)</f>
        <v>6.8</v>
      </c>
      <c r="AA1009" s="93" t="n">
        <f aca="false">IFERROR(((N1009)*(Z1009/1000))+P1009,0)</f>
        <v>37.4</v>
      </c>
      <c r="AB1009" s="94" t="n">
        <f aca="false">IFERROR((O1009*(Z1009/1000)/(AA1009))," ")</f>
        <v>0.981818181818182</v>
      </c>
      <c r="AC1009" s="95" t="n">
        <f aca="false">IFERROR((T1009)/((T1009)+O1009),0)</f>
        <v>0.010989010989011</v>
      </c>
      <c r="AD1009" s="96" t="n">
        <f aca="false">IFERROR(Q1009/(Q1009+N1009),0)</f>
        <v>0.0072202166064982</v>
      </c>
      <c r="AE1009" s="91" t="n">
        <f aca="false">(N1009-T1009)/N1009</f>
        <v>0.989090909090909</v>
      </c>
      <c r="AF1009" s="97" t="n">
        <f aca="false">BR1009</f>
        <v>0</v>
      </c>
      <c r="AG1009" s="98" t="n">
        <f aca="false">K1009-AF1009</f>
        <v>8</v>
      </c>
      <c r="AH1009" s="99" t="n">
        <f aca="false">IFERROR(AG1009/K1009," ")</f>
        <v>1</v>
      </c>
      <c r="AI1009" s="100" t="n">
        <f aca="false">IFERROR(O1009/K1009,0)</f>
        <v>675</v>
      </c>
      <c r="AJ1009" s="101" t="n">
        <f aca="false">VLOOKUP(D1009,'Standard Cycle time'!C:D,2,0)</f>
        <v>5.25</v>
      </c>
      <c r="AK1009" s="101" t="n">
        <f aca="false">AG1009*V1009*3600/O1009</f>
        <v>5.33333333333333</v>
      </c>
      <c r="AL1009" s="102" t="n">
        <f aca="false">AJ1009/AK1009</f>
        <v>0.984375</v>
      </c>
      <c r="AM1009" s="99" t="n">
        <f aca="false">AE1009*AL1009*AH1009</f>
        <v>0.973636363636364</v>
      </c>
      <c r="AN1009" s="103" t="n">
        <v>0.973489909694066</v>
      </c>
      <c r="AO1009" s="112"/>
      <c r="AP1009" s="105" t="n">
        <v>0</v>
      </c>
      <c r="AQ1009" s="105" t="n">
        <v>0</v>
      </c>
      <c r="AR1009" s="105" t="n">
        <v>0</v>
      </c>
      <c r="AS1009" s="105" t="n">
        <v>0</v>
      </c>
      <c r="AT1009" s="105" t="n">
        <v>0</v>
      </c>
      <c r="AU1009" s="105" t="n">
        <v>0</v>
      </c>
      <c r="AV1009" s="105" t="n">
        <v>0</v>
      </c>
      <c r="AW1009" s="105" t="n">
        <v>0</v>
      </c>
      <c r="AX1009" s="105" t="n">
        <v>0</v>
      </c>
      <c r="AY1009" s="105" t="n">
        <v>0</v>
      </c>
      <c r="AZ1009" s="105" t="n">
        <v>0</v>
      </c>
      <c r="BA1009" s="105" t="n">
        <v>0</v>
      </c>
      <c r="BB1009" s="105" t="n">
        <v>0</v>
      </c>
      <c r="BC1009" s="105" t="n">
        <v>0</v>
      </c>
      <c r="BD1009" s="105" t="n">
        <v>0</v>
      </c>
      <c r="BE1009" s="105" t="n">
        <v>0</v>
      </c>
      <c r="BF1009" s="105" t="n">
        <v>0</v>
      </c>
      <c r="BG1009" s="105" t="n">
        <v>0</v>
      </c>
      <c r="BH1009" s="105" t="n">
        <v>0</v>
      </c>
      <c r="BI1009" s="105" t="n">
        <v>0</v>
      </c>
      <c r="BJ1009" s="105" t="n">
        <v>0</v>
      </c>
      <c r="BK1009" s="105" t="n">
        <v>0</v>
      </c>
      <c r="BL1009" s="105" t="n">
        <v>0</v>
      </c>
      <c r="BM1009" s="105" t="n">
        <v>0</v>
      </c>
      <c r="BN1009" s="105" t="n">
        <v>0</v>
      </c>
      <c r="BO1009" s="105" t="n">
        <v>0</v>
      </c>
      <c r="BP1009" s="105" t="n">
        <v>0</v>
      </c>
      <c r="BQ1009" s="105" t="n">
        <v>0</v>
      </c>
      <c r="BR1009" s="106" t="n">
        <v>0</v>
      </c>
      <c r="BS1009" s="106" t="n">
        <v>0</v>
      </c>
      <c r="BT1009" s="107"/>
      <c r="BU1009" s="107"/>
      <c r="BV1009" s="107"/>
      <c r="BW1009" s="107"/>
      <c r="BX1009" s="107"/>
      <c r="BY1009" s="107"/>
      <c r="BZ1009" s="107"/>
      <c r="CA1009" s="107"/>
      <c r="CB1009" s="107"/>
      <c r="CC1009" s="107"/>
      <c r="CD1009" s="107"/>
      <c r="CE1009" s="107"/>
      <c r="CF1009" s="107"/>
      <c r="CG1009" s="107"/>
      <c r="CH1009" s="107"/>
      <c r="CI1009" s="107"/>
      <c r="CJ1009" s="107"/>
      <c r="CK1009" s="107"/>
      <c r="CL1009" s="107"/>
      <c r="CM1009" s="107"/>
      <c r="CN1009" s="107"/>
      <c r="CO1009" s="107"/>
      <c r="CP1009" s="107"/>
      <c r="CQ1009" s="107"/>
      <c r="CR1009" s="107"/>
      <c r="CS1009" s="107"/>
      <c r="CT1009" s="107"/>
      <c r="CU1009" s="107"/>
      <c r="CV1009" s="107"/>
    </row>
    <row r="1010" customFormat="false" ht="14.9" hidden="false" customHeight="false" outlineLevel="0" collapsed="false">
      <c r="A1010" s="74" t="n">
        <f aca="false">MONTH(B1010)</f>
        <v>10</v>
      </c>
      <c r="B1010" s="135" t="n">
        <v>44491</v>
      </c>
      <c r="C1010" s="128" t="s">
        <v>152</v>
      </c>
      <c r="D1010" s="77" t="str">
        <f aca="false">IFERROR(VLOOKUP(E:E,'Item Data Support Sheet'!A:O,7,0),"")</f>
        <v>HOOD MOLDED</v>
      </c>
      <c r="E1010" s="80" t="s">
        <v>529</v>
      </c>
      <c r="F1010" s="122"/>
      <c r="G1010" s="137" t="s">
        <v>740</v>
      </c>
      <c r="H1010" s="79" t="str">
        <f aca="false">IFERROR(VLOOKUP(E:E,'Item Data Support Sheet'!A:O,2,0),"")</f>
        <v>HOOD S TYPE MOLDED</v>
      </c>
      <c r="I1010" s="80" t="s">
        <v>1794</v>
      </c>
      <c r="J1010" s="80" t="s">
        <v>143</v>
      </c>
      <c r="K1010" s="124" t="n">
        <v>8</v>
      </c>
      <c r="L1010" s="124" t="n">
        <v>4137</v>
      </c>
      <c r="M1010" s="83" t="n">
        <v>517.125</v>
      </c>
      <c r="N1010" s="84" t="n">
        <f aca="false">+O1010+Q1010+T1010+U1010</f>
        <v>4524</v>
      </c>
      <c r="O1010" s="85" t="n">
        <v>4500</v>
      </c>
      <c r="P1010" s="86" t="n">
        <v>0</v>
      </c>
      <c r="Q1010" s="86" t="n">
        <v>0</v>
      </c>
      <c r="R1010" s="132" t="n">
        <v>0</v>
      </c>
      <c r="S1010" s="128" t="n">
        <v>0</v>
      </c>
      <c r="T1010" s="132" t="n">
        <v>16</v>
      </c>
      <c r="U1010" s="128" t="n">
        <v>8</v>
      </c>
      <c r="V1010" s="128" t="n">
        <v>1</v>
      </c>
      <c r="W1010" s="90" t="n">
        <f aca="false">IFERROR(O1010/V1010,0)</f>
        <v>4500</v>
      </c>
      <c r="X1010" s="91" t="n">
        <f aca="false">O1010/L1010</f>
        <v>1.08774474256708</v>
      </c>
      <c r="Y1010" s="92" t="str">
        <f aca="false">IFERROR(VLOOKUP(E:E,'Item Data Support Sheet'!A:J,6,0),0)</f>
        <v>HMC</v>
      </c>
      <c r="Z1010" s="93" t="n">
        <f aca="false">IFERROR(VLOOKUP(E:E,'Item Data Support Sheet'!A:O,4,0),0)</f>
        <v>8.6</v>
      </c>
      <c r="AA1010" s="93" t="n">
        <f aca="false">IFERROR(((N1010)*(Z1010/1000))+P1010,0)</f>
        <v>38.9064</v>
      </c>
      <c r="AB1010" s="94" t="n">
        <f aca="false">IFERROR((O1010*(Z1010/1000)/(AA1010))," ")</f>
        <v>0.994694960212202</v>
      </c>
      <c r="AC1010" s="95" t="n">
        <f aca="false">IFERROR((T1010)/((T1010)+O1010),0)</f>
        <v>0.00354295837023915</v>
      </c>
      <c r="AD1010" s="96" t="n">
        <f aca="false">IFERROR(Q1010/(Q1010+N1010),0)</f>
        <v>0</v>
      </c>
      <c r="AE1010" s="91" t="n">
        <f aca="false">(N1010-T1010)/N1010</f>
        <v>0.996463306808134</v>
      </c>
      <c r="AF1010" s="97" t="n">
        <f aca="false">BR1010</f>
        <v>0.666666666666667</v>
      </c>
      <c r="AG1010" s="98" t="n">
        <f aca="false">K1010-AF1010</f>
        <v>7.33333333333333</v>
      </c>
      <c r="AH1010" s="99" t="n">
        <f aca="false">IFERROR(AG1010/K1010," ")</f>
        <v>0.916666666666667</v>
      </c>
      <c r="AI1010" s="100" t="n">
        <f aca="false">IFERROR(O1010/K1010,0)</f>
        <v>562.5</v>
      </c>
      <c r="AJ1010" s="101" t="n">
        <f aca="false">VLOOKUP(D1010,'Standard Cycle time'!C:D,2,0)</f>
        <v>6</v>
      </c>
      <c r="AK1010" s="101" t="n">
        <f aca="false">AG1010*V1010*3600/O1010</f>
        <v>5.86666666666667</v>
      </c>
      <c r="AL1010" s="102" t="n">
        <f aca="false">AJ1010/AK1010</f>
        <v>1.02272727272727</v>
      </c>
      <c r="AM1010" s="99" t="n">
        <f aca="false">AE1010*AL1010*AH1010</f>
        <v>0.934184350132626</v>
      </c>
      <c r="AN1010" s="103" t="n">
        <v>0.934772727272727</v>
      </c>
      <c r="AO1010" s="112"/>
      <c r="AP1010" s="105" t="n">
        <v>0</v>
      </c>
      <c r="AQ1010" s="105" t="n">
        <v>0</v>
      </c>
      <c r="AR1010" s="105" t="n">
        <v>0</v>
      </c>
      <c r="AS1010" s="105" t="n">
        <v>0</v>
      </c>
      <c r="AT1010" s="105" t="n">
        <v>0</v>
      </c>
      <c r="AU1010" s="105" t="n">
        <v>0</v>
      </c>
      <c r="AV1010" s="105" t="n">
        <v>30</v>
      </c>
      <c r="AW1010" s="105" t="n">
        <v>10</v>
      </c>
      <c r="AX1010" s="105" t="n">
        <v>0</v>
      </c>
      <c r="AY1010" s="105" t="n">
        <v>0</v>
      </c>
      <c r="AZ1010" s="105" t="n">
        <v>0</v>
      </c>
      <c r="BA1010" s="105" t="n">
        <v>0</v>
      </c>
      <c r="BB1010" s="105" t="n">
        <v>0</v>
      </c>
      <c r="BC1010" s="105" t="n">
        <v>0</v>
      </c>
      <c r="BD1010" s="105" t="n">
        <v>0</v>
      </c>
      <c r="BE1010" s="105" t="n">
        <v>0</v>
      </c>
      <c r="BF1010" s="105" t="n">
        <v>0</v>
      </c>
      <c r="BG1010" s="105" t="n">
        <v>0</v>
      </c>
      <c r="BH1010" s="105" t="n">
        <v>0</v>
      </c>
      <c r="BI1010" s="105" t="n">
        <v>0</v>
      </c>
      <c r="BJ1010" s="105" t="n">
        <v>0</v>
      </c>
      <c r="BK1010" s="105" t="n">
        <v>0</v>
      </c>
      <c r="BL1010" s="105" t="n">
        <v>0</v>
      </c>
      <c r="BM1010" s="105" t="n">
        <v>0</v>
      </c>
      <c r="BN1010" s="105" t="n">
        <v>0</v>
      </c>
      <c r="BO1010" s="105" t="n">
        <v>0</v>
      </c>
      <c r="BP1010" s="105" t="n">
        <v>0</v>
      </c>
      <c r="BQ1010" s="105" t="n">
        <v>0</v>
      </c>
      <c r="BR1010" s="106" t="n">
        <v>0.666666666666667</v>
      </c>
      <c r="BS1010" s="106" t="n">
        <v>0.666666666666667</v>
      </c>
      <c r="BT1010" s="107"/>
      <c r="BU1010" s="107"/>
      <c r="BV1010" s="107"/>
      <c r="BW1010" s="107"/>
      <c r="BX1010" s="107"/>
      <c r="BY1010" s="107"/>
      <c r="BZ1010" s="107"/>
      <c r="CA1010" s="107"/>
      <c r="CB1010" s="107"/>
      <c r="CC1010" s="107"/>
      <c r="CD1010" s="107"/>
      <c r="CE1010" s="107"/>
      <c r="CF1010" s="107"/>
      <c r="CG1010" s="107"/>
      <c r="CH1010" s="107"/>
      <c r="CI1010" s="107"/>
      <c r="CJ1010" s="107"/>
      <c r="CK1010" s="107"/>
      <c r="CL1010" s="107"/>
      <c r="CM1010" s="107"/>
      <c r="CN1010" s="107"/>
      <c r="CO1010" s="107"/>
      <c r="CP1010" s="107"/>
      <c r="CQ1010" s="107"/>
      <c r="CR1010" s="107"/>
      <c r="CS1010" s="107"/>
      <c r="CT1010" s="107"/>
      <c r="CU1010" s="107"/>
      <c r="CV1010" s="107"/>
    </row>
    <row r="1011" customFormat="false" ht="14.9" hidden="false" customHeight="false" outlineLevel="0" collapsed="false">
      <c r="A1011" s="74" t="n">
        <f aca="false">MONTH(B1011)</f>
        <v>10</v>
      </c>
      <c r="B1011" s="135" t="n">
        <v>44491</v>
      </c>
      <c r="C1011" s="128" t="s">
        <v>152</v>
      </c>
      <c r="D1011" s="77" t="str">
        <f aca="false">IFERROR(VLOOKUP(E:E,'Item Data Support Sheet'!A:O,7,0),"")</f>
        <v>BOTTLE MOLDED</v>
      </c>
      <c r="E1011" s="80" t="s">
        <v>69</v>
      </c>
      <c r="F1011" s="122" t="s">
        <v>73</v>
      </c>
      <c r="G1011" s="137" t="s">
        <v>74</v>
      </c>
      <c r="H1011" s="79" t="str">
        <f aca="false">IFERROR(VLOOKUP(E:E,'Item Data Support Sheet'!A:O,2,0),"")</f>
        <v>KPP 240 ML BOTTLE MOLDED</v>
      </c>
      <c r="I1011" s="80" t="s">
        <v>1795</v>
      </c>
      <c r="J1011" s="80" t="s">
        <v>143</v>
      </c>
      <c r="K1011" s="124" t="n">
        <v>8</v>
      </c>
      <c r="L1011" s="124" t="n">
        <v>2574</v>
      </c>
      <c r="M1011" s="83" t="n">
        <v>321.75</v>
      </c>
      <c r="N1011" s="84" t="n">
        <f aca="false">+O1011+Q1011+T1011+U1011</f>
        <v>2704</v>
      </c>
      <c r="O1011" s="85" t="n">
        <v>2592</v>
      </c>
      <c r="P1011" s="86" t="n">
        <v>0.32</v>
      </c>
      <c r="Q1011" s="86" t="n">
        <v>36</v>
      </c>
      <c r="R1011" s="132" t="n">
        <v>0</v>
      </c>
      <c r="S1011" s="128" t="n">
        <v>0</v>
      </c>
      <c r="T1011" s="132" t="n">
        <v>68</v>
      </c>
      <c r="U1011" s="128" t="n">
        <v>8</v>
      </c>
      <c r="V1011" s="128" t="n">
        <v>1</v>
      </c>
      <c r="W1011" s="90" t="n">
        <f aca="false">IFERROR(O1011/V1011,0)</f>
        <v>2592</v>
      </c>
      <c r="X1011" s="91" t="n">
        <f aca="false">O1011/L1011</f>
        <v>1.00699300699301</v>
      </c>
      <c r="Y1011" s="92" t="str">
        <f aca="false">IFERROR(VLOOKUP(E:E,'Item Data Support Sheet'!A:J,6,0),0)</f>
        <v>HMC</v>
      </c>
      <c r="Z1011" s="93" t="n">
        <f aca="false">IFERROR(VLOOKUP(E:E,'Item Data Support Sheet'!A:O,4,0),0)</f>
        <v>32.1</v>
      </c>
      <c r="AA1011" s="93" t="n">
        <f aca="false">IFERROR(((N1011)*(Z1011/1000))+P1011,0)</f>
        <v>87.1184</v>
      </c>
      <c r="AB1011" s="94" t="n">
        <f aca="false">IFERROR((O1011*(Z1011/1000)/(AA1011))," ")</f>
        <v>0.955058862421716</v>
      </c>
      <c r="AC1011" s="95" t="n">
        <f aca="false">IFERROR((T1011)/((T1011)+O1011),0)</f>
        <v>0.0255639097744361</v>
      </c>
      <c r="AD1011" s="96" t="n">
        <f aca="false">IFERROR(Q1011/(Q1011+N1011),0)</f>
        <v>0.0131386861313869</v>
      </c>
      <c r="AE1011" s="91" t="n">
        <f aca="false">(N1011-T1011)/N1011</f>
        <v>0.974852071005917</v>
      </c>
      <c r="AF1011" s="97" t="n">
        <f aca="false">BR1011</f>
        <v>1</v>
      </c>
      <c r="AG1011" s="98" t="n">
        <f aca="false">K1011-AF1011</f>
        <v>7</v>
      </c>
      <c r="AH1011" s="99" t="n">
        <f aca="false">IFERROR(AG1011/K1011," ")</f>
        <v>0.875</v>
      </c>
      <c r="AI1011" s="100" t="n">
        <f aca="false">IFERROR(O1011/K1011,0)</f>
        <v>324</v>
      </c>
      <c r="AJ1011" s="101" t="n">
        <f aca="false">VLOOKUP(D1011,'Standard Cycle time'!C:D,2,0)</f>
        <v>9</v>
      </c>
      <c r="AK1011" s="101" t="n">
        <f aca="false">AG1011*V1011*3600/O1011</f>
        <v>9.72222222222222</v>
      </c>
      <c r="AL1011" s="102" t="n">
        <f aca="false">AJ1011/AK1011</f>
        <v>0.925714285714286</v>
      </c>
      <c r="AM1011" s="99" t="n">
        <f aca="false">AE1011*AL1011*AH1011</f>
        <v>0.789630177514793</v>
      </c>
      <c r="AN1011" s="103" t="n">
        <v>0.797824933687003</v>
      </c>
      <c r="AO1011" s="112"/>
      <c r="AP1011" s="105" t="n">
        <v>0</v>
      </c>
      <c r="AQ1011" s="105" t="n">
        <v>0</v>
      </c>
      <c r="AR1011" s="105" t="n">
        <v>0</v>
      </c>
      <c r="AS1011" s="105" t="n">
        <v>0</v>
      </c>
      <c r="AT1011" s="105" t="n">
        <v>0</v>
      </c>
      <c r="AU1011" s="105" t="n">
        <v>0</v>
      </c>
      <c r="AV1011" s="105" t="n">
        <v>0</v>
      </c>
      <c r="AW1011" s="105" t="n">
        <v>30</v>
      </c>
      <c r="AX1011" s="105" t="n">
        <v>0</v>
      </c>
      <c r="AY1011" s="105" t="n">
        <v>0</v>
      </c>
      <c r="AZ1011" s="105" t="n">
        <v>30</v>
      </c>
      <c r="BA1011" s="105" t="n">
        <v>0</v>
      </c>
      <c r="BB1011" s="105" t="n">
        <v>0</v>
      </c>
      <c r="BC1011" s="105" t="n">
        <v>0</v>
      </c>
      <c r="BD1011" s="105" t="n">
        <v>0</v>
      </c>
      <c r="BE1011" s="105" t="n">
        <v>0</v>
      </c>
      <c r="BF1011" s="105" t="n">
        <v>0</v>
      </c>
      <c r="BG1011" s="105" t="n">
        <v>0</v>
      </c>
      <c r="BH1011" s="105" t="n">
        <v>0</v>
      </c>
      <c r="BI1011" s="105" t="n">
        <v>0</v>
      </c>
      <c r="BJ1011" s="105" t="n">
        <v>0</v>
      </c>
      <c r="BK1011" s="105" t="n">
        <v>0</v>
      </c>
      <c r="BL1011" s="105" t="n">
        <v>0</v>
      </c>
      <c r="BM1011" s="105" t="n">
        <v>0</v>
      </c>
      <c r="BN1011" s="105" t="n">
        <v>0</v>
      </c>
      <c r="BO1011" s="105" t="n">
        <v>0</v>
      </c>
      <c r="BP1011" s="105" t="n">
        <v>0</v>
      </c>
      <c r="BQ1011" s="105" t="n">
        <v>0</v>
      </c>
      <c r="BR1011" s="106" t="n">
        <v>1</v>
      </c>
      <c r="BS1011" s="106" t="n">
        <v>1</v>
      </c>
      <c r="BT1011" s="107"/>
      <c r="BU1011" s="107"/>
      <c r="BV1011" s="107"/>
      <c r="BW1011" s="107"/>
      <c r="BX1011" s="107"/>
      <c r="BY1011" s="107"/>
      <c r="BZ1011" s="107"/>
      <c r="CA1011" s="107"/>
      <c r="CB1011" s="107"/>
      <c r="CC1011" s="107"/>
      <c r="CD1011" s="107"/>
      <c r="CE1011" s="107"/>
      <c r="CF1011" s="107"/>
      <c r="CG1011" s="107"/>
      <c r="CH1011" s="107"/>
      <c r="CI1011" s="107"/>
      <c r="CJ1011" s="107"/>
      <c r="CK1011" s="107"/>
      <c r="CL1011" s="107"/>
      <c r="CM1011" s="107"/>
      <c r="CN1011" s="107"/>
      <c r="CO1011" s="107"/>
      <c r="CP1011" s="107"/>
      <c r="CQ1011" s="107"/>
      <c r="CR1011" s="107"/>
      <c r="CS1011" s="107"/>
      <c r="CT1011" s="107"/>
      <c r="CU1011" s="107"/>
      <c r="CV1011" s="107"/>
    </row>
    <row r="1012" customFormat="false" ht="14.9" hidden="false" customHeight="false" outlineLevel="0" collapsed="false">
      <c r="A1012" s="74" t="n">
        <f aca="false">MONTH(B1012)</f>
        <v>10</v>
      </c>
      <c r="B1012" s="135" t="n">
        <v>44492</v>
      </c>
      <c r="C1012" s="128" t="s">
        <v>51</v>
      </c>
      <c r="D1012" s="77" t="str">
        <f aca="false">IFERROR(VLOOKUP(E:E,'Item Data Support Sheet'!A:O,7,0),"")</f>
        <v>BOTTLE MOLDED</v>
      </c>
      <c r="E1012" s="80" t="s">
        <v>69</v>
      </c>
      <c r="F1012" s="122" t="s">
        <v>73</v>
      </c>
      <c r="G1012" s="137" t="s">
        <v>74</v>
      </c>
      <c r="H1012" s="79" t="str">
        <f aca="false">IFERROR(VLOOKUP(E:E,'Item Data Support Sheet'!A:O,2,0),"")</f>
        <v>KPP 240 ML BOTTLE MOLDED</v>
      </c>
      <c r="I1012" s="80" t="s">
        <v>1796</v>
      </c>
      <c r="J1012" s="80" t="s">
        <v>815</v>
      </c>
      <c r="K1012" s="124" t="n">
        <v>6</v>
      </c>
      <c r="L1012" s="124" t="n">
        <v>2000</v>
      </c>
      <c r="M1012" s="83" t="n">
        <v>333.333333333333</v>
      </c>
      <c r="N1012" s="84" t="n">
        <f aca="false">+O1012+Q1012+T1012+U1012</f>
        <v>2256</v>
      </c>
      <c r="O1012" s="85" t="n">
        <v>2160</v>
      </c>
      <c r="P1012" s="86" t="n">
        <v>0.25</v>
      </c>
      <c r="Q1012" s="86" t="n">
        <v>33</v>
      </c>
      <c r="R1012" s="132" t="n">
        <v>0</v>
      </c>
      <c r="S1012" s="128" t="n">
        <v>0</v>
      </c>
      <c r="T1012" s="132" t="n">
        <v>55</v>
      </c>
      <c r="U1012" s="128" t="n">
        <v>8</v>
      </c>
      <c r="V1012" s="128" t="n">
        <v>1</v>
      </c>
      <c r="W1012" s="90" t="n">
        <f aca="false">IFERROR(O1012/V1012,0)</f>
        <v>2160</v>
      </c>
      <c r="X1012" s="91" t="n">
        <f aca="false">O1012/L1012</f>
        <v>1.08</v>
      </c>
      <c r="Y1012" s="92" t="str">
        <f aca="false">IFERROR(VLOOKUP(E:E,'Item Data Support Sheet'!A:J,6,0),0)</f>
        <v>HMC</v>
      </c>
      <c r="Z1012" s="93" t="n">
        <f aca="false">IFERROR(VLOOKUP(E:E,'Item Data Support Sheet'!A:O,4,0),0)</f>
        <v>32.1</v>
      </c>
      <c r="AA1012" s="93" t="n">
        <f aca="false">IFERROR(((N1012)*(Z1012/1000))+P1012,0)</f>
        <v>72.6676</v>
      </c>
      <c r="AB1012" s="94" t="n">
        <f aca="false">IFERROR((O1012*(Z1012/1000)/(AA1012))," ")</f>
        <v>0.954152882440042</v>
      </c>
      <c r="AC1012" s="95" t="n">
        <f aca="false">IFERROR((T1012)/((T1012)+O1012),0)</f>
        <v>0.0248306997742664</v>
      </c>
      <c r="AD1012" s="96" t="n">
        <f aca="false">IFERROR(Q1012/(Q1012+N1012),0)</f>
        <v>0.0144167758846658</v>
      </c>
      <c r="AE1012" s="91" t="n">
        <f aca="false">(N1012-T1012)/N1012</f>
        <v>0.975620567375887</v>
      </c>
      <c r="AF1012" s="97" t="n">
        <f aca="false">BR1012</f>
        <v>0</v>
      </c>
      <c r="AG1012" s="98" t="n">
        <f aca="false">K1012-AF1012</f>
        <v>6</v>
      </c>
      <c r="AH1012" s="99" t="n">
        <f aca="false">IFERROR(AG1012/K1012," ")</f>
        <v>1</v>
      </c>
      <c r="AI1012" s="100" t="n">
        <f aca="false">IFERROR(O1012/K1012,0)</f>
        <v>360</v>
      </c>
      <c r="AJ1012" s="101" t="n">
        <f aca="false">VLOOKUP(D1012,'Standard Cycle time'!C:D,2,0)</f>
        <v>9</v>
      </c>
      <c r="AK1012" s="101" t="n">
        <f aca="false">AG1012*V1012*3600/O1012</f>
        <v>10</v>
      </c>
      <c r="AL1012" s="102" t="n">
        <f aca="false">AJ1012/AK1012</f>
        <v>0.9</v>
      </c>
      <c r="AM1012" s="99" t="n">
        <f aca="false">AE1012*AL1012*AH1012</f>
        <v>0.878058510638298</v>
      </c>
      <c r="AN1012" s="103" t="n">
        <v>0.881693786982249</v>
      </c>
      <c r="AO1012" s="112"/>
      <c r="AP1012" s="105" t="n">
        <v>0</v>
      </c>
      <c r="AQ1012" s="105" t="n">
        <v>0</v>
      </c>
      <c r="AR1012" s="105" t="n">
        <v>0</v>
      </c>
      <c r="AS1012" s="105" t="n">
        <v>0</v>
      </c>
      <c r="AT1012" s="105" t="n">
        <v>0</v>
      </c>
      <c r="AU1012" s="105" t="n">
        <v>0</v>
      </c>
      <c r="AV1012" s="105" t="n">
        <v>0</v>
      </c>
      <c r="AW1012" s="105" t="n">
        <v>0</v>
      </c>
      <c r="AX1012" s="105" t="n">
        <v>0</v>
      </c>
      <c r="AY1012" s="105" t="n">
        <v>0</v>
      </c>
      <c r="AZ1012" s="105" t="n">
        <v>0</v>
      </c>
      <c r="BA1012" s="105" t="n">
        <v>0</v>
      </c>
      <c r="BB1012" s="105" t="n">
        <v>0</v>
      </c>
      <c r="BC1012" s="105" t="n">
        <v>0</v>
      </c>
      <c r="BD1012" s="105" t="n">
        <v>0</v>
      </c>
      <c r="BE1012" s="105" t="n">
        <v>0</v>
      </c>
      <c r="BF1012" s="105" t="n">
        <v>0</v>
      </c>
      <c r="BG1012" s="105" t="n">
        <v>0</v>
      </c>
      <c r="BH1012" s="105" t="n">
        <v>0</v>
      </c>
      <c r="BI1012" s="105" t="n">
        <v>0</v>
      </c>
      <c r="BJ1012" s="105" t="n">
        <v>0</v>
      </c>
      <c r="BK1012" s="105" t="n">
        <v>0</v>
      </c>
      <c r="BL1012" s="105" t="n">
        <v>0</v>
      </c>
      <c r="BM1012" s="105" t="n">
        <v>0</v>
      </c>
      <c r="BN1012" s="105" t="n">
        <v>0</v>
      </c>
      <c r="BO1012" s="105" t="n">
        <v>0</v>
      </c>
      <c r="BP1012" s="105" t="n">
        <v>0</v>
      </c>
      <c r="BQ1012" s="105" t="n">
        <v>0</v>
      </c>
      <c r="BR1012" s="106" t="n">
        <v>0</v>
      </c>
      <c r="BS1012" s="106" t="n">
        <v>0</v>
      </c>
      <c r="BT1012" s="107"/>
      <c r="BU1012" s="107"/>
      <c r="BV1012" s="107"/>
      <c r="BW1012" s="107"/>
      <c r="BX1012" s="107"/>
      <c r="BY1012" s="107"/>
      <c r="BZ1012" s="107"/>
      <c r="CA1012" s="107"/>
      <c r="CB1012" s="107"/>
      <c r="CC1012" s="107"/>
      <c r="CD1012" s="107"/>
      <c r="CE1012" s="107"/>
      <c r="CF1012" s="107"/>
      <c r="CG1012" s="107"/>
      <c r="CH1012" s="107"/>
      <c r="CI1012" s="107"/>
      <c r="CJ1012" s="107"/>
      <c r="CK1012" s="107"/>
      <c r="CL1012" s="107"/>
      <c r="CM1012" s="107"/>
      <c r="CN1012" s="107"/>
      <c r="CO1012" s="107"/>
      <c r="CP1012" s="107"/>
      <c r="CQ1012" s="107"/>
      <c r="CR1012" s="107"/>
      <c r="CS1012" s="107"/>
      <c r="CT1012" s="107"/>
      <c r="CU1012" s="107"/>
      <c r="CV1012" s="107"/>
    </row>
    <row r="1013" customFormat="false" ht="14.9" hidden="false" customHeight="false" outlineLevel="0" collapsed="false">
      <c r="A1013" s="74" t="n">
        <f aca="false">MONTH(B1013)</f>
        <v>10</v>
      </c>
      <c r="B1013" s="135" t="n">
        <v>44492</v>
      </c>
      <c r="C1013" s="128" t="s">
        <v>51</v>
      </c>
      <c r="D1013" s="77" t="str">
        <f aca="false">IFERROR(VLOOKUP(E:E,'Item Data Support Sheet'!A:O,7,0),"")</f>
        <v>NIPPLE MOLDED</v>
      </c>
      <c r="E1013" s="80" t="s">
        <v>244</v>
      </c>
      <c r="F1013" s="122" t="s">
        <v>137</v>
      </c>
      <c r="G1013" s="137" t="s">
        <v>138</v>
      </c>
      <c r="H1013" s="79" t="str">
        <f aca="false">IFERROR(VLOOKUP(E:E,'Item Data Support Sheet'!A:O,2,0),"")</f>
        <v>NIPPLE S TYPE S SIZE INJECTION</v>
      </c>
      <c r="I1013" s="80" t="s">
        <v>1797</v>
      </c>
      <c r="J1013" s="80" t="s">
        <v>815</v>
      </c>
      <c r="K1013" s="124" t="n">
        <v>6</v>
      </c>
      <c r="L1013" s="124" t="n">
        <v>3600</v>
      </c>
      <c r="M1013" s="83" t="n">
        <v>600</v>
      </c>
      <c r="N1013" s="84" t="n">
        <f aca="false">+O1013+Q1013+T1013+U1013</f>
        <v>3735</v>
      </c>
      <c r="O1013" s="85" t="n">
        <v>3650</v>
      </c>
      <c r="P1013" s="86" t="n">
        <v>0.4</v>
      </c>
      <c r="Q1013" s="86" t="n">
        <v>37</v>
      </c>
      <c r="R1013" s="132" t="n">
        <v>0</v>
      </c>
      <c r="S1013" s="128" t="n">
        <v>0</v>
      </c>
      <c r="T1013" s="132" t="n">
        <v>40</v>
      </c>
      <c r="U1013" s="128" t="n">
        <v>8</v>
      </c>
      <c r="V1013" s="128" t="n">
        <v>1</v>
      </c>
      <c r="W1013" s="90" t="n">
        <f aca="false">IFERROR(O1013/V1013,0)</f>
        <v>3650</v>
      </c>
      <c r="X1013" s="91" t="n">
        <f aca="false">O1013/L1013</f>
        <v>1.01388888888889</v>
      </c>
      <c r="Y1013" s="92" t="str">
        <f aca="false">IFERROR(VLOOKUP(E:E,'Item Data Support Sheet'!A:J,6,0),0)</f>
        <v>Silicon</v>
      </c>
      <c r="Z1013" s="93" t="n">
        <f aca="false">IFERROR(VLOOKUP(E:E,'Item Data Support Sheet'!A:O,4,0),0)</f>
        <v>6.8</v>
      </c>
      <c r="AA1013" s="93" t="n">
        <f aca="false">IFERROR(((N1013)*(Z1013/1000))+P1013,0)</f>
        <v>25.798</v>
      </c>
      <c r="AB1013" s="94" t="n">
        <f aca="false">IFERROR((O1013*(Z1013/1000)/(AA1013))," ")</f>
        <v>0.962090084502675</v>
      </c>
      <c r="AC1013" s="95" t="n">
        <f aca="false">IFERROR((T1013)/((T1013)+O1013),0)</f>
        <v>0.010840108401084</v>
      </c>
      <c r="AD1013" s="96" t="n">
        <f aca="false">IFERROR(Q1013/(Q1013+N1013),0)</f>
        <v>0.00980911983032874</v>
      </c>
      <c r="AE1013" s="91" t="n">
        <f aca="false">(N1013-T1013)/N1013</f>
        <v>0.989290495314592</v>
      </c>
      <c r="AF1013" s="97" t="n">
        <f aca="false">BR1013</f>
        <v>0</v>
      </c>
      <c r="AG1013" s="98" t="n">
        <f aca="false">K1013-AF1013</f>
        <v>6</v>
      </c>
      <c r="AH1013" s="99" t="n">
        <f aca="false">IFERROR(AG1013/K1013," ")</f>
        <v>1</v>
      </c>
      <c r="AI1013" s="100" t="n">
        <f aca="false">IFERROR(O1013/K1013,0)</f>
        <v>608.333333333333</v>
      </c>
      <c r="AJ1013" s="101" t="n">
        <f aca="false">VLOOKUP(D1013,'Standard Cycle time'!C:D,2,0)</f>
        <v>5.25</v>
      </c>
      <c r="AK1013" s="101" t="n">
        <f aca="false">AG1013*V1013*3600/O1013</f>
        <v>5.91780821917808</v>
      </c>
      <c r="AL1013" s="102" t="n">
        <f aca="false">AJ1013/AK1013</f>
        <v>0.887152777777778</v>
      </c>
      <c r="AM1013" s="99" t="n">
        <f aca="false">AE1013*AL1013*AH1013</f>
        <v>0.877651810947494</v>
      </c>
      <c r="AN1013" s="103" t="n">
        <v>0.871423118597321</v>
      </c>
      <c r="AO1013" s="112"/>
      <c r="AP1013" s="105" t="n">
        <v>0</v>
      </c>
      <c r="AQ1013" s="105" t="n">
        <v>0</v>
      </c>
      <c r="AR1013" s="105" t="n">
        <v>0</v>
      </c>
      <c r="AS1013" s="105" t="n">
        <v>0</v>
      </c>
      <c r="AT1013" s="105" t="n">
        <v>0</v>
      </c>
      <c r="AU1013" s="105" t="n">
        <v>0</v>
      </c>
      <c r="AV1013" s="105" t="n">
        <v>0</v>
      </c>
      <c r="AW1013" s="105" t="n">
        <v>0</v>
      </c>
      <c r="AX1013" s="105" t="n">
        <v>0</v>
      </c>
      <c r="AY1013" s="105" t="n">
        <v>0</v>
      </c>
      <c r="AZ1013" s="105" t="n">
        <v>0</v>
      </c>
      <c r="BA1013" s="105" t="n">
        <v>0</v>
      </c>
      <c r="BB1013" s="105" t="n">
        <v>0</v>
      </c>
      <c r="BC1013" s="105" t="n">
        <v>0</v>
      </c>
      <c r="BD1013" s="105" t="n">
        <v>0</v>
      </c>
      <c r="BE1013" s="105" t="n">
        <v>0</v>
      </c>
      <c r="BF1013" s="105" t="n">
        <v>0</v>
      </c>
      <c r="BG1013" s="105" t="n">
        <v>0</v>
      </c>
      <c r="BH1013" s="105" t="n">
        <v>0</v>
      </c>
      <c r="BI1013" s="105" t="n">
        <v>0</v>
      </c>
      <c r="BJ1013" s="105" t="n">
        <v>0</v>
      </c>
      <c r="BK1013" s="105" t="n">
        <v>0</v>
      </c>
      <c r="BL1013" s="105" t="n">
        <v>0</v>
      </c>
      <c r="BM1013" s="105" t="n">
        <v>0</v>
      </c>
      <c r="BN1013" s="105" t="n">
        <v>0</v>
      </c>
      <c r="BO1013" s="105" t="n">
        <v>0</v>
      </c>
      <c r="BP1013" s="105" t="n">
        <v>0</v>
      </c>
      <c r="BQ1013" s="105" t="n">
        <v>0</v>
      </c>
      <c r="BR1013" s="106" t="n">
        <v>0</v>
      </c>
      <c r="BS1013" s="106" t="n">
        <v>0</v>
      </c>
      <c r="BT1013" s="107"/>
      <c r="BU1013" s="107"/>
      <c r="BV1013" s="107"/>
      <c r="BW1013" s="107"/>
      <c r="BX1013" s="107"/>
      <c r="BY1013" s="107"/>
      <c r="BZ1013" s="107"/>
      <c r="CA1013" s="107"/>
      <c r="CB1013" s="107"/>
      <c r="CC1013" s="107"/>
      <c r="CD1013" s="107"/>
      <c r="CE1013" s="107"/>
      <c r="CF1013" s="107"/>
      <c r="CG1013" s="107"/>
      <c r="CH1013" s="107"/>
      <c r="CI1013" s="107"/>
      <c r="CJ1013" s="107"/>
      <c r="CK1013" s="107"/>
      <c r="CL1013" s="107"/>
      <c r="CM1013" s="107"/>
      <c r="CN1013" s="107"/>
      <c r="CO1013" s="107"/>
      <c r="CP1013" s="107"/>
      <c r="CQ1013" s="107"/>
      <c r="CR1013" s="107"/>
      <c r="CS1013" s="107"/>
      <c r="CT1013" s="107"/>
      <c r="CU1013" s="107"/>
      <c r="CV1013" s="107"/>
    </row>
    <row r="1014" customFormat="false" ht="14.9" hidden="false" customHeight="false" outlineLevel="0" collapsed="false">
      <c r="A1014" s="74" t="n">
        <f aca="false">MONTH(B1014)</f>
        <v>10</v>
      </c>
      <c r="B1014" s="135" t="n">
        <v>44492</v>
      </c>
      <c r="C1014" s="128" t="s">
        <v>63</v>
      </c>
      <c r="D1014" s="77" t="str">
        <f aca="false">IFERROR(VLOOKUP(E:E,'Item Data Support Sheet'!A:O,7,0),"")</f>
        <v>NIPPLE PUNCH INSPECTED</v>
      </c>
      <c r="E1014" s="80" t="s">
        <v>297</v>
      </c>
      <c r="F1014" s="122"/>
      <c r="G1014" s="137"/>
      <c r="H1014" s="79" t="str">
        <f aca="false">IFERROR(VLOOKUP(E:E,'Item Data Support Sheet'!A:O,2,0),"")</f>
        <v>NIPPLE S TYPE S SIZE PUNCHED INSPECTED</v>
      </c>
      <c r="I1014" s="80" t="s">
        <v>1791</v>
      </c>
      <c r="J1014" s="80" t="s">
        <v>155</v>
      </c>
      <c r="K1014" s="124" t="n">
        <v>2</v>
      </c>
      <c r="L1014" s="124" t="n">
        <v>3534</v>
      </c>
      <c r="M1014" s="83" t="n">
        <v>1767</v>
      </c>
      <c r="N1014" s="84" t="n">
        <f aca="false">+O1014+Q1014+T1014+U1014</f>
        <v>3032</v>
      </c>
      <c r="O1014" s="85" t="n">
        <v>2992</v>
      </c>
      <c r="P1014" s="86" t="n">
        <v>0</v>
      </c>
      <c r="Q1014" s="86" t="n">
        <v>0</v>
      </c>
      <c r="R1014" s="132" t="n">
        <v>0</v>
      </c>
      <c r="S1014" s="128" t="n">
        <v>0</v>
      </c>
      <c r="T1014" s="132" t="n">
        <v>40</v>
      </c>
      <c r="U1014" s="128" t="n">
        <v>0</v>
      </c>
      <c r="V1014" s="128" t="n">
        <v>1</v>
      </c>
      <c r="W1014" s="90" t="n">
        <f aca="false">IFERROR(O1014/V1014,0)</f>
        <v>2992</v>
      </c>
      <c r="X1014" s="91" t="n">
        <f aca="false">O1014/L1014</f>
        <v>0.846632710809281</v>
      </c>
      <c r="Y1014" s="92" t="str">
        <f aca="false">IFERROR(VLOOKUP(E:E,'Item Data Support Sheet'!A:J,6,0),0)</f>
        <v>FO104</v>
      </c>
      <c r="Z1014" s="93" t="n">
        <f aca="false">IFERROR(VLOOKUP(E:E,'Item Data Support Sheet'!A:O,4,0),0)</f>
        <v>0</v>
      </c>
      <c r="AA1014" s="93" t="n">
        <f aca="false">IFERROR(((N1014)*(Z1014/1000))+P1014,0)</f>
        <v>0</v>
      </c>
      <c r="AB1014" s="94" t="str">
        <f aca="false">IFERROR((O1014*(Z1014/1000)/(AA1014))," ")</f>
        <v> </v>
      </c>
      <c r="AC1014" s="95" t="n">
        <f aca="false">IFERROR((T1014)/((T1014)+O1014),0)</f>
        <v>0.0131926121372032</v>
      </c>
      <c r="AD1014" s="96" t="n">
        <f aca="false">IFERROR(Q1014/(Q1014+N1014),0)</f>
        <v>0</v>
      </c>
      <c r="AE1014" s="91" t="n">
        <f aca="false">(N1014-T1014)/N1014</f>
        <v>0.986807387862797</v>
      </c>
      <c r="AF1014" s="97" t="n">
        <f aca="false">BR1014</f>
        <v>0</v>
      </c>
      <c r="AG1014" s="98" t="n">
        <f aca="false">K1014-AF1014</f>
        <v>2</v>
      </c>
      <c r="AH1014" s="99" t="n">
        <f aca="false">IFERROR(AG1014/K1014," ")</f>
        <v>1</v>
      </c>
      <c r="AI1014" s="100" t="n">
        <f aca="false">IFERROR(O1014/K1014,0)</f>
        <v>1496</v>
      </c>
      <c r="AJ1014" s="101" t="n">
        <f aca="false">VLOOKUP(D1014,'Standard Cycle time'!C:D,2,0)</f>
        <v>4</v>
      </c>
      <c r="AK1014" s="101" t="n">
        <f aca="false">AG1014*V1014*3600/O1014</f>
        <v>2.40641711229946</v>
      </c>
      <c r="AL1014" s="102" t="n">
        <f aca="false">AJ1014/AK1014</f>
        <v>1.66222222222222</v>
      </c>
      <c r="AM1014" s="99" t="n">
        <f aca="false">AE1014*AL1014*AH1014</f>
        <v>1.6402931691586</v>
      </c>
      <c r="AN1014" s="103" t="n">
        <v>1.64442064554514</v>
      </c>
      <c r="AO1014" s="112"/>
      <c r="AP1014" s="105"/>
      <c r="AQ1014" s="105"/>
      <c r="AR1014" s="105"/>
      <c r="AS1014" s="105"/>
      <c r="AT1014" s="105"/>
      <c r="AU1014" s="105"/>
      <c r="AV1014" s="105"/>
      <c r="AW1014" s="105"/>
      <c r="AX1014" s="105"/>
      <c r="AY1014" s="105"/>
      <c r="AZ1014" s="105"/>
      <c r="BA1014" s="105"/>
      <c r="BB1014" s="105"/>
      <c r="BC1014" s="105"/>
      <c r="BD1014" s="105"/>
      <c r="BE1014" s="105"/>
      <c r="BF1014" s="105"/>
      <c r="BG1014" s="105"/>
      <c r="BH1014" s="105"/>
      <c r="BI1014" s="105"/>
      <c r="BJ1014" s="105"/>
      <c r="BK1014" s="105"/>
      <c r="BL1014" s="105"/>
      <c r="BM1014" s="105"/>
      <c r="BN1014" s="105"/>
      <c r="BO1014" s="105"/>
      <c r="BP1014" s="105"/>
      <c r="BQ1014" s="105"/>
      <c r="BR1014" s="106"/>
      <c r="BS1014" s="106"/>
      <c r="BT1014" s="107"/>
      <c r="BU1014" s="107"/>
      <c r="BV1014" s="107"/>
      <c r="BW1014" s="107"/>
      <c r="BX1014" s="107"/>
      <c r="BY1014" s="107"/>
      <c r="BZ1014" s="107"/>
      <c r="CA1014" s="107"/>
      <c r="CB1014" s="107"/>
      <c r="CC1014" s="107"/>
      <c r="CD1014" s="107"/>
      <c r="CE1014" s="107"/>
      <c r="CF1014" s="107"/>
      <c r="CG1014" s="107"/>
      <c r="CH1014" s="107"/>
      <c r="CI1014" s="107"/>
      <c r="CJ1014" s="107"/>
      <c r="CK1014" s="107"/>
      <c r="CL1014" s="107"/>
      <c r="CM1014" s="107"/>
      <c r="CN1014" s="107"/>
      <c r="CO1014" s="107"/>
      <c r="CP1014" s="107"/>
      <c r="CQ1014" s="107"/>
      <c r="CR1014" s="107"/>
      <c r="CS1014" s="107"/>
      <c r="CT1014" s="107"/>
      <c r="CU1014" s="107"/>
      <c r="CV1014" s="107"/>
    </row>
    <row r="1015" customFormat="false" ht="14.9" hidden="false" customHeight="false" outlineLevel="0" collapsed="false">
      <c r="A1015" s="74" t="n">
        <f aca="false">MONTH(B1015)</f>
        <v>10</v>
      </c>
      <c r="B1015" s="135" t="n">
        <v>44492</v>
      </c>
      <c r="C1015" s="128" t="s">
        <v>63</v>
      </c>
      <c r="D1015" s="77" t="str">
        <f aca="false">IFERROR(VLOOKUP(E:E,'Item Data Support Sheet'!A:O,7,0),"")</f>
        <v>NIPPLE PUNCH INSPECTED</v>
      </c>
      <c r="E1015" s="80" t="s">
        <v>182</v>
      </c>
      <c r="F1015" s="122"/>
      <c r="G1015" s="137"/>
      <c r="H1015" s="79" t="str">
        <f aca="false">IFERROR(VLOOKUP(E:E,'Item Data Support Sheet'!A:O,2,0),"")</f>
        <v>NIPPLE S TYPE M SIZE PUNCHED INSPECTED</v>
      </c>
      <c r="I1015" s="80" t="s">
        <v>1798</v>
      </c>
      <c r="J1015" s="80" t="s">
        <v>155</v>
      </c>
      <c r="K1015" s="124" t="n">
        <v>2</v>
      </c>
      <c r="L1015" s="124" t="n">
        <v>3534</v>
      </c>
      <c r="M1015" s="83" t="n">
        <v>1767</v>
      </c>
      <c r="N1015" s="84" t="n">
        <f aca="false">+O1015+Q1015+T1015+U1015</f>
        <v>2497</v>
      </c>
      <c r="O1015" s="85" t="n">
        <v>2436</v>
      </c>
      <c r="P1015" s="86" t="n">
        <v>0</v>
      </c>
      <c r="Q1015" s="86" t="n">
        <v>0</v>
      </c>
      <c r="R1015" s="132" t="n">
        <v>0</v>
      </c>
      <c r="S1015" s="128" t="n">
        <v>0</v>
      </c>
      <c r="T1015" s="132" t="n">
        <v>61</v>
      </c>
      <c r="U1015" s="128" t="n">
        <v>0</v>
      </c>
      <c r="V1015" s="128" t="n">
        <v>1</v>
      </c>
      <c r="W1015" s="90" t="n">
        <f aca="false">IFERROR(O1015/V1015,0)</f>
        <v>2436</v>
      </c>
      <c r="X1015" s="91" t="n">
        <f aca="false">O1015/L1015</f>
        <v>0.689303904923599</v>
      </c>
      <c r="Y1015" s="92" t="str">
        <f aca="false">IFERROR(VLOOKUP(E:E,'Item Data Support Sheet'!A:J,6,0),0)</f>
        <v>FO105</v>
      </c>
      <c r="Z1015" s="93" t="n">
        <f aca="false">IFERROR(VLOOKUP(E:E,'Item Data Support Sheet'!A:O,4,0),0)</f>
        <v>0</v>
      </c>
      <c r="AA1015" s="93" t="n">
        <f aca="false">IFERROR(((N1015)*(Z1015/1000))+P1015,0)</f>
        <v>0</v>
      </c>
      <c r="AB1015" s="94" t="str">
        <f aca="false">IFERROR((O1015*(Z1015/1000)/(AA1015))," ")</f>
        <v> </v>
      </c>
      <c r="AC1015" s="95" t="n">
        <f aca="false">IFERROR((T1015)/((T1015)+O1015),0)</f>
        <v>0.0244293151782139</v>
      </c>
      <c r="AD1015" s="96" t="n">
        <f aca="false">IFERROR(Q1015/(Q1015+N1015),0)</f>
        <v>0</v>
      </c>
      <c r="AE1015" s="91" t="n">
        <f aca="false">(N1015-T1015)/N1015</f>
        <v>0.975570684821786</v>
      </c>
      <c r="AF1015" s="97" t="n">
        <f aca="false">BR1015</f>
        <v>0</v>
      </c>
      <c r="AG1015" s="98" t="n">
        <f aca="false">K1015-AF1015</f>
        <v>2</v>
      </c>
      <c r="AH1015" s="99" t="n">
        <f aca="false">IFERROR(AG1015/K1015," ")</f>
        <v>1</v>
      </c>
      <c r="AI1015" s="100" t="n">
        <f aca="false">IFERROR(O1015/K1015,0)</f>
        <v>1218</v>
      </c>
      <c r="AJ1015" s="101" t="n">
        <f aca="false">VLOOKUP(D1015,'Standard Cycle time'!C:D,2,0)</f>
        <v>4</v>
      </c>
      <c r="AK1015" s="101" t="n">
        <f aca="false">AG1015*V1015*3600/O1015</f>
        <v>2.95566502463054</v>
      </c>
      <c r="AL1015" s="102" t="n">
        <f aca="false">AJ1015/AK1015</f>
        <v>1.35333333333333</v>
      </c>
      <c r="AM1015" s="99" t="n">
        <f aca="false">AE1015*AL1015*AH1015</f>
        <v>1.32027232679215</v>
      </c>
      <c r="AN1015" s="103" t="n">
        <v>1.32610598065084</v>
      </c>
      <c r="AO1015" s="112"/>
      <c r="AP1015" s="105"/>
      <c r="AQ1015" s="105"/>
      <c r="AR1015" s="105"/>
      <c r="AS1015" s="105"/>
      <c r="AT1015" s="105"/>
      <c r="AU1015" s="105"/>
      <c r="AV1015" s="105"/>
      <c r="AW1015" s="105"/>
      <c r="AX1015" s="105"/>
      <c r="AY1015" s="105"/>
      <c r="AZ1015" s="105"/>
      <c r="BA1015" s="105"/>
      <c r="BB1015" s="105"/>
      <c r="BC1015" s="105"/>
      <c r="BD1015" s="105"/>
      <c r="BE1015" s="105"/>
      <c r="BF1015" s="105"/>
      <c r="BG1015" s="105"/>
      <c r="BH1015" s="105"/>
      <c r="BI1015" s="105"/>
      <c r="BJ1015" s="105"/>
      <c r="BK1015" s="105"/>
      <c r="BL1015" s="105"/>
      <c r="BM1015" s="105"/>
      <c r="BN1015" s="105"/>
      <c r="BO1015" s="105"/>
      <c r="BP1015" s="105"/>
      <c r="BQ1015" s="105"/>
      <c r="BR1015" s="106"/>
      <c r="BS1015" s="106"/>
      <c r="BT1015" s="107"/>
      <c r="BU1015" s="107"/>
      <c r="BV1015" s="107"/>
      <c r="BW1015" s="107"/>
      <c r="BX1015" s="107"/>
      <c r="BY1015" s="107"/>
      <c r="BZ1015" s="107"/>
      <c r="CA1015" s="107"/>
      <c r="CB1015" s="107"/>
      <c r="CC1015" s="107"/>
      <c r="CD1015" s="107"/>
      <c r="CE1015" s="107"/>
      <c r="CF1015" s="107"/>
      <c r="CG1015" s="107"/>
      <c r="CH1015" s="107"/>
      <c r="CI1015" s="107"/>
      <c r="CJ1015" s="107"/>
      <c r="CK1015" s="107"/>
      <c r="CL1015" s="107"/>
      <c r="CM1015" s="107"/>
      <c r="CN1015" s="107"/>
      <c r="CO1015" s="107"/>
      <c r="CP1015" s="107"/>
      <c r="CQ1015" s="107"/>
      <c r="CR1015" s="107"/>
      <c r="CS1015" s="107"/>
      <c r="CT1015" s="107"/>
      <c r="CU1015" s="107"/>
      <c r="CV1015" s="107"/>
    </row>
    <row r="1016" customFormat="false" ht="14.9" hidden="false" customHeight="false" outlineLevel="0" collapsed="false">
      <c r="A1016" s="74" t="n">
        <f aca="false">MONTH(B1016)</f>
        <v>10</v>
      </c>
      <c r="B1016" s="135" t="n">
        <v>44492</v>
      </c>
      <c r="C1016" s="128" t="s">
        <v>63</v>
      </c>
      <c r="D1016" s="77" t="str">
        <f aca="false">IFERROR(VLOOKUP(E:E,'Item Data Support Sheet'!A:O,7,0),"")</f>
        <v>NIPPLE WRAP PRINTED</v>
      </c>
      <c r="E1016" s="80" t="s">
        <v>431</v>
      </c>
      <c r="F1016" s="122"/>
      <c r="G1016" s="137" t="s">
        <v>432</v>
      </c>
      <c r="H1016" s="79" t="str">
        <f aca="false">IFERROR(VLOOKUP(E:E,'Item Data Support Sheet'!A:O,2,0),"")</f>
        <v>NIPPLE S TYPE M SIZE WITH PRINTED WRAP</v>
      </c>
      <c r="I1016" s="80" t="s">
        <v>1735</v>
      </c>
      <c r="J1016" s="80" t="s">
        <v>815</v>
      </c>
      <c r="K1016" s="124" t="n">
        <v>4</v>
      </c>
      <c r="L1016" s="124" t="n">
        <v>8000</v>
      </c>
      <c r="M1016" s="83" t="n">
        <v>2000</v>
      </c>
      <c r="N1016" s="84" t="n">
        <f aca="false">+O1016+Q1016+T1016+U1016</f>
        <v>8142</v>
      </c>
      <c r="O1016" s="85" t="n">
        <v>8139</v>
      </c>
      <c r="P1016" s="86" t="n">
        <v>0</v>
      </c>
      <c r="Q1016" s="86" t="n">
        <v>0</v>
      </c>
      <c r="R1016" s="132" t="n">
        <v>0</v>
      </c>
      <c r="S1016" s="128" t="n">
        <v>0</v>
      </c>
      <c r="T1016" s="132" t="n">
        <v>3</v>
      </c>
      <c r="U1016" s="128" t="n">
        <v>0</v>
      </c>
      <c r="V1016" s="128" t="n">
        <v>2</v>
      </c>
      <c r="W1016" s="90" t="n">
        <f aca="false">IFERROR(O1016/V1016,0)</f>
        <v>4069.5</v>
      </c>
      <c r="X1016" s="91" t="n">
        <f aca="false">O1016/L1016</f>
        <v>1.017375</v>
      </c>
      <c r="Y1016" s="92" t="str">
        <f aca="false">IFERROR(VLOOKUP(E:E,'Item Data Support Sheet'!A:J,6,0),0)</f>
        <v>FO020</v>
      </c>
      <c r="Z1016" s="93" t="n">
        <f aca="false">IFERROR(VLOOKUP(E:E,'Item Data Support Sheet'!A:O,4,0),0)</f>
        <v>0</v>
      </c>
      <c r="AA1016" s="93" t="n">
        <f aca="false">IFERROR(((N1016)*(Z1016/1000))+P1016,0)</f>
        <v>0</v>
      </c>
      <c r="AB1016" s="94" t="str">
        <f aca="false">IFERROR((O1016*(Z1016/1000)/(AA1016))," ")</f>
        <v> </v>
      </c>
      <c r="AC1016" s="95" t="n">
        <f aca="false">IFERROR((T1016)/((T1016)+O1016),0)</f>
        <v>0.000368459837877671</v>
      </c>
      <c r="AD1016" s="96" t="n">
        <f aca="false">IFERROR(Q1016/(Q1016+N1016),0)</f>
        <v>0</v>
      </c>
      <c r="AE1016" s="91" t="n">
        <f aca="false">(N1016-T1016)/N1016</f>
        <v>0.999631540162122</v>
      </c>
      <c r="AF1016" s="97" t="n">
        <f aca="false">BR1016</f>
        <v>0</v>
      </c>
      <c r="AG1016" s="98" t="n">
        <f aca="false">K1016-AF1016</f>
        <v>4</v>
      </c>
      <c r="AH1016" s="99" t="n">
        <f aca="false">IFERROR(AG1016/K1016," ")</f>
        <v>1</v>
      </c>
      <c r="AI1016" s="100" t="n">
        <f aca="false">IFERROR(O1016/K1016,0)</f>
        <v>2034.75</v>
      </c>
      <c r="AJ1016" s="101" t="n">
        <f aca="false">VLOOKUP(D1016,'Standard Cycle time'!C:D,2,0)</f>
        <v>2.5</v>
      </c>
      <c r="AK1016" s="101" t="n">
        <f aca="false">AG1016*V1016*3600/O1016</f>
        <v>3.5385182454847</v>
      </c>
      <c r="AL1016" s="102" t="n">
        <f aca="false">AJ1016/AK1016</f>
        <v>0.706510416666667</v>
      </c>
      <c r="AM1016" s="99" t="n">
        <f aca="false">AE1016*AL1016*AH1016</f>
        <v>0.706250095953083</v>
      </c>
      <c r="AN1016" s="103" t="n">
        <v>0.705942938420348</v>
      </c>
      <c r="AO1016" s="112"/>
      <c r="AP1016" s="105" t="n">
        <v>0</v>
      </c>
      <c r="AQ1016" s="105" t="n">
        <v>0</v>
      </c>
      <c r="AR1016" s="105" t="n">
        <v>0</v>
      </c>
      <c r="AS1016" s="105" t="n">
        <v>0</v>
      </c>
      <c r="AT1016" s="105" t="n">
        <v>0</v>
      </c>
      <c r="AU1016" s="105" t="n">
        <v>0</v>
      </c>
      <c r="AV1016" s="105" t="n">
        <v>0</v>
      </c>
      <c r="AW1016" s="105" t="n">
        <v>0</v>
      </c>
      <c r="AX1016" s="105" t="n">
        <v>0</v>
      </c>
      <c r="AY1016" s="105" t="n">
        <v>0</v>
      </c>
      <c r="AZ1016" s="105" t="n">
        <v>0</v>
      </c>
      <c r="BA1016" s="105" t="n">
        <v>0</v>
      </c>
      <c r="BB1016" s="105" t="n">
        <v>0</v>
      </c>
      <c r="BC1016" s="105" t="n">
        <v>0</v>
      </c>
      <c r="BD1016" s="105" t="n">
        <v>0</v>
      </c>
      <c r="BE1016" s="105" t="n">
        <v>0</v>
      </c>
      <c r="BF1016" s="105" t="n">
        <v>0</v>
      </c>
      <c r="BG1016" s="105" t="n">
        <v>0</v>
      </c>
      <c r="BH1016" s="105" t="n">
        <v>0</v>
      </c>
      <c r="BI1016" s="105" t="n">
        <v>0</v>
      </c>
      <c r="BJ1016" s="105" t="n">
        <v>0</v>
      </c>
      <c r="BK1016" s="105" t="n">
        <v>0</v>
      </c>
      <c r="BL1016" s="105" t="n">
        <v>0</v>
      </c>
      <c r="BM1016" s="105" t="n">
        <v>0</v>
      </c>
      <c r="BN1016" s="105" t="n">
        <v>0</v>
      </c>
      <c r="BO1016" s="105" t="n">
        <v>0</v>
      </c>
      <c r="BP1016" s="105" t="n">
        <v>0</v>
      </c>
      <c r="BQ1016" s="105" t="n">
        <v>0</v>
      </c>
      <c r="BR1016" s="106" t="n">
        <v>0</v>
      </c>
      <c r="BS1016" s="106" t="n">
        <v>0</v>
      </c>
      <c r="BT1016" s="107"/>
      <c r="BU1016" s="107"/>
      <c r="BV1016" s="107"/>
      <c r="BW1016" s="107"/>
      <c r="BX1016" s="107"/>
      <c r="BY1016" s="107"/>
      <c r="BZ1016" s="107"/>
      <c r="CA1016" s="107"/>
      <c r="CB1016" s="107"/>
      <c r="CC1016" s="107"/>
      <c r="CD1016" s="107"/>
      <c r="CE1016" s="107"/>
      <c r="CF1016" s="107"/>
      <c r="CG1016" s="107"/>
      <c r="CH1016" s="107"/>
      <c r="CI1016" s="107"/>
      <c r="CJ1016" s="107"/>
      <c r="CK1016" s="107"/>
      <c r="CL1016" s="107"/>
      <c r="CM1016" s="107"/>
      <c r="CN1016" s="107"/>
      <c r="CO1016" s="107"/>
      <c r="CP1016" s="107"/>
      <c r="CQ1016" s="107"/>
      <c r="CR1016" s="107"/>
      <c r="CS1016" s="107"/>
      <c r="CT1016" s="107"/>
      <c r="CU1016" s="107"/>
      <c r="CV1016" s="107"/>
    </row>
    <row r="1017" customFormat="false" ht="14.9" hidden="false" customHeight="false" outlineLevel="0" collapsed="false">
      <c r="A1017" s="74" t="n">
        <f aca="false">MONTH(B1017)</f>
        <v>10</v>
      </c>
      <c r="B1017" s="135" t="n">
        <v>44492</v>
      </c>
      <c r="C1017" s="128" t="s">
        <v>51</v>
      </c>
      <c r="D1017" s="77" t="str">
        <f aca="false">IFERROR(VLOOKUP(E:E,'Item Data Support Sheet'!A:O,7,0),"")</f>
        <v>HOOD MOLDED</v>
      </c>
      <c r="E1017" s="80" t="s">
        <v>529</v>
      </c>
      <c r="F1017" s="122"/>
      <c r="G1017" s="137" t="s">
        <v>740</v>
      </c>
      <c r="H1017" s="79" t="str">
        <f aca="false">IFERROR(VLOOKUP(E:E,'Item Data Support Sheet'!A:O,2,0),"")</f>
        <v>HOOD S TYPE MOLDED</v>
      </c>
      <c r="I1017" s="80" t="s">
        <v>1799</v>
      </c>
      <c r="J1017" s="80" t="s">
        <v>155</v>
      </c>
      <c r="K1017" s="124" t="n">
        <v>7</v>
      </c>
      <c r="L1017" s="124" t="n">
        <v>3600</v>
      </c>
      <c r="M1017" s="83" t="n">
        <v>514.285714285714</v>
      </c>
      <c r="N1017" s="84" t="n">
        <f aca="false">+O1017+Q1017+T1017+U1017</f>
        <v>3683</v>
      </c>
      <c r="O1017" s="85" t="n">
        <v>3675</v>
      </c>
      <c r="P1017" s="86" t="n">
        <v>0</v>
      </c>
      <c r="Q1017" s="86" t="n">
        <v>0</v>
      </c>
      <c r="R1017" s="132" t="n">
        <v>0</v>
      </c>
      <c r="S1017" s="128" t="n">
        <v>0</v>
      </c>
      <c r="T1017" s="132" t="n">
        <v>8</v>
      </c>
      <c r="U1017" s="128" t="n">
        <v>0</v>
      </c>
      <c r="V1017" s="128" t="n">
        <v>1</v>
      </c>
      <c r="W1017" s="90" t="n">
        <f aca="false">IFERROR(O1017/V1017,0)</f>
        <v>3675</v>
      </c>
      <c r="X1017" s="91" t="n">
        <f aca="false">O1017/L1017</f>
        <v>1.02083333333333</v>
      </c>
      <c r="Y1017" s="92" t="str">
        <f aca="false">IFERROR(VLOOKUP(E:E,'Item Data Support Sheet'!A:J,6,0),0)</f>
        <v>HMC</v>
      </c>
      <c r="Z1017" s="93" t="n">
        <f aca="false">IFERROR(VLOOKUP(E:E,'Item Data Support Sheet'!A:O,4,0),0)</f>
        <v>8.6</v>
      </c>
      <c r="AA1017" s="93" t="n">
        <f aca="false">IFERROR(((N1017)*(Z1017/1000))+P1017,0)</f>
        <v>31.6738</v>
      </c>
      <c r="AB1017" s="94" t="n">
        <f aca="false">IFERROR((O1017*(Z1017/1000)/(AA1017))," ")</f>
        <v>0.997827857724681</v>
      </c>
      <c r="AC1017" s="95" t="n">
        <f aca="false">IFERROR((T1017)/((T1017)+O1017),0)</f>
        <v>0.00217214227531903</v>
      </c>
      <c r="AD1017" s="96" t="n">
        <f aca="false">IFERROR(Q1017/(Q1017+N1017),0)</f>
        <v>0</v>
      </c>
      <c r="AE1017" s="91" t="n">
        <f aca="false">(N1017-T1017)/N1017</f>
        <v>0.997827857724681</v>
      </c>
      <c r="AF1017" s="97" t="n">
        <f aca="false">BR1017</f>
        <v>1</v>
      </c>
      <c r="AG1017" s="98" t="n">
        <f aca="false">K1017-AF1017</f>
        <v>6</v>
      </c>
      <c r="AH1017" s="99" t="n">
        <f aca="false">IFERROR(AG1017/K1017," ")</f>
        <v>0.857142857142857</v>
      </c>
      <c r="AI1017" s="100" t="n">
        <f aca="false">IFERROR(O1017/K1017,0)</f>
        <v>525</v>
      </c>
      <c r="AJ1017" s="101" t="n">
        <f aca="false">VLOOKUP(D1017,'Standard Cycle time'!C:D,2,0)</f>
        <v>6</v>
      </c>
      <c r="AK1017" s="101" t="n">
        <f aca="false">AG1017*V1017*3600/O1017</f>
        <v>5.87755102040816</v>
      </c>
      <c r="AL1017" s="102" t="n">
        <f aca="false">AJ1017/AK1017</f>
        <v>1.02083333333333</v>
      </c>
      <c r="AM1017" s="99" t="n">
        <f aca="false">AE1017*AL1017*AH1017</f>
        <v>0.873099375509096</v>
      </c>
      <c r="AN1017" s="103" t="n">
        <v>0.874140260378285</v>
      </c>
      <c r="AO1017" s="112"/>
      <c r="AP1017" s="105" t="n">
        <v>0</v>
      </c>
      <c r="AQ1017" s="105" t="n">
        <v>0</v>
      </c>
      <c r="AR1017" s="105" t="n">
        <v>0</v>
      </c>
      <c r="AS1017" s="105" t="n">
        <v>0</v>
      </c>
      <c r="AT1017" s="105" t="n">
        <v>0</v>
      </c>
      <c r="AU1017" s="105" t="n">
        <v>0</v>
      </c>
      <c r="AV1017" s="105" t="n">
        <v>0</v>
      </c>
      <c r="AW1017" s="105" t="n">
        <v>30</v>
      </c>
      <c r="AX1017" s="105" t="n">
        <v>0</v>
      </c>
      <c r="AY1017" s="105" t="n">
        <v>0</v>
      </c>
      <c r="AZ1017" s="105" t="n">
        <v>30</v>
      </c>
      <c r="BA1017" s="105" t="n">
        <v>0</v>
      </c>
      <c r="BB1017" s="105" t="n">
        <v>0</v>
      </c>
      <c r="BC1017" s="105" t="n">
        <v>0</v>
      </c>
      <c r="BD1017" s="105" t="n">
        <v>0</v>
      </c>
      <c r="BE1017" s="105" t="n">
        <v>0</v>
      </c>
      <c r="BF1017" s="105" t="n">
        <v>0</v>
      </c>
      <c r="BG1017" s="105" t="n">
        <v>0</v>
      </c>
      <c r="BH1017" s="105" t="n">
        <v>0</v>
      </c>
      <c r="BI1017" s="105" t="n">
        <v>0</v>
      </c>
      <c r="BJ1017" s="105" t="n">
        <v>0</v>
      </c>
      <c r="BK1017" s="105" t="n">
        <v>0</v>
      </c>
      <c r="BL1017" s="105" t="n">
        <v>0</v>
      </c>
      <c r="BM1017" s="105" t="n">
        <v>0</v>
      </c>
      <c r="BN1017" s="105" t="n">
        <v>0</v>
      </c>
      <c r="BO1017" s="105" t="n">
        <v>0</v>
      </c>
      <c r="BP1017" s="105" t="n">
        <v>0</v>
      </c>
      <c r="BQ1017" s="105" t="n">
        <v>0</v>
      </c>
      <c r="BR1017" s="106" t="n">
        <v>1</v>
      </c>
      <c r="BS1017" s="106" t="n">
        <v>1</v>
      </c>
      <c r="BT1017" s="107"/>
      <c r="BU1017" s="107"/>
      <c r="BV1017" s="107"/>
      <c r="BW1017" s="107"/>
      <c r="BX1017" s="107"/>
      <c r="BY1017" s="107"/>
      <c r="BZ1017" s="107"/>
      <c r="CA1017" s="107"/>
      <c r="CB1017" s="107"/>
      <c r="CC1017" s="107"/>
      <c r="CD1017" s="107"/>
      <c r="CE1017" s="107"/>
      <c r="CF1017" s="107"/>
      <c r="CG1017" s="107"/>
      <c r="CH1017" s="107"/>
      <c r="CI1017" s="107"/>
      <c r="CJ1017" s="107"/>
      <c r="CK1017" s="107"/>
      <c r="CL1017" s="107"/>
      <c r="CM1017" s="107"/>
      <c r="CN1017" s="107"/>
      <c r="CO1017" s="107"/>
      <c r="CP1017" s="107"/>
      <c r="CQ1017" s="107"/>
      <c r="CR1017" s="107"/>
      <c r="CS1017" s="107"/>
      <c r="CT1017" s="107"/>
      <c r="CU1017" s="107"/>
      <c r="CV1017" s="107"/>
    </row>
    <row r="1018" customFormat="false" ht="14.9" hidden="false" customHeight="false" outlineLevel="0" collapsed="false">
      <c r="A1018" s="74" t="n">
        <f aca="false">MONTH(B1018)</f>
        <v>10</v>
      </c>
      <c r="B1018" s="135" t="n">
        <v>44492</v>
      </c>
      <c r="C1018" s="128" t="s">
        <v>51</v>
      </c>
      <c r="D1018" s="77" t="str">
        <f aca="false">IFERROR(VLOOKUP(E:E,'Item Data Support Sheet'!A:O,7,0),"")</f>
        <v>NIPPLE PUNCH</v>
      </c>
      <c r="E1018" s="80" t="s">
        <v>53</v>
      </c>
      <c r="F1018" s="122"/>
      <c r="G1018" s="137" t="s">
        <v>54</v>
      </c>
      <c r="H1018" s="79" t="str">
        <f aca="false">IFERROR(VLOOKUP(E:E,'Item Data Support Sheet'!A:O,2,0),"")</f>
        <v>NIPPLE S TYPE S SIZE PUNCHED</v>
      </c>
      <c r="I1018" s="80" t="s">
        <v>1800</v>
      </c>
      <c r="J1018" s="80" t="s">
        <v>155</v>
      </c>
      <c r="K1018" s="124" t="n">
        <v>7</v>
      </c>
      <c r="L1018" s="124" t="n">
        <v>6000</v>
      </c>
      <c r="M1018" s="83" t="n">
        <v>857.142857142857</v>
      </c>
      <c r="N1018" s="84" t="n">
        <f aca="false">+O1018+Q1018+T1018+U1018</f>
        <v>5400</v>
      </c>
      <c r="O1018" s="85" t="n">
        <v>5400</v>
      </c>
      <c r="P1018" s="86" t="n">
        <v>0</v>
      </c>
      <c r="Q1018" s="86" t="n">
        <v>0</v>
      </c>
      <c r="R1018" s="132" t="n">
        <v>0</v>
      </c>
      <c r="S1018" s="128" t="n">
        <v>0</v>
      </c>
      <c r="T1018" s="132" t="n">
        <v>0</v>
      </c>
      <c r="U1018" s="128" t="n">
        <v>0</v>
      </c>
      <c r="V1018" s="128" t="n">
        <v>1</v>
      </c>
      <c r="W1018" s="90" t="n">
        <f aca="false">IFERROR(O1018/V1018,0)</f>
        <v>5400</v>
      </c>
      <c r="X1018" s="91" t="n">
        <f aca="false">O1018/L1018</f>
        <v>0.9</v>
      </c>
      <c r="Y1018" s="92" t="str">
        <f aca="false">IFERROR(VLOOKUP(E:E,'Item Data Support Sheet'!A:J,6,0),0)</f>
        <v>FO015</v>
      </c>
      <c r="Z1018" s="93" t="n">
        <f aca="false">IFERROR(VLOOKUP(E:E,'Item Data Support Sheet'!A:O,4,0),0)</f>
        <v>0</v>
      </c>
      <c r="AA1018" s="93" t="n">
        <f aca="false">IFERROR(((N1018)*(Z1018/1000))+P1018,0)</f>
        <v>0</v>
      </c>
      <c r="AB1018" s="94" t="str">
        <f aca="false">IFERROR((O1018*(Z1018/1000)/(AA1018))," ")</f>
        <v> </v>
      </c>
      <c r="AC1018" s="95" t="n">
        <f aca="false">IFERROR((T1018)/((T1018)+O1018),0)</f>
        <v>0</v>
      </c>
      <c r="AD1018" s="96" t="n">
        <f aca="false">IFERROR(Q1018/(Q1018+N1018),0)</f>
        <v>0</v>
      </c>
      <c r="AE1018" s="91" t="n">
        <f aca="false">(N1018-T1018)/N1018</f>
        <v>1</v>
      </c>
      <c r="AF1018" s="97" t="n">
        <f aca="false">BR1018</f>
        <v>1</v>
      </c>
      <c r="AG1018" s="98" t="n">
        <f aca="false">K1018-AF1018</f>
        <v>6</v>
      </c>
      <c r="AH1018" s="99" t="n">
        <f aca="false">IFERROR(AG1018/K1018," ")</f>
        <v>0.857142857142857</v>
      </c>
      <c r="AI1018" s="100" t="n">
        <f aca="false">IFERROR(O1018/K1018,0)</f>
        <v>771.428571428571</v>
      </c>
      <c r="AJ1018" s="101" t="n">
        <f aca="false">VLOOKUP(D1018,'Standard Cycle time'!C:D,2,0)</f>
        <v>3.5</v>
      </c>
      <c r="AK1018" s="101" t="n">
        <f aca="false">AG1018*V1018*3600/O1018</f>
        <v>4</v>
      </c>
      <c r="AL1018" s="102" t="n">
        <f aca="false">AJ1018/AK1018</f>
        <v>0.875</v>
      </c>
      <c r="AM1018" s="99" t="n">
        <f aca="false">AE1018*AL1018*AH1018</f>
        <v>0.75</v>
      </c>
      <c r="AN1018" s="103" t="n">
        <v>0.75</v>
      </c>
      <c r="AO1018" s="112" t="s">
        <v>1801</v>
      </c>
      <c r="AP1018" s="105" t="n">
        <v>30</v>
      </c>
      <c r="AQ1018" s="105" t="n">
        <v>0</v>
      </c>
      <c r="AR1018" s="105" t="n">
        <v>0</v>
      </c>
      <c r="AS1018" s="105" t="n">
        <v>0</v>
      </c>
      <c r="AT1018" s="105" t="n">
        <v>0</v>
      </c>
      <c r="AU1018" s="105" t="n">
        <v>0</v>
      </c>
      <c r="AV1018" s="105" t="n">
        <v>0</v>
      </c>
      <c r="AW1018" s="105" t="n">
        <v>0</v>
      </c>
      <c r="AX1018" s="105" t="n">
        <v>0</v>
      </c>
      <c r="AY1018" s="105" t="n">
        <v>0</v>
      </c>
      <c r="AZ1018" s="105" t="n">
        <v>0</v>
      </c>
      <c r="BA1018" s="105" t="n">
        <v>0</v>
      </c>
      <c r="BB1018" s="105" t="n">
        <v>0</v>
      </c>
      <c r="BC1018" s="105" t="n">
        <v>0</v>
      </c>
      <c r="BD1018" s="105" t="n">
        <v>0</v>
      </c>
      <c r="BE1018" s="105" t="n">
        <v>0</v>
      </c>
      <c r="BF1018" s="105" t="n">
        <v>0</v>
      </c>
      <c r="BG1018" s="105" t="n">
        <v>0</v>
      </c>
      <c r="BH1018" s="105" t="n">
        <v>0</v>
      </c>
      <c r="BI1018" s="105" t="n">
        <v>0</v>
      </c>
      <c r="BJ1018" s="105" t="n">
        <v>0</v>
      </c>
      <c r="BK1018" s="105" t="n">
        <v>0</v>
      </c>
      <c r="BL1018" s="105" t="n">
        <v>0</v>
      </c>
      <c r="BM1018" s="105" t="n">
        <v>0</v>
      </c>
      <c r="BN1018" s="105" t="n">
        <v>0</v>
      </c>
      <c r="BO1018" s="105" t="n">
        <v>0</v>
      </c>
      <c r="BP1018" s="105" t="n">
        <v>0</v>
      </c>
      <c r="BQ1018" s="105" t="n">
        <v>30</v>
      </c>
      <c r="BR1018" s="106" t="n">
        <v>1</v>
      </c>
      <c r="BS1018" s="106" t="n">
        <v>1</v>
      </c>
      <c r="BT1018" s="107"/>
      <c r="BU1018" s="107"/>
      <c r="BV1018" s="107"/>
      <c r="BW1018" s="107"/>
      <c r="BX1018" s="107"/>
      <c r="BY1018" s="107"/>
      <c r="BZ1018" s="107"/>
      <c r="CA1018" s="107"/>
      <c r="CB1018" s="107"/>
      <c r="CC1018" s="107"/>
      <c r="CD1018" s="107"/>
      <c r="CE1018" s="107"/>
      <c r="CF1018" s="107"/>
      <c r="CG1018" s="107"/>
      <c r="CH1018" s="107"/>
      <c r="CI1018" s="107"/>
      <c r="CJ1018" s="107"/>
      <c r="CK1018" s="107"/>
      <c r="CL1018" s="107"/>
      <c r="CM1018" s="107"/>
      <c r="CN1018" s="107"/>
      <c r="CO1018" s="107"/>
      <c r="CP1018" s="107"/>
      <c r="CQ1018" s="107"/>
      <c r="CR1018" s="107"/>
      <c r="CS1018" s="107"/>
      <c r="CT1018" s="107"/>
      <c r="CU1018" s="107"/>
      <c r="CV1018" s="107"/>
    </row>
    <row r="1019" customFormat="false" ht="14.9" hidden="false" customHeight="false" outlineLevel="0" collapsed="false">
      <c r="A1019" s="74" t="n">
        <f aca="false">MONTH(B1019)</f>
        <v>10</v>
      </c>
      <c r="B1019" s="135" t="n">
        <v>44492</v>
      </c>
      <c r="C1019" s="128" t="s">
        <v>51</v>
      </c>
      <c r="D1019" s="77" t="str">
        <f aca="false">IFERROR(VLOOKUP(E:E,'Item Data Support Sheet'!A:O,7,0),"")</f>
        <v>NIPPLE LASER MARKING</v>
      </c>
      <c r="E1019" s="80" t="s">
        <v>444</v>
      </c>
      <c r="F1019" s="122"/>
      <c r="G1019" s="137" t="s">
        <v>517</v>
      </c>
      <c r="H1019" s="79" t="str">
        <f aca="false">IFERROR(VLOOKUP(E:E,'Item Data Support Sheet'!A:O,2,0),"")</f>
        <v>NIPPLE S TYPE S SIZE PUNCHED LASER MARKED</v>
      </c>
      <c r="I1019" s="80" t="s">
        <v>1791</v>
      </c>
      <c r="J1019" s="80" t="s">
        <v>155</v>
      </c>
      <c r="K1019" s="124" t="n">
        <v>7</v>
      </c>
      <c r="L1019" s="124" t="n">
        <v>6000</v>
      </c>
      <c r="M1019" s="83" t="n">
        <v>857.142857142857</v>
      </c>
      <c r="N1019" s="84" t="n">
        <f aca="false">+O1019+Q1019+T1019+U1019</f>
        <v>4952</v>
      </c>
      <c r="O1019" s="85" t="n">
        <v>4952</v>
      </c>
      <c r="P1019" s="86" t="n">
        <v>0</v>
      </c>
      <c r="Q1019" s="86" t="n">
        <v>0</v>
      </c>
      <c r="R1019" s="132" t="n">
        <v>0</v>
      </c>
      <c r="S1019" s="128" t="n">
        <v>0</v>
      </c>
      <c r="T1019" s="132" t="n">
        <v>0</v>
      </c>
      <c r="U1019" s="128" t="n">
        <v>0</v>
      </c>
      <c r="V1019" s="128" t="n">
        <v>1</v>
      </c>
      <c r="W1019" s="90" t="n">
        <f aca="false">IFERROR(O1019/V1019,0)</f>
        <v>4952</v>
      </c>
      <c r="X1019" s="91" t="n">
        <f aca="false">O1019/L1019</f>
        <v>0.825333333333333</v>
      </c>
      <c r="Y1019" s="92" t="str">
        <f aca="false">IFERROR(VLOOKUP(E:E,'Item Data Support Sheet'!A:J,6,0),0)</f>
        <v>FO019</v>
      </c>
      <c r="Z1019" s="93" t="n">
        <f aca="false">IFERROR(VLOOKUP(E:E,'Item Data Support Sheet'!A:O,4,0),0)</f>
        <v>0</v>
      </c>
      <c r="AA1019" s="93" t="n">
        <f aca="false">IFERROR(((N1019)*(Z1019/1000))+P1019,0)</f>
        <v>0</v>
      </c>
      <c r="AB1019" s="94" t="str">
        <f aca="false">IFERROR((O1019*(Z1019/1000)/(AA1019))," ")</f>
        <v> </v>
      </c>
      <c r="AC1019" s="95" t="n">
        <f aca="false">IFERROR((T1019)/((T1019)+O1019),0)</f>
        <v>0</v>
      </c>
      <c r="AD1019" s="96" t="n">
        <f aca="false">IFERROR(Q1019/(Q1019+N1019),0)</f>
        <v>0</v>
      </c>
      <c r="AE1019" s="91" t="n">
        <f aca="false">(N1019-T1019)/N1019</f>
        <v>1</v>
      </c>
      <c r="AF1019" s="97" t="n">
        <f aca="false">BR1019</f>
        <v>0.5</v>
      </c>
      <c r="AG1019" s="98" t="n">
        <f aca="false">K1019-AF1019</f>
        <v>6.5</v>
      </c>
      <c r="AH1019" s="99" t="n">
        <f aca="false">IFERROR(AG1019/K1019," ")</f>
        <v>0.928571428571429</v>
      </c>
      <c r="AI1019" s="100" t="n">
        <f aca="false">IFERROR(O1019/K1019,0)</f>
        <v>707.428571428572</v>
      </c>
      <c r="AJ1019" s="101" t="n">
        <f aca="false">VLOOKUP(D1019,'Standard Cycle time'!C:D,2,0)</f>
        <v>3.5</v>
      </c>
      <c r="AK1019" s="101" t="n">
        <f aca="false">AG1019*V1019*3600/O1019</f>
        <v>4.72536348949919</v>
      </c>
      <c r="AL1019" s="102" t="n">
        <f aca="false">AJ1019/AK1019</f>
        <v>0.740683760683761</v>
      </c>
      <c r="AM1019" s="99" t="n">
        <f aca="false">AE1019*AL1019*AH1019</f>
        <v>0.687777777777778</v>
      </c>
      <c r="AN1019" s="103" t="n">
        <v>0.687777777777778</v>
      </c>
      <c r="AO1019" s="112" t="s">
        <v>1802</v>
      </c>
      <c r="AP1019" s="105" t="n">
        <v>30</v>
      </c>
      <c r="AQ1019" s="105" t="n">
        <v>0</v>
      </c>
      <c r="AR1019" s="105" t="n">
        <v>0</v>
      </c>
      <c r="AS1019" s="105" t="n">
        <v>0</v>
      </c>
      <c r="AT1019" s="105" t="n">
        <v>0</v>
      </c>
      <c r="AU1019" s="105" t="n">
        <v>0</v>
      </c>
      <c r="AV1019" s="105" t="n">
        <v>0</v>
      </c>
      <c r="AW1019" s="105" t="n">
        <v>0</v>
      </c>
      <c r="AX1019" s="105" t="n">
        <v>0</v>
      </c>
      <c r="AY1019" s="105" t="n">
        <v>0</v>
      </c>
      <c r="AZ1019" s="105" t="n">
        <v>0</v>
      </c>
      <c r="BA1019" s="105" t="n">
        <v>0</v>
      </c>
      <c r="BB1019" s="105" t="n">
        <v>0</v>
      </c>
      <c r="BC1019" s="105" t="n">
        <v>0</v>
      </c>
      <c r="BD1019" s="105" t="n">
        <v>0</v>
      </c>
      <c r="BE1019" s="105" t="n">
        <v>0</v>
      </c>
      <c r="BF1019" s="105" t="n">
        <v>0</v>
      </c>
      <c r="BG1019" s="105" t="n">
        <v>0</v>
      </c>
      <c r="BH1019" s="105" t="n">
        <v>0</v>
      </c>
      <c r="BI1019" s="105" t="n">
        <v>0</v>
      </c>
      <c r="BJ1019" s="105" t="n">
        <v>0</v>
      </c>
      <c r="BK1019" s="105" t="n">
        <v>0</v>
      </c>
      <c r="BL1019" s="105" t="n">
        <v>0</v>
      </c>
      <c r="BM1019" s="105" t="n">
        <v>0</v>
      </c>
      <c r="BN1019" s="105" t="n">
        <v>0</v>
      </c>
      <c r="BO1019" s="105" t="n">
        <v>0</v>
      </c>
      <c r="BP1019" s="105" t="n">
        <v>0</v>
      </c>
      <c r="BQ1019" s="105" t="n">
        <v>0</v>
      </c>
      <c r="BR1019" s="106" t="n">
        <v>0.5</v>
      </c>
      <c r="BS1019" s="106" t="n">
        <v>0.5</v>
      </c>
      <c r="BT1019" s="107"/>
      <c r="BU1019" s="107"/>
      <c r="BV1019" s="107"/>
      <c r="BW1019" s="107"/>
      <c r="BX1019" s="107"/>
      <c r="BY1019" s="107"/>
      <c r="BZ1019" s="107"/>
      <c r="CA1019" s="107"/>
      <c r="CB1019" s="107"/>
      <c r="CC1019" s="107"/>
      <c r="CD1019" s="107"/>
      <c r="CE1019" s="107"/>
      <c r="CF1019" s="107"/>
      <c r="CG1019" s="107"/>
      <c r="CH1019" s="107"/>
      <c r="CI1019" s="107"/>
      <c r="CJ1019" s="107"/>
      <c r="CK1019" s="107"/>
      <c r="CL1019" s="107"/>
      <c r="CM1019" s="107"/>
      <c r="CN1019" s="107"/>
      <c r="CO1019" s="107"/>
      <c r="CP1019" s="107"/>
      <c r="CQ1019" s="107"/>
      <c r="CR1019" s="107"/>
      <c r="CS1019" s="107"/>
      <c r="CT1019" s="107"/>
      <c r="CU1019" s="107"/>
      <c r="CV1019" s="107"/>
    </row>
    <row r="1020" customFormat="false" ht="14.9" hidden="false" customHeight="false" outlineLevel="0" collapsed="false">
      <c r="A1020" s="74" t="n">
        <f aca="false">MONTH(B1020)</f>
        <v>10</v>
      </c>
      <c r="B1020" s="135" t="n">
        <v>44492</v>
      </c>
      <c r="C1020" s="128" t="s">
        <v>51</v>
      </c>
      <c r="D1020" s="77" t="str">
        <f aca="false">IFERROR(VLOOKUP(E:E,'Item Data Support Sheet'!A:O,7,0),"")</f>
        <v>BOTTLE PRINTED</v>
      </c>
      <c r="E1020" s="80" t="s">
        <v>65</v>
      </c>
      <c r="F1020" s="122"/>
      <c r="G1020" s="137"/>
      <c r="H1020" s="79" t="str">
        <f aca="false">IFERROR(VLOOKUP(E:E,'Item Data Support Sheet'!A:O,2,0),"")</f>
        <v>KPP 240 ML BOTTLE PRINTED</v>
      </c>
      <c r="I1020" s="80" t="s">
        <v>1792</v>
      </c>
      <c r="J1020" s="80" t="s">
        <v>161</v>
      </c>
      <c r="K1020" s="124" t="n">
        <v>6.5</v>
      </c>
      <c r="L1020" s="124" t="n">
        <v>4160</v>
      </c>
      <c r="M1020" s="83" t="n">
        <v>640</v>
      </c>
      <c r="N1020" s="84" t="n">
        <f aca="false">+O1020+Q1020+T1020+U1020</f>
        <v>3917</v>
      </c>
      <c r="O1020" s="85" t="n">
        <v>3888</v>
      </c>
      <c r="P1020" s="86" t="n">
        <v>0</v>
      </c>
      <c r="Q1020" s="86" t="n">
        <v>0</v>
      </c>
      <c r="R1020" s="132" t="n">
        <v>28</v>
      </c>
      <c r="S1020" s="128" t="n">
        <v>0</v>
      </c>
      <c r="T1020" s="132" t="n">
        <v>29</v>
      </c>
      <c r="U1020" s="128" t="n">
        <v>0</v>
      </c>
      <c r="V1020" s="128" t="n">
        <v>5</v>
      </c>
      <c r="W1020" s="90" t="n">
        <f aca="false">IFERROR(O1020/V1020,0)</f>
        <v>777.6</v>
      </c>
      <c r="X1020" s="91" t="n">
        <f aca="false">O1020/L1020</f>
        <v>0.934615384615385</v>
      </c>
      <c r="Y1020" s="92" t="str">
        <f aca="false">IFERROR(VLOOKUP(E:E,'Item Data Support Sheet'!A:J,6,0),0)</f>
        <v>FO003</v>
      </c>
      <c r="Z1020" s="93" t="n">
        <f aca="false">IFERROR(VLOOKUP(E:E,'Item Data Support Sheet'!A:O,4,0),0)</f>
        <v>0</v>
      </c>
      <c r="AA1020" s="93" t="n">
        <f aca="false">IFERROR(((N1020)*(Z1020/1000))+P1020,0)</f>
        <v>0</v>
      </c>
      <c r="AB1020" s="94" t="str">
        <f aca="false">IFERROR((O1020*(Z1020/1000)/(AA1020))," ")</f>
        <v> </v>
      </c>
      <c r="AC1020" s="95" t="n">
        <f aca="false">IFERROR((T1020)/((T1020)+O1020),0)</f>
        <v>0.00740362522338524</v>
      </c>
      <c r="AD1020" s="96" t="n">
        <f aca="false">IFERROR(Q1020/(Q1020+N1020),0)</f>
        <v>0</v>
      </c>
      <c r="AE1020" s="91" t="n">
        <f aca="false">(N1020-T1020)/N1020</f>
        <v>0.992596374776615</v>
      </c>
      <c r="AF1020" s="97" t="n">
        <f aca="false">BR1020</f>
        <v>0.166666666666667</v>
      </c>
      <c r="AG1020" s="98" t="n">
        <f aca="false">K1020-AF1020</f>
        <v>6.33333333333333</v>
      </c>
      <c r="AH1020" s="99" t="n">
        <f aca="false">IFERROR(AG1020/K1020," ")</f>
        <v>0.974358974358974</v>
      </c>
      <c r="AI1020" s="100" t="n">
        <f aca="false">IFERROR(O1020/K1020,0)</f>
        <v>598.153846153846</v>
      </c>
      <c r="AJ1020" s="101" t="n">
        <f aca="false">VLOOKUP(D1020,'Standard Cycle time'!C:D,2,0)</f>
        <v>32.4</v>
      </c>
      <c r="AK1020" s="101" t="n">
        <f aca="false">AG1020*V1020*3600/O1020</f>
        <v>29.320987654321</v>
      </c>
      <c r="AL1020" s="102" t="n">
        <f aca="false">AJ1020/AK1020</f>
        <v>1.10501052631579</v>
      </c>
      <c r="AM1020" s="99" t="n">
        <f aca="false">AE1020*AL1020*AH1020</f>
        <v>1.06870561065179</v>
      </c>
      <c r="AN1020" s="103" t="n">
        <v>1.0728420384332</v>
      </c>
      <c r="AO1020" s="112"/>
      <c r="AP1020" s="105" t="n">
        <v>10</v>
      </c>
      <c r="AQ1020" s="105" t="n">
        <v>0</v>
      </c>
      <c r="AR1020" s="105" t="n">
        <v>0</v>
      </c>
      <c r="AS1020" s="105" t="n">
        <v>0</v>
      </c>
      <c r="AT1020" s="105" t="n">
        <v>0</v>
      </c>
      <c r="AU1020" s="105" t="n">
        <v>0</v>
      </c>
      <c r="AV1020" s="105" t="n">
        <v>0</v>
      </c>
      <c r="AW1020" s="105" t="n">
        <v>0</v>
      </c>
      <c r="AX1020" s="105" t="n">
        <v>0</v>
      </c>
      <c r="AY1020" s="105" t="n">
        <v>0</v>
      </c>
      <c r="AZ1020" s="105" t="n">
        <v>0</v>
      </c>
      <c r="BA1020" s="105" t="n">
        <v>0</v>
      </c>
      <c r="BB1020" s="105" t="n">
        <v>0</v>
      </c>
      <c r="BC1020" s="105" t="n">
        <v>0</v>
      </c>
      <c r="BD1020" s="105" t="n">
        <v>0</v>
      </c>
      <c r="BE1020" s="105" t="n">
        <v>0</v>
      </c>
      <c r="BF1020" s="105" t="n">
        <v>0</v>
      </c>
      <c r="BG1020" s="105" t="n">
        <v>0</v>
      </c>
      <c r="BH1020" s="105" t="n">
        <v>0</v>
      </c>
      <c r="BI1020" s="105" t="n">
        <v>0</v>
      </c>
      <c r="BJ1020" s="105" t="n">
        <v>0</v>
      </c>
      <c r="BK1020" s="105" t="n">
        <v>0</v>
      </c>
      <c r="BL1020" s="105" t="n">
        <v>0</v>
      </c>
      <c r="BM1020" s="105" t="n">
        <v>0</v>
      </c>
      <c r="BN1020" s="105" t="n">
        <v>0</v>
      </c>
      <c r="BO1020" s="105" t="n">
        <v>0</v>
      </c>
      <c r="BP1020" s="105" t="n">
        <v>0</v>
      </c>
      <c r="BQ1020" s="105" t="n">
        <v>0</v>
      </c>
      <c r="BR1020" s="106" t="n">
        <v>0.166666666666667</v>
      </c>
      <c r="BS1020" s="106" t="n">
        <v>0.166666666666667</v>
      </c>
      <c r="BT1020" s="107"/>
      <c r="BU1020" s="107"/>
      <c r="BV1020" s="107"/>
      <c r="BW1020" s="107"/>
      <c r="BX1020" s="107"/>
      <c r="BY1020" s="107"/>
      <c r="BZ1020" s="107"/>
      <c r="CA1020" s="107"/>
      <c r="CB1020" s="107"/>
      <c r="CC1020" s="107"/>
      <c r="CD1020" s="107"/>
      <c r="CE1020" s="107"/>
      <c r="CF1020" s="107"/>
      <c r="CG1020" s="107"/>
      <c r="CH1020" s="107"/>
      <c r="CI1020" s="107"/>
      <c r="CJ1020" s="107"/>
      <c r="CK1020" s="107"/>
      <c r="CL1020" s="107"/>
      <c r="CM1020" s="107"/>
      <c r="CN1020" s="107"/>
      <c r="CO1020" s="107"/>
      <c r="CP1020" s="107"/>
      <c r="CQ1020" s="107"/>
      <c r="CR1020" s="107"/>
      <c r="CS1020" s="107"/>
      <c r="CT1020" s="107"/>
      <c r="CU1020" s="107"/>
      <c r="CV1020" s="107"/>
    </row>
    <row r="1021" customFormat="false" ht="14.9" hidden="false" customHeight="false" outlineLevel="0" collapsed="false">
      <c r="A1021" s="74" t="n">
        <f aca="false">MONTH(B1021)</f>
        <v>10</v>
      </c>
      <c r="B1021" s="135" t="n">
        <v>44494</v>
      </c>
      <c r="C1021" s="128" t="s">
        <v>51</v>
      </c>
      <c r="D1021" s="77" t="str">
        <f aca="false">IFERROR(VLOOKUP(E:E,'Item Data Support Sheet'!A:O,7,0),"")</f>
        <v>BOTTLE MOLDED</v>
      </c>
      <c r="E1021" s="80" t="s">
        <v>69</v>
      </c>
      <c r="F1021" s="122" t="s">
        <v>73</v>
      </c>
      <c r="G1021" s="137" t="s">
        <v>74</v>
      </c>
      <c r="H1021" s="79" t="str">
        <f aca="false">IFERROR(VLOOKUP(E:E,'Item Data Support Sheet'!A:O,2,0),"")</f>
        <v>KPP 240 ML BOTTLE MOLDED</v>
      </c>
      <c r="I1021" s="80" t="s">
        <v>1803</v>
      </c>
      <c r="J1021" s="80" t="s">
        <v>148</v>
      </c>
      <c r="K1021" s="124" t="n">
        <v>8</v>
      </c>
      <c r="L1021" s="124" t="n">
        <v>2040</v>
      </c>
      <c r="M1021" s="83" t="n">
        <v>255</v>
      </c>
      <c r="N1021" s="84" t="n">
        <f aca="false">+O1021+Q1021+T1021+U1021</f>
        <v>2130</v>
      </c>
      <c r="O1021" s="85" t="n">
        <v>2052</v>
      </c>
      <c r="P1021" s="86" t="n">
        <v>0.12</v>
      </c>
      <c r="Q1021" s="86" t="n">
        <v>30</v>
      </c>
      <c r="R1021" s="132" t="n">
        <v>0</v>
      </c>
      <c r="S1021" s="128" t="n">
        <v>0</v>
      </c>
      <c r="T1021" s="132" t="n">
        <v>40</v>
      </c>
      <c r="U1021" s="128" t="n">
        <v>8</v>
      </c>
      <c r="V1021" s="128" t="n">
        <v>1</v>
      </c>
      <c r="W1021" s="90" t="n">
        <f aca="false">IFERROR(O1021/V1021,0)</f>
        <v>2052</v>
      </c>
      <c r="X1021" s="91" t="n">
        <f aca="false">O1021/L1021</f>
        <v>1.00588235294118</v>
      </c>
      <c r="Y1021" s="92" t="str">
        <f aca="false">IFERROR(VLOOKUP(E:E,'Item Data Support Sheet'!A:J,6,0),0)</f>
        <v>HMC</v>
      </c>
      <c r="Z1021" s="93" t="n">
        <f aca="false">IFERROR(VLOOKUP(E:E,'Item Data Support Sheet'!A:O,4,0),0)</f>
        <v>32.1</v>
      </c>
      <c r="AA1021" s="93" t="n">
        <f aca="false">IFERROR(((N1021)*(Z1021/1000))+P1021,0)</f>
        <v>68.493</v>
      </c>
      <c r="AB1021" s="94" t="n">
        <f aca="false">IFERROR((O1021*(Z1021/1000)/(AA1021))," ")</f>
        <v>0.961692435723359</v>
      </c>
      <c r="AC1021" s="95" t="n">
        <f aca="false">IFERROR((T1021)/((T1021)+O1021),0)</f>
        <v>0.0191204588910134</v>
      </c>
      <c r="AD1021" s="96" t="n">
        <f aca="false">IFERROR(Q1021/(Q1021+N1021),0)</f>
        <v>0.0138888888888889</v>
      </c>
      <c r="AE1021" s="91" t="n">
        <f aca="false">(N1021-T1021)/N1021</f>
        <v>0.981220657276995</v>
      </c>
      <c r="AF1021" s="97" t="n">
        <f aca="false">BR1021</f>
        <v>2</v>
      </c>
      <c r="AG1021" s="98" t="n">
        <f aca="false">K1021-AF1021</f>
        <v>6</v>
      </c>
      <c r="AH1021" s="99" t="n">
        <f aca="false">IFERROR(AG1021/K1021," ")</f>
        <v>0.75</v>
      </c>
      <c r="AI1021" s="100" t="n">
        <f aca="false">IFERROR(O1021/K1021,0)</f>
        <v>256.5</v>
      </c>
      <c r="AJ1021" s="101" t="n">
        <f aca="false">VLOOKUP(D1021,'Standard Cycle time'!C:D,2,0)</f>
        <v>9</v>
      </c>
      <c r="AK1021" s="101" t="n">
        <f aca="false">AG1021*V1021*3600/O1021</f>
        <v>10.5263157894737</v>
      </c>
      <c r="AL1021" s="102" t="n">
        <f aca="false">AJ1021/AK1021</f>
        <v>0.855</v>
      </c>
      <c r="AM1021" s="99" t="n">
        <f aca="false">AE1021*AL1021*AH1021</f>
        <v>0.629207746478873</v>
      </c>
      <c r="AN1021" s="103" t="n">
        <v>0.634701621138627</v>
      </c>
      <c r="AO1021" s="112"/>
      <c r="AP1021" s="105" t="n">
        <v>0</v>
      </c>
      <c r="AQ1021" s="105" t="n">
        <v>0</v>
      </c>
      <c r="AR1021" s="105" t="n">
        <v>0</v>
      </c>
      <c r="AS1021" s="105" t="n">
        <v>0</v>
      </c>
      <c r="AT1021" s="105" t="n">
        <v>0</v>
      </c>
      <c r="AU1021" s="105" t="n">
        <v>0</v>
      </c>
      <c r="AV1021" s="105" t="n">
        <v>30</v>
      </c>
      <c r="AW1021" s="105" t="n">
        <v>30</v>
      </c>
      <c r="AX1021" s="105" t="n">
        <v>0</v>
      </c>
      <c r="AY1021" s="105" t="n">
        <v>0</v>
      </c>
      <c r="AZ1021" s="105" t="n">
        <v>30</v>
      </c>
      <c r="BA1021" s="105" t="n">
        <v>0</v>
      </c>
      <c r="BB1021" s="105" t="n">
        <v>30</v>
      </c>
      <c r="BC1021" s="105" t="n">
        <v>0</v>
      </c>
      <c r="BD1021" s="105" t="n">
        <v>0</v>
      </c>
      <c r="BE1021" s="105" t="n">
        <v>0</v>
      </c>
      <c r="BF1021" s="105" t="n">
        <v>0</v>
      </c>
      <c r="BG1021" s="105" t="n">
        <v>0</v>
      </c>
      <c r="BH1021" s="105" t="n">
        <v>0</v>
      </c>
      <c r="BI1021" s="105" t="n">
        <v>0</v>
      </c>
      <c r="BJ1021" s="105" t="n">
        <v>0</v>
      </c>
      <c r="BK1021" s="105" t="n">
        <v>0</v>
      </c>
      <c r="BL1021" s="105" t="n">
        <v>0</v>
      </c>
      <c r="BM1021" s="105" t="n">
        <v>0</v>
      </c>
      <c r="BN1021" s="105" t="n">
        <v>0</v>
      </c>
      <c r="BO1021" s="105" t="n">
        <v>0</v>
      </c>
      <c r="BP1021" s="105" t="n">
        <v>0</v>
      </c>
      <c r="BQ1021" s="105" t="n">
        <v>0</v>
      </c>
      <c r="BR1021" s="106" t="n">
        <v>2</v>
      </c>
      <c r="BS1021" s="106" t="n">
        <v>2</v>
      </c>
      <c r="BT1021" s="107"/>
      <c r="BU1021" s="107"/>
      <c r="BV1021" s="107"/>
      <c r="BW1021" s="107"/>
      <c r="BX1021" s="107"/>
      <c r="BY1021" s="107"/>
      <c r="BZ1021" s="107"/>
      <c r="CA1021" s="107"/>
      <c r="CB1021" s="107"/>
      <c r="CC1021" s="107"/>
      <c r="CD1021" s="107"/>
      <c r="CE1021" s="107"/>
      <c r="CF1021" s="107"/>
      <c r="CG1021" s="107"/>
      <c r="CH1021" s="107"/>
      <c r="CI1021" s="107"/>
      <c r="CJ1021" s="107"/>
      <c r="CK1021" s="107"/>
      <c r="CL1021" s="107"/>
      <c r="CM1021" s="107"/>
      <c r="CN1021" s="107"/>
      <c r="CO1021" s="107"/>
      <c r="CP1021" s="107"/>
      <c r="CQ1021" s="107"/>
      <c r="CR1021" s="107"/>
      <c r="CS1021" s="107"/>
      <c r="CT1021" s="107"/>
      <c r="CU1021" s="107"/>
      <c r="CV1021" s="107"/>
    </row>
    <row r="1022" customFormat="false" ht="14.9" hidden="false" customHeight="false" outlineLevel="0" collapsed="false">
      <c r="A1022" s="74" t="n">
        <f aca="false">MONTH(B1022)</f>
        <v>10</v>
      </c>
      <c r="B1022" s="135" t="n">
        <v>44494</v>
      </c>
      <c r="C1022" s="128" t="s">
        <v>51</v>
      </c>
      <c r="D1022" s="77" t="str">
        <f aca="false">IFERROR(VLOOKUP(E:E,'Item Data Support Sheet'!A:O,7,0),"")</f>
        <v>NIPPLE MOLDED</v>
      </c>
      <c r="E1022" s="80" t="s">
        <v>244</v>
      </c>
      <c r="F1022" s="122" t="s">
        <v>137</v>
      </c>
      <c r="G1022" s="137" t="s">
        <v>138</v>
      </c>
      <c r="H1022" s="79" t="str">
        <f aca="false">IFERROR(VLOOKUP(E:E,'Item Data Support Sheet'!A:O,2,0),"")</f>
        <v>NIPPLE S TYPE S SIZE INJECTION</v>
      </c>
      <c r="I1022" s="80" t="s">
        <v>1804</v>
      </c>
      <c r="J1022" s="80" t="s">
        <v>148</v>
      </c>
      <c r="K1022" s="124" t="n">
        <v>8</v>
      </c>
      <c r="L1022" s="124" t="n">
        <v>3600</v>
      </c>
      <c r="M1022" s="83" t="n">
        <v>450</v>
      </c>
      <c r="N1022" s="84" t="n">
        <f aca="false">+O1022+Q1022+T1022+U1022</f>
        <v>3443</v>
      </c>
      <c r="O1022" s="85" t="n">
        <v>3300</v>
      </c>
      <c r="P1022" s="86" t="n">
        <v>1.12</v>
      </c>
      <c r="Q1022" s="86" t="n">
        <v>73</v>
      </c>
      <c r="R1022" s="132" t="n">
        <v>0</v>
      </c>
      <c r="S1022" s="128" t="n">
        <v>0</v>
      </c>
      <c r="T1022" s="132" t="n">
        <v>62</v>
      </c>
      <c r="U1022" s="128" t="n">
        <v>8</v>
      </c>
      <c r="V1022" s="128" t="n">
        <v>1</v>
      </c>
      <c r="W1022" s="90" t="n">
        <f aca="false">IFERROR(O1022/V1022,0)</f>
        <v>3300</v>
      </c>
      <c r="X1022" s="91" t="n">
        <f aca="false">O1022/L1022</f>
        <v>0.916666666666667</v>
      </c>
      <c r="Y1022" s="92" t="str">
        <f aca="false">IFERROR(VLOOKUP(E:E,'Item Data Support Sheet'!A:J,6,0),0)</f>
        <v>Silicon</v>
      </c>
      <c r="Z1022" s="93" t="n">
        <f aca="false">IFERROR(VLOOKUP(E:E,'Item Data Support Sheet'!A:O,4,0),0)</f>
        <v>6.8</v>
      </c>
      <c r="AA1022" s="93" t="n">
        <f aca="false">IFERROR(((N1022)*(Z1022/1000))+P1022,0)</f>
        <v>24.5324</v>
      </c>
      <c r="AB1022" s="94" t="n">
        <f aca="false">IFERROR((O1022*(Z1022/1000)/(AA1022))," ")</f>
        <v>0.914708711744468</v>
      </c>
      <c r="AC1022" s="95" t="n">
        <f aca="false">IFERROR((T1022)/((T1022)+O1022),0)</f>
        <v>0.0184414039262344</v>
      </c>
      <c r="AD1022" s="96" t="n">
        <f aca="false">IFERROR(Q1022/(Q1022+N1022),0)</f>
        <v>0.0207622298065984</v>
      </c>
      <c r="AE1022" s="91" t="n">
        <f aca="false">(N1022-T1022)/N1022</f>
        <v>0.981992448446123</v>
      </c>
      <c r="AF1022" s="97" t="n">
        <f aca="false">BR1022</f>
        <v>2.5</v>
      </c>
      <c r="AG1022" s="98" t="n">
        <f aca="false">K1022-AF1022</f>
        <v>5.5</v>
      </c>
      <c r="AH1022" s="99" t="n">
        <f aca="false">IFERROR(AG1022/K1022," ")</f>
        <v>0.6875</v>
      </c>
      <c r="AI1022" s="100" t="n">
        <f aca="false">IFERROR(O1022/K1022,0)</f>
        <v>412.5</v>
      </c>
      <c r="AJ1022" s="101" t="n">
        <f aca="false">VLOOKUP(D1022,'Standard Cycle time'!C:D,2,0)</f>
        <v>5.25</v>
      </c>
      <c r="AK1022" s="101" t="n">
        <f aca="false">AG1022*V1022*3600/O1022</f>
        <v>6</v>
      </c>
      <c r="AL1022" s="102" t="n">
        <f aca="false">AJ1022/AK1022</f>
        <v>0.875</v>
      </c>
      <c r="AM1022" s="99" t="n">
        <f aca="false">AE1022*AL1022*AH1022</f>
        <v>0.590729832268371</v>
      </c>
      <c r="AN1022" s="103" t="n">
        <v>0.584052230046948</v>
      </c>
      <c r="AO1022" s="112"/>
      <c r="AP1022" s="105" t="n">
        <v>0</v>
      </c>
      <c r="AQ1022" s="105" t="n">
        <v>0</v>
      </c>
      <c r="AR1022" s="105" t="n">
        <v>0</v>
      </c>
      <c r="AS1022" s="105" t="n">
        <v>0</v>
      </c>
      <c r="AT1022" s="105" t="n">
        <v>0</v>
      </c>
      <c r="AU1022" s="105" t="n">
        <v>30</v>
      </c>
      <c r="AV1022" s="105" t="n">
        <v>30</v>
      </c>
      <c r="AW1022" s="105" t="n">
        <v>30</v>
      </c>
      <c r="AX1022" s="105" t="n">
        <v>0</v>
      </c>
      <c r="AY1022" s="105" t="n">
        <v>0</v>
      </c>
      <c r="AZ1022" s="105" t="n">
        <v>0</v>
      </c>
      <c r="BA1022" s="105" t="n">
        <v>0</v>
      </c>
      <c r="BB1022" s="105" t="n">
        <v>60</v>
      </c>
      <c r="BC1022" s="105" t="n">
        <v>0</v>
      </c>
      <c r="BD1022" s="105" t="n">
        <v>0</v>
      </c>
      <c r="BE1022" s="105" t="n">
        <v>0</v>
      </c>
      <c r="BF1022" s="105" t="n">
        <v>0</v>
      </c>
      <c r="BG1022" s="105" t="n">
        <v>0</v>
      </c>
      <c r="BH1022" s="105" t="n">
        <v>0</v>
      </c>
      <c r="BI1022" s="105" t="n">
        <v>0</v>
      </c>
      <c r="BJ1022" s="105" t="n">
        <v>0</v>
      </c>
      <c r="BK1022" s="105" t="n">
        <v>0</v>
      </c>
      <c r="BL1022" s="105" t="n">
        <v>0</v>
      </c>
      <c r="BM1022" s="105" t="n">
        <v>0</v>
      </c>
      <c r="BN1022" s="105" t="n">
        <v>0</v>
      </c>
      <c r="BO1022" s="105" t="n">
        <v>0</v>
      </c>
      <c r="BP1022" s="105" t="n">
        <v>0</v>
      </c>
      <c r="BQ1022" s="105" t="n">
        <v>0</v>
      </c>
      <c r="BR1022" s="106" t="n">
        <v>2.5</v>
      </c>
      <c r="BS1022" s="106" t="n">
        <v>2.5</v>
      </c>
      <c r="BT1022" s="107"/>
      <c r="BU1022" s="107"/>
      <c r="BV1022" s="107"/>
      <c r="BW1022" s="107"/>
      <c r="BX1022" s="107"/>
      <c r="BY1022" s="107"/>
      <c r="BZ1022" s="107"/>
      <c r="CA1022" s="107"/>
      <c r="CB1022" s="107"/>
      <c r="CC1022" s="107"/>
      <c r="CD1022" s="107"/>
      <c r="CE1022" s="107"/>
      <c r="CF1022" s="107"/>
      <c r="CG1022" s="107"/>
      <c r="CH1022" s="107"/>
      <c r="CI1022" s="107"/>
      <c r="CJ1022" s="107"/>
      <c r="CK1022" s="107"/>
      <c r="CL1022" s="107"/>
      <c r="CM1022" s="107"/>
      <c r="CN1022" s="107"/>
      <c r="CO1022" s="107"/>
      <c r="CP1022" s="107"/>
      <c r="CQ1022" s="107"/>
      <c r="CR1022" s="107"/>
      <c r="CS1022" s="107"/>
      <c r="CT1022" s="107"/>
      <c r="CU1022" s="107"/>
      <c r="CV1022" s="107"/>
    </row>
    <row r="1023" customFormat="false" ht="14.9" hidden="false" customHeight="false" outlineLevel="0" collapsed="false">
      <c r="A1023" s="74" t="n">
        <f aca="false">MONTH(B1023)</f>
        <v>10</v>
      </c>
      <c r="B1023" s="135" t="n">
        <v>44494</v>
      </c>
      <c r="C1023" s="128" t="s">
        <v>51</v>
      </c>
      <c r="D1023" s="77" t="str">
        <f aca="false">IFERROR(VLOOKUP(E:E,'Item Data Support Sheet'!A:O,7,0),"")</f>
        <v>HOOD MOLDED</v>
      </c>
      <c r="E1023" s="80" t="s">
        <v>529</v>
      </c>
      <c r="F1023" s="122"/>
      <c r="G1023" s="137" t="s">
        <v>740</v>
      </c>
      <c r="H1023" s="79" t="str">
        <f aca="false">IFERROR(VLOOKUP(E:E,'Item Data Support Sheet'!A:O,2,0),"")</f>
        <v>HOOD S TYPE MOLDED</v>
      </c>
      <c r="I1023" s="80" t="s">
        <v>1805</v>
      </c>
      <c r="J1023" s="80" t="s">
        <v>148</v>
      </c>
      <c r="K1023" s="124" t="n">
        <v>8</v>
      </c>
      <c r="L1023" s="124" t="n">
        <v>3600</v>
      </c>
      <c r="M1023" s="83" t="n">
        <v>450</v>
      </c>
      <c r="N1023" s="84" t="n">
        <f aca="false">+O1023+Q1023+T1023+U1023</f>
        <v>4030</v>
      </c>
      <c r="O1023" s="85" t="n">
        <v>4000</v>
      </c>
      <c r="P1023" s="86" t="n">
        <v>0.1</v>
      </c>
      <c r="Q1023" s="86" t="n">
        <v>18</v>
      </c>
      <c r="R1023" s="132" t="n">
        <v>0</v>
      </c>
      <c r="S1023" s="128" t="n">
        <v>0</v>
      </c>
      <c r="T1023" s="132" t="n">
        <v>4</v>
      </c>
      <c r="U1023" s="128" t="n">
        <v>8</v>
      </c>
      <c r="V1023" s="128" t="n">
        <v>1</v>
      </c>
      <c r="W1023" s="90" t="n">
        <f aca="false">IFERROR(O1023/V1023,0)</f>
        <v>4000</v>
      </c>
      <c r="X1023" s="91" t="n">
        <f aca="false">O1023/L1023</f>
        <v>1.11111111111111</v>
      </c>
      <c r="Y1023" s="92" t="str">
        <f aca="false">IFERROR(VLOOKUP(E:E,'Item Data Support Sheet'!A:J,6,0),0)</f>
        <v>HMC</v>
      </c>
      <c r="Z1023" s="93" t="n">
        <f aca="false">IFERROR(VLOOKUP(E:E,'Item Data Support Sheet'!A:O,4,0),0)</f>
        <v>8.6</v>
      </c>
      <c r="AA1023" s="93" t="n">
        <f aca="false">IFERROR(((N1023)*(Z1023/1000))+P1023,0)</f>
        <v>34.758</v>
      </c>
      <c r="AB1023" s="94" t="n">
        <f aca="false">IFERROR((O1023*(Z1023/1000)/(AA1023))," ")</f>
        <v>0.989700212900627</v>
      </c>
      <c r="AC1023" s="95" t="n">
        <f aca="false">IFERROR((T1023)/((T1023)+O1023),0)</f>
        <v>0.000999000999000999</v>
      </c>
      <c r="AD1023" s="96" t="n">
        <f aca="false">IFERROR(Q1023/(Q1023+N1023),0)</f>
        <v>0.00444664031620553</v>
      </c>
      <c r="AE1023" s="91" t="n">
        <f aca="false">(N1023-T1023)/N1023</f>
        <v>0.999007444168734</v>
      </c>
      <c r="AF1023" s="97" t="n">
        <f aca="false">BR1023</f>
        <v>1.33333333333333</v>
      </c>
      <c r="AG1023" s="98" t="n">
        <f aca="false">K1023-AF1023</f>
        <v>6.66666666666667</v>
      </c>
      <c r="AH1023" s="99" t="n">
        <f aca="false">IFERROR(AG1023/K1023," ")</f>
        <v>0.833333333333334</v>
      </c>
      <c r="AI1023" s="100" t="n">
        <f aca="false">IFERROR(O1023/K1023,0)</f>
        <v>500</v>
      </c>
      <c r="AJ1023" s="101" t="n">
        <f aca="false">VLOOKUP(D1023,'Standard Cycle time'!C:D,2,0)</f>
        <v>6</v>
      </c>
      <c r="AK1023" s="101" t="n">
        <f aca="false">AG1023*V1023*3600/O1023</f>
        <v>6</v>
      </c>
      <c r="AL1023" s="102" t="n">
        <f aca="false">AJ1023/AK1023</f>
        <v>1</v>
      </c>
      <c r="AM1023" s="99" t="n">
        <f aca="false">AE1023*AL1023*AH1023</f>
        <v>0.832506203473945</v>
      </c>
      <c r="AN1023" s="103" t="n">
        <v>0.832365185400329</v>
      </c>
      <c r="AO1023" s="112"/>
      <c r="AP1023" s="105" t="n">
        <v>0</v>
      </c>
      <c r="AQ1023" s="105" t="n">
        <v>0</v>
      </c>
      <c r="AR1023" s="105" t="n">
        <v>0</v>
      </c>
      <c r="AS1023" s="105" t="n">
        <v>0</v>
      </c>
      <c r="AT1023" s="105" t="n">
        <v>0</v>
      </c>
      <c r="AU1023" s="105" t="n">
        <v>0</v>
      </c>
      <c r="AV1023" s="105" t="n">
        <v>30</v>
      </c>
      <c r="AW1023" s="105" t="n">
        <v>30</v>
      </c>
      <c r="AX1023" s="105" t="n">
        <v>0</v>
      </c>
      <c r="AY1023" s="105" t="n">
        <v>0</v>
      </c>
      <c r="AZ1023" s="105" t="n">
        <v>20</v>
      </c>
      <c r="BA1023" s="105" t="n">
        <v>0</v>
      </c>
      <c r="BB1023" s="105" t="n">
        <v>0</v>
      </c>
      <c r="BC1023" s="105" t="n">
        <v>0</v>
      </c>
      <c r="BD1023" s="105" t="n">
        <v>0</v>
      </c>
      <c r="BE1023" s="105" t="n">
        <v>0</v>
      </c>
      <c r="BF1023" s="105" t="n">
        <v>0</v>
      </c>
      <c r="BG1023" s="105" t="n">
        <v>0</v>
      </c>
      <c r="BH1023" s="105" t="n">
        <v>0</v>
      </c>
      <c r="BI1023" s="105" t="n">
        <v>0</v>
      </c>
      <c r="BJ1023" s="105" t="n">
        <v>0</v>
      </c>
      <c r="BK1023" s="105" t="n">
        <v>0</v>
      </c>
      <c r="BL1023" s="105" t="n">
        <v>0</v>
      </c>
      <c r="BM1023" s="105" t="n">
        <v>0</v>
      </c>
      <c r="BN1023" s="105" t="n">
        <v>0</v>
      </c>
      <c r="BO1023" s="105" t="n">
        <v>0</v>
      </c>
      <c r="BP1023" s="105" t="n">
        <v>0</v>
      </c>
      <c r="BQ1023" s="105" t="n">
        <v>0</v>
      </c>
      <c r="BR1023" s="106" t="n">
        <v>1.33333333333333</v>
      </c>
      <c r="BS1023" s="106" t="n">
        <v>1.33333333333333</v>
      </c>
      <c r="BT1023" s="107"/>
      <c r="BU1023" s="107"/>
      <c r="BV1023" s="107"/>
      <c r="BW1023" s="107"/>
      <c r="BX1023" s="107"/>
      <c r="BY1023" s="107"/>
      <c r="BZ1023" s="107"/>
      <c r="CA1023" s="107"/>
      <c r="CB1023" s="107"/>
      <c r="CC1023" s="107"/>
      <c r="CD1023" s="107"/>
      <c r="CE1023" s="107"/>
      <c r="CF1023" s="107"/>
      <c r="CG1023" s="107"/>
      <c r="CH1023" s="107"/>
      <c r="CI1023" s="107"/>
      <c r="CJ1023" s="107"/>
      <c r="CK1023" s="107"/>
      <c r="CL1023" s="107"/>
      <c r="CM1023" s="107"/>
      <c r="CN1023" s="107"/>
      <c r="CO1023" s="107"/>
      <c r="CP1023" s="107"/>
      <c r="CQ1023" s="107"/>
      <c r="CR1023" s="107"/>
      <c r="CS1023" s="107"/>
      <c r="CT1023" s="107"/>
      <c r="CU1023" s="107"/>
      <c r="CV1023" s="107"/>
    </row>
    <row r="1024" customFormat="false" ht="14.9" hidden="false" customHeight="false" outlineLevel="0" collapsed="false">
      <c r="A1024" s="74" t="n">
        <f aca="false">MONTH(B1024)</f>
        <v>10</v>
      </c>
      <c r="B1024" s="135" t="n">
        <v>44494</v>
      </c>
      <c r="C1024" s="128" t="s">
        <v>51</v>
      </c>
      <c r="D1024" s="77" t="str">
        <f aca="false">IFERROR(VLOOKUP(E:E,'Item Data Support Sheet'!A:O,7,0),"")</f>
        <v>NIPPLE PUNCH</v>
      </c>
      <c r="E1024" s="80" t="s">
        <v>53</v>
      </c>
      <c r="F1024" s="122"/>
      <c r="G1024" s="137" t="s">
        <v>54</v>
      </c>
      <c r="H1024" s="79" t="str">
        <f aca="false">IFERROR(VLOOKUP(E:E,'Item Data Support Sheet'!A:O,2,0),"")</f>
        <v>NIPPLE S TYPE S SIZE PUNCHED</v>
      </c>
      <c r="I1024" s="80" t="s">
        <v>1806</v>
      </c>
      <c r="J1024" s="80" t="s">
        <v>148</v>
      </c>
      <c r="K1024" s="124" t="n">
        <v>8</v>
      </c>
      <c r="L1024" s="124" t="n">
        <v>7000</v>
      </c>
      <c r="M1024" s="83" t="n">
        <v>875</v>
      </c>
      <c r="N1024" s="84" t="n">
        <f aca="false">+O1024+Q1024+T1024+U1024</f>
        <v>6650</v>
      </c>
      <c r="O1024" s="85" t="n">
        <v>6650</v>
      </c>
      <c r="P1024" s="86" t="n">
        <v>0</v>
      </c>
      <c r="Q1024" s="86" t="n">
        <v>0</v>
      </c>
      <c r="R1024" s="132" t="n">
        <v>0</v>
      </c>
      <c r="S1024" s="128" t="n">
        <v>0</v>
      </c>
      <c r="T1024" s="132" t="n">
        <v>0</v>
      </c>
      <c r="U1024" s="128" t="n">
        <v>0</v>
      </c>
      <c r="V1024" s="128" t="n">
        <v>1</v>
      </c>
      <c r="W1024" s="90" t="n">
        <f aca="false">IFERROR(O1024/V1024,0)</f>
        <v>6650</v>
      </c>
      <c r="X1024" s="91" t="n">
        <f aca="false">O1024/L1024</f>
        <v>0.95</v>
      </c>
      <c r="Y1024" s="92" t="str">
        <f aca="false">IFERROR(VLOOKUP(E:E,'Item Data Support Sheet'!A:J,6,0),0)</f>
        <v>FO015</v>
      </c>
      <c r="Z1024" s="93" t="n">
        <f aca="false">IFERROR(VLOOKUP(E:E,'Item Data Support Sheet'!A:O,4,0),0)</f>
        <v>0</v>
      </c>
      <c r="AA1024" s="93" t="n">
        <f aca="false">IFERROR(((N1024)*(Z1024/1000))+P1024,0)</f>
        <v>0</v>
      </c>
      <c r="AB1024" s="94" t="str">
        <f aca="false">IFERROR((O1024*(Z1024/1000)/(AA1024))," ")</f>
        <v> </v>
      </c>
      <c r="AC1024" s="95" t="n">
        <f aca="false">IFERROR((T1024)/((T1024)+O1024),0)</f>
        <v>0</v>
      </c>
      <c r="AD1024" s="96" t="n">
        <f aca="false">IFERROR(Q1024/(Q1024+N1024),0)</f>
        <v>0</v>
      </c>
      <c r="AE1024" s="91" t="n">
        <f aca="false">(N1024-T1024)/N1024</f>
        <v>1</v>
      </c>
      <c r="AF1024" s="97" t="n">
        <f aca="false">BR1024</f>
        <v>0.833333333333333</v>
      </c>
      <c r="AG1024" s="98" t="n">
        <f aca="false">K1024-AF1024</f>
        <v>7.16666666666667</v>
      </c>
      <c r="AH1024" s="99" t="n">
        <f aca="false">IFERROR(AG1024/K1024," ")</f>
        <v>0.895833333333333</v>
      </c>
      <c r="AI1024" s="100" t="n">
        <f aca="false">IFERROR(O1024/K1024,0)</f>
        <v>831.25</v>
      </c>
      <c r="AJ1024" s="101" t="n">
        <f aca="false">VLOOKUP(D1024,'Standard Cycle time'!C:D,2,0)</f>
        <v>3.5</v>
      </c>
      <c r="AK1024" s="101" t="n">
        <f aca="false">AG1024*V1024*3600/O1024</f>
        <v>3.8796992481203</v>
      </c>
      <c r="AL1024" s="102" t="n">
        <f aca="false">AJ1024/AK1024</f>
        <v>0.902131782945737</v>
      </c>
      <c r="AM1024" s="99" t="n">
        <f aca="false">AE1024*AL1024*AH1024</f>
        <v>0.808159722222222</v>
      </c>
      <c r="AN1024" s="103" t="n">
        <v>0.808159722222222</v>
      </c>
      <c r="AO1024" s="112"/>
      <c r="AP1024" s="105" t="n">
        <v>50</v>
      </c>
      <c r="AQ1024" s="105" t="n">
        <v>0</v>
      </c>
      <c r="AR1024" s="105" t="n">
        <v>0</v>
      </c>
      <c r="AS1024" s="105" t="n">
        <v>0</v>
      </c>
      <c r="AT1024" s="105" t="n">
        <v>0</v>
      </c>
      <c r="AU1024" s="105" t="n">
        <v>0</v>
      </c>
      <c r="AV1024" s="105" t="n">
        <v>0</v>
      </c>
      <c r="AW1024" s="105" t="n">
        <v>0</v>
      </c>
      <c r="AX1024" s="105" t="n">
        <v>0</v>
      </c>
      <c r="AY1024" s="105" t="n">
        <v>0</v>
      </c>
      <c r="AZ1024" s="105" t="n">
        <v>0</v>
      </c>
      <c r="BA1024" s="105" t="n">
        <v>0</v>
      </c>
      <c r="BB1024" s="105" t="n">
        <v>0</v>
      </c>
      <c r="BC1024" s="105" t="n">
        <v>0</v>
      </c>
      <c r="BD1024" s="105" t="n">
        <v>0</v>
      </c>
      <c r="BE1024" s="105" t="n">
        <v>0</v>
      </c>
      <c r="BF1024" s="105" t="n">
        <v>0</v>
      </c>
      <c r="BG1024" s="105" t="n">
        <v>0</v>
      </c>
      <c r="BH1024" s="105" t="n">
        <v>0</v>
      </c>
      <c r="BI1024" s="105" t="n">
        <v>0</v>
      </c>
      <c r="BJ1024" s="105" t="n">
        <v>0</v>
      </c>
      <c r="BK1024" s="105" t="n">
        <v>0</v>
      </c>
      <c r="BL1024" s="105" t="n">
        <v>0</v>
      </c>
      <c r="BM1024" s="105" t="n">
        <v>0</v>
      </c>
      <c r="BN1024" s="105" t="n">
        <v>0</v>
      </c>
      <c r="BO1024" s="105" t="n">
        <v>0</v>
      </c>
      <c r="BP1024" s="105" t="n">
        <v>0</v>
      </c>
      <c r="BQ1024" s="105" t="n">
        <v>0</v>
      </c>
      <c r="BR1024" s="106" t="n">
        <v>0.833333333333333</v>
      </c>
      <c r="BS1024" s="106" t="n">
        <v>0.833333333333333</v>
      </c>
      <c r="BT1024" s="107"/>
      <c r="BU1024" s="107"/>
      <c r="BV1024" s="107"/>
      <c r="BW1024" s="107"/>
      <c r="BX1024" s="107"/>
      <c r="BY1024" s="107"/>
      <c r="BZ1024" s="107"/>
      <c r="CA1024" s="107"/>
      <c r="CB1024" s="107"/>
      <c r="CC1024" s="107"/>
      <c r="CD1024" s="107"/>
      <c r="CE1024" s="107"/>
      <c r="CF1024" s="107"/>
      <c r="CG1024" s="107"/>
      <c r="CH1024" s="107"/>
      <c r="CI1024" s="107"/>
      <c r="CJ1024" s="107"/>
      <c r="CK1024" s="107"/>
      <c r="CL1024" s="107"/>
      <c r="CM1024" s="107"/>
      <c r="CN1024" s="107"/>
      <c r="CO1024" s="107"/>
      <c r="CP1024" s="107"/>
      <c r="CQ1024" s="107"/>
      <c r="CR1024" s="107"/>
      <c r="CS1024" s="107"/>
      <c r="CT1024" s="107"/>
      <c r="CU1024" s="107"/>
      <c r="CV1024" s="107"/>
    </row>
    <row r="1025" customFormat="false" ht="14.9" hidden="false" customHeight="false" outlineLevel="0" collapsed="false">
      <c r="A1025" s="74" t="n">
        <f aca="false">MONTH(B1025)</f>
        <v>10</v>
      </c>
      <c r="B1025" s="135" t="n">
        <v>44494</v>
      </c>
      <c r="C1025" s="128" t="s">
        <v>51</v>
      </c>
      <c r="D1025" s="77" t="str">
        <f aca="false">IFERROR(VLOOKUP(E:E,'Item Data Support Sheet'!A:O,7,0),"")</f>
        <v>NIPPLE LASER MARKING</v>
      </c>
      <c r="E1025" s="80" t="s">
        <v>444</v>
      </c>
      <c r="F1025" s="122"/>
      <c r="G1025" s="137" t="s">
        <v>517</v>
      </c>
      <c r="H1025" s="79" t="str">
        <f aca="false">IFERROR(VLOOKUP(E:E,'Item Data Support Sheet'!A:O,2,0),"")</f>
        <v>NIPPLE S TYPE S SIZE PUNCHED LASER MARKED</v>
      </c>
      <c r="I1025" s="80"/>
      <c r="J1025" s="80" t="s">
        <v>148</v>
      </c>
      <c r="K1025" s="124" t="n">
        <v>8</v>
      </c>
      <c r="L1025" s="124" t="n">
        <v>7000</v>
      </c>
      <c r="M1025" s="83" t="n">
        <v>875</v>
      </c>
      <c r="N1025" s="84" t="n">
        <f aca="false">+O1025+Q1025+T1025+U1025</f>
        <v>7050</v>
      </c>
      <c r="O1025" s="85" t="n">
        <v>7050</v>
      </c>
      <c r="P1025" s="86" t="n">
        <v>0</v>
      </c>
      <c r="Q1025" s="86" t="n">
        <v>0</v>
      </c>
      <c r="R1025" s="132" t="n">
        <v>0</v>
      </c>
      <c r="S1025" s="128" t="n">
        <v>0</v>
      </c>
      <c r="T1025" s="132" t="n">
        <v>0</v>
      </c>
      <c r="U1025" s="128" t="n">
        <v>0</v>
      </c>
      <c r="V1025" s="128" t="n">
        <v>1</v>
      </c>
      <c r="W1025" s="90" t="n">
        <f aca="false">IFERROR(O1025/V1025,0)</f>
        <v>7050</v>
      </c>
      <c r="X1025" s="91" t="n">
        <f aca="false">O1025/L1025</f>
        <v>1.00714285714286</v>
      </c>
      <c r="Y1025" s="92" t="str">
        <f aca="false">IFERROR(VLOOKUP(E:E,'Item Data Support Sheet'!A:J,6,0),0)</f>
        <v>FO019</v>
      </c>
      <c r="Z1025" s="93" t="n">
        <f aca="false">IFERROR(VLOOKUP(E:E,'Item Data Support Sheet'!A:O,4,0),0)</f>
        <v>0</v>
      </c>
      <c r="AA1025" s="93" t="n">
        <f aca="false">IFERROR(((N1025)*(Z1025/1000))+P1025,0)</f>
        <v>0</v>
      </c>
      <c r="AB1025" s="94" t="str">
        <f aca="false">IFERROR((O1025*(Z1025/1000)/(AA1025))," ")</f>
        <v> </v>
      </c>
      <c r="AC1025" s="95" t="n">
        <f aca="false">IFERROR((T1025)/((T1025)+O1025),0)</f>
        <v>0</v>
      </c>
      <c r="AD1025" s="96" t="n">
        <f aca="false">IFERROR(Q1025/(Q1025+N1025),0)</f>
        <v>0</v>
      </c>
      <c r="AE1025" s="91" t="n">
        <f aca="false">(N1025-T1025)/N1025</f>
        <v>1</v>
      </c>
      <c r="AF1025" s="97" t="n">
        <f aca="false">BR1025</f>
        <v>0.833333333333333</v>
      </c>
      <c r="AG1025" s="98" t="n">
        <f aca="false">K1025-AF1025</f>
        <v>7.16666666666667</v>
      </c>
      <c r="AH1025" s="99" t="n">
        <f aca="false">IFERROR(AG1025/K1025," ")</f>
        <v>0.895833333333333</v>
      </c>
      <c r="AI1025" s="100" t="n">
        <f aca="false">IFERROR(O1025/K1025,0)</f>
        <v>881.25</v>
      </c>
      <c r="AJ1025" s="101" t="n">
        <f aca="false">VLOOKUP(D1025,'Standard Cycle time'!C:D,2,0)</f>
        <v>3.5</v>
      </c>
      <c r="AK1025" s="101" t="n">
        <f aca="false">AG1025*V1025*3600/O1025</f>
        <v>3.65957446808511</v>
      </c>
      <c r="AL1025" s="102" t="n">
        <f aca="false">AJ1025/AK1025</f>
        <v>0.956395348837209</v>
      </c>
      <c r="AM1025" s="99" t="n">
        <f aca="false">AE1025*AL1025*AH1025</f>
        <v>0.856770833333333</v>
      </c>
      <c r="AN1025" s="103" t="n">
        <v>0.856770833333333</v>
      </c>
      <c r="AO1025" s="112"/>
      <c r="AP1025" s="105" t="n">
        <v>50</v>
      </c>
      <c r="AQ1025" s="105" t="n">
        <v>0</v>
      </c>
      <c r="AR1025" s="105" t="n">
        <v>0</v>
      </c>
      <c r="AS1025" s="105" t="n">
        <v>0</v>
      </c>
      <c r="AT1025" s="105" t="n">
        <v>0</v>
      </c>
      <c r="AU1025" s="105" t="n">
        <v>0</v>
      </c>
      <c r="AV1025" s="105" t="n">
        <v>0</v>
      </c>
      <c r="AW1025" s="105" t="n">
        <v>0</v>
      </c>
      <c r="AX1025" s="105" t="n">
        <v>0</v>
      </c>
      <c r="AY1025" s="105" t="n">
        <v>0</v>
      </c>
      <c r="AZ1025" s="105" t="n">
        <v>0</v>
      </c>
      <c r="BA1025" s="105" t="n">
        <v>0</v>
      </c>
      <c r="BB1025" s="105" t="n">
        <v>0</v>
      </c>
      <c r="BC1025" s="105" t="n">
        <v>0</v>
      </c>
      <c r="BD1025" s="105" t="n">
        <v>0</v>
      </c>
      <c r="BE1025" s="105" t="n">
        <v>0</v>
      </c>
      <c r="BF1025" s="105" t="n">
        <v>0</v>
      </c>
      <c r="BG1025" s="105" t="n">
        <v>0</v>
      </c>
      <c r="BH1025" s="105" t="n">
        <v>0</v>
      </c>
      <c r="BI1025" s="105" t="n">
        <v>0</v>
      </c>
      <c r="BJ1025" s="105" t="n">
        <v>0</v>
      </c>
      <c r="BK1025" s="105" t="n">
        <v>0</v>
      </c>
      <c r="BL1025" s="105" t="n">
        <v>0</v>
      </c>
      <c r="BM1025" s="105" t="n">
        <v>0</v>
      </c>
      <c r="BN1025" s="105" t="n">
        <v>0</v>
      </c>
      <c r="BO1025" s="105" t="n">
        <v>0</v>
      </c>
      <c r="BP1025" s="105" t="n">
        <v>0</v>
      </c>
      <c r="BQ1025" s="105" t="n">
        <v>0</v>
      </c>
      <c r="BR1025" s="106" t="n">
        <v>0.833333333333333</v>
      </c>
      <c r="BS1025" s="106" t="n">
        <v>0.833333333333333</v>
      </c>
      <c r="BT1025" s="107"/>
      <c r="BU1025" s="107"/>
      <c r="BV1025" s="107"/>
      <c r="BW1025" s="107"/>
      <c r="BX1025" s="107"/>
      <c r="BY1025" s="107"/>
      <c r="BZ1025" s="107"/>
      <c r="CA1025" s="107"/>
      <c r="CB1025" s="107"/>
      <c r="CC1025" s="107"/>
      <c r="CD1025" s="107"/>
      <c r="CE1025" s="107"/>
      <c r="CF1025" s="107"/>
      <c r="CG1025" s="107"/>
      <c r="CH1025" s="107"/>
      <c r="CI1025" s="107"/>
      <c r="CJ1025" s="107"/>
      <c r="CK1025" s="107"/>
      <c r="CL1025" s="107"/>
      <c r="CM1025" s="107"/>
      <c r="CN1025" s="107"/>
      <c r="CO1025" s="107"/>
      <c r="CP1025" s="107"/>
      <c r="CQ1025" s="107"/>
      <c r="CR1025" s="107"/>
      <c r="CS1025" s="107"/>
      <c r="CT1025" s="107"/>
      <c r="CU1025" s="107"/>
      <c r="CV1025" s="107"/>
    </row>
    <row r="1026" customFormat="false" ht="14.9" hidden="false" customHeight="false" outlineLevel="0" collapsed="false">
      <c r="A1026" s="74" t="n">
        <f aca="false">MONTH(B1026)</f>
        <v>10</v>
      </c>
      <c r="B1026" s="135" t="n">
        <v>44494</v>
      </c>
      <c r="C1026" s="128" t="s">
        <v>51</v>
      </c>
      <c r="D1026" s="77" t="str">
        <f aca="false">IFERROR(VLOOKUP(E:E,'Item Data Support Sheet'!A:O,7,0),"")</f>
        <v>BOTTLE PRINTED</v>
      </c>
      <c r="E1026" s="80" t="s">
        <v>65</v>
      </c>
      <c r="F1026" s="122"/>
      <c r="G1026" s="137"/>
      <c r="H1026" s="79" t="str">
        <f aca="false">IFERROR(VLOOKUP(E:E,'Item Data Support Sheet'!A:O,2,0),"")</f>
        <v>KPP 240 ML BOTTLE PRINTED</v>
      </c>
      <c r="I1026" s="80" t="s">
        <v>1807</v>
      </c>
      <c r="J1026" s="80" t="s">
        <v>148</v>
      </c>
      <c r="K1026" s="124" t="n">
        <v>8</v>
      </c>
      <c r="L1026" s="124" t="n">
        <v>5120</v>
      </c>
      <c r="M1026" s="83" t="n">
        <v>640</v>
      </c>
      <c r="N1026" s="84" t="n">
        <f aca="false">+O1026+Q1026+T1026+U1026</f>
        <v>3265</v>
      </c>
      <c r="O1026" s="85" t="n">
        <v>3240</v>
      </c>
      <c r="P1026" s="86" t="n">
        <v>0</v>
      </c>
      <c r="Q1026" s="86" t="n">
        <v>0</v>
      </c>
      <c r="R1026" s="132" t="n">
        <v>92</v>
      </c>
      <c r="S1026" s="128" t="n">
        <v>0</v>
      </c>
      <c r="T1026" s="132" t="n">
        <v>25</v>
      </c>
      <c r="U1026" s="128" t="n">
        <v>0</v>
      </c>
      <c r="V1026" s="128" t="n">
        <v>4</v>
      </c>
      <c r="W1026" s="90" t="n">
        <f aca="false">IFERROR(O1026/V1026,0)</f>
        <v>810</v>
      </c>
      <c r="X1026" s="91" t="n">
        <f aca="false">O1026/L1026</f>
        <v>0.6328125</v>
      </c>
      <c r="Y1026" s="92" t="str">
        <f aca="false">IFERROR(VLOOKUP(E:E,'Item Data Support Sheet'!A:J,6,0),0)</f>
        <v>FO003</v>
      </c>
      <c r="Z1026" s="93" t="n">
        <f aca="false">IFERROR(VLOOKUP(E:E,'Item Data Support Sheet'!A:O,4,0),0)</f>
        <v>0</v>
      </c>
      <c r="AA1026" s="93" t="n">
        <f aca="false">IFERROR(((N1026)*(Z1026/1000))+P1026,0)</f>
        <v>0</v>
      </c>
      <c r="AB1026" s="94" t="str">
        <f aca="false">IFERROR((O1026*(Z1026/1000)/(AA1026))," ")</f>
        <v> </v>
      </c>
      <c r="AC1026" s="95" t="n">
        <f aca="false">IFERROR((T1026)/((T1026)+O1026),0)</f>
        <v>0.00765696784073507</v>
      </c>
      <c r="AD1026" s="96" t="n">
        <f aca="false">IFERROR(Q1026/(Q1026+N1026),0)</f>
        <v>0</v>
      </c>
      <c r="AE1026" s="91" t="n">
        <f aca="false">(N1026-T1026)/N1026</f>
        <v>0.992343032159265</v>
      </c>
      <c r="AF1026" s="97" t="n">
        <f aca="false">BR1026</f>
        <v>0.666666666666667</v>
      </c>
      <c r="AG1026" s="98" t="n">
        <f aca="false">K1026-AF1026</f>
        <v>7.33333333333333</v>
      </c>
      <c r="AH1026" s="99" t="n">
        <f aca="false">IFERROR(AG1026/K1026," ")</f>
        <v>0.916666666666667</v>
      </c>
      <c r="AI1026" s="100" t="n">
        <f aca="false">IFERROR(O1026/K1026,0)</f>
        <v>405</v>
      </c>
      <c r="AJ1026" s="101" t="n">
        <f aca="false">VLOOKUP(D1026,'Standard Cycle time'!C:D,2,0)</f>
        <v>32.4</v>
      </c>
      <c r="AK1026" s="101" t="n">
        <f aca="false">AG1026*V1026*3600/O1026</f>
        <v>32.5925925925926</v>
      </c>
      <c r="AL1026" s="102" t="n">
        <f aca="false">AJ1026/AK1026</f>
        <v>0.994090909090909</v>
      </c>
      <c r="AM1026" s="99" t="n">
        <f aca="false">AE1026*AL1026*AH1026</f>
        <v>0.90427258805513</v>
      </c>
      <c r="AN1026" s="103" t="n">
        <v>0.908018617021276</v>
      </c>
      <c r="AO1026" s="112" t="s">
        <v>1808</v>
      </c>
      <c r="AP1026" s="105" t="n">
        <v>40</v>
      </c>
      <c r="AQ1026" s="105" t="n">
        <v>0</v>
      </c>
      <c r="AR1026" s="105" t="n">
        <v>0</v>
      </c>
      <c r="AS1026" s="105" t="n">
        <v>0</v>
      </c>
      <c r="AT1026" s="105" t="n">
        <v>0</v>
      </c>
      <c r="AU1026" s="105" t="n">
        <v>0</v>
      </c>
      <c r="AV1026" s="105" t="n">
        <v>0</v>
      </c>
      <c r="AW1026" s="105" t="n">
        <v>0</v>
      </c>
      <c r="AX1026" s="105" t="n">
        <v>0</v>
      </c>
      <c r="AY1026" s="105" t="n">
        <v>0</v>
      </c>
      <c r="AZ1026" s="105" t="n">
        <v>0</v>
      </c>
      <c r="BA1026" s="105" t="n">
        <v>0</v>
      </c>
      <c r="BB1026" s="105" t="n">
        <v>0</v>
      </c>
      <c r="BC1026" s="105" t="n">
        <v>0</v>
      </c>
      <c r="BD1026" s="105" t="n">
        <v>0</v>
      </c>
      <c r="BE1026" s="105" t="n">
        <v>0</v>
      </c>
      <c r="BF1026" s="105" t="n">
        <v>0</v>
      </c>
      <c r="BG1026" s="105" t="n">
        <v>0</v>
      </c>
      <c r="BH1026" s="105" t="n">
        <v>0</v>
      </c>
      <c r="BI1026" s="105" t="n">
        <v>0</v>
      </c>
      <c r="BJ1026" s="105" t="n">
        <v>0</v>
      </c>
      <c r="BK1026" s="105" t="n">
        <v>0</v>
      </c>
      <c r="BL1026" s="105" t="n">
        <v>0</v>
      </c>
      <c r="BM1026" s="105" t="n">
        <v>0</v>
      </c>
      <c r="BN1026" s="105" t="n">
        <v>0</v>
      </c>
      <c r="BO1026" s="105" t="n">
        <v>0</v>
      </c>
      <c r="BP1026" s="105" t="n">
        <v>0</v>
      </c>
      <c r="BQ1026" s="105" t="n">
        <v>0</v>
      </c>
      <c r="BR1026" s="106" t="n">
        <v>0.666666666666667</v>
      </c>
      <c r="BS1026" s="106" t="n">
        <v>0.666666666666667</v>
      </c>
      <c r="BT1026" s="107"/>
      <c r="BU1026" s="107"/>
      <c r="BV1026" s="107"/>
      <c r="BW1026" s="107"/>
      <c r="BX1026" s="107"/>
      <c r="BY1026" s="107"/>
      <c r="BZ1026" s="107"/>
      <c r="CA1026" s="107"/>
      <c r="CB1026" s="107"/>
      <c r="CC1026" s="107"/>
      <c r="CD1026" s="107"/>
      <c r="CE1026" s="107"/>
      <c r="CF1026" s="107"/>
      <c r="CG1026" s="107"/>
      <c r="CH1026" s="107"/>
      <c r="CI1026" s="107"/>
      <c r="CJ1026" s="107"/>
      <c r="CK1026" s="107"/>
      <c r="CL1026" s="107"/>
      <c r="CM1026" s="107"/>
      <c r="CN1026" s="107"/>
      <c r="CO1026" s="107"/>
      <c r="CP1026" s="107"/>
      <c r="CQ1026" s="107"/>
      <c r="CR1026" s="107"/>
      <c r="CS1026" s="107"/>
      <c r="CT1026" s="107"/>
      <c r="CU1026" s="107"/>
      <c r="CV1026" s="107"/>
    </row>
    <row r="1027" customFormat="false" ht="14.9" hidden="false" customHeight="false" outlineLevel="0" collapsed="false">
      <c r="A1027" s="74" t="n">
        <f aca="false">MONTH(B1027)</f>
        <v>10</v>
      </c>
      <c r="B1027" s="135" t="n">
        <v>44494</v>
      </c>
      <c r="C1027" s="128" t="s">
        <v>63</v>
      </c>
      <c r="D1027" s="77" t="str">
        <f aca="false">IFERROR(VLOOKUP(E:E,'Item Data Support Sheet'!A:O,7,0),"")</f>
        <v>NIPPLE WRAP PRINTED</v>
      </c>
      <c r="E1027" s="80" t="s">
        <v>937</v>
      </c>
      <c r="F1027" s="122"/>
      <c r="G1027" s="137" t="s">
        <v>432</v>
      </c>
      <c r="H1027" s="79" t="str">
        <f aca="false">IFERROR(VLOOKUP(E:E,'Item Data Support Sheet'!A:O,2,0),"")</f>
        <v>NIPPLE S TYPE Y SIZE WITH PRINTED WRAP</v>
      </c>
      <c r="I1027" s="80" t="s">
        <v>1798</v>
      </c>
      <c r="J1027" s="80" t="s">
        <v>155</v>
      </c>
      <c r="K1027" s="124" t="n">
        <v>4</v>
      </c>
      <c r="L1027" s="124" t="n">
        <v>8000</v>
      </c>
      <c r="M1027" s="83" t="n">
        <v>2000</v>
      </c>
      <c r="N1027" s="84" t="n">
        <f aca="false">+O1027+Q1027+T1027+U1027</f>
        <v>3473</v>
      </c>
      <c r="O1027" s="85" t="n">
        <v>3470</v>
      </c>
      <c r="P1027" s="86" t="n">
        <v>0</v>
      </c>
      <c r="Q1027" s="86" t="n">
        <v>0</v>
      </c>
      <c r="R1027" s="132" t="n">
        <v>0</v>
      </c>
      <c r="S1027" s="128" t="n">
        <v>0</v>
      </c>
      <c r="T1027" s="132" t="n">
        <v>3</v>
      </c>
      <c r="U1027" s="128" t="n">
        <v>0</v>
      </c>
      <c r="V1027" s="128" t="n">
        <v>2</v>
      </c>
      <c r="W1027" s="90" t="n">
        <f aca="false">IFERROR(O1027/V1027,0)</f>
        <v>1735</v>
      </c>
      <c r="X1027" s="91" t="n">
        <f aca="false">O1027/L1027</f>
        <v>0.43375</v>
      </c>
      <c r="Y1027" s="92" t="str">
        <f aca="false">IFERROR(VLOOKUP(E:E,'Item Data Support Sheet'!A:J,6,0),0)</f>
        <v>FO022</v>
      </c>
      <c r="Z1027" s="93" t="n">
        <f aca="false">IFERROR(VLOOKUP(E:E,'Item Data Support Sheet'!A:O,4,0),0)</f>
        <v>0</v>
      </c>
      <c r="AA1027" s="93" t="n">
        <f aca="false">IFERROR(((N1027)*(Z1027/1000))+P1027,0)</f>
        <v>0</v>
      </c>
      <c r="AB1027" s="94" t="str">
        <f aca="false">IFERROR((O1027*(Z1027/1000)/(AA1027))," ")</f>
        <v> </v>
      </c>
      <c r="AC1027" s="95" t="n">
        <f aca="false">IFERROR((T1027)/((T1027)+O1027),0)</f>
        <v>0.000863806507342355</v>
      </c>
      <c r="AD1027" s="96" t="n">
        <f aca="false">IFERROR(Q1027/(Q1027+N1027),0)</f>
        <v>0</v>
      </c>
      <c r="AE1027" s="91" t="n">
        <f aca="false">(N1027-T1027)/N1027</f>
        <v>0.999136193492658</v>
      </c>
      <c r="AF1027" s="97" t="n">
        <f aca="false">BR1027</f>
        <v>2.66666666666667</v>
      </c>
      <c r="AG1027" s="98" t="n">
        <f aca="false">K1027-AF1027</f>
        <v>1.33333333333333</v>
      </c>
      <c r="AH1027" s="99" t="n">
        <f aca="false">IFERROR(AG1027/K1027," ")</f>
        <v>0.333333333333332</v>
      </c>
      <c r="AI1027" s="100" t="n">
        <f aca="false">IFERROR(O1027/K1027,0)</f>
        <v>867.5</v>
      </c>
      <c r="AJ1027" s="101" t="n">
        <f aca="false">VLOOKUP(D1027,'Standard Cycle time'!C:D,2,0)</f>
        <v>2.5</v>
      </c>
      <c r="AK1027" s="101" t="n">
        <f aca="false">AG1027*V1027*3600/O1027</f>
        <v>2.76657060518731</v>
      </c>
      <c r="AL1027" s="102" t="n">
        <f aca="false">AJ1027/AK1027</f>
        <v>0.903645833333336</v>
      </c>
      <c r="AM1027" s="99" t="n">
        <f aca="false">AE1027*AL1027*AH1027</f>
        <v>0.300955086060722</v>
      </c>
      <c r="AN1027" s="103" t="n">
        <v>0.30108710106383</v>
      </c>
      <c r="AO1027" s="112"/>
      <c r="AP1027" s="105" t="n">
        <v>40</v>
      </c>
      <c r="AQ1027" s="105" t="n">
        <v>0</v>
      </c>
      <c r="AR1027" s="105" t="n">
        <v>0</v>
      </c>
      <c r="AS1027" s="105" t="n">
        <v>120</v>
      </c>
      <c r="AT1027" s="105" t="n">
        <v>0</v>
      </c>
      <c r="AU1027" s="105" t="n">
        <v>0</v>
      </c>
      <c r="AV1027" s="105" t="n">
        <v>0</v>
      </c>
      <c r="AW1027" s="105" t="n">
        <v>0</v>
      </c>
      <c r="AX1027" s="105" t="n">
        <v>0</v>
      </c>
      <c r="AY1027" s="105" t="n">
        <v>0</v>
      </c>
      <c r="AZ1027" s="105" t="n">
        <v>0</v>
      </c>
      <c r="BA1027" s="105" t="n">
        <v>0</v>
      </c>
      <c r="BB1027" s="105" t="n">
        <v>0</v>
      </c>
      <c r="BC1027" s="105" t="n">
        <v>0</v>
      </c>
      <c r="BD1027" s="105" t="n">
        <v>0</v>
      </c>
      <c r="BE1027" s="105" t="n">
        <v>0</v>
      </c>
      <c r="BF1027" s="105" t="n">
        <v>0</v>
      </c>
      <c r="BG1027" s="105" t="n">
        <v>0</v>
      </c>
      <c r="BH1027" s="105" t="n">
        <v>0</v>
      </c>
      <c r="BI1027" s="105" t="n">
        <v>0</v>
      </c>
      <c r="BJ1027" s="105" t="n">
        <v>0</v>
      </c>
      <c r="BK1027" s="105" t="n">
        <v>0</v>
      </c>
      <c r="BL1027" s="105" t="n">
        <v>0</v>
      </c>
      <c r="BM1027" s="105" t="n">
        <v>0</v>
      </c>
      <c r="BN1027" s="105" t="n">
        <v>0</v>
      </c>
      <c r="BO1027" s="105" t="n">
        <v>0</v>
      </c>
      <c r="BP1027" s="105" t="n">
        <v>0</v>
      </c>
      <c r="BQ1027" s="105" t="n">
        <v>0</v>
      </c>
      <c r="BR1027" s="106" t="n">
        <v>2.66666666666667</v>
      </c>
      <c r="BS1027" s="106" t="n">
        <v>2.66666666666667</v>
      </c>
      <c r="BT1027" s="107"/>
      <c r="BU1027" s="107"/>
      <c r="BV1027" s="107"/>
      <c r="BW1027" s="107"/>
      <c r="BX1027" s="107"/>
      <c r="BY1027" s="107"/>
      <c r="BZ1027" s="107"/>
      <c r="CA1027" s="107"/>
      <c r="CB1027" s="107"/>
      <c r="CC1027" s="107"/>
      <c r="CD1027" s="107"/>
      <c r="CE1027" s="107"/>
      <c r="CF1027" s="107"/>
      <c r="CG1027" s="107"/>
      <c r="CH1027" s="107"/>
      <c r="CI1027" s="107"/>
      <c r="CJ1027" s="107"/>
      <c r="CK1027" s="107"/>
      <c r="CL1027" s="107"/>
      <c r="CM1027" s="107"/>
      <c r="CN1027" s="107"/>
      <c r="CO1027" s="107"/>
      <c r="CP1027" s="107"/>
      <c r="CQ1027" s="107"/>
      <c r="CR1027" s="107"/>
      <c r="CS1027" s="107"/>
      <c r="CT1027" s="107"/>
      <c r="CU1027" s="107"/>
      <c r="CV1027" s="107"/>
    </row>
    <row r="1028" customFormat="false" ht="14.9" hidden="false" customHeight="false" outlineLevel="0" collapsed="false">
      <c r="A1028" s="74" t="n">
        <f aca="false">MONTH(B1028)</f>
        <v>10</v>
      </c>
      <c r="B1028" s="135" t="n">
        <v>44494</v>
      </c>
      <c r="C1028" s="128" t="s">
        <v>63</v>
      </c>
      <c r="D1028" s="77" t="str">
        <f aca="false">IFERROR(VLOOKUP(E:E,'Item Data Support Sheet'!A:O,7,0),"")</f>
        <v>NIPPLE WRAP PRINTED</v>
      </c>
      <c r="E1028" s="80" t="s">
        <v>551</v>
      </c>
      <c r="F1028" s="122"/>
      <c r="G1028" s="137" t="s">
        <v>432</v>
      </c>
      <c r="H1028" s="79" t="str">
        <f aca="false">IFERROR(VLOOKUP(E:E,'Item Data Support Sheet'!A:O,2,0),"")</f>
        <v>NIPPLE S TYPE S SIZE WITH PRINTED WRAP</v>
      </c>
      <c r="I1028" s="80" t="s">
        <v>1809</v>
      </c>
      <c r="J1028" s="80" t="s">
        <v>155</v>
      </c>
      <c r="K1028" s="124" t="n">
        <v>4.5</v>
      </c>
      <c r="L1028" s="124" t="n">
        <v>8134</v>
      </c>
      <c r="M1028" s="83" t="n">
        <v>1807.55555555556</v>
      </c>
      <c r="N1028" s="84" t="n">
        <f aca="false">+O1028+Q1028+T1028+U1028</f>
        <v>5936</v>
      </c>
      <c r="O1028" s="85" t="n">
        <v>5934</v>
      </c>
      <c r="P1028" s="86" t="n">
        <v>0</v>
      </c>
      <c r="Q1028" s="86" t="n">
        <v>0</v>
      </c>
      <c r="R1028" s="132" t="n">
        <v>0</v>
      </c>
      <c r="S1028" s="128" t="n">
        <v>0</v>
      </c>
      <c r="T1028" s="132" t="n">
        <v>2</v>
      </c>
      <c r="U1028" s="128" t="n">
        <v>0</v>
      </c>
      <c r="V1028" s="128" t="n">
        <v>2</v>
      </c>
      <c r="W1028" s="90" t="n">
        <f aca="false">IFERROR(O1028/V1028,0)</f>
        <v>2967</v>
      </c>
      <c r="X1028" s="91" t="n">
        <f aca="false">O1028/L1028</f>
        <v>0.729530366363413</v>
      </c>
      <c r="Y1028" s="92" t="str">
        <f aca="false">IFERROR(VLOOKUP(E:E,'Item Data Support Sheet'!A:J,6,0),0)</f>
        <v>FO108</v>
      </c>
      <c r="Z1028" s="93" t="n">
        <f aca="false">IFERROR(VLOOKUP(E:E,'Item Data Support Sheet'!A:O,4,0),0)</f>
        <v>0</v>
      </c>
      <c r="AA1028" s="93" t="n">
        <f aca="false">IFERROR(((N1028)*(Z1028/1000))+P1028,0)</f>
        <v>0</v>
      </c>
      <c r="AB1028" s="94" t="str">
        <f aca="false">IFERROR((O1028*(Z1028/1000)/(AA1028))," ")</f>
        <v> </v>
      </c>
      <c r="AC1028" s="95" t="n">
        <f aca="false">IFERROR((T1028)/((T1028)+O1028),0)</f>
        <v>0.000336927223719677</v>
      </c>
      <c r="AD1028" s="96" t="n">
        <f aca="false">IFERROR(Q1028/(Q1028+N1028),0)</f>
        <v>0</v>
      </c>
      <c r="AE1028" s="91" t="n">
        <f aca="false">(N1028-T1028)/N1028</f>
        <v>0.99966307277628</v>
      </c>
      <c r="AF1028" s="97" t="n">
        <f aca="false">BR1028</f>
        <v>2.16666666666667</v>
      </c>
      <c r="AG1028" s="98" t="n">
        <f aca="false">K1028-AF1028</f>
        <v>2.33333333333333</v>
      </c>
      <c r="AH1028" s="99" t="n">
        <f aca="false">IFERROR(AG1028/K1028," ")</f>
        <v>0.518518518518518</v>
      </c>
      <c r="AI1028" s="100" t="n">
        <f aca="false">IFERROR(O1028/K1028,0)</f>
        <v>1318.66666666667</v>
      </c>
      <c r="AJ1028" s="101" t="n">
        <f aca="false">VLOOKUP(D1028,'Standard Cycle time'!C:D,2,0)</f>
        <v>2.5</v>
      </c>
      <c r="AK1028" s="101" t="n">
        <f aca="false">AG1028*V1028*3600/O1028</f>
        <v>2.83114256825075</v>
      </c>
      <c r="AL1028" s="102" t="n">
        <f aca="false">AJ1028/AK1028</f>
        <v>0.883035714285716</v>
      </c>
      <c r="AM1028" s="99" t="n">
        <f aca="false">AE1028*AL1028*AH1028</f>
        <v>0.457716101377658</v>
      </c>
      <c r="AN1028" s="103" t="n">
        <v>0.457606696100074</v>
      </c>
      <c r="AO1028" s="112"/>
      <c r="AP1028" s="105" t="n">
        <v>10</v>
      </c>
      <c r="AQ1028" s="105" t="n">
        <v>0</v>
      </c>
      <c r="AR1028" s="105" t="n">
        <v>0</v>
      </c>
      <c r="AS1028" s="105" t="n">
        <v>120</v>
      </c>
      <c r="AT1028" s="105" t="n">
        <v>0</v>
      </c>
      <c r="AU1028" s="105" t="n">
        <v>0</v>
      </c>
      <c r="AV1028" s="105" t="n">
        <v>0</v>
      </c>
      <c r="AW1028" s="105" t="n">
        <v>0</v>
      </c>
      <c r="AX1028" s="105" t="n">
        <v>0</v>
      </c>
      <c r="AY1028" s="105" t="n">
        <v>0</v>
      </c>
      <c r="AZ1028" s="105" t="n">
        <v>0</v>
      </c>
      <c r="BA1028" s="105" t="n">
        <v>0</v>
      </c>
      <c r="BB1028" s="105" t="n">
        <v>0</v>
      </c>
      <c r="BC1028" s="105" t="n">
        <v>0</v>
      </c>
      <c r="BD1028" s="105" t="n">
        <v>0</v>
      </c>
      <c r="BE1028" s="105" t="n">
        <v>0</v>
      </c>
      <c r="BF1028" s="105" t="n">
        <v>0</v>
      </c>
      <c r="BG1028" s="105" t="n">
        <v>0</v>
      </c>
      <c r="BH1028" s="105" t="n">
        <v>0</v>
      </c>
      <c r="BI1028" s="105" t="n">
        <v>0</v>
      </c>
      <c r="BJ1028" s="105" t="n">
        <v>0</v>
      </c>
      <c r="BK1028" s="105" t="n">
        <v>0</v>
      </c>
      <c r="BL1028" s="105" t="n">
        <v>0</v>
      </c>
      <c r="BM1028" s="105" t="n">
        <v>0</v>
      </c>
      <c r="BN1028" s="105" t="n">
        <v>0</v>
      </c>
      <c r="BO1028" s="105" t="n">
        <v>0</v>
      </c>
      <c r="BP1028" s="105" t="n">
        <v>0</v>
      </c>
      <c r="BQ1028" s="105" t="n">
        <v>0</v>
      </c>
      <c r="BR1028" s="106" t="n">
        <v>2.16666666666667</v>
      </c>
      <c r="BS1028" s="106" t="n">
        <v>2.16666666666667</v>
      </c>
      <c r="BT1028" s="107"/>
      <c r="BU1028" s="107"/>
      <c r="BV1028" s="107"/>
      <c r="BW1028" s="107"/>
      <c r="BX1028" s="107"/>
      <c r="BY1028" s="107"/>
      <c r="BZ1028" s="107"/>
      <c r="CA1028" s="107"/>
      <c r="CB1028" s="107"/>
      <c r="CC1028" s="107"/>
      <c r="CD1028" s="107"/>
      <c r="CE1028" s="107"/>
      <c r="CF1028" s="107"/>
      <c r="CG1028" s="107"/>
      <c r="CH1028" s="107"/>
      <c r="CI1028" s="107"/>
      <c r="CJ1028" s="107"/>
      <c r="CK1028" s="107"/>
      <c r="CL1028" s="107"/>
      <c r="CM1028" s="107"/>
      <c r="CN1028" s="107"/>
      <c r="CO1028" s="107"/>
      <c r="CP1028" s="107"/>
      <c r="CQ1028" s="107"/>
      <c r="CR1028" s="107"/>
      <c r="CS1028" s="107"/>
      <c r="CT1028" s="107"/>
      <c r="CU1028" s="107"/>
      <c r="CV1028" s="107"/>
    </row>
    <row r="1029" customFormat="false" ht="14.9" hidden="false" customHeight="false" outlineLevel="0" collapsed="false">
      <c r="A1029" s="74" t="n">
        <f aca="false">MONTH(B1029)</f>
        <v>10</v>
      </c>
      <c r="B1029" s="135" t="n">
        <v>44494</v>
      </c>
      <c r="C1029" s="128" t="s">
        <v>63</v>
      </c>
      <c r="D1029" s="77" t="str">
        <f aca="false">IFERROR(VLOOKUP(E:E,'Item Data Support Sheet'!A:O,7,0),"")</f>
        <v>NIPPLE PUNCH INSPECTED</v>
      </c>
      <c r="E1029" s="80" t="s">
        <v>297</v>
      </c>
      <c r="F1029" s="122"/>
      <c r="G1029" s="137"/>
      <c r="H1029" s="79" t="str">
        <f aca="false">IFERROR(VLOOKUP(E:E,'Item Data Support Sheet'!A:O,2,0),"")</f>
        <v>NIPPLE S TYPE S SIZE PUNCHED INSPECTED</v>
      </c>
      <c r="I1029" s="80" t="s">
        <v>1791</v>
      </c>
      <c r="J1029" s="80" t="s">
        <v>155</v>
      </c>
      <c r="K1029" s="124" t="n">
        <v>8</v>
      </c>
      <c r="L1029" s="124" t="n">
        <v>14000</v>
      </c>
      <c r="M1029" s="83" t="n">
        <v>1750</v>
      </c>
      <c r="N1029" s="84" t="n">
        <f aca="false">+O1029+Q1029+T1029+U1029</f>
        <v>13347</v>
      </c>
      <c r="O1029" s="85" t="n">
        <v>13323</v>
      </c>
      <c r="P1029" s="86" t="n">
        <v>0</v>
      </c>
      <c r="Q1029" s="86" t="n">
        <v>0</v>
      </c>
      <c r="R1029" s="132" t="n">
        <v>0</v>
      </c>
      <c r="S1029" s="128" t="n">
        <v>0</v>
      </c>
      <c r="T1029" s="132" t="n">
        <v>24</v>
      </c>
      <c r="U1029" s="128" t="n">
        <v>0</v>
      </c>
      <c r="V1029" s="128" t="n">
        <v>1</v>
      </c>
      <c r="W1029" s="90" t="n">
        <f aca="false">IFERROR(O1029/V1029,0)</f>
        <v>13323</v>
      </c>
      <c r="X1029" s="91" t="n">
        <f aca="false">O1029/L1029</f>
        <v>0.951642857142857</v>
      </c>
      <c r="Y1029" s="92" t="str">
        <f aca="false">IFERROR(VLOOKUP(E:E,'Item Data Support Sheet'!A:J,6,0),0)</f>
        <v>FO104</v>
      </c>
      <c r="Z1029" s="93" t="n">
        <f aca="false">IFERROR(VLOOKUP(E:E,'Item Data Support Sheet'!A:O,4,0),0)</f>
        <v>0</v>
      </c>
      <c r="AA1029" s="93" t="n">
        <f aca="false">IFERROR(((N1029)*(Z1029/1000))+P1029,0)</f>
        <v>0</v>
      </c>
      <c r="AB1029" s="94" t="str">
        <f aca="false">IFERROR((O1029*(Z1029/1000)/(AA1029))," ")</f>
        <v> </v>
      </c>
      <c r="AC1029" s="95" t="n">
        <f aca="false">IFERROR((T1029)/((T1029)+O1029),0)</f>
        <v>0.00179815688918858</v>
      </c>
      <c r="AD1029" s="96" t="n">
        <f aca="false">IFERROR(Q1029/(Q1029+N1029),0)</f>
        <v>0</v>
      </c>
      <c r="AE1029" s="91" t="n">
        <f aca="false">(N1029-T1029)/N1029</f>
        <v>0.998201843110811</v>
      </c>
      <c r="AF1029" s="97" t="n">
        <f aca="false">BR1029</f>
        <v>0.833333333333333</v>
      </c>
      <c r="AG1029" s="98" t="n">
        <f aca="false">K1029-AF1029</f>
        <v>7.16666666666667</v>
      </c>
      <c r="AH1029" s="99" t="n">
        <f aca="false">IFERROR(AG1029/K1029," ")</f>
        <v>0.895833333333333</v>
      </c>
      <c r="AI1029" s="100" t="n">
        <f aca="false">IFERROR(O1029/K1029,0)</f>
        <v>1665.375</v>
      </c>
      <c r="AJ1029" s="101" t="n">
        <f aca="false">VLOOKUP(D1029,'Standard Cycle time'!C:D,2,0)</f>
        <v>4</v>
      </c>
      <c r="AK1029" s="101" t="n">
        <f aca="false">AG1029*V1029*3600/O1029</f>
        <v>1.93650078811079</v>
      </c>
      <c r="AL1029" s="102" t="n">
        <f aca="false">AJ1029/AK1029</f>
        <v>2.06558139534884</v>
      </c>
      <c r="AM1029" s="99" t="n">
        <f aca="false">AE1029*AL1029*AH1029</f>
        <v>1.84708932718963</v>
      </c>
      <c r="AN1029" s="103" t="n">
        <v>1.84293519766397</v>
      </c>
      <c r="AO1029" s="112"/>
      <c r="AP1029" s="105" t="n">
        <v>50</v>
      </c>
      <c r="AQ1029" s="105" t="n">
        <v>0</v>
      </c>
      <c r="AR1029" s="105" t="n">
        <v>0</v>
      </c>
      <c r="AS1029" s="105" t="n">
        <v>0</v>
      </c>
      <c r="AT1029" s="105" t="n">
        <v>0</v>
      </c>
      <c r="AU1029" s="105" t="n">
        <v>0</v>
      </c>
      <c r="AV1029" s="105" t="n">
        <v>0</v>
      </c>
      <c r="AW1029" s="105" t="n">
        <v>0</v>
      </c>
      <c r="AX1029" s="105" t="n">
        <v>0</v>
      </c>
      <c r="AY1029" s="105" t="n">
        <v>0</v>
      </c>
      <c r="AZ1029" s="105" t="n">
        <v>0</v>
      </c>
      <c r="BA1029" s="105" t="n">
        <v>0</v>
      </c>
      <c r="BB1029" s="105" t="n">
        <v>0</v>
      </c>
      <c r="BC1029" s="105" t="n">
        <v>0</v>
      </c>
      <c r="BD1029" s="105" t="n">
        <v>0</v>
      </c>
      <c r="BE1029" s="105" t="n">
        <v>0</v>
      </c>
      <c r="BF1029" s="105" t="n">
        <v>0</v>
      </c>
      <c r="BG1029" s="105" t="n">
        <v>0</v>
      </c>
      <c r="BH1029" s="105" t="n">
        <v>0</v>
      </c>
      <c r="BI1029" s="105" t="n">
        <v>0</v>
      </c>
      <c r="BJ1029" s="105" t="n">
        <v>0</v>
      </c>
      <c r="BK1029" s="105" t="n">
        <v>0</v>
      </c>
      <c r="BL1029" s="105" t="n">
        <v>0</v>
      </c>
      <c r="BM1029" s="105" t="n">
        <v>0</v>
      </c>
      <c r="BN1029" s="105" t="n">
        <v>0</v>
      </c>
      <c r="BO1029" s="105" t="n">
        <v>0</v>
      </c>
      <c r="BP1029" s="105" t="n">
        <v>0</v>
      </c>
      <c r="BQ1029" s="105" t="n">
        <v>0</v>
      </c>
      <c r="BR1029" s="106" t="n">
        <v>0.833333333333333</v>
      </c>
      <c r="BS1029" s="106" t="n">
        <v>0.833333333333333</v>
      </c>
      <c r="BT1029" s="107"/>
      <c r="BU1029" s="107"/>
      <c r="BV1029" s="107"/>
      <c r="BW1029" s="107"/>
      <c r="BX1029" s="107"/>
      <c r="BY1029" s="107"/>
      <c r="BZ1029" s="107"/>
      <c r="CA1029" s="107"/>
      <c r="CB1029" s="107"/>
      <c r="CC1029" s="107"/>
      <c r="CD1029" s="107"/>
      <c r="CE1029" s="107"/>
      <c r="CF1029" s="107"/>
      <c r="CG1029" s="107"/>
      <c r="CH1029" s="107"/>
      <c r="CI1029" s="107"/>
      <c r="CJ1029" s="107"/>
      <c r="CK1029" s="107"/>
      <c r="CL1029" s="107"/>
      <c r="CM1029" s="107"/>
      <c r="CN1029" s="107"/>
      <c r="CO1029" s="107"/>
      <c r="CP1029" s="107"/>
      <c r="CQ1029" s="107"/>
      <c r="CR1029" s="107"/>
      <c r="CS1029" s="107"/>
      <c r="CT1029" s="107"/>
      <c r="CU1029" s="107"/>
      <c r="CV1029" s="107"/>
    </row>
    <row r="1030" customFormat="false" ht="14.9" hidden="false" customHeight="false" outlineLevel="0" collapsed="false">
      <c r="A1030" s="74" t="n">
        <f aca="false">MONTH(B1030)</f>
        <v>10</v>
      </c>
      <c r="B1030" s="135" t="n">
        <v>44494</v>
      </c>
      <c r="C1030" s="128" t="s">
        <v>70</v>
      </c>
      <c r="D1030" s="77" t="str">
        <f aca="false">IFERROR(VLOOKUP(E:E,'Item Data Support Sheet'!A:O,7,0),"")</f>
        <v>NIPPLE PUNCH</v>
      </c>
      <c r="E1030" s="80" t="s">
        <v>53</v>
      </c>
      <c r="F1030" s="122"/>
      <c r="G1030" s="137" t="s">
        <v>54</v>
      </c>
      <c r="H1030" s="79" t="str">
        <f aca="false">IFERROR(VLOOKUP(E:E,'Item Data Support Sheet'!A:O,2,0),"")</f>
        <v>NIPPLE S TYPE S SIZE PUNCHED</v>
      </c>
      <c r="I1030" s="80" t="s">
        <v>1810</v>
      </c>
      <c r="J1030" s="80" t="s">
        <v>155</v>
      </c>
      <c r="K1030" s="124" t="n">
        <v>8</v>
      </c>
      <c r="L1030" s="124" t="n">
        <v>7000</v>
      </c>
      <c r="M1030" s="83" t="n">
        <v>875</v>
      </c>
      <c r="N1030" s="84" t="n">
        <f aca="false">+O1030+Q1030+T1030+U1030</f>
        <v>6300</v>
      </c>
      <c r="O1030" s="85" t="n">
        <v>6300</v>
      </c>
      <c r="P1030" s="86" t="n">
        <v>0</v>
      </c>
      <c r="Q1030" s="86" t="n">
        <v>0</v>
      </c>
      <c r="R1030" s="132" t="n">
        <v>0</v>
      </c>
      <c r="S1030" s="128" t="n">
        <v>0</v>
      </c>
      <c r="T1030" s="132" t="n">
        <v>0</v>
      </c>
      <c r="U1030" s="128" t="n">
        <v>0</v>
      </c>
      <c r="V1030" s="128" t="n">
        <v>1</v>
      </c>
      <c r="W1030" s="90" t="n">
        <f aca="false">IFERROR(O1030/V1030,0)</f>
        <v>6300</v>
      </c>
      <c r="X1030" s="91" t="n">
        <f aca="false">O1030/L1030</f>
        <v>0.9</v>
      </c>
      <c r="Y1030" s="92" t="str">
        <f aca="false">IFERROR(VLOOKUP(E:E,'Item Data Support Sheet'!A:J,6,0),0)</f>
        <v>FO015</v>
      </c>
      <c r="Z1030" s="93" t="n">
        <f aca="false">IFERROR(VLOOKUP(E:E,'Item Data Support Sheet'!A:O,4,0),0)</f>
        <v>0</v>
      </c>
      <c r="AA1030" s="93" t="n">
        <f aca="false">IFERROR(((N1030)*(Z1030/1000))+P1030,0)</f>
        <v>0</v>
      </c>
      <c r="AB1030" s="94" t="str">
        <f aca="false">IFERROR((O1030*(Z1030/1000)/(AA1030))," ")</f>
        <v> </v>
      </c>
      <c r="AC1030" s="95" t="n">
        <f aca="false">IFERROR((T1030)/((T1030)+O1030),0)</f>
        <v>0</v>
      </c>
      <c r="AD1030" s="96" t="n">
        <f aca="false">IFERROR(Q1030/(Q1030+N1030),0)</f>
        <v>0</v>
      </c>
      <c r="AE1030" s="91" t="n">
        <f aca="false">(N1030-T1030)/N1030</f>
        <v>1</v>
      </c>
      <c r="AF1030" s="97" t="n">
        <f aca="false">BR1030</f>
        <v>1.66666666666667</v>
      </c>
      <c r="AG1030" s="98" t="n">
        <f aca="false">K1030-AF1030</f>
        <v>6.33333333333333</v>
      </c>
      <c r="AH1030" s="99" t="n">
        <f aca="false">IFERROR(AG1030/K1030," ")</f>
        <v>0.791666666666666</v>
      </c>
      <c r="AI1030" s="100" t="n">
        <f aca="false">IFERROR(O1030/K1030,0)</f>
        <v>787.5</v>
      </c>
      <c r="AJ1030" s="101" t="n">
        <f aca="false">VLOOKUP(D1030,'Standard Cycle time'!C:D,2,0)</f>
        <v>3.5</v>
      </c>
      <c r="AK1030" s="101" t="n">
        <f aca="false">AG1030*V1030*3600/O1030</f>
        <v>3.61904761904762</v>
      </c>
      <c r="AL1030" s="102" t="n">
        <f aca="false">AJ1030/AK1030</f>
        <v>0.967105263157895</v>
      </c>
      <c r="AM1030" s="99" t="n">
        <f aca="false">AE1030*AL1030*AH1030</f>
        <v>0.765625</v>
      </c>
      <c r="AN1030" s="103" t="n">
        <v>0.765625</v>
      </c>
      <c r="AO1030" s="112" t="s">
        <v>755</v>
      </c>
      <c r="AP1030" s="105" t="n">
        <v>40</v>
      </c>
      <c r="AQ1030" s="105" t="n">
        <v>0</v>
      </c>
      <c r="AR1030" s="105" t="n">
        <v>0</v>
      </c>
      <c r="AS1030" s="105" t="n">
        <v>60</v>
      </c>
      <c r="AT1030" s="105" t="n">
        <v>0</v>
      </c>
      <c r="AU1030" s="105" t="n">
        <v>0</v>
      </c>
      <c r="AV1030" s="105" t="n">
        <v>0</v>
      </c>
      <c r="AW1030" s="105" t="n">
        <v>0</v>
      </c>
      <c r="AX1030" s="105" t="n">
        <v>0</v>
      </c>
      <c r="AY1030" s="105" t="n">
        <v>0</v>
      </c>
      <c r="AZ1030" s="105" t="n">
        <v>0</v>
      </c>
      <c r="BA1030" s="105" t="n">
        <v>0</v>
      </c>
      <c r="BB1030" s="105" t="n">
        <v>0</v>
      </c>
      <c r="BC1030" s="105" t="n">
        <v>0</v>
      </c>
      <c r="BD1030" s="105" t="n">
        <v>0</v>
      </c>
      <c r="BE1030" s="105" t="n">
        <v>0</v>
      </c>
      <c r="BF1030" s="105" t="n">
        <v>0</v>
      </c>
      <c r="BG1030" s="105" t="n">
        <v>0</v>
      </c>
      <c r="BH1030" s="105" t="n">
        <v>0</v>
      </c>
      <c r="BI1030" s="105" t="n">
        <v>0</v>
      </c>
      <c r="BJ1030" s="105" t="n">
        <v>0</v>
      </c>
      <c r="BK1030" s="105" t="n">
        <v>0</v>
      </c>
      <c r="BL1030" s="105" t="n">
        <v>0</v>
      </c>
      <c r="BM1030" s="105" t="n">
        <v>0</v>
      </c>
      <c r="BN1030" s="105" t="n">
        <v>0</v>
      </c>
      <c r="BO1030" s="105" t="n">
        <v>0</v>
      </c>
      <c r="BP1030" s="105" t="n">
        <v>0</v>
      </c>
      <c r="BQ1030" s="105" t="n">
        <v>0</v>
      </c>
      <c r="BR1030" s="106" t="n">
        <v>1.66666666666667</v>
      </c>
      <c r="BS1030" s="106" t="n">
        <v>1.66666666666667</v>
      </c>
      <c r="BT1030" s="107"/>
      <c r="BU1030" s="107"/>
      <c r="BV1030" s="107"/>
      <c r="BW1030" s="107"/>
      <c r="BX1030" s="107"/>
      <c r="BY1030" s="107"/>
      <c r="BZ1030" s="107"/>
      <c r="CA1030" s="107"/>
      <c r="CB1030" s="107"/>
      <c r="CC1030" s="107"/>
      <c r="CD1030" s="107"/>
      <c r="CE1030" s="107"/>
      <c r="CF1030" s="107"/>
      <c r="CG1030" s="107"/>
      <c r="CH1030" s="107"/>
      <c r="CI1030" s="107"/>
      <c r="CJ1030" s="107"/>
      <c r="CK1030" s="107"/>
      <c r="CL1030" s="107"/>
      <c r="CM1030" s="107"/>
      <c r="CN1030" s="107"/>
      <c r="CO1030" s="107"/>
      <c r="CP1030" s="107"/>
      <c r="CQ1030" s="107"/>
      <c r="CR1030" s="107"/>
      <c r="CS1030" s="107"/>
      <c r="CT1030" s="107"/>
      <c r="CU1030" s="107"/>
      <c r="CV1030" s="107"/>
    </row>
    <row r="1031" customFormat="false" ht="14.9" hidden="false" customHeight="false" outlineLevel="0" collapsed="false">
      <c r="A1031" s="74" t="n">
        <f aca="false">MONTH(B1031)</f>
        <v>10</v>
      </c>
      <c r="B1031" s="135" t="n">
        <v>44494</v>
      </c>
      <c r="C1031" s="128" t="s">
        <v>70</v>
      </c>
      <c r="D1031" s="77" t="str">
        <f aca="false">IFERROR(VLOOKUP(E:E,'Item Data Support Sheet'!A:O,7,0),"")</f>
        <v>NIPPLE LASER MARKING</v>
      </c>
      <c r="E1031" s="80" t="s">
        <v>444</v>
      </c>
      <c r="F1031" s="122"/>
      <c r="G1031" s="137" t="s">
        <v>517</v>
      </c>
      <c r="H1031" s="79" t="str">
        <f aca="false">IFERROR(VLOOKUP(E:E,'Item Data Support Sheet'!A:O,2,0),"")</f>
        <v>NIPPLE S TYPE S SIZE PUNCHED LASER MARKED</v>
      </c>
      <c r="I1031" s="80" t="s">
        <v>1809</v>
      </c>
      <c r="J1031" s="80" t="s">
        <v>155</v>
      </c>
      <c r="K1031" s="124" t="n">
        <v>8</v>
      </c>
      <c r="L1031" s="124" t="n">
        <v>7000</v>
      </c>
      <c r="M1031" s="83" t="n">
        <v>875</v>
      </c>
      <c r="N1031" s="84" t="n">
        <f aca="false">+O1031+Q1031+T1031+U1031</f>
        <v>6300</v>
      </c>
      <c r="O1031" s="85" t="n">
        <v>6300</v>
      </c>
      <c r="P1031" s="86" t="n">
        <v>0</v>
      </c>
      <c r="Q1031" s="86" t="n">
        <v>0</v>
      </c>
      <c r="R1031" s="132" t="n">
        <v>0</v>
      </c>
      <c r="S1031" s="128" t="n">
        <v>0</v>
      </c>
      <c r="T1031" s="132" t="n">
        <v>0</v>
      </c>
      <c r="U1031" s="128" t="n">
        <v>0</v>
      </c>
      <c r="V1031" s="128" t="n">
        <v>1</v>
      </c>
      <c r="W1031" s="90" t="n">
        <f aca="false">IFERROR(O1031/V1031,0)</f>
        <v>6300</v>
      </c>
      <c r="X1031" s="91" t="n">
        <f aca="false">O1031/L1031</f>
        <v>0.9</v>
      </c>
      <c r="Y1031" s="92" t="str">
        <f aca="false">IFERROR(VLOOKUP(E:E,'Item Data Support Sheet'!A:J,6,0),0)</f>
        <v>FO019</v>
      </c>
      <c r="Z1031" s="93" t="n">
        <f aca="false">IFERROR(VLOOKUP(E:E,'Item Data Support Sheet'!A:O,4,0),0)</f>
        <v>0</v>
      </c>
      <c r="AA1031" s="93" t="n">
        <f aca="false">IFERROR(((N1031)*(Z1031/1000))+P1031,0)</f>
        <v>0</v>
      </c>
      <c r="AB1031" s="94" t="str">
        <f aca="false">IFERROR((O1031*(Z1031/1000)/(AA1031))," ")</f>
        <v> </v>
      </c>
      <c r="AC1031" s="95" t="n">
        <f aca="false">IFERROR((T1031)/((T1031)+O1031),0)</f>
        <v>0</v>
      </c>
      <c r="AD1031" s="96" t="n">
        <f aca="false">IFERROR(Q1031/(Q1031+N1031),0)</f>
        <v>0</v>
      </c>
      <c r="AE1031" s="91" t="n">
        <f aca="false">(N1031-T1031)/N1031</f>
        <v>1</v>
      </c>
      <c r="AF1031" s="97" t="n">
        <f aca="false">BR1031</f>
        <v>1.66666666666667</v>
      </c>
      <c r="AG1031" s="98" t="n">
        <f aca="false">K1031-AF1031</f>
        <v>6.33333333333333</v>
      </c>
      <c r="AH1031" s="99" t="n">
        <f aca="false">IFERROR(AG1031/K1031," ")</f>
        <v>0.791666666666666</v>
      </c>
      <c r="AI1031" s="100" t="n">
        <f aca="false">IFERROR(O1031/K1031,0)</f>
        <v>787.5</v>
      </c>
      <c r="AJ1031" s="101" t="n">
        <f aca="false">VLOOKUP(D1031,'Standard Cycle time'!C:D,2,0)</f>
        <v>3.5</v>
      </c>
      <c r="AK1031" s="101" t="n">
        <f aca="false">AG1031*V1031*3600/O1031</f>
        <v>3.61904761904762</v>
      </c>
      <c r="AL1031" s="102" t="n">
        <f aca="false">AJ1031/AK1031</f>
        <v>0.967105263157895</v>
      </c>
      <c r="AM1031" s="99" t="n">
        <f aca="false">AE1031*AL1031*AH1031</f>
        <v>0.765625</v>
      </c>
      <c r="AN1031" s="103" t="n">
        <v>0.765625</v>
      </c>
      <c r="AO1031" s="112" t="s">
        <v>755</v>
      </c>
      <c r="AP1031" s="105" t="n">
        <v>40</v>
      </c>
      <c r="AQ1031" s="105" t="n">
        <v>0</v>
      </c>
      <c r="AR1031" s="105" t="n">
        <v>0</v>
      </c>
      <c r="AS1031" s="105" t="n">
        <v>60</v>
      </c>
      <c r="AT1031" s="105" t="n">
        <v>0</v>
      </c>
      <c r="AU1031" s="105" t="n">
        <v>0</v>
      </c>
      <c r="AV1031" s="105" t="n">
        <v>0</v>
      </c>
      <c r="AW1031" s="105" t="n">
        <v>0</v>
      </c>
      <c r="AX1031" s="105" t="n">
        <v>0</v>
      </c>
      <c r="AY1031" s="105" t="n">
        <v>0</v>
      </c>
      <c r="AZ1031" s="105" t="n">
        <v>0</v>
      </c>
      <c r="BA1031" s="105" t="n">
        <v>0</v>
      </c>
      <c r="BB1031" s="105" t="n">
        <v>0</v>
      </c>
      <c r="BC1031" s="105" t="n">
        <v>0</v>
      </c>
      <c r="BD1031" s="105" t="n">
        <v>0</v>
      </c>
      <c r="BE1031" s="105" t="n">
        <v>0</v>
      </c>
      <c r="BF1031" s="105" t="n">
        <v>0</v>
      </c>
      <c r="BG1031" s="105" t="n">
        <v>0</v>
      </c>
      <c r="BH1031" s="105" t="n">
        <v>0</v>
      </c>
      <c r="BI1031" s="105" t="n">
        <v>0</v>
      </c>
      <c r="BJ1031" s="105" t="n">
        <v>0</v>
      </c>
      <c r="BK1031" s="105" t="n">
        <v>0</v>
      </c>
      <c r="BL1031" s="105" t="n">
        <v>0</v>
      </c>
      <c r="BM1031" s="105" t="n">
        <v>0</v>
      </c>
      <c r="BN1031" s="105" t="n">
        <v>0</v>
      </c>
      <c r="BO1031" s="105" t="n">
        <v>0</v>
      </c>
      <c r="BP1031" s="105" t="n">
        <v>0</v>
      </c>
      <c r="BQ1031" s="105" t="n">
        <v>0</v>
      </c>
      <c r="BR1031" s="106" t="n">
        <v>1.66666666666667</v>
      </c>
      <c r="BS1031" s="106" t="n">
        <v>1.66666666666667</v>
      </c>
      <c r="BT1031" s="107"/>
      <c r="BU1031" s="107"/>
      <c r="BV1031" s="107"/>
      <c r="BW1031" s="107"/>
      <c r="BX1031" s="107"/>
      <c r="BY1031" s="107"/>
      <c r="BZ1031" s="107"/>
      <c r="CA1031" s="107"/>
      <c r="CB1031" s="107"/>
      <c r="CC1031" s="107"/>
      <c r="CD1031" s="107"/>
      <c r="CE1031" s="107"/>
      <c r="CF1031" s="107"/>
      <c r="CG1031" s="107"/>
      <c r="CH1031" s="107"/>
      <c r="CI1031" s="107"/>
      <c r="CJ1031" s="107"/>
      <c r="CK1031" s="107"/>
      <c r="CL1031" s="107"/>
      <c r="CM1031" s="107"/>
      <c r="CN1031" s="107"/>
      <c r="CO1031" s="107"/>
      <c r="CP1031" s="107"/>
      <c r="CQ1031" s="107"/>
      <c r="CR1031" s="107"/>
      <c r="CS1031" s="107"/>
      <c r="CT1031" s="107"/>
      <c r="CU1031" s="107"/>
      <c r="CV1031" s="107"/>
    </row>
    <row r="1032" customFormat="false" ht="14.9" hidden="false" customHeight="false" outlineLevel="0" collapsed="false">
      <c r="A1032" s="74" t="n">
        <f aca="false">MONTH(B1032)</f>
        <v>10</v>
      </c>
      <c r="B1032" s="135" t="n">
        <v>44494</v>
      </c>
      <c r="C1032" s="128" t="s">
        <v>70</v>
      </c>
      <c r="D1032" s="77" t="str">
        <f aca="false">IFERROR(VLOOKUP(E:E,'Item Data Support Sheet'!A:O,7,0),"")</f>
        <v>NIPPLE MOLDED</v>
      </c>
      <c r="E1032" s="80" t="s">
        <v>244</v>
      </c>
      <c r="F1032" s="122" t="s">
        <v>137</v>
      </c>
      <c r="G1032" s="137" t="s">
        <v>138</v>
      </c>
      <c r="H1032" s="79" t="str">
        <f aca="false">IFERROR(VLOOKUP(E:E,'Item Data Support Sheet'!A:O,2,0),"")</f>
        <v>NIPPLE S TYPE S SIZE INJECTION</v>
      </c>
      <c r="I1032" s="80" t="s">
        <v>1811</v>
      </c>
      <c r="J1032" s="80" t="s">
        <v>155</v>
      </c>
      <c r="K1032" s="124" t="n">
        <v>8</v>
      </c>
      <c r="L1032" s="124" t="n">
        <v>4815</v>
      </c>
      <c r="M1032" s="83" t="n">
        <v>601.875</v>
      </c>
      <c r="N1032" s="84" t="n">
        <f aca="false">+O1032+Q1032+T1032+U1032</f>
        <v>5190</v>
      </c>
      <c r="O1032" s="85" t="n">
        <v>5000</v>
      </c>
      <c r="P1032" s="86" t="n">
        <v>0</v>
      </c>
      <c r="Q1032" s="86" t="n">
        <v>90</v>
      </c>
      <c r="R1032" s="132" t="n">
        <v>0</v>
      </c>
      <c r="S1032" s="128" t="n">
        <v>0</v>
      </c>
      <c r="T1032" s="132" t="n">
        <v>100</v>
      </c>
      <c r="U1032" s="128" t="n">
        <v>0</v>
      </c>
      <c r="V1032" s="128" t="n">
        <v>1</v>
      </c>
      <c r="W1032" s="90" t="n">
        <f aca="false">IFERROR(O1032/V1032,0)</f>
        <v>5000</v>
      </c>
      <c r="X1032" s="91" t="n">
        <f aca="false">O1032/L1032</f>
        <v>1.03842159916926</v>
      </c>
      <c r="Y1032" s="92" t="str">
        <f aca="false">IFERROR(VLOOKUP(E:E,'Item Data Support Sheet'!A:J,6,0),0)</f>
        <v>Silicon</v>
      </c>
      <c r="Z1032" s="93" t="n">
        <f aca="false">IFERROR(VLOOKUP(E:E,'Item Data Support Sheet'!A:O,4,0),0)</f>
        <v>6.8</v>
      </c>
      <c r="AA1032" s="93" t="n">
        <f aca="false">IFERROR(((N1032)*(Z1032/1000))+P1032,0)</f>
        <v>35.292</v>
      </c>
      <c r="AB1032" s="94" t="n">
        <f aca="false">IFERROR((O1032*(Z1032/1000)/(AA1032))," ")</f>
        <v>0.963391136801542</v>
      </c>
      <c r="AC1032" s="95" t="n">
        <f aca="false">IFERROR((T1032)/((T1032)+O1032),0)</f>
        <v>0.0196078431372549</v>
      </c>
      <c r="AD1032" s="96" t="n">
        <f aca="false">IFERROR(Q1032/(Q1032+N1032),0)</f>
        <v>0.0170454545454545</v>
      </c>
      <c r="AE1032" s="91" t="n">
        <f aca="false">(N1032-T1032)/N1032</f>
        <v>0.980732177263969</v>
      </c>
      <c r="AF1032" s="97" t="n">
        <f aca="false">BR1032</f>
        <v>0</v>
      </c>
      <c r="AG1032" s="98" t="n">
        <f aca="false">K1032-AF1032</f>
        <v>8</v>
      </c>
      <c r="AH1032" s="99" t="n">
        <f aca="false">IFERROR(AG1032/K1032," ")</f>
        <v>1</v>
      </c>
      <c r="AI1032" s="100" t="n">
        <f aca="false">IFERROR(O1032/K1032,0)</f>
        <v>625</v>
      </c>
      <c r="AJ1032" s="101" t="n">
        <f aca="false">VLOOKUP(D1032,'Standard Cycle time'!C:D,2,0)</f>
        <v>5.25</v>
      </c>
      <c r="AK1032" s="101" t="n">
        <f aca="false">AG1032*V1032*3600/O1032</f>
        <v>5.76</v>
      </c>
      <c r="AL1032" s="102" t="n">
        <f aca="false">AJ1032/AK1032</f>
        <v>0.911458333333333</v>
      </c>
      <c r="AM1032" s="99" t="n">
        <f aca="false">AE1032*AL1032*AH1032</f>
        <v>0.893896515735389</v>
      </c>
      <c r="AN1032" s="103" t="n">
        <v>0.896990740740741</v>
      </c>
      <c r="AO1032" s="112"/>
      <c r="AP1032" s="105" t="n">
        <v>0</v>
      </c>
      <c r="AQ1032" s="105" t="n">
        <v>0</v>
      </c>
      <c r="AR1032" s="105" t="n">
        <v>0</v>
      </c>
      <c r="AS1032" s="105" t="n">
        <v>0</v>
      </c>
      <c r="AT1032" s="105" t="n">
        <v>0</v>
      </c>
      <c r="AU1032" s="105" t="n">
        <v>0</v>
      </c>
      <c r="AV1032" s="105" t="n">
        <v>0</v>
      </c>
      <c r="AW1032" s="105" t="n">
        <v>0</v>
      </c>
      <c r="AX1032" s="105" t="n">
        <v>0</v>
      </c>
      <c r="AY1032" s="105" t="n">
        <v>0</v>
      </c>
      <c r="AZ1032" s="105" t="n">
        <v>0</v>
      </c>
      <c r="BA1032" s="105" t="n">
        <v>0</v>
      </c>
      <c r="BB1032" s="105" t="n">
        <v>0</v>
      </c>
      <c r="BC1032" s="105" t="n">
        <v>0</v>
      </c>
      <c r="BD1032" s="105" t="n">
        <v>0</v>
      </c>
      <c r="BE1032" s="105" t="n">
        <v>0</v>
      </c>
      <c r="BF1032" s="105" t="n">
        <v>0</v>
      </c>
      <c r="BG1032" s="105" t="n">
        <v>0</v>
      </c>
      <c r="BH1032" s="105" t="n">
        <v>0</v>
      </c>
      <c r="BI1032" s="105" t="n">
        <v>0</v>
      </c>
      <c r="BJ1032" s="105" t="n">
        <v>0</v>
      </c>
      <c r="BK1032" s="105" t="n">
        <v>0</v>
      </c>
      <c r="BL1032" s="105" t="n">
        <v>0</v>
      </c>
      <c r="BM1032" s="105" t="n">
        <v>0</v>
      </c>
      <c r="BN1032" s="105" t="n">
        <v>0</v>
      </c>
      <c r="BO1032" s="105" t="n">
        <v>0</v>
      </c>
      <c r="BP1032" s="105" t="n">
        <v>0</v>
      </c>
      <c r="BQ1032" s="105" t="n">
        <v>0</v>
      </c>
      <c r="BR1032" s="106" t="n">
        <v>0</v>
      </c>
      <c r="BS1032" s="106" t="n">
        <v>0</v>
      </c>
      <c r="BT1032" s="107"/>
      <c r="BU1032" s="107"/>
      <c r="BV1032" s="107"/>
      <c r="BW1032" s="107"/>
      <c r="BX1032" s="107"/>
      <c r="BY1032" s="107"/>
      <c r="BZ1032" s="107"/>
      <c r="CA1032" s="107"/>
      <c r="CB1032" s="107"/>
      <c r="CC1032" s="107"/>
      <c r="CD1032" s="107"/>
      <c r="CE1032" s="107"/>
      <c r="CF1032" s="107"/>
      <c r="CG1032" s="107"/>
      <c r="CH1032" s="107"/>
      <c r="CI1032" s="107"/>
      <c r="CJ1032" s="107"/>
      <c r="CK1032" s="107"/>
      <c r="CL1032" s="107"/>
      <c r="CM1032" s="107"/>
      <c r="CN1032" s="107"/>
      <c r="CO1032" s="107"/>
      <c r="CP1032" s="107"/>
      <c r="CQ1032" s="107"/>
      <c r="CR1032" s="107"/>
      <c r="CS1032" s="107"/>
      <c r="CT1032" s="107"/>
      <c r="CU1032" s="107"/>
      <c r="CV1032" s="107"/>
    </row>
    <row r="1033" customFormat="false" ht="14.9" hidden="false" customHeight="false" outlineLevel="0" collapsed="false">
      <c r="A1033" s="74" t="n">
        <f aca="false">MONTH(B1033)</f>
        <v>10</v>
      </c>
      <c r="B1033" s="135" t="n">
        <v>44494</v>
      </c>
      <c r="C1033" s="128" t="s">
        <v>70</v>
      </c>
      <c r="D1033" s="77" t="str">
        <f aca="false">IFERROR(VLOOKUP(E:E,'Item Data Support Sheet'!A:O,7,0),"")</f>
        <v>HOOD MOLDED</v>
      </c>
      <c r="E1033" s="80" t="s">
        <v>529</v>
      </c>
      <c r="F1033" s="122"/>
      <c r="G1033" s="137" t="s">
        <v>740</v>
      </c>
      <c r="H1033" s="79" t="str">
        <f aca="false">IFERROR(VLOOKUP(E:E,'Item Data Support Sheet'!A:O,2,0),"")</f>
        <v>HOOD S TYPE MOLDED</v>
      </c>
      <c r="I1033" s="80" t="s">
        <v>1812</v>
      </c>
      <c r="J1033" s="80" t="s">
        <v>155</v>
      </c>
      <c r="K1033" s="124" t="n">
        <v>8</v>
      </c>
      <c r="L1033" s="124" t="n">
        <v>4137</v>
      </c>
      <c r="M1033" s="83" t="n">
        <v>517.125</v>
      </c>
      <c r="N1033" s="84" t="n">
        <f aca="false">+O1033+Q1033+T1033+U1033</f>
        <v>4540</v>
      </c>
      <c r="O1033" s="85" t="n">
        <v>4500</v>
      </c>
      <c r="P1033" s="86" t="n">
        <v>0</v>
      </c>
      <c r="Q1033" s="86" t="n">
        <v>24</v>
      </c>
      <c r="R1033" s="132" t="n">
        <v>0</v>
      </c>
      <c r="S1033" s="128" t="n">
        <v>0</v>
      </c>
      <c r="T1033" s="132" t="n">
        <v>16</v>
      </c>
      <c r="U1033" s="128" t="n">
        <v>0</v>
      </c>
      <c r="V1033" s="128" t="n">
        <v>1</v>
      </c>
      <c r="W1033" s="90" t="n">
        <f aca="false">IFERROR(O1033/V1033,0)</f>
        <v>4500</v>
      </c>
      <c r="X1033" s="91" t="n">
        <f aca="false">O1033/L1033</f>
        <v>1.08774474256708</v>
      </c>
      <c r="Y1033" s="92" t="str">
        <f aca="false">IFERROR(VLOOKUP(E:E,'Item Data Support Sheet'!A:J,6,0),0)</f>
        <v>HMC</v>
      </c>
      <c r="Z1033" s="93" t="n">
        <f aca="false">IFERROR(VLOOKUP(E:E,'Item Data Support Sheet'!A:O,4,0),0)</f>
        <v>8.6</v>
      </c>
      <c r="AA1033" s="93" t="n">
        <f aca="false">IFERROR(((N1033)*(Z1033/1000))+P1033,0)</f>
        <v>39.044</v>
      </c>
      <c r="AB1033" s="94" t="n">
        <f aca="false">IFERROR((O1033*(Z1033/1000)/(AA1033))," ")</f>
        <v>0.991189427312775</v>
      </c>
      <c r="AC1033" s="95" t="n">
        <f aca="false">IFERROR((T1033)/((T1033)+O1033),0)</f>
        <v>0.00354295837023915</v>
      </c>
      <c r="AD1033" s="96" t="n">
        <f aca="false">IFERROR(Q1033/(Q1033+N1033),0)</f>
        <v>0.00525854513584575</v>
      </c>
      <c r="AE1033" s="91" t="n">
        <f aca="false">(N1033-T1033)/N1033</f>
        <v>0.99647577092511</v>
      </c>
      <c r="AF1033" s="97" t="n">
        <f aca="false">BR1033</f>
        <v>0.666666666666667</v>
      </c>
      <c r="AG1033" s="98" t="n">
        <f aca="false">K1033-AF1033</f>
        <v>7.33333333333333</v>
      </c>
      <c r="AH1033" s="99" t="n">
        <f aca="false">IFERROR(AG1033/K1033," ")</f>
        <v>0.916666666666667</v>
      </c>
      <c r="AI1033" s="100" t="n">
        <f aca="false">IFERROR(O1033/K1033,0)</f>
        <v>562.5</v>
      </c>
      <c r="AJ1033" s="101" t="n">
        <f aca="false">VLOOKUP(D1033,'Standard Cycle time'!C:D,2,0)</f>
        <v>6</v>
      </c>
      <c r="AK1033" s="101" t="n">
        <f aca="false">AG1033*V1033*3600/O1033</f>
        <v>5.86666666666667</v>
      </c>
      <c r="AL1033" s="102" t="n">
        <f aca="false">AJ1033/AK1033</f>
        <v>1.02272727272727</v>
      </c>
      <c r="AM1033" s="99" t="n">
        <f aca="false">AE1033*AL1033*AH1033</f>
        <v>0.934196035242291</v>
      </c>
      <c r="AN1033" s="103" t="n">
        <v>0.934609826589595</v>
      </c>
      <c r="AO1033" s="112"/>
      <c r="AP1033" s="105" t="n">
        <v>0</v>
      </c>
      <c r="AQ1033" s="105" t="n">
        <v>0</v>
      </c>
      <c r="AR1033" s="105" t="n">
        <v>0</v>
      </c>
      <c r="AS1033" s="105" t="n">
        <v>0</v>
      </c>
      <c r="AT1033" s="105" t="n">
        <v>0</v>
      </c>
      <c r="AU1033" s="105" t="n">
        <v>0</v>
      </c>
      <c r="AV1033" s="105" t="n">
        <v>20</v>
      </c>
      <c r="AW1033" s="105" t="n">
        <v>0</v>
      </c>
      <c r="AX1033" s="105" t="n">
        <v>0</v>
      </c>
      <c r="AY1033" s="105" t="n">
        <v>0</v>
      </c>
      <c r="AZ1033" s="105" t="n">
        <v>20</v>
      </c>
      <c r="BA1033" s="105" t="n">
        <v>0</v>
      </c>
      <c r="BB1033" s="105" t="n">
        <v>0</v>
      </c>
      <c r="BC1033" s="105" t="n">
        <v>0</v>
      </c>
      <c r="BD1033" s="105" t="n">
        <v>0</v>
      </c>
      <c r="BE1033" s="105" t="n">
        <v>0</v>
      </c>
      <c r="BF1033" s="105" t="n">
        <v>0</v>
      </c>
      <c r="BG1033" s="105" t="n">
        <v>0</v>
      </c>
      <c r="BH1033" s="105" t="n">
        <v>0</v>
      </c>
      <c r="BI1033" s="105" t="n">
        <v>0</v>
      </c>
      <c r="BJ1033" s="105" t="n">
        <v>0</v>
      </c>
      <c r="BK1033" s="105" t="n">
        <v>0</v>
      </c>
      <c r="BL1033" s="105" t="n">
        <v>0</v>
      </c>
      <c r="BM1033" s="105" t="n">
        <v>0</v>
      </c>
      <c r="BN1033" s="105" t="n">
        <v>0</v>
      </c>
      <c r="BO1033" s="105" t="n">
        <v>0</v>
      </c>
      <c r="BP1033" s="105" t="n">
        <v>0</v>
      </c>
      <c r="BQ1033" s="105" t="n">
        <v>0</v>
      </c>
      <c r="BR1033" s="106" t="n">
        <v>0.666666666666667</v>
      </c>
      <c r="BS1033" s="106" t="n">
        <v>0.666666666666667</v>
      </c>
      <c r="BT1033" s="107"/>
      <c r="BU1033" s="107"/>
      <c r="BV1033" s="107"/>
      <c r="BW1033" s="107"/>
      <c r="BX1033" s="107"/>
      <c r="BY1033" s="107"/>
      <c r="BZ1033" s="107"/>
      <c r="CA1033" s="107"/>
      <c r="CB1033" s="107"/>
      <c r="CC1033" s="107"/>
      <c r="CD1033" s="107"/>
      <c r="CE1033" s="107"/>
      <c r="CF1033" s="107"/>
      <c r="CG1033" s="107"/>
      <c r="CH1033" s="107"/>
      <c r="CI1033" s="107"/>
      <c r="CJ1033" s="107"/>
      <c r="CK1033" s="107"/>
      <c r="CL1033" s="107"/>
      <c r="CM1033" s="107"/>
      <c r="CN1033" s="107"/>
      <c r="CO1033" s="107"/>
      <c r="CP1033" s="107"/>
      <c r="CQ1033" s="107"/>
      <c r="CR1033" s="107"/>
      <c r="CS1033" s="107"/>
      <c r="CT1033" s="107"/>
      <c r="CU1033" s="107"/>
      <c r="CV1033" s="107"/>
    </row>
    <row r="1034" customFormat="false" ht="14.9" hidden="false" customHeight="false" outlineLevel="0" collapsed="false">
      <c r="A1034" s="74" t="n">
        <f aca="false">MONTH(B1034)</f>
        <v>10</v>
      </c>
      <c r="B1034" s="135" t="n">
        <v>44494</v>
      </c>
      <c r="C1034" s="128" t="s">
        <v>70</v>
      </c>
      <c r="D1034" s="77" t="str">
        <f aca="false">IFERROR(VLOOKUP(E:E,'Item Data Support Sheet'!A:O,7,0),"")</f>
        <v>BOTTLE MOLDED</v>
      </c>
      <c r="E1034" s="80" t="s">
        <v>69</v>
      </c>
      <c r="F1034" s="122" t="s">
        <v>73</v>
      </c>
      <c r="G1034" s="137" t="s">
        <v>74</v>
      </c>
      <c r="H1034" s="79" t="str">
        <f aca="false">IFERROR(VLOOKUP(E:E,'Item Data Support Sheet'!A:O,2,0),"")</f>
        <v>KPP 240 ML BOTTLE MOLDED</v>
      </c>
      <c r="I1034" s="80" t="s">
        <v>1813</v>
      </c>
      <c r="J1034" s="80" t="s">
        <v>155</v>
      </c>
      <c r="K1034" s="124" t="n">
        <v>8</v>
      </c>
      <c r="L1034" s="124" t="n">
        <v>2574</v>
      </c>
      <c r="M1034" s="83" t="n">
        <v>321.75</v>
      </c>
      <c r="N1034" s="84" t="n">
        <f aca="false">+O1034+Q1034+T1034+U1034</f>
        <v>2826</v>
      </c>
      <c r="O1034" s="85" t="n">
        <v>2700</v>
      </c>
      <c r="P1034" s="86" t="n">
        <v>0</v>
      </c>
      <c r="Q1034" s="86" t="n">
        <v>60</v>
      </c>
      <c r="R1034" s="132" t="n">
        <v>0</v>
      </c>
      <c r="S1034" s="128" t="n">
        <v>0</v>
      </c>
      <c r="T1034" s="132" t="n">
        <v>66</v>
      </c>
      <c r="U1034" s="128" t="n">
        <v>0</v>
      </c>
      <c r="V1034" s="128" t="n">
        <v>1</v>
      </c>
      <c r="W1034" s="90" t="n">
        <f aca="false">IFERROR(O1034/V1034,0)</f>
        <v>2700</v>
      </c>
      <c r="X1034" s="91" t="n">
        <f aca="false">O1034/L1034</f>
        <v>1.04895104895105</v>
      </c>
      <c r="Y1034" s="92" t="str">
        <f aca="false">IFERROR(VLOOKUP(E:E,'Item Data Support Sheet'!A:J,6,0),0)</f>
        <v>HMC</v>
      </c>
      <c r="Z1034" s="93" t="n">
        <f aca="false">IFERROR(VLOOKUP(E:E,'Item Data Support Sheet'!A:O,4,0),0)</f>
        <v>32.1</v>
      </c>
      <c r="AA1034" s="93" t="n">
        <f aca="false">IFERROR(((N1034)*(Z1034/1000))+P1034,0)</f>
        <v>90.7146</v>
      </c>
      <c r="AB1034" s="94" t="n">
        <f aca="false">IFERROR((O1034*(Z1034/1000)/(AA1034))," ")</f>
        <v>0.955414012738854</v>
      </c>
      <c r="AC1034" s="95" t="n">
        <f aca="false">IFERROR((T1034)/((T1034)+O1034),0)</f>
        <v>0.0238611713665944</v>
      </c>
      <c r="AD1034" s="96" t="n">
        <f aca="false">IFERROR(Q1034/(Q1034+N1034),0)</f>
        <v>0.0207900207900208</v>
      </c>
      <c r="AE1034" s="91" t="n">
        <f aca="false">(N1034-T1034)/N1034</f>
        <v>0.976645435244161</v>
      </c>
      <c r="AF1034" s="97" t="n">
        <f aca="false">BR1034</f>
        <v>0</v>
      </c>
      <c r="AG1034" s="98" t="n">
        <f aca="false">K1034-AF1034</f>
        <v>8</v>
      </c>
      <c r="AH1034" s="99" t="n">
        <f aca="false">IFERROR(AG1034/K1034," ")</f>
        <v>1</v>
      </c>
      <c r="AI1034" s="100" t="n">
        <f aca="false">IFERROR(O1034/K1034,0)</f>
        <v>337.5</v>
      </c>
      <c r="AJ1034" s="101" t="n">
        <f aca="false">VLOOKUP(D1034,'Standard Cycle time'!C:D,2,0)</f>
        <v>9</v>
      </c>
      <c r="AK1034" s="101" t="n">
        <f aca="false">AG1034*V1034*3600/O1034</f>
        <v>10.6666666666667</v>
      </c>
      <c r="AL1034" s="102" t="n">
        <f aca="false">AJ1034/AK1034</f>
        <v>0.84375</v>
      </c>
      <c r="AM1034" s="99" t="n">
        <f aca="false">AE1034*AL1034*AH1034</f>
        <v>0.824044585987261</v>
      </c>
      <c r="AN1034" s="103" t="n">
        <v>0.831484030837004</v>
      </c>
      <c r="AO1034" s="112"/>
      <c r="AP1034" s="105" t="n">
        <v>0</v>
      </c>
      <c r="AQ1034" s="105" t="n">
        <v>0</v>
      </c>
      <c r="AR1034" s="105" t="n">
        <v>0</v>
      </c>
      <c r="AS1034" s="105" t="n">
        <v>0</v>
      </c>
      <c r="AT1034" s="105" t="n">
        <v>0</v>
      </c>
      <c r="AU1034" s="105" t="n">
        <v>0</v>
      </c>
      <c r="AV1034" s="105" t="n">
        <v>0</v>
      </c>
      <c r="AW1034" s="105" t="n">
        <v>0</v>
      </c>
      <c r="AX1034" s="105" t="n">
        <v>0</v>
      </c>
      <c r="AY1034" s="105" t="n">
        <v>0</v>
      </c>
      <c r="AZ1034" s="105" t="n">
        <v>0</v>
      </c>
      <c r="BA1034" s="105" t="n">
        <v>0</v>
      </c>
      <c r="BB1034" s="105" t="n">
        <v>0</v>
      </c>
      <c r="BC1034" s="105" t="n">
        <v>0</v>
      </c>
      <c r="BD1034" s="105" t="n">
        <v>0</v>
      </c>
      <c r="BE1034" s="105" t="n">
        <v>0</v>
      </c>
      <c r="BF1034" s="105" t="n">
        <v>0</v>
      </c>
      <c r="BG1034" s="105" t="n">
        <v>0</v>
      </c>
      <c r="BH1034" s="105" t="n">
        <v>0</v>
      </c>
      <c r="BI1034" s="105" t="n">
        <v>0</v>
      </c>
      <c r="BJ1034" s="105" t="n">
        <v>0</v>
      </c>
      <c r="BK1034" s="105" t="n">
        <v>0</v>
      </c>
      <c r="BL1034" s="105" t="n">
        <v>0</v>
      </c>
      <c r="BM1034" s="105" t="n">
        <v>0</v>
      </c>
      <c r="BN1034" s="105" t="n">
        <v>0</v>
      </c>
      <c r="BO1034" s="105" t="n">
        <v>0</v>
      </c>
      <c r="BP1034" s="105" t="n">
        <v>0</v>
      </c>
      <c r="BQ1034" s="105" t="n">
        <v>0</v>
      </c>
      <c r="BR1034" s="106" t="n">
        <v>0</v>
      </c>
      <c r="BS1034" s="106" t="n">
        <v>0</v>
      </c>
      <c r="BT1034" s="107"/>
      <c r="BU1034" s="107"/>
      <c r="BV1034" s="107"/>
      <c r="BW1034" s="107"/>
      <c r="BX1034" s="107"/>
      <c r="BY1034" s="107"/>
      <c r="BZ1034" s="107"/>
      <c r="CA1034" s="107"/>
      <c r="CB1034" s="107"/>
      <c r="CC1034" s="107"/>
      <c r="CD1034" s="107"/>
      <c r="CE1034" s="107"/>
      <c r="CF1034" s="107"/>
      <c r="CG1034" s="107"/>
      <c r="CH1034" s="107"/>
      <c r="CI1034" s="107"/>
      <c r="CJ1034" s="107"/>
      <c r="CK1034" s="107"/>
      <c r="CL1034" s="107"/>
      <c r="CM1034" s="107"/>
      <c r="CN1034" s="107"/>
      <c r="CO1034" s="107"/>
      <c r="CP1034" s="107"/>
      <c r="CQ1034" s="107"/>
      <c r="CR1034" s="107"/>
      <c r="CS1034" s="107"/>
      <c r="CT1034" s="107"/>
      <c r="CU1034" s="107"/>
      <c r="CV1034" s="107"/>
    </row>
    <row r="1035" customFormat="false" ht="14.9" hidden="false" customHeight="false" outlineLevel="0" collapsed="false">
      <c r="A1035" s="74" t="n">
        <f aca="false">MONTH(B1035)</f>
        <v>10</v>
      </c>
      <c r="B1035" s="135" t="n">
        <v>44494</v>
      </c>
      <c r="C1035" s="128" t="s">
        <v>70</v>
      </c>
      <c r="D1035" s="77" t="str">
        <f aca="false">IFERROR(VLOOKUP(E:E,'Item Data Support Sheet'!A:O,7,0),"")</f>
        <v>BOTTLE PRINTED</v>
      </c>
      <c r="E1035" s="80" t="s">
        <v>65</v>
      </c>
      <c r="F1035" s="122"/>
      <c r="G1035" s="137"/>
      <c r="H1035" s="79" t="str">
        <f aca="false">IFERROR(VLOOKUP(E:E,'Item Data Support Sheet'!A:O,2,0),"")</f>
        <v>KPP 240 ML BOTTLE PRINTED</v>
      </c>
      <c r="I1035" s="80" t="s">
        <v>1814</v>
      </c>
      <c r="J1035" s="80" t="s">
        <v>155</v>
      </c>
      <c r="K1035" s="124" t="n">
        <v>8</v>
      </c>
      <c r="L1035" s="124" t="n">
        <v>5120</v>
      </c>
      <c r="M1035" s="83" t="n">
        <v>640</v>
      </c>
      <c r="N1035" s="84" t="n">
        <f aca="false">+O1035+Q1035+T1035+U1035</f>
        <v>4743</v>
      </c>
      <c r="O1035" s="85" t="n">
        <v>4709</v>
      </c>
      <c r="P1035" s="86" t="n">
        <v>0</v>
      </c>
      <c r="Q1035" s="86" t="n">
        <v>0</v>
      </c>
      <c r="R1035" s="132" t="n">
        <v>38</v>
      </c>
      <c r="S1035" s="128" t="n">
        <v>0</v>
      </c>
      <c r="T1035" s="132" t="n">
        <v>34</v>
      </c>
      <c r="U1035" s="128" t="n">
        <v>0</v>
      </c>
      <c r="V1035" s="128" t="n">
        <v>5</v>
      </c>
      <c r="W1035" s="90" t="n">
        <f aca="false">IFERROR(O1035/V1035,0)</f>
        <v>941.8</v>
      </c>
      <c r="X1035" s="91" t="n">
        <f aca="false">O1035/L1035</f>
        <v>0.9197265625</v>
      </c>
      <c r="Y1035" s="92" t="str">
        <f aca="false">IFERROR(VLOOKUP(E:E,'Item Data Support Sheet'!A:J,6,0),0)</f>
        <v>FO003</v>
      </c>
      <c r="Z1035" s="93" t="n">
        <f aca="false">IFERROR(VLOOKUP(E:E,'Item Data Support Sheet'!A:O,4,0),0)</f>
        <v>0</v>
      </c>
      <c r="AA1035" s="93" t="n">
        <f aca="false">IFERROR(((N1035)*(Z1035/1000))+P1035,0)</f>
        <v>0</v>
      </c>
      <c r="AB1035" s="94" t="str">
        <f aca="false">IFERROR((O1035*(Z1035/1000)/(AA1035))," ")</f>
        <v> </v>
      </c>
      <c r="AC1035" s="95" t="n">
        <f aca="false">IFERROR((T1035)/((T1035)+O1035),0)</f>
        <v>0.00716845878136201</v>
      </c>
      <c r="AD1035" s="96" t="n">
        <f aca="false">IFERROR(Q1035/(Q1035+N1035),0)</f>
        <v>0</v>
      </c>
      <c r="AE1035" s="91" t="n">
        <f aca="false">(N1035-T1035)/N1035</f>
        <v>0.992831541218638</v>
      </c>
      <c r="AF1035" s="97" t="n">
        <f aca="false">BR1035</f>
        <v>0.666666666666667</v>
      </c>
      <c r="AG1035" s="98" t="n">
        <f aca="false">K1035-AF1035</f>
        <v>7.33333333333333</v>
      </c>
      <c r="AH1035" s="99" t="n">
        <f aca="false">IFERROR(AG1035/K1035," ")</f>
        <v>0.916666666666667</v>
      </c>
      <c r="AI1035" s="100" t="n">
        <f aca="false">IFERROR(O1035/K1035,0)</f>
        <v>588.625</v>
      </c>
      <c r="AJ1035" s="101" t="n">
        <f aca="false">VLOOKUP(D1035,'Standard Cycle time'!C:D,2,0)</f>
        <v>32.4</v>
      </c>
      <c r="AK1035" s="101" t="n">
        <f aca="false">AG1035*V1035*3600/O1035</f>
        <v>28.0314291781695</v>
      </c>
      <c r="AL1035" s="102" t="n">
        <f aca="false">AJ1035/AK1035</f>
        <v>1.15584545454545</v>
      </c>
      <c r="AM1035" s="99" t="n">
        <f aca="false">AE1035*AL1035*AH1035</f>
        <v>1.05192983870968</v>
      </c>
      <c r="AN1035" s="103" t="n">
        <v>1.04677770700637</v>
      </c>
      <c r="AO1035" s="112" t="s">
        <v>1815</v>
      </c>
      <c r="AP1035" s="105" t="n">
        <v>40</v>
      </c>
      <c r="AQ1035" s="105" t="n">
        <v>0</v>
      </c>
      <c r="AR1035" s="105" t="n">
        <v>0</v>
      </c>
      <c r="AS1035" s="105" t="n">
        <v>0</v>
      </c>
      <c r="AT1035" s="105" t="n">
        <v>0</v>
      </c>
      <c r="AU1035" s="105" t="n">
        <v>0</v>
      </c>
      <c r="AV1035" s="105" t="n">
        <v>0</v>
      </c>
      <c r="AW1035" s="105" t="n">
        <v>0</v>
      </c>
      <c r="AX1035" s="105" t="n">
        <v>0</v>
      </c>
      <c r="AY1035" s="105" t="n">
        <v>0</v>
      </c>
      <c r="AZ1035" s="105" t="n">
        <v>0</v>
      </c>
      <c r="BA1035" s="105" t="n">
        <v>0</v>
      </c>
      <c r="BB1035" s="105" t="n">
        <v>0</v>
      </c>
      <c r="BC1035" s="105" t="n">
        <v>0</v>
      </c>
      <c r="BD1035" s="105" t="n">
        <v>0</v>
      </c>
      <c r="BE1035" s="105" t="n">
        <v>0</v>
      </c>
      <c r="BF1035" s="105" t="n">
        <v>0</v>
      </c>
      <c r="BG1035" s="105" t="n">
        <v>0</v>
      </c>
      <c r="BH1035" s="105" t="n">
        <v>0</v>
      </c>
      <c r="BI1035" s="105" t="n">
        <v>0</v>
      </c>
      <c r="BJ1035" s="105" t="n">
        <v>0</v>
      </c>
      <c r="BK1035" s="105" t="n">
        <v>0</v>
      </c>
      <c r="BL1035" s="105" t="n">
        <v>0</v>
      </c>
      <c r="BM1035" s="105" t="n">
        <v>0</v>
      </c>
      <c r="BN1035" s="105" t="n">
        <v>0</v>
      </c>
      <c r="BO1035" s="105" t="n">
        <v>0</v>
      </c>
      <c r="BP1035" s="105" t="n">
        <v>0</v>
      </c>
      <c r="BQ1035" s="105" t="n">
        <v>0</v>
      </c>
      <c r="BR1035" s="106" t="n">
        <v>0.666666666666667</v>
      </c>
      <c r="BS1035" s="106" t="n">
        <v>0.666666666666667</v>
      </c>
      <c r="BT1035" s="107"/>
      <c r="BU1035" s="107"/>
      <c r="BV1035" s="107"/>
      <c r="BW1035" s="107"/>
      <c r="BX1035" s="107"/>
      <c r="BY1035" s="107"/>
      <c r="BZ1035" s="107"/>
      <c r="CA1035" s="107"/>
      <c r="CB1035" s="107"/>
      <c r="CC1035" s="107"/>
      <c r="CD1035" s="107"/>
      <c r="CE1035" s="107"/>
      <c r="CF1035" s="107"/>
      <c r="CG1035" s="107"/>
      <c r="CH1035" s="107"/>
      <c r="CI1035" s="107"/>
      <c r="CJ1035" s="107"/>
      <c r="CK1035" s="107"/>
      <c r="CL1035" s="107"/>
      <c r="CM1035" s="107"/>
      <c r="CN1035" s="107"/>
      <c r="CO1035" s="107"/>
      <c r="CP1035" s="107"/>
      <c r="CQ1035" s="107"/>
      <c r="CR1035" s="107"/>
      <c r="CS1035" s="107"/>
      <c r="CT1035" s="107"/>
      <c r="CU1035" s="107"/>
      <c r="CV1035" s="107"/>
    </row>
    <row r="1036" customFormat="false" ht="14.9" hidden="false" customHeight="false" outlineLevel="0" collapsed="false">
      <c r="A1036" s="74" t="n">
        <f aca="false">MONTH(B1036)</f>
        <v>10</v>
      </c>
      <c r="B1036" s="135" t="n">
        <v>44494</v>
      </c>
      <c r="C1036" s="128" t="s">
        <v>152</v>
      </c>
      <c r="D1036" s="77" t="str">
        <f aca="false">IFERROR(VLOOKUP(E:E,'Item Data Support Sheet'!A:O,7,0),"")</f>
        <v>BOTTLE MOLDED</v>
      </c>
      <c r="E1036" s="80" t="s">
        <v>69</v>
      </c>
      <c r="F1036" s="122" t="s">
        <v>73</v>
      </c>
      <c r="G1036" s="137" t="s">
        <v>74</v>
      </c>
      <c r="H1036" s="79" t="str">
        <f aca="false">IFERROR(VLOOKUP(E:E,'Item Data Support Sheet'!A:O,2,0),"")</f>
        <v>KPP 240 ML BOTTLE MOLDED</v>
      </c>
      <c r="I1036" s="80" t="s">
        <v>1816</v>
      </c>
      <c r="J1036" s="80" t="s">
        <v>815</v>
      </c>
      <c r="K1036" s="124" t="n">
        <v>8</v>
      </c>
      <c r="L1036" s="124" t="n">
        <v>2574</v>
      </c>
      <c r="M1036" s="83" t="n">
        <v>321.75</v>
      </c>
      <c r="N1036" s="84" t="n">
        <f aca="false">+O1036+Q1036+T1036+U1036</f>
        <v>3142</v>
      </c>
      <c r="O1036" s="85" t="n">
        <v>3024</v>
      </c>
      <c r="P1036" s="86" t="n">
        <v>0.3</v>
      </c>
      <c r="Q1036" s="86" t="n">
        <v>40</v>
      </c>
      <c r="R1036" s="132" t="n">
        <v>0</v>
      </c>
      <c r="S1036" s="128" t="n">
        <v>0</v>
      </c>
      <c r="T1036" s="132" t="n">
        <v>70</v>
      </c>
      <c r="U1036" s="128" t="n">
        <v>8</v>
      </c>
      <c r="V1036" s="128" t="n">
        <v>1</v>
      </c>
      <c r="W1036" s="90" t="n">
        <f aca="false">IFERROR(O1036/V1036,0)</f>
        <v>3024</v>
      </c>
      <c r="X1036" s="91" t="n">
        <f aca="false">O1036/L1036</f>
        <v>1.17482517482517</v>
      </c>
      <c r="Y1036" s="92" t="str">
        <f aca="false">IFERROR(VLOOKUP(E:E,'Item Data Support Sheet'!A:J,6,0),0)</f>
        <v>HMC</v>
      </c>
      <c r="Z1036" s="93" t="n">
        <f aca="false">IFERROR(VLOOKUP(E:E,'Item Data Support Sheet'!A:O,4,0),0)</f>
        <v>32.1</v>
      </c>
      <c r="AA1036" s="93" t="n">
        <f aca="false">IFERROR(((N1036)*(Z1036/1000))+P1036,0)</f>
        <v>101.1582</v>
      </c>
      <c r="AB1036" s="94" t="n">
        <f aca="false">IFERROR((O1036*(Z1036/1000)/(AA1036))," ")</f>
        <v>0.959590028292318</v>
      </c>
      <c r="AC1036" s="95" t="n">
        <f aca="false">IFERROR((T1036)/((T1036)+O1036),0)</f>
        <v>0.0226244343891403</v>
      </c>
      <c r="AD1036" s="96" t="n">
        <f aca="false">IFERROR(Q1036/(Q1036+N1036),0)</f>
        <v>0.0125707102451288</v>
      </c>
      <c r="AE1036" s="91" t="n">
        <f aca="false">(N1036-T1036)/N1036</f>
        <v>0.977721196690006</v>
      </c>
      <c r="AF1036" s="97" t="n">
        <f aca="false">BR1036</f>
        <v>0</v>
      </c>
      <c r="AG1036" s="98" t="n">
        <f aca="false">K1036-AF1036</f>
        <v>8</v>
      </c>
      <c r="AH1036" s="99" t="n">
        <f aca="false">IFERROR(AG1036/K1036," ")</f>
        <v>1</v>
      </c>
      <c r="AI1036" s="100" t="n">
        <f aca="false">IFERROR(O1036/K1036,0)</f>
        <v>378</v>
      </c>
      <c r="AJ1036" s="101" t="n">
        <f aca="false">VLOOKUP(D1036,'Standard Cycle time'!C:D,2,0)</f>
        <v>9</v>
      </c>
      <c r="AK1036" s="101" t="n">
        <f aca="false">AG1036*V1036*3600/O1036</f>
        <v>9.52380952380952</v>
      </c>
      <c r="AL1036" s="102" t="n">
        <f aca="false">AJ1036/AK1036</f>
        <v>0.945</v>
      </c>
      <c r="AM1036" s="99" t="n">
        <f aca="false">AE1036*AL1036*AH1036</f>
        <v>0.923946530872056</v>
      </c>
      <c r="AN1036" s="103" t="n">
        <v>0.921592356687898</v>
      </c>
      <c r="AO1036" s="112"/>
      <c r="AP1036" s="105" t="n">
        <v>0</v>
      </c>
      <c r="AQ1036" s="105" t="n">
        <v>0</v>
      </c>
      <c r="AR1036" s="105" t="n">
        <v>0</v>
      </c>
      <c r="AS1036" s="105" t="n">
        <v>0</v>
      </c>
      <c r="AT1036" s="105" t="n">
        <v>0</v>
      </c>
      <c r="AU1036" s="105" t="n">
        <v>0</v>
      </c>
      <c r="AV1036" s="105" t="n">
        <v>0</v>
      </c>
      <c r="AW1036" s="105" t="n">
        <v>0</v>
      </c>
      <c r="AX1036" s="105" t="n">
        <v>0</v>
      </c>
      <c r="AY1036" s="105" t="n">
        <v>0</v>
      </c>
      <c r="AZ1036" s="105" t="n">
        <v>0</v>
      </c>
      <c r="BA1036" s="105" t="n">
        <v>0</v>
      </c>
      <c r="BB1036" s="105" t="n">
        <v>0</v>
      </c>
      <c r="BC1036" s="105" t="n">
        <v>0</v>
      </c>
      <c r="BD1036" s="105" t="n">
        <v>0</v>
      </c>
      <c r="BE1036" s="105" t="n">
        <v>0</v>
      </c>
      <c r="BF1036" s="105" t="n">
        <v>0</v>
      </c>
      <c r="BG1036" s="105" t="n">
        <v>0</v>
      </c>
      <c r="BH1036" s="105" t="n">
        <v>0</v>
      </c>
      <c r="BI1036" s="105" t="n">
        <v>0</v>
      </c>
      <c r="BJ1036" s="105" t="n">
        <v>0</v>
      </c>
      <c r="BK1036" s="105" t="n">
        <v>0</v>
      </c>
      <c r="BL1036" s="105" t="n">
        <v>0</v>
      </c>
      <c r="BM1036" s="105" t="n">
        <v>0</v>
      </c>
      <c r="BN1036" s="105" t="n">
        <v>0</v>
      </c>
      <c r="BO1036" s="105" t="n">
        <v>0</v>
      </c>
      <c r="BP1036" s="105" t="n">
        <v>0</v>
      </c>
      <c r="BQ1036" s="105" t="n">
        <v>0</v>
      </c>
      <c r="BR1036" s="106" t="n">
        <v>0</v>
      </c>
      <c r="BS1036" s="106" t="n">
        <v>0</v>
      </c>
      <c r="BT1036" s="107"/>
      <c r="BU1036" s="107"/>
      <c r="BV1036" s="107"/>
      <c r="BW1036" s="107"/>
      <c r="BX1036" s="107"/>
      <c r="BY1036" s="107"/>
      <c r="BZ1036" s="107"/>
      <c r="CA1036" s="107"/>
      <c r="CB1036" s="107"/>
      <c r="CC1036" s="107"/>
      <c r="CD1036" s="107"/>
      <c r="CE1036" s="107"/>
      <c r="CF1036" s="107"/>
      <c r="CG1036" s="107"/>
      <c r="CH1036" s="107"/>
      <c r="CI1036" s="107"/>
      <c r="CJ1036" s="107"/>
      <c r="CK1036" s="107"/>
      <c r="CL1036" s="107"/>
      <c r="CM1036" s="107"/>
      <c r="CN1036" s="107"/>
      <c r="CO1036" s="107"/>
      <c r="CP1036" s="107"/>
      <c r="CQ1036" s="107"/>
      <c r="CR1036" s="107"/>
      <c r="CS1036" s="107"/>
      <c r="CT1036" s="107"/>
      <c r="CU1036" s="107"/>
      <c r="CV1036" s="107"/>
    </row>
    <row r="1037" customFormat="false" ht="14.9" hidden="false" customHeight="false" outlineLevel="0" collapsed="false">
      <c r="A1037" s="74" t="n">
        <f aca="false">MONTH(B1037)</f>
        <v>10</v>
      </c>
      <c r="B1037" s="135" t="n">
        <v>44494</v>
      </c>
      <c r="C1037" s="128" t="s">
        <v>152</v>
      </c>
      <c r="D1037" s="77" t="str">
        <f aca="false">IFERROR(VLOOKUP(E:E,'Item Data Support Sheet'!A:O,7,0),"")</f>
        <v>HOOD MOLDED</v>
      </c>
      <c r="E1037" s="80" t="s">
        <v>529</v>
      </c>
      <c r="F1037" s="122"/>
      <c r="G1037" s="137" t="s">
        <v>740</v>
      </c>
      <c r="H1037" s="79" t="str">
        <f aca="false">IFERROR(VLOOKUP(E:E,'Item Data Support Sheet'!A:O,2,0),"")</f>
        <v>HOOD S TYPE MOLDED</v>
      </c>
      <c r="I1037" s="80" t="s">
        <v>1817</v>
      </c>
      <c r="J1037" s="80" t="s">
        <v>815</v>
      </c>
      <c r="K1037" s="124" t="n">
        <v>8</v>
      </c>
      <c r="L1037" s="124" t="n">
        <v>4137</v>
      </c>
      <c r="M1037" s="83" t="n">
        <v>517.125</v>
      </c>
      <c r="N1037" s="84" t="n">
        <f aca="false">+O1037+Q1037+T1037+U1037</f>
        <v>5029</v>
      </c>
      <c r="O1037" s="85" t="n">
        <v>5000</v>
      </c>
      <c r="P1037" s="86" t="n">
        <v>0</v>
      </c>
      <c r="Q1037" s="86" t="n">
        <v>16</v>
      </c>
      <c r="R1037" s="132" t="n">
        <v>0</v>
      </c>
      <c r="S1037" s="128" t="n">
        <v>0</v>
      </c>
      <c r="T1037" s="132" t="n">
        <v>5</v>
      </c>
      <c r="U1037" s="128" t="n">
        <v>8</v>
      </c>
      <c r="V1037" s="128" t="n">
        <v>1</v>
      </c>
      <c r="W1037" s="90" t="n">
        <f aca="false">IFERROR(O1037/V1037,0)</f>
        <v>5000</v>
      </c>
      <c r="X1037" s="91" t="n">
        <f aca="false">O1037/L1037</f>
        <v>1.20860526951898</v>
      </c>
      <c r="Y1037" s="92" t="str">
        <f aca="false">IFERROR(VLOOKUP(E:E,'Item Data Support Sheet'!A:J,6,0),0)</f>
        <v>HMC</v>
      </c>
      <c r="Z1037" s="93" t="n">
        <f aca="false">IFERROR(VLOOKUP(E:E,'Item Data Support Sheet'!A:O,4,0),0)</f>
        <v>8.6</v>
      </c>
      <c r="AA1037" s="93" t="n">
        <f aca="false">IFERROR(((N1037)*(Z1037/1000))+P1037,0)</f>
        <v>43.2494</v>
      </c>
      <c r="AB1037" s="94" t="n">
        <f aca="false">IFERROR((O1037*(Z1037/1000)/(AA1037))," ")</f>
        <v>0.994233446013124</v>
      </c>
      <c r="AC1037" s="95" t="n">
        <f aca="false">IFERROR((T1037)/((T1037)+O1037),0)</f>
        <v>0.000999000999000999</v>
      </c>
      <c r="AD1037" s="96" t="n">
        <f aca="false">IFERROR(Q1037/(Q1037+N1037),0)</f>
        <v>0.00317145688800793</v>
      </c>
      <c r="AE1037" s="91" t="n">
        <f aca="false">(N1037-T1037)/N1037</f>
        <v>0.999005766553987</v>
      </c>
      <c r="AF1037" s="97" t="n">
        <f aca="false">BR1037</f>
        <v>0</v>
      </c>
      <c r="AG1037" s="98" t="n">
        <f aca="false">K1037-AF1037</f>
        <v>8</v>
      </c>
      <c r="AH1037" s="99" t="n">
        <f aca="false">IFERROR(AG1037/K1037," ")</f>
        <v>1</v>
      </c>
      <c r="AI1037" s="100" t="n">
        <f aca="false">IFERROR(O1037/K1037,0)</f>
        <v>625</v>
      </c>
      <c r="AJ1037" s="101" t="n">
        <f aca="false">VLOOKUP(D1037,'Standard Cycle time'!C:D,2,0)</f>
        <v>6</v>
      </c>
      <c r="AK1037" s="101" t="n">
        <f aca="false">AG1037*V1037*3600/O1037</f>
        <v>5.76</v>
      </c>
      <c r="AL1037" s="102" t="n">
        <f aca="false">AJ1037/AK1037</f>
        <v>1.04166666666667</v>
      </c>
      <c r="AM1037" s="99" t="n">
        <f aca="false">AE1037*AL1037*AH1037</f>
        <v>1.04063100682707</v>
      </c>
      <c r="AN1037" s="103" t="n">
        <v>1.04000901761086</v>
      </c>
      <c r="AO1037" s="112"/>
      <c r="AP1037" s="105" t="n">
        <v>0</v>
      </c>
      <c r="AQ1037" s="105" t="n">
        <v>0</v>
      </c>
      <c r="AR1037" s="105" t="n">
        <v>0</v>
      </c>
      <c r="AS1037" s="105" t="n">
        <v>0</v>
      </c>
      <c r="AT1037" s="105" t="n">
        <v>0</v>
      </c>
      <c r="AU1037" s="105" t="n">
        <v>0</v>
      </c>
      <c r="AV1037" s="105" t="n">
        <v>0</v>
      </c>
      <c r="AW1037" s="105" t="n">
        <v>0</v>
      </c>
      <c r="AX1037" s="105" t="n">
        <v>0</v>
      </c>
      <c r="AY1037" s="105" t="n">
        <v>0</v>
      </c>
      <c r="AZ1037" s="105" t="n">
        <v>0</v>
      </c>
      <c r="BA1037" s="105" t="n">
        <v>0</v>
      </c>
      <c r="BB1037" s="105" t="n">
        <v>0</v>
      </c>
      <c r="BC1037" s="105" t="n">
        <v>0</v>
      </c>
      <c r="BD1037" s="105" t="n">
        <v>0</v>
      </c>
      <c r="BE1037" s="105" t="n">
        <v>0</v>
      </c>
      <c r="BF1037" s="105" t="n">
        <v>0</v>
      </c>
      <c r="BG1037" s="105" t="n">
        <v>0</v>
      </c>
      <c r="BH1037" s="105" t="n">
        <v>0</v>
      </c>
      <c r="BI1037" s="105" t="n">
        <v>0</v>
      </c>
      <c r="BJ1037" s="105" t="n">
        <v>0</v>
      </c>
      <c r="BK1037" s="105" t="n">
        <v>0</v>
      </c>
      <c r="BL1037" s="105" t="n">
        <v>0</v>
      </c>
      <c r="BM1037" s="105" t="n">
        <v>0</v>
      </c>
      <c r="BN1037" s="105" t="n">
        <v>0</v>
      </c>
      <c r="BO1037" s="105" t="n">
        <v>0</v>
      </c>
      <c r="BP1037" s="105" t="n">
        <v>0</v>
      </c>
      <c r="BQ1037" s="105" t="n">
        <v>0</v>
      </c>
      <c r="BR1037" s="106" t="n">
        <v>0</v>
      </c>
      <c r="BS1037" s="106" t="n">
        <v>0</v>
      </c>
      <c r="BT1037" s="107"/>
      <c r="BU1037" s="107"/>
      <c r="BV1037" s="107"/>
      <c r="BW1037" s="107"/>
      <c r="BX1037" s="107"/>
      <c r="BY1037" s="107"/>
      <c r="BZ1037" s="107"/>
      <c r="CA1037" s="107"/>
      <c r="CB1037" s="107"/>
      <c r="CC1037" s="107"/>
      <c r="CD1037" s="107"/>
      <c r="CE1037" s="107"/>
      <c r="CF1037" s="107"/>
      <c r="CG1037" s="107"/>
      <c r="CH1037" s="107"/>
      <c r="CI1037" s="107"/>
      <c r="CJ1037" s="107"/>
      <c r="CK1037" s="107"/>
      <c r="CL1037" s="107"/>
      <c r="CM1037" s="107"/>
      <c r="CN1037" s="107"/>
      <c r="CO1037" s="107"/>
      <c r="CP1037" s="107"/>
      <c r="CQ1037" s="107"/>
      <c r="CR1037" s="107"/>
      <c r="CS1037" s="107"/>
      <c r="CT1037" s="107"/>
      <c r="CU1037" s="107"/>
      <c r="CV1037" s="107"/>
    </row>
    <row r="1038" customFormat="false" ht="14.9" hidden="false" customHeight="false" outlineLevel="0" collapsed="false">
      <c r="A1038" s="74" t="n">
        <f aca="false">MONTH(B1038)</f>
        <v>10</v>
      </c>
      <c r="B1038" s="135" t="n">
        <v>44494</v>
      </c>
      <c r="C1038" s="128" t="s">
        <v>152</v>
      </c>
      <c r="D1038" s="77" t="str">
        <f aca="false">IFERROR(VLOOKUP(E:E,'Item Data Support Sheet'!A:O,7,0),"")</f>
        <v>NIPPLE MOLDED</v>
      </c>
      <c r="E1038" s="80" t="s">
        <v>244</v>
      </c>
      <c r="F1038" s="122" t="s">
        <v>137</v>
      </c>
      <c r="G1038" s="137" t="s">
        <v>138</v>
      </c>
      <c r="H1038" s="79" t="str">
        <f aca="false">IFERROR(VLOOKUP(E:E,'Item Data Support Sheet'!A:O,2,0),"")</f>
        <v>NIPPLE S TYPE S SIZE INJECTION</v>
      </c>
      <c r="I1038" s="80" t="s">
        <v>1818</v>
      </c>
      <c r="J1038" s="80" t="s">
        <v>815</v>
      </c>
      <c r="K1038" s="124" t="n">
        <v>8</v>
      </c>
      <c r="L1038" s="124" t="n">
        <v>4815</v>
      </c>
      <c r="M1038" s="83" t="n">
        <v>601.875</v>
      </c>
      <c r="N1038" s="84" t="n">
        <f aca="false">+O1038+Q1038+T1038+U1038</f>
        <v>5127</v>
      </c>
      <c r="O1038" s="85" t="n">
        <v>5000</v>
      </c>
      <c r="P1038" s="86" t="n">
        <v>0</v>
      </c>
      <c r="Q1038" s="86" t="n">
        <v>34</v>
      </c>
      <c r="R1038" s="132" t="n">
        <v>0</v>
      </c>
      <c r="S1038" s="128" t="n">
        <v>0</v>
      </c>
      <c r="T1038" s="132" t="n">
        <v>77</v>
      </c>
      <c r="U1038" s="128" t="n">
        <v>16</v>
      </c>
      <c r="V1038" s="128" t="n">
        <v>1</v>
      </c>
      <c r="W1038" s="90" t="n">
        <f aca="false">IFERROR(O1038/V1038,0)</f>
        <v>5000</v>
      </c>
      <c r="X1038" s="91" t="n">
        <f aca="false">O1038/L1038</f>
        <v>1.03842159916926</v>
      </c>
      <c r="Y1038" s="92" t="str">
        <f aca="false">IFERROR(VLOOKUP(E:E,'Item Data Support Sheet'!A:J,6,0),0)</f>
        <v>Silicon</v>
      </c>
      <c r="Z1038" s="93" t="n">
        <f aca="false">IFERROR(VLOOKUP(E:E,'Item Data Support Sheet'!A:O,4,0),0)</f>
        <v>6.8</v>
      </c>
      <c r="AA1038" s="93" t="n">
        <f aca="false">IFERROR(((N1038)*(Z1038/1000))+P1038,0)</f>
        <v>34.8636</v>
      </c>
      <c r="AB1038" s="94" t="n">
        <f aca="false">IFERROR((O1038*(Z1038/1000)/(AA1038))," ")</f>
        <v>0.975229178857031</v>
      </c>
      <c r="AC1038" s="95" t="n">
        <f aca="false">IFERROR((T1038)/((T1038)+O1038),0)</f>
        <v>0.0151664368721686</v>
      </c>
      <c r="AD1038" s="96" t="n">
        <f aca="false">IFERROR(Q1038/(Q1038+N1038),0)</f>
        <v>0.00658787056771943</v>
      </c>
      <c r="AE1038" s="91" t="n">
        <f aca="false">(N1038-T1038)/N1038</f>
        <v>0.984981470645602</v>
      </c>
      <c r="AF1038" s="97" t="n">
        <f aca="false">BR1038</f>
        <v>0</v>
      </c>
      <c r="AG1038" s="98" t="n">
        <f aca="false">K1038-AF1038</f>
        <v>8</v>
      </c>
      <c r="AH1038" s="99" t="n">
        <f aca="false">IFERROR(AG1038/K1038," ")</f>
        <v>1</v>
      </c>
      <c r="AI1038" s="100" t="n">
        <f aca="false">IFERROR(O1038/K1038,0)</f>
        <v>625</v>
      </c>
      <c r="AJ1038" s="101" t="n">
        <f aca="false">VLOOKUP(D1038,'Standard Cycle time'!C:D,2,0)</f>
        <v>5.25</v>
      </c>
      <c r="AK1038" s="101" t="n">
        <f aca="false">AG1038*V1038*3600/O1038</f>
        <v>5.76</v>
      </c>
      <c r="AL1038" s="102" t="n">
        <f aca="false">AJ1038/AK1038</f>
        <v>0.911458333333333</v>
      </c>
      <c r="AM1038" s="99" t="n">
        <f aca="false">AE1038*AL1038*AH1038</f>
        <v>0.897769569598856</v>
      </c>
      <c r="AN1038" s="103" t="n">
        <v>0.897502816994764</v>
      </c>
      <c r="AO1038" s="112"/>
      <c r="AP1038" s="105" t="n">
        <v>0</v>
      </c>
      <c r="AQ1038" s="105" t="n">
        <v>0</v>
      </c>
      <c r="AR1038" s="105" t="n">
        <v>0</v>
      </c>
      <c r="AS1038" s="105" t="n">
        <v>0</v>
      </c>
      <c r="AT1038" s="105" t="n">
        <v>0</v>
      </c>
      <c r="AU1038" s="105" t="n">
        <v>0</v>
      </c>
      <c r="AV1038" s="105" t="n">
        <v>0</v>
      </c>
      <c r="AW1038" s="105" t="n">
        <v>0</v>
      </c>
      <c r="AX1038" s="105" t="n">
        <v>0</v>
      </c>
      <c r="AY1038" s="105" t="n">
        <v>0</v>
      </c>
      <c r="AZ1038" s="105" t="n">
        <v>0</v>
      </c>
      <c r="BA1038" s="105" t="n">
        <v>0</v>
      </c>
      <c r="BB1038" s="105" t="n">
        <v>0</v>
      </c>
      <c r="BC1038" s="105" t="n">
        <v>0</v>
      </c>
      <c r="BD1038" s="105" t="n">
        <v>0</v>
      </c>
      <c r="BE1038" s="105" t="n">
        <v>0</v>
      </c>
      <c r="BF1038" s="105" t="n">
        <v>0</v>
      </c>
      <c r="BG1038" s="105" t="n">
        <v>0</v>
      </c>
      <c r="BH1038" s="105" t="n">
        <v>0</v>
      </c>
      <c r="BI1038" s="105" t="n">
        <v>0</v>
      </c>
      <c r="BJ1038" s="105" t="n">
        <v>0</v>
      </c>
      <c r="BK1038" s="105" t="n">
        <v>0</v>
      </c>
      <c r="BL1038" s="105" t="n">
        <v>0</v>
      </c>
      <c r="BM1038" s="105" t="n">
        <v>0</v>
      </c>
      <c r="BN1038" s="105" t="n">
        <v>0</v>
      </c>
      <c r="BO1038" s="105" t="n">
        <v>0</v>
      </c>
      <c r="BP1038" s="105" t="n">
        <v>0</v>
      </c>
      <c r="BQ1038" s="105" t="n">
        <v>0</v>
      </c>
      <c r="BR1038" s="106" t="n">
        <v>0</v>
      </c>
      <c r="BS1038" s="106" t="n">
        <v>0</v>
      </c>
      <c r="BT1038" s="107"/>
      <c r="BU1038" s="107"/>
      <c r="BV1038" s="107"/>
      <c r="BW1038" s="107"/>
      <c r="BX1038" s="107"/>
      <c r="BY1038" s="107"/>
      <c r="BZ1038" s="107"/>
      <c r="CA1038" s="107"/>
      <c r="CB1038" s="107"/>
      <c r="CC1038" s="107"/>
      <c r="CD1038" s="107"/>
      <c r="CE1038" s="107"/>
      <c r="CF1038" s="107"/>
      <c r="CG1038" s="107"/>
      <c r="CH1038" s="107"/>
      <c r="CI1038" s="107"/>
      <c r="CJ1038" s="107"/>
      <c r="CK1038" s="107"/>
      <c r="CL1038" s="107"/>
      <c r="CM1038" s="107"/>
      <c r="CN1038" s="107"/>
      <c r="CO1038" s="107"/>
      <c r="CP1038" s="107"/>
      <c r="CQ1038" s="107"/>
      <c r="CR1038" s="107"/>
      <c r="CS1038" s="107"/>
      <c r="CT1038" s="107"/>
      <c r="CU1038" s="107"/>
      <c r="CV1038" s="107"/>
    </row>
    <row r="1039" customFormat="false" ht="14.9" hidden="false" customHeight="false" outlineLevel="0" collapsed="false">
      <c r="A1039" s="74" t="n">
        <f aca="false">MONTH(B1039)</f>
        <v>10</v>
      </c>
      <c r="B1039" s="135" t="n">
        <v>44495</v>
      </c>
      <c r="C1039" s="128" t="s">
        <v>51</v>
      </c>
      <c r="D1039" s="77" t="str">
        <f aca="false">IFERROR(VLOOKUP(E:E,'Item Data Support Sheet'!A:O,7,0),"")</f>
        <v>BOTTLE MOLDED</v>
      </c>
      <c r="E1039" s="80" t="s">
        <v>69</v>
      </c>
      <c r="F1039" s="122" t="s">
        <v>73</v>
      </c>
      <c r="G1039" s="137" t="s">
        <v>74</v>
      </c>
      <c r="H1039" s="79" t="str">
        <f aca="false">IFERROR(VLOOKUP(E:E,'Item Data Support Sheet'!A:O,2,0),"")</f>
        <v>KPP 240 ML BOTTLE MOLDED</v>
      </c>
      <c r="I1039" s="80" t="s">
        <v>1819</v>
      </c>
      <c r="J1039" s="80" t="s">
        <v>815</v>
      </c>
      <c r="K1039" s="124" t="n">
        <v>8</v>
      </c>
      <c r="L1039" s="124" t="n">
        <v>2574</v>
      </c>
      <c r="M1039" s="83" t="n">
        <v>321.75</v>
      </c>
      <c r="N1039" s="84" t="n">
        <f aca="false">+O1039+Q1039+T1039+U1039</f>
        <v>3344</v>
      </c>
      <c r="O1039" s="85" t="n">
        <v>3240</v>
      </c>
      <c r="P1039" s="86" t="n">
        <v>0.2</v>
      </c>
      <c r="Q1039" s="86" t="n">
        <v>20</v>
      </c>
      <c r="R1039" s="132" t="n">
        <v>0</v>
      </c>
      <c r="S1039" s="128" t="n">
        <v>0</v>
      </c>
      <c r="T1039" s="132" t="n">
        <v>76</v>
      </c>
      <c r="U1039" s="128" t="n">
        <v>8</v>
      </c>
      <c r="V1039" s="128" t="n">
        <v>1</v>
      </c>
      <c r="W1039" s="90" t="n">
        <f aca="false">IFERROR(O1039/V1039,0)</f>
        <v>3240</v>
      </c>
      <c r="X1039" s="91" t="n">
        <f aca="false">O1039/L1039</f>
        <v>1.25874125874126</v>
      </c>
      <c r="Y1039" s="92" t="str">
        <f aca="false">IFERROR(VLOOKUP(E:E,'Item Data Support Sheet'!A:J,6,0),0)</f>
        <v>HMC</v>
      </c>
      <c r="Z1039" s="93" t="n">
        <f aca="false">IFERROR(VLOOKUP(E:E,'Item Data Support Sheet'!A:O,4,0),0)</f>
        <v>32.1</v>
      </c>
      <c r="AA1039" s="93" t="n">
        <f aca="false">IFERROR(((N1039)*(Z1039/1000))+P1039,0)</f>
        <v>107.5424</v>
      </c>
      <c r="AB1039" s="94" t="n">
        <f aca="false">IFERROR((O1039*(Z1039/1000)/(AA1039))," ")</f>
        <v>0.967097628470259</v>
      </c>
      <c r="AC1039" s="95" t="n">
        <f aca="false">IFERROR((T1039)/((T1039)+O1039),0)</f>
        <v>0.02291917973462</v>
      </c>
      <c r="AD1039" s="96" t="n">
        <f aca="false">IFERROR(Q1039/(Q1039+N1039),0)</f>
        <v>0.00594530321046373</v>
      </c>
      <c r="AE1039" s="91" t="n">
        <f aca="false">(N1039-T1039)/N1039</f>
        <v>0.977272727272727</v>
      </c>
      <c r="AF1039" s="97" t="n">
        <f aca="false">BR1039</f>
        <v>0</v>
      </c>
      <c r="AG1039" s="98" t="n">
        <f aca="false">K1039-AF1039</f>
        <v>8</v>
      </c>
      <c r="AH1039" s="99" t="n">
        <f aca="false">IFERROR(AG1039/K1039," ")</f>
        <v>1</v>
      </c>
      <c r="AI1039" s="100" t="n">
        <f aca="false">IFERROR(O1039/K1039,0)</f>
        <v>405</v>
      </c>
      <c r="AJ1039" s="101" t="n">
        <f aca="false">VLOOKUP(D1039,'Standard Cycle time'!C:D,2,0)</f>
        <v>9</v>
      </c>
      <c r="AK1039" s="101" t="n">
        <f aca="false">AG1039*V1039*3600/O1039</f>
        <v>8.88888888888889</v>
      </c>
      <c r="AL1039" s="102" t="n">
        <f aca="false">AJ1039/AK1039</f>
        <v>1.0125</v>
      </c>
      <c r="AM1039" s="99" t="n">
        <f aca="false">AE1039*AL1039*AH1039</f>
        <v>0.989488636363636</v>
      </c>
      <c r="AN1039" s="103" t="n">
        <v>0.99749122293739</v>
      </c>
      <c r="AO1039" s="112"/>
      <c r="AP1039" s="105" t="n">
        <v>0</v>
      </c>
      <c r="AQ1039" s="105" t="n">
        <v>0</v>
      </c>
      <c r="AR1039" s="105" t="n">
        <v>0</v>
      </c>
      <c r="AS1039" s="105" t="n">
        <v>0</v>
      </c>
      <c r="AT1039" s="105" t="n">
        <v>0</v>
      </c>
      <c r="AU1039" s="105" t="n">
        <v>0</v>
      </c>
      <c r="AV1039" s="105" t="n">
        <v>0</v>
      </c>
      <c r="AW1039" s="105" t="n">
        <v>0</v>
      </c>
      <c r="AX1039" s="105" t="n">
        <v>0</v>
      </c>
      <c r="AY1039" s="105" t="n">
        <v>0</v>
      </c>
      <c r="AZ1039" s="105" t="n">
        <v>0</v>
      </c>
      <c r="BA1039" s="105" t="n">
        <v>0</v>
      </c>
      <c r="BB1039" s="105" t="n">
        <v>0</v>
      </c>
      <c r="BC1039" s="105" t="n">
        <v>0</v>
      </c>
      <c r="BD1039" s="105" t="n">
        <v>0</v>
      </c>
      <c r="BE1039" s="105" t="n">
        <v>0</v>
      </c>
      <c r="BF1039" s="105" t="n">
        <v>0</v>
      </c>
      <c r="BG1039" s="105" t="n">
        <v>0</v>
      </c>
      <c r="BH1039" s="105" t="n">
        <v>0</v>
      </c>
      <c r="BI1039" s="105" t="n">
        <v>0</v>
      </c>
      <c r="BJ1039" s="105" t="n">
        <v>0</v>
      </c>
      <c r="BK1039" s="105" t="n">
        <v>0</v>
      </c>
      <c r="BL1039" s="105" t="n">
        <v>0</v>
      </c>
      <c r="BM1039" s="105" t="n">
        <v>0</v>
      </c>
      <c r="BN1039" s="105" t="n">
        <v>0</v>
      </c>
      <c r="BO1039" s="105" t="n">
        <v>0</v>
      </c>
      <c r="BP1039" s="105" t="n">
        <v>0</v>
      </c>
      <c r="BQ1039" s="105" t="n">
        <v>0</v>
      </c>
      <c r="BR1039" s="106" t="n">
        <v>0</v>
      </c>
      <c r="BS1039" s="106" t="n">
        <v>0</v>
      </c>
      <c r="BT1039" s="107"/>
      <c r="BU1039" s="107"/>
      <c r="BV1039" s="107"/>
      <c r="BW1039" s="107"/>
      <c r="BX1039" s="107"/>
      <c r="BY1039" s="107"/>
      <c r="BZ1039" s="107"/>
      <c r="CA1039" s="107"/>
      <c r="CB1039" s="107"/>
      <c r="CC1039" s="107"/>
      <c r="CD1039" s="107"/>
      <c r="CE1039" s="107"/>
      <c r="CF1039" s="107"/>
      <c r="CG1039" s="107"/>
      <c r="CH1039" s="107"/>
      <c r="CI1039" s="107"/>
      <c r="CJ1039" s="107"/>
      <c r="CK1039" s="107"/>
      <c r="CL1039" s="107"/>
      <c r="CM1039" s="107"/>
      <c r="CN1039" s="107"/>
      <c r="CO1039" s="107"/>
      <c r="CP1039" s="107"/>
      <c r="CQ1039" s="107"/>
      <c r="CR1039" s="107"/>
      <c r="CS1039" s="107"/>
      <c r="CT1039" s="107"/>
      <c r="CU1039" s="107"/>
      <c r="CV1039" s="107"/>
    </row>
    <row r="1040" customFormat="false" ht="14.9" hidden="false" customHeight="false" outlineLevel="0" collapsed="false">
      <c r="A1040" s="74" t="n">
        <f aca="false">MONTH(B1040)</f>
        <v>10</v>
      </c>
      <c r="B1040" s="135" t="n">
        <v>44495</v>
      </c>
      <c r="C1040" s="128" t="s">
        <v>51</v>
      </c>
      <c r="D1040" s="77" t="str">
        <f aca="false">IFERROR(VLOOKUP(E:E,'Item Data Support Sheet'!A:O,7,0),"")</f>
        <v>NIPPLE MOLDED</v>
      </c>
      <c r="E1040" s="80" t="s">
        <v>244</v>
      </c>
      <c r="F1040" s="122" t="s">
        <v>137</v>
      </c>
      <c r="G1040" s="137" t="s">
        <v>138</v>
      </c>
      <c r="H1040" s="79" t="str">
        <f aca="false">IFERROR(VLOOKUP(E:E,'Item Data Support Sheet'!A:O,2,0),"")</f>
        <v>NIPPLE S TYPE S SIZE INJECTION</v>
      </c>
      <c r="I1040" s="80" t="s">
        <v>1820</v>
      </c>
      <c r="J1040" s="80" t="s">
        <v>815</v>
      </c>
      <c r="K1040" s="124" t="n">
        <v>8</v>
      </c>
      <c r="L1040" s="124" t="n">
        <v>4815</v>
      </c>
      <c r="M1040" s="83" t="n">
        <v>601.875</v>
      </c>
      <c r="N1040" s="84" t="n">
        <f aca="false">+O1040+Q1040+T1040+U1040</f>
        <v>4870</v>
      </c>
      <c r="O1040" s="85" t="n">
        <v>4750</v>
      </c>
      <c r="P1040" s="86" t="n">
        <v>0</v>
      </c>
      <c r="Q1040" s="86" t="n">
        <v>50</v>
      </c>
      <c r="R1040" s="132" t="n">
        <v>0</v>
      </c>
      <c r="S1040" s="128" t="n">
        <v>0</v>
      </c>
      <c r="T1040" s="132" t="n">
        <v>62</v>
      </c>
      <c r="U1040" s="128" t="n">
        <v>8</v>
      </c>
      <c r="V1040" s="128" t="n">
        <v>1</v>
      </c>
      <c r="W1040" s="90" t="n">
        <f aca="false">IFERROR(O1040/V1040,0)</f>
        <v>4750</v>
      </c>
      <c r="X1040" s="91" t="n">
        <f aca="false">O1040/L1040</f>
        <v>0.9865005192108</v>
      </c>
      <c r="Y1040" s="92" t="str">
        <f aca="false">IFERROR(VLOOKUP(E:E,'Item Data Support Sheet'!A:J,6,0),0)</f>
        <v>Silicon</v>
      </c>
      <c r="Z1040" s="93" t="n">
        <f aca="false">IFERROR(VLOOKUP(E:E,'Item Data Support Sheet'!A:O,4,0),0)</f>
        <v>6.8</v>
      </c>
      <c r="AA1040" s="93" t="n">
        <f aca="false">IFERROR(((N1040)*(Z1040/1000))+P1040,0)</f>
        <v>33.116</v>
      </c>
      <c r="AB1040" s="94" t="n">
        <f aca="false">IFERROR((O1040*(Z1040/1000)/(AA1040))," ")</f>
        <v>0.975359342915811</v>
      </c>
      <c r="AC1040" s="95" t="n">
        <f aca="false">IFERROR((T1040)/((T1040)+O1040),0)</f>
        <v>0.012884455527847</v>
      </c>
      <c r="AD1040" s="96" t="n">
        <f aca="false">IFERROR(Q1040/(Q1040+N1040),0)</f>
        <v>0.0101626016260163</v>
      </c>
      <c r="AE1040" s="91" t="n">
        <f aca="false">(N1040-T1040)/N1040</f>
        <v>0.987268993839836</v>
      </c>
      <c r="AF1040" s="97" t="n">
        <f aca="false">BR1040</f>
        <v>0</v>
      </c>
      <c r="AG1040" s="98" t="n">
        <f aca="false">K1040-AF1040</f>
        <v>8</v>
      </c>
      <c r="AH1040" s="99" t="n">
        <f aca="false">IFERROR(AG1040/K1040," ")</f>
        <v>1</v>
      </c>
      <c r="AI1040" s="100" t="n">
        <f aca="false">IFERROR(O1040/K1040,0)</f>
        <v>593.75</v>
      </c>
      <c r="AJ1040" s="101" t="n">
        <f aca="false">VLOOKUP(D1040,'Standard Cycle time'!C:D,2,0)</f>
        <v>5.25</v>
      </c>
      <c r="AK1040" s="101" t="n">
        <f aca="false">AG1040*V1040*3600/O1040</f>
        <v>6.06315789473684</v>
      </c>
      <c r="AL1040" s="102" t="n">
        <f aca="false">AJ1040/AK1040</f>
        <v>0.865885416666667</v>
      </c>
      <c r="AM1040" s="99" t="n">
        <f aca="false">AE1040*AL1040*AH1040</f>
        <v>0.854861824093087</v>
      </c>
      <c r="AN1040" s="103" t="n">
        <v>0.849831321022727</v>
      </c>
      <c r="AO1040" s="112"/>
      <c r="AP1040" s="105" t="n">
        <v>0</v>
      </c>
      <c r="AQ1040" s="105" t="n">
        <v>0</v>
      </c>
      <c r="AR1040" s="105" t="n">
        <v>0</v>
      </c>
      <c r="AS1040" s="105" t="n">
        <v>0</v>
      </c>
      <c r="AT1040" s="105" t="n">
        <v>0</v>
      </c>
      <c r="AU1040" s="105" t="n">
        <v>0</v>
      </c>
      <c r="AV1040" s="105" t="n">
        <v>0</v>
      </c>
      <c r="AW1040" s="105" t="n">
        <v>0</v>
      </c>
      <c r="AX1040" s="105" t="n">
        <v>0</v>
      </c>
      <c r="AY1040" s="105" t="n">
        <v>0</v>
      </c>
      <c r="AZ1040" s="105" t="n">
        <v>0</v>
      </c>
      <c r="BA1040" s="105" t="n">
        <v>0</v>
      </c>
      <c r="BB1040" s="105" t="n">
        <v>0</v>
      </c>
      <c r="BC1040" s="105" t="n">
        <v>0</v>
      </c>
      <c r="BD1040" s="105" t="n">
        <v>0</v>
      </c>
      <c r="BE1040" s="105" t="n">
        <v>0</v>
      </c>
      <c r="BF1040" s="105" t="n">
        <v>0</v>
      </c>
      <c r="BG1040" s="105" t="n">
        <v>0</v>
      </c>
      <c r="BH1040" s="105" t="n">
        <v>0</v>
      </c>
      <c r="BI1040" s="105" t="n">
        <v>0</v>
      </c>
      <c r="BJ1040" s="105" t="n">
        <v>0</v>
      </c>
      <c r="BK1040" s="105" t="n">
        <v>0</v>
      </c>
      <c r="BL1040" s="105" t="n">
        <v>0</v>
      </c>
      <c r="BM1040" s="105" t="n">
        <v>0</v>
      </c>
      <c r="BN1040" s="105" t="n">
        <v>0</v>
      </c>
      <c r="BO1040" s="105" t="n">
        <v>0</v>
      </c>
      <c r="BP1040" s="105" t="n">
        <v>0</v>
      </c>
      <c r="BQ1040" s="105" t="n">
        <v>0</v>
      </c>
      <c r="BR1040" s="106" t="n">
        <v>0</v>
      </c>
      <c r="BS1040" s="106" t="n">
        <v>0</v>
      </c>
      <c r="BT1040" s="107"/>
      <c r="BU1040" s="107"/>
      <c r="BV1040" s="107"/>
      <c r="BW1040" s="107"/>
      <c r="BX1040" s="107"/>
      <c r="BY1040" s="107"/>
      <c r="BZ1040" s="107"/>
      <c r="CA1040" s="107"/>
      <c r="CB1040" s="107"/>
      <c r="CC1040" s="107"/>
      <c r="CD1040" s="107"/>
      <c r="CE1040" s="107"/>
      <c r="CF1040" s="107"/>
      <c r="CG1040" s="107"/>
      <c r="CH1040" s="107"/>
      <c r="CI1040" s="107"/>
      <c r="CJ1040" s="107"/>
      <c r="CK1040" s="107"/>
      <c r="CL1040" s="107"/>
      <c r="CM1040" s="107"/>
      <c r="CN1040" s="107"/>
      <c r="CO1040" s="107"/>
      <c r="CP1040" s="107"/>
      <c r="CQ1040" s="107"/>
      <c r="CR1040" s="107"/>
      <c r="CS1040" s="107"/>
      <c r="CT1040" s="107"/>
      <c r="CU1040" s="107"/>
      <c r="CV1040" s="107"/>
    </row>
    <row r="1041" customFormat="false" ht="14.9" hidden="false" customHeight="false" outlineLevel="0" collapsed="false">
      <c r="A1041" s="74" t="n">
        <f aca="false">MONTH(B1041)</f>
        <v>10</v>
      </c>
      <c r="B1041" s="135" t="n">
        <v>44495</v>
      </c>
      <c r="C1041" s="128" t="s">
        <v>51</v>
      </c>
      <c r="D1041" s="77" t="str">
        <f aca="false">IFERROR(VLOOKUP(E:E,'Item Data Support Sheet'!A:O,7,0),"")</f>
        <v>HOOD MOLDED</v>
      </c>
      <c r="E1041" s="80" t="s">
        <v>529</v>
      </c>
      <c r="F1041" s="122"/>
      <c r="G1041" s="137" t="s">
        <v>740</v>
      </c>
      <c r="H1041" s="79" t="str">
        <f aca="false">IFERROR(VLOOKUP(E:E,'Item Data Support Sheet'!A:O,2,0),"")</f>
        <v>HOOD S TYPE MOLDED</v>
      </c>
      <c r="I1041" s="80" t="s">
        <v>1821</v>
      </c>
      <c r="J1041" s="80" t="s">
        <v>815</v>
      </c>
      <c r="K1041" s="124" t="n">
        <v>8</v>
      </c>
      <c r="L1041" s="124" t="n">
        <v>4137</v>
      </c>
      <c r="M1041" s="83" t="n">
        <v>517.125</v>
      </c>
      <c r="N1041" s="84" t="n">
        <f aca="false">+O1041+Q1041+T1041+U1041</f>
        <v>5010</v>
      </c>
      <c r="O1041" s="85" t="n">
        <v>5000</v>
      </c>
      <c r="P1041" s="86" t="n">
        <v>0</v>
      </c>
      <c r="Q1041" s="86" t="n">
        <v>0</v>
      </c>
      <c r="R1041" s="132" t="n">
        <v>0</v>
      </c>
      <c r="S1041" s="128" t="n">
        <v>0</v>
      </c>
      <c r="T1041" s="132" t="n">
        <v>2</v>
      </c>
      <c r="U1041" s="128" t="n">
        <v>8</v>
      </c>
      <c r="V1041" s="128" t="n">
        <v>1</v>
      </c>
      <c r="W1041" s="90" t="n">
        <f aca="false">IFERROR(O1041/V1041,0)</f>
        <v>5000</v>
      </c>
      <c r="X1041" s="91" t="n">
        <f aca="false">O1041/L1041</f>
        <v>1.20860526951898</v>
      </c>
      <c r="Y1041" s="92" t="str">
        <f aca="false">IFERROR(VLOOKUP(E:E,'Item Data Support Sheet'!A:J,6,0),0)</f>
        <v>HMC</v>
      </c>
      <c r="Z1041" s="93" t="n">
        <f aca="false">IFERROR(VLOOKUP(E:E,'Item Data Support Sheet'!A:O,4,0),0)</f>
        <v>8.6</v>
      </c>
      <c r="AA1041" s="93" t="n">
        <f aca="false">IFERROR(((N1041)*(Z1041/1000))+P1041,0)</f>
        <v>43.086</v>
      </c>
      <c r="AB1041" s="94" t="n">
        <f aca="false">IFERROR((O1041*(Z1041/1000)/(AA1041))," ")</f>
        <v>0.998003992015968</v>
      </c>
      <c r="AC1041" s="95" t="n">
        <f aca="false">IFERROR((T1041)/((T1041)+O1041),0)</f>
        <v>0.00039984006397441</v>
      </c>
      <c r="AD1041" s="96" t="n">
        <f aca="false">IFERROR(Q1041/(Q1041+N1041),0)</f>
        <v>0</v>
      </c>
      <c r="AE1041" s="91" t="n">
        <f aca="false">(N1041-T1041)/N1041</f>
        <v>0.999600798403194</v>
      </c>
      <c r="AF1041" s="97" t="n">
        <f aca="false">BR1041</f>
        <v>0</v>
      </c>
      <c r="AG1041" s="98" t="n">
        <f aca="false">K1041-AF1041</f>
        <v>8</v>
      </c>
      <c r="AH1041" s="99" t="n">
        <f aca="false">IFERROR(AG1041/K1041," ")</f>
        <v>1</v>
      </c>
      <c r="AI1041" s="100" t="n">
        <f aca="false">IFERROR(O1041/K1041,0)</f>
        <v>625</v>
      </c>
      <c r="AJ1041" s="101" t="n">
        <f aca="false">VLOOKUP(D1041,'Standard Cycle time'!C:D,2,0)</f>
        <v>6</v>
      </c>
      <c r="AK1041" s="101" t="n">
        <f aca="false">AG1041*V1041*3600/O1041</f>
        <v>5.76</v>
      </c>
      <c r="AL1041" s="102" t="n">
        <f aca="false">AJ1041/AK1041</f>
        <v>1.04166666666667</v>
      </c>
      <c r="AM1041" s="99" t="n">
        <f aca="false">AE1041*AL1041*AH1041</f>
        <v>1.04125083166999</v>
      </c>
      <c r="AN1041" s="103" t="n">
        <v>1.04123887748118</v>
      </c>
      <c r="AO1041" s="112"/>
      <c r="AP1041" s="105" t="n">
        <v>0</v>
      </c>
      <c r="AQ1041" s="105" t="n">
        <v>0</v>
      </c>
      <c r="AR1041" s="105" t="n">
        <v>0</v>
      </c>
      <c r="AS1041" s="105" t="n">
        <v>0</v>
      </c>
      <c r="AT1041" s="105" t="n">
        <v>0</v>
      </c>
      <c r="AU1041" s="105" t="n">
        <v>0</v>
      </c>
      <c r="AV1041" s="105" t="n">
        <v>0</v>
      </c>
      <c r="AW1041" s="105" t="n">
        <v>0</v>
      </c>
      <c r="AX1041" s="105" t="n">
        <v>0</v>
      </c>
      <c r="AY1041" s="105" t="n">
        <v>0</v>
      </c>
      <c r="AZ1041" s="105" t="n">
        <v>0</v>
      </c>
      <c r="BA1041" s="105" t="n">
        <v>0</v>
      </c>
      <c r="BB1041" s="105" t="n">
        <v>0</v>
      </c>
      <c r="BC1041" s="105" t="n">
        <v>0</v>
      </c>
      <c r="BD1041" s="105" t="n">
        <v>0</v>
      </c>
      <c r="BE1041" s="105" t="n">
        <v>0</v>
      </c>
      <c r="BF1041" s="105" t="n">
        <v>0</v>
      </c>
      <c r="BG1041" s="105" t="n">
        <v>0</v>
      </c>
      <c r="BH1041" s="105" t="n">
        <v>0</v>
      </c>
      <c r="BI1041" s="105" t="n">
        <v>0</v>
      </c>
      <c r="BJ1041" s="105" t="n">
        <v>0</v>
      </c>
      <c r="BK1041" s="105" t="n">
        <v>0</v>
      </c>
      <c r="BL1041" s="105" t="n">
        <v>0</v>
      </c>
      <c r="BM1041" s="105" t="n">
        <v>0</v>
      </c>
      <c r="BN1041" s="105" t="n">
        <v>0</v>
      </c>
      <c r="BO1041" s="105" t="n">
        <v>0</v>
      </c>
      <c r="BP1041" s="105" t="n">
        <v>0</v>
      </c>
      <c r="BQ1041" s="105" t="n">
        <v>0</v>
      </c>
      <c r="BR1041" s="106" t="n">
        <v>0</v>
      </c>
      <c r="BS1041" s="106" t="n">
        <v>0</v>
      </c>
      <c r="BT1041" s="107"/>
      <c r="BU1041" s="107"/>
      <c r="BV1041" s="107"/>
      <c r="BW1041" s="107"/>
      <c r="BX1041" s="107"/>
      <c r="BY1041" s="107"/>
      <c r="BZ1041" s="107"/>
      <c r="CA1041" s="107"/>
      <c r="CB1041" s="107"/>
      <c r="CC1041" s="107"/>
      <c r="CD1041" s="107"/>
      <c r="CE1041" s="107"/>
      <c r="CF1041" s="107"/>
      <c r="CG1041" s="107"/>
      <c r="CH1041" s="107"/>
      <c r="CI1041" s="107"/>
      <c r="CJ1041" s="107"/>
      <c r="CK1041" s="107"/>
      <c r="CL1041" s="107"/>
      <c r="CM1041" s="107"/>
      <c r="CN1041" s="107"/>
      <c r="CO1041" s="107"/>
      <c r="CP1041" s="107"/>
      <c r="CQ1041" s="107"/>
      <c r="CR1041" s="107"/>
      <c r="CS1041" s="107"/>
      <c r="CT1041" s="107"/>
      <c r="CU1041" s="107"/>
      <c r="CV1041" s="107"/>
    </row>
    <row r="1042" customFormat="false" ht="14.9" hidden="false" customHeight="false" outlineLevel="0" collapsed="false">
      <c r="A1042" s="74" t="n">
        <f aca="false">MONTH(B1042)</f>
        <v>10</v>
      </c>
      <c r="B1042" s="135" t="n">
        <v>44495</v>
      </c>
      <c r="C1042" s="128" t="s">
        <v>51</v>
      </c>
      <c r="D1042" s="77" t="str">
        <f aca="false">IFERROR(VLOOKUP(E:E,'Item Data Support Sheet'!A:O,7,0),"")</f>
        <v>NIPPLE PUNCH</v>
      </c>
      <c r="E1042" s="80" t="s">
        <v>53</v>
      </c>
      <c r="F1042" s="122"/>
      <c r="G1042" s="137" t="s">
        <v>54</v>
      </c>
      <c r="H1042" s="79" t="str">
        <f aca="false">IFERROR(VLOOKUP(E:E,'Item Data Support Sheet'!A:O,2,0),"")</f>
        <v>NIPPLE S TYPE S SIZE PUNCHED</v>
      </c>
      <c r="I1042" s="80" t="s">
        <v>1822</v>
      </c>
      <c r="J1042" s="80" t="s">
        <v>815</v>
      </c>
      <c r="K1042" s="124" t="n">
        <v>8</v>
      </c>
      <c r="L1042" s="124" t="n">
        <v>7000</v>
      </c>
      <c r="M1042" s="83" t="n">
        <v>875</v>
      </c>
      <c r="N1042" s="84" t="n">
        <f aca="false">+O1042+Q1042+T1042+U1042</f>
        <v>7000</v>
      </c>
      <c r="O1042" s="85" t="n">
        <v>7000</v>
      </c>
      <c r="P1042" s="86" t="n">
        <v>0</v>
      </c>
      <c r="Q1042" s="86" t="n">
        <v>0</v>
      </c>
      <c r="R1042" s="132" t="n">
        <v>0</v>
      </c>
      <c r="S1042" s="128" t="n">
        <v>0</v>
      </c>
      <c r="T1042" s="132" t="n">
        <v>0</v>
      </c>
      <c r="U1042" s="128" t="n">
        <v>0</v>
      </c>
      <c r="V1042" s="128" t="n">
        <v>1</v>
      </c>
      <c r="W1042" s="90" t="n">
        <f aca="false">IFERROR(O1042/V1042,0)</f>
        <v>7000</v>
      </c>
      <c r="X1042" s="91" t="n">
        <f aca="false">O1042/L1042</f>
        <v>1</v>
      </c>
      <c r="Y1042" s="92" t="str">
        <f aca="false">IFERROR(VLOOKUP(E:E,'Item Data Support Sheet'!A:J,6,0),0)</f>
        <v>FO015</v>
      </c>
      <c r="Z1042" s="93" t="n">
        <f aca="false">IFERROR(VLOOKUP(E:E,'Item Data Support Sheet'!A:O,4,0),0)</f>
        <v>0</v>
      </c>
      <c r="AA1042" s="93" t="n">
        <f aca="false">IFERROR(((N1042)*(Z1042/1000))+P1042,0)</f>
        <v>0</v>
      </c>
      <c r="AB1042" s="94" t="str">
        <f aca="false">IFERROR((O1042*(Z1042/1000)/(AA1042))," ")</f>
        <v> </v>
      </c>
      <c r="AC1042" s="95" t="n">
        <f aca="false">IFERROR((T1042)/((T1042)+O1042),0)</f>
        <v>0</v>
      </c>
      <c r="AD1042" s="96" t="n">
        <f aca="false">IFERROR(Q1042/(Q1042+N1042),0)</f>
        <v>0</v>
      </c>
      <c r="AE1042" s="91" t="n">
        <f aca="false">(N1042-T1042)/N1042</f>
        <v>1</v>
      </c>
      <c r="AF1042" s="97" t="n">
        <f aca="false">BR1042</f>
        <v>0.666666666666667</v>
      </c>
      <c r="AG1042" s="98" t="n">
        <f aca="false">K1042-AF1042</f>
        <v>7.33333333333333</v>
      </c>
      <c r="AH1042" s="99" t="n">
        <f aca="false">IFERROR(AG1042/K1042," ")</f>
        <v>0.916666666666667</v>
      </c>
      <c r="AI1042" s="100" t="n">
        <f aca="false">IFERROR(O1042/K1042,0)</f>
        <v>875</v>
      </c>
      <c r="AJ1042" s="101" t="n">
        <f aca="false">VLOOKUP(D1042,'Standard Cycle time'!C:D,2,0)</f>
        <v>3.5</v>
      </c>
      <c r="AK1042" s="101" t="n">
        <f aca="false">AG1042*V1042*3600/O1042</f>
        <v>3.77142857142857</v>
      </c>
      <c r="AL1042" s="102" t="n">
        <f aca="false">AJ1042/AK1042</f>
        <v>0.928030303030303</v>
      </c>
      <c r="AM1042" s="99" t="n">
        <f aca="false">AE1042*AL1042*AH1042</f>
        <v>0.850694444444444</v>
      </c>
      <c r="AN1042" s="103" t="n">
        <v>0.850694444444444</v>
      </c>
      <c r="AO1042" s="112"/>
      <c r="AP1042" s="105" t="n">
        <v>40</v>
      </c>
      <c r="AQ1042" s="105" t="n">
        <v>0</v>
      </c>
      <c r="AR1042" s="105" t="n">
        <v>0</v>
      </c>
      <c r="AS1042" s="105" t="n">
        <v>0</v>
      </c>
      <c r="AT1042" s="105" t="n">
        <v>0</v>
      </c>
      <c r="AU1042" s="105" t="n">
        <v>0</v>
      </c>
      <c r="AV1042" s="105" t="n">
        <v>0</v>
      </c>
      <c r="AW1042" s="105" t="n">
        <v>0</v>
      </c>
      <c r="AX1042" s="105" t="n">
        <v>0</v>
      </c>
      <c r="AY1042" s="105" t="n">
        <v>0</v>
      </c>
      <c r="AZ1042" s="105" t="n">
        <v>0</v>
      </c>
      <c r="BA1042" s="105" t="n">
        <v>0</v>
      </c>
      <c r="BB1042" s="105" t="n">
        <v>0</v>
      </c>
      <c r="BC1042" s="105" t="n">
        <v>0</v>
      </c>
      <c r="BD1042" s="105" t="n">
        <v>0</v>
      </c>
      <c r="BE1042" s="105" t="n">
        <v>0</v>
      </c>
      <c r="BF1042" s="105" t="n">
        <v>0</v>
      </c>
      <c r="BG1042" s="105" t="n">
        <v>0</v>
      </c>
      <c r="BH1042" s="105" t="n">
        <v>0</v>
      </c>
      <c r="BI1042" s="105" t="n">
        <v>0</v>
      </c>
      <c r="BJ1042" s="105" t="n">
        <v>0</v>
      </c>
      <c r="BK1042" s="105" t="n">
        <v>0</v>
      </c>
      <c r="BL1042" s="105" t="n">
        <v>0</v>
      </c>
      <c r="BM1042" s="105" t="n">
        <v>0</v>
      </c>
      <c r="BN1042" s="105" t="n">
        <v>0</v>
      </c>
      <c r="BO1042" s="105" t="n">
        <v>0</v>
      </c>
      <c r="BP1042" s="105" t="n">
        <v>0</v>
      </c>
      <c r="BQ1042" s="105" t="n">
        <v>0</v>
      </c>
      <c r="BR1042" s="106" t="n">
        <v>0.666666666666667</v>
      </c>
      <c r="BS1042" s="106" t="n">
        <v>0.666666666666667</v>
      </c>
      <c r="BT1042" s="107"/>
      <c r="BU1042" s="107"/>
      <c r="BV1042" s="107"/>
      <c r="BW1042" s="107"/>
      <c r="BX1042" s="107"/>
      <c r="BY1042" s="107"/>
      <c r="BZ1042" s="107"/>
      <c r="CA1042" s="107"/>
      <c r="CB1042" s="107"/>
      <c r="CC1042" s="107"/>
      <c r="CD1042" s="107"/>
      <c r="CE1042" s="107"/>
      <c r="CF1042" s="107"/>
      <c r="CG1042" s="107"/>
      <c r="CH1042" s="107"/>
      <c r="CI1042" s="107"/>
      <c r="CJ1042" s="107"/>
      <c r="CK1042" s="107"/>
      <c r="CL1042" s="107"/>
      <c r="CM1042" s="107"/>
      <c r="CN1042" s="107"/>
      <c r="CO1042" s="107"/>
      <c r="CP1042" s="107"/>
      <c r="CQ1042" s="107"/>
      <c r="CR1042" s="107"/>
      <c r="CS1042" s="107"/>
      <c r="CT1042" s="107"/>
      <c r="CU1042" s="107"/>
      <c r="CV1042" s="107"/>
    </row>
    <row r="1043" customFormat="false" ht="14.9" hidden="false" customHeight="false" outlineLevel="0" collapsed="false">
      <c r="A1043" s="74" t="n">
        <f aca="false">MONTH(B1043)</f>
        <v>10</v>
      </c>
      <c r="B1043" s="135" t="n">
        <v>44495</v>
      </c>
      <c r="C1043" s="128" t="s">
        <v>51</v>
      </c>
      <c r="D1043" s="77" t="str">
        <f aca="false">IFERROR(VLOOKUP(E:E,'Item Data Support Sheet'!A:O,7,0),"")</f>
        <v>NIPPLE LASER MARKING</v>
      </c>
      <c r="E1043" s="80" t="s">
        <v>444</v>
      </c>
      <c r="F1043" s="122"/>
      <c r="G1043" s="137" t="s">
        <v>517</v>
      </c>
      <c r="H1043" s="79" t="str">
        <f aca="false">IFERROR(VLOOKUP(E:E,'Item Data Support Sheet'!A:O,2,0),"")</f>
        <v>NIPPLE S TYPE S SIZE PUNCHED LASER MARKED</v>
      </c>
      <c r="I1043" s="80" t="s">
        <v>1823</v>
      </c>
      <c r="J1043" s="80" t="s">
        <v>815</v>
      </c>
      <c r="K1043" s="124" t="n">
        <v>8</v>
      </c>
      <c r="L1043" s="124" t="n">
        <v>7000</v>
      </c>
      <c r="M1043" s="83" t="n">
        <v>875</v>
      </c>
      <c r="N1043" s="84" t="n">
        <f aca="false">+O1043+Q1043+T1043+U1043</f>
        <v>7000</v>
      </c>
      <c r="O1043" s="85" t="n">
        <v>7000</v>
      </c>
      <c r="P1043" s="86" t="n">
        <v>0</v>
      </c>
      <c r="Q1043" s="86" t="n">
        <v>0</v>
      </c>
      <c r="R1043" s="132" t="n">
        <v>0</v>
      </c>
      <c r="S1043" s="128" t="n">
        <v>0</v>
      </c>
      <c r="T1043" s="132" t="n">
        <v>0</v>
      </c>
      <c r="U1043" s="128" t="n">
        <v>0</v>
      </c>
      <c r="V1043" s="128" t="n">
        <v>1</v>
      </c>
      <c r="W1043" s="90" t="n">
        <f aca="false">IFERROR(O1043/V1043,0)</f>
        <v>7000</v>
      </c>
      <c r="X1043" s="91" t="n">
        <f aca="false">O1043/L1043</f>
        <v>1</v>
      </c>
      <c r="Y1043" s="92" t="str">
        <f aca="false">IFERROR(VLOOKUP(E:E,'Item Data Support Sheet'!A:J,6,0),0)</f>
        <v>FO019</v>
      </c>
      <c r="Z1043" s="93" t="n">
        <f aca="false">IFERROR(VLOOKUP(E:E,'Item Data Support Sheet'!A:O,4,0),0)</f>
        <v>0</v>
      </c>
      <c r="AA1043" s="93" t="n">
        <f aca="false">IFERROR(((N1043)*(Z1043/1000))+P1043,0)</f>
        <v>0</v>
      </c>
      <c r="AB1043" s="94" t="str">
        <f aca="false">IFERROR((O1043*(Z1043/1000)/(AA1043))," ")</f>
        <v> </v>
      </c>
      <c r="AC1043" s="95" t="n">
        <f aca="false">IFERROR((T1043)/((T1043)+O1043),0)</f>
        <v>0</v>
      </c>
      <c r="AD1043" s="96" t="n">
        <f aca="false">IFERROR(Q1043/(Q1043+N1043),0)</f>
        <v>0</v>
      </c>
      <c r="AE1043" s="91" t="n">
        <f aca="false">(N1043-T1043)/N1043</f>
        <v>1</v>
      </c>
      <c r="AF1043" s="97" t="n">
        <f aca="false">BR1043</f>
        <v>0.666666666666667</v>
      </c>
      <c r="AG1043" s="98" t="n">
        <f aca="false">K1043-AF1043</f>
        <v>7.33333333333333</v>
      </c>
      <c r="AH1043" s="99" t="n">
        <f aca="false">IFERROR(AG1043/K1043," ")</f>
        <v>0.916666666666667</v>
      </c>
      <c r="AI1043" s="100" t="n">
        <f aca="false">IFERROR(O1043/K1043,0)</f>
        <v>875</v>
      </c>
      <c r="AJ1043" s="101" t="n">
        <f aca="false">VLOOKUP(D1043,'Standard Cycle time'!C:D,2,0)</f>
        <v>3.5</v>
      </c>
      <c r="AK1043" s="101" t="n">
        <f aca="false">AG1043*V1043*3600/O1043</f>
        <v>3.77142857142857</v>
      </c>
      <c r="AL1043" s="102" t="n">
        <f aca="false">AJ1043/AK1043</f>
        <v>0.928030303030303</v>
      </c>
      <c r="AM1043" s="99" t="n">
        <f aca="false">AE1043*AL1043*AH1043</f>
        <v>0.850694444444444</v>
      </c>
      <c r="AN1043" s="103" t="n">
        <v>0.850694444444444</v>
      </c>
      <c r="AO1043" s="112"/>
      <c r="AP1043" s="105" t="n">
        <v>40</v>
      </c>
      <c r="AQ1043" s="105" t="n">
        <v>0</v>
      </c>
      <c r="AR1043" s="105" t="n">
        <v>0</v>
      </c>
      <c r="AS1043" s="105" t="n">
        <v>0</v>
      </c>
      <c r="AT1043" s="105" t="n">
        <v>0</v>
      </c>
      <c r="AU1043" s="105" t="n">
        <v>0</v>
      </c>
      <c r="AV1043" s="105" t="n">
        <v>0</v>
      </c>
      <c r="AW1043" s="105" t="n">
        <v>0</v>
      </c>
      <c r="AX1043" s="105" t="n">
        <v>0</v>
      </c>
      <c r="AY1043" s="105" t="n">
        <v>0</v>
      </c>
      <c r="AZ1043" s="105" t="n">
        <v>0</v>
      </c>
      <c r="BA1043" s="105" t="n">
        <v>0</v>
      </c>
      <c r="BB1043" s="105" t="n">
        <v>0</v>
      </c>
      <c r="BC1043" s="105" t="n">
        <v>0</v>
      </c>
      <c r="BD1043" s="105" t="n">
        <v>0</v>
      </c>
      <c r="BE1043" s="105" t="n">
        <v>0</v>
      </c>
      <c r="BF1043" s="105" t="n">
        <v>0</v>
      </c>
      <c r="BG1043" s="105" t="n">
        <v>0</v>
      </c>
      <c r="BH1043" s="105" t="n">
        <v>0</v>
      </c>
      <c r="BI1043" s="105" t="n">
        <v>0</v>
      </c>
      <c r="BJ1043" s="105" t="n">
        <v>0</v>
      </c>
      <c r="BK1043" s="105" t="n">
        <v>0</v>
      </c>
      <c r="BL1043" s="105" t="n">
        <v>0</v>
      </c>
      <c r="BM1043" s="105" t="n">
        <v>0</v>
      </c>
      <c r="BN1043" s="105" t="n">
        <v>0</v>
      </c>
      <c r="BO1043" s="105" t="n">
        <v>0</v>
      </c>
      <c r="BP1043" s="105" t="n">
        <v>0</v>
      </c>
      <c r="BQ1043" s="105" t="n">
        <v>0</v>
      </c>
      <c r="BR1043" s="106" t="n">
        <v>0.666666666666667</v>
      </c>
      <c r="BS1043" s="106" t="n">
        <v>0.666666666666667</v>
      </c>
      <c r="BT1043" s="107"/>
      <c r="BU1043" s="107"/>
      <c r="BV1043" s="107"/>
      <c r="BW1043" s="107"/>
      <c r="BX1043" s="107"/>
      <c r="BY1043" s="107"/>
      <c r="BZ1043" s="107"/>
      <c r="CA1043" s="107"/>
      <c r="CB1043" s="107"/>
      <c r="CC1043" s="107"/>
      <c r="CD1043" s="107"/>
      <c r="CE1043" s="107"/>
      <c r="CF1043" s="107"/>
      <c r="CG1043" s="107"/>
      <c r="CH1043" s="107"/>
      <c r="CI1043" s="107"/>
      <c r="CJ1043" s="107"/>
      <c r="CK1043" s="107"/>
      <c r="CL1043" s="107"/>
      <c r="CM1043" s="107"/>
      <c r="CN1043" s="107"/>
      <c r="CO1043" s="107"/>
      <c r="CP1043" s="107"/>
      <c r="CQ1043" s="107"/>
      <c r="CR1043" s="107"/>
      <c r="CS1043" s="107"/>
      <c r="CT1043" s="107"/>
      <c r="CU1043" s="107"/>
      <c r="CV1043" s="107"/>
    </row>
    <row r="1044" customFormat="false" ht="14.9" hidden="false" customHeight="false" outlineLevel="0" collapsed="false">
      <c r="A1044" s="74" t="n">
        <f aca="false">MONTH(B1044)</f>
        <v>10</v>
      </c>
      <c r="B1044" s="135" t="n">
        <v>44495</v>
      </c>
      <c r="C1044" s="128" t="s">
        <v>63</v>
      </c>
      <c r="D1044" s="77" t="str">
        <f aca="false">IFERROR(VLOOKUP(E:E,'Item Data Support Sheet'!A:O,7,0),"")</f>
        <v>NIPPLE PUNCH INSPECTED</v>
      </c>
      <c r="E1044" s="80" t="s">
        <v>297</v>
      </c>
      <c r="F1044" s="122"/>
      <c r="G1044" s="137"/>
      <c r="H1044" s="79" t="str">
        <f aca="false">IFERROR(VLOOKUP(E:E,'Item Data Support Sheet'!A:O,2,0),"")</f>
        <v>NIPPLE S TYPE S SIZE PUNCHED INSPECTED</v>
      </c>
      <c r="I1044" s="80" t="s">
        <v>1809</v>
      </c>
      <c r="J1044" s="80" t="s">
        <v>155</v>
      </c>
      <c r="K1044" s="124" t="n">
        <v>8</v>
      </c>
      <c r="L1044" s="124" t="n">
        <v>14000</v>
      </c>
      <c r="M1044" s="83" t="n">
        <v>1750</v>
      </c>
      <c r="N1044" s="84" t="n">
        <f aca="false">+O1044+Q1044+T1044+U1044</f>
        <v>14000</v>
      </c>
      <c r="O1044" s="85" t="n">
        <v>13817</v>
      </c>
      <c r="P1044" s="86" t="n">
        <v>0</v>
      </c>
      <c r="Q1044" s="86" t="n">
        <v>0</v>
      </c>
      <c r="R1044" s="132" t="n">
        <v>0</v>
      </c>
      <c r="S1044" s="128" t="n">
        <v>0</v>
      </c>
      <c r="T1044" s="132" t="n">
        <v>183</v>
      </c>
      <c r="U1044" s="128" t="n">
        <v>0</v>
      </c>
      <c r="V1044" s="128" t="n">
        <v>2</v>
      </c>
      <c r="W1044" s="90" t="n">
        <f aca="false">IFERROR(O1044/V1044,0)</f>
        <v>6908.5</v>
      </c>
      <c r="X1044" s="91" t="n">
        <f aca="false">O1044/L1044</f>
        <v>0.986928571428571</v>
      </c>
      <c r="Y1044" s="92" t="str">
        <f aca="false">IFERROR(VLOOKUP(E:E,'Item Data Support Sheet'!A:J,6,0),0)</f>
        <v>FO104</v>
      </c>
      <c r="Z1044" s="93" t="n">
        <f aca="false">IFERROR(VLOOKUP(E:E,'Item Data Support Sheet'!A:O,4,0),0)</f>
        <v>0</v>
      </c>
      <c r="AA1044" s="93" t="n">
        <f aca="false">IFERROR(((N1044)*(Z1044/1000))+P1044,0)</f>
        <v>0</v>
      </c>
      <c r="AB1044" s="94" t="str">
        <f aca="false">IFERROR((O1044*(Z1044/1000)/(AA1044))," ")</f>
        <v> </v>
      </c>
      <c r="AC1044" s="95" t="n">
        <f aca="false">IFERROR((T1044)/((T1044)+O1044),0)</f>
        <v>0.0130714285714286</v>
      </c>
      <c r="AD1044" s="96" t="n">
        <f aca="false">IFERROR(Q1044/(Q1044+N1044),0)</f>
        <v>0</v>
      </c>
      <c r="AE1044" s="91" t="n">
        <f aca="false">(N1044-T1044)/N1044</f>
        <v>0.986928571428571</v>
      </c>
      <c r="AF1044" s="97" t="n">
        <f aca="false">BR1044</f>
        <v>0.833333333333333</v>
      </c>
      <c r="AG1044" s="98" t="n">
        <f aca="false">K1044-AF1044</f>
        <v>7.16666666666667</v>
      </c>
      <c r="AH1044" s="99" t="n">
        <f aca="false">IFERROR(AG1044/K1044," ")</f>
        <v>0.895833333333333</v>
      </c>
      <c r="AI1044" s="100" t="n">
        <f aca="false">IFERROR(O1044/K1044,0)</f>
        <v>1727.125</v>
      </c>
      <c r="AJ1044" s="101" t="n">
        <f aca="false">VLOOKUP(D1044,'Standard Cycle time'!C:D,2,0)</f>
        <v>4</v>
      </c>
      <c r="AK1044" s="101" t="n">
        <f aca="false">AG1044*V1044*3600/O1044</f>
        <v>3.73452992690164</v>
      </c>
      <c r="AL1044" s="102" t="n">
        <f aca="false">AJ1044/AK1044</f>
        <v>1.07108527131783</v>
      </c>
      <c r="AM1044" s="99" t="n">
        <f aca="false">AE1044*AL1044*AH1044</f>
        <v>0.946971671626984</v>
      </c>
      <c r="AN1044" s="103" t="n">
        <v>0.93442945436508</v>
      </c>
      <c r="AO1044" s="112"/>
      <c r="AP1044" s="105" t="n">
        <v>50</v>
      </c>
      <c r="AQ1044" s="105" t="n">
        <v>0</v>
      </c>
      <c r="AR1044" s="105" t="n">
        <v>0</v>
      </c>
      <c r="AS1044" s="105" t="n">
        <v>0</v>
      </c>
      <c r="AT1044" s="105" t="n">
        <v>0</v>
      </c>
      <c r="AU1044" s="105" t="n">
        <v>0</v>
      </c>
      <c r="AV1044" s="105" t="n">
        <v>0</v>
      </c>
      <c r="AW1044" s="105" t="n">
        <v>0</v>
      </c>
      <c r="AX1044" s="105" t="n">
        <v>0</v>
      </c>
      <c r="AY1044" s="105" t="n">
        <v>0</v>
      </c>
      <c r="AZ1044" s="105" t="n">
        <v>0</v>
      </c>
      <c r="BA1044" s="105" t="n">
        <v>0</v>
      </c>
      <c r="BB1044" s="105" t="n">
        <v>0</v>
      </c>
      <c r="BC1044" s="105" t="n">
        <v>0</v>
      </c>
      <c r="BD1044" s="105" t="n">
        <v>0</v>
      </c>
      <c r="BE1044" s="105" t="n">
        <v>0</v>
      </c>
      <c r="BF1044" s="105" t="n">
        <v>0</v>
      </c>
      <c r="BG1044" s="105" t="n">
        <v>0</v>
      </c>
      <c r="BH1044" s="105" t="n">
        <v>0</v>
      </c>
      <c r="BI1044" s="105" t="n">
        <v>0</v>
      </c>
      <c r="BJ1044" s="105" t="n">
        <v>0</v>
      </c>
      <c r="BK1044" s="105" t="n">
        <v>0</v>
      </c>
      <c r="BL1044" s="105" t="n">
        <v>0</v>
      </c>
      <c r="BM1044" s="105" t="n">
        <v>0</v>
      </c>
      <c r="BN1044" s="105" t="n">
        <v>0</v>
      </c>
      <c r="BO1044" s="105" t="n">
        <v>0</v>
      </c>
      <c r="BP1044" s="105" t="n">
        <v>0</v>
      </c>
      <c r="BQ1044" s="105" t="n">
        <v>0</v>
      </c>
      <c r="BR1044" s="106" t="n">
        <v>0.833333333333333</v>
      </c>
      <c r="BS1044" s="106" t="n">
        <v>0.833333333333333</v>
      </c>
      <c r="BT1044" s="107"/>
      <c r="BU1044" s="107"/>
      <c r="BV1044" s="107"/>
      <c r="BW1044" s="107"/>
      <c r="BX1044" s="107"/>
      <c r="BY1044" s="107"/>
      <c r="BZ1044" s="107"/>
      <c r="CA1044" s="107"/>
      <c r="CB1044" s="107"/>
      <c r="CC1044" s="107"/>
      <c r="CD1044" s="107"/>
      <c r="CE1044" s="107"/>
      <c r="CF1044" s="107"/>
      <c r="CG1044" s="107"/>
      <c r="CH1044" s="107"/>
      <c r="CI1044" s="107"/>
      <c r="CJ1044" s="107"/>
      <c r="CK1044" s="107"/>
      <c r="CL1044" s="107"/>
      <c r="CM1044" s="107"/>
      <c r="CN1044" s="107"/>
      <c r="CO1044" s="107"/>
      <c r="CP1044" s="107"/>
      <c r="CQ1044" s="107"/>
      <c r="CR1044" s="107"/>
      <c r="CS1044" s="107"/>
      <c r="CT1044" s="107"/>
      <c r="CU1044" s="107"/>
      <c r="CV1044" s="107"/>
    </row>
    <row r="1045" customFormat="false" ht="14.9" hidden="false" customHeight="false" outlineLevel="0" collapsed="false">
      <c r="A1045" s="74" t="n">
        <f aca="false">MONTH(B1045)</f>
        <v>10</v>
      </c>
      <c r="B1045" s="135" t="n">
        <v>44495</v>
      </c>
      <c r="C1045" s="128" t="s">
        <v>63</v>
      </c>
      <c r="D1045" s="77" t="str">
        <f aca="false">IFERROR(VLOOKUP(E:E,'Item Data Support Sheet'!A:O,7,0),"")</f>
        <v>NIPPLE WRAP PRINTED</v>
      </c>
      <c r="E1045" s="80" t="s">
        <v>551</v>
      </c>
      <c r="F1045" s="122"/>
      <c r="G1045" s="137" t="s">
        <v>432</v>
      </c>
      <c r="H1045" s="79" t="str">
        <f aca="false">IFERROR(VLOOKUP(E:E,'Item Data Support Sheet'!A:O,2,0),"")</f>
        <v>NIPPLE S TYPE S SIZE WITH PRINTED WRAP</v>
      </c>
      <c r="I1045" s="80" t="s">
        <v>1824</v>
      </c>
      <c r="J1045" s="80" t="s">
        <v>155</v>
      </c>
      <c r="K1045" s="124" t="n">
        <v>8</v>
      </c>
      <c r="L1045" s="124" t="n">
        <v>16171</v>
      </c>
      <c r="M1045" s="83" t="n">
        <v>2021.375</v>
      </c>
      <c r="N1045" s="84" t="n">
        <f aca="false">+O1045+Q1045+T1045+U1045</f>
        <v>12442</v>
      </c>
      <c r="O1045" s="85" t="n">
        <v>12440</v>
      </c>
      <c r="P1045" s="86" t="n">
        <v>0</v>
      </c>
      <c r="Q1045" s="86" t="n">
        <v>0</v>
      </c>
      <c r="R1045" s="132" t="n">
        <v>0</v>
      </c>
      <c r="S1045" s="128" t="n">
        <v>0</v>
      </c>
      <c r="T1045" s="132" t="n">
        <v>2</v>
      </c>
      <c r="U1045" s="128" t="n">
        <v>0</v>
      </c>
      <c r="V1045" s="128" t="n">
        <v>2</v>
      </c>
      <c r="W1045" s="90" t="n">
        <f aca="false">IFERROR(O1045/V1045,0)</f>
        <v>6220</v>
      </c>
      <c r="X1045" s="91" t="n">
        <f aca="false">O1045/L1045</f>
        <v>0.769278337765135</v>
      </c>
      <c r="Y1045" s="92" t="str">
        <f aca="false">IFERROR(VLOOKUP(E:E,'Item Data Support Sheet'!A:J,6,0),0)</f>
        <v>FO108</v>
      </c>
      <c r="Z1045" s="93" t="n">
        <f aca="false">IFERROR(VLOOKUP(E:E,'Item Data Support Sheet'!A:O,4,0),0)</f>
        <v>0</v>
      </c>
      <c r="AA1045" s="93" t="n">
        <f aca="false">IFERROR(((N1045)*(Z1045/1000))+P1045,0)</f>
        <v>0</v>
      </c>
      <c r="AB1045" s="94" t="str">
        <f aca="false">IFERROR((O1045*(Z1045/1000)/(AA1045))," ")</f>
        <v> </v>
      </c>
      <c r="AC1045" s="95" t="n">
        <f aca="false">IFERROR((T1045)/((T1045)+O1045),0)</f>
        <v>0.000160745860794085</v>
      </c>
      <c r="AD1045" s="96" t="n">
        <f aca="false">IFERROR(Q1045/(Q1045+N1045),0)</f>
        <v>0</v>
      </c>
      <c r="AE1045" s="91" t="n">
        <f aca="false">(N1045-T1045)/N1045</f>
        <v>0.999839254139206</v>
      </c>
      <c r="AF1045" s="97" t="n">
        <f aca="false">BR1045</f>
        <v>2.83333333333333</v>
      </c>
      <c r="AG1045" s="98" t="n">
        <f aca="false">K1045-AF1045</f>
        <v>5.16666666666667</v>
      </c>
      <c r="AH1045" s="99" t="n">
        <f aca="false">IFERROR(AG1045/K1045," ")</f>
        <v>0.645833333333334</v>
      </c>
      <c r="AI1045" s="100" t="n">
        <f aca="false">IFERROR(O1045/K1045,0)</f>
        <v>1555</v>
      </c>
      <c r="AJ1045" s="101" t="n">
        <f aca="false">VLOOKUP(D1045,'Standard Cycle time'!C:D,2,0)</f>
        <v>2.5</v>
      </c>
      <c r="AK1045" s="101" t="n">
        <f aca="false">AG1045*V1045*3600/O1045</f>
        <v>2.9903536977492</v>
      </c>
      <c r="AL1045" s="102" t="n">
        <f aca="false">AJ1045/AK1045</f>
        <v>0.836021505376344</v>
      </c>
      <c r="AM1045" s="99" t="n">
        <f aca="false">AE1045*AL1045*AH1045</f>
        <v>0.539843763953634</v>
      </c>
      <c r="AN1045" s="103" t="n">
        <v>0.539853422619048</v>
      </c>
      <c r="AO1045" s="112"/>
      <c r="AP1045" s="105" t="n">
        <v>50</v>
      </c>
      <c r="AQ1045" s="105" t="n">
        <v>0</v>
      </c>
      <c r="AR1045" s="105" t="n">
        <v>0</v>
      </c>
      <c r="AS1045" s="105" t="n">
        <v>0</v>
      </c>
      <c r="AT1045" s="105" t="n">
        <v>0</v>
      </c>
      <c r="AU1045" s="105" t="n">
        <v>0</v>
      </c>
      <c r="AV1045" s="105" t="n">
        <v>120</v>
      </c>
      <c r="AW1045" s="105" t="n">
        <v>0</v>
      </c>
      <c r="AX1045" s="105" t="n">
        <v>0</v>
      </c>
      <c r="AY1045" s="105" t="n">
        <v>0</v>
      </c>
      <c r="AZ1045" s="105" t="n">
        <v>0</v>
      </c>
      <c r="BA1045" s="105" t="n">
        <v>0</v>
      </c>
      <c r="BB1045" s="105" t="n">
        <v>0</v>
      </c>
      <c r="BC1045" s="105" t="n">
        <v>0</v>
      </c>
      <c r="BD1045" s="105" t="n">
        <v>0</v>
      </c>
      <c r="BE1045" s="105" t="n">
        <v>0</v>
      </c>
      <c r="BF1045" s="105" t="n">
        <v>0</v>
      </c>
      <c r="BG1045" s="105" t="n">
        <v>0</v>
      </c>
      <c r="BH1045" s="105" t="n">
        <v>0</v>
      </c>
      <c r="BI1045" s="105" t="n">
        <v>0</v>
      </c>
      <c r="BJ1045" s="105" t="n">
        <v>0</v>
      </c>
      <c r="BK1045" s="105" t="n">
        <v>0</v>
      </c>
      <c r="BL1045" s="105" t="n">
        <v>0</v>
      </c>
      <c r="BM1045" s="105" t="n">
        <v>0</v>
      </c>
      <c r="BN1045" s="105" t="n">
        <v>0</v>
      </c>
      <c r="BO1045" s="105" t="n">
        <v>0</v>
      </c>
      <c r="BP1045" s="105" t="n">
        <v>0</v>
      </c>
      <c r="BQ1045" s="105" t="n">
        <v>0</v>
      </c>
      <c r="BR1045" s="106" t="n">
        <v>2.83333333333333</v>
      </c>
      <c r="BS1045" s="106" t="n">
        <v>2.83333333333333</v>
      </c>
      <c r="BT1045" s="107"/>
      <c r="BU1045" s="107"/>
      <c r="BV1045" s="107"/>
      <c r="BW1045" s="107"/>
      <c r="BX1045" s="107"/>
      <c r="BY1045" s="107"/>
      <c r="BZ1045" s="107"/>
      <c r="CA1045" s="107"/>
      <c r="CB1045" s="107"/>
      <c r="CC1045" s="107"/>
      <c r="CD1045" s="107"/>
      <c r="CE1045" s="107"/>
      <c r="CF1045" s="107"/>
      <c r="CG1045" s="107"/>
      <c r="CH1045" s="107"/>
      <c r="CI1045" s="107"/>
      <c r="CJ1045" s="107"/>
      <c r="CK1045" s="107"/>
      <c r="CL1045" s="107"/>
      <c r="CM1045" s="107"/>
      <c r="CN1045" s="107"/>
      <c r="CO1045" s="107"/>
      <c r="CP1045" s="107"/>
      <c r="CQ1045" s="107"/>
      <c r="CR1045" s="107"/>
      <c r="CS1045" s="107"/>
      <c r="CT1045" s="107"/>
      <c r="CU1045" s="107"/>
      <c r="CV1045" s="107"/>
    </row>
    <row r="1046" customFormat="false" ht="14.9" hidden="false" customHeight="false" outlineLevel="0" collapsed="false">
      <c r="A1046" s="74" t="n">
        <f aca="false">MONTH(B1046)</f>
        <v>10</v>
      </c>
      <c r="B1046" s="135" t="n">
        <v>44495</v>
      </c>
      <c r="C1046" s="128" t="s">
        <v>70</v>
      </c>
      <c r="D1046" s="77" t="str">
        <f aca="false">IFERROR(VLOOKUP(E:E,'Item Data Support Sheet'!A:O,7,0),"")</f>
        <v>NIPPLE PUNCH</v>
      </c>
      <c r="E1046" s="80" t="s">
        <v>53</v>
      </c>
      <c r="F1046" s="122"/>
      <c r="G1046" s="137" t="s">
        <v>54</v>
      </c>
      <c r="H1046" s="79" t="str">
        <f aca="false">IFERROR(VLOOKUP(E:E,'Item Data Support Sheet'!A:O,2,0),"")</f>
        <v>NIPPLE S TYPE S SIZE PUNCHED</v>
      </c>
      <c r="I1046" s="80" t="s">
        <v>1825</v>
      </c>
      <c r="J1046" s="80" t="s">
        <v>155</v>
      </c>
      <c r="K1046" s="124" t="n">
        <v>8</v>
      </c>
      <c r="L1046" s="124" t="n">
        <v>7000</v>
      </c>
      <c r="M1046" s="83" t="n">
        <v>875</v>
      </c>
      <c r="N1046" s="84" t="n">
        <f aca="false">+O1046+Q1046+T1046+U1046</f>
        <v>6750</v>
      </c>
      <c r="O1046" s="85" t="n">
        <v>6750</v>
      </c>
      <c r="P1046" s="86" t="n">
        <v>0</v>
      </c>
      <c r="Q1046" s="86" t="n">
        <v>0</v>
      </c>
      <c r="R1046" s="132" t="n">
        <v>0</v>
      </c>
      <c r="S1046" s="128" t="n">
        <v>0</v>
      </c>
      <c r="T1046" s="132" t="n">
        <v>0</v>
      </c>
      <c r="U1046" s="128" t="n">
        <v>0</v>
      </c>
      <c r="V1046" s="128" t="n">
        <v>1</v>
      </c>
      <c r="W1046" s="90" t="n">
        <f aca="false">IFERROR(O1046/V1046,0)</f>
        <v>6750</v>
      </c>
      <c r="X1046" s="91" t="n">
        <f aca="false">O1046/L1046</f>
        <v>0.964285714285714</v>
      </c>
      <c r="Y1046" s="92" t="str">
        <f aca="false">IFERROR(VLOOKUP(E:E,'Item Data Support Sheet'!A:J,6,0),0)</f>
        <v>FO015</v>
      </c>
      <c r="Z1046" s="93" t="n">
        <f aca="false">IFERROR(VLOOKUP(E:E,'Item Data Support Sheet'!A:O,4,0),0)</f>
        <v>0</v>
      </c>
      <c r="AA1046" s="93" t="n">
        <f aca="false">IFERROR(((N1046)*(Z1046/1000))+P1046,0)</f>
        <v>0</v>
      </c>
      <c r="AB1046" s="94" t="str">
        <f aca="false">IFERROR((O1046*(Z1046/1000)/(AA1046))," ")</f>
        <v> </v>
      </c>
      <c r="AC1046" s="95" t="n">
        <f aca="false">IFERROR((T1046)/((T1046)+O1046),0)</f>
        <v>0</v>
      </c>
      <c r="AD1046" s="96" t="n">
        <f aca="false">IFERROR(Q1046/(Q1046+N1046),0)</f>
        <v>0</v>
      </c>
      <c r="AE1046" s="91" t="n">
        <f aca="false">(N1046-T1046)/N1046</f>
        <v>1</v>
      </c>
      <c r="AF1046" s="97" t="n">
        <f aca="false">BR1046</f>
        <v>1</v>
      </c>
      <c r="AG1046" s="98" t="n">
        <f aca="false">K1046-AF1046</f>
        <v>7</v>
      </c>
      <c r="AH1046" s="99" t="n">
        <f aca="false">IFERROR(AG1046/K1046," ")</f>
        <v>0.875</v>
      </c>
      <c r="AI1046" s="100" t="n">
        <f aca="false">IFERROR(O1046/K1046,0)</f>
        <v>843.75</v>
      </c>
      <c r="AJ1046" s="101" t="n">
        <f aca="false">VLOOKUP(D1046,'Standard Cycle time'!C:D,2,0)</f>
        <v>3.5</v>
      </c>
      <c r="AK1046" s="101" t="n">
        <f aca="false">AG1046*V1046*3600/O1046</f>
        <v>3.73333333333333</v>
      </c>
      <c r="AL1046" s="102" t="n">
        <f aca="false">AJ1046/AK1046</f>
        <v>0.9375</v>
      </c>
      <c r="AM1046" s="99" t="n">
        <f aca="false">AE1046*AL1046*AH1046</f>
        <v>0.8203125</v>
      </c>
      <c r="AN1046" s="103" t="n">
        <v>0.8203125</v>
      </c>
      <c r="AO1046" s="112" t="s">
        <v>1695</v>
      </c>
      <c r="AP1046" s="105" t="n">
        <v>40</v>
      </c>
      <c r="AQ1046" s="105" t="n">
        <v>0</v>
      </c>
      <c r="AR1046" s="105" t="n">
        <v>0</v>
      </c>
      <c r="AS1046" s="105" t="n">
        <v>20</v>
      </c>
      <c r="AT1046" s="105" t="n">
        <v>0</v>
      </c>
      <c r="AU1046" s="105" t="n">
        <v>0</v>
      </c>
      <c r="AV1046" s="105" t="n">
        <v>0</v>
      </c>
      <c r="AW1046" s="105" t="n">
        <v>0</v>
      </c>
      <c r="AX1046" s="105" t="n">
        <v>0</v>
      </c>
      <c r="AY1046" s="105" t="n">
        <v>0</v>
      </c>
      <c r="AZ1046" s="105" t="n">
        <v>0</v>
      </c>
      <c r="BA1046" s="105" t="n">
        <v>0</v>
      </c>
      <c r="BB1046" s="105" t="n">
        <v>0</v>
      </c>
      <c r="BC1046" s="105" t="n">
        <v>0</v>
      </c>
      <c r="BD1046" s="105" t="n">
        <v>0</v>
      </c>
      <c r="BE1046" s="105" t="n">
        <v>0</v>
      </c>
      <c r="BF1046" s="105" t="n">
        <v>0</v>
      </c>
      <c r="BG1046" s="105" t="n">
        <v>0</v>
      </c>
      <c r="BH1046" s="105" t="n">
        <v>0</v>
      </c>
      <c r="BI1046" s="105" t="n">
        <v>0</v>
      </c>
      <c r="BJ1046" s="105" t="n">
        <v>0</v>
      </c>
      <c r="BK1046" s="105" t="n">
        <v>0</v>
      </c>
      <c r="BL1046" s="105" t="n">
        <v>0</v>
      </c>
      <c r="BM1046" s="105" t="n">
        <v>0</v>
      </c>
      <c r="BN1046" s="105" t="n">
        <v>0</v>
      </c>
      <c r="BO1046" s="105" t="n">
        <v>0</v>
      </c>
      <c r="BP1046" s="105" t="n">
        <v>0</v>
      </c>
      <c r="BQ1046" s="105" t="n">
        <v>0</v>
      </c>
      <c r="BR1046" s="106" t="n">
        <v>1</v>
      </c>
      <c r="BS1046" s="106" t="n">
        <v>1</v>
      </c>
      <c r="BT1046" s="107"/>
      <c r="BU1046" s="107"/>
      <c r="BV1046" s="107"/>
      <c r="BW1046" s="107"/>
      <c r="BX1046" s="107"/>
      <c r="BY1046" s="107"/>
      <c r="BZ1046" s="107"/>
      <c r="CA1046" s="107"/>
      <c r="CB1046" s="107"/>
      <c r="CC1046" s="107"/>
      <c r="CD1046" s="107"/>
      <c r="CE1046" s="107"/>
      <c r="CF1046" s="107"/>
      <c r="CG1046" s="107"/>
      <c r="CH1046" s="107"/>
      <c r="CI1046" s="107"/>
      <c r="CJ1046" s="107"/>
      <c r="CK1046" s="107"/>
      <c r="CL1046" s="107"/>
      <c r="CM1046" s="107"/>
      <c r="CN1046" s="107"/>
      <c r="CO1046" s="107"/>
      <c r="CP1046" s="107"/>
      <c r="CQ1046" s="107"/>
      <c r="CR1046" s="107"/>
      <c r="CS1046" s="107"/>
      <c r="CT1046" s="107"/>
      <c r="CU1046" s="107"/>
      <c r="CV1046" s="107"/>
    </row>
    <row r="1047" customFormat="false" ht="14.9" hidden="false" customHeight="false" outlineLevel="0" collapsed="false">
      <c r="A1047" s="74" t="n">
        <f aca="false">MONTH(B1047)</f>
        <v>10</v>
      </c>
      <c r="B1047" s="135" t="n">
        <v>44495</v>
      </c>
      <c r="C1047" s="128" t="s">
        <v>70</v>
      </c>
      <c r="D1047" s="77" t="str">
        <f aca="false">IFERROR(VLOOKUP(E:E,'Item Data Support Sheet'!A:O,7,0),"")</f>
        <v>NIPPLE LASER MARKING</v>
      </c>
      <c r="E1047" s="80" t="s">
        <v>444</v>
      </c>
      <c r="F1047" s="122"/>
      <c r="G1047" s="137" t="s">
        <v>517</v>
      </c>
      <c r="H1047" s="79" t="str">
        <f aca="false">IFERROR(VLOOKUP(E:E,'Item Data Support Sheet'!A:O,2,0),"")</f>
        <v>NIPPLE S TYPE S SIZE PUNCHED LASER MARKED</v>
      </c>
      <c r="I1047" s="80" t="s">
        <v>1824</v>
      </c>
      <c r="J1047" s="80" t="s">
        <v>155</v>
      </c>
      <c r="K1047" s="124" t="n">
        <v>8</v>
      </c>
      <c r="L1047" s="124" t="n">
        <v>7000</v>
      </c>
      <c r="M1047" s="83" t="n">
        <v>875</v>
      </c>
      <c r="N1047" s="84" t="n">
        <f aca="false">+O1047+Q1047+T1047+U1047</f>
        <v>6750</v>
      </c>
      <c r="O1047" s="85" t="n">
        <v>6750</v>
      </c>
      <c r="P1047" s="86" t="n">
        <v>0</v>
      </c>
      <c r="Q1047" s="86" t="n">
        <v>0</v>
      </c>
      <c r="R1047" s="132" t="n">
        <v>0</v>
      </c>
      <c r="S1047" s="128" t="n">
        <v>0</v>
      </c>
      <c r="T1047" s="132" t="n">
        <v>0</v>
      </c>
      <c r="U1047" s="128" t="n">
        <v>0</v>
      </c>
      <c r="V1047" s="128" t="n">
        <v>1</v>
      </c>
      <c r="W1047" s="90" t="n">
        <f aca="false">IFERROR(O1047/V1047,0)</f>
        <v>6750</v>
      </c>
      <c r="X1047" s="91" t="n">
        <f aca="false">O1047/L1047</f>
        <v>0.964285714285714</v>
      </c>
      <c r="Y1047" s="92" t="str">
        <f aca="false">IFERROR(VLOOKUP(E:E,'Item Data Support Sheet'!A:J,6,0),0)</f>
        <v>FO019</v>
      </c>
      <c r="Z1047" s="93" t="n">
        <f aca="false">IFERROR(VLOOKUP(E:E,'Item Data Support Sheet'!A:O,4,0),0)</f>
        <v>0</v>
      </c>
      <c r="AA1047" s="93" t="n">
        <f aca="false">IFERROR(((N1047)*(Z1047/1000))+P1047,0)</f>
        <v>0</v>
      </c>
      <c r="AB1047" s="94" t="str">
        <f aca="false">IFERROR((O1047*(Z1047/1000)/(AA1047))," ")</f>
        <v> </v>
      </c>
      <c r="AC1047" s="95" t="n">
        <f aca="false">IFERROR((T1047)/((T1047)+O1047),0)</f>
        <v>0</v>
      </c>
      <c r="AD1047" s="96" t="n">
        <f aca="false">IFERROR(Q1047/(Q1047+N1047),0)</f>
        <v>0</v>
      </c>
      <c r="AE1047" s="91" t="n">
        <f aca="false">(N1047-T1047)/N1047</f>
        <v>1</v>
      </c>
      <c r="AF1047" s="97" t="n">
        <f aca="false">BR1047</f>
        <v>1</v>
      </c>
      <c r="AG1047" s="98" t="n">
        <f aca="false">K1047-AF1047</f>
        <v>7</v>
      </c>
      <c r="AH1047" s="99" t="n">
        <f aca="false">IFERROR(AG1047/K1047," ")</f>
        <v>0.875</v>
      </c>
      <c r="AI1047" s="100" t="n">
        <f aca="false">IFERROR(O1047/K1047,0)</f>
        <v>843.75</v>
      </c>
      <c r="AJ1047" s="101" t="n">
        <f aca="false">VLOOKUP(D1047,'Standard Cycle time'!C:D,2,0)</f>
        <v>3.5</v>
      </c>
      <c r="AK1047" s="101" t="n">
        <f aca="false">AG1047*V1047*3600/O1047</f>
        <v>3.73333333333333</v>
      </c>
      <c r="AL1047" s="102" t="n">
        <f aca="false">AJ1047/AK1047</f>
        <v>0.9375</v>
      </c>
      <c r="AM1047" s="99" t="n">
        <f aca="false">AE1047*AL1047*AH1047</f>
        <v>0.8203125</v>
      </c>
      <c r="AN1047" s="103" t="n">
        <v>0.8203125</v>
      </c>
      <c r="AO1047" s="112" t="s">
        <v>1826</v>
      </c>
      <c r="AP1047" s="105" t="n">
        <v>40</v>
      </c>
      <c r="AQ1047" s="105" t="n">
        <v>0</v>
      </c>
      <c r="AR1047" s="105" t="n">
        <v>0</v>
      </c>
      <c r="AS1047" s="105" t="n">
        <v>20</v>
      </c>
      <c r="AT1047" s="105" t="n">
        <v>0</v>
      </c>
      <c r="AU1047" s="105" t="n">
        <v>0</v>
      </c>
      <c r="AV1047" s="105" t="n">
        <v>0</v>
      </c>
      <c r="AW1047" s="105" t="n">
        <v>0</v>
      </c>
      <c r="AX1047" s="105" t="n">
        <v>0</v>
      </c>
      <c r="AY1047" s="105" t="n">
        <v>0</v>
      </c>
      <c r="AZ1047" s="105" t="n">
        <v>0</v>
      </c>
      <c r="BA1047" s="105" t="n">
        <v>0</v>
      </c>
      <c r="BB1047" s="105" t="n">
        <v>0</v>
      </c>
      <c r="BC1047" s="105" t="n">
        <v>0</v>
      </c>
      <c r="BD1047" s="105" t="n">
        <v>0</v>
      </c>
      <c r="BE1047" s="105" t="n">
        <v>0</v>
      </c>
      <c r="BF1047" s="105" t="n">
        <v>0</v>
      </c>
      <c r="BG1047" s="105" t="n">
        <v>0</v>
      </c>
      <c r="BH1047" s="105" t="n">
        <v>0</v>
      </c>
      <c r="BI1047" s="105" t="n">
        <v>0</v>
      </c>
      <c r="BJ1047" s="105" t="n">
        <v>0</v>
      </c>
      <c r="BK1047" s="105" t="n">
        <v>0</v>
      </c>
      <c r="BL1047" s="105" t="n">
        <v>0</v>
      </c>
      <c r="BM1047" s="105" t="n">
        <v>0</v>
      </c>
      <c r="BN1047" s="105" t="n">
        <v>0</v>
      </c>
      <c r="BO1047" s="105" t="n">
        <v>0</v>
      </c>
      <c r="BP1047" s="105" t="n">
        <v>0</v>
      </c>
      <c r="BQ1047" s="105" t="n">
        <v>0</v>
      </c>
      <c r="BR1047" s="106" t="n">
        <v>1</v>
      </c>
      <c r="BS1047" s="106" t="n">
        <v>1</v>
      </c>
      <c r="BT1047" s="107"/>
      <c r="BU1047" s="107"/>
      <c r="BV1047" s="107"/>
      <c r="BW1047" s="107"/>
      <c r="BX1047" s="107"/>
      <c r="BY1047" s="107"/>
      <c r="BZ1047" s="107"/>
      <c r="CA1047" s="107"/>
      <c r="CB1047" s="107"/>
      <c r="CC1047" s="107"/>
      <c r="CD1047" s="107"/>
      <c r="CE1047" s="107"/>
      <c r="CF1047" s="107"/>
      <c r="CG1047" s="107"/>
      <c r="CH1047" s="107"/>
      <c r="CI1047" s="107"/>
      <c r="CJ1047" s="107"/>
      <c r="CK1047" s="107"/>
      <c r="CL1047" s="107"/>
      <c r="CM1047" s="107"/>
      <c r="CN1047" s="107"/>
      <c r="CO1047" s="107"/>
      <c r="CP1047" s="107"/>
      <c r="CQ1047" s="107"/>
      <c r="CR1047" s="107"/>
      <c r="CS1047" s="107"/>
      <c r="CT1047" s="107"/>
      <c r="CU1047" s="107"/>
      <c r="CV1047" s="107"/>
    </row>
    <row r="1048" customFormat="false" ht="14.9" hidden="false" customHeight="false" outlineLevel="0" collapsed="false">
      <c r="A1048" s="74" t="n">
        <f aca="false">MONTH(B1048)</f>
        <v>10</v>
      </c>
      <c r="B1048" s="135" t="n">
        <v>44495</v>
      </c>
      <c r="C1048" s="128" t="s">
        <v>70</v>
      </c>
      <c r="D1048" s="77" t="str">
        <f aca="false">IFERROR(VLOOKUP(E:E,'Item Data Support Sheet'!A:O,7,0),"")</f>
        <v>HOOD MOLDED</v>
      </c>
      <c r="E1048" s="80" t="s">
        <v>529</v>
      </c>
      <c r="F1048" s="122"/>
      <c r="G1048" s="137" t="s">
        <v>740</v>
      </c>
      <c r="H1048" s="79" t="str">
        <f aca="false">IFERROR(VLOOKUP(E:E,'Item Data Support Sheet'!A:O,2,0),"")</f>
        <v>HOOD S TYPE MOLDED</v>
      </c>
      <c r="I1048" s="80" t="s">
        <v>1827</v>
      </c>
      <c r="J1048" s="80" t="s">
        <v>155</v>
      </c>
      <c r="K1048" s="124" t="n">
        <v>8</v>
      </c>
      <c r="L1048" s="124" t="n">
        <v>4137</v>
      </c>
      <c r="M1048" s="83" t="n">
        <v>517.125</v>
      </c>
      <c r="N1048" s="84" t="n">
        <f aca="false">+O1048+Q1048+T1048+U1048</f>
        <v>5050</v>
      </c>
      <c r="O1048" s="85" t="n">
        <v>5000</v>
      </c>
      <c r="P1048" s="86" t="n">
        <v>0</v>
      </c>
      <c r="Q1048" s="86" t="n">
        <v>24</v>
      </c>
      <c r="R1048" s="132" t="n">
        <v>0</v>
      </c>
      <c r="S1048" s="128" t="n">
        <v>0</v>
      </c>
      <c r="T1048" s="132" t="n">
        <v>26</v>
      </c>
      <c r="U1048" s="128" t="n">
        <v>0</v>
      </c>
      <c r="V1048" s="128" t="n">
        <v>1</v>
      </c>
      <c r="W1048" s="90" t="n">
        <f aca="false">IFERROR(O1048/V1048,0)</f>
        <v>5000</v>
      </c>
      <c r="X1048" s="91" t="n">
        <f aca="false">O1048/L1048</f>
        <v>1.20860526951898</v>
      </c>
      <c r="Y1048" s="92" t="str">
        <f aca="false">IFERROR(VLOOKUP(E:E,'Item Data Support Sheet'!A:J,6,0),0)</f>
        <v>HMC</v>
      </c>
      <c r="Z1048" s="93" t="n">
        <f aca="false">IFERROR(VLOOKUP(E:E,'Item Data Support Sheet'!A:O,4,0),0)</f>
        <v>8.6</v>
      </c>
      <c r="AA1048" s="93" t="n">
        <f aca="false">IFERROR(((N1048)*(Z1048/1000))+P1048,0)</f>
        <v>43.43</v>
      </c>
      <c r="AB1048" s="94" t="n">
        <f aca="false">IFERROR((O1048*(Z1048/1000)/(AA1048))," ")</f>
        <v>0.99009900990099</v>
      </c>
      <c r="AC1048" s="95" t="n">
        <f aca="false">IFERROR((T1048)/((T1048)+O1048),0)</f>
        <v>0.00517309988062077</v>
      </c>
      <c r="AD1048" s="96" t="n">
        <f aca="false">IFERROR(Q1048/(Q1048+N1048),0)</f>
        <v>0.00472999605833662</v>
      </c>
      <c r="AE1048" s="91" t="n">
        <f aca="false">(N1048-T1048)/N1048</f>
        <v>0.994851485148515</v>
      </c>
      <c r="AF1048" s="97" t="n">
        <f aca="false">BR1048</f>
        <v>0</v>
      </c>
      <c r="AG1048" s="98" t="n">
        <f aca="false">K1048-AF1048</f>
        <v>8</v>
      </c>
      <c r="AH1048" s="99" t="n">
        <f aca="false">IFERROR(AG1048/K1048," ")</f>
        <v>1</v>
      </c>
      <c r="AI1048" s="100" t="n">
        <f aca="false">IFERROR(O1048/K1048,0)</f>
        <v>625</v>
      </c>
      <c r="AJ1048" s="101" t="n">
        <f aca="false">VLOOKUP(D1048,'Standard Cycle time'!C:D,2,0)</f>
        <v>6</v>
      </c>
      <c r="AK1048" s="101" t="n">
        <f aca="false">AG1048*V1048*3600/O1048</f>
        <v>5.76</v>
      </c>
      <c r="AL1048" s="102" t="n">
        <f aca="false">AJ1048/AK1048</f>
        <v>1.04166666666667</v>
      </c>
      <c r="AM1048" s="99" t="n">
        <f aca="false">AE1048*AL1048*AH1048</f>
        <v>1.03630363036304</v>
      </c>
      <c r="AN1048" s="103" t="n">
        <v>1.03765432098765</v>
      </c>
      <c r="AO1048" s="112"/>
      <c r="AP1048" s="105" t="n">
        <v>0</v>
      </c>
      <c r="AQ1048" s="105" t="n">
        <v>0</v>
      </c>
      <c r="AR1048" s="105" t="n">
        <v>0</v>
      </c>
      <c r="AS1048" s="105" t="n">
        <v>0</v>
      </c>
      <c r="AT1048" s="105" t="n">
        <v>0</v>
      </c>
      <c r="AU1048" s="105" t="n">
        <v>0</v>
      </c>
      <c r="AV1048" s="105" t="n">
        <v>0</v>
      </c>
      <c r="AW1048" s="105" t="n">
        <v>0</v>
      </c>
      <c r="AX1048" s="105" t="n">
        <v>0</v>
      </c>
      <c r="AY1048" s="105" t="n">
        <v>0</v>
      </c>
      <c r="AZ1048" s="105" t="n">
        <v>0</v>
      </c>
      <c r="BA1048" s="105" t="n">
        <v>0</v>
      </c>
      <c r="BB1048" s="105" t="n">
        <v>0</v>
      </c>
      <c r="BC1048" s="105" t="n">
        <v>0</v>
      </c>
      <c r="BD1048" s="105" t="n">
        <v>0</v>
      </c>
      <c r="BE1048" s="105" t="n">
        <v>0</v>
      </c>
      <c r="BF1048" s="105" t="n">
        <v>0</v>
      </c>
      <c r="BG1048" s="105" t="n">
        <v>0</v>
      </c>
      <c r="BH1048" s="105" t="n">
        <v>0</v>
      </c>
      <c r="BI1048" s="105" t="n">
        <v>0</v>
      </c>
      <c r="BJ1048" s="105" t="n">
        <v>0</v>
      </c>
      <c r="BK1048" s="105" t="n">
        <v>0</v>
      </c>
      <c r="BL1048" s="105" t="n">
        <v>0</v>
      </c>
      <c r="BM1048" s="105" t="n">
        <v>0</v>
      </c>
      <c r="BN1048" s="105" t="n">
        <v>0</v>
      </c>
      <c r="BO1048" s="105" t="n">
        <v>0</v>
      </c>
      <c r="BP1048" s="105" t="n">
        <v>0</v>
      </c>
      <c r="BQ1048" s="105" t="n">
        <v>0</v>
      </c>
      <c r="BR1048" s="106" t="n">
        <v>0</v>
      </c>
      <c r="BS1048" s="106" t="n">
        <v>0</v>
      </c>
      <c r="BT1048" s="107"/>
      <c r="BU1048" s="107"/>
      <c r="BV1048" s="107"/>
      <c r="BW1048" s="107"/>
      <c r="BX1048" s="107"/>
      <c r="BY1048" s="107"/>
      <c r="BZ1048" s="107"/>
      <c r="CA1048" s="107"/>
      <c r="CB1048" s="107"/>
      <c r="CC1048" s="107"/>
      <c r="CD1048" s="107"/>
      <c r="CE1048" s="107"/>
      <c r="CF1048" s="107"/>
      <c r="CG1048" s="107"/>
      <c r="CH1048" s="107"/>
      <c r="CI1048" s="107"/>
      <c r="CJ1048" s="107"/>
      <c r="CK1048" s="107"/>
      <c r="CL1048" s="107"/>
      <c r="CM1048" s="107"/>
      <c r="CN1048" s="107"/>
      <c r="CO1048" s="107"/>
      <c r="CP1048" s="107"/>
      <c r="CQ1048" s="107"/>
      <c r="CR1048" s="107"/>
      <c r="CS1048" s="107"/>
      <c r="CT1048" s="107"/>
      <c r="CU1048" s="107"/>
      <c r="CV1048" s="107"/>
    </row>
    <row r="1049" customFormat="false" ht="14.9" hidden="false" customHeight="false" outlineLevel="0" collapsed="false">
      <c r="A1049" s="74" t="n">
        <f aca="false">MONTH(B1049)</f>
        <v>10</v>
      </c>
      <c r="B1049" s="135" t="n">
        <v>44495</v>
      </c>
      <c r="C1049" s="128" t="s">
        <v>70</v>
      </c>
      <c r="D1049" s="77" t="str">
        <f aca="false">IFERROR(VLOOKUP(E:E,'Item Data Support Sheet'!A:O,7,0),"")</f>
        <v>BOTTLE MOLDED</v>
      </c>
      <c r="E1049" s="80" t="s">
        <v>69</v>
      </c>
      <c r="F1049" s="122" t="s">
        <v>73</v>
      </c>
      <c r="G1049" s="137" t="s">
        <v>74</v>
      </c>
      <c r="H1049" s="79" t="str">
        <f aca="false">IFERROR(VLOOKUP(E:E,'Item Data Support Sheet'!A:O,2,0),"")</f>
        <v>KPP 240 ML BOTTLE MOLDED</v>
      </c>
      <c r="I1049" s="80" t="s">
        <v>1828</v>
      </c>
      <c r="J1049" s="80" t="s">
        <v>155</v>
      </c>
      <c r="K1049" s="124" t="n">
        <v>8</v>
      </c>
      <c r="L1049" s="124" t="n">
        <v>2574</v>
      </c>
      <c r="M1049" s="83" t="n">
        <v>321.75</v>
      </c>
      <c r="N1049" s="84" t="n">
        <f aca="false">+O1049+Q1049+T1049+U1049</f>
        <v>3360</v>
      </c>
      <c r="O1049" s="85" t="n">
        <v>3240</v>
      </c>
      <c r="P1049" s="86" t="n">
        <v>0</v>
      </c>
      <c r="Q1049" s="86" t="n">
        <v>53</v>
      </c>
      <c r="R1049" s="132" t="n">
        <v>0</v>
      </c>
      <c r="S1049" s="128" t="n">
        <v>0</v>
      </c>
      <c r="T1049" s="132" t="n">
        <v>67</v>
      </c>
      <c r="U1049" s="128" t="n">
        <v>0</v>
      </c>
      <c r="V1049" s="128" t="n">
        <v>1</v>
      </c>
      <c r="W1049" s="90" t="n">
        <f aca="false">IFERROR(O1049/V1049,0)</f>
        <v>3240</v>
      </c>
      <c r="X1049" s="91" t="n">
        <f aca="false">O1049/L1049</f>
        <v>1.25874125874126</v>
      </c>
      <c r="Y1049" s="92" t="str">
        <f aca="false">IFERROR(VLOOKUP(E:E,'Item Data Support Sheet'!A:J,6,0),0)</f>
        <v>HMC</v>
      </c>
      <c r="Z1049" s="93" t="n">
        <f aca="false">IFERROR(VLOOKUP(E:E,'Item Data Support Sheet'!A:O,4,0),0)</f>
        <v>32.1</v>
      </c>
      <c r="AA1049" s="93" t="n">
        <f aca="false">IFERROR(((N1049)*(Z1049/1000))+P1049,0)</f>
        <v>107.856</v>
      </c>
      <c r="AB1049" s="94" t="n">
        <f aca="false">IFERROR((O1049*(Z1049/1000)/(AA1049))," ")</f>
        <v>0.964285714285714</v>
      </c>
      <c r="AC1049" s="95" t="n">
        <f aca="false">IFERROR((T1049)/((T1049)+O1049),0)</f>
        <v>0.020260054429997</v>
      </c>
      <c r="AD1049" s="96" t="n">
        <f aca="false">IFERROR(Q1049/(Q1049+N1049),0)</f>
        <v>0.0155288602402578</v>
      </c>
      <c r="AE1049" s="91" t="n">
        <f aca="false">(N1049-T1049)/N1049</f>
        <v>0.980059523809524</v>
      </c>
      <c r="AF1049" s="97" t="n">
        <f aca="false">BR1049</f>
        <v>0</v>
      </c>
      <c r="AG1049" s="98" t="n">
        <f aca="false">K1049-AF1049</f>
        <v>8</v>
      </c>
      <c r="AH1049" s="99" t="n">
        <f aca="false">IFERROR(AG1049/K1049," ")</f>
        <v>1</v>
      </c>
      <c r="AI1049" s="100" t="n">
        <f aca="false">IFERROR(O1049/K1049,0)</f>
        <v>405</v>
      </c>
      <c r="AJ1049" s="101" t="n">
        <f aca="false">VLOOKUP(D1049,'Standard Cycle time'!C:D,2,0)</f>
        <v>9</v>
      </c>
      <c r="AK1049" s="101" t="n">
        <f aca="false">AG1049*V1049*3600/O1049</f>
        <v>8.88888888888889</v>
      </c>
      <c r="AL1049" s="102" t="n">
        <f aca="false">AJ1049/AK1049</f>
        <v>1.0125</v>
      </c>
      <c r="AM1049" s="99" t="n">
        <f aca="false">AE1049*AL1049*AH1049</f>
        <v>0.992310267857143</v>
      </c>
      <c r="AN1049" s="103" t="n">
        <v>0.999066831683168</v>
      </c>
      <c r="AO1049" s="112"/>
      <c r="AP1049" s="105" t="n">
        <v>0</v>
      </c>
      <c r="AQ1049" s="105" t="n">
        <v>0</v>
      </c>
      <c r="AR1049" s="105" t="n">
        <v>0</v>
      </c>
      <c r="AS1049" s="105" t="n">
        <v>0</v>
      </c>
      <c r="AT1049" s="105" t="n">
        <v>0</v>
      </c>
      <c r="AU1049" s="105" t="n">
        <v>0</v>
      </c>
      <c r="AV1049" s="105" t="n">
        <v>0</v>
      </c>
      <c r="AW1049" s="105" t="n">
        <v>0</v>
      </c>
      <c r="AX1049" s="105" t="n">
        <v>0</v>
      </c>
      <c r="AY1049" s="105" t="n">
        <v>0</v>
      </c>
      <c r="AZ1049" s="105" t="n">
        <v>0</v>
      </c>
      <c r="BA1049" s="105" t="n">
        <v>0</v>
      </c>
      <c r="BB1049" s="105" t="n">
        <v>0</v>
      </c>
      <c r="BC1049" s="105" t="n">
        <v>0</v>
      </c>
      <c r="BD1049" s="105" t="n">
        <v>0</v>
      </c>
      <c r="BE1049" s="105" t="n">
        <v>0</v>
      </c>
      <c r="BF1049" s="105" t="n">
        <v>0</v>
      </c>
      <c r="BG1049" s="105" t="n">
        <v>0</v>
      </c>
      <c r="BH1049" s="105" t="n">
        <v>0</v>
      </c>
      <c r="BI1049" s="105" t="n">
        <v>0</v>
      </c>
      <c r="BJ1049" s="105" t="n">
        <v>0</v>
      </c>
      <c r="BK1049" s="105" t="n">
        <v>0</v>
      </c>
      <c r="BL1049" s="105" t="n">
        <v>0</v>
      </c>
      <c r="BM1049" s="105" t="n">
        <v>0</v>
      </c>
      <c r="BN1049" s="105" t="n">
        <v>0</v>
      </c>
      <c r="BO1049" s="105" t="n">
        <v>0</v>
      </c>
      <c r="BP1049" s="105" t="n">
        <v>0</v>
      </c>
      <c r="BQ1049" s="105" t="n">
        <v>0</v>
      </c>
      <c r="BR1049" s="106" t="n">
        <v>0</v>
      </c>
      <c r="BS1049" s="106" t="n">
        <v>0</v>
      </c>
      <c r="BT1049" s="107"/>
      <c r="BU1049" s="107"/>
      <c r="BV1049" s="107"/>
      <c r="BW1049" s="107"/>
      <c r="BX1049" s="107"/>
      <c r="BY1049" s="107"/>
      <c r="BZ1049" s="107"/>
      <c r="CA1049" s="107"/>
      <c r="CB1049" s="107"/>
      <c r="CC1049" s="107"/>
      <c r="CD1049" s="107"/>
      <c r="CE1049" s="107"/>
      <c r="CF1049" s="107"/>
      <c r="CG1049" s="107"/>
      <c r="CH1049" s="107"/>
      <c r="CI1049" s="107"/>
      <c r="CJ1049" s="107"/>
      <c r="CK1049" s="107"/>
      <c r="CL1049" s="107"/>
      <c r="CM1049" s="107"/>
      <c r="CN1049" s="107"/>
      <c r="CO1049" s="107"/>
      <c r="CP1049" s="107"/>
      <c r="CQ1049" s="107"/>
      <c r="CR1049" s="107"/>
      <c r="CS1049" s="107"/>
      <c r="CT1049" s="107"/>
      <c r="CU1049" s="107"/>
      <c r="CV1049" s="107"/>
    </row>
    <row r="1050" customFormat="false" ht="14.9" hidden="false" customHeight="false" outlineLevel="0" collapsed="false">
      <c r="A1050" s="74" t="n">
        <f aca="false">MONTH(B1050)</f>
        <v>10</v>
      </c>
      <c r="B1050" s="135" t="n">
        <v>44495</v>
      </c>
      <c r="C1050" s="128" t="s">
        <v>70</v>
      </c>
      <c r="D1050" s="77" t="str">
        <f aca="false">IFERROR(VLOOKUP(E:E,'Item Data Support Sheet'!A:O,7,0),"")</f>
        <v>NIPPLE MOLDED</v>
      </c>
      <c r="E1050" s="80" t="s">
        <v>244</v>
      </c>
      <c r="F1050" s="122" t="s">
        <v>137</v>
      </c>
      <c r="G1050" s="137" t="s">
        <v>138</v>
      </c>
      <c r="H1050" s="79" t="str">
        <f aca="false">IFERROR(VLOOKUP(E:E,'Item Data Support Sheet'!A:O,2,0),"")</f>
        <v>NIPPLE S TYPE S SIZE INJECTION</v>
      </c>
      <c r="I1050" s="80" t="s">
        <v>1829</v>
      </c>
      <c r="J1050" s="80" t="s">
        <v>155</v>
      </c>
      <c r="K1050" s="124" t="n">
        <v>8</v>
      </c>
      <c r="L1050" s="124" t="n">
        <v>4815</v>
      </c>
      <c r="M1050" s="83" t="n">
        <v>601.875</v>
      </c>
      <c r="N1050" s="84" t="n">
        <f aca="false">+O1050+Q1050+T1050+U1050</f>
        <v>5152</v>
      </c>
      <c r="O1050" s="85" t="n">
        <v>5000</v>
      </c>
      <c r="P1050" s="86" t="n">
        <v>0</v>
      </c>
      <c r="Q1050" s="86" t="n">
        <v>77</v>
      </c>
      <c r="R1050" s="132" t="n">
        <v>0</v>
      </c>
      <c r="S1050" s="128" t="n">
        <v>0</v>
      </c>
      <c r="T1050" s="132" t="n">
        <v>75</v>
      </c>
      <c r="U1050" s="128" t="n">
        <v>0</v>
      </c>
      <c r="V1050" s="128" t="n">
        <v>1</v>
      </c>
      <c r="W1050" s="90" t="n">
        <f aca="false">IFERROR(O1050/V1050,0)</f>
        <v>5000</v>
      </c>
      <c r="X1050" s="91" t="n">
        <f aca="false">O1050/L1050</f>
        <v>1.03842159916926</v>
      </c>
      <c r="Y1050" s="92" t="str">
        <f aca="false">IFERROR(VLOOKUP(E:E,'Item Data Support Sheet'!A:J,6,0),0)</f>
        <v>Silicon</v>
      </c>
      <c r="Z1050" s="93" t="n">
        <f aca="false">IFERROR(VLOOKUP(E:E,'Item Data Support Sheet'!A:O,4,0),0)</f>
        <v>6.8</v>
      </c>
      <c r="AA1050" s="93" t="n">
        <f aca="false">IFERROR(((N1050)*(Z1050/1000))+P1050,0)</f>
        <v>35.0336</v>
      </c>
      <c r="AB1050" s="94" t="n">
        <f aca="false">IFERROR((O1050*(Z1050/1000)/(AA1050))," ")</f>
        <v>0.970496894409938</v>
      </c>
      <c r="AC1050" s="95" t="n">
        <f aca="false">IFERROR((T1050)/((T1050)+O1050),0)</f>
        <v>0.0147783251231527</v>
      </c>
      <c r="AD1050" s="96" t="n">
        <f aca="false">IFERROR(Q1050/(Q1050+N1050),0)</f>
        <v>0.0147255689424364</v>
      </c>
      <c r="AE1050" s="91" t="n">
        <f aca="false">(N1050-T1050)/N1050</f>
        <v>0.985442546583851</v>
      </c>
      <c r="AF1050" s="97" t="n">
        <f aca="false">BR1050</f>
        <v>0</v>
      </c>
      <c r="AG1050" s="98" t="n">
        <f aca="false">K1050-AF1050</f>
        <v>8</v>
      </c>
      <c r="AH1050" s="99" t="n">
        <f aca="false">IFERROR(AG1050/K1050," ")</f>
        <v>1</v>
      </c>
      <c r="AI1050" s="100" t="n">
        <f aca="false">IFERROR(O1050/K1050,0)</f>
        <v>625</v>
      </c>
      <c r="AJ1050" s="101" t="n">
        <f aca="false">VLOOKUP(D1050,'Standard Cycle time'!C:D,2,0)</f>
        <v>5.25</v>
      </c>
      <c r="AK1050" s="101" t="n">
        <f aca="false">AG1050*V1050*3600/O1050</f>
        <v>5.76</v>
      </c>
      <c r="AL1050" s="102" t="n">
        <f aca="false">AJ1050/AK1050</f>
        <v>0.911458333333333</v>
      </c>
      <c r="AM1050" s="99" t="n">
        <f aca="false">AE1050*AL1050*AH1050</f>
        <v>0.898189821105072</v>
      </c>
      <c r="AN1050" s="103" t="n">
        <v>0.89111328125</v>
      </c>
      <c r="AO1050" s="112"/>
      <c r="AP1050" s="105" t="n">
        <v>0</v>
      </c>
      <c r="AQ1050" s="105" t="n">
        <v>0</v>
      </c>
      <c r="AR1050" s="105" t="n">
        <v>0</v>
      </c>
      <c r="AS1050" s="105" t="n">
        <v>0</v>
      </c>
      <c r="AT1050" s="105" t="n">
        <v>0</v>
      </c>
      <c r="AU1050" s="105" t="n">
        <v>0</v>
      </c>
      <c r="AV1050" s="105" t="n">
        <v>0</v>
      </c>
      <c r="AW1050" s="105" t="n">
        <v>0</v>
      </c>
      <c r="AX1050" s="105" t="n">
        <v>0</v>
      </c>
      <c r="AY1050" s="105" t="n">
        <v>0</v>
      </c>
      <c r="AZ1050" s="105" t="n">
        <v>0</v>
      </c>
      <c r="BA1050" s="105" t="n">
        <v>0</v>
      </c>
      <c r="BB1050" s="105" t="n">
        <v>0</v>
      </c>
      <c r="BC1050" s="105" t="n">
        <v>0</v>
      </c>
      <c r="BD1050" s="105" t="n">
        <v>0</v>
      </c>
      <c r="BE1050" s="105" t="n">
        <v>0</v>
      </c>
      <c r="BF1050" s="105" t="n">
        <v>0</v>
      </c>
      <c r="BG1050" s="105" t="n">
        <v>0</v>
      </c>
      <c r="BH1050" s="105" t="n">
        <v>0</v>
      </c>
      <c r="BI1050" s="105" t="n">
        <v>0</v>
      </c>
      <c r="BJ1050" s="105" t="n">
        <v>0</v>
      </c>
      <c r="BK1050" s="105" t="n">
        <v>0</v>
      </c>
      <c r="BL1050" s="105" t="n">
        <v>0</v>
      </c>
      <c r="BM1050" s="105" t="n">
        <v>0</v>
      </c>
      <c r="BN1050" s="105" t="n">
        <v>0</v>
      </c>
      <c r="BO1050" s="105" t="n">
        <v>0</v>
      </c>
      <c r="BP1050" s="105" t="n">
        <v>0</v>
      </c>
      <c r="BQ1050" s="105" t="n">
        <v>0</v>
      </c>
      <c r="BR1050" s="106" t="n">
        <v>0</v>
      </c>
      <c r="BS1050" s="106" t="n">
        <v>0</v>
      </c>
      <c r="BT1050" s="107"/>
      <c r="BU1050" s="107"/>
      <c r="BV1050" s="107"/>
      <c r="BW1050" s="107"/>
      <c r="BX1050" s="107"/>
      <c r="BY1050" s="107"/>
      <c r="BZ1050" s="107"/>
      <c r="CA1050" s="107"/>
      <c r="CB1050" s="107"/>
      <c r="CC1050" s="107"/>
      <c r="CD1050" s="107"/>
      <c r="CE1050" s="107"/>
      <c r="CF1050" s="107"/>
      <c r="CG1050" s="107"/>
      <c r="CH1050" s="107"/>
      <c r="CI1050" s="107"/>
      <c r="CJ1050" s="107"/>
      <c r="CK1050" s="107"/>
      <c r="CL1050" s="107"/>
      <c r="CM1050" s="107"/>
      <c r="CN1050" s="107"/>
      <c r="CO1050" s="107"/>
      <c r="CP1050" s="107"/>
      <c r="CQ1050" s="107"/>
      <c r="CR1050" s="107"/>
      <c r="CS1050" s="107"/>
      <c r="CT1050" s="107"/>
      <c r="CU1050" s="107"/>
      <c r="CV1050" s="107"/>
    </row>
    <row r="1051" customFormat="false" ht="14.9" hidden="false" customHeight="false" outlineLevel="0" collapsed="false">
      <c r="A1051" s="74" t="n">
        <f aca="false">MONTH(B1051)</f>
        <v>10</v>
      </c>
      <c r="B1051" s="135" t="n">
        <v>44495</v>
      </c>
      <c r="C1051" s="128" t="s">
        <v>152</v>
      </c>
      <c r="D1051" s="77" t="str">
        <f aca="false">IFERROR(VLOOKUP(E:E,'Item Data Support Sheet'!A:O,7,0),"")</f>
        <v>HOOD MOLDED</v>
      </c>
      <c r="E1051" s="80" t="s">
        <v>529</v>
      </c>
      <c r="F1051" s="122"/>
      <c r="G1051" s="137" t="s">
        <v>740</v>
      </c>
      <c r="H1051" s="79" t="str">
        <f aca="false">IFERROR(VLOOKUP(E:E,'Item Data Support Sheet'!A:O,2,0),"")</f>
        <v>HOOD S TYPE MOLDED</v>
      </c>
      <c r="I1051" s="80" t="s">
        <v>1830</v>
      </c>
      <c r="J1051" s="80" t="s">
        <v>143</v>
      </c>
      <c r="K1051" s="124" t="n">
        <v>8</v>
      </c>
      <c r="L1051" s="124" t="n">
        <v>4137</v>
      </c>
      <c r="M1051" s="83" t="n">
        <v>517.125</v>
      </c>
      <c r="N1051" s="84" t="n">
        <f aca="false">+O1051+Q1051+T1051+U1051</f>
        <v>5083</v>
      </c>
      <c r="O1051" s="85" t="n">
        <v>5000</v>
      </c>
      <c r="P1051" s="86" t="n">
        <v>0</v>
      </c>
      <c r="Q1051" s="86" t="n">
        <v>45</v>
      </c>
      <c r="R1051" s="132" t="n">
        <v>0</v>
      </c>
      <c r="S1051" s="128" t="n">
        <v>0</v>
      </c>
      <c r="T1051" s="132" t="n">
        <v>30</v>
      </c>
      <c r="U1051" s="128" t="n">
        <v>8</v>
      </c>
      <c r="V1051" s="128" t="n">
        <v>1</v>
      </c>
      <c r="W1051" s="90" t="n">
        <f aca="false">IFERROR(O1051/V1051,0)</f>
        <v>5000</v>
      </c>
      <c r="X1051" s="91" t="n">
        <f aca="false">O1051/L1051</f>
        <v>1.20860526951898</v>
      </c>
      <c r="Y1051" s="92" t="str">
        <f aca="false">IFERROR(VLOOKUP(E:E,'Item Data Support Sheet'!A:J,6,0),0)</f>
        <v>HMC</v>
      </c>
      <c r="Z1051" s="93" t="n">
        <f aca="false">IFERROR(VLOOKUP(E:E,'Item Data Support Sheet'!A:O,4,0),0)</f>
        <v>8.6</v>
      </c>
      <c r="AA1051" s="93" t="n">
        <f aca="false">IFERROR(((N1051)*(Z1051/1000))+P1051,0)</f>
        <v>43.7138</v>
      </c>
      <c r="AB1051" s="94" t="n">
        <f aca="false">IFERROR((O1051*(Z1051/1000)/(AA1051))," ")</f>
        <v>0.983671060397403</v>
      </c>
      <c r="AC1051" s="95" t="n">
        <f aca="false">IFERROR((T1051)/((T1051)+O1051),0)</f>
        <v>0.00596421471172962</v>
      </c>
      <c r="AD1051" s="96" t="n">
        <f aca="false">IFERROR(Q1051/(Q1051+N1051),0)</f>
        <v>0.00877535101404056</v>
      </c>
      <c r="AE1051" s="91" t="n">
        <f aca="false">(N1051-T1051)/N1051</f>
        <v>0.994097973637616</v>
      </c>
      <c r="AF1051" s="97" t="n">
        <f aca="false">BR1051</f>
        <v>0.333333333333333</v>
      </c>
      <c r="AG1051" s="98" t="n">
        <f aca="false">K1051-AF1051</f>
        <v>7.66666666666667</v>
      </c>
      <c r="AH1051" s="99" t="n">
        <f aca="false">IFERROR(AG1051/K1051," ")</f>
        <v>0.958333333333333</v>
      </c>
      <c r="AI1051" s="100" t="n">
        <f aca="false">IFERROR(O1051/K1051,0)</f>
        <v>625</v>
      </c>
      <c r="AJ1051" s="101" t="n">
        <f aca="false">VLOOKUP(D1051,'Standard Cycle time'!C:D,2,0)</f>
        <v>6</v>
      </c>
      <c r="AK1051" s="101" t="n">
        <f aca="false">AG1051*V1051*3600/O1051</f>
        <v>5.52</v>
      </c>
      <c r="AL1051" s="102" t="n">
        <f aca="false">AJ1051/AK1051</f>
        <v>1.08695652173913</v>
      </c>
      <c r="AM1051" s="99" t="n">
        <f aca="false">AE1051*AL1051*AH1051</f>
        <v>1.03551872253918</v>
      </c>
      <c r="AN1051" s="103" t="n">
        <v>1.0356010610766</v>
      </c>
      <c r="AO1051" s="112" t="s">
        <v>1831</v>
      </c>
      <c r="AP1051" s="105" t="n">
        <v>0</v>
      </c>
      <c r="AQ1051" s="105" t="n">
        <v>0</v>
      </c>
      <c r="AR1051" s="105" t="n">
        <v>0</v>
      </c>
      <c r="AS1051" s="105" t="n">
        <v>0</v>
      </c>
      <c r="AT1051" s="105" t="n">
        <v>0</v>
      </c>
      <c r="AU1051" s="105" t="n">
        <v>0</v>
      </c>
      <c r="AV1051" s="105" t="n">
        <v>0</v>
      </c>
      <c r="AW1051" s="105" t="n">
        <v>0</v>
      </c>
      <c r="AX1051" s="105" t="n">
        <v>0</v>
      </c>
      <c r="AY1051" s="105" t="n">
        <v>0</v>
      </c>
      <c r="AZ1051" s="105" t="n">
        <v>20</v>
      </c>
      <c r="BA1051" s="105" t="n">
        <v>0</v>
      </c>
      <c r="BB1051" s="105" t="n">
        <v>0</v>
      </c>
      <c r="BC1051" s="105" t="n">
        <v>0</v>
      </c>
      <c r="BD1051" s="105" t="n">
        <v>0</v>
      </c>
      <c r="BE1051" s="105" t="n">
        <v>0</v>
      </c>
      <c r="BF1051" s="105" t="n">
        <v>0</v>
      </c>
      <c r="BG1051" s="105" t="n">
        <v>0</v>
      </c>
      <c r="BH1051" s="105" t="n">
        <v>0</v>
      </c>
      <c r="BI1051" s="105" t="n">
        <v>0</v>
      </c>
      <c r="BJ1051" s="105" t="n">
        <v>0</v>
      </c>
      <c r="BK1051" s="105" t="n">
        <v>0</v>
      </c>
      <c r="BL1051" s="105" t="n">
        <v>0</v>
      </c>
      <c r="BM1051" s="105" t="n">
        <v>0</v>
      </c>
      <c r="BN1051" s="105" t="n">
        <v>0</v>
      </c>
      <c r="BO1051" s="105" t="n">
        <v>0</v>
      </c>
      <c r="BP1051" s="105" t="n">
        <v>0</v>
      </c>
      <c r="BQ1051" s="105" t="n">
        <v>0</v>
      </c>
      <c r="BR1051" s="106" t="n">
        <v>0.333333333333333</v>
      </c>
      <c r="BS1051" s="106" t="n">
        <v>0.333333333333333</v>
      </c>
      <c r="BT1051" s="107"/>
      <c r="BU1051" s="107"/>
      <c r="BV1051" s="107"/>
      <c r="BW1051" s="107"/>
      <c r="BX1051" s="107"/>
      <c r="BY1051" s="107"/>
      <c r="BZ1051" s="107"/>
      <c r="CA1051" s="107"/>
      <c r="CB1051" s="107"/>
      <c r="CC1051" s="107"/>
      <c r="CD1051" s="107"/>
      <c r="CE1051" s="107"/>
      <c r="CF1051" s="107"/>
      <c r="CG1051" s="107"/>
      <c r="CH1051" s="107"/>
      <c r="CI1051" s="107"/>
      <c r="CJ1051" s="107"/>
      <c r="CK1051" s="107"/>
      <c r="CL1051" s="107"/>
      <c r="CM1051" s="107"/>
      <c r="CN1051" s="107"/>
      <c r="CO1051" s="107"/>
      <c r="CP1051" s="107"/>
      <c r="CQ1051" s="107"/>
      <c r="CR1051" s="107"/>
      <c r="CS1051" s="107"/>
      <c r="CT1051" s="107"/>
      <c r="CU1051" s="107"/>
      <c r="CV1051" s="107"/>
    </row>
    <row r="1052" customFormat="false" ht="14.9" hidden="false" customHeight="false" outlineLevel="0" collapsed="false">
      <c r="A1052" s="74" t="n">
        <f aca="false">MONTH(B1052)</f>
        <v>10</v>
      </c>
      <c r="B1052" s="135" t="n">
        <v>44495</v>
      </c>
      <c r="C1052" s="128" t="s">
        <v>152</v>
      </c>
      <c r="D1052" s="77" t="str">
        <f aca="false">IFERROR(VLOOKUP(E:E,'Item Data Support Sheet'!A:O,7,0),"")</f>
        <v>BOTTLE MOLDED</v>
      </c>
      <c r="E1052" s="80" t="s">
        <v>69</v>
      </c>
      <c r="F1052" s="122" t="s">
        <v>73</v>
      </c>
      <c r="G1052" s="137" t="s">
        <v>74</v>
      </c>
      <c r="H1052" s="79" t="str">
        <f aca="false">IFERROR(VLOOKUP(E:E,'Item Data Support Sheet'!A:O,2,0),"")</f>
        <v>KPP 240 ML BOTTLE MOLDED</v>
      </c>
      <c r="I1052" s="80" t="s">
        <v>1832</v>
      </c>
      <c r="J1052" s="80" t="s">
        <v>143</v>
      </c>
      <c r="K1052" s="124" t="n">
        <v>8</v>
      </c>
      <c r="L1052" s="124" t="n">
        <v>2574</v>
      </c>
      <c r="M1052" s="83" t="n">
        <v>321.75</v>
      </c>
      <c r="N1052" s="84" t="n">
        <f aca="false">+O1052+Q1052+T1052+U1052</f>
        <v>3340</v>
      </c>
      <c r="O1052" s="85" t="n">
        <v>3240</v>
      </c>
      <c r="P1052" s="86" t="n">
        <v>0</v>
      </c>
      <c r="Q1052" s="86" t="n">
        <v>30</v>
      </c>
      <c r="R1052" s="132" t="n">
        <v>0</v>
      </c>
      <c r="S1052" s="128" t="n">
        <v>0</v>
      </c>
      <c r="T1052" s="132" t="n">
        <v>62</v>
      </c>
      <c r="U1052" s="128" t="n">
        <v>8</v>
      </c>
      <c r="V1052" s="128" t="n">
        <v>1</v>
      </c>
      <c r="W1052" s="90" t="n">
        <f aca="false">IFERROR(O1052/V1052,0)</f>
        <v>3240</v>
      </c>
      <c r="X1052" s="91" t="n">
        <f aca="false">O1052/L1052</f>
        <v>1.25874125874126</v>
      </c>
      <c r="Y1052" s="92" t="str">
        <f aca="false">IFERROR(VLOOKUP(E:E,'Item Data Support Sheet'!A:J,6,0),0)</f>
        <v>HMC</v>
      </c>
      <c r="Z1052" s="93" t="n">
        <f aca="false">IFERROR(VLOOKUP(E:E,'Item Data Support Sheet'!A:O,4,0),0)</f>
        <v>32.1</v>
      </c>
      <c r="AA1052" s="93" t="n">
        <f aca="false">IFERROR(((N1052)*(Z1052/1000))+P1052,0)</f>
        <v>107.214</v>
      </c>
      <c r="AB1052" s="94" t="n">
        <f aca="false">IFERROR((O1052*(Z1052/1000)/(AA1052))," ")</f>
        <v>0.970059880239521</v>
      </c>
      <c r="AC1052" s="95" t="n">
        <f aca="false">IFERROR((T1052)/((T1052)+O1052),0)</f>
        <v>0.0187764990914597</v>
      </c>
      <c r="AD1052" s="96" t="n">
        <f aca="false">IFERROR(Q1052/(Q1052+N1052),0)</f>
        <v>0.00890207715133531</v>
      </c>
      <c r="AE1052" s="91" t="n">
        <f aca="false">(N1052-T1052)/N1052</f>
        <v>0.981437125748503</v>
      </c>
      <c r="AF1052" s="97" t="n">
        <f aca="false">BR1052</f>
        <v>0</v>
      </c>
      <c r="AG1052" s="98" t="n">
        <f aca="false">K1052-AF1052</f>
        <v>8</v>
      </c>
      <c r="AH1052" s="99" t="n">
        <f aca="false">IFERROR(AG1052/K1052," ")</f>
        <v>1</v>
      </c>
      <c r="AI1052" s="100" t="n">
        <f aca="false">IFERROR(O1052/K1052,0)</f>
        <v>405</v>
      </c>
      <c r="AJ1052" s="101" t="n">
        <f aca="false">VLOOKUP(D1052,'Standard Cycle time'!C:D,2,0)</f>
        <v>9</v>
      </c>
      <c r="AK1052" s="101" t="n">
        <f aca="false">AG1052*V1052*3600/O1052</f>
        <v>8.88888888888889</v>
      </c>
      <c r="AL1052" s="102" t="n">
        <f aca="false">AJ1052/AK1052</f>
        <v>1.0125</v>
      </c>
      <c r="AM1052" s="99" t="n">
        <f aca="false">AE1052*AL1052*AH1052</f>
        <v>0.993705089820359</v>
      </c>
      <c r="AN1052" s="103" t="n">
        <v>1.00015000983671</v>
      </c>
      <c r="AO1052" s="112"/>
      <c r="AP1052" s="105" t="n">
        <v>0</v>
      </c>
      <c r="AQ1052" s="105" t="n">
        <v>0</v>
      </c>
      <c r="AR1052" s="105" t="n">
        <v>0</v>
      </c>
      <c r="AS1052" s="105" t="n">
        <v>0</v>
      </c>
      <c r="AT1052" s="105" t="n">
        <v>0</v>
      </c>
      <c r="AU1052" s="105" t="n">
        <v>0</v>
      </c>
      <c r="AV1052" s="105" t="n">
        <v>0</v>
      </c>
      <c r="AW1052" s="105" t="n">
        <v>0</v>
      </c>
      <c r="AX1052" s="105" t="n">
        <v>0</v>
      </c>
      <c r="AY1052" s="105" t="n">
        <v>0</v>
      </c>
      <c r="AZ1052" s="105" t="n">
        <v>0</v>
      </c>
      <c r="BA1052" s="105" t="n">
        <v>0</v>
      </c>
      <c r="BB1052" s="105" t="n">
        <v>0</v>
      </c>
      <c r="BC1052" s="105" t="n">
        <v>0</v>
      </c>
      <c r="BD1052" s="105" t="n">
        <v>0</v>
      </c>
      <c r="BE1052" s="105" t="n">
        <v>0</v>
      </c>
      <c r="BF1052" s="105" t="n">
        <v>0</v>
      </c>
      <c r="BG1052" s="105" t="n">
        <v>0</v>
      </c>
      <c r="BH1052" s="105" t="n">
        <v>0</v>
      </c>
      <c r="BI1052" s="105" t="n">
        <v>0</v>
      </c>
      <c r="BJ1052" s="105" t="n">
        <v>0</v>
      </c>
      <c r="BK1052" s="105" t="n">
        <v>0</v>
      </c>
      <c r="BL1052" s="105" t="n">
        <v>0</v>
      </c>
      <c r="BM1052" s="105" t="n">
        <v>0</v>
      </c>
      <c r="BN1052" s="105" t="n">
        <v>0</v>
      </c>
      <c r="BO1052" s="105" t="n">
        <v>0</v>
      </c>
      <c r="BP1052" s="105" t="n">
        <v>0</v>
      </c>
      <c r="BQ1052" s="105" t="n">
        <v>0</v>
      </c>
      <c r="BR1052" s="106" t="n">
        <v>0</v>
      </c>
      <c r="BS1052" s="106" t="n">
        <v>0</v>
      </c>
      <c r="BT1052" s="107"/>
      <c r="BU1052" s="107"/>
      <c r="BV1052" s="107"/>
      <c r="BW1052" s="107"/>
      <c r="BX1052" s="107"/>
      <c r="BY1052" s="107"/>
      <c r="BZ1052" s="107"/>
      <c r="CA1052" s="107"/>
      <c r="CB1052" s="107"/>
      <c r="CC1052" s="107"/>
      <c r="CD1052" s="107"/>
      <c r="CE1052" s="107"/>
      <c r="CF1052" s="107"/>
      <c r="CG1052" s="107"/>
      <c r="CH1052" s="107"/>
      <c r="CI1052" s="107"/>
      <c r="CJ1052" s="107"/>
      <c r="CK1052" s="107"/>
      <c r="CL1052" s="107"/>
      <c r="CM1052" s="107"/>
      <c r="CN1052" s="107"/>
      <c r="CO1052" s="107"/>
      <c r="CP1052" s="107"/>
      <c r="CQ1052" s="107"/>
      <c r="CR1052" s="107"/>
      <c r="CS1052" s="107"/>
      <c r="CT1052" s="107"/>
      <c r="CU1052" s="107"/>
      <c r="CV1052" s="107"/>
    </row>
    <row r="1053" customFormat="false" ht="14.9" hidden="false" customHeight="false" outlineLevel="0" collapsed="false">
      <c r="A1053" s="74" t="n">
        <f aca="false">MONTH(B1053)</f>
        <v>10</v>
      </c>
      <c r="B1053" s="135" t="n">
        <v>44495</v>
      </c>
      <c r="C1053" s="128" t="s">
        <v>152</v>
      </c>
      <c r="D1053" s="77" t="str">
        <f aca="false">IFERROR(VLOOKUP(E:E,'Item Data Support Sheet'!A:O,7,0),"")</f>
        <v>NIPPLE MOLDED</v>
      </c>
      <c r="E1053" s="80" t="s">
        <v>244</v>
      </c>
      <c r="F1053" s="122" t="s">
        <v>137</v>
      </c>
      <c r="G1053" s="137" t="s">
        <v>138</v>
      </c>
      <c r="H1053" s="79" t="str">
        <f aca="false">IFERROR(VLOOKUP(E:E,'Item Data Support Sheet'!A:O,2,0),"")</f>
        <v>NIPPLE S TYPE S SIZE INJECTION</v>
      </c>
      <c r="I1053" s="80" t="s">
        <v>1833</v>
      </c>
      <c r="J1053" s="80" t="s">
        <v>143</v>
      </c>
      <c r="K1053" s="124" t="n">
        <v>8</v>
      </c>
      <c r="L1053" s="124" t="n">
        <v>4815</v>
      </c>
      <c r="M1053" s="83" t="n">
        <v>601.875</v>
      </c>
      <c r="N1053" s="84" t="n">
        <f aca="false">+O1053+Q1053+T1053+U1053</f>
        <v>5490</v>
      </c>
      <c r="O1053" s="85" t="n">
        <v>5400</v>
      </c>
      <c r="P1053" s="86" t="n">
        <v>0</v>
      </c>
      <c r="Q1053" s="86" t="n">
        <v>32</v>
      </c>
      <c r="R1053" s="132" t="n">
        <v>0</v>
      </c>
      <c r="S1053" s="128" t="n">
        <v>0</v>
      </c>
      <c r="T1053" s="132" t="n">
        <v>50</v>
      </c>
      <c r="U1053" s="128" t="n">
        <v>8</v>
      </c>
      <c r="V1053" s="128" t="n">
        <v>1</v>
      </c>
      <c r="W1053" s="90" t="n">
        <f aca="false">IFERROR(O1053/V1053,0)</f>
        <v>5400</v>
      </c>
      <c r="X1053" s="91" t="n">
        <f aca="false">O1053/L1053</f>
        <v>1.1214953271028</v>
      </c>
      <c r="Y1053" s="92" t="str">
        <f aca="false">IFERROR(VLOOKUP(E:E,'Item Data Support Sheet'!A:J,6,0),0)</f>
        <v>Silicon</v>
      </c>
      <c r="Z1053" s="93" t="n">
        <f aca="false">IFERROR(VLOOKUP(E:E,'Item Data Support Sheet'!A:O,4,0),0)</f>
        <v>6.8</v>
      </c>
      <c r="AA1053" s="93" t="n">
        <f aca="false">IFERROR(((N1053)*(Z1053/1000))+P1053,0)</f>
        <v>37.332</v>
      </c>
      <c r="AB1053" s="94" t="n">
        <f aca="false">IFERROR((O1053*(Z1053/1000)/(AA1053))," ")</f>
        <v>0.983606557377049</v>
      </c>
      <c r="AC1053" s="95" t="n">
        <f aca="false">IFERROR((T1053)/((T1053)+O1053),0)</f>
        <v>0.0091743119266055</v>
      </c>
      <c r="AD1053" s="96" t="n">
        <f aca="false">IFERROR(Q1053/(Q1053+N1053),0)</f>
        <v>0.00579500181093807</v>
      </c>
      <c r="AE1053" s="91" t="n">
        <f aca="false">(N1053-T1053)/N1053</f>
        <v>0.990892531876138</v>
      </c>
      <c r="AF1053" s="97" t="n">
        <f aca="false">BR1053</f>
        <v>0.5</v>
      </c>
      <c r="AG1053" s="98" t="n">
        <f aca="false">K1053-AF1053</f>
        <v>7.5</v>
      </c>
      <c r="AH1053" s="99" t="n">
        <f aca="false">IFERROR(AG1053/K1053," ")</f>
        <v>0.9375</v>
      </c>
      <c r="AI1053" s="100" t="n">
        <f aca="false">IFERROR(O1053/K1053,0)</f>
        <v>675</v>
      </c>
      <c r="AJ1053" s="101" t="n">
        <f aca="false">VLOOKUP(D1053,'Standard Cycle time'!C:D,2,0)</f>
        <v>5.25</v>
      </c>
      <c r="AK1053" s="101" t="n">
        <f aca="false">AG1053*V1053*3600/O1053</f>
        <v>5</v>
      </c>
      <c r="AL1053" s="102" t="n">
        <f aca="false">AJ1053/AK1053</f>
        <v>1.05</v>
      </c>
      <c r="AM1053" s="99" t="n">
        <f aca="false">AE1053*AL1053*AH1053</f>
        <v>0.975409836065574</v>
      </c>
      <c r="AN1053" s="103" t="n">
        <v>0.969638847305389</v>
      </c>
      <c r="AO1053" s="112"/>
      <c r="AP1053" s="105" t="n">
        <v>0</v>
      </c>
      <c r="AQ1053" s="105" t="n">
        <v>0</v>
      </c>
      <c r="AR1053" s="105" t="n">
        <v>0</v>
      </c>
      <c r="AS1053" s="105" t="n">
        <v>0</v>
      </c>
      <c r="AT1053" s="105" t="n">
        <v>0</v>
      </c>
      <c r="AU1053" s="105" t="n">
        <v>0</v>
      </c>
      <c r="AV1053" s="105" t="n">
        <v>0</v>
      </c>
      <c r="AW1053" s="105" t="n">
        <v>30</v>
      </c>
      <c r="AX1053" s="105" t="n">
        <v>0</v>
      </c>
      <c r="AY1053" s="105" t="n">
        <v>0</v>
      </c>
      <c r="AZ1053" s="105" t="n">
        <v>0</v>
      </c>
      <c r="BA1053" s="105" t="n">
        <v>0</v>
      </c>
      <c r="BB1053" s="105" t="n">
        <v>0</v>
      </c>
      <c r="BC1053" s="105" t="n">
        <v>0</v>
      </c>
      <c r="BD1053" s="105" t="n">
        <v>0</v>
      </c>
      <c r="BE1053" s="105" t="n">
        <v>0</v>
      </c>
      <c r="BF1053" s="105" t="n">
        <v>0</v>
      </c>
      <c r="BG1053" s="105" t="n">
        <v>0</v>
      </c>
      <c r="BH1053" s="105" t="n">
        <v>0</v>
      </c>
      <c r="BI1053" s="105" t="n">
        <v>0</v>
      </c>
      <c r="BJ1053" s="105" t="n">
        <v>0</v>
      </c>
      <c r="BK1053" s="105" t="n">
        <v>0</v>
      </c>
      <c r="BL1053" s="105" t="n">
        <v>0</v>
      </c>
      <c r="BM1053" s="105" t="n">
        <v>0</v>
      </c>
      <c r="BN1053" s="105" t="n">
        <v>0</v>
      </c>
      <c r="BO1053" s="105" t="n">
        <v>0</v>
      </c>
      <c r="BP1053" s="105" t="n">
        <v>0</v>
      </c>
      <c r="BQ1053" s="105" t="n">
        <v>0</v>
      </c>
      <c r="BR1053" s="106" t="n">
        <v>0.5</v>
      </c>
      <c r="BS1053" s="106" t="n">
        <v>0.5</v>
      </c>
      <c r="BT1053" s="107"/>
      <c r="BU1053" s="107"/>
      <c r="BV1053" s="107"/>
      <c r="BW1053" s="107"/>
      <c r="BX1053" s="107"/>
      <c r="BY1053" s="107"/>
      <c r="BZ1053" s="107"/>
      <c r="CA1053" s="107"/>
      <c r="CB1053" s="107"/>
      <c r="CC1053" s="107"/>
      <c r="CD1053" s="107"/>
      <c r="CE1053" s="107"/>
      <c r="CF1053" s="107"/>
      <c r="CG1053" s="107"/>
      <c r="CH1053" s="107"/>
      <c r="CI1053" s="107"/>
      <c r="CJ1053" s="107"/>
      <c r="CK1053" s="107"/>
      <c r="CL1053" s="107"/>
      <c r="CM1053" s="107"/>
      <c r="CN1053" s="107"/>
      <c r="CO1053" s="107"/>
      <c r="CP1053" s="107"/>
      <c r="CQ1053" s="107"/>
      <c r="CR1053" s="107"/>
      <c r="CS1053" s="107"/>
      <c r="CT1053" s="107"/>
      <c r="CU1053" s="107"/>
      <c r="CV1053" s="107"/>
    </row>
    <row r="1054" customFormat="false" ht="14.9" hidden="false" customHeight="false" outlineLevel="0" collapsed="false">
      <c r="A1054" s="74" t="n">
        <f aca="false">MONTH(B1054)</f>
        <v>10</v>
      </c>
      <c r="B1054" s="135" t="n">
        <v>44496</v>
      </c>
      <c r="C1054" s="128" t="s">
        <v>51</v>
      </c>
      <c r="D1054" s="77" t="str">
        <f aca="false">IFERROR(VLOOKUP(E:E,'Item Data Support Sheet'!A:O,7,0),"")</f>
        <v>BOTTLE MOLDED</v>
      </c>
      <c r="E1054" s="80" t="s">
        <v>69</v>
      </c>
      <c r="F1054" s="122" t="s">
        <v>73</v>
      </c>
      <c r="G1054" s="137" t="s">
        <v>74</v>
      </c>
      <c r="H1054" s="79" t="str">
        <f aca="false">IFERROR(VLOOKUP(E:E,'Item Data Support Sheet'!A:O,2,0),"")</f>
        <v>KPP 240 ML BOTTLE MOLDED</v>
      </c>
      <c r="I1054" s="80" t="s">
        <v>1834</v>
      </c>
      <c r="J1054" s="80" t="s">
        <v>148</v>
      </c>
      <c r="K1054" s="124" t="n">
        <v>8</v>
      </c>
      <c r="L1054" s="124" t="n">
        <v>2574</v>
      </c>
      <c r="M1054" s="83" t="n">
        <v>321.75</v>
      </c>
      <c r="N1054" s="84" t="n">
        <f aca="false">+O1054+Q1054+T1054+U1054</f>
        <v>3420</v>
      </c>
      <c r="O1054" s="85" t="n">
        <v>3348</v>
      </c>
      <c r="P1054" s="86" t="n">
        <v>0</v>
      </c>
      <c r="Q1054" s="86" t="n">
        <v>22</v>
      </c>
      <c r="R1054" s="132" t="n">
        <v>0</v>
      </c>
      <c r="S1054" s="128" t="n">
        <v>0</v>
      </c>
      <c r="T1054" s="132" t="n">
        <v>42</v>
      </c>
      <c r="U1054" s="128" t="n">
        <v>8</v>
      </c>
      <c r="V1054" s="128" t="n">
        <v>1</v>
      </c>
      <c r="W1054" s="90" t="n">
        <f aca="false">IFERROR(O1054/V1054,0)</f>
        <v>3348</v>
      </c>
      <c r="X1054" s="91" t="n">
        <f aca="false">O1054/L1054</f>
        <v>1.3006993006993</v>
      </c>
      <c r="Y1054" s="92" t="str">
        <f aca="false">IFERROR(VLOOKUP(E:E,'Item Data Support Sheet'!A:J,6,0),0)</f>
        <v>HMC</v>
      </c>
      <c r="Z1054" s="93" t="n">
        <f aca="false">IFERROR(VLOOKUP(E:E,'Item Data Support Sheet'!A:O,4,0),0)</f>
        <v>32.1</v>
      </c>
      <c r="AA1054" s="93" t="n">
        <f aca="false">IFERROR(((N1054)*(Z1054/1000))+P1054,0)</f>
        <v>109.782</v>
      </c>
      <c r="AB1054" s="94" t="n">
        <f aca="false">IFERROR((O1054*(Z1054/1000)/(AA1054))," ")</f>
        <v>0.978947368421053</v>
      </c>
      <c r="AC1054" s="95" t="n">
        <f aca="false">IFERROR((T1054)/((T1054)+O1054),0)</f>
        <v>0.0123893805309735</v>
      </c>
      <c r="AD1054" s="96" t="n">
        <f aca="false">IFERROR(Q1054/(Q1054+N1054),0)</f>
        <v>0.00639163277164439</v>
      </c>
      <c r="AE1054" s="91" t="n">
        <f aca="false">(N1054-T1054)/N1054</f>
        <v>0.987719298245614</v>
      </c>
      <c r="AF1054" s="97" t="n">
        <f aca="false">BR1054</f>
        <v>0</v>
      </c>
      <c r="AG1054" s="98" t="n">
        <f aca="false">K1054-AF1054</f>
        <v>8</v>
      </c>
      <c r="AH1054" s="99" t="n">
        <f aca="false">IFERROR(AG1054/K1054," ")</f>
        <v>1</v>
      </c>
      <c r="AI1054" s="100" t="n">
        <f aca="false">IFERROR(O1054/K1054,0)</f>
        <v>418.5</v>
      </c>
      <c r="AJ1054" s="101" t="n">
        <f aca="false">VLOOKUP(D1054,'Standard Cycle time'!C:D,2,0)</f>
        <v>9</v>
      </c>
      <c r="AK1054" s="101" t="n">
        <f aca="false">AG1054*V1054*3600/O1054</f>
        <v>8.60215053763441</v>
      </c>
      <c r="AL1054" s="102" t="n">
        <f aca="false">AJ1054/AK1054</f>
        <v>1.04625</v>
      </c>
      <c r="AM1054" s="99" t="n">
        <f aca="false">AE1054*AL1054*AH1054</f>
        <v>1.03340131578947</v>
      </c>
      <c r="AN1054" s="103" t="n">
        <v>1.03824590163934</v>
      </c>
      <c r="AO1054" s="112" t="s">
        <v>1785</v>
      </c>
      <c r="AP1054" s="105" t="n">
        <v>0</v>
      </c>
      <c r="AQ1054" s="105" t="n">
        <v>0</v>
      </c>
      <c r="AR1054" s="105" t="n">
        <v>0</v>
      </c>
      <c r="AS1054" s="105" t="n">
        <v>0</v>
      </c>
      <c r="AT1054" s="105" t="n">
        <v>0</v>
      </c>
      <c r="AU1054" s="105" t="n">
        <v>0</v>
      </c>
      <c r="AV1054" s="105" t="n">
        <v>0</v>
      </c>
      <c r="AW1054" s="105" t="n">
        <v>0</v>
      </c>
      <c r="AX1054" s="105" t="n">
        <v>0</v>
      </c>
      <c r="AY1054" s="105" t="n">
        <v>0</v>
      </c>
      <c r="AZ1054" s="105" t="n">
        <v>0</v>
      </c>
      <c r="BA1054" s="105" t="n">
        <v>0</v>
      </c>
      <c r="BB1054" s="105" t="n">
        <v>0</v>
      </c>
      <c r="BC1054" s="105" t="n">
        <v>0</v>
      </c>
      <c r="BD1054" s="105" t="n">
        <v>0</v>
      </c>
      <c r="BE1054" s="105" t="n">
        <v>0</v>
      </c>
      <c r="BF1054" s="105" t="n">
        <v>0</v>
      </c>
      <c r="BG1054" s="105" t="n">
        <v>0</v>
      </c>
      <c r="BH1054" s="105" t="n">
        <v>0</v>
      </c>
      <c r="BI1054" s="105" t="n">
        <v>0</v>
      </c>
      <c r="BJ1054" s="105" t="n">
        <v>0</v>
      </c>
      <c r="BK1054" s="105" t="n">
        <v>0</v>
      </c>
      <c r="BL1054" s="105" t="n">
        <v>0</v>
      </c>
      <c r="BM1054" s="105" t="n">
        <v>0</v>
      </c>
      <c r="BN1054" s="105" t="n">
        <v>0</v>
      </c>
      <c r="BO1054" s="105" t="n">
        <v>0</v>
      </c>
      <c r="BP1054" s="105" t="n">
        <v>0</v>
      </c>
      <c r="BQ1054" s="105" t="n">
        <v>0</v>
      </c>
      <c r="BR1054" s="106" t="n">
        <v>0</v>
      </c>
      <c r="BS1054" s="106" t="n">
        <v>0</v>
      </c>
      <c r="BT1054" s="107"/>
      <c r="BU1054" s="107"/>
      <c r="BV1054" s="107"/>
      <c r="BW1054" s="107"/>
      <c r="BX1054" s="107"/>
      <c r="BY1054" s="107"/>
      <c r="BZ1054" s="107"/>
      <c r="CA1054" s="107"/>
      <c r="CB1054" s="107"/>
      <c r="CC1054" s="107"/>
      <c r="CD1054" s="107"/>
      <c r="CE1054" s="107"/>
      <c r="CF1054" s="107"/>
      <c r="CG1054" s="107"/>
      <c r="CH1054" s="107"/>
      <c r="CI1054" s="107"/>
      <c r="CJ1054" s="107"/>
      <c r="CK1054" s="107"/>
      <c r="CL1054" s="107"/>
      <c r="CM1054" s="107"/>
      <c r="CN1054" s="107"/>
      <c r="CO1054" s="107"/>
      <c r="CP1054" s="107"/>
      <c r="CQ1054" s="107"/>
      <c r="CR1054" s="107"/>
      <c r="CS1054" s="107"/>
      <c r="CT1054" s="107"/>
      <c r="CU1054" s="107"/>
      <c r="CV1054" s="107"/>
    </row>
    <row r="1055" customFormat="false" ht="14.9" hidden="false" customHeight="false" outlineLevel="0" collapsed="false">
      <c r="A1055" s="74" t="n">
        <f aca="false">MONTH(B1055)</f>
        <v>10</v>
      </c>
      <c r="B1055" s="135" t="n">
        <v>44496</v>
      </c>
      <c r="C1055" s="128" t="s">
        <v>51</v>
      </c>
      <c r="D1055" s="77" t="str">
        <f aca="false">IFERROR(VLOOKUP(E:E,'Item Data Support Sheet'!A:O,7,0),"")</f>
        <v>NIPPLE MOLDED</v>
      </c>
      <c r="E1055" s="80" t="s">
        <v>244</v>
      </c>
      <c r="F1055" s="122" t="s">
        <v>137</v>
      </c>
      <c r="G1055" s="137" t="s">
        <v>138</v>
      </c>
      <c r="H1055" s="79" t="str">
        <f aca="false">IFERROR(VLOOKUP(E:E,'Item Data Support Sheet'!A:O,2,0),"")</f>
        <v>NIPPLE S TYPE S SIZE INJECTION</v>
      </c>
      <c r="I1055" s="80" t="s">
        <v>1835</v>
      </c>
      <c r="J1055" s="80" t="s">
        <v>148</v>
      </c>
      <c r="K1055" s="124" t="n">
        <v>8</v>
      </c>
      <c r="L1055" s="124" t="n">
        <v>4815</v>
      </c>
      <c r="M1055" s="83" t="n">
        <v>601.875</v>
      </c>
      <c r="N1055" s="84" t="n">
        <f aca="false">+O1055+Q1055+T1055+U1055</f>
        <v>5697</v>
      </c>
      <c r="O1055" s="85" t="n">
        <v>5600</v>
      </c>
      <c r="P1055" s="86" t="n">
        <v>0</v>
      </c>
      <c r="Q1055" s="86" t="n">
        <v>36</v>
      </c>
      <c r="R1055" s="132" t="n">
        <v>0</v>
      </c>
      <c r="S1055" s="128" t="n">
        <v>0</v>
      </c>
      <c r="T1055" s="132" t="n">
        <v>53</v>
      </c>
      <c r="U1055" s="128" t="n">
        <v>8</v>
      </c>
      <c r="V1055" s="128" t="n">
        <v>1</v>
      </c>
      <c r="W1055" s="90" t="n">
        <f aca="false">IFERROR(O1055/V1055,0)</f>
        <v>5600</v>
      </c>
      <c r="X1055" s="91" t="n">
        <f aca="false">O1055/L1055</f>
        <v>1.16303219106957</v>
      </c>
      <c r="Y1055" s="92" t="str">
        <f aca="false">IFERROR(VLOOKUP(E:E,'Item Data Support Sheet'!A:J,6,0),0)</f>
        <v>Silicon</v>
      </c>
      <c r="Z1055" s="93" t="n">
        <f aca="false">IFERROR(VLOOKUP(E:E,'Item Data Support Sheet'!A:O,4,0),0)</f>
        <v>6.8</v>
      </c>
      <c r="AA1055" s="93" t="n">
        <f aca="false">IFERROR(((N1055)*(Z1055/1000))+P1055,0)</f>
        <v>38.7396</v>
      </c>
      <c r="AB1055" s="94" t="n">
        <f aca="false">IFERROR((O1055*(Z1055/1000)/(AA1055))," ")</f>
        <v>0.982973494821836</v>
      </c>
      <c r="AC1055" s="95" t="n">
        <f aca="false">IFERROR((T1055)/((T1055)+O1055),0)</f>
        <v>0.00937555280382098</v>
      </c>
      <c r="AD1055" s="96" t="n">
        <f aca="false">IFERROR(Q1055/(Q1055+N1055),0)</f>
        <v>0.00627943485086342</v>
      </c>
      <c r="AE1055" s="91" t="n">
        <f aca="false">(N1055-T1055)/N1055</f>
        <v>0.990696857995436</v>
      </c>
      <c r="AF1055" s="97" t="n">
        <f aca="false">BR1055</f>
        <v>0</v>
      </c>
      <c r="AG1055" s="98" t="n">
        <f aca="false">K1055-AF1055</f>
        <v>8</v>
      </c>
      <c r="AH1055" s="99" t="n">
        <f aca="false">IFERROR(AG1055/K1055," ")</f>
        <v>1</v>
      </c>
      <c r="AI1055" s="100" t="n">
        <f aca="false">IFERROR(O1055/K1055,0)</f>
        <v>700</v>
      </c>
      <c r="AJ1055" s="101" t="n">
        <f aca="false">VLOOKUP(D1055,'Standard Cycle time'!C:D,2,0)</f>
        <v>5.25</v>
      </c>
      <c r="AK1055" s="101" t="n">
        <f aca="false">AG1055*V1055*3600/O1055</f>
        <v>5.14285714285714</v>
      </c>
      <c r="AL1055" s="102" t="n">
        <f aca="false">AJ1055/AK1055</f>
        <v>1.02083333333333</v>
      </c>
      <c r="AM1055" s="99" t="n">
        <f aca="false">AE1055*AL1055*AH1055</f>
        <v>1.01133637587034</v>
      </c>
      <c r="AN1055" s="103" t="n">
        <v>1.00501340155945</v>
      </c>
      <c r="AO1055" s="112" t="s">
        <v>1785</v>
      </c>
      <c r="AP1055" s="105" t="n">
        <v>0</v>
      </c>
      <c r="AQ1055" s="105" t="n">
        <v>0</v>
      </c>
      <c r="AR1055" s="105" t="n">
        <v>0</v>
      </c>
      <c r="AS1055" s="105" t="n">
        <v>0</v>
      </c>
      <c r="AT1055" s="105" t="n">
        <v>0</v>
      </c>
      <c r="AU1055" s="105" t="n">
        <v>0</v>
      </c>
      <c r="AV1055" s="105" t="n">
        <v>0</v>
      </c>
      <c r="AW1055" s="105" t="n">
        <v>0</v>
      </c>
      <c r="AX1055" s="105" t="n">
        <v>0</v>
      </c>
      <c r="AY1055" s="105" t="n">
        <v>0</v>
      </c>
      <c r="AZ1055" s="105" t="n">
        <v>0</v>
      </c>
      <c r="BA1055" s="105" t="n">
        <v>0</v>
      </c>
      <c r="BB1055" s="105" t="n">
        <v>0</v>
      </c>
      <c r="BC1055" s="105" t="n">
        <v>0</v>
      </c>
      <c r="BD1055" s="105" t="n">
        <v>0</v>
      </c>
      <c r="BE1055" s="105" t="n">
        <v>0</v>
      </c>
      <c r="BF1055" s="105" t="n">
        <v>0</v>
      </c>
      <c r="BG1055" s="105" t="n">
        <v>0</v>
      </c>
      <c r="BH1055" s="105" t="n">
        <v>0</v>
      </c>
      <c r="BI1055" s="105" t="n">
        <v>0</v>
      </c>
      <c r="BJ1055" s="105" t="n">
        <v>0</v>
      </c>
      <c r="BK1055" s="105" t="n">
        <v>0</v>
      </c>
      <c r="BL1055" s="105" t="n">
        <v>0</v>
      </c>
      <c r="BM1055" s="105" t="n">
        <v>0</v>
      </c>
      <c r="BN1055" s="105" t="n">
        <v>0</v>
      </c>
      <c r="BO1055" s="105" t="n">
        <v>0</v>
      </c>
      <c r="BP1055" s="105" t="n">
        <v>0</v>
      </c>
      <c r="BQ1055" s="105" t="n">
        <v>0</v>
      </c>
      <c r="BR1055" s="106" t="n">
        <v>0</v>
      </c>
      <c r="BS1055" s="106" t="n">
        <v>0</v>
      </c>
      <c r="BT1055" s="107"/>
      <c r="BU1055" s="107"/>
      <c r="BV1055" s="107"/>
      <c r="BW1055" s="107"/>
      <c r="BX1055" s="107"/>
      <c r="BY1055" s="107"/>
      <c r="BZ1055" s="107"/>
      <c r="CA1055" s="107"/>
      <c r="CB1055" s="107"/>
      <c r="CC1055" s="107"/>
      <c r="CD1055" s="107"/>
      <c r="CE1055" s="107"/>
      <c r="CF1055" s="107"/>
      <c r="CG1055" s="107"/>
      <c r="CH1055" s="107"/>
      <c r="CI1055" s="107"/>
      <c r="CJ1055" s="107"/>
      <c r="CK1055" s="107"/>
      <c r="CL1055" s="107"/>
      <c r="CM1055" s="107"/>
      <c r="CN1055" s="107"/>
      <c r="CO1055" s="107"/>
      <c r="CP1055" s="107"/>
      <c r="CQ1055" s="107"/>
      <c r="CR1055" s="107"/>
      <c r="CS1055" s="107"/>
      <c r="CT1055" s="107"/>
      <c r="CU1055" s="107"/>
      <c r="CV1055" s="107"/>
    </row>
    <row r="1056" customFormat="false" ht="14.9" hidden="false" customHeight="false" outlineLevel="0" collapsed="false">
      <c r="A1056" s="74" t="n">
        <f aca="false">MONTH(B1056)</f>
        <v>10</v>
      </c>
      <c r="B1056" s="135" t="n">
        <v>44496</v>
      </c>
      <c r="C1056" s="128" t="s">
        <v>51</v>
      </c>
      <c r="D1056" s="77" t="str">
        <f aca="false">IFERROR(VLOOKUP(E:E,'Item Data Support Sheet'!A:O,7,0),"")</f>
        <v>HOOD MOLDED</v>
      </c>
      <c r="E1056" s="80" t="s">
        <v>529</v>
      </c>
      <c r="F1056" s="122"/>
      <c r="G1056" s="137" t="s">
        <v>740</v>
      </c>
      <c r="H1056" s="79" t="str">
        <f aca="false">IFERROR(VLOOKUP(E:E,'Item Data Support Sheet'!A:O,2,0),"")</f>
        <v>HOOD S TYPE MOLDED</v>
      </c>
      <c r="I1056" s="80" t="s">
        <v>1836</v>
      </c>
      <c r="J1056" s="80" t="s">
        <v>148</v>
      </c>
      <c r="K1056" s="124" t="n">
        <v>8</v>
      </c>
      <c r="L1056" s="124" t="n">
        <v>4137</v>
      </c>
      <c r="M1056" s="83" t="n">
        <v>517.125</v>
      </c>
      <c r="N1056" s="84" t="n">
        <f aca="false">+O1056+Q1056+T1056+U1056</f>
        <v>5012</v>
      </c>
      <c r="O1056" s="85" t="n">
        <v>5000</v>
      </c>
      <c r="P1056" s="86" t="n">
        <v>0</v>
      </c>
      <c r="Q1056" s="86" t="n">
        <v>0</v>
      </c>
      <c r="R1056" s="132" t="n">
        <v>0</v>
      </c>
      <c r="S1056" s="128" t="n">
        <v>0</v>
      </c>
      <c r="T1056" s="132" t="n">
        <v>4</v>
      </c>
      <c r="U1056" s="128" t="n">
        <v>8</v>
      </c>
      <c r="V1056" s="128" t="n">
        <v>1</v>
      </c>
      <c r="W1056" s="90" t="n">
        <f aca="false">IFERROR(O1056/V1056,0)</f>
        <v>5000</v>
      </c>
      <c r="X1056" s="91" t="n">
        <f aca="false">O1056/L1056</f>
        <v>1.20860526951898</v>
      </c>
      <c r="Y1056" s="92" t="str">
        <f aca="false">IFERROR(VLOOKUP(E:E,'Item Data Support Sheet'!A:J,6,0),0)</f>
        <v>HMC</v>
      </c>
      <c r="Z1056" s="93" t="n">
        <f aca="false">IFERROR(VLOOKUP(E:E,'Item Data Support Sheet'!A:O,4,0),0)</f>
        <v>8.6</v>
      </c>
      <c r="AA1056" s="93" t="n">
        <f aca="false">IFERROR(((N1056)*(Z1056/1000))+P1056,0)</f>
        <v>43.1032</v>
      </c>
      <c r="AB1056" s="94" t="n">
        <f aca="false">IFERROR((O1056*(Z1056/1000)/(AA1056))," ")</f>
        <v>0.997605746209098</v>
      </c>
      <c r="AC1056" s="95" t="n">
        <f aca="false">IFERROR((T1056)/((T1056)+O1056),0)</f>
        <v>0.000799360511590727</v>
      </c>
      <c r="AD1056" s="96" t="n">
        <f aca="false">IFERROR(Q1056/(Q1056+N1056),0)</f>
        <v>0</v>
      </c>
      <c r="AE1056" s="91" t="n">
        <f aca="false">(N1056-T1056)/N1056</f>
        <v>0.999201915403033</v>
      </c>
      <c r="AF1056" s="97" t="n">
        <f aca="false">BR1056</f>
        <v>0</v>
      </c>
      <c r="AG1056" s="98" t="n">
        <f aca="false">K1056-AF1056</f>
        <v>8</v>
      </c>
      <c r="AH1056" s="99" t="n">
        <f aca="false">IFERROR(AG1056/K1056," ")</f>
        <v>1</v>
      </c>
      <c r="AI1056" s="100" t="n">
        <f aca="false">IFERROR(O1056/K1056,0)</f>
        <v>625</v>
      </c>
      <c r="AJ1056" s="101" t="n">
        <f aca="false">VLOOKUP(D1056,'Standard Cycle time'!C:D,2,0)</f>
        <v>6</v>
      </c>
      <c r="AK1056" s="101" t="n">
        <f aca="false">AG1056*V1056*3600/O1056</f>
        <v>5.76</v>
      </c>
      <c r="AL1056" s="102" t="n">
        <f aca="false">AJ1056/AK1056</f>
        <v>1.04166666666667</v>
      </c>
      <c r="AM1056" s="99" t="n">
        <f aca="false">AE1056*AL1056*AH1056</f>
        <v>1.04083532854483</v>
      </c>
      <c r="AN1056" s="103" t="n">
        <v>1.04093528757826</v>
      </c>
      <c r="AO1056" s="112" t="s">
        <v>1785</v>
      </c>
      <c r="AP1056" s="105" t="n">
        <v>0</v>
      </c>
      <c r="AQ1056" s="105" t="n">
        <v>0</v>
      </c>
      <c r="AR1056" s="105" t="n">
        <v>0</v>
      </c>
      <c r="AS1056" s="105" t="n">
        <v>0</v>
      </c>
      <c r="AT1056" s="105" t="n">
        <v>0</v>
      </c>
      <c r="AU1056" s="105" t="n">
        <v>0</v>
      </c>
      <c r="AV1056" s="105" t="n">
        <v>0</v>
      </c>
      <c r="AW1056" s="105" t="n">
        <v>0</v>
      </c>
      <c r="AX1056" s="105" t="n">
        <v>0</v>
      </c>
      <c r="AY1056" s="105" t="n">
        <v>0</v>
      </c>
      <c r="AZ1056" s="105" t="n">
        <v>0</v>
      </c>
      <c r="BA1056" s="105" t="n">
        <v>0</v>
      </c>
      <c r="BB1056" s="105" t="n">
        <v>0</v>
      </c>
      <c r="BC1056" s="105" t="n">
        <v>0</v>
      </c>
      <c r="BD1056" s="105" t="n">
        <v>0</v>
      </c>
      <c r="BE1056" s="105" t="n">
        <v>0</v>
      </c>
      <c r="BF1056" s="105" t="n">
        <v>0</v>
      </c>
      <c r="BG1056" s="105" t="n">
        <v>0</v>
      </c>
      <c r="BH1056" s="105" t="n">
        <v>0</v>
      </c>
      <c r="BI1056" s="105" t="n">
        <v>0</v>
      </c>
      <c r="BJ1056" s="105" t="n">
        <v>0</v>
      </c>
      <c r="BK1056" s="105" t="n">
        <v>0</v>
      </c>
      <c r="BL1056" s="105" t="n">
        <v>0</v>
      </c>
      <c r="BM1056" s="105" t="n">
        <v>0</v>
      </c>
      <c r="BN1056" s="105" t="n">
        <v>0</v>
      </c>
      <c r="BO1056" s="105" t="n">
        <v>0</v>
      </c>
      <c r="BP1056" s="105" t="n">
        <v>0</v>
      </c>
      <c r="BQ1056" s="105" t="n">
        <v>0</v>
      </c>
      <c r="BR1056" s="106" t="n">
        <v>0</v>
      </c>
      <c r="BS1056" s="106" t="n">
        <v>0</v>
      </c>
      <c r="BT1056" s="107"/>
      <c r="BU1056" s="107"/>
      <c r="BV1056" s="107"/>
      <c r="BW1056" s="107"/>
      <c r="BX1056" s="107"/>
      <c r="BY1056" s="107"/>
      <c r="BZ1056" s="107"/>
      <c r="CA1056" s="107"/>
      <c r="CB1056" s="107"/>
      <c r="CC1056" s="107"/>
      <c r="CD1056" s="107"/>
      <c r="CE1056" s="107"/>
      <c r="CF1056" s="107"/>
      <c r="CG1056" s="107"/>
      <c r="CH1056" s="107"/>
      <c r="CI1056" s="107"/>
      <c r="CJ1056" s="107"/>
      <c r="CK1056" s="107"/>
      <c r="CL1056" s="107"/>
      <c r="CM1056" s="107"/>
      <c r="CN1056" s="107"/>
      <c r="CO1056" s="107"/>
      <c r="CP1056" s="107"/>
      <c r="CQ1056" s="107"/>
      <c r="CR1056" s="107"/>
      <c r="CS1056" s="107"/>
      <c r="CT1056" s="107"/>
      <c r="CU1056" s="107"/>
      <c r="CV1056" s="107"/>
    </row>
    <row r="1057" customFormat="false" ht="14.9" hidden="false" customHeight="false" outlineLevel="0" collapsed="false">
      <c r="A1057" s="74" t="n">
        <f aca="false">MONTH(B1057)</f>
        <v>10</v>
      </c>
      <c r="B1057" s="135" t="n">
        <v>44496</v>
      </c>
      <c r="C1057" s="128" t="s">
        <v>51</v>
      </c>
      <c r="D1057" s="77" t="str">
        <f aca="false">IFERROR(VLOOKUP(E:E,'Item Data Support Sheet'!A:O,7,0),"")</f>
        <v>NIPPLE PUNCH</v>
      </c>
      <c r="E1057" s="80" t="s">
        <v>53</v>
      </c>
      <c r="F1057" s="122"/>
      <c r="G1057" s="137" t="s">
        <v>54</v>
      </c>
      <c r="H1057" s="79" t="str">
        <f aca="false">IFERROR(VLOOKUP(E:E,'Item Data Support Sheet'!A:O,2,0),"")</f>
        <v>NIPPLE S TYPE S SIZE PUNCHED</v>
      </c>
      <c r="I1057" s="80"/>
      <c r="J1057" s="80" t="s">
        <v>148</v>
      </c>
      <c r="K1057" s="124" t="n">
        <v>8</v>
      </c>
      <c r="L1057" s="124" t="n">
        <v>7000</v>
      </c>
      <c r="M1057" s="83" t="n">
        <v>875</v>
      </c>
      <c r="N1057" s="84" t="n">
        <f aca="false">+O1057+Q1057+T1057+U1057</f>
        <v>7400</v>
      </c>
      <c r="O1057" s="85" t="n">
        <v>7400</v>
      </c>
      <c r="P1057" s="86" t="n">
        <v>0</v>
      </c>
      <c r="Q1057" s="86" t="n">
        <v>0</v>
      </c>
      <c r="R1057" s="132" t="n">
        <v>0</v>
      </c>
      <c r="S1057" s="128" t="n">
        <v>0</v>
      </c>
      <c r="T1057" s="132" t="n">
        <v>0</v>
      </c>
      <c r="U1057" s="128" t="n">
        <v>0</v>
      </c>
      <c r="V1057" s="128" t="n">
        <v>1</v>
      </c>
      <c r="W1057" s="90" t="n">
        <f aca="false">IFERROR(O1057/V1057,0)</f>
        <v>7400</v>
      </c>
      <c r="X1057" s="91" t="n">
        <f aca="false">O1057/L1057</f>
        <v>1.05714285714286</v>
      </c>
      <c r="Y1057" s="92" t="str">
        <f aca="false">IFERROR(VLOOKUP(E:E,'Item Data Support Sheet'!A:J,6,0),0)</f>
        <v>FO015</v>
      </c>
      <c r="Z1057" s="93" t="n">
        <f aca="false">IFERROR(VLOOKUP(E:E,'Item Data Support Sheet'!A:O,4,0),0)</f>
        <v>0</v>
      </c>
      <c r="AA1057" s="93" t="n">
        <f aca="false">IFERROR(((N1057)*(Z1057/1000))+P1057,0)</f>
        <v>0</v>
      </c>
      <c r="AB1057" s="94" t="str">
        <f aca="false">IFERROR((O1057*(Z1057/1000)/(AA1057))," ")</f>
        <v> </v>
      </c>
      <c r="AC1057" s="95" t="n">
        <f aca="false">IFERROR((T1057)/((T1057)+O1057),0)</f>
        <v>0</v>
      </c>
      <c r="AD1057" s="96" t="n">
        <f aca="false">IFERROR(Q1057/(Q1057+N1057),0)</f>
        <v>0</v>
      </c>
      <c r="AE1057" s="91" t="n">
        <f aca="false">(N1057-T1057)/N1057</f>
        <v>1</v>
      </c>
      <c r="AF1057" s="97" t="n">
        <f aca="false">BR1057</f>
        <v>0.666666666666667</v>
      </c>
      <c r="AG1057" s="98" t="n">
        <f aca="false">K1057-AF1057</f>
        <v>7.33333333333333</v>
      </c>
      <c r="AH1057" s="99" t="n">
        <f aca="false">IFERROR(AG1057/K1057," ")</f>
        <v>0.916666666666667</v>
      </c>
      <c r="AI1057" s="100" t="n">
        <f aca="false">IFERROR(O1057/K1057,0)</f>
        <v>925</v>
      </c>
      <c r="AJ1057" s="101" t="n">
        <f aca="false">VLOOKUP(D1057,'Standard Cycle time'!C:D,2,0)</f>
        <v>3.5</v>
      </c>
      <c r="AK1057" s="101" t="n">
        <f aca="false">AG1057*V1057*3600/O1057</f>
        <v>3.56756756756757</v>
      </c>
      <c r="AL1057" s="102" t="n">
        <f aca="false">AJ1057/AK1057</f>
        <v>0.981060606060606</v>
      </c>
      <c r="AM1057" s="99" t="n">
        <f aca="false">AE1057*AL1057*AH1057</f>
        <v>0.899305555555556</v>
      </c>
      <c r="AN1057" s="103" t="n">
        <v>0.899305555555556</v>
      </c>
      <c r="AO1057" s="112" t="s">
        <v>1785</v>
      </c>
      <c r="AP1057" s="105" t="n">
        <v>40</v>
      </c>
      <c r="AQ1057" s="105" t="n">
        <v>0</v>
      </c>
      <c r="AR1057" s="105" t="n">
        <v>0</v>
      </c>
      <c r="AS1057" s="105" t="n">
        <v>0</v>
      </c>
      <c r="AT1057" s="105" t="n">
        <v>0</v>
      </c>
      <c r="AU1057" s="105" t="n">
        <v>0</v>
      </c>
      <c r="AV1057" s="105" t="n">
        <v>0</v>
      </c>
      <c r="AW1057" s="105" t="n">
        <v>0</v>
      </c>
      <c r="AX1057" s="105" t="n">
        <v>0</v>
      </c>
      <c r="AY1057" s="105" t="n">
        <v>0</v>
      </c>
      <c r="AZ1057" s="105" t="n">
        <v>0</v>
      </c>
      <c r="BA1057" s="105" t="n">
        <v>0</v>
      </c>
      <c r="BB1057" s="105" t="n">
        <v>0</v>
      </c>
      <c r="BC1057" s="105" t="n">
        <v>0</v>
      </c>
      <c r="BD1057" s="105" t="n">
        <v>0</v>
      </c>
      <c r="BE1057" s="105" t="n">
        <v>0</v>
      </c>
      <c r="BF1057" s="105" t="n">
        <v>0</v>
      </c>
      <c r="BG1057" s="105" t="n">
        <v>0</v>
      </c>
      <c r="BH1057" s="105" t="n">
        <v>0</v>
      </c>
      <c r="BI1057" s="105" t="n">
        <v>0</v>
      </c>
      <c r="BJ1057" s="105" t="n">
        <v>0</v>
      </c>
      <c r="BK1057" s="105" t="n">
        <v>0</v>
      </c>
      <c r="BL1057" s="105" t="n">
        <v>0</v>
      </c>
      <c r="BM1057" s="105" t="n">
        <v>0</v>
      </c>
      <c r="BN1057" s="105" t="n">
        <v>0</v>
      </c>
      <c r="BO1057" s="105" t="n">
        <v>0</v>
      </c>
      <c r="BP1057" s="105" t="n">
        <v>0</v>
      </c>
      <c r="BQ1057" s="105" t="n">
        <v>0</v>
      </c>
      <c r="BR1057" s="106" t="n">
        <v>0.666666666666667</v>
      </c>
      <c r="BS1057" s="106" t="n">
        <v>0.666666666666667</v>
      </c>
      <c r="BT1057" s="107"/>
      <c r="BU1057" s="107"/>
      <c r="BV1057" s="107"/>
      <c r="BW1057" s="107"/>
      <c r="BX1057" s="107"/>
      <c r="BY1057" s="107"/>
      <c r="BZ1057" s="107"/>
      <c r="CA1057" s="107"/>
      <c r="CB1057" s="107"/>
      <c r="CC1057" s="107"/>
      <c r="CD1057" s="107"/>
      <c r="CE1057" s="107"/>
      <c r="CF1057" s="107"/>
      <c r="CG1057" s="107"/>
      <c r="CH1057" s="107"/>
      <c r="CI1057" s="107"/>
      <c r="CJ1057" s="107"/>
      <c r="CK1057" s="107"/>
      <c r="CL1057" s="107"/>
      <c r="CM1057" s="107"/>
      <c r="CN1057" s="107"/>
      <c r="CO1057" s="107"/>
      <c r="CP1057" s="107"/>
      <c r="CQ1057" s="107"/>
      <c r="CR1057" s="107"/>
      <c r="CS1057" s="107"/>
      <c r="CT1057" s="107"/>
      <c r="CU1057" s="107"/>
      <c r="CV1057" s="107"/>
    </row>
    <row r="1058" customFormat="false" ht="14.9" hidden="false" customHeight="false" outlineLevel="0" collapsed="false">
      <c r="A1058" s="74" t="n">
        <f aca="false">MONTH(B1058)</f>
        <v>10</v>
      </c>
      <c r="B1058" s="135" t="n">
        <v>44496</v>
      </c>
      <c r="C1058" s="128" t="s">
        <v>51</v>
      </c>
      <c r="D1058" s="77" t="str">
        <f aca="false">IFERROR(VLOOKUP(E:E,'Item Data Support Sheet'!A:O,7,0),"")</f>
        <v>NIPPLE LASER MARKING</v>
      </c>
      <c r="E1058" s="80" t="s">
        <v>444</v>
      </c>
      <c r="F1058" s="122"/>
      <c r="G1058" s="137" t="s">
        <v>517</v>
      </c>
      <c r="H1058" s="79" t="str">
        <f aca="false">IFERROR(VLOOKUP(E:E,'Item Data Support Sheet'!A:O,2,0),"")</f>
        <v>NIPPLE S TYPE S SIZE PUNCHED LASER MARKED</v>
      </c>
      <c r="I1058" s="80"/>
      <c r="J1058" s="80" t="s">
        <v>148</v>
      </c>
      <c r="K1058" s="124" t="n">
        <v>8</v>
      </c>
      <c r="L1058" s="124" t="n">
        <v>7000</v>
      </c>
      <c r="M1058" s="83" t="n">
        <v>875</v>
      </c>
      <c r="N1058" s="84" t="n">
        <f aca="false">+O1058+Q1058+T1058+U1058</f>
        <v>7000</v>
      </c>
      <c r="O1058" s="85" t="n">
        <v>7000</v>
      </c>
      <c r="P1058" s="86" t="n">
        <v>0</v>
      </c>
      <c r="Q1058" s="86" t="n">
        <v>0</v>
      </c>
      <c r="R1058" s="132" t="n">
        <v>0</v>
      </c>
      <c r="S1058" s="128" t="n">
        <v>0</v>
      </c>
      <c r="T1058" s="132" t="n">
        <v>0</v>
      </c>
      <c r="U1058" s="128" t="n">
        <v>0</v>
      </c>
      <c r="V1058" s="128" t="n">
        <v>1</v>
      </c>
      <c r="W1058" s="90" t="n">
        <f aca="false">IFERROR(O1058/V1058,0)</f>
        <v>7000</v>
      </c>
      <c r="X1058" s="91" t="n">
        <f aca="false">O1058/L1058</f>
        <v>1</v>
      </c>
      <c r="Y1058" s="92" t="str">
        <f aca="false">IFERROR(VLOOKUP(E:E,'Item Data Support Sheet'!A:J,6,0),0)</f>
        <v>FO019</v>
      </c>
      <c r="Z1058" s="93" t="n">
        <f aca="false">IFERROR(VLOOKUP(E:E,'Item Data Support Sheet'!A:O,4,0),0)</f>
        <v>0</v>
      </c>
      <c r="AA1058" s="93" t="n">
        <f aca="false">IFERROR(((N1058)*(Z1058/1000))+P1058,0)</f>
        <v>0</v>
      </c>
      <c r="AB1058" s="94" t="str">
        <f aca="false">IFERROR((O1058*(Z1058/1000)/(AA1058))," ")</f>
        <v> </v>
      </c>
      <c r="AC1058" s="95" t="n">
        <f aca="false">IFERROR((T1058)/((T1058)+O1058),0)</f>
        <v>0</v>
      </c>
      <c r="AD1058" s="96" t="n">
        <f aca="false">IFERROR(Q1058/(Q1058+N1058),0)</f>
        <v>0</v>
      </c>
      <c r="AE1058" s="91" t="n">
        <f aca="false">(N1058-T1058)/N1058</f>
        <v>1</v>
      </c>
      <c r="AF1058" s="97" t="n">
        <f aca="false">BR1058</f>
        <v>0.666666666666667</v>
      </c>
      <c r="AG1058" s="98" t="n">
        <f aca="false">K1058-AF1058</f>
        <v>7.33333333333333</v>
      </c>
      <c r="AH1058" s="99" t="n">
        <f aca="false">IFERROR(AG1058/K1058," ")</f>
        <v>0.916666666666667</v>
      </c>
      <c r="AI1058" s="100" t="n">
        <f aca="false">IFERROR(O1058/K1058,0)</f>
        <v>875</v>
      </c>
      <c r="AJ1058" s="101" t="n">
        <f aca="false">VLOOKUP(D1058,'Standard Cycle time'!C:D,2,0)</f>
        <v>3.5</v>
      </c>
      <c r="AK1058" s="101" t="n">
        <f aca="false">AG1058*V1058*3600/O1058</f>
        <v>3.77142857142857</v>
      </c>
      <c r="AL1058" s="102" t="n">
        <f aca="false">AJ1058/AK1058</f>
        <v>0.928030303030303</v>
      </c>
      <c r="AM1058" s="99" t="n">
        <f aca="false">AE1058*AL1058*AH1058</f>
        <v>0.850694444444444</v>
      </c>
      <c r="AN1058" s="103" t="n">
        <v>0.850694444444444</v>
      </c>
      <c r="AO1058" s="112" t="s">
        <v>1785</v>
      </c>
      <c r="AP1058" s="105" t="n">
        <v>40</v>
      </c>
      <c r="AQ1058" s="105" t="n">
        <v>0</v>
      </c>
      <c r="AR1058" s="105" t="n">
        <v>0</v>
      </c>
      <c r="AS1058" s="105" t="n">
        <v>0</v>
      </c>
      <c r="AT1058" s="105" t="n">
        <v>0</v>
      </c>
      <c r="AU1058" s="105" t="n">
        <v>0</v>
      </c>
      <c r="AV1058" s="105" t="n">
        <v>0</v>
      </c>
      <c r="AW1058" s="105" t="n">
        <v>0</v>
      </c>
      <c r="AX1058" s="105" t="n">
        <v>0</v>
      </c>
      <c r="AY1058" s="105" t="n">
        <v>0</v>
      </c>
      <c r="AZ1058" s="105" t="n">
        <v>0</v>
      </c>
      <c r="BA1058" s="105" t="n">
        <v>0</v>
      </c>
      <c r="BB1058" s="105" t="n">
        <v>0</v>
      </c>
      <c r="BC1058" s="105" t="n">
        <v>0</v>
      </c>
      <c r="BD1058" s="105" t="n">
        <v>0</v>
      </c>
      <c r="BE1058" s="105" t="n">
        <v>0</v>
      </c>
      <c r="BF1058" s="105" t="n">
        <v>0</v>
      </c>
      <c r="BG1058" s="105" t="n">
        <v>0</v>
      </c>
      <c r="BH1058" s="105" t="n">
        <v>0</v>
      </c>
      <c r="BI1058" s="105" t="n">
        <v>0</v>
      </c>
      <c r="BJ1058" s="105" t="n">
        <v>0</v>
      </c>
      <c r="BK1058" s="105" t="n">
        <v>0</v>
      </c>
      <c r="BL1058" s="105" t="n">
        <v>0</v>
      </c>
      <c r="BM1058" s="105" t="n">
        <v>0</v>
      </c>
      <c r="BN1058" s="105" t="n">
        <v>0</v>
      </c>
      <c r="BO1058" s="105" t="n">
        <v>0</v>
      </c>
      <c r="BP1058" s="105" t="n">
        <v>0</v>
      </c>
      <c r="BQ1058" s="105" t="n">
        <v>0</v>
      </c>
      <c r="BR1058" s="106" t="n">
        <v>0.666666666666667</v>
      </c>
      <c r="BS1058" s="106" t="n">
        <v>0.666666666666667</v>
      </c>
      <c r="BT1058" s="107"/>
      <c r="BU1058" s="107"/>
      <c r="BV1058" s="107"/>
      <c r="BW1058" s="107"/>
      <c r="BX1058" s="107"/>
      <c r="BY1058" s="107"/>
      <c r="BZ1058" s="107"/>
      <c r="CA1058" s="107"/>
      <c r="CB1058" s="107"/>
      <c r="CC1058" s="107"/>
      <c r="CD1058" s="107"/>
      <c r="CE1058" s="107"/>
      <c r="CF1058" s="107"/>
      <c r="CG1058" s="107"/>
      <c r="CH1058" s="107"/>
      <c r="CI1058" s="107"/>
      <c r="CJ1058" s="107"/>
      <c r="CK1058" s="107"/>
      <c r="CL1058" s="107"/>
      <c r="CM1058" s="107"/>
      <c r="CN1058" s="107"/>
      <c r="CO1058" s="107"/>
      <c r="CP1058" s="107"/>
      <c r="CQ1058" s="107"/>
      <c r="CR1058" s="107"/>
      <c r="CS1058" s="107"/>
      <c r="CT1058" s="107"/>
      <c r="CU1058" s="107"/>
      <c r="CV1058" s="107"/>
    </row>
    <row r="1059" customFormat="false" ht="14.9" hidden="false" customHeight="false" outlineLevel="0" collapsed="false">
      <c r="A1059" s="74" t="n">
        <f aca="false">MONTH(B1059)</f>
        <v>10</v>
      </c>
      <c r="B1059" s="135" t="n">
        <v>44496</v>
      </c>
      <c r="C1059" s="128" t="s">
        <v>63</v>
      </c>
      <c r="D1059" s="77" t="str">
        <f aca="false">IFERROR(VLOOKUP(E:E,'Item Data Support Sheet'!A:O,7,0),"")</f>
        <v>NIPPLE WRAP PRINTED</v>
      </c>
      <c r="E1059" s="80" t="s">
        <v>551</v>
      </c>
      <c r="F1059" s="122"/>
      <c r="G1059" s="137" t="s">
        <v>432</v>
      </c>
      <c r="H1059" s="79" t="str">
        <f aca="false">IFERROR(VLOOKUP(E:E,'Item Data Support Sheet'!A:O,2,0),"")</f>
        <v>NIPPLE S TYPE S SIZE WITH PRINTED WRAP</v>
      </c>
      <c r="I1059" s="80" t="s">
        <v>1837</v>
      </c>
      <c r="J1059" s="80" t="s">
        <v>155</v>
      </c>
      <c r="K1059" s="124" t="n">
        <v>8</v>
      </c>
      <c r="L1059" s="124" t="n">
        <v>16171</v>
      </c>
      <c r="M1059" s="83" t="n">
        <v>2021.375</v>
      </c>
      <c r="N1059" s="84" t="n">
        <f aca="false">+O1059+Q1059+T1059+U1059</f>
        <v>14452</v>
      </c>
      <c r="O1059" s="85" t="n">
        <v>14451</v>
      </c>
      <c r="P1059" s="86" t="n">
        <v>0</v>
      </c>
      <c r="Q1059" s="86" t="n">
        <v>0</v>
      </c>
      <c r="R1059" s="132" t="n">
        <v>0</v>
      </c>
      <c r="S1059" s="128" t="n">
        <v>0</v>
      </c>
      <c r="T1059" s="132" t="n">
        <v>1</v>
      </c>
      <c r="U1059" s="128" t="n">
        <v>0</v>
      </c>
      <c r="V1059" s="128" t="n">
        <v>2</v>
      </c>
      <c r="W1059" s="90" t="n">
        <f aca="false">IFERROR(O1059/V1059,0)</f>
        <v>7225.5</v>
      </c>
      <c r="X1059" s="91" t="n">
        <f aca="false">O1059/L1059</f>
        <v>0.893636757157875</v>
      </c>
      <c r="Y1059" s="92" t="str">
        <f aca="false">IFERROR(VLOOKUP(E:E,'Item Data Support Sheet'!A:J,6,0),0)</f>
        <v>FO108</v>
      </c>
      <c r="Z1059" s="93" t="n">
        <f aca="false">IFERROR(VLOOKUP(E:E,'Item Data Support Sheet'!A:O,4,0),0)</f>
        <v>0</v>
      </c>
      <c r="AA1059" s="93" t="n">
        <f aca="false">IFERROR(((N1059)*(Z1059/1000))+P1059,0)</f>
        <v>0</v>
      </c>
      <c r="AB1059" s="94" t="str">
        <f aca="false">IFERROR((O1059*(Z1059/1000)/(AA1059))," ")</f>
        <v> </v>
      </c>
      <c r="AC1059" s="95" t="n">
        <f aca="false">IFERROR((T1059)/((T1059)+O1059),0)</f>
        <v>6.91945751453086E-005</v>
      </c>
      <c r="AD1059" s="96" t="n">
        <f aca="false">IFERROR(Q1059/(Q1059+N1059),0)</f>
        <v>0</v>
      </c>
      <c r="AE1059" s="91" t="n">
        <f aca="false">(N1059-T1059)/N1059</f>
        <v>0.999930805424855</v>
      </c>
      <c r="AF1059" s="97" t="n">
        <f aca="false">BR1059</f>
        <v>0.833333333333333</v>
      </c>
      <c r="AG1059" s="98" t="n">
        <f aca="false">K1059-AF1059</f>
        <v>7.16666666666667</v>
      </c>
      <c r="AH1059" s="99" t="n">
        <f aca="false">IFERROR(AG1059/K1059," ")</f>
        <v>0.895833333333333</v>
      </c>
      <c r="AI1059" s="100" t="n">
        <f aca="false">IFERROR(O1059/K1059,0)</f>
        <v>1806.375</v>
      </c>
      <c r="AJ1059" s="101" t="n">
        <f aca="false">VLOOKUP(D1059,'Standard Cycle time'!C:D,2,0)</f>
        <v>2.5</v>
      </c>
      <c r="AK1059" s="101" t="n">
        <f aca="false">AG1059*V1059*3600/O1059</f>
        <v>3.57068714967822</v>
      </c>
      <c r="AL1059" s="102" t="n">
        <f aca="false">AJ1059/AK1059</f>
        <v>0.700145348837209</v>
      </c>
      <c r="AM1059" s="99" t="n">
        <f aca="false">AE1059*AL1059*AH1059</f>
        <v>0.627170141892126</v>
      </c>
      <c r="AN1059" s="103" t="n">
        <v>0.627123939732143</v>
      </c>
      <c r="AO1059" s="112"/>
      <c r="AP1059" s="105" t="n">
        <v>50</v>
      </c>
      <c r="AQ1059" s="105" t="n">
        <v>0</v>
      </c>
      <c r="AR1059" s="105" t="n">
        <v>0</v>
      </c>
      <c r="AS1059" s="105" t="n">
        <v>0</v>
      </c>
      <c r="AT1059" s="105" t="n">
        <v>0</v>
      </c>
      <c r="AU1059" s="105" t="n">
        <v>0</v>
      </c>
      <c r="AV1059" s="105" t="n">
        <v>0</v>
      </c>
      <c r="AW1059" s="105" t="n">
        <v>0</v>
      </c>
      <c r="AX1059" s="105" t="n">
        <v>0</v>
      </c>
      <c r="AY1059" s="105" t="n">
        <v>0</v>
      </c>
      <c r="AZ1059" s="105" t="n">
        <v>0</v>
      </c>
      <c r="BA1059" s="105" t="n">
        <v>0</v>
      </c>
      <c r="BB1059" s="105" t="n">
        <v>0</v>
      </c>
      <c r="BC1059" s="105" t="n">
        <v>0</v>
      </c>
      <c r="BD1059" s="105" t="n">
        <v>0</v>
      </c>
      <c r="BE1059" s="105" t="n">
        <v>0</v>
      </c>
      <c r="BF1059" s="105" t="n">
        <v>0</v>
      </c>
      <c r="BG1059" s="105" t="n">
        <v>0</v>
      </c>
      <c r="BH1059" s="105" t="n">
        <v>0</v>
      </c>
      <c r="BI1059" s="105" t="n">
        <v>0</v>
      </c>
      <c r="BJ1059" s="105" t="n">
        <v>0</v>
      </c>
      <c r="BK1059" s="105" t="n">
        <v>0</v>
      </c>
      <c r="BL1059" s="105" t="n">
        <v>0</v>
      </c>
      <c r="BM1059" s="105" t="n">
        <v>0</v>
      </c>
      <c r="BN1059" s="105" t="n">
        <v>0</v>
      </c>
      <c r="BO1059" s="105" t="n">
        <v>0</v>
      </c>
      <c r="BP1059" s="105" t="n">
        <v>0</v>
      </c>
      <c r="BQ1059" s="105" t="n">
        <v>0</v>
      </c>
      <c r="BR1059" s="106" t="n">
        <v>0.833333333333333</v>
      </c>
      <c r="BS1059" s="106" t="n">
        <v>0.833333333333333</v>
      </c>
      <c r="BT1059" s="107"/>
      <c r="BU1059" s="107"/>
      <c r="BV1059" s="107"/>
      <c r="BW1059" s="107"/>
      <c r="BX1059" s="107"/>
      <c r="BY1059" s="107"/>
      <c r="BZ1059" s="107"/>
      <c r="CA1059" s="107"/>
      <c r="CB1059" s="107"/>
      <c r="CC1059" s="107"/>
      <c r="CD1059" s="107"/>
      <c r="CE1059" s="107"/>
      <c r="CF1059" s="107"/>
      <c r="CG1059" s="107"/>
      <c r="CH1059" s="107"/>
      <c r="CI1059" s="107"/>
      <c r="CJ1059" s="107"/>
      <c r="CK1059" s="107"/>
      <c r="CL1059" s="107"/>
      <c r="CM1059" s="107"/>
      <c r="CN1059" s="107"/>
      <c r="CO1059" s="107"/>
      <c r="CP1059" s="107"/>
      <c r="CQ1059" s="107"/>
      <c r="CR1059" s="107"/>
      <c r="CS1059" s="107"/>
      <c r="CT1059" s="107"/>
      <c r="CU1059" s="107"/>
      <c r="CV1059" s="107"/>
    </row>
    <row r="1060" customFormat="false" ht="14.9" hidden="false" customHeight="false" outlineLevel="0" collapsed="false">
      <c r="A1060" s="74" t="n">
        <f aca="false">MONTH(B1060)</f>
        <v>10</v>
      </c>
      <c r="B1060" s="135" t="n">
        <v>44496</v>
      </c>
      <c r="C1060" s="128" t="s">
        <v>63</v>
      </c>
      <c r="D1060" s="77" t="str">
        <f aca="false">IFERROR(VLOOKUP(E:E,'Item Data Support Sheet'!A:O,7,0),"")</f>
        <v>NIPPLE PUNCH INSPECTED</v>
      </c>
      <c r="E1060" s="80" t="s">
        <v>297</v>
      </c>
      <c r="F1060" s="122"/>
      <c r="G1060" s="137"/>
      <c r="H1060" s="79" t="str">
        <f aca="false">IFERROR(VLOOKUP(E:E,'Item Data Support Sheet'!A:O,2,0),"")</f>
        <v>NIPPLE S TYPE S SIZE PUNCHED INSPECTED</v>
      </c>
      <c r="I1060" s="80" t="s">
        <v>1824</v>
      </c>
      <c r="J1060" s="80" t="s">
        <v>155</v>
      </c>
      <c r="K1060" s="124" t="n">
        <v>8</v>
      </c>
      <c r="L1060" s="124" t="n">
        <v>14000</v>
      </c>
      <c r="M1060" s="83" t="n">
        <v>1750</v>
      </c>
      <c r="N1060" s="84" t="n">
        <f aca="false">+O1060+Q1060+T1060+U1060</f>
        <v>13750</v>
      </c>
      <c r="O1060" s="85" t="n">
        <v>13690</v>
      </c>
      <c r="P1060" s="86" t="n">
        <v>0</v>
      </c>
      <c r="Q1060" s="86" t="n">
        <v>0</v>
      </c>
      <c r="R1060" s="132" t="n">
        <v>0</v>
      </c>
      <c r="S1060" s="128" t="n">
        <v>0</v>
      </c>
      <c r="T1060" s="132" t="n">
        <v>60</v>
      </c>
      <c r="U1060" s="128" t="n">
        <v>0</v>
      </c>
      <c r="V1060" s="128" t="n">
        <v>1</v>
      </c>
      <c r="W1060" s="90" t="n">
        <f aca="false">IFERROR(O1060/V1060,0)</f>
        <v>13690</v>
      </c>
      <c r="X1060" s="91" t="n">
        <f aca="false">O1060/L1060</f>
        <v>0.977857142857143</v>
      </c>
      <c r="Y1060" s="92" t="str">
        <f aca="false">IFERROR(VLOOKUP(E:E,'Item Data Support Sheet'!A:J,6,0),0)</f>
        <v>FO104</v>
      </c>
      <c r="Z1060" s="93" t="n">
        <f aca="false">IFERROR(VLOOKUP(E:E,'Item Data Support Sheet'!A:O,4,0),0)</f>
        <v>0</v>
      </c>
      <c r="AA1060" s="93" t="n">
        <f aca="false">IFERROR(((N1060)*(Z1060/1000))+P1060,0)</f>
        <v>0</v>
      </c>
      <c r="AB1060" s="94" t="str">
        <f aca="false">IFERROR((O1060*(Z1060/1000)/(AA1060))," ")</f>
        <v> </v>
      </c>
      <c r="AC1060" s="95" t="n">
        <f aca="false">IFERROR((T1060)/((T1060)+O1060),0)</f>
        <v>0.00436363636363636</v>
      </c>
      <c r="AD1060" s="96" t="n">
        <f aca="false">IFERROR(Q1060/(Q1060+N1060),0)</f>
        <v>0</v>
      </c>
      <c r="AE1060" s="91" t="n">
        <f aca="false">(N1060-T1060)/N1060</f>
        <v>0.995636363636364</v>
      </c>
      <c r="AF1060" s="97" t="n">
        <f aca="false">BR1060</f>
        <v>0.833333333333333</v>
      </c>
      <c r="AG1060" s="98" t="n">
        <f aca="false">K1060-AF1060</f>
        <v>7.16666666666667</v>
      </c>
      <c r="AH1060" s="99" t="n">
        <f aca="false">IFERROR(AG1060/K1060," ")</f>
        <v>0.895833333333333</v>
      </c>
      <c r="AI1060" s="100" t="n">
        <f aca="false">IFERROR(O1060/K1060,0)</f>
        <v>1711.25</v>
      </c>
      <c r="AJ1060" s="101" t="n">
        <f aca="false">VLOOKUP(D1060,'Standard Cycle time'!C:D,2,0)</f>
        <v>4</v>
      </c>
      <c r="AK1060" s="101" t="n">
        <f aca="false">AG1060*V1060*3600/O1060</f>
        <v>1.8845872899927</v>
      </c>
      <c r="AL1060" s="102" t="n">
        <f aca="false">AJ1060/AK1060</f>
        <v>2.12248062015504</v>
      </c>
      <c r="AM1060" s="99" t="n">
        <f aca="false">AE1060*AL1060*AH1060</f>
        <v>1.89309191919192</v>
      </c>
      <c r="AN1060" s="103" t="n">
        <v>1.89349494110773</v>
      </c>
      <c r="AO1060" s="112"/>
      <c r="AP1060" s="105" t="n">
        <v>50</v>
      </c>
      <c r="AQ1060" s="105" t="n">
        <v>0</v>
      </c>
      <c r="AR1060" s="105" t="n">
        <v>0</v>
      </c>
      <c r="AS1060" s="105" t="n">
        <v>0</v>
      </c>
      <c r="AT1060" s="105" t="n">
        <v>0</v>
      </c>
      <c r="AU1060" s="105" t="n">
        <v>0</v>
      </c>
      <c r="AV1060" s="105" t="n">
        <v>0</v>
      </c>
      <c r="AW1060" s="105" t="n">
        <v>0</v>
      </c>
      <c r="AX1060" s="105" t="n">
        <v>0</v>
      </c>
      <c r="AY1060" s="105" t="n">
        <v>0</v>
      </c>
      <c r="AZ1060" s="105" t="n">
        <v>0</v>
      </c>
      <c r="BA1060" s="105" t="n">
        <v>0</v>
      </c>
      <c r="BB1060" s="105" t="n">
        <v>0</v>
      </c>
      <c r="BC1060" s="105" t="n">
        <v>0</v>
      </c>
      <c r="BD1060" s="105" t="n">
        <v>0</v>
      </c>
      <c r="BE1060" s="105" t="n">
        <v>0</v>
      </c>
      <c r="BF1060" s="105" t="n">
        <v>0</v>
      </c>
      <c r="BG1060" s="105" t="n">
        <v>0</v>
      </c>
      <c r="BH1060" s="105" t="n">
        <v>0</v>
      </c>
      <c r="BI1060" s="105" t="n">
        <v>0</v>
      </c>
      <c r="BJ1060" s="105" t="n">
        <v>0</v>
      </c>
      <c r="BK1060" s="105" t="n">
        <v>0</v>
      </c>
      <c r="BL1060" s="105" t="n">
        <v>0</v>
      </c>
      <c r="BM1060" s="105" t="n">
        <v>0</v>
      </c>
      <c r="BN1060" s="105" t="n">
        <v>0</v>
      </c>
      <c r="BO1060" s="105" t="n">
        <v>0</v>
      </c>
      <c r="BP1060" s="105" t="n">
        <v>0</v>
      </c>
      <c r="BQ1060" s="105" t="n">
        <v>0</v>
      </c>
      <c r="BR1060" s="106" t="n">
        <v>0.833333333333333</v>
      </c>
      <c r="BS1060" s="106" t="n">
        <v>0.833333333333333</v>
      </c>
      <c r="BT1060" s="107"/>
      <c r="BU1060" s="107"/>
      <c r="BV1060" s="107"/>
      <c r="BW1060" s="107"/>
      <c r="BX1060" s="107"/>
      <c r="BY1060" s="107"/>
      <c r="BZ1060" s="107"/>
      <c r="CA1060" s="107"/>
      <c r="CB1060" s="107"/>
      <c r="CC1060" s="107"/>
      <c r="CD1060" s="107"/>
      <c r="CE1060" s="107"/>
      <c r="CF1060" s="107"/>
      <c r="CG1060" s="107"/>
      <c r="CH1060" s="107"/>
      <c r="CI1060" s="107"/>
      <c r="CJ1060" s="107"/>
      <c r="CK1060" s="107"/>
      <c r="CL1060" s="107"/>
      <c r="CM1060" s="107"/>
      <c r="CN1060" s="107"/>
      <c r="CO1060" s="107"/>
      <c r="CP1060" s="107"/>
      <c r="CQ1060" s="107"/>
      <c r="CR1060" s="107"/>
      <c r="CS1060" s="107"/>
      <c r="CT1060" s="107"/>
      <c r="CU1060" s="107"/>
      <c r="CV1060" s="107"/>
    </row>
    <row r="1061" customFormat="false" ht="14.9" hidden="false" customHeight="false" outlineLevel="0" collapsed="false">
      <c r="A1061" s="74" t="n">
        <f aca="false">MONTH(B1061)</f>
        <v>10</v>
      </c>
      <c r="B1061" s="135" t="n">
        <v>44496</v>
      </c>
      <c r="C1061" s="128" t="s">
        <v>70</v>
      </c>
      <c r="D1061" s="77" t="str">
        <f aca="false">IFERROR(VLOOKUP(E:E,'Item Data Support Sheet'!A:O,7,0),"")</f>
        <v>NIPPLE PUNCH</v>
      </c>
      <c r="E1061" s="80" t="s">
        <v>53</v>
      </c>
      <c r="F1061" s="122"/>
      <c r="G1061" s="137" t="s">
        <v>54</v>
      </c>
      <c r="H1061" s="79" t="str">
        <f aca="false">IFERROR(VLOOKUP(E:E,'Item Data Support Sheet'!A:O,2,0),"")</f>
        <v>NIPPLE S TYPE S SIZE PUNCHED</v>
      </c>
      <c r="I1061" s="80" t="s">
        <v>1838</v>
      </c>
      <c r="J1061" s="80" t="s">
        <v>155</v>
      </c>
      <c r="K1061" s="124" t="n">
        <v>8</v>
      </c>
      <c r="L1061" s="124" t="n">
        <v>7000</v>
      </c>
      <c r="M1061" s="83" t="n">
        <v>875</v>
      </c>
      <c r="N1061" s="84" t="n">
        <f aca="false">+O1061+Q1061+T1061+U1061</f>
        <v>7600</v>
      </c>
      <c r="O1061" s="85" t="n">
        <v>7600</v>
      </c>
      <c r="P1061" s="86" t="n">
        <v>0</v>
      </c>
      <c r="Q1061" s="86" t="n">
        <v>0</v>
      </c>
      <c r="R1061" s="132" t="n">
        <v>0</v>
      </c>
      <c r="S1061" s="128" t="n">
        <v>0</v>
      </c>
      <c r="T1061" s="132" t="n">
        <v>0</v>
      </c>
      <c r="U1061" s="128" t="n">
        <v>0</v>
      </c>
      <c r="V1061" s="128" t="n">
        <v>1</v>
      </c>
      <c r="W1061" s="90" t="n">
        <f aca="false">IFERROR(O1061/V1061,0)</f>
        <v>7600</v>
      </c>
      <c r="X1061" s="91" t="n">
        <f aca="false">O1061/L1061</f>
        <v>1.08571428571429</v>
      </c>
      <c r="Y1061" s="92" t="str">
        <f aca="false">IFERROR(VLOOKUP(E:E,'Item Data Support Sheet'!A:J,6,0),0)</f>
        <v>FO015</v>
      </c>
      <c r="Z1061" s="93" t="n">
        <f aca="false">IFERROR(VLOOKUP(E:E,'Item Data Support Sheet'!A:O,4,0),0)</f>
        <v>0</v>
      </c>
      <c r="AA1061" s="93" t="n">
        <f aca="false">IFERROR(((N1061)*(Z1061/1000))+P1061,0)</f>
        <v>0</v>
      </c>
      <c r="AB1061" s="94" t="str">
        <f aca="false">IFERROR((O1061*(Z1061/1000)/(AA1061))," ")</f>
        <v> </v>
      </c>
      <c r="AC1061" s="95" t="n">
        <f aca="false">IFERROR((T1061)/((T1061)+O1061),0)</f>
        <v>0</v>
      </c>
      <c r="AD1061" s="96" t="n">
        <f aca="false">IFERROR(Q1061/(Q1061+N1061),0)</f>
        <v>0</v>
      </c>
      <c r="AE1061" s="91" t="n">
        <f aca="false">(N1061-T1061)/N1061</f>
        <v>1</v>
      </c>
      <c r="AF1061" s="97" t="n">
        <f aca="false">BR1061</f>
        <v>0.666666666666667</v>
      </c>
      <c r="AG1061" s="98" t="n">
        <f aca="false">K1061-AF1061</f>
        <v>7.33333333333333</v>
      </c>
      <c r="AH1061" s="99" t="n">
        <f aca="false">IFERROR(AG1061/K1061," ")</f>
        <v>0.916666666666667</v>
      </c>
      <c r="AI1061" s="100" t="n">
        <f aca="false">IFERROR(O1061/K1061,0)</f>
        <v>950</v>
      </c>
      <c r="AJ1061" s="101" t="n">
        <f aca="false">VLOOKUP(D1061,'Standard Cycle time'!C:D,2,0)</f>
        <v>3.5</v>
      </c>
      <c r="AK1061" s="101" t="n">
        <f aca="false">AG1061*V1061*3600/O1061</f>
        <v>3.47368421052632</v>
      </c>
      <c r="AL1061" s="102" t="n">
        <f aca="false">AJ1061/AK1061</f>
        <v>1.00757575757576</v>
      </c>
      <c r="AM1061" s="99" t="n">
        <f aca="false">AE1061*AL1061*AH1061</f>
        <v>0.923611111111111</v>
      </c>
      <c r="AN1061" s="103" t="n">
        <v>0.923611111111111</v>
      </c>
      <c r="AO1061" s="112"/>
      <c r="AP1061" s="105" t="n">
        <v>40</v>
      </c>
      <c r="AQ1061" s="105" t="n">
        <v>0</v>
      </c>
      <c r="AR1061" s="105" t="n">
        <v>0</v>
      </c>
      <c r="AS1061" s="105" t="n">
        <v>0</v>
      </c>
      <c r="AT1061" s="105" t="n">
        <v>0</v>
      </c>
      <c r="AU1061" s="105" t="n">
        <v>0</v>
      </c>
      <c r="AV1061" s="105" t="n">
        <v>0</v>
      </c>
      <c r="AW1061" s="105" t="n">
        <v>0</v>
      </c>
      <c r="AX1061" s="105" t="n">
        <v>0</v>
      </c>
      <c r="AY1061" s="105" t="n">
        <v>0</v>
      </c>
      <c r="AZ1061" s="105" t="n">
        <v>0</v>
      </c>
      <c r="BA1061" s="105" t="n">
        <v>0</v>
      </c>
      <c r="BB1061" s="105" t="n">
        <v>0</v>
      </c>
      <c r="BC1061" s="105" t="n">
        <v>0</v>
      </c>
      <c r="BD1061" s="105" t="n">
        <v>0</v>
      </c>
      <c r="BE1061" s="105" t="n">
        <v>0</v>
      </c>
      <c r="BF1061" s="105" t="n">
        <v>0</v>
      </c>
      <c r="BG1061" s="105" t="n">
        <v>0</v>
      </c>
      <c r="BH1061" s="105" t="n">
        <v>0</v>
      </c>
      <c r="BI1061" s="105" t="n">
        <v>0</v>
      </c>
      <c r="BJ1061" s="105" t="n">
        <v>0</v>
      </c>
      <c r="BK1061" s="105" t="n">
        <v>0</v>
      </c>
      <c r="BL1061" s="105" t="n">
        <v>0</v>
      </c>
      <c r="BM1061" s="105" t="n">
        <v>0</v>
      </c>
      <c r="BN1061" s="105" t="n">
        <v>0</v>
      </c>
      <c r="BO1061" s="105" t="n">
        <v>0</v>
      </c>
      <c r="BP1061" s="105" t="n">
        <v>0</v>
      </c>
      <c r="BQ1061" s="105" t="n">
        <v>0</v>
      </c>
      <c r="BR1061" s="106" t="n">
        <v>0.666666666666667</v>
      </c>
      <c r="BS1061" s="106" t="n">
        <v>0.666666666666667</v>
      </c>
      <c r="BT1061" s="107"/>
      <c r="BU1061" s="107"/>
      <c r="BV1061" s="107"/>
      <c r="BW1061" s="107"/>
      <c r="BX1061" s="107"/>
      <c r="BY1061" s="107"/>
      <c r="BZ1061" s="107"/>
      <c r="CA1061" s="107"/>
      <c r="CB1061" s="107"/>
      <c r="CC1061" s="107"/>
      <c r="CD1061" s="107"/>
      <c r="CE1061" s="107"/>
      <c r="CF1061" s="107"/>
      <c r="CG1061" s="107"/>
      <c r="CH1061" s="107"/>
      <c r="CI1061" s="107"/>
      <c r="CJ1061" s="107"/>
      <c r="CK1061" s="107"/>
      <c r="CL1061" s="107"/>
      <c r="CM1061" s="107"/>
      <c r="CN1061" s="107"/>
      <c r="CO1061" s="107"/>
      <c r="CP1061" s="107"/>
      <c r="CQ1061" s="107"/>
      <c r="CR1061" s="107"/>
      <c r="CS1061" s="107"/>
      <c r="CT1061" s="107"/>
      <c r="CU1061" s="107"/>
      <c r="CV1061" s="107"/>
    </row>
    <row r="1062" customFormat="false" ht="14.9" hidden="false" customHeight="false" outlineLevel="0" collapsed="false">
      <c r="A1062" s="74" t="n">
        <f aca="false">MONTH(B1062)</f>
        <v>10</v>
      </c>
      <c r="B1062" s="135" t="n">
        <v>44496</v>
      </c>
      <c r="C1062" s="128" t="s">
        <v>70</v>
      </c>
      <c r="D1062" s="77" t="str">
        <f aca="false">IFERROR(VLOOKUP(E:E,'Item Data Support Sheet'!A:O,7,0),"")</f>
        <v>NIPPLE LASER MARKING</v>
      </c>
      <c r="E1062" s="80" t="s">
        <v>444</v>
      </c>
      <c r="F1062" s="122"/>
      <c r="G1062" s="137" t="s">
        <v>517</v>
      </c>
      <c r="H1062" s="79" t="str">
        <f aca="false">IFERROR(VLOOKUP(E:E,'Item Data Support Sheet'!A:O,2,0),"")</f>
        <v>NIPPLE S TYPE S SIZE PUNCHED LASER MARKED</v>
      </c>
      <c r="I1062" s="80" t="s">
        <v>1839</v>
      </c>
      <c r="J1062" s="80" t="s">
        <v>155</v>
      </c>
      <c r="K1062" s="124" t="n">
        <v>8</v>
      </c>
      <c r="L1062" s="124" t="n">
        <v>7000</v>
      </c>
      <c r="M1062" s="83" t="n">
        <v>875</v>
      </c>
      <c r="N1062" s="84" t="n">
        <f aca="false">+O1062+Q1062+T1062+U1062</f>
        <v>7000</v>
      </c>
      <c r="O1062" s="85" t="n">
        <v>7000</v>
      </c>
      <c r="P1062" s="86" t="n">
        <v>0</v>
      </c>
      <c r="Q1062" s="86" t="n">
        <v>0</v>
      </c>
      <c r="R1062" s="132" t="n">
        <v>0</v>
      </c>
      <c r="S1062" s="128" t="n">
        <v>0</v>
      </c>
      <c r="T1062" s="132" t="n">
        <v>0</v>
      </c>
      <c r="U1062" s="128" t="n">
        <v>0</v>
      </c>
      <c r="V1062" s="128" t="n">
        <v>1</v>
      </c>
      <c r="W1062" s="90" t="n">
        <f aca="false">IFERROR(O1062/V1062,0)</f>
        <v>7000</v>
      </c>
      <c r="X1062" s="91" t="n">
        <f aca="false">O1062/L1062</f>
        <v>1</v>
      </c>
      <c r="Y1062" s="92" t="str">
        <f aca="false">IFERROR(VLOOKUP(E:E,'Item Data Support Sheet'!A:J,6,0),0)</f>
        <v>FO019</v>
      </c>
      <c r="Z1062" s="93" t="n">
        <f aca="false">IFERROR(VLOOKUP(E:E,'Item Data Support Sheet'!A:O,4,0),0)</f>
        <v>0</v>
      </c>
      <c r="AA1062" s="93" t="n">
        <f aca="false">IFERROR(((N1062)*(Z1062/1000))+P1062,0)</f>
        <v>0</v>
      </c>
      <c r="AB1062" s="94" t="str">
        <f aca="false">IFERROR((O1062*(Z1062/1000)/(AA1062))," ")</f>
        <v> </v>
      </c>
      <c r="AC1062" s="95" t="n">
        <f aca="false">IFERROR((T1062)/((T1062)+O1062),0)</f>
        <v>0</v>
      </c>
      <c r="AD1062" s="96" t="n">
        <f aca="false">IFERROR(Q1062/(Q1062+N1062),0)</f>
        <v>0</v>
      </c>
      <c r="AE1062" s="91" t="n">
        <f aca="false">(N1062-T1062)/N1062</f>
        <v>1</v>
      </c>
      <c r="AF1062" s="97" t="n">
        <f aca="false">BR1062</f>
        <v>0.666666666666667</v>
      </c>
      <c r="AG1062" s="98" t="n">
        <f aca="false">K1062-AF1062</f>
        <v>7.33333333333333</v>
      </c>
      <c r="AH1062" s="99" t="n">
        <f aca="false">IFERROR(AG1062/K1062," ")</f>
        <v>0.916666666666667</v>
      </c>
      <c r="AI1062" s="100" t="n">
        <f aca="false">IFERROR(O1062/K1062,0)</f>
        <v>875</v>
      </c>
      <c r="AJ1062" s="101" t="n">
        <f aca="false">VLOOKUP(D1062,'Standard Cycle time'!C:D,2,0)</f>
        <v>3.5</v>
      </c>
      <c r="AK1062" s="101" t="n">
        <f aca="false">AG1062*V1062*3600/O1062</f>
        <v>3.77142857142857</v>
      </c>
      <c r="AL1062" s="102" t="n">
        <f aca="false">AJ1062/AK1062</f>
        <v>0.928030303030303</v>
      </c>
      <c r="AM1062" s="99" t="n">
        <f aca="false">AE1062*AL1062*AH1062</f>
        <v>0.850694444444444</v>
      </c>
      <c r="AN1062" s="103" t="n">
        <v>0.850694444444444</v>
      </c>
      <c r="AO1062" s="112"/>
      <c r="AP1062" s="105" t="n">
        <v>40</v>
      </c>
      <c r="AQ1062" s="105" t="n">
        <v>0</v>
      </c>
      <c r="AR1062" s="105" t="n">
        <v>0</v>
      </c>
      <c r="AS1062" s="105" t="n">
        <v>0</v>
      </c>
      <c r="AT1062" s="105" t="n">
        <v>0</v>
      </c>
      <c r="AU1062" s="105" t="n">
        <v>0</v>
      </c>
      <c r="AV1062" s="105" t="n">
        <v>0</v>
      </c>
      <c r="AW1062" s="105" t="n">
        <v>0</v>
      </c>
      <c r="AX1062" s="105" t="n">
        <v>0</v>
      </c>
      <c r="AY1062" s="105" t="n">
        <v>0</v>
      </c>
      <c r="AZ1062" s="105" t="n">
        <v>0</v>
      </c>
      <c r="BA1062" s="105" t="n">
        <v>0</v>
      </c>
      <c r="BB1062" s="105" t="n">
        <v>0</v>
      </c>
      <c r="BC1062" s="105" t="n">
        <v>0</v>
      </c>
      <c r="BD1062" s="105" t="n">
        <v>0</v>
      </c>
      <c r="BE1062" s="105" t="n">
        <v>0</v>
      </c>
      <c r="BF1062" s="105" t="n">
        <v>0</v>
      </c>
      <c r="BG1062" s="105" t="n">
        <v>0</v>
      </c>
      <c r="BH1062" s="105" t="n">
        <v>0</v>
      </c>
      <c r="BI1062" s="105" t="n">
        <v>0</v>
      </c>
      <c r="BJ1062" s="105" t="n">
        <v>0</v>
      </c>
      <c r="BK1062" s="105" t="n">
        <v>0</v>
      </c>
      <c r="BL1062" s="105" t="n">
        <v>0</v>
      </c>
      <c r="BM1062" s="105" t="n">
        <v>0</v>
      </c>
      <c r="BN1062" s="105" t="n">
        <v>0</v>
      </c>
      <c r="BO1062" s="105" t="n">
        <v>0</v>
      </c>
      <c r="BP1062" s="105" t="n">
        <v>0</v>
      </c>
      <c r="BQ1062" s="105" t="n">
        <v>0</v>
      </c>
      <c r="BR1062" s="106" t="n">
        <v>0.666666666666667</v>
      </c>
      <c r="BS1062" s="106" t="n">
        <v>0.666666666666667</v>
      </c>
      <c r="BT1062" s="107"/>
      <c r="BU1062" s="107"/>
      <c r="BV1062" s="107"/>
      <c r="BW1062" s="107"/>
      <c r="BX1062" s="107"/>
      <c r="BY1062" s="107"/>
      <c r="BZ1062" s="107"/>
      <c r="CA1062" s="107"/>
      <c r="CB1062" s="107"/>
      <c r="CC1062" s="107"/>
      <c r="CD1062" s="107"/>
      <c r="CE1062" s="107"/>
      <c r="CF1062" s="107"/>
      <c r="CG1062" s="107"/>
      <c r="CH1062" s="107"/>
      <c r="CI1062" s="107"/>
      <c r="CJ1062" s="107"/>
      <c r="CK1062" s="107"/>
      <c r="CL1062" s="107"/>
      <c r="CM1062" s="107"/>
      <c r="CN1062" s="107"/>
      <c r="CO1062" s="107"/>
      <c r="CP1062" s="107"/>
      <c r="CQ1062" s="107"/>
      <c r="CR1062" s="107"/>
      <c r="CS1062" s="107"/>
      <c r="CT1062" s="107"/>
      <c r="CU1062" s="107"/>
      <c r="CV1062" s="107"/>
    </row>
    <row r="1063" customFormat="false" ht="14.9" hidden="false" customHeight="false" outlineLevel="0" collapsed="false">
      <c r="A1063" s="74" t="n">
        <f aca="false">MONTH(B1063)</f>
        <v>10</v>
      </c>
      <c r="B1063" s="135" t="n">
        <v>44496</v>
      </c>
      <c r="C1063" s="128" t="s">
        <v>70</v>
      </c>
      <c r="D1063" s="77" t="str">
        <f aca="false">IFERROR(VLOOKUP(E:E,'Item Data Support Sheet'!A:O,7,0),"")</f>
        <v>HOOD MOLDED</v>
      </c>
      <c r="E1063" s="80" t="s">
        <v>529</v>
      </c>
      <c r="F1063" s="122"/>
      <c r="G1063" s="137" t="s">
        <v>740</v>
      </c>
      <c r="H1063" s="79" t="str">
        <f aca="false">IFERROR(VLOOKUP(E:E,'Item Data Support Sheet'!A:O,2,0),"")</f>
        <v>HOOD S TYPE MOLDED</v>
      </c>
      <c r="I1063" s="80" t="s">
        <v>1840</v>
      </c>
      <c r="J1063" s="80" t="s">
        <v>155</v>
      </c>
      <c r="K1063" s="124" t="n">
        <v>8</v>
      </c>
      <c r="L1063" s="124" t="n">
        <v>4137</v>
      </c>
      <c r="M1063" s="83" t="n">
        <v>517.125</v>
      </c>
      <c r="N1063" s="84" t="n">
        <f aca="false">+O1063+Q1063+T1063+U1063</f>
        <v>5042</v>
      </c>
      <c r="O1063" s="85" t="n">
        <v>5000</v>
      </c>
      <c r="P1063" s="86" t="n">
        <v>0</v>
      </c>
      <c r="Q1063" s="86" t="n">
        <v>12</v>
      </c>
      <c r="R1063" s="132" t="n">
        <v>0</v>
      </c>
      <c r="S1063" s="128" t="n">
        <v>0</v>
      </c>
      <c r="T1063" s="132" t="n">
        <v>30</v>
      </c>
      <c r="U1063" s="128" t="n">
        <v>0</v>
      </c>
      <c r="V1063" s="128" t="n">
        <v>1</v>
      </c>
      <c r="W1063" s="90" t="n">
        <f aca="false">IFERROR(O1063/V1063,0)</f>
        <v>5000</v>
      </c>
      <c r="X1063" s="91" t="n">
        <f aca="false">O1063/L1063</f>
        <v>1.20860526951898</v>
      </c>
      <c r="Y1063" s="92" t="str">
        <f aca="false">IFERROR(VLOOKUP(E:E,'Item Data Support Sheet'!A:J,6,0),0)</f>
        <v>HMC</v>
      </c>
      <c r="Z1063" s="93" t="n">
        <f aca="false">IFERROR(VLOOKUP(E:E,'Item Data Support Sheet'!A:O,4,0),0)</f>
        <v>8.6</v>
      </c>
      <c r="AA1063" s="93" t="n">
        <f aca="false">IFERROR(((N1063)*(Z1063/1000))+P1063,0)</f>
        <v>43.3612</v>
      </c>
      <c r="AB1063" s="94" t="n">
        <f aca="false">IFERROR((O1063*(Z1063/1000)/(AA1063))," ")</f>
        <v>0.991669972233241</v>
      </c>
      <c r="AC1063" s="95" t="n">
        <f aca="false">IFERROR((T1063)/((T1063)+O1063),0)</f>
        <v>0.00596421471172962</v>
      </c>
      <c r="AD1063" s="96" t="n">
        <f aca="false">IFERROR(Q1063/(Q1063+N1063),0)</f>
        <v>0.00237435694499406</v>
      </c>
      <c r="AE1063" s="91" t="n">
        <f aca="false">(N1063-T1063)/N1063</f>
        <v>0.9940499801666</v>
      </c>
      <c r="AF1063" s="97" t="n">
        <f aca="false">BR1063</f>
        <v>0</v>
      </c>
      <c r="AG1063" s="98" t="n">
        <f aca="false">K1063-AF1063</f>
        <v>8</v>
      </c>
      <c r="AH1063" s="99" t="n">
        <f aca="false">IFERROR(AG1063/K1063," ")</f>
        <v>1</v>
      </c>
      <c r="AI1063" s="100" t="n">
        <f aca="false">IFERROR(O1063/K1063,0)</f>
        <v>625</v>
      </c>
      <c r="AJ1063" s="101" t="n">
        <f aca="false">VLOOKUP(D1063,'Standard Cycle time'!C:D,2,0)</f>
        <v>6</v>
      </c>
      <c r="AK1063" s="101" t="n">
        <f aca="false">AG1063*V1063*3600/O1063</f>
        <v>5.76</v>
      </c>
      <c r="AL1063" s="102" t="n">
        <f aca="false">AJ1063/AK1063</f>
        <v>1.04166666666667</v>
      </c>
      <c r="AM1063" s="99" t="n">
        <f aca="false">AE1063*AL1063*AH1063</f>
        <v>1.03546872934021</v>
      </c>
      <c r="AN1063" s="103" t="n">
        <v>1.03720238095238</v>
      </c>
      <c r="AO1063" s="112"/>
      <c r="AP1063" s="105" t="n">
        <v>0</v>
      </c>
      <c r="AQ1063" s="105" t="n">
        <v>0</v>
      </c>
      <c r="AR1063" s="105" t="n">
        <v>0</v>
      </c>
      <c r="AS1063" s="105" t="n">
        <v>0</v>
      </c>
      <c r="AT1063" s="105" t="n">
        <v>0</v>
      </c>
      <c r="AU1063" s="105" t="n">
        <v>0</v>
      </c>
      <c r="AV1063" s="105" t="n">
        <v>0</v>
      </c>
      <c r="AW1063" s="105" t="n">
        <v>0</v>
      </c>
      <c r="AX1063" s="105" t="n">
        <v>0</v>
      </c>
      <c r="AY1063" s="105" t="n">
        <v>0</v>
      </c>
      <c r="AZ1063" s="105" t="n">
        <v>0</v>
      </c>
      <c r="BA1063" s="105" t="n">
        <v>0</v>
      </c>
      <c r="BB1063" s="105" t="n">
        <v>0</v>
      </c>
      <c r="BC1063" s="105" t="n">
        <v>0</v>
      </c>
      <c r="BD1063" s="105" t="n">
        <v>0</v>
      </c>
      <c r="BE1063" s="105" t="n">
        <v>0</v>
      </c>
      <c r="BF1063" s="105" t="n">
        <v>0</v>
      </c>
      <c r="BG1063" s="105" t="n">
        <v>0</v>
      </c>
      <c r="BH1063" s="105" t="n">
        <v>0</v>
      </c>
      <c r="BI1063" s="105" t="n">
        <v>0</v>
      </c>
      <c r="BJ1063" s="105" t="n">
        <v>0</v>
      </c>
      <c r="BK1063" s="105" t="n">
        <v>0</v>
      </c>
      <c r="BL1063" s="105" t="n">
        <v>0</v>
      </c>
      <c r="BM1063" s="105" t="n">
        <v>0</v>
      </c>
      <c r="BN1063" s="105" t="n">
        <v>0</v>
      </c>
      <c r="BO1063" s="105" t="n">
        <v>0</v>
      </c>
      <c r="BP1063" s="105" t="n">
        <v>0</v>
      </c>
      <c r="BQ1063" s="105" t="n">
        <v>0</v>
      </c>
      <c r="BR1063" s="106" t="n">
        <v>0</v>
      </c>
      <c r="BS1063" s="106" t="n">
        <v>0</v>
      </c>
      <c r="BT1063" s="107"/>
      <c r="BU1063" s="107"/>
      <c r="BV1063" s="107"/>
      <c r="BW1063" s="107"/>
      <c r="BX1063" s="107"/>
      <c r="BY1063" s="107"/>
      <c r="BZ1063" s="107"/>
      <c r="CA1063" s="107"/>
      <c r="CB1063" s="107"/>
      <c r="CC1063" s="107"/>
      <c r="CD1063" s="107"/>
      <c r="CE1063" s="107"/>
      <c r="CF1063" s="107"/>
      <c r="CG1063" s="107"/>
      <c r="CH1063" s="107"/>
      <c r="CI1063" s="107"/>
      <c r="CJ1063" s="107"/>
      <c r="CK1063" s="107"/>
      <c r="CL1063" s="107"/>
      <c r="CM1063" s="107"/>
      <c r="CN1063" s="107"/>
      <c r="CO1063" s="107"/>
      <c r="CP1063" s="107"/>
      <c r="CQ1063" s="107"/>
      <c r="CR1063" s="107"/>
      <c r="CS1063" s="107"/>
      <c r="CT1063" s="107"/>
      <c r="CU1063" s="107"/>
      <c r="CV1063" s="107"/>
    </row>
    <row r="1064" customFormat="false" ht="14.9" hidden="false" customHeight="false" outlineLevel="0" collapsed="false">
      <c r="A1064" s="74" t="n">
        <f aca="false">MONTH(B1064)</f>
        <v>10</v>
      </c>
      <c r="B1064" s="135" t="n">
        <v>44496</v>
      </c>
      <c r="C1064" s="128" t="s">
        <v>70</v>
      </c>
      <c r="D1064" s="77" t="str">
        <f aca="false">IFERROR(VLOOKUP(E:E,'Item Data Support Sheet'!A:O,7,0),"")</f>
        <v>NIPPLE MOLDED</v>
      </c>
      <c r="E1064" s="80" t="s">
        <v>244</v>
      </c>
      <c r="F1064" s="122" t="s">
        <v>137</v>
      </c>
      <c r="G1064" s="137" t="s">
        <v>138</v>
      </c>
      <c r="H1064" s="79" t="str">
        <f aca="false">IFERROR(VLOOKUP(E:E,'Item Data Support Sheet'!A:O,2,0),"")</f>
        <v>NIPPLE S TYPE S SIZE INJECTION</v>
      </c>
      <c r="I1064" s="80" t="s">
        <v>1841</v>
      </c>
      <c r="J1064" s="80" t="s">
        <v>155</v>
      </c>
      <c r="K1064" s="124" t="n">
        <v>8</v>
      </c>
      <c r="L1064" s="124" t="n">
        <v>4815</v>
      </c>
      <c r="M1064" s="83" t="n">
        <v>601.875</v>
      </c>
      <c r="N1064" s="84" t="n">
        <f aca="false">+O1064+Q1064+T1064+U1064</f>
        <v>5091</v>
      </c>
      <c r="O1064" s="85" t="n">
        <v>5000</v>
      </c>
      <c r="P1064" s="86" t="n">
        <v>0</v>
      </c>
      <c r="Q1064" s="86" t="n">
        <v>50</v>
      </c>
      <c r="R1064" s="132" t="n">
        <v>0</v>
      </c>
      <c r="S1064" s="128" t="n">
        <v>0</v>
      </c>
      <c r="T1064" s="132" t="n">
        <v>41</v>
      </c>
      <c r="U1064" s="128" t="n">
        <v>0</v>
      </c>
      <c r="V1064" s="128" t="n">
        <v>1</v>
      </c>
      <c r="W1064" s="90" t="n">
        <f aca="false">IFERROR(O1064/V1064,0)</f>
        <v>5000</v>
      </c>
      <c r="X1064" s="91" t="n">
        <f aca="false">O1064/L1064</f>
        <v>1.03842159916926</v>
      </c>
      <c r="Y1064" s="92" t="str">
        <f aca="false">IFERROR(VLOOKUP(E:E,'Item Data Support Sheet'!A:J,6,0),0)</f>
        <v>Silicon</v>
      </c>
      <c r="Z1064" s="93" t="n">
        <f aca="false">IFERROR(VLOOKUP(E:E,'Item Data Support Sheet'!A:O,4,0),0)</f>
        <v>6.8</v>
      </c>
      <c r="AA1064" s="93" t="n">
        <f aca="false">IFERROR(((N1064)*(Z1064/1000))+P1064,0)</f>
        <v>34.6188</v>
      </c>
      <c r="AB1064" s="94" t="n">
        <f aca="false">IFERROR((O1064*(Z1064/1000)/(AA1064))," ")</f>
        <v>0.982125319190729</v>
      </c>
      <c r="AC1064" s="95" t="n">
        <f aca="false">IFERROR((T1064)/((T1064)+O1064),0)</f>
        <v>0.00813330688355485</v>
      </c>
      <c r="AD1064" s="96" t="n">
        <f aca="false">IFERROR(Q1064/(Q1064+N1064),0)</f>
        <v>0.00972573429293912</v>
      </c>
      <c r="AE1064" s="91" t="n">
        <f aca="false">(N1064-T1064)/N1064</f>
        <v>0.991946572382636</v>
      </c>
      <c r="AF1064" s="97" t="n">
        <f aca="false">BR1064</f>
        <v>0</v>
      </c>
      <c r="AG1064" s="98" t="n">
        <f aca="false">K1064-AF1064</f>
        <v>8</v>
      </c>
      <c r="AH1064" s="99" t="n">
        <f aca="false">IFERROR(AG1064/K1064," ")</f>
        <v>1</v>
      </c>
      <c r="AI1064" s="100" t="n">
        <f aca="false">IFERROR(O1064/K1064,0)</f>
        <v>625</v>
      </c>
      <c r="AJ1064" s="101" t="n">
        <f aca="false">VLOOKUP(D1064,'Standard Cycle time'!C:D,2,0)</f>
        <v>5.25</v>
      </c>
      <c r="AK1064" s="101" t="n">
        <f aca="false">AG1064*V1064*3600/O1064</f>
        <v>5.76</v>
      </c>
      <c r="AL1064" s="102" t="n">
        <f aca="false">AJ1064/AK1064</f>
        <v>0.911458333333333</v>
      </c>
      <c r="AM1064" s="99" t="n">
        <f aca="false">AE1064*AL1064*AH1064</f>
        <v>0.90411796961959</v>
      </c>
      <c r="AN1064" s="103" t="n">
        <v>0.904046633280445</v>
      </c>
      <c r="AO1064" s="112"/>
      <c r="AP1064" s="105" t="n">
        <v>0</v>
      </c>
      <c r="AQ1064" s="105" t="n">
        <v>0</v>
      </c>
      <c r="AR1064" s="105" t="n">
        <v>0</v>
      </c>
      <c r="AS1064" s="105" t="n">
        <v>0</v>
      </c>
      <c r="AT1064" s="105" t="n">
        <v>0</v>
      </c>
      <c r="AU1064" s="105" t="n">
        <v>0</v>
      </c>
      <c r="AV1064" s="105" t="n">
        <v>0</v>
      </c>
      <c r="AW1064" s="105" t="n">
        <v>0</v>
      </c>
      <c r="AX1064" s="105" t="n">
        <v>0</v>
      </c>
      <c r="AY1064" s="105" t="n">
        <v>0</v>
      </c>
      <c r="AZ1064" s="105" t="n">
        <v>0</v>
      </c>
      <c r="BA1064" s="105" t="n">
        <v>0</v>
      </c>
      <c r="BB1064" s="105" t="n">
        <v>0</v>
      </c>
      <c r="BC1064" s="105" t="n">
        <v>0</v>
      </c>
      <c r="BD1064" s="105" t="n">
        <v>0</v>
      </c>
      <c r="BE1064" s="105" t="n">
        <v>0</v>
      </c>
      <c r="BF1064" s="105" t="n">
        <v>0</v>
      </c>
      <c r="BG1064" s="105" t="n">
        <v>0</v>
      </c>
      <c r="BH1064" s="105" t="n">
        <v>0</v>
      </c>
      <c r="BI1064" s="105" t="n">
        <v>0</v>
      </c>
      <c r="BJ1064" s="105" t="n">
        <v>0</v>
      </c>
      <c r="BK1064" s="105" t="n">
        <v>0</v>
      </c>
      <c r="BL1064" s="105" t="n">
        <v>0</v>
      </c>
      <c r="BM1064" s="105" t="n">
        <v>0</v>
      </c>
      <c r="BN1064" s="105" t="n">
        <v>0</v>
      </c>
      <c r="BO1064" s="105" t="n">
        <v>0</v>
      </c>
      <c r="BP1064" s="105" t="n">
        <v>0</v>
      </c>
      <c r="BQ1064" s="105" t="n">
        <v>0</v>
      </c>
      <c r="BR1064" s="106" t="n">
        <v>0</v>
      </c>
      <c r="BS1064" s="106" t="n">
        <v>0</v>
      </c>
      <c r="BT1064" s="107"/>
      <c r="BU1064" s="107"/>
      <c r="BV1064" s="107"/>
      <c r="BW1064" s="107"/>
      <c r="BX1064" s="107"/>
      <c r="BY1064" s="107"/>
      <c r="BZ1064" s="107"/>
      <c r="CA1064" s="107"/>
      <c r="CB1064" s="107"/>
      <c r="CC1064" s="107"/>
      <c r="CD1064" s="107"/>
      <c r="CE1064" s="107"/>
      <c r="CF1064" s="107"/>
      <c r="CG1064" s="107"/>
      <c r="CH1064" s="107"/>
      <c r="CI1064" s="107"/>
      <c r="CJ1064" s="107"/>
      <c r="CK1064" s="107"/>
      <c r="CL1064" s="107"/>
      <c r="CM1064" s="107"/>
      <c r="CN1064" s="107"/>
      <c r="CO1064" s="107"/>
      <c r="CP1064" s="107"/>
      <c r="CQ1064" s="107"/>
      <c r="CR1064" s="107"/>
      <c r="CS1064" s="107"/>
      <c r="CT1064" s="107"/>
      <c r="CU1064" s="107"/>
      <c r="CV1064" s="107"/>
    </row>
    <row r="1065" customFormat="false" ht="14.9" hidden="false" customHeight="false" outlineLevel="0" collapsed="false">
      <c r="A1065" s="74" t="n">
        <f aca="false">MONTH(B1065)</f>
        <v>10</v>
      </c>
      <c r="B1065" s="135" t="n">
        <v>44496</v>
      </c>
      <c r="C1065" s="128" t="s">
        <v>1842</v>
      </c>
      <c r="D1065" s="77" t="str">
        <f aca="false">IFERROR(VLOOKUP(E:E,'Item Data Support Sheet'!A:O,7,0),"")</f>
        <v>BOTTLE MOLDED</v>
      </c>
      <c r="E1065" s="80" t="s">
        <v>69</v>
      </c>
      <c r="F1065" s="122" t="s">
        <v>73</v>
      </c>
      <c r="G1065" s="137" t="s">
        <v>74</v>
      </c>
      <c r="H1065" s="79" t="str">
        <f aca="false">IFERROR(VLOOKUP(E:E,'Item Data Support Sheet'!A:O,2,0),"")</f>
        <v>KPP 240 ML BOTTLE MOLDED</v>
      </c>
      <c r="I1065" s="80" t="s">
        <v>1843</v>
      </c>
      <c r="J1065" s="80" t="s">
        <v>155</v>
      </c>
      <c r="K1065" s="124" t="n">
        <v>8</v>
      </c>
      <c r="L1065" s="124" t="n">
        <v>2574</v>
      </c>
      <c r="M1065" s="83" t="n">
        <v>321.75</v>
      </c>
      <c r="N1065" s="84" t="n">
        <f aca="false">+O1065+Q1065+T1065+U1065</f>
        <v>3227</v>
      </c>
      <c r="O1065" s="85" t="n">
        <v>3132</v>
      </c>
      <c r="P1065" s="86" t="n">
        <v>0.157</v>
      </c>
      <c r="Q1065" s="86" t="n">
        <v>55</v>
      </c>
      <c r="R1065" s="132" t="n">
        <v>0</v>
      </c>
      <c r="S1065" s="128" t="n">
        <v>0</v>
      </c>
      <c r="T1065" s="132" t="n">
        <v>40</v>
      </c>
      <c r="U1065" s="128" t="n">
        <v>0</v>
      </c>
      <c r="V1065" s="128" t="n">
        <v>1</v>
      </c>
      <c r="W1065" s="90" t="n">
        <f aca="false">IFERROR(O1065/V1065,0)</f>
        <v>3132</v>
      </c>
      <c r="X1065" s="91" t="n">
        <f aca="false">O1065/L1065</f>
        <v>1.21678321678322</v>
      </c>
      <c r="Y1065" s="92" t="str">
        <f aca="false">IFERROR(VLOOKUP(E:E,'Item Data Support Sheet'!A:J,6,0),0)</f>
        <v>HMC</v>
      </c>
      <c r="Z1065" s="93" t="n">
        <f aca="false">IFERROR(VLOOKUP(E:E,'Item Data Support Sheet'!A:O,4,0),0)</f>
        <v>32.1</v>
      </c>
      <c r="AA1065" s="93" t="n">
        <f aca="false">IFERROR(((N1065)*(Z1065/1000))+P1065,0)</f>
        <v>103.7437</v>
      </c>
      <c r="AB1065" s="94" t="n">
        <f aca="false">IFERROR((O1065*(Z1065/1000)/(AA1065))," ")</f>
        <v>0.969092099086499</v>
      </c>
      <c r="AC1065" s="95" t="n">
        <f aca="false">IFERROR((T1065)/((T1065)+O1065),0)</f>
        <v>0.0126103404791929</v>
      </c>
      <c r="AD1065" s="96" t="n">
        <f aca="false">IFERROR(Q1065/(Q1065+N1065),0)</f>
        <v>0.0167580743449116</v>
      </c>
      <c r="AE1065" s="91" t="n">
        <f aca="false">(N1065-T1065)/N1065</f>
        <v>0.987604586303068</v>
      </c>
      <c r="AF1065" s="97" t="n">
        <f aca="false">BR1065</f>
        <v>0</v>
      </c>
      <c r="AG1065" s="98" t="n">
        <f aca="false">K1065-AF1065</f>
        <v>8</v>
      </c>
      <c r="AH1065" s="99" t="n">
        <f aca="false">IFERROR(AG1065/K1065," ")</f>
        <v>1</v>
      </c>
      <c r="AI1065" s="100" t="n">
        <f aca="false">IFERROR(O1065/K1065,0)</f>
        <v>391.5</v>
      </c>
      <c r="AJ1065" s="101" t="n">
        <f aca="false">VLOOKUP(D1065,'Standard Cycle time'!C:D,2,0)</f>
        <v>9</v>
      </c>
      <c r="AK1065" s="101" t="n">
        <f aca="false">AG1065*V1065*3600/O1065</f>
        <v>9.19540229885057</v>
      </c>
      <c r="AL1065" s="102" t="n">
        <f aca="false">AJ1065/AK1065</f>
        <v>0.97875</v>
      </c>
      <c r="AM1065" s="99" t="n">
        <f aca="false">AE1065*AL1065*AH1065</f>
        <v>0.966617988844128</v>
      </c>
      <c r="AN1065" s="103" t="n">
        <v>0.971059958750736</v>
      </c>
      <c r="AO1065" s="112"/>
      <c r="AP1065" s="105" t="n">
        <v>0</v>
      </c>
      <c r="AQ1065" s="105" t="n">
        <v>0</v>
      </c>
      <c r="AR1065" s="105" t="n">
        <v>0</v>
      </c>
      <c r="AS1065" s="105" t="n">
        <v>0</v>
      </c>
      <c r="AT1065" s="105" t="n">
        <v>0</v>
      </c>
      <c r="AU1065" s="105" t="n">
        <v>0</v>
      </c>
      <c r="AV1065" s="105" t="n">
        <v>0</v>
      </c>
      <c r="AW1065" s="105" t="n">
        <v>0</v>
      </c>
      <c r="AX1065" s="105" t="n">
        <v>0</v>
      </c>
      <c r="AY1065" s="105" t="n">
        <v>0</v>
      </c>
      <c r="AZ1065" s="105" t="n">
        <v>0</v>
      </c>
      <c r="BA1065" s="105" t="n">
        <v>0</v>
      </c>
      <c r="BB1065" s="105" t="n">
        <v>0</v>
      </c>
      <c r="BC1065" s="105" t="n">
        <v>0</v>
      </c>
      <c r="BD1065" s="105" t="n">
        <v>0</v>
      </c>
      <c r="BE1065" s="105" t="n">
        <v>0</v>
      </c>
      <c r="BF1065" s="105" t="n">
        <v>0</v>
      </c>
      <c r="BG1065" s="105" t="n">
        <v>0</v>
      </c>
      <c r="BH1065" s="105" t="n">
        <v>0</v>
      </c>
      <c r="BI1065" s="105" t="n">
        <v>0</v>
      </c>
      <c r="BJ1065" s="105" t="n">
        <v>0</v>
      </c>
      <c r="BK1065" s="105" t="n">
        <v>0</v>
      </c>
      <c r="BL1065" s="105" t="n">
        <v>0</v>
      </c>
      <c r="BM1065" s="105" t="n">
        <v>0</v>
      </c>
      <c r="BN1065" s="105" t="n">
        <v>0</v>
      </c>
      <c r="BO1065" s="105" t="n">
        <v>0</v>
      </c>
      <c r="BP1065" s="105" t="n">
        <v>0</v>
      </c>
      <c r="BQ1065" s="105" t="n">
        <v>0</v>
      </c>
      <c r="BR1065" s="106" t="n">
        <v>0</v>
      </c>
      <c r="BS1065" s="106" t="n">
        <v>0</v>
      </c>
      <c r="BT1065" s="107"/>
      <c r="BU1065" s="107"/>
      <c r="BV1065" s="107"/>
      <c r="BW1065" s="107"/>
      <c r="BX1065" s="107"/>
      <c r="BY1065" s="107"/>
      <c r="BZ1065" s="107"/>
      <c r="CA1065" s="107"/>
      <c r="CB1065" s="107"/>
      <c r="CC1065" s="107"/>
      <c r="CD1065" s="107"/>
      <c r="CE1065" s="107"/>
      <c r="CF1065" s="107"/>
      <c r="CG1065" s="107"/>
      <c r="CH1065" s="107"/>
      <c r="CI1065" s="107"/>
      <c r="CJ1065" s="107"/>
      <c r="CK1065" s="107"/>
      <c r="CL1065" s="107"/>
      <c r="CM1065" s="107"/>
      <c r="CN1065" s="107"/>
      <c r="CO1065" s="107"/>
      <c r="CP1065" s="107"/>
      <c r="CQ1065" s="107"/>
      <c r="CR1065" s="107"/>
      <c r="CS1065" s="107"/>
      <c r="CT1065" s="107"/>
      <c r="CU1065" s="107"/>
      <c r="CV1065" s="107"/>
    </row>
    <row r="1066" customFormat="false" ht="14.9" hidden="false" customHeight="false" outlineLevel="0" collapsed="false">
      <c r="A1066" s="74" t="n">
        <f aca="false">MONTH(B1066)</f>
        <v>10</v>
      </c>
      <c r="B1066" s="135" t="n">
        <v>44496</v>
      </c>
      <c r="C1066" s="128" t="s">
        <v>152</v>
      </c>
      <c r="D1066" s="77" t="str">
        <f aca="false">IFERROR(VLOOKUP(E:E,'Item Data Support Sheet'!A:O,7,0),"")</f>
        <v>HOOD MOLDED</v>
      </c>
      <c r="E1066" s="80" t="s">
        <v>529</v>
      </c>
      <c r="F1066" s="122"/>
      <c r="G1066" s="137" t="s">
        <v>740</v>
      </c>
      <c r="H1066" s="79" t="str">
        <f aca="false">IFERROR(VLOOKUP(E:E,'Item Data Support Sheet'!A:O,2,0),"")</f>
        <v>HOOD S TYPE MOLDED</v>
      </c>
      <c r="I1066" s="80" t="s">
        <v>1844</v>
      </c>
      <c r="J1066" s="80" t="s">
        <v>143</v>
      </c>
      <c r="K1066" s="124" t="n">
        <v>8</v>
      </c>
      <c r="L1066" s="124" t="n">
        <v>4137</v>
      </c>
      <c r="M1066" s="83" t="n">
        <v>517.125</v>
      </c>
      <c r="N1066" s="84" t="n">
        <f aca="false">+O1066+Q1066+T1066+U1066</f>
        <v>4708</v>
      </c>
      <c r="O1066" s="85" t="n">
        <v>4700</v>
      </c>
      <c r="P1066" s="86" t="n">
        <v>0</v>
      </c>
      <c r="Q1066" s="86" t="n">
        <v>0</v>
      </c>
      <c r="R1066" s="132" t="n">
        <v>0</v>
      </c>
      <c r="S1066" s="128" t="n">
        <v>0</v>
      </c>
      <c r="T1066" s="132" t="n">
        <v>0</v>
      </c>
      <c r="U1066" s="128" t="n">
        <v>8</v>
      </c>
      <c r="V1066" s="128" t="n">
        <v>1</v>
      </c>
      <c r="W1066" s="90" t="n">
        <f aca="false">IFERROR(O1066/V1066,0)</f>
        <v>4700</v>
      </c>
      <c r="X1066" s="91" t="n">
        <f aca="false">O1066/L1066</f>
        <v>1.13608895334784</v>
      </c>
      <c r="Y1066" s="92" t="str">
        <f aca="false">IFERROR(VLOOKUP(E:E,'Item Data Support Sheet'!A:J,6,0),0)</f>
        <v>HMC</v>
      </c>
      <c r="Z1066" s="93" t="n">
        <f aca="false">IFERROR(VLOOKUP(E:E,'Item Data Support Sheet'!A:O,4,0),0)</f>
        <v>8.6</v>
      </c>
      <c r="AA1066" s="93" t="n">
        <f aca="false">IFERROR(((N1066)*(Z1066/1000))+P1066,0)</f>
        <v>40.4888</v>
      </c>
      <c r="AB1066" s="94" t="n">
        <f aca="false">IFERROR((O1066*(Z1066/1000)/(AA1066))," ")</f>
        <v>0.998300764655905</v>
      </c>
      <c r="AC1066" s="95" t="n">
        <f aca="false">IFERROR((T1066)/((T1066)+O1066),0)</f>
        <v>0</v>
      </c>
      <c r="AD1066" s="96" t="n">
        <f aca="false">IFERROR(Q1066/(Q1066+N1066),0)</f>
        <v>0</v>
      </c>
      <c r="AE1066" s="91" t="n">
        <f aca="false">(N1066-T1066)/N1066</f>
        <v>1</v>
      </c>
      <c r="AF1066" s="97" t="n">
        <f aca="false">BR1066</f>
        <v>0.333333333333333</v>
      </c>
      <c r="AG1066" s="98" t="n">
        <f aca="false">K1066-AF1066</f>
        <v>7.66666666666667</v>
      </c>
      <c r="AH1066" s="99" t="n">
        <f aca="false">IFERROR(AG1066/K1066," ")</f>
        <v>0.958333333333333</v>
      </c>
      <c r="AI1066" s="100" t="n">
        <f aca="false">IFERROR(O1066/K1066,0)</f>
        <v>587.5</v>
      </c>
      <c r="AJ1066" s="101" t="n">
        <f aca="false">VLOOKUP(D1066,'Standard Cycle time'!C:D,2,0)</f>
        <v>6</v>
      </c>
      <c r="AK1066" s="101" t="n">
        <f aca="false">AG1066*V1066*3600/O1066</f>
        <v>5.87234042553192</v>
      </c>
      <c r="AL1066" s="102" t="n">
        <f aca="false">AJ1066/AK1066</f>
        <v>1.02173913043478</v>
      </c>
      <c r="AM1066" s="99" t="n">
        <f aca="false">AE1066*AL1066*AH1066</f>
        <v>0.979166666666667</v>
      </c>
      <c r="AN1066" s="103" t="n">
        <v>0.979166666666667</v>
      </c>
      <c r="AO1066" s="112"/>
      <c r="AP1066" s="105" t="n">
        <v>0</v>
      </c>
      <c r="AQ1066" s="105" t="n">
        <v>0</v>
      </c>
      <c r="AR1066" s="105" t="n">
        <v>0</v>
      </c>
      <c r="AS1066" s="105" t="n">
        <v>0</v>
      </c>
      <c r="AT1066" s="105" t="n">
        <v>0</v>
      </c>
      <c r="AU1066" s="105" t="n">
        <v>0</v>
      </c>
      <c r="AV1066" s="105" t="n">
        <v>20</v>
      </c>
      <c r="AW1066" s="105" t="n">
        <v>0</v>
      </c>
      <c r="AX1066" s="105" t="n">
        <v>0</v>
      </c>
      <c r="AY1066" s="105" t="n">
        <v>0</v>
      </c>
      <c r="AZ1066" s="105" t="n">
        <v>0</v>
      </c>
      <c r="BA1066" s="105" t="n">
        <v>0</v>
      </c>
      <c r="BB1066" s="105" t="n">
        <v>0</v>
      </c>
      <c r="BC1066" s="105" t="n">
        <v>0</v>
      </c>
      <c r="BD1066" s="105" t="n">
        <v>0</v>
      </c>
      <c r="BE1066" s="105" t="n">
        <v>0</v>
      </c>
      <c r="BF1066" s="105" t="n">
        <v>0</v>
      </c>
      <c r="BG1066" s="105" t="n">
        <v>0</v>
      </c>
      <c r="BH1066" s="105" t="n">
        <v>0</v>
      </c>
      <c r="BI1066" s="105" t="n">
        <v>0</v>
      </c>
      <c r="BJ1066" s="105" t="n">
        <v>0</v>
      </c>
      <c r="BK1066" s="105" t="n">
        <v>0</v>
      </c>
      <c r="BL1066" s="105" t="n">
        <v>0</v>
      </c>
      <c r="BM1066" s="105" t="n">
        <v>0</v>
      </c>
      <c r="BN1066" s="105" t="n">
        <v>0</v>
      </c>
      <c r="BO1066" s="105" t="n">
        <v>0</v>
      </c>
      <c r="BP1066" s="105" t="n">
        <v>0</v>
      </c>
      <c r="BQ1066" s="105" t="n">
        <v>0</v>
      </c>
      <c r="BR1066" s="106" t="n">
        <v>0.333333333333333</v>
      </c>
      <c r="BS1066" s="106" t="n">
        <v>0.333333333333333</v>
      </c>
      <c r="BT1066" s="107"/>
      <c r="BU1066" s="107"/>
      <c r="BV1066" s="107"/>
      <c r="BW1066" s="107"/>
      <c r="BX1066" s="107"/>
      <c r="BY1066" s="107"/>
      <c r="BZ1066" s="107"/>
      <c r="CA1066" s="107"/>
      <c r="CB1066" s="107"/>
      <c r="CC1066" s="107"/>
      <c r="CD1066" s="107"/>
      <c r="CE1066" s="107"/>
      <c r="CF1066" s="107"/>
      <c r="CG1066" s="107"/>
      <c r="CH1066" s="107"/>
      <c r="CI1066" s="107"/>
      <c r="CJ1066" s="107"/>
      <c r="CK1066" s="107"/>
      <c r="CL1066" s="107"/>
      <c r="CM1066" s="107"/>
      <c r="CN1066" s="107"/>
      <c r="CO1066" s="107"/>
      <c r="CP1066" s="107"/>
      <c r="CQ1066" s="107"/>
      <c r="CR1066" s="107"/>
      <c r="CS1066" s="107"/>
      <c r="CT1066" s="107"/>
      <c r="CU1066" s="107"/>
      <c r="CV1066" s="107"/>
    </row>
    <row r="1067" customFormat="false" ht="14.9" hidden="false" customHeight="false" outlineLevel="0" collapsed="false">
      <c r="A1067" s="74" t="n">
        <f aca="false">MONTH(B1067)</f>
        <v>10</v>
      </c>
      <c r="B1067" s="135" t="n">
        <v>44496</v>
      </c>
      <c r="C1067" s="128" t="s">
        <v>152</v>
      </c>
      <c r="D1067" s="77" t="str">
        <f aca="false">IFERROR(VLOOKUP(E:E,'Item Data Support Sheet'!A:O,7,0),"")</f>
        <v>BOTTLE MOLDED</v>
      </c>
      <c r="E1067" s="80" t="s">
        <v>69</v>
      </c>
      <c r="F1067" s="122" t="s">
        <v>73</v>
      </c>
      <c r="G1067" s="137" t="s">
        <v>74</v>
      </c>
      <c r="H1067" s="79" t="str">
        <f aca="false">IFERROR(VLOOKUP(E:E,'Item Data Support Sheet'!A:O,2,0),"")</f>
        <v>KPP 240 ML BOTTLE MOLDED</v>
      </c>
      <c r="I1067" s="80" t="s">
        <v>1845</v>
      </c>
      <c r="J1067" s="80" t="s">
        <v>143</v>
      </c>
      <c r="K1067" s="124" t="n">
        <v>8</v>
      </c>
      <c r="L1067" s="124" t="n">
        <v>2574</v>
      </c>
      <c r="M1067" s="83" t="n">
        <v>321.75</v>
      </c>
      <c r="N1067" s="84" t="n">
        <f aca="false">+O1067+Q1067+T1067+U1067</f>
        <v>2940</v>
      </c>
      <c r="O1067" s="85" t="n">
        <v>2808</v>
      </c>
      <c r="P1067" s="86" t="n">
        <v>0.23</v>
      </c>
      <c r="Q1067" s="86" t="n">
        <v>58</v>
      </c>
      <c r="R1067" s="132" t="n">
        <v>0</v>
      </c>
      <c r="S1067" s="128" t="n">
        <v>0</v>
      </c>
      <c r="T1067" s="132" t="n">
        <v>66</v>
      </c>
      <c r="U1067" s="128" t="n">
        <v>8</v>
      </c>
      <c r="V1067" s="128" t="n">
        <v>1</v>
      </c>
      <c r="W1067" s="90" t="n">
        <f aca="false">IFERROR(O1067/V1067,0)</f>
        <v>2808</v>
      </c>
      <c r="X1067" s="91" t="n">
        <f aca="false">O1067/L1067</f>
        <v>1.09090909090909</v>
      </c>
      <c r="Y1067" s="92" t="str">
        <f aca="false">IFERROR(VLOOKUP(E:E,'Item Data Support Sheet'!A:J,6,0),0)</f>
        <v>HMC</v>
      </c>
      <c r="Z1067" s="93" t="n">
        <f aca="false">IFERROR(VLOOKUP(E:E,'Item Data Support Sheet'!A:O,4,0),0)</f>
        <v>32.1</v>
      </c>
      <c r="AA1067" s="93" t="n">
        <f aca="false">IFERROR(((N1067)*(Z1067/1000))+P1067,0)</f>
        <v>94.604</v>
      </c>
      <c r="AB1067" s="94" t="n">
        <f aca="false">IFERROR((O1067*(Z1067/1000)/(AA1067))," ")</f>
        <v>0.952780009301932</v>
      </c>
      <c r="AC1067" s="95" t="n">
        <f aca="false">IFERROR((T1067)/((T1067)+O1067),0)</f>
        <v>0.022964509394572</v>
      </c>
      <c r="AD1067" s="96" t="n">
        <f aca="false">IFERROR(Q1067/(Q1067+N1067),0)</f>
        <v>0.019346230820547</v>
      </c>
      <c r="AE1067" s="91" t="n">
        <f aca="false">(N1067-T1067)/N1067</f>
        <v>0.977551020408163</v>
      </c>
      <c r="AF1067" s="97" t="n">
        <f aca="false">BR1067</f>
        <v>1.33333333333333</v>
      </c>
      <c r="AG1067" s="98" t="n">
        <f aca="false">K1067-AF1067</f>
        <v>6.66666666666667</v>
      </c>
      <c r="AH1067" s="99" t="n">
        <f aca="false">IFERROR(AG1067/K1067," ")</f>
        <v>0.833333333333334</v>
      </c>
      <c r="AI1067" s="100" t="n">
        <f aca="false">IFERROR(O1067/K1067,0)</f>
        <v>351</v>
      </c>
      <c r="AJ1067" s="101" t="n">
        <f aca="false">VLOOKUP(D1067,'Standard Cycle time'!C:D,2,0)</f>
        <v>9</v>
      </c>
      <c r="AK1067" s="101" t="n">
        <f aca="false">AG1067*V1067*3600/O1067</f>
        <v>8.54700854700855</v>
      </c>
      <c r="AL1067" s="102" t="n">
        <f aca="false">AJ1067/AK1067</f>
        <v>1.053</v>
      </c>
      <c r="AM1067" s="99" t="n">
        <f aca="false">AE1067*AL1067*AH1067</f>
        <v>0.857801020408163</v>
      </c>
      <c r="AN1067" s="103" t="n">
        <v>0.865198598130841</v>
      </c>
      <c r="AO1067" s="112" t="s">
        <v>1846</v>
      </c>
      <c r="AP1067" s="105" t="n">
        <v>0</v>
      </c>
      <c r="AQ1067" s="105" t="n">
        <v>0</v>
      </c>
      <c r="AR1067" s="105" t="n">
        <v>0</v>
      </c>
      <c r="AS1067" s="105" t="n">
        <v>0</v>
      </c>
      <c r="AT1067" s="105" t="n">
        <v>0</v>
      </c>
      <c r="AU1067" s="105" t="n">
        <v>0</v>
      </c>
      <c r="AV1067" s="105" t="n">
        <v>0</v>
      </c>
      <c r="AW1067" s="105" t="n">
        <v>0</v>
      </c>
      <c r="AX1067" s="105" t="n">
        <v>0</v>
      </c>
      <c r="AY1067" s="105" t="n">
        <v>0</v>
      </c>
      <c r="AZ1067" s="105" t="n">
        <v>0</v>
      </c>
      <c r="BA1067" s="105" t="n">
        <v>0</v>
      </c>
      <c r="BB1067" s="105" t="n">
        <v>0</v>
      </c>
      <c r="BC1067" s="105" t="n">
        <v>0</v>
      </c>
      <c r="BD1067" s="105" t="n">
        <v>0</v>
      </c>
      <c r="BE1067" s="105" t="n">
        <v>0</v>
      </c>
      <c r="BF1067" s="105" t="n">
        <v>0</v>
      </c>
      <c r="BG1067" s="105" t="n">
        <v>0</v>
      </c>
      <c r="BH1067" s="105" t="n">
        <v>0</v>
      </c>
      <c r="BI1067" s="105" t="n">
        <v>0</v>
      </c>
      <c r="BJ1067" s="105" t="n">
        <v>0</v>
      </c>
      <c r="BK1067" s="105" t="n">
        <v>80</v>
      </c>
      <c r="BL1067" s="105" t="n">
        <v>0</v>
      </c>
      <c r="BM1067" s="105" t="n">
        <v>0</v>
      </c>
      <c r="BN1067" s="105" t="n">
        <v>0</v>
      </c>
      <c r="BO1067" s="105" t="n">
        <v>0</v>
      </c>
      <c r="BP1067" s="105" t="n">
        <v>0</v>
      </c>
      <c r="BQ1067" s="105" t="n">
        <v>0</v>
      </c>
      <c r="BR1067" s="106" t="n">
        <v>1.33333333333333</v>
      </c>
      <c r="BS1067" s="106" t="n">
        <v>1.33333333333333</v>
      </c>
      <c r="BT1067" s="107"/>
      <c r="BU1067" s="107"/>
      <c r="BV1067" s="107"/>
      <c r="BW1067" s="107"/>
      <c r="BX1067" s="107"/>
      <c r="BY1067" s="107"/>
      <c r="BZ1067" s="107"/>
      <c r="CA1067" s="107"/>
      <c r="CB1067" s="107"/>
      <c r="CC1067" s="107"/>
      <c r="CD1067" s="107"/>
      <c r="CE1067" s="107"/>
      <c r="CF1067" s="107"/>
      <c r="CG1067" s="107"/>
      <c r="CH1067" s="107"/>
      <c r="CI1067" s="107"/>
      <c r="CJ1067" s="107"/>
      <c r="CK1067" s="107"/>
      <c r="CL1067" s="107"/>
      <c r="CM1067" s="107"/>
      <c r="CN1067" s="107"/>
      <c r="CO1067" s="107"/>
      <c r="CP1067" s="107"/>
      <c r="CQ1067" s="107"/>
      <c r="CR1067" s="107"/>
      <c r="CS1067" s="107"/>
      <c r="CT1067" s="107"/>
      <c r="CU1067" s="107"/>
      <c r="CV1067" s="107"/>
    </row>
    <row r="1068" customFormat="false" ht="14.9" hidden="false" customHeight="false" outlineLevel="0" collapsed="false">
      <c r="A1068" s="74" t="n">
        <f aca="false">MONTH(B1068)</f>
        <v>10</v>
      </c>
      <c r="B1068" s="135" t="n">
        <v>44496</v>
      </c>
      <c r="C1068" s="128" t="s">
        <v>152</v>
      </c>
      <c r="D1068" s="77" t="str">
        <f aca="false">IFERROR(VLOOKUP(E:E,'Item Data Support Sheet'!A:O,7,0),"")</f>
        <v>NIPPLE MOLDED</v>
      </c>
      <c r="E1068" s="80" t="s">
        <v>244</v>
      </c>
      <c r="F1068" s="122" t="s">
        <v>137</v>
      </c>
      <c r="G1068" s="137" t="s">
        <v>138</v>
      </c>
      <c r="H1068" s="79" t="str">
        <f aca="false">IFERROR(VLOOKUP(E:E,'Item Data Support Sheet'!A:O,2,0),"")</f>
        <v>NIPPLE S TYPE S SIZE INJECTION</v>
      </c>
      <c r="I1068" s="80" t="s">
        <v>1847</v>
      </c>
      <c r="J1068" s="80" t="s">
        <v>143</v>
      </c>
      <c r="K1068" s="124" t="n">
        <v>8</v>
      </c>
      <c r="L1068" s="124" t="n">
        <v>4815</v>
      </c>
      <c r="M1068" s="83" t="n">
        <v>601.875</v>
      </c>
      <c r="N1068" s="84" t="n">
        <f aca="false">+O1068+Q1068+T1068+U1068</f>
        <v>4836</v>
      </c>
      <c r="O1068" s="85" t="n">
        <v>4700</v>
      </c>
      <c r="P1068" s="86" t="n">
        <v>0</v>
      </c>
      <c r="Q1068" s="86" t="n">
        <v>65</v>
      </c>
      <c r="R1068" s="132" t="n">
        <v>0</v>
      </c>
      <c r="S1068" s="128" t="n">
        <v>0</v>
      </c>
      <c r="T1068" s="132" t="n">
        <v>55</v>
      </c>
      <c r="U1068" s="128" t="n">
        <v>16</v>
      </c>
      <c r="V1068" s="128" t="n">
        <v>1</v>
      </c>
      <c r="W1068" s="90" t="n">
        <f aca="false">IFERROR(O1068/V1068,0)</f>
        <v>4700</v>
      </c>
      <c r="X1068" s="91" t="n">
        <f aca="false">O1068/L1068</f>
        <v>0.976116303219107</v>
      </c>
      <c r="Y1068" s="92" t="str">
        <f aca="false">IFERROR(VLOOKUP(E:E,'Item Data Support Sheet'!A:J,6,0),0)</f>
        <v>Silicon</v>
      </c>
      <c r="Z1068" s="93" t="n">
        <f aca="false">IFERROR(VLOOKUP(E:E,'Item Data Support Sheet'!A:O,4,0),0)</f>
        <v>6.8</v>
      </c>
      <c r="AA1068" s="93" t="n">
        <f aca="false">IFERROR(((N1068)*(Z1068/1000))+P1068,0)</f>
        <v>32.8848</v>
      </c>
      <c r="AB1068" s="94" t="n">
        <f aca="false">IFERROR((O1068*(Z1068/1000)/(AA1068))," ")</f>
        <v>0.971877584780811</v>
      </c>
      <c r="AC1068" s="95" t="n">
        <f aca="false">IFERROR((T1068)/((T1068)+O1068),0)</f>
        <v>0.0115667718191377</v>
      </c>
      <c r="AD1068" s="96" t="n">
        <f aca="false">IFERROR(Q1068/(Q1068+N1068),0)</f>
        <v>0.013262599469496</v>
      </c>
      <c r="AE1068" s="91" t="n">
        <f aca="false">(N1068-T1068)/N1068</f>
        <v>0.988626964433416</v>
      </c>
      <c r="AF1068" s="97" t="n">
        <f aca="false">BR1068</f>
        <v>1.5</v>
      </c>
      <c r="AG1068" s="98" t="n">
        <f aca="false">K1068-AF1068</f>
        <v>6.5</v>
      </c>
      <c r="AH1068" s="99" t="n">
        <f aca="false">IFERROR(AG1068/K1068," ")</f>
        <v>0.8125</v>
      </c>
      <c r="AI1068" s="100" t="n">
        <f aca="false">IFERROR(O1068/K1068,0)</f>
        <v>587.5</v>
      </c>
      <c r="AJ1068" s="101" t="n">
        <f aca="false">VLOOKUP(D1068,'Standard Cycle time'!C:D,2,0)</f>
        <v>5.25</v>
      </c>
      <c r="AK1068" s="101" t="n">
        <f aca="false">AG1068*V1068*3600/O1068</f>
        <v>4.97872340425532</v>
      </c>
      <c r="AL1068" s="102" t="n">
        <f aca="false">AJ1068/AK1068</f>
        <v>1.05448717948718</v>
      </c>
      <c r="AM1068" s="99" t="n">
        <f aca="false">AE1068*AL1068*AH1068</f>
        <v>0.847026748173422</v>
      </c>
      <c r="AN1068" s="103" t="n">
        <v>0.840742807539683</v>
      </c>
      <c r="AO1068" s="112" t="s">
        <v>1848</v>
      </c>
      <c r="AP1068" s="105" t="n">
        <v>0</v>
      </c>
      <c r="AQ1068" s="105" t="n">
        <v>0</v>
      </c>
      <c r="AR1068" s="105" t="n">
        <v>0</v>
      </c>
      <c r="AS1068" s="105" t="n">
        <v>0</v>
      </c>
      <c r="AT1068" s="105" t="n">
        <v>30</v>
      </c>
      <c r="AU1068" s="105" t="n">
        <v>0</v>
      </c>
      <c r="AV1068" s="105" t="n">
        <v>0</v>
      </c>
      <c r="AW1068" s="105" t="n">
        <v>30</v>
      </c>
      <c r="AX1068" s="105" t="n">
        <v>0</v>
      </c>
      <c r="AY1068" s="105" t="n">
        <v>0</v>
      </c>
      <c r="AZ1068" s="105" t="n">
        <v>0</v>
      </c>
      <c r="BA1068" s="105" t="n">
        <v>0</v>
      </c>
      <c r="BB1068" s="105" t="n">
        <v>0</v>
      </c>
      <c r="BC1068" s="105" t="n">
        <v>0</v>
      </c>
      <c r="BD1068" s="105" t="n">
        <v>0</v>
      </c>
      <c r="BE1068" s="105" t="n">
        <v>0</v>
      </c>
      <c r="BF1068" s="105" t="n">
        <v>0</v>
      </c>
      <c r="BG1068" s="105" t="n">
        <v>0</v>
      </c>
      <c r="BH1068" s="105" t="n">
        <v>0</v>
      </c>
      <c r="BI1068" s="105" t="n">
        <v>0</v>
      </c>
      <c r="BJ1068" s="105" t="n">
        <v>0</v>
      </c>
      <c r="BK1068" s="105" t="n">
        <v>0</v>
      </c>
      <c r="BL1068" s="105" t="n">
        <v>0</v>
      </c>
      <c r="BM1068" s="105" t="n">
        <v>30</v>
      </c>
      <c r="BN1068" s="105" t="n">
        <v>0</v>
      </c>
      <c r="BO1068" s="105" t="n">
        <v>0</v>
      </c>
      <c r="BP1068" s="105" t="n">
        <v>0</v>
      </c>
      <c r="BQ1068" s="105" t="n">
        <v>0</v>
      </c>
      <c r="BR1068" s="106" t="n">
        <v>1.5</v>
      </c>
      <c r="BS1068" s="106" t="n">
        <v>1.5</v>
      </c>
      <c r="BT1068" s="107"/>
      <c r="BU1068" s="107"/>
      <c r="BV1068" s="107"/>
      <c r="BW1068" s="107"/>
      <c r="BX1068" s="107"/>
      <c r="BY1068" s="107"/>
      <c r="BZ1068" s="107"/>
      <c r="CA1068" s="107"/>
      <c r="CB1068" s="107"/>
      <c r="CC1068" s="107"/>
      <c r="CD1068" s="107"/>
      <c r="CE1068" s="107"/>
      <c r="CF1068" s="107"/>
      <c r="CG1068" s="107"/>
      <c r="CH1068" s="107"/>
      <c r="CI1068" s="107"/>
      <c r="CJ1068" s="107"/>
      <c r="CK1068" s="107"/>
      <c r="CL1068" s="107"/>
      <c r="CM1068" s="107"/>
      <c r="CN1068" s="107"/>
      <c r="CO1068" s="107"/>
      <c r="CP1068" s="107"/>
      <c r="CQ1068" s="107"/>
      <c r="CR1068" s="107"/>
      <c r="CS1068" s="107"/>
      <c r="CT1068" s="107"/>
      <c r="CU1068" s="107"/>
      <c r="CV1068" s="107"/>
    </row>
    <row r="1069" customFormat="false" ht="14.9" hidden="false" customHeight="false" outlineLevel="0" collapsed="false">
      <c r="A1069" s="74" t="n">
        <f aca="false">MONTH(B1069)</f>
        <v>10</v>
      </c>
      <c r="B1069" s="135" t="n">
        <v>44497</v>
      </c>
      <c r="C1069" s="128" t="s">
        <v>51</v>
      </c>
      <c r="D1069" s="77" t="str">
        <f aca="false">IFERROR(VLOOKUP(E:E,'Item Data Support Sheet'!A:O,7,0),"")</f>
        <v>BOTTLE MOLDED</v>
      </c>
      <c r="E1069" s="80" t="s">
        <v>69</v>
      </c>
      <c r="F1069" s="122" t="s">
        <v>73</v>
      </c>
      <c r="G1069" s="137" t="s">
        <v>74</v>
      </c>
      <c r="H1069" s="79" t="str">
        <f aca="false">IFERROR(VLOOKUP(E:E,'Item Data Support Sheet'!A:O,2,0),"")</f>
        <v>KPP 240 ML BOTTLE MOLDED</v>
      </c>
      <c r="I1069" s="80" t="s">
        <v>1849</v>
      </c>
      <c r="J1069" s="80" t="s">
        <v>815</v>
      </c>
      <c r="K1069" s="124" t="n">
        <v>8</v>
      </c>
      <c r="L1069" s="124" t="n">
        <v>2574</v>
      </c>
      <c r="M1069" s="83" t="n">
        <v>321.75</v>
      </c>
      <c r="N1069" s="84" t="n">
        <f aca="false">+O1069+Q1069+T1069+U1069</f>
        <v>3260</v>
      </c>
      <c r="O1069" s="85" t="n">
        <v>3132</v>
      </c>
      <c r="P1069" s="86" t="n">
        <v>0.35</v>
      </c>
      <c r="Q1069" s="86" t="n">
        <v>49</v>
      </c>
      <c r="R1069" s="132" t="n">
        <v>0</v>
      </c>
      <c r="S1069" s="128" t="n">
        <v>0</v>
      </c>
      <c r="T1069" s="132" t="n">
        <v>71</v>
      </c>
      <c r="U1069" s="128" t="n">
        <v>8</v>
      </c>
      <c r="V1069" s="128" t="n">
        <v>1</v>
      </c>
      <c r="W1069" s="90" t="n">
        <f aca="false">IFERROR(O1069/V1069,0)</f>
        <v>3132</v>
      </c>
      <c r="X1069" s="91" t="n">
        <f aca="false">O1069/L1069</f>
        <v>1.21678321678322</v>
      </c>
      <c r="Y1069" s="92" t="str">
        <f aca="false">IFERROR(VLOOKUP(E:E,'Item Data Support Sheet'!A:J,6,0),0)</f>
        <v>HMC</v>
      </c>
      <c r="Z1069" s="93" t="n">
        <f aca="false">IFERROR(VLOOKUP(E:E,'Item Data Support Sheet'!A:O,4,0),0)</f>
        <v>32.1</v>
      </c>
      <c r="AA1069" s="93" t="n">
        <f aca="false">IFERROR(((N1069)*(Z1069/1000))+P1069,0)</f>
        <v>104.996</v>
      </c>
      <c r="AB1069" s="94" t="n">
        <f aca="false">IFERROR((O1069*(Z1069/1000)/(AA1069))," ")</f>
        <v>0.957533620328393</v>
      </c>
      <c r="AC1069" s="95" t="n">
        <f aca="false">IFERROR((T1069)/((T1069)+O1069),0)</f>
        <v>0.0221667187012176</v>
      </c>
      <c r="AD1069" s="96" t="n">
        <f aca="false">IFERROR(Q1069/(Q1069+N1069),0)</f>
        <v>0.0148080991236023</v>
      </c>
      <c r="AE1069" s="91" t="n">
        <f aca="false">(N1069-T1069)/N1069</f>
        <v>0.978220858895705</v>
      </c>
      <c r="AF1069" s="97" t="n">
        <f aca="false">BR1069</f>
        <v>0</v>
      </c>
      <c r="AG1069" s="98" t="n">
        <f aca="false">K1069-AF1069</f>
        <v>8</v>
      </c>
      <c r="AH1069" s="99" t="n">
        <f aca="false">IFERROR(AG1069/K1069," ")</f>
        <v>1</v>
      </c>
      <c r="AI1069" s="100" t="n">
        <f aca="false">IFERROR(O1069/K1069,0)</f>
        <v>391.5</v>
      </c>
      <c r="AJ1069" s="101" t="n">
        <f aca="false">VLOOKUP(D1069,'Standard Cycle time'!C:D,2,0)</f>
        <v>9</v>
      </c>
      <c r="AK1069" s="101" t="n">
        <f aca="false">AG1069*V1069*3600/O1069</f>
        <v>9.19540229885057</v>
      </c>
      <c r="AL1069" s="102" t="n">
        <f aca="false">AJ1069/AK1069</f>
        <v>0.97875</v>
      </c>
      <c r="AM1069" s="99" t="n">
        <f aca="false">AE1069*AL1069*AH1069</f>
        <v>0.957433665644172</v>
      </c>
      <c r="AN1069" s="103" t="n">
        <v>0.964380428039702</v>
      </c>
      <c r="AO1069" s="112" t="s">
        <v>1850</v>
      </c>
      <c r="AP1069" s="105" t="n">
        <v>0</v>
      </c>
      <c r="AQ1069" s="105" t="n">
        <v>0</v>
      </c>
      <c r="AR1069" s="105" t="n">
        <v>0</v>
      </c>
      <c r="AS1069" s="105" t="n">
        <v>0</v>
      </c>
      <c r="AT1069" s="105" t="n">
        <v>0</v>
      </c>
      <c r="AU1069" s="105" t="n">
        <v>0</v>
      </c>
      <c r="AV1069" s="105" t="n">
        <v>0</v>
      </c>
      <c r="AW1069" s="105" t="n">
        <v>0</v>
      </c>
      <c r="AX1069" s="105" t="n">
        <v>0</v>
      </c>
      <c r="AY1069" s="105" t="n">
        <v>0</v>
      </c>
      <c r="AZ1069" s="105" t="n">
        <v>0</v>
      </c>
      <c r="BA1069" s="105" t="n">
        <v>0</v>
      </c>
      <c r="BB1069" s="105" t="n">
        <v>0</v>
      </c>
      <c r="BC1069" s="105" t="n">
        <v>0</v>
      </c>
      <c r="BD1069" s="105" t="n">
        <v>0</v>
      </c>
      <c r="BE1069" s="105" t="n">
        <v>0</v>
      </c>
      <c r="BF1069" s="105" t="n">
        <v>0</v>
      </c>
      <c r="BG1069" s="105" t="n">
        <v>0</v>
      </c>
      <c r="BH1069" s="105" t="n">
        <v>0</v>
      </c>
      <c r="BI1069" s="105" t="n">
        <v>0</v>
      </c>
      <c r="BJ1069" s="105" t="n">
        <v>0</v>
      </c>
      <c r="BK1069" s="105" t="n">
        <v>0</v>
      </c>
      <c r="BL1069" s="105" t="n">
        <v>0</v>
      </c>
      <c r="BM1069" s="105" t="n">
        <v>0</v>
      </c>
      <c r="BN1069" s="105" t="n">
        <v>0</v>
      </c>
      <c r="BO1069" s="105" t="n">
        <v>0</v>
      </c>
      <c r="BP1069" s="105" t="n">
        <v>0</v>
      </c>
      <c r="BQ1069" s="105" t="n">
        <v>0</v>
      </c>
      <c r="BR1069" s="106" t="n">
        <v>0</v>
      </c>
      <c r="BS1069" s="106" t="n">
        <v>0</v>
      </c>
      <c r="BT1069" s="107"/>
      <c r="BU1069" s="107"/>
      <c r="BV1069" s="107"/>
      <c r="BW1069" s="107"/>
      <c r="BX1069" s="107"/>
      <c r="BY1069" s="107"/>
      <c r="BZ1069" s="107"/>
      <c r="CA1069" s="107"/>
      <c r="CB1069" s="107"/>
      <c r="CC1069" s="107"/>
      <c r="CD1069" s="107"/>
      <c r="CE1069" s="107"/>
      <c r="CF1069" s="107"/>
      <c r="CG1069" s="107"/>
      <c r="CH1069" s="107"/>
      <c r="CI1069" s="107"/>
      <c r="CJ1069" s="107"/>
      <c r="CK1069" s="107"/>
      <c r="CL1069" s="107"/>
      <c r="CM1069" s="107"/>
      <c r="CN1069" s="107"/>
      <c r="CO1069" s="107"/>
      <c r="CP1069" s="107"/>
      <c r="CQ1069" s="107"/>
      <c r="CR1069" s="107"/>
      <c r="CS1069" s="107"/>
      <c r="CT1069" s="107"/>
      <c r="CU1069" s="107"/>
      <c r="CV1069" s="107"/>
    </row>
    <row r="1070" customFormat="false" ht="14.9" hidden="false" customHeight="false" outlineLevel="0" collapsed="false">
      <c r="A1070" s="74" t="n">
        <f aca="false">MONTH(B1070)</f>
        <v>10</v>
      </c>
      <c r="B1070" s="135" t="n">
        <v>44497</v>
      </c>
      <c r="C1070" s="128" t="s">
        <v>51</v>
      </c>
      <c r="D1070" s="77" t="str">
        <f aca="false">IFERROR(VLOOKUP(E:E,'Item Data Support Sheet'!A:O,7,0),"")</f>
        <v>NIPPLE PUNCH</v>
      </c>
      <c r="E1070" s="80" t="s">
        <v>53</v>
      </c>
      <c r="F1070" s="122"/>
      <c r="G1070" s="137" t="s">
        <v>54</v>
      </c>
      <c r="H1070" s="79" t="str">
        <f aca="false">IFERROR(VLOOKUP(E:E,'Item Data Support Sheet'!A:O,2,0),"")</f>
        <v>NIPPLE S TYPE S SIZE PUNCHED</v>
      </c>
      <c r="I1070" s="80" t="s">
        <v>1851</v>
      </c>
      <c r="J1070" s="80" t="s">
        <v>815</v>
      </c>
      <c r="K1070" s="124" t="n">
        <v>8</v>
      </c>
      <c r="L1070" s="124" t="n">
        <v>7000</v>
      </c>
      <c r="M1070" s="83" t="n">
        <v>875</v>
      </c>
      <c r="N1070" s="84" t="n">
        <f aca="false">+O1070+Q1070+T1070+U1070</f>
        <v>7000</v>
      </c>
      <c r="O1070" s="85" t="n">
        <v>7000</v>
      </c>
      <c r="P1070" s="86" t="n">
        <v>0</v>
      </c>
      <c r="Q1070" s="86" t="n">
        <v>0</v>
      </c>
      <c r="R1070" s="132" t="n">
        <v>0</v>
      </c>
      <c r="S1070" s="128" t="n">
        <v>0</v>
      </c>
      <c r="T1070" s="132" t="n">
        <v>0</v>
      </c>
      <c r="U1070" s="128" t="n">
        <v>0</v>
      </c>
      <c r="V1070" s="128" t="n">
        <v>1</v>
      </c>
      <c r="W1070" s="90" t="n">
        <f aca="false">IFERROR(O1070/V1070,0)</f>
        <v>7000</v>
      </c>
      <c r="X1070" s="91" t="n">
        <f aca="false">O1070/L1070</f>
        <v>1</v>
      </c>
      <c r="Y1070" s="92" t="str">
        <f aca="false">IFERROR(VLOOKUP(E:E,'Item Data Support Sheet'!A:J,6,0),0)</f>
        <v>FO015</v>
      </c>
      <c r="Z1070" s="93" t="n">
        <f aca="false">IFERROR(VLOOKUP(E:E,'Item Data Support Sheet'!A:O,4,0),0)</f>
        <v>0</v>
      </c>
      <c r="AA1070" s="93" t="n">
        <f aca="false">IFERROR(((N1070)*(Z1070/1000))+P1070,0)</f>
        <v>0</v>
      </c>
      <c r="AB1070" s="94" t="str">
        <f aca="false">IFERROR((O1070*(Z1070/1000)/(AA1070))," ")</f>
        <v> </v>
      </c>
      <c r="AC1070" s="95" t="n">
        <f aca="false">IFERROR((T1070)/((T1070)+O1070),0)</f>
        <v>0</v>
      </c>
      <c r="AD1070" s="96" t="n">
        <f aca="false">IFERROR(Q1070/(Q1070+N1070),0)</f>
        <v>0</v>
      </c>
      <c r="AE1070" s="91" t="n">
        <f aca="false">(N1070-T1070)/N1070</f>
        <v>1</v>
      </c>
      <c r="AF1070" s="97" t="n">
        <f aca="false">BR1070</f>
        <v>0.666666666666667</v>
      </c>
      <c r="AG1070" s="98" t="n">
        <f aca="false">K1070-AF1070</f>
        <v>7.33333333333333</v>
      </c>
      <c r="AH1070" s="99" t="n">
        <f aca="false">IFERROR(AG1070/K1070," ")</f>
        <v>0.916666666666667</v>
      </c>
      <c r="AI1070" s="100" t="n">
        <f aca="false">IFERROR(O1070/K1070,0)</f>
        <v>875</v>
      </c>
      <c r="AJ1070" s="101" t="n">
        <f aca="false">VLOOKUP(D1070,'Standard Cycle time'!C:D,2,0)</f>
        <v>3.5</v>
      </c>
      <c r="AK1070" s="101" t="n">
        <f aca="false">AG1070*V1070*3600/O1070</f>
        <v>3.77142857142857</v>
      </c>
      <c r="AL1070" s="102" t="n">
        <f aca="false">AJ1070/AK1070</f>
        <v>0.928030303030303</v>
      </c>
      <c r="AM1070" s="99" t="n">
        <f aca="false">AE1070*AL1070*AH1070</f>
        <v>0.850694444444444</v>
      </c>
      <c r="AN1070" s="103" t="n">
        <v>0.850694444444444</v>
      </c>
      <c r="AO1070" s="112"/>
      <c r="AP1070" s="105" t="n">
        <v>40</v>
      </c>
      <c r="AQ1070" s="105" t="n">
        <v>0</v>
      </c>
      <c r="AR1070" s="105" t="n">
        <v>0</v>
      </c>
      <c r="AS1070" s="105" t="n">
        <v>0</v>
      </c>
      <c r="AT1070" s="105" t="n">
        <v>0</v>
      </c>
      <c r="AU1070" s="105" t="n">
        <v>0</v>
      </c>
      <c r="AV1070" s="105" t="n">
        <v>0</v>
      </c>
      <c r="AW1070" s="105" t="n">
        <v>0</v>
      </c>
      <c r="AX1070" s="105" t="n">
        <v>0</v>
      </c>
      <c r="AY1070" s="105" t="n">
        <v>0</v>
      </c>
      <c r="AZ1070" s="105" t="n">
        <v>0</v>
      </c>
      <c r="BA1070" s="105" t="n">
        <v>0</v>
      </c>
      <c r="BB1070" s="105" t="n">
        <v>0</v>
      </c>
      <c r="BC1070" s="105" t="n">
        <v>0</v>
      </c>
      <c r="BD1070" s="105" t="n">
        <v>0</v>
      </c>
      <c r="BE1070" s="105" t="n">
        <v>0</v>
      </c>
      <c r="BF1070" s="105" t="n">
        <v>0</v>
      </c>
      <c r="BG1070" s="105" t="n">
        <v>0</v>
      </c>
      <c r="BH1070" s="105" t="n">
        <v>0</v>
      </c>
      <c r="BI1070" s="105" t="n">
        <v>0</v>
      </c>
      <c r="BJ1070" s="105" t="n">
        <v>0</v>
      </c>
      <c r="BK1070" s="105" t="n">
        <v>0</v>
      </c>
      <c r="BL1070" s="105" t="n">
        <v>0</v>
      </c>
      <c r="BM1070" s="105" t="n">
        <v>0</v>
      </c>
      <c r="BN1070" s="105" t="n">
        <v>0</v>
      </c>
      <c r="BO1070" s="105" t="n">
        <v>0</v>
      </c>
      <c r="BP1070" s="105" t="n">
        <v>0</v>
      </c>
      <c r="BQ1070" s="105" t="n">
        <v>0</v>
      </c>
      <c r="BR1070" s="106" t="n">
        <v>0.666666666666667</v>
      </c>
      <c r="BS1070" s="106" t="n">
        <v>0.666666666666667</v>
      </c>
      <c r="BT1070" s="107"/>
      <c r="BU1070" s="107"/>
      <c r="BV1070" s="107"/>
      <c r="BW1070" s="107"/>
      <c r="BX1070" s="107"/>
      <c r="BY1070" s="107"/>
      <c r="BZ1070" s="107"/>
      <c r="CA1070" s="107"/>
      <c r="CB1070" s="107"/>
      <c r="CC1070" s="107"/>
      <c r="CD1070" s="107"/>
      <c r="CE1070" s="107"/>
      <c r="CF1070" s="107"/>
      <c r="CG1070" s="107"/>
      <c r="CH1070" s="107"/>
      <c r="CI1070" s="107"/>
      <c r="CJ1070" s="107"/>
      <c r="CK1070" s="107"/>
      <c r="CL1070" s="107"/>
      <c r="CM1070" s="107"/>
      <c r="CN1070" s="107"/>
      <c r="CO1070" s="107"/>
      <c r="CP1070" s="107"/>
      <c r="CQ1070" s="107"/>
      <c r="CR1070" s="107"/>
      <c r="CS1070" s="107"/>
      <c r="CT1070" s="107"/>
      <c r="CU1070" s="107"/>
      <c r="CV1070" s="107"/>
    </row>
    <row r="1071" customFormat="false" ht="14.9" hidden="false" customHeight="false" outlineLevel="0" collapsed="false">
      <c r="A1071" s="74" t="n">
        <f aca="false">MONTH(B1071)</f>
        <v>10</v>
      </c>
      <c r="B1071" s="135" t="n">
        <v>44497</v>
      </c>
      <c r="C1071" s="128" t="s">
        <v>51</v>
      </c>
      <c r="D1071" s="77" t="str">
        <f aca="false">IFERROR(VLOOKUP(E:E,'Item Data Support Sheet'!A:O,7,0),"")</f>
        <v>NIPPLE LASER MARKING</v>
      </c>
      <c r="E1071" s="80" t="s">
        <v>444</v>
      </c>
      <c r="F1071" s="122"/>
      <c r="G1071" s="137" t="s">
        <v>517</v>
      </c>
      <c r="H1071" s="79" t="str">
        <f aca="false">IFERROR(VLOOKUP(E:E,'Item Data Support Sheet'!A:O,2,0),"")</f>
        <v>NIPPLE S TYPE S SIZE PUNCHED LASER MARKED</v>
      </c>
      <c r="I1071" s="80" t="s">
        <v>1852</v>
      </c>
      <c r="J1071" s="80" t="s">
        <v>815</v>
      </c>
      <c r="K1071" s="124" t="n">
        <v>8</v>
      </c>
      <c r="L1071" s="124" t="n">
        <v>7000</v>
      </c>
      <c r="M1071" s="83" t="n">
        <v>875</v>
      </c>
      <c r="N1071" s="84" t="n">
        <f aca="false">+O1071+Q1071+T1071+U1071</f>
        <v>7000</v>
      </c>
      <c r="O1071" s="85" t="n">
        <v>7000</v>
      </c>
      <c r="P1071" s="86" t="n">
        <v>0</v>
      </c>
      <c r="Q1071" s="86" t="n">
        <v>0</v>
      </c>
      <c r="R1071" s="132" t="n">
        <v>0</v>
      </c>
      <c r="S1071" s="128" t="n">
        <v>0</v>
      </c>
      <c r="T1071" s="132" t="n">
        <v>0</v>
      </c>
      <c r="U1071" s="128" t="n">
        <v>0</v>
      </c>
      <c r="V1071" s="128" t="n">
        <v>1</v>
      </c>
      <c r="W1071" s="90" t="n">
        <f aca="false">IFERROR(O1071/V1071,0)</f>
        <v>7000</v>
      </c>
      <c r="X1071" s="91" t="n">
        <f aca="false">O1071/L1071</f>
        <v>1</v>
      </c>
      <c r="Y1071" s="92" t="str">
        <f aca="false">IFERROR(VLOOKUP(E:E,'Item Data Support Sheet'!A:J,6,0),0)</f>
        <v>FO019</v>
      </c>
      <c r="Z1071" s="93" t="n">
        <f aca="false">IFERROR(VLOOKUP(E:E,'Item Data Support Sheet'!A:O,4,0),0)</f>
        <v>0</v>
      </c>
      <c r="AA1071" s="93" t="n">
        <f aca="false">IFERROR(((N1071)*(Z1071/1000))+P1071,0)</f>
        <v>0</v>
      </c>
      <c r="AB1071" s="94" t="str">
        <f aca="false">IFERROR((O1071*(Z1071/1000)/(AA1071))," ")</f>
        <v> </v>
      </c>
      <c r="AC1071" s="95" t="n">
        <f aca="false">IFERROR((T1071)/((T1071)+O1071),0)</f>
        <v>0</v>
      </c>
      <c r="AD1071" s="96" t="n">
        <f aca="false">IFERROR(Q1071/(Q1071+N1071),0)</f>
        <v>0</v>
      </c>
      <c r="AE1071" s="91" t="n">
        <f aca="false">(N1071-T1071)/N1071</f>
        <v>1</v>
      </c>
      <c r="AF1071" s="97" t="n">
        <f aca="false">BR1071</f>
        <v>0.666666666666667</v>
      </c>
      <c r="AG1071" s="98" t="n">
        <f aca="false">K1071-AF1071</f>
        <v>7.33333333333333</v>
      </c>
      <c r="AH1071" s="99" t="n">
        <f aca="false">IFERROR(AG1071/K1071," ")</f>
        <v>0.916666666666667</v>
      </c>
      <c r="AI1071" s="100" t="n">
        <f aca="false">IFERROR(O1071/K1071,0)</f>
        <v>875</v>
      </c>
      <c r="AJ1071" s="101" t="n">
        <f aca="false">VLOOKUP(D1071,'Standard Cycle time'!C:D,2,0)</f>
        <v>3.5</v>
      </c>
      <c r="AK1071" s="101" t="n">
        <f aca="false">AG1071*V1071*3600/O1071</f>
        <v>3.77142857142857</v>
      </c>
      <c r="AL1071" s="102" t="n">
        <f aca="false">AJ1071/AK1071</f>
        <v>0.928030303030303</v>
      </c>
      <c r="AM1071" s="99" t="n">
        <f aca="false">AE1071*AL1071*AH1071</f>
        <v>0.850694444444444</v>
      </c>
      <c r="AN1071" s="103" t="n">
        <v>0.850694444444444</v>
      </c>
      <c r="AO1071" s="112"/>
      <c r="AP1071" s="105" t="n">
        <v>40</v>
      </c>
      <c r="AQ1071" s="105" t="n">
        <v>0</v>
      </c>
      <c r="AR1071" s="105" t="n">
        <v>0</v>
      </c>
      <c r="AS1071" s="105" t="n">
        <v>0</v>
      </c>
      <c r="AT1071" s="105" t="n">
        <v>0</v>
      </c>
      <c r="AU1071" s="105" t="n">
        <v>0</v>
      </c>
      <c r="AV1071" s="105" t="n">
        <v>0</v>
      </c>
      <c r="AW1071" s="105" t="n">
        <v>0</v>
      </c>
      <c r="AX1071" s="105" t="n">
        <v>0</v>
      </c>
      <c r="AY1071" s="105" t="n">
        <v>0</v>
      </c>
      <c r="AZ1071" s="105" t="n">
        <v>0</v>
      </c>
      <c r="BA1071" s="105" t="n">
        <v>0</v>
      </c>
      <c r="BB1071" s="105" t="n">
        <v>0</v>
      </c>
      <c r="BC1071" s="105" t="n">
        <v>0</v>
      </c>
      <c r="BD1071" s="105" t="n">
        <v>0</v>
      </c>
      <c r="BE1071" s="105" t="n">
        <v>0</v>
      </c>
      <c r="BF1071" s="105" t="n">
        <v>0</v>
      </c>
      <c r="BG1071" s="105" t="n">
        <v>0</v>
      </c>
      <c r="BH1071" s="105" t="n">
        <v>0</v>
      </c>
      <c r="BI1071" s="105" t="n">
        <v>0</v>
      </c>
      <c r="BJ1071" s="105" t="n">
        <v>0</v>
      </c>
      <c r="BK1071" s="105" t="n">
        <v>0</v>
      </c>
      <c r="BL1071" s="105" t="n">
        <v>0</v>
      </c>
      <c r="BM1071" s="105" t="n">
        <v>0</v>
      </c>
      <c r="BN1071" s="105" t="n">
        <v>0</v>
      </c>
      <c r="BO1071" s="105" t="n">
        <v>0</v>
      </c>
      <c r="BP1071" s="105" t="n">
        <v>0</v>
      </c>
      <c r="BQ1071" s="105" t="n">
        <v>0</v>
      </c>
      <c r="BR1071" s="106" t="n">
        <v>0.666666666666667</v>
      </c>
      <c r="BS1071" s="106" t="n">
        <v>0.666666666666667</v>
      </c>
      <c r="BT1071" s="107"/>
      <c r="BU1071" s="107"/>
      <c r="BV1071" s="107"/>
      <c r="BW1071" s="107"/>
      <c r="BX1071" s="107"/>
      <c r="BY1071" s="107"/>
      <c r="BZ1071" s="107"/>
      <c r="CA1071" s="107"/>
      <c r="CB1071" s="107"/>
      <c r="CC1071" s="107"/>
      <c r="CD1071" s="107"/>
      <c r="CE1071" s="107"/>
      <c r="CF1071" s="107"/>
      <c r="CG1071" s="107"/>
      <c r="CH1071" s="107"/>
      <c r="CI1071" s="107"/>
      <c r="CJ1071" s="107"/>
      <c r="CK1071" s="107"/>
      <c r="CL1071" s="107"/>
      <c r="CM1071" s="107"/>
      <c r="CN1071" s="107"/>
      <c r="CO1071" s="107"/>
      <c r="CP1071" s="107"/>
      <c r="CQ1071" s="107"/>
      <c r="CR1071" s="107"/>
      <c r="CS1071" s="107"/>
      <c r="CT1071" s="107"/>
      <c r="CU1071" s="107"/>
      <c r="CV1071" s="107"/>
    </row>
    <row r="1072" customFormat="false" ht="14.9" hidden="false" customHeight="false" outlineLevel="0" collapsed="false">
      <c r="A1072" s="74" t="n">
        <f aca="false">MONTH(B1072)</f>
        <v>10</v>
      </c>
      <c r="B1072" s="135" t="n">
        <v>44497</v>
      </c>
      <c r="C1072" s="128" t="s">
        <v>51</v>
      </c>
      <c r="D1072" s="77" t="str">
        <f aca="false">IFERROR(VLOOKUP(E:E,'Item Data Support Sheet'!A:O,7,0),"")</f>
        <v>NIPPLE MOLDED</v>
      </c>
      <c r="E1072" s="80" t="s">
        <v>244</v>
      </c>
      <c r="F1072" s="122" t="s">
        <v>137</v>
      </c>
      <c r="G1072" s="137" t="s">
        <v>138</v>
      </c>
      <c r="H1072" s="79" t="str">
        <f aca="false">IFERROR(VLOOKUP(E:E,'Item Data Support Sheet'!A:O,2,0),"")</f>
        <v>NIPPLE S TYPE S SIZE INJECTION</v>
      </c>
      <c r="I1072" s="80" t="s">
        <v>1853</v>
      </c>
      <c r="J1072" s="80" t="s">
        <v>815</v>
      </c>
      <c r="K1072" s="124" t="n">
        <v>8</v>
      </c>
      <c r="L1072" s="124" t="n">
        <v>4815</v>
      </c>
      <c r="M1072" s="83" t="n">
        <v>601.875</v>
      </c>
      <c r="N1072" s="84" t="n">
        <f aca="false">+O1072+Q1072+T1072+U1072</f>
        <v>5218</v>
      </c>
      <c r="O1072" s="85" t="n">
        <v>5200</v>
      </c>
      <c r="P1072" s="86" t="n">
        <v>0</v>
      </c>
      <c r="Q1072" s="86" t="n">
        <v>0</v>
      </c>
      <c r="R1072" s="132" t="n">
        <v>0</v>
      </c>
      <c r="S1072" s="128" t="n">
        <v>0</v>
      </c>
      <c r="T1072" s="132" t="n">
        <v>10</v>
      </c>
      <c r="U1072" s="128" t="n">
        <v>8</v>
      </c>
      <c r="V1072" s="128" t="n">
        <v>1</v>
      </c>
      <c r="W1072" s="90" t="n">
        <f aca="false">IFERROR(O1072/V1072,0)</f>
        <v>5200</v>
      </c>
      <c r="X1072" s="91" t="n">
        <f aca="false">O1072/L1072</f>
        <v>1.07995846313603</v>
      </c>
      <c r="Y1072" s="92" t="str">
        <f aca="false">IFERROR(VLOOKUP(E:E,'Item Data Support Sheet'!A:J,6,0),0)</f>
        <v>Silicon</v>
      </c>
      <c r="Z1072" s="93" t="n">
        <f aca="false">IFERROR(VLOOKUP(E:E,'Item Data Support Sheet'!A:O,4,0),0)</f>
        <v>6.8</v>
      </c>
      <c r="AA1072" s="93" t="n">
        <f aca="false">IFERROR(((N1072)*(Z1072/1000))+P1072,0)</f>
        <v>35.4824</v>
      </c>
      <c r="AB1072" s="94" t="n">
        <f aca="false">IFERROR((O1072*(Z1072/1000)/(AA1072))," ")</f>
        <v>0.996550402453047</v>
      </c>
      <c r="AC1072" s="95" t="n">
        <f aca="false">IFERROR((T1072)/((T1072)+O1072),0)</f>
        <v>0.00191938579654511</v>
      </c>
      <c r="AD1072" s="96" t="n">
        <f aca="false">IFERROR(Q1072/(Q1072+N1072),0)</f>
        <v>0</v>
      </c>
      <c r="AE1072" s="91" t="n">
        <f aca="false">(N1072-T1072)/N1072</f>
        <v>0.998083556918359</v>
      </c>
      <c r="AF1072" s="97" t="n">
        <f aca="false">BR1072</f>
        <v>0</v>
      </c>
      <c r="AG1072" s="98" t="n">
        <f aca="false">K1072-AF1072</f>
        <v>8</v>
      </c>
      <c r="AH1072" s="99" t="n">
        <f aca="false">IFERROR(AG1072/K1072," ")</f>
        <v>1</v>
      </c>
      <c r="AI1072" s="100" t="n">
        <f aca="false">IFERROR(O1072/K1072,0)</f>
        <v>650</v>
      </c>
      <c r="AJ1072" s="101" t="n">
        <f aca="false">VLOOKUP(D1072,'Standard Cycle time'!C:D,2,0)</f>
        <v>5.25</v>
      </c>
      <c r="AK1072" s="101" t="n">
        <f aca="false">AG1072*V1072*3600/O1072</f>
        <v>5.53846153846154</v>
      </c>
      <c r="AL1072" s="102" t="n">
        <f aca="false">AJ1072/AK1072</f>
        <v>0.947916666666667</v>
      </c>
      <c r="AM1072" s="99" t="n">
        <f aca="false">AE1072*AL1072*AH1072</f>
        <v>0.946100038328862</v>
      </c>
      <c r="AN1072" s="103" t="n">
        <v>0.9465625</v>
      </c>
      <c r="AO1072" s="112"/>
      <c r="AP1072" s="105" t="n">
        <v>0</v>
      </c>
      <c r="AQ1072" s="105" t="n">
        <v>0</v>
      </c>
      <c r="AR1072" s="105" t="n">
        <v>0</v>
      </c>
      <c r="AS1072" s="105" t="n">
        <v>0</v>
      </c>
      <c r="AT1072" s="105" t="n">
        <v>0</v>
      </c>
      <c r="AU1072" s="105" t="n">
        <v>0</v>
      </c>
      <c r="AV1072" s="105" t="n">
        <v>0</v>
      </c>
      <c r="AW1072" s="105" t="n">
        <v>0</v>
      </c>
      <c r="AX1072" s="105" t="n">
        <v>0</v>
      </c>
      <c r="AY1072" s="105" t="n">
        <v>0</v>
      </c>
      <c r="AZ1072" s="105" t="n">
        <v>0</v>
      </c>
      <c r="BA1072" s="105" t="n">
        <v>0</v>
      </c>
      <c r="BB1072" s="105" t="n">
        <v>0</v>
      </c>
      <c r="BC1072" s="105" t="n">
        <v>0</v>
      </c>
      <c r="BD1072" s="105" t="n">
        <v>0</v>
      </c>
      <c r="BE1072" s="105" t="n">
        <v>0</v>
      </c>
      <c r="BF1072" s="105" t="n">
        <v>0</v>
      </c>
      <c r="BG1072" s="105" t="n">
        <v>0</v>
      </c>
      <c r="BH1072" s="105" t="n">
        <v>0</v>
      </c>
      <c r="BI1072" s="105" t="n">
        <v>0</v>
      </c>
      <c r="BJ1072" s="105" t="n">
        <v>0</v>
      </c>
      <c r="BK1072" s="105" t="n">
        <v>0</v>
      </c>
      <c r="BL1072" s="105" t="n">
        <v>0</v>
      </c>
      <c r="BM1072" s="105" t="n">
        <v>0</v>
      </c>
      <c r="BN1072" s="105" t="n">
        <v>0</v>
      </c>
      <c r="BO1072" s="105" t="n">
        <v>0</v>
      </c>
      <c r="BP1072" s="105" t="n">
        <v>0</v>
      </c>
      <c r="BQ1072" s="105" t="n">
        <v>0</v>
      </c>
      <c r="BR1072" s="106" t="n">
        <v>0</v>
      </c>
      <c r="BS1072" s="106" t="n">
        <v>0</v>
      </c>
      <c r="BT1072" s="107"/>
      <c r="BU1072" s="107"/>
      <c r="BV1072" s="107"/>
      <c r="BW1072" s="107"/>
      <c r="BX1072" s="107"/>
      <c r="BY1072" s="107"/>
      <c r="BZ1072" s="107"/>
      <c r="CA1072" s="107"/>
      <c r="CB1072" s="107"/>
      <c r="CC1072" s="107"/>
      <c r="CD1072" s="107"/>
      <c r="CE1072" s="107"/>
      <c r="CF1072" s="107"/>
      <c r="CG1072" s="107"/>
      <c r="CH1072" s="107"/>
      <c r="CI1072" s="107"/>
      <c r="CJ1072" s="107"/>
      <c r="CK1072" s="107"/>
      <c r="CL1072" s="107"/>
      <c r="CM1072" s="107"/>
      <c r="CN1072" s="107"/>
      <c r="CO1072" s="107"/>
      <c r="CP1072" s="107"/>
      <c r="CQ1072" s="107"/>
      <c r="CR1072" s="107"/>
      <c r="CS1072" s="107"/>
      <c r="CT1072" s="107"/>
      <c r="CU1072" s="107"/>
      <c r="CV1072" s="107"/>
    </row>
    <row r="1073" customFormat="false" ht="14.9" hidden="false" customHeight="false" outlineLevel="0" collapsed="false">
      <c r="A1073" s="74" t="n">
        <f aca="false">MONTH(B1073)</f>
        <v>10</v>
      </c>
      <c r="B1073" s="135" t="n">
        <v>44497</v>
      </c>
      <c r="C1073" s="128" t="s">
        <v>51</v>
      </c>
      <c r="D1073" s="77" t="str">
        <f aca="false">IFERROR(VLOOKUP(E:E,'Item Data Support Sheet'!A:O,7,0),"")</f>
        <v>HOOD MOLDED</v>
      </c>
      <c r="E1073" s="80" t="s">
        <v>529</v>
      </c>
      <c r="F1073" s="122"/>
      <c r="G1073" s="137" t="s">
        <v>740</v>
      </c>
      <c r="H1073" s="79" t="str">
        <f aca="false">IFERROR(VLOOKUP(E:E,'Item Data Support Sheet'!A:O,2,0),"")</f>
        <v>HOOD S TYPE MOLDED</v>
      </c>
      <c r="I1073" s="80" t="s">
        <v>1854</v>
      </c>
      <c r="J1073" s="80" t="s">
        <v>815</v>
      </c>
      <c r="K1073" s="124" t="n">
        <v>8</v>
      </c>
      <c r="L1073" s="124" t="n">
        <v>4137</v>
      </c>
      <c r="M1073" s="83" t="n">
        <v>517.125</v>
      </c>
      <c r="N1073" s="84" t="n">
        <f aca="false">+O1073+Q1073+T1073+U1073</f>
        <v>5008</v>
      </c>
      <c r="O1073" s="85" t="n">
        <v>5000</v>
      </c>
      <c r="P1073" s="86" t="n">
        <v>0</v>
      </c>
      <c r="Q1073" s="86" t="n">
        <v>0</v>
      </c>
      <c r="R1073" s="132" t="n">
        <v>0</v>
      </c>
      <c r="S1073" s="128" t="n">
        <v>0</v>
      </c>
      <c r="T1073" s="132" t="n">
        <v>0</v>
      </c>
      <c r="U1073" s="128" t="n">
        <v>8</v>
      </c>
      <c r="V1073" s="128" t="n">
        <v>1</v>
      </c>
      <c r="W1073" s="90" t="n">
        <f aca="false">IFERROR(O1073/V1073,0)</f>
        <v>5000</v>
      </c>
      <c r="X1073" s="91" t="n">
        <f aca="false">O1073/L1073</f>
        <v>1.20860526951898</v>
      </c>
      <c r="Y1073" s="92" t="str">
        <f aca="false">IFERROR(VLOOKUP(E:E,'Item Data Support Sheet'!A:J,6,0),0)</f>
        <v>HMC</v>
      </c>
      <c r="Z1073" s="93" t="n">
        <f aca="false">IFERROR(VLOOKUP(E:E,'Item Data Support Sheet'!A:O,4,0),0)</f>
        <v>8.6</v>
      </c>
      <c r="AA1073" s="93" t="n">
        <f aca="false">IFERROR(((N1073)*(Z1073/1000))+P1073,0)</f>
        <v>43.0688</v>
      </c>
      <c r="AB1073" s="94" t="n">
        <f aca="false">IFERROR((O1073*(Z1073/1000)/(AA1073))," ")</f>
        <v>0.998402555910543</v>
      </c>
      <c r="AC1073" s="95" t="n">
        <f aca="false">IFERROR((T1073)/((T1073)+O1073),0)</f>
        <v>0</v>
      </c>
      <c r="AD1073" s="96" t="n">
        <f aca="false">IFERROR(Q1073/(Q1073+N1073),0)</f>
        <v>0</v>
      </c>
      <c r="AE1073" s="91" t="n">
        <f aca="false">(N1073-T1073)/N1073</f>
        <v>1</v>
      </c>
      <c r="AF1073" s="97" t="n">
        <f aca="false">BR1073</f>
        <v>0</v>
      </c>
      <c r="AG1073" s="98" t="n">
        <f aca="false">K1073-AF1073</f>
        <v>8</v>
      </c>
      <c r="AH1073" s="99" t="n">
        <f aca="false">IFERROR(AG1073/K1073," ")</f>
        <v>1</v>
      </c>
      <c r="AI1073" s="100" t="n">
        <f aca="false">IFERROR(O1073/K1073,0)</f>
        <v>625</v>
      </c>
      <c r="AJ1073" s="101" t="n">
        <f aca="false">VLOOKUP(D1073,'Standard Cycle time'!C:D,2,0)</f>
        <v>6</v>
      </c>
      <c r="AK1073" s="101" t="n">
        <f aca="false">AG1073*V1073*3600/O1073</f>
        <v>5.76</v>
      </c>
      <c r="AL1073" s="102" t="n">
        <f aca="false">AJ1073/AK1073</f>
        <v>1.04166666666667</v>
      </c>
      <c r="AM1073" s="99" t="n">
        <f aca="false">AE1073*AL1073*AH1073</f>
        <v>1.04166666666667</v>
      </c>
      <c r="AN1073" s="103" t="n">
        <v>1.04166666666667</v>
      </c>
      <c r="AO1073" s="112"/>
      <c r="AP1073" s="105" t="n">
        <v>0</v>
      </c>
      <c r="AQ1073" s="105" t="n">
        <v>0</v>
      </c>
      <c r="AR1073" s="105" t="n">
        <v>0</v>
      </c>
      <c r="AS1073" s="105" t="n">
        <v>0</v>
      </c>
      <c r="AT1073" s="105" t="n">
        <v>0</v>
      </c>
      <c r="AU1073" s="105" t="n">
        <v>0</v>
      </c>
      <c r="AV1073" s="105" t="n">
        <v>0</v>
      </c>
      <c r="AW1073" s="105" t="n">
        <v>0</v>
      </c>
      <c r="AX1073" s="105" t="n">
        <v>0</v>
      </c>
      <c r="AY1073" s="105" t="n">
        <v>0</v>
      </c>
      <c r="AZ1073" s="105" t="n">
        <v>0</v>
      </c>
      <c r="BA1073" s="105" t="n">
        <v>0</v>
      </c>
      <c r="BB1073" s="105" t="n">
        <v>0</v>
      </c>
      <c r="BC1073" s="105" t="n">
        <v>0</v>
      </c>
      <c r="BD1073" s="105" t="n">
        <v>0</v>
      </c>
      <c r="BE1073" s="105" t="n">
        <v>0</v>
      </c>
      <c r="BF1073" s="105" t="n">
        <v>0</v>
      </c>
      <c r="BG1073" s="105" t="n">
        <v>0</v>
      </c>
      <c r="BH1073" s="105" t="n">
        <v>0</v>
      </c>
      <c r="BI1073" s="105" t="n">
        <v>0</v>
      </c>
      <c r="BJ1073" s="105" t="n">
        <v>0</v>
      </c>
      <c r="BK1073" s="105" t="n">
        <v>0</v>
      </c>
      <c r="BL1073" s="105" t="n">
        <v>0</v>
      </c>
      <c r="BM1073" s="105" t="n">
        <v>0</v>
      </c>
      <c r="BN1073" s="105" t="n">
        <v>0</v>
      </c>
      <c r="BO1073" s="105" t="n">
        <v>0</v>
      </c>
      <c r="BP1073" s="105" t="n">
        <v>0</v>
      </c>
      <c r="BQ1073" s="105" t="n">
        <v>0</v>
      </c>
      <c r="BR1073" s="106" t="n">
        <v>0</v>
      </c>
      <c r="BS1073" s="106" t="n">
        <v>0</v>
      </c>
      <c r="BT1073" s="107"/>
      <c r="BU1073" s="107"/>
      <c r="BV1073" s="107"/>
      <c r="BW1073" s="107"/>
      <c r="BX1073" s="107"/>
      <c r="BY1073" s="107"/>
      <c r="BZ1073" s="107"/>
      <c r="CA1073" s="107"/>
      <c r="CB1073" s="107"/>
      <c r="CC1073" s="107"/>
      <c r="CD1073" s="107"/>
      <c r="CE1073" s="107"/>
      <c r="CF1073" s="107"/>
      <c r="CG1073" s="107"/>
      <c r="CH1073" s="107"/>
      <c r="CI1073" s="107"/>
      <c r="CJ1073" s="107"/>
      <c r="CK1073" s="107"/>
      <c r="CL1073" s="107"/>
      <c r="CM1073" s="107"/>
      <c r="CN1073" s="107"/>
      <c r="CO1073" s="107"/>
      <c r="CP1073" s="107"/>
      <c r="CQ1073" s="107"/>
      <c r="CR1073" s="107"/>
      <c r="CS1073" s="107"/>
      <c r="CT1073" s="107"/>
      <c r="CU1073" s="107"/>
      <c r="CV1073" s="107"/>
    </row>
    <row r="1074" customFormat="false" ht="14.9" hidden="false" customHeight="false" outlineLevel="0" collapsed="false">
      <c r="A1074" s="74" t="n">
        <f aca="false">MONTH(B1074)</f>
        <v>10</v>
      </c>
      <c r="B1074" s="135" t="n">
        <v>44497</v>
      </c>
      <c r="C1074" s="128" t="s">
        <v>51</v>
      </c>
      <c r="D1074" s="77" t="str">
        <f aca="false">IFERROR(VLOOKUP(E:E,'Item Data Support Sheet'!A:O,7,0),"")</f>
        <v>BOTTLE PRINTED</v>
      </c>
      <c r="E1074" s="80" t="s">
        <v>65</v>
      </c>
      <c r="F1074" s="122"/>
      <c r="G1074" s="137"/>
      <c r="H1074" s="79" t="str">
        <f aca="false">IFERROR(VLOOKUP(E:E,'Item Data Support Sheet'!A:O,2,0),"")</f>
        <v>KPP 240 ML BOTTLE PRINTED</v>
      </c>
      <c r="I1074" s="80" t="s">
        <v>1855</v>
      </c>
      <c r="J1074" s="80" t="s">
        <v>161</v>
      </c>
      <c r="K1074" s="124" t="n">
        <v>8</v>
      </c>
      <c r="L1074" s="124" t="n">
        <v>5120</v>
      </c>
      <c r="M1074" s="83" t="n">
        <v>640</v>
      </c>
      <c r="N1074" s="84" t="n">
        <f aca="false">+O1074+Q1074+T1074+U1074</f>
        <v>4717</v>
      </c>
      <c r="O1074" s="85" t="n">
        <v>4644</v>
      </c>
      <c r="P1074" s="86" t="n">
        <v>0</v>
      </c>
      <c r="Q1074" s="86" t="n">
        <v>0</v>
      </c>
      <c r="R1074" s="132" t="n">
        <v>49</v>
      </c>
      <c r="S1074" s="128" t="n">
        <v>0</v>
      </c>
      <c r="T1074" s="132" t="n">
        <v>73</v>
      </c>
      <c r="U1074" s="128" t="n">
        <v>0</v>
      </c>
      <c r="V1074" s="128" t="n">
        <v>4.5</v>
      </c>
      <c r="W1074" s="90" t="n">
        <f aca="false">IFERROR(O1074/V1074,0)</f>
        <v>1032</v>
      </c>
      <c r="X1074" s="91" t="n">
        <f aca="false">O1074/L1074</f>
        <v>0.90703125</v>
      </c>
      <c r="Y1074" s="92" t="str">
        <f aca="false">IFERROR(VLOOKUP(E:E,'Item Data Support Sheet'!A:J,6,0),0)</f>
        <v>FO003</v>
      </c>
      <c r="Z1074" s="93" t="n">
        <f aca="false">IFERROR(VLOOKUP(E:E,'Item Data Support Sheet'!A:O,4,0),0)</f>
        <v>0</v>
      </c>
      <c r="AA1074" s="93" t="n">
        <f aca="false">IFERROR(((N1074)*(Z1074/1000))+P1074,0)</f>
        <v>0</v>
      </c>
      <c r="AB1074" s="94" t="str">
        <f aca="false">IFERROR((O1074*(Z1074/1000)/(AA1074))," ")</f>
        <v> </v>
      </c>
      <c r="AC1074" s="95" t="n">
        <f aca="false">IFERROR((T1074)/((T1074)+O1074),0)</f>
        <v>0.0154759380962476</v>
      </c>
      <c r="AD1074" s="96" t="n">
        <f aca="false">IFERROR(Q1074/(Q1074+N1074),0)</f>
        <v>0</v>
      </c>
      <c r="AE1074" s="91" t="n">
        <f aca="false">(N1074-T1074)/N1074</f>
        <v>0.984524061903752</v>
      </c>
      <c r="AF1074" s="97" t="n">
        <f aca="false">BR1074</f>
        <v>0</v>
      </c>
      <c r="AG1074" s="98" t="n">
        <f aca="false">K1074-AF1074</f>
        <v>8</v>
      </c>
      <c r="AH1074" s="99" t="n">
        <f aca="false">IFERROR(AG1074/K1074," ")</f>
        <v>1</v>
      </c>
      <c r="AI1074" s="100" t="n">
        <f aca="false">IFERROR(O1074/K1074,0)</f>
        <v>580.5</v>
      </c>
      <c r="AJ1074" s="101" t="n">
        <f aca="false">VLOOKUP(D1074,'Standard Cycle time'!C:D,2,0)</f>
        <v>32.4</v>
      </c>
      <c r="AK1074" s="101" t="n">
        <f aca="false">AG1074*V1074*3600/O1074</f>
        <v>27.906976744186</v>
      </c>
      <c r="AL1074" s="102" t="n">
        <f aca="false">AJ1074/AK1074</f>
        <v>1.161</v>
      </c>
      <c r="AM1074" s="99" t="n">
        <f aca="false">AE1074*AL1074*AH1074</f>
        <v>1.14303243587026</v>
      </c>
      <c r="AN1074" s="103" t="n">
        <v>1.14407647763578</v>
      </c>
      <c r="AO1074" s="112" t="s">
        <v>1721</v>
      </c>
      <c r="AP1074" s="105" t="n">
        <v>0</v>
      </c>
      <c r="AQ1074" s="105" t="n">
        <v>0</v>
      </c>
      <c r="AR1074" s="105" t="n">
        <v>0</v>
      </c>
      <c r="AS1074" s="105" t="n">
        <v>0</v>
      </c>
      <c r="AT1074" s="105" t="n">
        <v>0</v>
      </c>
      <c r="AU1074" s="105" t="n">
        <v>0</v>
      </c>
      <c r="AV1074" s="105" t="n">
        <v>0</v>
      </c>
      <c r="AW1074" s="105" t="n">
        <v>0</v>
      </c>
      <c r="AX1074" s="105" t="n">
        <v>0</v>
      </c>
      <c r="AY1074" s="105" t="n">
        <v>0</v>
      </c>
      <c r="AZ1074" s="105" t="n">
        <v>0</v>
      </c>
      <c r="BA1074" s="105" t="n">
        <v>0</v>
      </c>
      <c r="BB1074" s="105" t="n">
        <v>0</v>
      </c>
      <c r="BC1074" s="105" t="n">
        <v>0</v>
      </c>
      <c r="BD1074" s="105" t="n">
        <v>0</v>
      </c>
      <c r="BE1074" s="105" t="n">
        <v>0</v>
      </c>
      <c r="BF1074" s="105" t="n">
        <v>0</v>
      </c>
      <c r="BG1074" s="105" t="n">
        <v>0</v>
      </c>
      <c r="BH1074" s="105" t="n">
        <v>0</v>
      </c>
      <c r="BI1074" s="105" t="n">
        <v>0</v>
      </c>
      <c r="BJ1074" s="105" t="n">
        <v>0</v>
      </c>
      <c r="BK1074" s="105" t="n">
        <v>0</v>
      </c>
      <c r="BL1074" s="105" t="n">
        <v>0</v>
      </c>
      <c r="BM1074" s="105" t="n">
        <v>0</v>
      </c>
      <c r="BN1074" s="105" t="n">
        <v>0</v>
      </c>
      <c r="BO1074" s="105" t="n">
        <v>0</v>
      </c>
      <c r="BP1074" s="105" t="n">
        <v>0</v>
      </c>
      <c r="BQ1074" s="105" t="n">
        <v>0</v>
      </c>
      <c r="BR1074" s="106" t="n">
        <v>0</v>
      </c>
      <c r="BS1074" s="106" t="n">
        <v>0</v>
      </c>
      <c r="BT1074" s="107"/>
      <c r="BU1074" s="107"/>
      <c r="BV1074" s="107"/>
      <c r="BW1074" s="107"/>
      <c r="BX1074" s="107"/>
      <c r="BY1074" s="107"/>
      <c r="BZ1074" s="107"/>
      <c r="CA1074" s="107"/>
      <c r="CB1074" s="107"/>
      <c r="CC1074" s="107"/>
      <c r="CD1074" s="107"/>
      <c r="CE1074" s="107"/>
      <c r="CF1074" s="107"/>
      <c r="CG1074" s="107"/>
      <c r="CH1074" s="107"/>
      <c r="CI1074" s="107"/>
      <c r="CJ1074" s="107"/>
      <c r="CK1074" s="107"/>
      <c r="CL1074" s="107"/>
      <c r="CM1074" s="107"/>
      <c r="CN1074" s="107"/>
      <c r="CO1074" s="107"/>
      <c r="CP1074" s="107"/>
      <c r="CQ1074" s="107"/>
      <c r="CR1074" s="107"/>
      <c r="CS1074" s="107"/>
      <c r="CT1074" s="107"/>
      <c r="CU1074" s="107"/>
      <c r="CV1074" s="107"/>
    </row>
    <row r="1075" customFormat="false" ht="14.9" hidden="false" customHeight="false" outlineLevel="0" collapsed="false">
      <c r="A1075" s="74" t="n">
        <f aca="false">MONTH(B1075)</f>
        <v>10</v>
      </c>
      <c r="B1075" s="135" t="n">
        <v>44497</v>
      </c>
      <c r="C1075" s="128" t="s">
        <v>63</v>
      </c>
      <c r="D1075" s="77" t="str">
        <f aca="false">IFERROR(VLOOKUP(E:E,'Item Data Support Sheet'!A:O,7,0),"")</f>
        <v>NIPPLE PUNCH INSPECTED</v>
      </c>
      <c r="E1075" s="80" t="s">
        <v>297</v>
      </c>
      <c r="F1075" s="122"/>
      <c r="G1075" s="137"/>
      <c r="H1075" s="79" t="str">
        <f aca="false">IFERROR(VLOOKUP(E:E,'Item Data Support Sheet'!A:O,2,0),"")</f>
        <v>NIPPLE S TYPE S SIZE PUNCHED INSPECTED</v>
      </c>
      <c r="I1075" s="80" t="s">
        <v>1856</v>
      </c>
      <c r="J1075" s="80" t="s">
        <v>155</v>
      </c>
      <c r="K1075" s="124" t="n">
        <v>8</v>
      </c>
      <c r="L1075" s="124" t="n">
        <v>14000</v>
      </c>
      <c r="M1075" s="83" t="n">
        <v>1750</v>
      </c>
      <c r="N1075" s="84" t="n">
        <f aca="false">+O1075+Q1075+T1075+U1075</f>
        <v>13700</v>
      </c>
      <c r="O1075" s="85" t="n">
        <v>13628</v>
      </c>
      <c r="P1075" s="86" t="n">
        <v>0</v>
      </c>
      <c r="Q1075" s="86" t="n">
        <v>0</v>
      </c>
      <c r="R1075" s="132" t="n">
        <v>0</v>
      </c>
      <c r="S1075" s="128" t="n">
        <v>0</v>
      </c>
      <c r="T1075" s="132" t="n">
        <v>72</v>
      </c>
      <c r="U1075" s="128" t="n">
        <v>0</v>
      </c>
      <c r="V1075" s="128" t="n">
        <v>1</v>
      </c>
      <c r="W1075" s="90" t="n">
        <f aca="false">IFERROR(O1075/V1075,0)</f>
        <v>13628</v>
      </c>
      <c r="X1075" s="91" t="n">
        <f aca="false">O1075/L1075</f>
        <v>0.973428571428571</v>
      </c>
      <c r="Y1075" s="92" t="str">
        <f aca="false">IFERROR(VLOOKUP(E:E,'Item Data Support Sheet'!A:J,6,0),0)</f>
        <v>FO104</v>
      </c>
      <c r="Z1075" s="93" t="n">
        <f aca="false">IFERROR(VLOOKUP(E:E,'Item Data Support Sheet'!A:O,4,0),0)</f>
        <v>0</v>
      </c>
      <c r="AA1075" s="93" t="n">
        <f aca="false">IFERROR(((N1075)*(Z1075/1000))+P1075,0)</f>
        <v>0</v>
      </c>
      <c r="AB1075" s="94" t="str">
        <f aca="false">IFERROR((O1075*(Z1075/1000)/(AA1075))," ")</f>
        <v> </v>
      </c>
      <c r="AC1075" s="95" t="n">
        <f aca="false">IFERROR((T1075)/((T1075)+O1075),0)</f>
        <v>0.00525547445255474</v>
      </c>
      <c r="AD1075" s="96" t="n">
        <f aca="false">IFERROR(Q1075/(Q1075+N1075),0)</f>
        <v>0</v>
      </c>
      <c r="AE1075" s="91" t="n">
        <f aca="false">(N1075-T1075)/N1075</f>
        <v>0.994744525547445</v>
      </c>
      <c r="AF1075" s="97" t="n">
        <f aca="false">BR1075</f>
        <v>0.833333333333333</v>
      </c>
      <c r="AG1075" s="98" t="n">
        <f aca="false">K1075-AF1075</f>
        <v>7.16666666666667</v>
      </c>
      <c r="AH1075" s="99" t="n">
        <f aca="false">IFERROR(AG1075/K1075," ")</f>
        <v>0.895833333333333</v>
      </c>
      <c r="AI1075" s="100" t="n">
        <f aca="false">IFERROR(O1075/K1075,0)</f>
        <v>1703.5</v>
      </c>
      <c r="AJ1075" s="101" t="n">
        <f aca="false">VLOOKUP(D1075,'Standard Cycle time'!C:D,2,0)</f>
        <v>4</v>
      </c>
      <c r="AK1075" s="101" t="n">
        <f aca="false">AG1075*V1075*3600/O1075</f>
        <v>1.89316113883182</v>
      </c>
      <c r="AL1075" s="102" t="n">
        <f aca="false">AJ1075/AK1075</f>
        <v>2.11286821705426</v>
      </c>
      <c r="AM1075" s="99" t="n">
        <f aca="false">AE1075*AL1075*AH1075</f>
        <v>1.8828303325223</v>
      </c>
      <c r="AN1075" s="103" t="n">
        <v>1.86388653334276</v>
      </c>
      <c r="AO1075" s="112"/>
      <c r="AP1075" s="105" t="n">
        <v>50</v>
      </c>
      <c r="AQ1075" s="105" t="n">
        <v>0</v>
      </c>
      <c r="AR1075" s="105" t="n">
        <v>0</v>
      </c>
      <c r="AS1075" s="105" t="n">
        <v>0</v>
      </c>
      <c r="AT1075" s="105" t="n">
        <v>0</v>
      </c>
      <c r="AU1075" s="105" t="n">
        <v>0</v>
      </c>
      <c r="AV1075" s="105" t="n">
        <v>0</v>
      </c>
      <c r="AW1075" s="105" t="n">
        <v>0</v>
      </c>
      <c r="AX1075" s="105" t="n">
        <v>0</v>
      </c>
      <c r="AY1075" s="105" t="n">
        <v>0</v>
      </c>
      <c r="AZ1075" s="105" t="n">
        <v>0</v>
      </c>
      <c r="BA1075" s="105" t="n">
        <v>0</v>
      </c>
      <c r="BB1075" s="105" t="n">
        <v>0</v>
      </c>
      <c r="BC1075" s="105" t="n">
        <v>0</v>
      </c>
      <c r="BD1075" s="105" t="n">
        <v>0</v>
      </c>
      <c r="BE1075" s="105" t="n">
        <v>0</v>
      </c>
      <c r="BF1075" s="105" t="n">
        <v>0</v>
      </c>
      <c r="BG1075" s="105" t="n">
        <v>0</v>
      </c>
      <c r="BH1075" s="105" t="n">
        <v>0</v>
      </c>
      <c r="BI1075" s="105" t="n">
        <v>0</v>
      </c>
      <c r="BJ1075" s="105" t="n">
        <v>0</v>
      </c>
      <c r="BK1075" s="105" t="n">
        <v>0</v>
      </c>
      <c r="BL1075" s="105" t="n">
        <v>0</v>
      </c>
      <c r="BM1075" s="105" t="n">
        <v>0</v>
      </c>
      <c r="BN1075" s="105" t="n">
        <v>0</v>
      </c>
      <c r="BO1075" s="105" t="n">
        <v>0</v>
      </c>
      <c r="BP1075" s="105" t="n">
        <v>0</v>
      </c>
      <c r="BQ1075" s="105" t="n">
        <v>0</v>
      </c>
      <c r="BR1075" s="106" t="n">
        <v>0.833333333333333</v>
      </c>
      <c r="BS1075" s="106" t="n">
        <v>0.833333333333333</v>
      </c>
      <c r="BT1075" s="107"/>
      <c r="BU1075" s="107"/>
      <c r="BV1075" s="107"/>
      <c r="BW1075" s="107"/>
      <c r="BX1075" s="107"/>
      <c r="BY1075" s="107"/>
      <c r="BZ1075" s="107"/>
      <c r="CA1075" s="107"/>
      <c r="CB1075" s="107"/>
      <c r="CC1075" s="107"/>
      <c r="CD1075" s="107"/>
      <c r="CE1075" s="107"/>
      <c r="CF1075" s="107"/>
      <c r="CG1075" s="107"/>
      <c r="CH1075" s="107"/>
      <c r="CI1075" s="107"/>
      <c r="CJ1075" s="107"/>
      <c r="CK1075" s="107"/>
      <c r="CL1075" s="107"/>
      <c r="CM1075" s="107"/>
      <c r="CN1075" s="107"/>
      <c r="CO1075" s="107"/>
      <c r="CP1075" s="107"/>
      <c r="CQ1075" s="107"/>
      <c r="CR1075" s="107"/>
      <c r="CS1075" s="107"/>
      <c r="CT1075" s="107"/>
      <c r="CU1075" s="107"/>
      <c r="CV1075" s="107"/>
    </row>
    <row r="1076" customFormat="false" ht="14.9" hidden="false" customHeight="false" outlineLevel="0" collapsed="false">
      <c r="A1076" s="74" t="n">
        <f aca="false">MONTH(B1076)</f>
        <v>10</v>
      </c>
      <c r="B1076" s="135" t="n">
        <v>44497</v>
      </c>
      <c r="C1076" s="128" t="s">
        <v>63</v>
      </c>
      <c r="D1076" s="77" t="str">
        <f aca="false">IFERROR(VLOOKUP(E:E,'Item Data Support Sheet'!A:O,7,0),"")</f>
        <v>NIPPLE WRAP PRINTED</v>
      </c>
      <c r="E1076" s="80" t="s">
        <v>551</v>
      </c>
      <c r="F1076" s="122"/>
      <c r="G1076" s="137" t="s">
        <v>432</v>
      </c>
      <c r="H1076" s="79" t="str">
        <f aca="false">IFERROR(VLOOKUP(E:E,'Item Data Support Sheet'!A:O,2,0),"")</f>
        <v>NIPPLE S TYPE S SIZE WITH PRINTED WRAP</v>
      </c>
      <c r="I1076" s="80" t="s">
        <v>1856</v>
      </c>
      <c r="J1076" s="80" t="s">
        <v>155</v>
      </c>
      <c r="K1076" s="124" t="n">
        <v>8</v>
      </c>
      <c r="L1076" s="124" t="n">
        <v>16171</v>
      </c>
      <c r="M1076" s="83" t="n">
        <v>2021.375</v>
      </c>
      <c r="N1076" s="84" t="n">
        <f aca="false">+O1076+Q1076+T1076+U1076</f>
        <v>13628</v>
      </c>
      <c r="O1076" s="85" t="n">
        <v>13624</v>
      </c>
      <c r="P1076" s="86" t="n">
        <v>0</v>
      </c>
      <c r="Q1076" s="86" t="n">
        <v>0</v>
      </c>
      <c r="R1076" s="132" t="n">
        <v>0</v>
      </c>
      <c r="S1076" s="128" t="n">
        <v>0</v>
      </c>
      <c r="T1076" s="132" t="n">
        <v>4</v>
      </c>
      <c r="U1076" s="128" t="n">
        <v>0</v>
      </c>
      <c r="V1076" s="128" t="n">
        <v>2</v>
      </c>
      <c r="W1076" s="90" t="n">
        <f aca="false">IFERROR(O1076/V1076,0)</f>
        <v>6812</v>
      </c>
      <c r="X1076" s="91" t="n">
        <f aca="false">O1076/L1076</f>
        <v>0.842495825861109</v>
      </c>
      <c r="Y1076" s="92" t="str">
        <f aca="false">IFERROR(VLOOKUP(E:E,'Item Data Support Sheet'!A:J,6,0),0)</f>
        <v>FO108</v>
      </c>
      <c r="Z1076" s="93" t="n">
        <f aca="false">IFERROR(VLOOKUP(E:E,'Item Data Support Sheet'!A:O,4,0),0)</f>
        <v>0</v>
      </c>
      <c r="AA1076" s="93" t="n">
        <f aca="false">IFERROR(((N1076)*(Z1076/1000))+P1076,0)</f>
        <v>0</v>
      </c>
      <c r="AB1076" s="94" t="str">
        <f aca="false">IFERROR((O1076*(Z1076/1000)/(AA1076))," ")</f>
        <v> </v>
      </c>
      <c r="AC1076" s="95" t="n">
        <f aca="false">IFERROR((T1076)/((T1076)+O1076),0)</f>
        <v>0.000293513354857646</v>
      </c>
      <c r="AD1076" s="96" t="n">
        <f aca="false">IFERROR(Q1076/(Q1076+N1076),0)</f>
        <v>0</v>
      </c>
      <c r="AE1076" s="91" t="n">
        <f aca="false">(N1076-T1076)/N1076</f>
        <v>0.999706486645142</v>
      </c>
      <c r="AF1076" s="97" t="n">
        <f aca="false">BR1076</f>
        <v>2.83333333333333</v>
      </c>
      <c r="AG1076" s="98" t="n">
        <f aca="false">K1076-AF1076</f>
        <v>5.16666666666667</v>
      </c>
      <c r="AH1076" s="99" t="n">
        <f aca="false">IFERROR(AG1076/K1076," ")</f>
        <v>0.645833333333334</v>
      </c>
      <c r="AI1076" s="100" t="n">
        <f aca="false">IFERROR(O1076/K1076,0)</f>
        <v>1703</v>
      </c>
      <c r="AJ1076" s="101" t="n">
        <f aca="false">VLOOKUP(D1076,'Standard Cycle time'!C:D,2,0)</f>
        <v>2.5</v>
      </c>
      <c r="AK1076" s="101" t="n">
        <f aca="false">AG1076*V1076*3600/O1076</f>
        <v>2.73047563123899</v>
      </c>
      <c r="AL1076" s="102" t="n">
        <f aca="false">AJ1076/AK1076</f>
        <v>0.915591397849462</v>
      </c>
      <c r="AM1076" s="99" t="n">
        <f aca="false">AE1076*AL1076*AH1076</f>
        <v>0.591145884290513</v>
      </c>
      <c r="AN1076" s="103" t="n">
        <v>0.591146796431468</v>
      </c>
      <c r="AO1076" s="112"/>
      <c r="AP1076" s="105" t="n">
        <v>50</v>
      </c>
      <c r="AQ1076" s="105" t="n">
        <v>0</v>
      </c>
      <c r="AR1076" s="105" t="n">
        <v>0</v>
      </c>
      <c r="AS1076" s="105" t="n">
        <v>30</v>
      </c>
      <c r="AT1076" s="105" t="n">
        <v>30</v>
      </c>
      <c r="AU1076" s="105" t="n">
        <v>0</v>
      </c>
      <c r="AV1076" s="105" t="n">
        <v>60</v>
      </c>
      <c r="AW1076" s="105" t="n">
        <v>0</v>
      </c>
      <c r="AX1076" s="105" t="n">
        <v>0</v>
      </c>
      <c r="AY1076" s="105" t="n">
        <v>0</v>
      </c>
      <c r="AZ1076" s="105" t="n">
        <v>0</v>
      </c>
      <c r="BA1076" s="105" t="n">
        <v>0</v>
      </c>
      <c r="BB1076" s="105" t="n">
        <v>0</v>
      </c>
      <c r="BC1076" s="105" t="n">
        <v>0</v>
      </c>
      <c r="BD1076" s="105" t="n">
        <v>0</v>
      </c>
      <c r="BE1076" s="105" t="n">
        <v>0</v>
      </c>
      <c r="BF1076" s="105" t="n">
        <v>0</v>
      </c>
      <c r="BG1076" s="105" t="n">
        <v>0</v>
      </c>
      <c r="BH1076" s="105" t="n">
        <v>0</v>
      </c>
      <c r="BI1076" s="105" t="n">
        <v>0</v>
      </c>
      <c r="BJ1076" s="105" t="n">
        <v>0</v>
      </c>
      <c r="BK1076" s="105" t="n">
        <v>0</v>
      </c>
      <c r="BL1076" s="105" t="n">
        <v>0</v>
      </c>
      <c r="BM1076" s="105" t="n">
        <v>0</v>
      </c>
      <c r="BN1076" s="105" t="n">
        <v>0</v>
      </c>
      <c r="BO1076" s="105" t="n">
        <v>0</v>
      </c>
      <c r="BP1076" s="105" t="n">
        <v>0</v>
      </c>
      <c r="BQ1076" s="105" t="n">
        <v>0</v>
      </c>
      <c r="BR1076" s="106" t="n">
        <v>2.83333333333333</v>
      </c>
      <c r="BS1076" s="106" t="n">
        <v>2.83333333333333</v>
      </c>
      <c r="BT1076" s="107"/>
      <c r="BU1076" s="107"/>
      <c r="BV1076" s="107"/>
      <c r="BW1076" s="107"/>
      <c r="BX1076" s="107"/>
      <c r="BY1076" s="107"/>
      <c r="BZ1076" s="107"/>
      <c r="CA1076" s="107"/>
      <c r="CB1076" s="107"/>
      <c r="CC1076" s="107"/>
      <c r="CD1076" s="107"/>
      <c r="CE1076" s="107"/>
      <c r="CF1076" s="107"/>
      <c r="CG1076" s="107"/>
      <c r="CH1076" s="107"/>
      <c r="CI1076" s="107"/>
      <c r="CJ1076" s="107"/>
      <c r="CK1076" s="107"/>
      <c r="CL1076" s="107"/>
      <c r="CM1076" s="107"/>
      <c r="CN1076" s="107"/>
      <c r="CO1076" s="107"/>
      <c r="CP1076" s="107"/>
      <c r="CQ1076" s="107"/>
      <c r="CR1076" s="107"/>
      <c r="CS1076" s="107"/>
      <c r="CT1076" s="107"/>
      <c r="CU1076" s="107"/>
      <c r="CV1076" s="107"/>
    </row>
    <row r="1077" customFormat="false" ht="14.9" hidden="false" customHeight="false" outlineLevel="0" collapsed="false">
      <c r="A1077" s="74" t="n">
        <f aca="false">MONTH(B1077)</f>
        <v>10</v>
      </c>
      <c r="B1077" s="135" t="n">
        <v>44497</v>
      </c>
      <c r="C1077" s="128" t="s">
        <v>70</v>
      </c>
      <c r="D1077" s="77" t="str">
        <f aca="false">IFERROR(VLOOKUP(E:E,'Item Data Support Sheet'!A:O,7,0),"")</f>
        <v>NIPPLE PUNCH</v>
      </c>
      <c r="E1077" s="80" t="s">
        <v>53</v>
      </c>
      <c r="F1077" s="122"/>
      <c r="G1077" s="137" t="s">
        <v>54</v>
      </c>
      <c r="H1077" s="79" t="str">
        <f aca="false">IFERROR(VLOOKUP(E:E,'Item Data Support Sheet'!A:O,2,0),"")</f>
        <v>NIPPLE S TYPE S SIZE PUNCHED</v>
      </c>
      <c r="I1077" s="80" t="s">
        <v>1857</v>
      </c>
      <c r="J1077" s="80" t="s">
        <v>155</v>
      </c>
      <c r="K1077" s="124" t="n">
        <v>8</v>
      </c>
      <c r="L1077" s="124" t="n">
        <v>7000</v>
      </c>
      <c r="M1077" s="83" t="n">
        <v>875</v>
      </c>
      <c r="N1077" s="84" t="n">
        <f aca="false">+O1077+Q1077+T1077+U1077</f>
        <v>6900</v>
      </c>
      <c r="O1077" s="85" t="n">
        <v>6900</v>
      </c>
      <c r="P1077" s="86" t="n">
        <v>0</v>
      </c>
      <c r="Q1077" s="86" t="n">
        <v>0</v>
      </c>
      <c r="R1077" s="132" t="n">
        <v>0</v>
      </c>
      <c r="S1077" s="128" t="n">
        <v>0</v>
      </c>
      <c r="T1077" s="132" t="n">
        <v>0</v>
      </c>
      <c r="U1077" s="128" t="n">
        <v>0</v>
      </c>
      <c r="V1077" s="128" t="n">
        <v>1</v>
      </c>
      <c r="W1077" s="90" t="n">
        <f aca="false">IFERROR(O1077/V1077,0)</f>
        <v>6900</v>
      </c>
      <c r="X1077" s="91" t="n">
        <f aca="false">O1077/L1077</f>
        <v>0.985714285714286</v>
      </c>
      <c r="Y1077" s="92" t="str">
        <f aca="false">IFERROR(VLOOKUP(E:E,'Item Data Support Sheet'!A:J,6,0),0)</f>
        <v>FO015</v>
      </c>
      <c r="Z1077" s="93" t="n">
        <f aca="false">IFERROR(VLOOKUP(E:E,'Item Data Support Sheet'!A:O,4,0),0)</f>
        <v>0</v>
      </c>
      <c r="AA1077" s="93" t="n">
        <f aca="false">IFERROR(((N1077)*(Z1077/1000))+P1077,0)</f>
        <v>0</v>
      </c>
      <c r="AB1077" s="94" t="str">
        <f aca="false">IFERROR((O1077*(Z1077/1000)/(AA1077))," ")</f>
        <v> </v>
      </c>
      <c r="AC1077" s="95" t="n">
        <f aca="false">IFERROR((T1077)/((T1077)+O1077),0)</f>
        <v>0</v>
      </c>
      <c r="AD1077" s="96" t="n">
        <f aca="false">IFERROR(Q1077/(Q1077+N1077),0)</f>
        <v>0</v>
      </c>
      <c r="AE1077" s="91" t="n">
        <f aca="false">(N1077-T1077)/N1077</f>
        <v>1</v>
      </c>
      <c r="AF1077" s="97" t="n">
        <f aca="false">BR1077</f>
        <v>0.666666666666667</v>
      </c>
      <c r="AG1077" s="98" t="n">
        <f aca="false">K1077-AF1077</f>
        <v>7.33333333333333</v>
      </c>
      <c r="AH1077" s="99" t="n">
        <f aca="false">IFERROR(AG1077/K1077," ")</f>
        <v>0.916666666666667</v>
      </c>
      <c r="AI1077" s="100" t="n">
        <f aca="false">IFERROR(O1077/K1077,0)</f>
        <v>862.5</v>
      </c>
      <c r="AJ1077" s="101" t="n">
        <f aca="false">VLOOKUP(D1077,'Standard Cycle time'!C:D,2,0)</f>
        <v>3.5</v>
      </c>
      <c r="AK1077" s="101" t="n">
        <f aca="false">AG1077*V1077*3600/O1077</f>
        <v>3.82608695652174</v>
      </c>
      <c r="AL1077" s="102" t="n">
        <f aca="false">AJ1077/AK1077</f>
        <v>0.914772727272727</v>
      </c>
      <c r="AM1077" s="99" t="n">
        <f aca="false">AE1077*AL1077*AH1077</f>
        <v>0.838541666666667</v>
      </c>
      <c r="AN1077" s="103" t="n">
        <v>0.838541666666667</v>
      </c>
      <c r="AO1077" s="112" t="s">
        <v>1858</v>
      </c>
      <c r="AP1077" s="105" t="n">
        <v>40</v>
      </c>
      <c r="AQ1077" s="105" t="n">
        <v>0</v>
      </c>
      <c r="AR1077" s="105" t="n">
        <v>0</v>
      </c>
      <c r="AS1077" s="105" t="n">
        <v>0</v>
      </c>
      <c r="AT1077" s="105" t="n">
        <v>0</v>
      </c>
      <c r="AU1077" s="105" t="n">
        <v>0</v>
      </c>
      <c r="AV1077" s="105" t="n">
        <v>0</v>
      </c>
      <c r="AW1077" s="105" t="n">
        <v>0</v>
      </c>
      <c r="AX1077" s="105" t="n">
        <v>0</v>
      </c>
      <c r="AY1077" s="105" t="n">
        <v>0</v>
      </c>
      <c r="AZ1077" s="105" t="n">
        <v>0</v>
      </c>
      <c r="BA1077" s="105" t="n">
        <v>0</v>
      </c>
      <c r="BB1077" s="105" t="n">
        <v>0</v>
      </c>
      <c r="BC1077" s="105" t="n">
        <v>0</v>
      </c>
      <c r="BD1077" s="105" t="n">
        <v>0</v>
      </c>
      <c r="BE1077" s="105" t="n">
        <v>0</v>
      </c>
      <c r="BF1077" s="105" t="n">
        <v>0</v>
      </c>
      <c r="BG1077" s="105" t="n">
        <v>0</v>
      </c>
      <c r="BH1077" s="105" t="n">
        <v>0</v>
      </c>
      <c r="BI1077" s="105" t="n">
        <v>0</v>
      </c>
      <c r="BJ1077" s="105" t="n">
        <v>0</v>
      </c>
      <c r="BK1077" s="105" t="n">
        <v>0</v>
      </c>
      <c r="BL1077" s="105" t="n">
        <v>0</v>
      </c>
      <c r="BM1077" s="105" t="n">
        <v>0</v>
      </c>
      <c r="BN1077" s="105" t="n">
        <v>0</v>
      </c>
      <c r="BO1077" s="105" t="n">
        <v>0</v>
      </c>
      <c r="BP1077" s="105" t="n">
        <v>0</v>
      </c>
      <c r="BQ1077" s="105" t="n">
        <v>0</v>
      </c>
      <c r="BR1077" s="106" t="n">
        <v>0.666666666666667</v>
      </c>
      <c r="BS1077" s="106" t="n">
        <v>0.666666666666667</v>
      </c>
      <c r="BT1077" s="107"/>
      <c r="BU1077" s="107"/>
      <c r="BV1077" s="107"/>
      <c r="BW1077" s="107"/>
      <c r="BX1077" s="107"/>
      <c r="BY1077" s="107"/>
      <c r="BZ1077" s="107"/>
      <c r="CA1077" s="107"/>
      <c r="CB1077" s="107"/>
      <c r="CC1077" s="107"/>
      <c r="CD1077" s="107"/>
      <c r="CE1077" s="107"/>
      <c r="CF1077" s="107"/>
      <c r="CG1077" s="107"/>
      <c r="CH1077" s="107"/>
      <c r="CI1077" s="107"/>
      <c r="CJ1077" s="107"/>
      <c r="CK1077" s="107"/>
      <c r="CL1077" s="107"/>
      <c r="CM1077" s="107"/>
      <c r="CN1077" s="107"/>
      <c r="CO1077" s="107"/>
      <c r="CP1077" s="107"/>
      <c r="CQ1077" s="107"/>
      <c r="CR1077" s="107"/>
      <c r="CS1077" s="107"/>
      <c r="CT1077" s="107"/>
      <c r="CU1077" s="107"/>
      <c r="CV1077" s="107"/>
    </row>
    <row r="1078" customFormat="false" ht="14.9" hidden="false" customHeight="false" outlineLevel="0" collapsed="false">
      <c r="A1078" s="74" t="n">
        <f aca="false">MONTH(B1078)</f>
        <v>10</v>
      </c>
      <c r="B1078" s="135" t="n">
        <v>44497</v>
      </c>
      <c r="C1078" s="128" t="s">
        <v>70</v>
      </c>
      <c r="D1078" s="77" t="str">
        <f aca="false">IFERROR(VLOOKUP(E:E,'Item Data Support Sheet'!A:O,7,0),"")</f>
        <v>NIPPLE LASER MARKING</v>
      </c>
      <c r="E1078" s="80" t="s">
        <v>444</v>
      </c>
      <c r="F1078" s="122"/>
      <c r="G1078" s="137" t="s">
        <v>517</v>
      </c>
      <c r="H1078" s="79" t="str">
        <f aca="false">IFERROR(VLOOKUP(E:E,'Item Data Support Sheet'!A:O,2,0),"")</f>
        <v>NIPPLE S TYPE S SIZE PUNCHED LASER MARKED</v>
      </c>
      <c r="I1078" s="80" t="s">
        <v>1859</v>
      </c>
      <c r="J1078" s="80" t="s">
        <v>155</v>
      </c>
      <c r="K1078" s="124" t="n">
        <v>8</v>
      </c>
      <c r="L1078" s="124" t="n">
        <v>7000</v>
      </c>
      <c r="M1078" s="83" t="n">
        <v>875</v>
      </c>
      <c r="N1078" s="84" t="n">
        <f aca="false">+O1078+Q1078+T1078+U1078</f>
        <v>6900</v>
      </c>
      <c r="O1078" s="85" t="n">
        <v>6900</v>
      </c>
      <c r="P1078" s="86" t="n">
        <v>0</v>
      </c>
      <c r="Q1078" s="86" t="n">
        <v>0</v>
      </c>
      <c r="R1078" s="132" t="n">
        <v>0</v>
      </c>
      <c r="S1078" s="128" t="n">
        <v>0</v>
      </c>
      <c r="T1078" s="132" t="n">
        <v>0</v>
      </c>
      <c r="U1078" s="128" t="n">
        <v>0</v>
      </c>
      <c r="V1078" s="128" t="n">
        <v>1</v>
      </c>
      <c r="W1078" s="90" t="n">
        <f aca="false">IFERROR(O1078/V1078,0)</f>
        <v>6900</v>
      </c>
      <c r="X1078" s="91" t="n">
        <f aca="false">O1078/L1078</f>
        <v>0.985714285714286</v>
      </c>
      <c r="Y1078" s="92" t="str">
        <f aca="false">IFERROR(VLOOKUP(E:E,'Item Data Support Sheet'!A:J,6,0),0)</f>
        <v>FO019</v>
      </c>
      <c r="Z1078" s="93" t="n">
        <f aca="false">IFERROR(VLOOKUP(E:E,'Item Data Support Sheet'!A:O,4,0),0)</f>
        <v>0</v>
      </c>
      <c r="AA1078" s="93" t="n">
        <f aca="false">IFERROR(((N1078)*(Z1078/1000))+P1078,0)</f>
        <v>0</v>
      </c>
      <c r="AB1078" s="94" t="str">
        <f aca="false">IFERROR((O1078*(Z1078/1000)/(AA1078))," ")</f>
        <v> </v>
      </c>
      <c r="AC1078" s="95" t="n">
        <f aca="false">IFERROR((T1078)/((T1078)+O1078),0)</f>
        <v>0</v>
      </c>
      <c r="AD1078" s="96" t="n">
        <f aca="false">IFERROR(Q1078/(Q1078+N1078),0)</f>
        <v>0</v>
      </c>
      <c r="AE1078" s="91" t="n">
        <f aca="false">(N1078-T1078)/N1078</f>
        <v>1</v>
      </c>
      <c r="AF1078" s="97" t="n">
        <f aca="false">BR1078</f>
        <v>0.666666666666667</v>
      </c>
      <c r="AG1078" s="98" t="n">
        <f aca="false">K1078-AF1078</f>
        <v>7.33333333333333</v>
      </c>
      <c r="AH1078" s="99" t="n">
        <f aca="false">IFERROR(AG1078/K1078," ")</f>
        <v>0.916666666666667</v>
      </c>
      <c r="AI1078" s="100" t="n">
        <f aca="false">IFERROR(O1078/K1078,0)</f>
        <v>862.5</v>
      </c>
      <c r="AJ1078" s="101" t="n">
        <f aca="false">VLOOKUP(D1078,'Standard Cycle time'!C:D,2,0)</f>
        <v>3.5</v>
      </c>
      <c r="AK1078" s="101" t="n">
        <f aca="false">AG1078*V1078*3600/O1078</f>
        <v>3.82608695652174</v>
      </c>
      <c r="AL1078" s="102" t="n">
        <f aca="false">AJ1078/AK1078</f>
        <v>0.914772727272727</v>
      </c>
      <c r="AM1078" s="99" t="n">
        <f aca="false">AE1078*AL1078*AH1078</f>
        <v>0.838541666666667</v>
      </c>
      <c r="AN1078" s="103" t="n">
        <v>0.838541666666667</v>
      </c>
      <c r="AO1078" s="112" t="s">
        <v>1858</v>
      </c>
      <c r="AP1078" s="105" t="n">
        <v>40</v>
      </c>
      <c r="AQ1078" s="105" t="n">
        <v>0</v>
      </c>
      <c r="AR1078" s="105" t="n">
        <v>0</v>
      </c>
      <c r="AS1078" s="105" t="n">
        <v>0</v>
      </c>
      <c r="AT1078" s="105" t="n">
        <v>0</v>
      </c>
      <c r="AU1078" s="105" t="n">
        <v>0</v>
      </c>
      <c r="AV1078" s="105" t="n">
        <v>0</v>
      </c>
      <c r="AW1078" s="105" t="n">
        <v>0</v>
      </c>
      <c r="AX1078" s="105" t="n">
        <v>0</v>
      </c>
      <c r="AY1078" s="105" t="n">
        <v>0</v>
      </c>
      <c r="AZ1078" s="105" t="n">
        <v>0</v>
      </c>
      <c r="BA1078" s="105" t="n">
        <v>0</v>
      </c>
      <c r="BB1078" s="105" t="n">
        <v>0</v>
      </c>
      <c r="BC1078" s="105" t="n">
        <v>0</v>
      </c>
      <c r="BD1078" s="105" t="n">
        <v>0</v>
      </c>
      <c r="BE1078" s="105" t="n">
        <v>0</v>
      </c>
      <c r="BF1078" s="105" t="n">
        <v>0</v>
      </c>
      <c r="BG1078" s="105" t="n">
        <v>0</v>
      </c>
      <c r="BH1078" s="105" t="n">
        <v>0</v>
      </c>
      <c r="BI1078" s="105" t="n">
        <v>0</v>
      </c>
      <c r="BJ1078" s="105" t="n">
        <v>0</v>
      </c>
      <c r="BK1078" s="105" t="n">
        <v>0</v>
      </c>
      <c r="BL1078" s="105" t="n">
        <v>0</v>
      </c>
      <c r="BM1078" s="105" t="n">
        <v>0</v>
      </c>
      <c r="BN1078" s="105" t="n">
        <v>0</v>
      </c>
      <c r="BO1078" s="105" t="n">
        <v>0</v>
      </c>
      <c r="BP1078" s="105" t="n">
        <v>0</v>
      </c>
      <c r="BQ1078" s="105" t="n">
        <v>0</v>
      </c>
      <c r="BR1078" s="106" t="n">
        <v>0.666666666666667</v>
      </c>
      <c r="BS1078" s="106" t="n">
        <v>0.666666666666667</v>
      </c>
      <c r="BT1078" s="107"/>
      <c r="BU1078" s="107"/>
      <c r="BV1078" s="107"/>
      <c r="BW1078" s="107"/>
      <c r="BX1078" s="107"/>
      <c r="BY1078" s="107"/>
      <c r="BZ1078" s="107"/>
      <c r="CA1078" s="107"/>
      <c r="CB1078" s="107"/>
      <c r="CC1078" s="107"/>
      <c r="CD1078" s="107"/>
      <c r="CE1078" s="107"/>
      <c r="CF1078" s="107"/>
      <c r="CG1078" s="107"/>
      <c r="CH1078" s="107"/>
      <c r="CI1078" s="107"/>
      <c r="CJ1078" s="107"/>
      <c r="CK1078" s="107"/>
      <c r="CL1078" s="107"/>
      <c r="CM1078" s="107"/>
      <c r="CN1078" s="107"/>
      <c r="CO1078" s="107"/>
      <c r="CP1078" s="107"/>
      <c r="CQ1078" s="107"/>
      <c r="CR1078" s="107"/>
      <c r="CS1078" s="107"/>
      <c r="CT1078" s="107"/>
      <c r="CU1078" s="107"/>
      <c r="CV1078" s="107"/>
    </row>
    <row r="1079" customFormat="false" ht="14.9" hidden="false" customHeight="false" outlineLevel="0" collapsed="false">
      <c r="A1079" s="74" t="n">
        <f aca="false">MONTH(B1079)</f>
        <v>10</v>
      </c>
      <c r="B1079" s="135" t="n">
        <v>44497</v>
      </c>
      <c r="C1079" s="128" t="s">
        <v>70</v>
      </c>
      <c r="D1079" s="77" t="str">
        <f aca="false">IFERROR(VLOOKUP(E:E,'Item Data Support Sheet'!A:O,7,0),"")</f>
        <v>NIPPLE MOLDED</v>
      </c>
      <c r="E1079" s="80" t="s">
        <v>244</v>
      </c>
      <c r="F1079" s="122" t="s">
        <v>137</v>
      </c>
      <c r="G1079" s="137" t="s">
        <v>138</v>
      </c>
      <c r="H1079" s="79" t="str">
        <f aca="false">IFERROR(VLOOKUP(E:E,'Item Data Support Sheet'!A:O,2,0),"")</f>
        <v>NIPPLE S TYPE S SIZE INJECTION</v>
      </c>
      <c r="I1079" s="80" t="s">
        <v>1860</v>
      </c>
      <c r="J1079" s="80" t="s">
        <v>155</v>
      </c>
      <c r="K1079" s="124" t="n">
        <v>8</v>
      </c>
      <c r="L1079" s="124" t="n">
        <v>4815</v>
      </c>
      <c r="M1079" s="83" t="n">
        <v>601.875</v>
      </c>
      <c r="N1079" s="84" t="n">
        <f aca="false">+O1079+Q1079+T1079+U1079</f>
        <v>5515</v>
      </c>
      <c r="O1079" s="85" t="n">
        <v>5500</v>
      </c>
      <c r="P1079" s="86" t="n">
        <v>0</v>
      </c>
      <c r="Q1079" s="86" t="n">
        <v>0</v>
      </c>
      <c r="R1079" s="132" t="n">
        <v>0</v>
      </c>
      <c r="S1079" s="128" t="n">
        <v>0</v>
      </c>
      <c r="T1079" s="132" t="n">
        <v>15</v>
      </c>
      <c r="U1079" s="128" t="n">
        <v>0</v>
      </c>
      <c r="V1079" s="128" t="n">
        <v>1</v>
      </c>
      <c r="W1079" s="90" t="n">
        <f aca="false">IFERROR(O1079/V1079,0)</f>
        <v>5500</v>
      </c>
      <c r="X1079" s="91" t="n">
        <f aca="false">O1079/L1079</f>
        <v>1.14226375908619</v>
      </c>
      <c r="Y1079" s="92" t="str">
        <f aca="false">IFERROR(VLOOKUP(E:E,'Item Data Support Sheet'!A:J,6,0),0)</f>
        <v>Silicon</v>
      </c>
      <c r="Z1079" s="93" t="n">
        <f aca="false">IFERROR(VLOOKUP(E:E,'Item Data Support Sheet'!A:O,4,0),0)</f>
        <v>6.8</v>
      </c>
      <c r="AA1079" s="93" t="n">
        <f aca="false">IFERROR(((N1079)*(Z1079/1000))+P1079,0)</f>
        <v>37.502</v>
      </c>
      <c r="AB1079" s="94" t="n">
        <f aca="false">IFERROR((O1079*(Z1079/1000)/(AA1079))," ")</f>
        <v>0.99728014505893</v>
      </c>
      <c r="AC1079" s="95" t="n">
        <f aca="false">IFERROR((T1079)/((T1079)+O1079),0)</f>
        <v>0.00271985494106981</v>
      </c>
      <c r="AD1079" s="96" t="n">
        <f aca="false">IFERROR(Q1079/(Q1079+N1079),0)</f>
        <v>0</v>
      </c>
      <c r="AE1079" s="91" t="n">
        <f aca="false">(N1079-T1079)/N1079</f>
        <v>0.99728014505893</v>
      </c>
      <c r="AF1079" s="97" t="n">
        <f aca="false">BR1079</f>
        <v>0</v>
      </c>
      <c r="AG1079" s="98" t="n">
        <f aca="false">K1079-AF1079</f>
        <v>8</v>
      </c>
      <c r="AH1079" s="99" t="n">
        <f aca="false">IFERROR(AG1079/K1079," ")</f>
        <v>1</v>
      </c>
      <c r="AI1079" s="100" t="n">
        <f aca="false">IFERROR(O1079/K1079,0)</f>
        <v>687.5</v>
      </c>
      <c r="AJ1079" s="101" t="n">
        <f aca="false">VLOOKUP(D1079,'Standard Cycle time'!C:D,2,0)</f>
        <v>5.25</v>
      </c>
      <c r="AK1079" s="101" t="n">
        <f aca="false">AG1079*V1079*3600/O1079</f>
        <v>5.23636363636364</v>
      </c>
      <c r="AL1079" s="102" t="n">
        <f aca="false">AJ1079/AK1079</f>
        <v>1.00260416666667</v>
      </c>
      <c r="AM1079" s="99" t="n">
        <f aca="false">AE1079*AL1079*AH1079</f>
        <v>0.999877228770021</v>
      </c>
      <c r="AN1079" s="103" t="n">
        <v>1.0004245923913</v>
      </c>
      <c r="AO1079" s="112"/>
      <c r="AP1079" s="105" t="n">
        <v>0</v>
      </c>
      <c r="AQ1079" s="105" t="n">
        <v>0</v>
      </c>
      <c r="AR1079" s="105" t="n">
        <v>0</v>
      </c>
      <c r="AS1079" s="105" t="n">
        <v>0</v>
      </c>
      <c r="AT1079" s="105" t="n">
        <v>0</v>
      </c>
      <c r="AU1079" s="105" t="n">
        <v>0</v>
      </c>
      <c r="AV1079" s="105" t="n">
        <v>0</v>
      </c>
      <c r="AW1079" s="105" t="n">
        <v>0</v>
      </c>
      <c r="AX1079" s="105" t="n">
        <v>0</v>
      </c>
      <c r="AY1079" s="105" t="n">
        <v>0</v>
      </c>
      <c r="AZ1079" s="105" t="n">
        <v>0</v>
      </c>
      <c r="BA1079" s="105" t="n">
        <v>0</v>
      </c>
      <c r="BB1079" s="105" t="n">
        <v>0</v>
      </c>
      <c r="BC1079" s="105" t="n">
        <v>0</v>
      </c>
      <c r="BD1079" s="105" t="n">
        <v>0</v>
      </c>
      <c r="BE1079" s="105" t="n">
        <v>0</v>
      </c>
      <c r="BF1079" s="105" t="n">
        <v>0</v>
      </c>
      <c r="BG1079" s="105" t="n">
        <v>0</v>
      </c>
      <c r="BH1079" s="105" t="n">
        <v>0</v>
      </c>
      <c r="BI1079" s="105" t="n">
        <v>0</v>
      </c>
      <c r="BJ1079" s="105" t="n">
        <v>0</v>
      </c>
      <c r="BK1079" s="105" t="n">
        <v>0</v>
      </c>
      <c r="BL1079" s="105" t="n">
        <v>0</v>
      </c>
      <c r="BM1079" s="105" t="n">
        <v>0</v>
      </c>
      <c r="BN1079" s="105" t="n">
        <v>0</v>
      </c>
      <c r="BO1079" s="105" t="n">
        <v>0</v>
      </c>
      <c r="BP1079" s="105" t="n">
        <v>0</v>
      </c>
      <c r="BQ1079" s="105" t="n">
        <v>0</v>
      </c>
      <c r="BR1079" s="106" t="n">
        <v>0</v>
      </c>
      <c r="BS1079" s="106" t="n">
        <v>0</v>
      </c>
      <c r="BT1079" s="107"/>
      <c r="BU1079" s="107"/>
      <c r="BV1079" s="107"/>
      <c r="BW1079" s="107"/>
      <c r="BX1079" s="107"/>
      <c r="BY1079" s="107"/>
      <c r="BZ1079" s="107"/>
      <c r="CA1079" s="107"/>
      <c r="CB1079" s="107"/>
      <c r="CC1079" s="107"/>
      <c r="CD1079" s="107"/>
      <c r="CE1079" s="107"/>
      <c r="CF1079" s="107"/>
      <c r="CG1079" s="107"/>
      <c r="CH1079" s="107"/>
      <c r="CI1079" s="107"/>
      <c r="CJ1079" s="107"/>
      <c r="CK1079" s="107"/>
      <c r="CL1079" s="107"/>
      <c r="CM1079" s="107"/>
      <c r="CN1079" s="107"/>
      <c r="CO1079" s="107"/>
      <c r="CP1079" s="107"/>
      <c r="CQ1079" s="107"/>
      <c r="CR1079" s="107"/>
      <c r="CS1079" s="107"/>
      <c r="CT1079" s="107"/>
      <c r="CU1079" s="107"/>
      <c r="CV1079" s="107"/>
    </row>
    <row r="1080" customFormat="false" ht="14.9" hidden="false" customHeight="false" outlineLevel="0" collapsed="false">
      <c r="A1080" s="74" t="n">
        <f aca="false">MONTH(B1080)</f>
        <v>10</v>
      </c>
      <c r="B1080" s="135" t="n">
        <v>44497</v>
      </c>
      <c r="C1080" s="128" t="s">
        <v>70</v>
      </c>
      <c r="D1080" s="77" t="str">
        <f aca="false">IFERROR(VLOOKUP(E:E,'Item Data Support Sheet'!A:O,7,0),"")</f>
        <v>HOOD MOLDED</v>
      </c>
      <c r="E1080" s="80" t="s">
        <v>529</v>
      </c>
      <c r="F1080" s="122"/>
      <c r="G1080" s="137" t="s">
        <v>740</v>
      </c>
      <c r="H1080" s="79" t="str">
        <f aca="false">IFERROR(VLOOKUP(E:E,'Item Data Support Sheet'!A:O,2,0),"")</f>
        <v>HOOD S TYPE MOLDED</v>
      </c>
      <c r="I1080" s="80" t="s">
        <v>1861</v>
      </c>
      <c r="J1080" s="80" t="s">
        <v>155</v>
      </c>
      <c r="K1080" s="124" t="n">
        <v>8</v>
      </c>
      <c r="L1080" s="124" t="n">
        <v>4137</v>
      </c>
      <c r="M1080" s="83" t="n">
        <v>517.125</v>
      </c>
      <c r="N1080" s="84" t="n">
        <f aca="false">+O1080+Q1080+T1080+U1080</f>
        <v>5040</v>
      </c>
      <c r="O1080" s="85" t="n">
        <v>5000</v>
      </c>
      <c r="P1080" s="86" t="n">
        <v>0</v>
      </c>
      <c r="Q1080" s="86" t="n">
        <v>8</v>
      </c>
      <c r="R1080" s="132" t="n">
        <v>0</v>
      </c>
      <c r="S1080" s="128" t="n">
        <v>0</v>
      </c>
      <c r="T1080" s="132" t="n">
        <v>32</v>
      </c>
      <c r="U1080" s="128" t="n">
        <v>0</v>
      </c>
      <c r="V1080" s="128" t="n">
        <v>1</v>
      </c>
      <c r="W1080" s="90" t="n">
        <f aca="false">IFERROR(O1080/V1080,0)</f>
        <v>5000</v>
      </c>
      <c r="X1080" s="91" t="n">
        <f aca="false">O1080/L1080</f>
        <v>1.20860526951898</v>
      </c>
      <c r="Y1080" s="92" t="str">
        <f aca="false">IFERROR(VLOOKUP(E:E,'Item Data Support Sheet'!A:J,6,0),0)</f>
        <v>HMC</v>
      </c>
      <c r="Z1080" s="93" t="n">
        <f aca="false">IFERROR(VLOOKUP(E:E,'Item Data Support Sheet'!A:O,4,0),0)</f>
        <v>8.6</v>
      </c>
      <c r="AA1080" s="93" t="n">
        <f aca="false">IFERROR(((N1080)*(Z1080/1000))+P1080,0)</f>
        <v>43.344</v>
      </c>
      <c r="AB1080" s="94" t="n">
        <f aca="false">IFERROR((O1080*(Z1080/1000)/(AA1080))," ")</f>
        <v>0.992063492063492</v>
      </c>
      <c r="AC1080" s="95" t="n">
        <f aca="false">IFERROR((T1080)/((T1080)+O1080),0)</f>
        <v>0.00635930047694754</v>
      </c>
      <c r="AD1080" s="96" t="n">
        <f aca="false">IFERROR(Q1080/(Q1080+N1080),0)</f>
        <v>0.00158478605388273</v>
      </c>
      <c r="AE1080" s="91" t="n">
        <f aca="false">(N1080-T1080)/N1080</f>
        <v>0.993650793650794</v>
      </c>
      <c r="AF1080" s="97" t="n">
        <f aca="false">BR1080</f>
        <v>0</v>
      </c>
      <c r="AG1080" s="98" t="n">
        <f aca="false">K1080-AF1080</f>
        <v>8</v>
      </c>
      <c r="AH1080" s="99" t="n">
        <f aca="false">IFERROR(AG1080/K1080," ")</f>
        <v>1</v>
      </c>
      <c r="AI1080" s="100" t="n">
        <f aca="false">IFERROR(O1080/K1080,0)</f>
        <v>625</v>
      </c>
      <c r="AJ1080" s="101" t="n">
        <f aca="false">VLOOKUP(D1080,'Standard Cycle time'!C:D,2,0)</f>
        <v>6</v>
      </c>
      <c r="AK1080" s="101" t="n">
        <f aca="false">AG1080*V1080*3600/O1080</f>
        <v>5.76</v>
      </c>
      <c r="AL1080" s="102" t="n">
        <f aca="false">AJ1080/AK1080</f>
        <v>1.04166666666667</v>
      </c>
      <c r="AM1080" s="99" t="n">
        <f aca="false">AE1080*AL1080*AH1080</f>
        <v>1.03505291005291</v>
      </c>
      <c r="AN1080" s="103" t="n">
        <v>1.0356225445754</v>
      </c>
      <c r="AO1080" s="112"/>
      <c r="AP1080" s="105" t="n">
        <v>0</v>
      </c>
      <c r="AQ1080" s="105" t="n">
        <v>0</v>
      </c>
      <c r="AR1080" s="105" t="n">
        <v>0</v>
      </c>
      <c r="AS1080" s="105" t="n">
        <v>0</v>
      </c>
      <c r="AT1080" s="105" t="n">
        <v>0</v>
      </c>
      <c r="AU1080" s="105" t="n">
        <v>0</v>
      </c>
      <c r="AV1080" s="105" t="n">
        <v>0</v>
      </c>
      <c r="AW1080" s="105" t="n">
        <v>0</v>
      </c>
      <c r="AX1080" s="105" t="n">
        <v>0</v>
      </c>
      <c r="AY1080" s="105" t="n">
        <v>0</v>
      </c>
      <c r="AZ1080" s="105" t="n">
        <v>0</v>
      </c>
      <c r="BA1080" s="105" t="n">
        <v>0</v>
      </c>
      <c r="BB1080" s="105" t="n">
        <v>0</v>
      </c>
      <c r="BC1080" s="105" t="n">
        <v>0</v>
      </c>
      <c r="BD1080" s="105" t="n">
        <v>0</v>
      </c>
      <c r="BE1080" s="105" t="n">
        <v>0</v>
      </c>
      <c r="BF1080" s="105" t="n">
        <v>0</v>
      </c>
      <c r="BG1080" s="105" t="n">
        <v>0</v>
      </c>
      <c r="BH1080" s="105" t="n">
        <v>0</v>
      </c>
      <c r="BI1080" s="105" t="n">
        <v>0</v>
      </c>
      <c r="BJ1080" s="105" t="n">
        <v>0</v>
      </c>
      <c r="BK1080" s="105" t="n">
        <v>0</v>
      </c>
      <c r="BL1080" s="105" t="n">
        <v>0</v>
      </c>
      <c r="BM1080" s="105" t="n">
        <v>0</v>
      </c>
      <c r="BN1080" s="105" t="n">
        <v>0</v>
      </c>
      <c r="BO1080" s="105" t="n">
        <v>0</v>
      </c>
      <c r="BP1080" s="105" t="n">
        <v>0</v>
      </c>
      <c r="BQ1080" s="105" t="n">
        <v>0</v>
      </c>
      <c r="BR1080" s="106" t="n">
        <v>0</v>
      </c>
      <c r="BS1080" s="106" t="n">
        <v>0</v>
      </c>
      <c r="BT1080" s="107"/>
      <c r="BU1080" s="107"/>
      <c r="BV1080" s="107"/>
      <c r="BW1080" s="107"/>
      <c r="BX1080" s="107"/>
      <c r="BY1080" s="107"/>
      <c r="BZ1080" s="107"/>
      <c r="CA1080" s="107"/>
      <c r="CB1080" s="107"/>
      <c r="CC1080" s="107"/>
      <c r="CD1080" s="107"/>
      <c r="CE1080" s="107"/>
      <c r="CF1080" s="107"/>
      <c r="CG1080" s="107"/>
      <c r="CH1080" s="107"/>
      <c r="CI1080" s="107"/>
      <c r="CJ1080" s="107"/>
      <c r="CK1080" s="107"/>
      <c r="CL1080" s="107"/>
      <c r="CM1080" s="107"/>
      <c r="CN1080" s="107"/>
      <c r="CO1080" s="107"/>
      <c r="CP1080" s="107"/>
      <c r="CQ1080" s="107"/>
      <c r="CR1080" s="107"/>
      <c r="CS1080" s="107"/>
      <c r="CT1080" s="107"/>
      <c r="CU1080" s="107"/>
      <c r="CV1080" s="107"/>
    </row>
    <row r="1081" customFormat="false" ht="14.9" hidden="false" customHeight="false" outlineLevel="0" collapsed="false">
      <c r="A1081" s="74" t="n">
        <f aca="false">MONTH(B1081)</f>
        <v>10</v>
      </c>
      <c r="B1081" s="135" t="n">
        <v>44497</v>
      </c>
      <c r="C1081" s="128" t="s">
        <v>70</v>
      </c>
      <c r="D1081" s="77" t="str">
        <f aca="false">IFERROR(VLOOKUP(E:E,'Item Data Support Sheet'!A:O,7,0),"")</f>
        <v>BOTTLE MOLDED</v>
      </c>
      <c r="E1081" s="80" t="s">
        <v>69</v>
      </c>
      <c r="F1081" s="122" t="s">
        <v>73</v>
      </c>
      <c r="G1081" s="137" t="s">
        <v>74</v>
      </c>
      <c r="H1081" s="79" t="str">
        <f aca="false">IFERROR(VLOOKUP(E:E,'Item Data Support Sheet'!A:O,2,0),"")</f>
        <v>KPP 240 ML BOTTLE MOLDED</v>
      </c>
      <c r="I1081" s="80" t="s">
        <v>1862</v>
      </c>
      <c r="J1081" s="80" t="s">
        <v>155</v>
      </c>
      <c r="K1081" s="124" t="n">
        <v>8</v>
      </c>
      <c r="L1081" s="124" t="n">
        <v>2574</v>
      </c>
      <c r="M1081" s="83" t="n">
        <v>321.75</v>
      </c>
      <c r="N1081" s="84" t="n">
        <f aca="false">+O1081+Q1081+T1081+U1081</f>
        <v>3159</v>
      </c>
      <c r="O1081" s="85" t="n">
        <v>3024</v>
      </c>
      <c r="P1081" s="86" t="n">
        <v>0.63</v>
      </c>
      <c r="Q1081" s="86" t="n">
        <v>65</v>
      </c>
      <c r="R1081" s="132" t="n">
        <v>0</v>
      </c>
      <c r="S1081" s="128" t="n">
        <v>0</v>
      </c>
      <c r="T1081" s="132" t="n">
        <v>70</v>
      </c>
      <c r="U1081" s="128" t="n">
        <v>0</v>
      </c>
      <c r="V1081" s="128" t="n">
        <v>1</v>
      </c>
      <c r="W1081" s="90" t="n">
        <f aca="false">IFERROR(O1081/V1081,0)</f>
        <v>3024</v>
      </c>
      <c r="X1081" s="91" t="n">
        <f aca="false">O1081/L1081</f>
        <v>1.17482517482517</v>
      </c>
      <c r="Y1081" s="92" t="str">
        <f aca="false">IFERROR(VLOOKUP(E:E,'Item Data Support Sheet'!A:J,6,0),0)</f>
        <v>HMC</v>
      </c>
      <c r="Z1081" s="93" t="n">
        <f aca="false">IFERROR(VLOOKUP(E:E,'Item Data Support Sheet'!A:O,4,0),0)</f>
        <v>32.1</v>
      </c>
      <c r="AA1081" s="93" t="n">
        <f aca="false">IFERROR(((N1081)*(Z1081/1000))+P1081,0)</f>
        <v>102.0339</v>
      </c>
      <c r="AB1081" s="94" t="n">
        <f aca="false">IFERROR((O1081*(Z1081/1000)/(AA1081))," ")</f>
        <v>0.951354402801422</v>
      </c>
      <c r="AC1081" s="95" t="n">
        <f aca="false">IFERROR((T1081)/((T1081)+O1081),0)</f>
        <v>0.0226244343891403</v>
      </c>
      <c r="AD1081" s="96" t="n">
        <f aca="false">IFERROR(Q1081/(Q1081+N1081),0)</f>
        <v>0.0201612903225806</v>
      </c>
      <c r="AE1081" s="91" t="n">
        <f aca="false">(N1081-T1081)/N1081</f>
        <v>0.9778410889522</v>
      </c>
      <c r="AF1081" s="97" t="n">
        <f aca="false">BR1081</f>
        <v>0</v>
      </c>
      <c r="AG1081" s="98" t="n">
        <f aca="false">K1081-AF1081</f>
        <v>8</v>
      </c>
      <c r="AH1081" s="99" t="n">
        <f aca="false">IFERROR(AG1081/K1081," ")</f>
        <v>1</v>
      </c>
      <c r="AI1081" s="100" t="n">
        <f aca="false">IFERROR(O1081/K1081,0)</f>
        <v>378</v>
      </c>
      <c r="AJ1081" s="101" t="n">
        <f aca="false">VLOOKUP(D1081,'Standard Cycle time'!C:D,2,0)</f>
        <v>9</v>
      </c>
      <c r="AK1081" s="101" t="n">
        <f aca="false">AG1081*V1081*3600/O1081</f>
        <v>9.52380952380952</v>
      </c>
      <c r="AL1081" s="102" t="n">
        <f aca="false">AJ1081/AK1081</f>
        <v>0.945</v>
      </c>
      <c r="AM1081" s="99" t="n">
        <f aca="false">AE1081*AL1081*AH1081</f>
        <v>0.924059829059829</v>
      </c>
      <c r="AN1081" s="103" t="n">
        <v>0.931875</v>
      </c>
      <c r="AO1081" s="112"/>
      <c r="AP1081" s="105" t="n">
        <v>0</v>
      </c>
      <c r="AQ1081" s="105" t="n">
        <v>0</v>
      </c>
      <c r="AR1081" s="105" t="n">
        <v>0</v>
      </c>
      <c r="AS1081" s="105" t="n">
        <v>0</v>
      </c>
      <c r="AT1081" s="105" t="n">
        <v>0</v>
      </c>
      <c r="AU1081" s="105" t="n">
        <v>0</v>
      </c>
      <c r="AV1081" s="105" t="n">
        <v>0</v>
      </c>
      <c r="AW1081" s="105" t="n">
        <v>0</v>
      </c>
      <c r="AX1081" s="105" t="n">
        <v>0</v>
      </c>
      <c r="AY1081" s="105" t="n">
        <v>0</v>
      </c>
      <c r="AZ1081" s="105" t="n">
        <v>0</v>
      </c>
      <c r="BA1081" s="105" t="n">
        <v>0</v>
      </c>
      <c r="BB1081" s="105" t="n">
        <v>0</v>
      </c>
      <c r="BC1081" s="105" t="n">
        <v>0</v>
      </c>
      <c r="BD1081" s="105" t="n">
        <v>0</v>
      </c>
      <c r="BE1081" s="105" t="n">
        <v>0</v>
      </c>
      <c r="BF1081" s="105" t="n">
        <v>0</v>
      </c>
      <c r="BG1081" s="105" t="n">
        <v>0</v>
      </c>
      <c r="BH1081" s="105" t="n">
        <v>0</v>
      </c>
      <c r="BI1081" s="105" t="n">
        <v>0</v>
      </c>
      <c r="BJ1081" s="105" t="n">
        <v>0</v>
      </c>
      <c r="BK1081" s="105" t="n">
        <v>0</v>
      </c>
      <c r="BL1081" s="105" t="n">
        <v>0</v>
      </c>
      <c r="BM1081" s="105" t="n">
        <v>0</v>
      </c>
      <c r="BN1081" s="105" t="n">
        <v>0</v>
      </c>
      <c r="BO1081" s="105" t="n">
        <v>0</v>
      </c>
      <c r="BP1081" s="105" t="n">
        <v>0</v>
      </c>
      <c r="BQ1081" s="105" t="n">
        <v>0</v>
      </c>
      <c r="BR1081" s="106" t="n">
        <v>0</v>
      </c>
      <c r="BS1081" s="106" t="n">
        <v>0</v>
      </c>
      <c r="BT1081" s="107"/>
      <c r="BU1081" s="107"/>
      <c r="BV1081" s="107"/>
      <c r="BW1081" s="107"/>
      <c r="BX1081" s="107"/>
      <c r="BY1081" s="107"/>
      <c r="BZ1081" s="107"/>
      <c r="CA1081" s="107"/>
      <c r="CB1081" s="107"/>
      <c r="CC1081" s="107"/>
      <c r="CD1081" s="107"/>
      <c r="CE1081" s="107"/>
      <c r="CF1081" s="107"/>
      <c r="CG1081" s="107"/>
      <c r="CH1081" s="107"/>
      <c r="CI1081" s="107"/>
      <c r="CJ1081" s="107"/>
      <c r="CK1081" s="107"/>
      <c r="CL1081" s="107"/>
      <c r="CM1081" s="107"/>
      <c r="CN1081" s="107"/>
      <c r="CO1081" s="107"/>
      <c r="CP1081" s="107"/>
      <c r="CQ1081" s="107"/>
      <c r="CR1081" s="107"/>
      <c r="CS1081" s="107"/>
      <c r="CT1081" s="107"/>
      <c r="CU1081" s="107"/>
      <c r="CV1081" s="107"/>
    </row>
    <row r="1082" customFormat="false" ht="14.9" hidden="false" customHeight="false" outlineLevel="0" collapsed="false">
      <c r="A1082" s="74" t="n">
        <f aca="false">MONTH(B1082)</f>
        <v>10</v>
      </c>
      <c r="B1082" s="135" t="n">
        <v>44497</v>
      </c>
      <c r="C1082" s="128" t="s">
        <v>70</v>
      </c>
      <c r="D1082" s="77" t="str">
        <f aca="false">IFERROR(VLOOKUP(E:E,'Item Data Support Sheet'!A:O,7,0),"")</f>
        <v>BOTTLE PRINTED</v>
      </c>
      <c r="E1082" s="80" t="s">
        <v>65</v>
      </c>
      <c r="F1082" s="122"/>
      <c r="G1082" s="137"/>
      <c r="H1082" s="79" t="str">
        <f aca="false">IFERROR(VLOOKUP(E:E,'Item Data Support Sheet'!A:O,2,0),"")</f>
        <v>KPP 240 ML BOTTLE PRINTED</v>
      </c>
      <c r="I1082" s="80" t="s">
        <v>1863</v>
      </c>
      <c r="J1082" s="80" t="s">
        <v>155</v>
      </c>
      <c r="K1082" s="124" t="n">
        <v>8</v>
      </c>
      <c r="L1082" s="124" t="n">
        <v>5100</v>
      </c>
      <c r="M1082" s="83" t="n">
        <v>637.5</v>
      </c>
      <c r="N1082" s="84" t="n">
        <f aca="false">+O1082+Q1082+T1082+U1082</f>
        <v>4610</v>
      </c>
      <c r="O1082" s="85" t="n">
        <v>4536</v>
      </c>
      <c r="P1082" s="86" t="n">
        <v>0</v>
      </c>
      <c r="Q1082" s="86" t="n">
        <v>0</v>
      </c>
      <c r="R1082" s="132" t="n">
        <v>49</v>
      </c>
      <c r="S1082" s="128" t="n">
        <v>0</v>
      </c>
      <c r="T1082" s="132" t="n">
        <v>74</v>
      </c>
      <c r="U1082" s="128" t="n">
        <v>0</v>
      </c>
      <c r="V1082" s="128" t="n">
        <v>5</v>
      </c>
      <c r="W1082" s="90" t="n">
        <f aca="false">IFERROR(O1082/V1082,0)</f>
        <v>907.2</v>
      </c>
      <c r="X1082" s="91" t="n">
        <f aca="false">O1082/L1082</f>
        <v>0.889411764705882</v>
      </c>
      <c r="Y1082" s="92" t="str">
        <f aca="false">IFERROR(VLOOKUP(E:E,'Item Data Support Sheet'!A:J,6,0),0)</f>
        <v>FO003</v>
      </c>
      <c r="Z1082" s="93" t="n">
        <f aca="false">IFERROR(VLOOKUP(E:E,'Item Data Support Sheet'!A:O,4,0),0)</f>
        <v>0</v>
      </c>
      <c r="AA1082" s="93" t="n">
        <f aca="false">IFERROR(((N1082)*(Z1082/1000))+P1082,0)</f>
        <v>0</v>
      </c>
      <c r="AB1082" s="94" t="str">
        <f aca="false">IFERROR((O1082*(Z1082/1000)/(AA1082))," ")</f>
        <v> </v>
      </c>
      <c r="AC1082" s="95" t="n">
        <f aca="false">IFERROR((T1082)/((T1082)+O1082),0)</f>
        <v>0.0160520607375271</v>
      </c>
      <c r="AD1082" s="96" t="n">
        <f aca="false">IFERROR(Q1082/(Q1082+N1082),0)</f>
        <v>0</v>
      </c>
      <c r="AE1082" s="91" t="n">
        <f aca="false">(N1082-T1082)/N1082</f>
        <v>0.983947939262473</v>
      </c>
      <c r="AF1082" s="97" t="n">
        <f aca="false">BR1082</f>
        <v>0.833333333333333</v>
      </c>
      <c r="AG1082" s="98" t="n">
        <f aca="false">K1082-AF1082</f>
        <v>7.16666666666667</v>
      </c>
      <c r="AH1082" s="99" t="n">
        <f aca="false">IFERROR(AG1082/K1082," ")</f>
        <v>0.895833333333333</v>
      </c>
      <c r="AI1082" s="100" t="n">
        <f aca="false">IFERROR(O1082/K1082,0)</f>
        <v>567</v>
      </c>
      <c r="AJ1082" s="101" t="n">
        <f aca="false">VLOOKUP(D1082,'Standard Cycle time'!C:D,2,0)</f>
        <v>32.4</v>
      </c>
      <c r="AK1082" s="101" t="n">
        <f aca="false">AG1082*V1082*3600/O1082</f>
        <v>28.4391534391534</v>
      </c>
      <c r="AL1082" s="102" t="n">
        <f aca="false">AJ1082/AK1082</f>
        <v>1.13927441860465</v>
      </c>
      <c r="AM1082" s="99" t="n">
        <f aca="false">AE1082*AL1082*AH1082</f>
        <v>1.00421726681128</v>
      </c>
      <c r="AN1082" s="103" t="n">
        <v>0.996692307692308</v>
      </c>
      <c r="AO1082" s="112"/>
      <c r="AP1082" s="105" t="n">
        <v>50</v>
      </c>
      <c r="AQ1082" s="105" t="n">
        <v>0</v>
      </c>
      <c r="AR1082" s="105" t="n">
        <v>0</v>
      </c>
      <c r="AS1082" s="105" t="n">
        <v>0</v>
      </c>
      <c r="AT1082" s="105" t="n">
        <v>0</v>
      </c>
      <c r="AU1082" s="105" t="n">
        <v>0</v>
      </c>
      <c r="AV1082" s="105" t="n">
        <v>0</v>
      </c>
      <c r="AW1082" s="105" t="n">
        <v>0</v>
      </c>
      <c r="AX1082" s="105" t="n">
        <v>0</v>
      </c>
      <c r="AY1082" s="105" t="n">
        <v>0</v>
      </c>
      <c r="AZ1082" s="105" t="n">
        <v>0</v>
      </c>
      <c r="BA1082" s="105" t="n">
        <v>0</v>
      </c>
      <c r="BB1082" s="105" t="n">
        <v>0</v>
      </c>
      <c r="BC1082" s="105" t="n">
        <v>0</v>
      </c>
      <c r="BD1082" s="105" t="n">
        <v>0</v>
      </c>
      <c r="BE1082" s="105" t="n">
        <v>0</v>
      </c>
      <c r="BF1082" s="105" t="n">
        <v>0</v>
      </c>
      <c r="BG1082" s="105" t="n">
        <v>0</v>
      </c>
      <c r="BH1082" s="105" t="n">
        <v>0</v>
      </c>
      <c r="BI1082" s="105" t="n">
        <v>0</v>
      </c>
      <c r="BJ1082" s="105" t="n">
        <v>0</v>
      </c>
      <c r="BK1082" s="105" t="n">
        <v>0</v>
      </c>
      <c r="BL1082" s="105" t="n">
        <v>0</v>
      </c>
      <c r="BM1082" s="105" t="n">
        <v>0</v>
      </c>
      <c r="BN1082" s="105" t="n">
        <v>0</v>
      </c>
      <c r="BO1082" s="105" t="n">
        <v>0</v>
      </c>
      <c r="BP1082" s="105" t="n">
        <v>0</v>
      </c>
      <c r="BQ1082" s="105" t="n">
        <v>0</v>
      </c>
      <c r="BR1082" s="106" t="n">
        <v>0.833333333333333</v>
      </c>
      <c r="BS1082" s="106" t="n">
        <v>0.833333333333333</v>
      </c>
      <c r="BT1082" s="107"/>
      <c r="BU1082" s="107"/>
      <c r="BV1082" s="107"/>
      <c r="BW1082" s="107"/>
      <c r="BX1082" s="107"/>
      <c r="BY1082" s="107"/>
      <c r="BZ1082" s="107"/>
      <c r="CA1082" s="107"/>
      <c r="CB1082" s="107"/>
      <c r="CC1082" s="107"/>
      <c r="CD1082" s="107"/>
      <c r="CE1082" s="107"/>
      <c r="CF1082" s="107"/>
      <c r="CG1082" s="107"/>
      <c r="CH1082" s="107"/>
      <c r="CI1082" s="107"/>
      <c r="CJ1082" s="107"/>
      <c r="CK1082" s="107"/>
      <c r="CL1082" s="107"/>
      <c r="CM1082" s="107"/>
      <c r="CN1082" s="107"/>
      <c r="CO1082" s="107"/>
      <c r="CP1082" s="107"/>
      <c r="CQ1082" s="107"/>
      <c r="CR1082" s="107"/>
      <c r="CS1082" s="107"/>
      <c r="CT1082" s="107"/>
      <c r="CU1082" s="107"/>
      <c r="CV1082" s="107"/>
    </row>
    <row r="1083" customFormat="false" ht="14.9" hidden="false" customHeight="false" outlineLevel="0" collapsed="false">
      <c r="A1083" s="74" t="n">
        <f aca="false">MONTH(B1083)</f>
        <v>10</v>
      </c>
      <c r="B1083" s="135" t="n">
        <v>44497</v>
      </c>
      <c r="C1083" s="128" t="s">
        <v>152</v>
      </c>
      <c r="D1083" s="77" t="str">
        <f aca="false">IFERROR(VLOOKUP(E:E,'Item Data Support Sheet'!A:O,7,0),"")</f>
        <v>BOTTLE MOLDED</v>
      </c>
      <c r="E1083" s="80" t="s">
        <v>69</v>
      </c>
      <c r="F1083" s="122" t="s">
        <v>73</v>
      </c>
      <c r="G1083" s="137" t="s">
        <v>74</v>
      </c>
      <c r="H1083" s="79" t="str">
        <f aca="false">IFERROR(VLOOKUP(E:E,'Item Data Support Sheet'!A:O,2,0),"")</f>
        <v>KPP 240 ML BOTTLE MOLDED</v>
      </c>
      <c r="I1083" s="80" t="s">
        <v>1864</v>
      </c>
      <c r="J1083" s="80" t="s">
        <v>143</v>
      </c>
      <c r="K1083" s="124" t="n">
        <v>8</v>
      </c>
      <c r="L1083" s="124" t="n">
        <v>2574</v>
      </c>
      <c r="M1083" s="83" t="n">
        <v>321.75</v>
      </c>
      <c r="N1083" s="84" t="n">
        <f aca="false">+O1083+Q1083+T1083+U1083</f>
        <v>2810</v>
      </c>
      <c r="O1083" s="85" t="n">
        <v>2732</v>
      </c>
      <c r="P1083" s="86" t="n">
        <v>0.32</v>
      </c>
      <c r="Q1083" s="86" t="n">
        <v>38</v>
      </c>
      <c r="R1083" s="132" t="n">
        <v>0</v>
      </c>
      <c r="S1083" s="128" t="n">
        <v>0</v>
      </c>
      <c r="T1083" s="132" t="n">
        <v>32</v>
      </c>
      <c r="U1083" s="128" t="n">
        <v>8</v>
      </c>
      <c r="V1083" s="128" t="n">
        <v>1</v>
      </c>
      <c r="W1083" s="90" t="n">
        <f aca="false">IFERROR(O1083/V1083,0)</f>
        <v>2732</v>
      </c>
      <c r="X1083" s="91" t="n">
        <f aca="false">O1083/L1083</f>
        <v>1.06138306138306</v>
      </c>
      <c r="Y1083" s="92" t="str">
        <f aca="false">IFERROR(VLOOKUP(E:E,'Item Data Support Sheet'!A:J,6,0),0)</f>
        <v>HMC</v>
      </c>
      <c r="Z1083" s="93" t="n">
        <f aca="false">IFERROR(VLOOKUP(E:E,'Item Data Support Sheet'!A:O,4,0),0)</f>
        <v>32.1</v>
      </c>
      <c r="AA1083" s="93" t="n">
        <f aca="false">IFERROR(((N1083)*(Z1083/1000))+P1083,0)</f>
        <v>90.521</v>
      </c>
      <c r="AB1083" s="94" t="n">
        <f aca="false">IFERROR((O1083*(Z1083/1000)/(AA1083))," ")</f>
        <v>0.968805028667381</v>
      </c>
      <c r="AC1083" s="95" t="n">
        <f aca="false">IFERROR((T1083)/((T1083)+O1083),0)</f>
        <v>0.0115774240231548</v>
      </c>
      <c r="AD1083" s="96" t="n">
        <f aca="false">IFERROR(Q1083/(Q1083+N1083),0)</f>
        <v>0.0133426966292135</v>
      </c>
      <c r="AE1083" s="91" t="n">
        <f aca="false">(N1083-T1083)/N1083</f>
        <v>0.988612099644128</v>
      </c>
      <c r="AF1083" s="97" t="n">
        <f aca="false">BR1083</f>
        <v>0</v>
      </c>
      <c r="AG1083" s="98" t="n">
        <f aca="false">K1083-AF1083</f>
        <v>8</v>
      </c>
      <c r="AH1083" s="99" t="n">
        <f aca="false">IFERROR(AG1083/K1083," ")</f>
        <v>1</v>
      </c>
      <c r="AI1083" s="100" t="n">
        <f aca="false">IFERROR(O1083/K1083,0)</f>
        <v>341.5</v>
      </c>
      <c r="AJ1083" s="101" t="n">
        <f aca="false">VLOOKUP(D1083,'Standard Cycle time'!C:D,2,0)</f>
        <v>9</v>
      </c>
      <c r="AK1083" s="101" t="n">
        <f aca="false">AG1083*V1083*3600/O1083</f>
        <v>10.5417276720351</v>
      </c>
      <c r="AL1083" s="102" t="n">
        <f aca="false">AJ1083/AK1083</f>
        <v>0.85375</v>
      </c>
      <c r="AM1083" s="99" t="n">
        <f aca="false">AE1083*AL1083*AH1083</f>
        <v>0.844027580071174</v>
      </c>
      <c r="AN1083" s="103" t="n">
        <v>0.847823752711497</v>
      </c>
      <c r="AO1083" s="112"/>
      <c r="AP1083" s="105" t="n">
        <v>0</v>
      </c>
      <c r="AQ1083" s="105" t="n">
        <v>0</v>
      </c>
      <c r="AR1083" s="105" t="n">
        <v>0</v>
      </c>
      <c r="AS1083" s="105" t="n">
        <v>0</v>
      </c>
      <c r="AT1083" s="105" t="n">
        <v>0</v>
      </c>
      <c r="AU1083" s="105" t="n">
        <v>0</v>
      </c>
      <c r="AV1083" s="105" t="n">
        <v>0</v>
      </c>
      <c r="AW1083" s="105" t="n">
        <v>0</v>
      </c>
      <c r="AX1083" s="105" t="n">
        <v>0</v>
      </c>
      <c r="AY1083" s="105" t="n">
        <v>0</v>
      </c>
      <c r="AZ1083" s="105" t="n">
        <v>0</v>
      </c>
      <c r="BA1083" s="105" t="n">
        <v>0</v>
      </c>
      <c r="BB1083" s="105" t="n">
        <v>0</v>
      </c>
      <c r="BC1083" s="105" t="n">
        <v>0</v>
      </c>
      <c r="BD1083" s="105" t="n">
        <v>0</v>
      </c>
      <c r="BE1083" s="105" t="n">
        <v>0</v>
      </c>
      <c r="BF1083" s="105" t="n">
        <v>0</v>
      </c>
      <c r="BG1083" s="105" t="n">
        <v>0</v>
      </c>
      <c r="BH1083" s="105" t="n">
        <v>0</v>
      </c>
      <c r="BI1083" s="105" t="n">
        <v>0</v>
      </c>
      <c r="BJ1083" s="105" t="n">
        <v>0</v>
      </c>
      <c r="BK1083" s="105" t="n">
        <v>0</v>
      </c>
      <c r="BL1083" s="105" t="n">
        <v>0</v>
      </c>
      <c r="BM1083" s="105" t="n">
        <v>0</v>
      </c>
      <c r="BN1083" s="105" t="n">
        <v>0</v>
      </c>
      <c r="BO1083" s="105" t="n">
        <v>0</v>
      </c>
      <c r="BP1083" s="105" t="n">
        <v>0</v>
      </c>
      <c r="BQ1083" s="105" t="n">
        <v>0</v>
      </c>
      <c r="BR1083" s="106" t="n">
        <v>0</v>
      </c>
      <c r="BS1083" s="106" t="n">
        <v>0</v>
      </c>
      <c r="BT1083" s="107"/>
      <c r="BU1083" s="107"/>
      <c r="BV1083" s="107"/>
      <c r="BW1083" s="107"/>
      <c r="BX1083" s="107"/>
      <c r="BY1083" s="107"/>
      <c r="BZ1083" s="107"/>
      <c r="CA1083" s="107"/>
      <c r="CB1083" s="107"/>
      <c r="CC1083" s="107"/>
      <c r="CD1083" s="107"/>
      <c r="CE1083" s="107"/>
      <c r="CF1083" s="107"/>
      <c r="CG1083" s="107"/>
      <c r="CH1083" s="107"/>
      <c r="CI1083" s="107"/>
      <c r="CJ1083" s="107"/>
      <c r="CK1083" s="107"/>
      <c r="CL1083" s="107"/>
      <c r="CM1083" s="107"/>
      <c r="CN1083" s="107"/>
      <c r="CO1083" s="107"/>
      <c r="CP1083" s="107"/>
      <c r="CQ1083" s="107"/>
      <c r="CR1083" s="107"/>
      <c r="CS1083" s="107"/>
      <c r="CT1083" s="107"/>
      <c r="CU1083" s="107"/>
      <c r="CV1083" s="107"/>
    </row>
    <row r="1084" customFormat="false" ht="14.9" hidden="false" customHeight="false" outlineLevel="0" collapsed="false">
      <c r="A1084" s="74" t="n">
        <f aca="false">MONTH(B1084)</f>
        <v>10</v>
      </c>
      <c r="B1084" s="135" t="n">
        <v>44497</v>
      </c>
      <c r="C1084" s="128" t="s">
        <v>152</v>
      </c>
      <c r="D1084" s="77" t="str">
        <f aca="false">IFERROR(VLOOKUP(E:E,'Item Data Support Sheet'!A:O,7,0),"")</f>
        <v>HOOD MOLDED</v>
      </c>
      <c r="E1084" s="80" t="s">
        <v>529</v>
      </c>
      <c r="F1084" s="122"/>
      <c r="G1084" s="137" t="s">
        <v>740</v>
      </c>
      <c r="H1084" s="79" t="str">
        <f aca="false">IFERROR(VLOOKUP(E:E,'Item Data Support Sheet'!A:O,2,0),"")</f>
        <v>HOOD S TYPE MOLDED</v>
      </c>
      <c r="I1084" s="80" t="s">
        <v>1865</v>
      </c>
      <c r="J1084" s="80" t="s">
        <v>143</v>
      </c>
      <c r="K1084" s="124" t="n">
        <v>8</v>
      </c>
      <c r="L1084" s="124" t="n">
        <v>4137</v>
      </c>
      <c r="M1084" s="83" t="n">
        <v>517.125</v>
      </c>
      <c r="N1084" s="84" t="n">
        <f aca="false">+O1084+Q1084+T1084+U1084</f>
        <v>5013</v>
      </c>
      <c r="O1084" s="85" t="n">
        <v>5000</v>
      </c>
      <c r="P1084" s="86" t="n">
        <v>0</v>
      </c>
      <c r="Q1084" s="86" t="n">
        <v>0</v>
      </c>
      <c r="R1084" s="132" t="n">
        <v>0</v>
      </c>
      <c r="S1084" s="128" t="n">
        <v>0</v>
      </c>
      <c r="T1084" s="132" t="n">
        <v>5</v>
      </c>
      <c r="U1084" s="128" t="n">
        <v>8</v>
      </c>
      <c r="V1084" s="128" t="n">
        <v>1</v>
      </c>
      <c r="W1084" s="90" t="n">
        <f aca="false">IFERROR(O1084/V1084,0)</f>
        <v>5000</v>
      </c>
      <c r="X1084" s="91" t="n">
        <f aca="false">O1084/L1084</f>
        <v>1.20860526951898</v>
      </c>
      <c r="Y1084" s="92" t="str">
        <f aca="false">IFERROR(VLOOKUP(E:E,'Item Data Support Sheet'!A:J,6,0),0)</f>
        <v>HMC</v>
      </c>
      <c r="Z1084" s="93" t="n">
        <f aca="false">IFERROR(VLOOKUP(E:E,'Item Data Support Sheet'!A:O,4,0),0)</f>
        <v>8.6</v>
      </c>
      <c r="AA1084" s="93" t="n">
        <f aca="false">IFERROR(((N1084)*(Z1084/1000))+P1084,0)</f>
        <v>43.1118</v>
      </c>
      <c r="AB1084" s="94" t="n">
        <f aca="false">IFERROR((O1084*(Z1084/1000)/(AA1084))," ")</f>
        <v>0.997406742469579</v>
      </c>
      <c r="AC1084" s="95" t="n">
        <f aca="false">IFERROR((T1084)/((T1084)+O1084),0)</f>
        <v>0.000999000999000999</v>
      </c>
      <c r="AD1084" s="96" t="n">
        <f aca="false">IFERROR(Q1084/(Q1084+N1084),0)</f>
        <v>0</v>
      </c>
      <c r="AE1084" s="91" t="n">
        <f aca="false">(N1084-T1084)/N1084</f>
        <v>0.99900259325753</v>
      </c>
      <c r="AF1084" s="97" t="n">
        <f aca="false">BR1084</f>
        <v>0</v>
      </c>
      <c r="AG1084" s="98" t="n">
        <f aca="false">K1084-AF1084</f>
        <v>8</v>
      </c>
      <c r="AH1084" s="99" t="n">
        <f aca="false">IFERROR(AG1084/K1084," ")</f>
        <v>1</v>
      </c>
      <c r="AI1084" s="100" t="n">
        <f aca="false">IFERROR(O1084/K1084,0)</f>
        <v>625</v>
      </c>
      <c r="AJ1084" s="101" t="n">
        <f aca="false">VLOOKUP(D1084,'Standard Cycle time'!C:D,2,0)</f>
        <v>6</v>
      </c>
      <c r="AK1084" s="101" t="n">
        <f aca="false">AG1084*V1084*3600/O1084</f>
        <v>5.76</v>
      </c>
      <c r="AL1084" s="102" t="n">
        <f aca="false">AJ1084/AK1084</f>
        <v>1.04166666666667</v>
      </c>
      <c r="AM1084" s="99" t="n">
        <f aca="false">AE1084*AL1084*AH1084</f>
        <v>1.04062770130993</v>
      </c>
      <c r="AN1084" s="103" t="n">
        <v>1.03981316725979</v>
      </c>
      <c r="AO1084" s="112"/>
      <c r="AP1084" s="105" t="n">
        <v>0</v>
      </c>
      <c r="AQ1084" s="105" t="n">
        <v>0</v>
      </c>
      <c r="AR1084" s="105" t="n">
        <v>0</v>
      </c>
      <c r="AS1084" s="105" t="n">
        <v>0</v>
      </c>
      <c r="AT1084" s="105" t="n">
        <v>0</v>
      </c>
      <c r="AU1084" s="105" t="n">
        <v>0</v>
      </c>
      <c r="AV1084" s="105" t="n">
        <v>0</v>
      </c>
      <c r="AW1084" s="105" t="n">
        <v>0</v>
      </c>
      <c r="AX1084" s="105" t="n">
        <v>0</v>
      </c>
      <c r="AY1084" s="105" t="n">
        <v>0</v>
      </c>
      <c r="AZ1084" s="105" t="n">
        <v>0</v>
      </c>
      <c r="BA1084" s="105" t="n">
        <v>0</v>
      </c>
      <c r="BB1084" s="105" t="n">
        <v>0</v>
      </c>
      <c r="BC1084" s="105" t="n">
        <v>0</v>
      </c>
      <c r="BD1084" s="105" t="n">
        <v>0</v>
      </c>
      <c r="BE1084" s="105" t="n">
        <v>0</v>
      </c>
      <c r="BF1084" s="105" t="n">
        <v>0</v>
      </c>
      <c r="BG1084" s="105" t="n">
        <v>0</v>
      </c>
      <c r="BH1084" s="105" t="n">
        <v>0</v>
      </c>
      <c r="BI1084" s="105" t="n">
        <v>0</v>
      </c>
      <c r="BJ1084" s="105" t="n">
        <v>0</v>
      </c>
      <c r="BK1084" s="105" t="n">
        <v>0</v>
      </c>
      <c r="BL1084" s="105" t="n">
        <v>0</v>
      </c>
      <c r="BM1084" s="105" t="n">
        <v>0</v>
      </c>
      <c r="BN1084" s="105" t="n">
        <v>0</v>
      </c>
      <c r="BO1084" s="105" t="n">
        <v>0</v>
      </c>
      <c r="BP1084" s="105" t="n">
        <v>0</v>
      </c>
      <c r="BQ1084" s="105" t="n">
        <v>0</v>
      </c>
      <c r="BR1084" s="106" t="n">
        <v>0</v>
      </c>
      <c r="BS1084" s="106" t="n">
        <v>0</v>
      </c>
      <c r="BT1084" s="107"/>
      <c r="BU1084" s="107"/>
      <c r="BV1084" s="107"/>
      <c r="BW1084" s="107"/>
      <c r="BX1084" s="107"/>
      <c r="BY1084" s="107"/>
      <c r="BZ1084" s="107"/>
      <c r="CA1084" s="107"/>
      <c r="CB1084" s="107"/>
      <c r="CC1084" s="107"/>
      <c r="CD1084" s="107"/>
      <c r="CE1084" s="107"/>
      <c r="CF1084" s="107"/>
      <c r="CG1084" s="107"/>
      <c r="CH1084" s="107"/>
      <c r="CI1084" s="107"/>
      <c r="CJ1084" s="107"/>
      <c r="CK1084" s="107"/>
      <c r="CL1084" s="107"/>
      <c r="CM1084" s="107"/>
      <c r="CN1084" s="107"/>
      <c r="CO1084" s="107"/>
      <c r="CP1084" s="107"/>
      <c r="CQ1084" s="107"/>
      <c r="CR1084" s="107"/>
      <c r="CS1084" s="107"/>
      <c r="CT1084" s="107"/>
      <c r="CU1084" s="107"/>
      <c r="CV1084" s="107"/>
    </row>
    <row r="1085" customFormat="false" ht="14.9" hidden="false" customHeight="false" outlineLevel="0" collapsed="false">
      <c r="A1085" s="74" t="n">
        <f aca="false">MONTH(B1085)</f>
        <v>10</v>
      </c>
      <c r="B1085" s="135" t="n">
        <v>44497</v>
      </c>
      <c r="C1085" s="128" t="s">
        <v>152</v>
      </c>
      <c r="D1085" s="77" t="str">
        <f aca="false">IFERROR(VLOOKUP(E:E,'Item Data Support Sheet'!A:O,7,0),"")</f>
        <v>NIPPLE MOLDED</v>
      </c>
      <c r="E1085" s="80" t="s">
        <v>244</v>
      </c>
      <c r="F1085" s="122" t="s">
        <v>137</v>
      </c>
      <c r="G1085" s="137" t="s">
        <v>138</v>
      </c>
      <c r="H1085" s="79" t="str">
        <f aca="false">IFERROR(VLOOKUP(E:E,'Item Data Support Sheet'!A:O,2,0),"")</f>
        <v>NIPPLE S TYPE S SIZE INJECTION</v>
      </c>
      <c r="I1085" s="80" t="s">
        <v>1866</v>
      </c>
      <c r="J1085" s="80" t="s">
        <v>143</v>
      </c>
      <c r="K1085" s="124" t="n">
        <v>8</v>
      </c>
      <c r="L1085" s="124" t="n">
        <v>4815</v>
      </c>
      <c r="M1085" s="83" t="n">
        <v>601.875</v>
      </c>
      <c r="N1085" s="84" t="n">
        <f aca="false">+O1085+Q1085+T1085+U1085</f>
        <v>5536</v>
      </c>
      <c r="O1085" s="85" t="n">
        <v>5500</v>
      </c>
      <c r="P1085" s="86" t="n">
        <v>0</v>
      </c>
      <c r="Q1085" s="86" t="n">
        <v>0</v>
      </c>
      <c r="R1085" s="132" t="n">
        <v>0</v>
      </c>
      <c r="S1085" s="128" t="n">
        <v>0</v>
      </c>
      <c r="T1085" s="132" t="n">
        <v>28</v>
      </c>
      <c r="U1085" s="128" t="n">
        <v>8</v>
      </c>
      <c r="V1085" s="128" t="n">
        <v>1</v>
      </c>
      <c r="W1085" s="90" t="n">
        <f aca="false">IFERROR(O1085/V1085,0)</f>
        <v>5500</v>
      </c>
      <c r="X1085" s="91" t="n">
        <f aca="false">O1085/L1085</f>
        <v>1.14226375908619</v>
      </c>
      <c r="Y1085" s="92" t="str">
        <f aca="false">IFERROR(VLOOKUP(E:E,'Item Data Support Sheet'!A:J,6,0),0)</f>
        <v>Silicon</v>
      </c>
      <c r="Z1085" s="93" t="n">
        <f aca="false">IFERROR(VLOOKUP(E:E,'Item Data Support Sheet'!A:O,4,0),0)</f>
        <v>6.8</v>
      </c>
      <c r="AA1085" s="93" t="n">
        <f aca="false">IFERROR(((N1085)*(Z1085/1000))+P1085,0)</f>
        <v>37.6448</v>
      </c>
      <c r="AB1085" s="94" t="n">
        <f aca="false">IFERROR((O1085*(Z1085/1000)/(AA1085))," ")</f>
        <v>0.99349710982659</v>
      </c>
      <c r="AC1085" s="95" t="n">
        <f aca="false">IFERROR((T1085)/((T1085)+O1085),0)</f>
        <v>0.00506512301013025</v>
      </c>
      <c r="AD1085" s="96" t="n">
        <f aca="false">IFERROR(Q1085/(Q1085+N1085),0)</f>
        <v>0</v>
      </c>
      <c r="AE1085" s="91" t="n">
        <f aca="false">(N1085-T1085)/N1085</f>
        <v>0.994942196531792</v>
      </c>
      <c r="AF1085" s="97" t="n">
        <f aca="false">BR1085</f>
        <v>0</v>
      </c>
      <c r="AG1085" s="98" t="n">
        <f aca="false">K1085-AF1085</f>
        <v>8</v>
      </c>
      <c r="AH1085" s="99" t="n">
        <f aca="false">IFERROR(AG1085/K1085," ")</f>
        <v>1</v>
      </c>
      <c r="AI1085" s="100" t="n">
        <f aca="false">IFERROR(O1085/K1085,0)</f>
        <v>687.5</v>
      </c>
      <c r="AJ1085" s="101" t="n">
        <f aca="false">VLOOKUP(D1085,'Standard Cycle time'!C:D,2,0)</f>
        <v>5.25</v>
      </c>
      <c r="AK1085" s="101" t="n">
        <f aca="false">AG1085*V1085*3600/O1085</f>
        <v>5.23636363636364</v>
      </c>
      <c r="AL1085" s="102" t="n">
        <f aca="false">AJ1085/AK1085</f>
        <v>1.00260416666667</v>
      </c>
      <c r="AM1085" s="99" t="n">
        <f aca="false">AE1085*AL1085*AH1085</f>
        <v>0.99753319183526</v>
      </c>
      <c r="AN1085" s="103" t="n">
        <v>0.997004143393843</v>
      </c>
      <c r="AO1085" s="112"/>
      <c r="AP1085" s="105" t="n">
        <v>0</v>
      </c>
      <c r="AQ1085" s="105" t="n">
        <v>0</v>
      </c>
      <c r="AR1085" s="105" t="n">
        <v>0</v>
      </c>
      <c r="AS1085" s="105" t="n">
        <v>0</v>
      </c>
      <c r="AT1085" s="105" t="n">
        <v>0</v>
      </c>
      <c r="AU1085" s="105" t="n">
        <v>0</v>
      </c>
      <c r="AV1085" s="105" t="n">
        <v>0</v>
      </c>
      <c r="AW1085" s="105" t="n">
        <v>0</v>
      </c>
      <c r="AX1085" s="105" t="n">
        <v>0</v>
      </c>
      <c r="AY1085" s="105" t="n">
        <v>0</v>
      </c>
      <c r="AZ1085" s="105" t="n">
        <v>0</v>
      </c>
      <c r="BA1085" s="105" t="n">
        <v>0</v>
      </c>
      <c r="BB1085" s="105" t="n">
        <v>0</v>
      </c>
      <c r="BC1085" s="105" t="n">
        <v>0</v>
      </c>
      <c r="BD1085" s="105" t="n">
        <v>0</v>
      </c>
      <c r="BE1085" s="105" t="n">
        <v>0</v>
      </c>
      <c r="BF1085" s="105" t="n">
        <v>0</v>
      </c>
      <c r="BG1085" s="105" t="n">
        <v>0</v>
      </c>
      <c r="BH1085" s="105" t="n">
        <v>0</v>
      </c>
      <c r="BI1085" s="105" t="n">
        <v>0</v>
      </c>
      <c r="BJ1085" s="105" t="n">
        <v>0</v>
      </c>
      <c r="BK1085" s="105" t="n">
        <v>0</v>
      </c>
      <c r="BL1085" s="105" t="n">
        <v>0</v>
      </c>
      <c r="BM1085" s="105" t="n">
        <v>0</v>
      </c>
      <c r="BN1085" s="105" t="n">
        <v>0</v>
      </c>
      <c r="BO1085" s="105" t="n">
        <v>0</v>
      </c>
      <c r="BP1085" s="105" t="n">
        <v>0</v>
      </c>
      <c r="BQ1085" s="105" t="n">
        <v>0</v>
      </c>
      <c r="BR1085" s="106" t="n">
        <v>0</v>
      </c>
      <c r="BS1085" s="106" t="n">
        <v>0</v>
      </c>
      <c r="BT1085" s="107"/>
      <c r="BU1085" s="107"/>
      <c r="BV1085" s="107"/>
      <c r="BW1085" s="107"/>
      <c r="BX1085" s="107"/>
      <c r="BY1085" s="107"/>
      <c r="BZ1085" s="107"/>
      <c r="CA1085" s="107"/>
      <c r="CB1085" s="107"/>
      <c r="CC1085" s="107"/>
      <c r="CD1085" s="107"/>
      <c r="CE1085" s="107"/>
      <c r="CF1085" s="107"/>
      <c r="CG1085" s="107"/>
      <c r="CH1085" s="107"/>
      <c r="CI1085" s="107"/>
      <c r="CJ1085" s="107"/>
      <c r="CK1085" s="107"/>
      <c r="CL1085" s="107"/>
      <c r="CM1085" s="107"/>
      <c r="CN1085" s="107"/>
      <c r="CO1085" s="107"/>
      <c r="CP1085" s="107"/>
      <c r="CQ1085" s="107"/>
      <c r="CR1085" s="107"/>
      <c r="CS1085" s="107"/>
      <c r="CT1085" s="107"/>
      <c r="CU1085" s="107"/>
      <c r="CV1085" s="107"/>
    </row>
    <row r="1086" customFormat="false" ht="14.9" hidden="false" customHeight="false" outlineLevel="0" collapsed="false">
      <c r="A1086" s="74" t="n">
        <f aca="false">MONTH(B1086)</f>
        <v>10</v>
      </c>
      <c r="B1086" s="135" t="n">
        <v>44498</v>
      </c>
      <c r="C1086" s="128" t="s">
        <v>51</v>
      </c>
      <c r="D1086" s="77" t="str">
        <f aca="false">IFERROR(VLOOKUP(E:E,'Item Data Support Sheet'!A:O,7,0),"")</f>
        <v>NIPPLE PUNCH</v>
      </c>
      <c r="E1086" s="80" t="s">
        <v>53</v>
      </c>
      <c r="F1086" s="122"/>
      <c r="G1086" s="137" t="s">
        <v>54</v>
      </c>
      <c r="H1086" s="79" t="str">
        <f aca="false">IFERROR(VLOOKUP(E:E,'Item Data Support Sheet'!A:O,2,0),"")</f>
        <v>NIPPLE S TYPE S SIZE PUNCHED</v>
      </c>
      <c r="I1086" s="80" t="s">
        <v>1867</v>
      </c>
      <c r="J1086" s="80" t="s">
        <v>815</v>
      </c>
      <c r="K1086" s="124" t="n">
        <v>8</v>
      </c>
      <c r="L1086" s="124" t="n">
        <v>7000</v>
      </c>
      <c r="M1086" s="83" t="n">
        <v>875</v>
      </c>
      <c r="N1086" s="84" t="n">
        <f aca="false">+O1086+Q1086+T1086+U1086</f>
        <v>7000</v>
      </c>
      <c r="O1086" s="85" t="n">
        <v>7000</v>
      </c>
      <c r="P1086" s="86" t="n">
        <v>0</v>
      </c>
      <c r="Q1086" s="86" t="n">
        <v>0</v>
      </c>
      <c r="R1086" s="132" t="n">
        <v>0</v>
      </c>
      <c r="S1086" s="128" t="n">
        <v>0</v>
      </c>
      <c r="T1086" s="132" t="n">
        <v>0</v>
      </c>
      <c r="U1086" s="128" t="n">
        <v>0</v>
      </c>
      <c r="V1086" s="128" t="n">
        <v>1</v>
      </c>
      <c r="W1086" s="90" t="n">
        <f aca="false">IFERROR(O1086/V1086,0)</f>
        <v>7000</v>
      </c>
      <c r="X1086" s="91" t="n">
        <f aca="false">O1086/L1086</f>
        <v>1</v>
      </c>
      <c r="Y1086" s="92" t="str">
        <f aca="false">IFERROR(VLOOKUP(E:E,'Item Data Support Sheet'!A:J,6,0),0)</f>
        <v>FO015</v>
      </c>
      <c r="Z1086" s="93" t="n">
        <f aca="false">IFERROR(VLOOKUP(E:E,'Item Data Support Sheet'!A:O,4,0),0)</f>
        <v>0</v>
      </c>
      <c r="AA1086" s="93" t="n">
        <f aca="false">IFERROR(((N1086)*(Z1086/1000))+P1086,0)</f>
        <v>0</v>
      </c>
      <c r="AB1086" s="94" t="str">
        <f aca="false">IFERROR((O1086*(Z1086/1000)/(AA1086))," ")</f>
        <v> </v>
      </c>
      <c r="AC1086" s="95" t="n">
        <f aca="false">IFERROR((T1086)/((T1086)+O1086),0)</f>
        <v>0</v>
      </c>
      <c r="AD1086" s="96" t="n">
        <f aca="false">IFERROR(Q1086/(Q1086+N1086),0)</f>
        <v>0</v>
      </c>
      <c r="AE1086" s="91" t="n">
        <f aca="false">(N1086-T1086)/N1086</f>
        <v>1</v>
      </c>
      <c r="AF1086" s="97" t="n">
        <f aca="false">BR1086</f>
        <v>0.666666666666667</v>
      </c>
      <c r="AG1086" s="98" t="n">
        <f aca="false">K1086-AF1086</f>
        <v>7.33333333333333</v>
      </c>
      <c r="AH1086" s="99" t="n">
        <f aca="false">IFERROR(AG1086/K1086," ")</f>
        <v>0.916666666666667</v>
      </c>
      <c r="AI1086" s="100" t="n">
        <f aca="false">IFERROR(O1086/K1086,0)</f>
        <v>875</v>
      </c>
      <c r="AJ1086" s="101" t="n">
        <f aca="false">VLOOKUP(D1086,'Standard Cycle time'!C:D,2,0)</f>
        <v>3.5</v>
      </c>
      <c r="AK1086" s="101" t="n">
        <f aca="false">AG1086*V1086*3600/O1086</f>
        <v>3.77142857142857</v>
      </c>
      <c r="AL1086" s="102" t="n">
        <f aca="false">AJ1086/AK1086</f>
        <v>0.928030303030303</v>
      </c>
      <c r="AM1086" s="99" t="n">
        <f aca="false">AE1086*AL1086*AH1086</f>
        <v>0.850694444444444</v>
      </c>
      <c r="AN1086" s="103" t="n">
        <v>0.850694444444444</v>
      </c>
      <c r="AO1086" s="112"/>
      <c r="AP1086" s="105" t="n">
        <v>40</v>
      </c>
      <c r="AQ1086" s="105" t="n">
        <v>0</v>
      </c>
      <c r="AR1086" s="105" t="n">
        <v>0</v>
      </c>
      <c r="AS1086" s="105" t="n">
        <v>0</v>
      </c>
      <c r="AT1086" s="105" t="n">
        <v>0</v>
      </c>
      <c r="AU1086" s="105" t="n">
        <v>0</v>
      </c>
      <c r="AV1086" s="105" t="n">
        <v>0</v>
      </c>
      <c r="AW1086" s="105" t="n">
        <v>0</v>
      </c>
      <c r="AX1086" s="105" t="n">
        <v>0</v>
      </c>
      <c r="AY1086" s="105" t="n">
        <v>0</v>
      </c>
      <c r="AZ1086" s="105" t="n">
        <v>0</v>
      </c>
      <c r="BA1086" s="105" t="n">
        <v>0</v>
      </c>
      <c r="BB1086" s="105" t="n">
        <v>0</v>
      </c>
      <c r="BC1086" s="105" t="n">
        <v>0</v>
      </c>
      <c r="BD1086" s="105" t="n">
        <v>0</v>
      </c>
      <c r="BE1086" s="105" t="n">
        <v>0</v>
      </c>
      <c r="BF1086" s="105" t="n">
        <v>0</v>
      </c>
      <c r="BG1086" s="105" t="n">
        <v>0</v>
      </c>
      <c r="BH1086" s="105" t="n">
        <v>0</v>
      </c>
      <c r="BI1086" s="105" t="n">
        <v>0</v>
      </c>
      <c r="BJ1086" s="105" t="n">
        <v>0</v>
      </c>
      <c r="BK1086" s="105" t="n">
        <v>0</v>
      </c>
      <c r="BL1086" s="105" t="n">
        <v>0</v>
      </c>
      <c r="BM1086" s="105" t="n">
        <v>0</v>
      </c>
      <c r="BN1086" s="105" t="n">
        <v>0</v>
      </c>
      <c r="BO1086" s="105" t="n">
        <v>0</v>
      </c>
      <c r="BP1086" s="105" t="n">
        <v>0</v>
      </c>
      <c r="BQ1086" s="105" t="n">
        <v>0</v>
      </c>
      <c r="BR1086" s="106" t="n">
        <v>0.666666666666667</v>
      </c>
      <c r="BS1086" s="106" t="n">
        <v>0.666666666666667</v>
      </c>
      <c r="BT1086" s="107"/>
      <c r="BU1086" s="107"/>
      <c r="BV1086" s="107"/>
      <c r="BW1086" s="107"/>
      <c r="BX1086" s="107"/>
      <c r="BY1086" s="107"/>
      <c r="BZ1086" s="107"/>
      <c r="CA1086" s="107"/>
      <c r="CB1086" s="107"/>
      <c r="CC1086" s="107"/>
      <c r="CD1086" s="107"/>
      <c r="CE1086" s="107"/>
      <c r="CF1086" s="107"/>
      <c r="CG1086" s="107"/>
      <c r="CH1086" s="107"/>
      <c r="CI1086" s="107"/>
      <c r="CJ1086" s="107"/>
      <c r="CK1086" s="107"/>
      <c r="CL1086" s="107"/>
      <c r="CM1086" s="107"/>
      <c r="CN1086" s="107"/>
      <c r="CO1086" s="107"/>
      <c r="CP1086" s="107"/>
      <c r="CQ1086" s="107"/>
      <c r="CR1086" s="107"/>
      <c r="CS1086" s="107"/>
      <c r="CT1086" s="107"/>
      <c r="CU1086" s="107"/>
      <c r="CV1086" s="107"/>
    </row>
    <row r="1087" customFormat="false" ht="14.9" hidden="false" customHeight="false" outlineLevel="0" collapsed="false">
      <c r="A1087" s="74" t="n">
        <f aca="false">MONTH(B1087)</f>
        <v>10</v>
      </c>
      <c r="B1087" s="135" t="n">
        <v>44498</v>
      </c>
      <c r="C1087" s="128" t="s">
        <v>51</v>
      </c>
      <c r="D1087" s="77" t="str">
        <f aca="false">IFERROR(VLOOKUP(E:E,'Item Data Support Sheet'!A:O,7,0),"")</f>
        <v>NIPPLE LASER MARKING</v>
      </c>
      <c r="E1087" s="80" t="s">
        <v>444</v>
      </c>
      <c r="F1087" s="122"/>
      <c r="G1087" s="137" t="s">
        <v>517</v>
      </c>
      <c r="H1087" s="79" t="str">
        <f aca="false">IFERROR(VLOOKUP(E:E,'Item Data Support Sheet'!A:O,2,0),"")</f>
        <v>NIPPLE S TYPE S SIZE PUNCHED LASER MARKED</v>
      </c>
      <c r="I1087" s="80" t="s">
        <v>1868</v>
      </c>
      <c r="J1087" s="80" t="s">
        <v>815</v>
      </c>
      <c r="K1087" s="124" t="n">
        <v>8</v>
      </c>
      <c r="L1087" s="124" t="n">
        <v>7000</v>
      </c>
      <c r="M1087" s="83" t="n">
        <v>875</v>
      </c>
      <c r="N1087" s="84" t="n">
        <f aca="false">+O1087+Q1087+T1087+U1087</f>
        <v>7000</v>
      </c>
      <c r="O1087" s="85" t="n">
        <v>7000</v>
      </c>
      <c r="P1087" s="86" t="n">
        <v>0</v>
      </c>
      <c r="Q1087" s="86" t="n">
        <v>0</v>
      </c>
      <c r="R1087" s="132" t="n">
        <v>0</v>
      </c>
      <c r="S1087" s="128" t="n">
        <v>0</v>
      </c>
      <c r="T1087" s="132" t="n">
        <v>0</v>
      </c>
      <c r="U1087" s="128" t="n">
        <v>0</v>
      </c>
      <c r="V1087" s="128" t="n">
        <v>1</v>
      </c>
      <c r="W1087" s="90" t="n">
        <f aca="false">IFERROR(O1087/V1087,0)</f>
        <v>7000</v>
      </c>
      <c r="X1087" s="91" t="n">
        <f aca="false">O1087/L1087</f>
        <v>1</v>
      </c>
      <c r="Y1087" s="92" t="str">
        <f aca="false">IFERROR(VLOOKUP(E:E,'Item Data Support Sheet'!A:J,6,0),0)</f>
        <v>FO019</v>
      </c>
      <c r="Z1087" s="93" t="n">
        <f aca="false">IFERROR(VLOOKUP(E:E,'Item Data Support Sheet'!A:O,4,0),0)</f>
        <v>0</v>
      </c>
      <c r="AA1087" s="93" t="n">
        <f aca="false">IFERROR(((N1087)*(Z1087/1000))+P1087,0)</f>
        <v>0</v>
      </c>
      <c r="AB1087" s="94" t="str">
        <f aca="false">IFERROR((O1087*(Z1087/1000)/(AA1087))," ")</f>
        <v> </v>
      </c>
      <c r="AC1087" s="95" t="n">
        <f aca="false">IFERROR((T1087)/((T1087)+O1087),0)</f>
        <v>0</v>
      </c>
      <c r="AD1087" s="96" t="n">
        <f aca="false">IFERROR(Q1087/(Q1087+N1087),0)</f>
        <v>0</v>
      </c>
      <c r="AE1087" s="91" t="n">
        <f aca="false">(N1087-T1087)/N1087</f>
        <v>1</v>
      </c>
      <c r="AF1087" s="97" t="n">
        <f aca="false">BR1087</f>
        <v>0.666666666666667</v>
      </c>
      <c r="AG1087" s="98" t="n">
        <f aca="false">K1087-AF1087</f>
        <v>7.33333333333333</v>
      </c>
      <c r="AH1087" s="99" t="n">
        <f aca="false">IFERROR(AG1087/K1087," ")</f>
        <v>0.916666666666667</v>
      </c>
      <c r="AI1087" s="100" t="n">
        <f aca="false">IFERROR(O1087/K1087,0)</f>
        <v>875</v>
      </c>
      <c r="AJ1087" s="101" t="n">
        <f aca="false">VLOOKUP(D1087,'Standard Cycle time'!C:D,2,0)</f>
        <v>3.5</v>
      </c>
      <c r="AK1087" s="101" t="n">
        <f aca="false">AG1087*V1087*3600/O1087</f>
        <v>3.77142857142857</v>
      </c>
      <c r="AL1087" s="102" t="n">
        <f aca="false">AJ1087/AK1087</f>
        <v>0.928030303030303</v>
      </c>
      <c r="AM1087" s="99" t="n">
        <f aca="false">AE1087*AL1087*AH1087</f>
        <v>0.850694444444444</v>
      </c>
      <c r="AN1087" s="103" t="n">
        <v>0.850694444444444</v>
      </c>
      <c r="AO1087" s="112"/>
      <c r="AP1087" s="105" t="n">
        <v>40</v>
      </c>
      <c r="AQ1087" s="105" t="n">
        <v>0</v>
      </c>
      <c r="AR1087" s="105" t="n">
        <v>0</v>
      </c>
      <c r="AS1087" s="105" t="n">
        <v>0</v>
      </c>
      <c r="AT1087" s="105" t="n">
        <v>0</v>
      </c>
      <c r="AU1087" s="105" t="n">
        <v>0</v>
      </c>
      <c r="AV1087" s="105" t="n">
        <v>0</v>
      </c>
      <c r="AW1087" s="105" t="n">
        <v>0</v>
      </c>
      <c r="AX1087" s="105" t="n">
        <v>0</v>
      </c>
      <c r="AY1087" s="105" t="n">
        <v>0</v>
      </c>
      <c r="AZ1087" s="105" t="n">
        <v>0</v>
      </c>
      <c r="BA1087" s="105" t="n">
        <v>0</v>
      </c>
      <c r="BB1087" s="105" t="n">
        <v>0</v>
      </c>
      <c r="BC1087" s="105" t="n">
        <v>0</v>
      </c>
      <c r="BD1087" s="105" t="n">
        <v>0</v>
      </c>
      <c r="BE1087" s="105" t="n">
        <v>0</v>
      </c>
      <c r="BF1087" s="105" t="n">
        <v>0</v>
      </c>
      <c r="BG1087" s="105" t="n">
        <v>0</v>
      </c>
      <c r="BH1087" s="105" t="n">
        <v>0</v>
      </c>
      <c r="BI1087" s="105" t="n">
        <v>0</v>
      </c>
      <c r="BJ1087" s="105" t="n">
        <v>0</v>
      </c>
      <c r="BK1087" s="105" t="n">
        <v>0</v>
      </c>
      <c r="BL1087" s="105" t="n">
        <v>0</v>
      </c>
      <c r="BM1087" s="105" t="n">
        <v>0</v>
      </c>
      <c r="BN1087" s="105" t="n">
        <v>0</v>
      </c>
      <c r="BO1087" s="105" t="n">
        <v>0</v>
      </c>
      <c r="BP1087" s="105" t="n">
        <v>0</v>
      </c>
      <c r="BQ1087" s="105" t="n">
        <v>0</v>
      </c>
      <c r="BR1087" s="106" t="n">
        <v>0.666666666666667</v>
      </c>
      <c r="BS1087" s="106" t="n">
        <v>0.666666666666667</v>
      </c>
      <c r="BT1087" s="107"/>
      <c r="BU1087" s="107"/>
      <c r="BV1087" s="107"/>
      <c r="BW1087" s="107"/>
      <c r="BX1087" s="107"/>
      <c r="BY1087" s="107"/>
      <c r="BZ1087" s="107"/>
      <c r="CA1087" s="107"/>
      <c r="CB1087" s="107"/>
      <c r="CC1087" s="107"/>
      <c r="CD1087" s="107"/>
      <c r="CE1087" s="107"/>
      <c r="CF1087" s="107"/>
      <c r="CG1087" s="107"/>
      <c r="CH1087" s="107"/>
      <c r="CI1087" s="107"/>
      <c r="CJ1087" s="107"/>
      <c r="CK1087" s="107"/>
      <c r="CL1087" s="107"/>
      <c r="CM1087" s="107"/>
      <c r="CN1087" s="107"/>
      <c r="CO1087" s="107"/>
      <c r="CP1087" s="107"/>
      <c r="CQ1087" s="107"/>
      <c r="CR1087" s="107"/>
      <c r="CS1087" s="107"/>
      <c r="CT1087" s="107"/>
      <c r="CU1087" s="107"/>
      <c r="CV1087" s="107"/>
    </row>
    <row r="1088" customFormat="false" ht="14.9" hidden="false" customHeight="false" outlineLevel="0" collapsed="false">
      <c r="A1088" s="74" t="n">
        <f aca="false">MONTH(B1088)</f>
        <v>10</v>
      </c>
      <c r="B1088" s="135" t="n">
        <v>44498</v>
      </c>
      <c r="C1088" s="128" t="s">
        <v>51</v>
      </c>
      <c r="D1088" s="77" t="str">
        <f aca="false">IFERROR(VLOOKUP(E:E,'Item Data Support Sheet'!A:O,7,0),"")</f>
        <v>HOOD MOLDED</v>
      </c>
      <c r="E1088" s="80" t="s">
        <v>529</v>
      </c>
      <c r="F1088" s="122"/>
      <c r="G1088" s="137" t="s">
        <v>740</v>
      </c>
      <c r="H1088" s="79" t="str">
        <f aca="false">IFERROR(VLOOKUP(E:E,'Item Data Support Sheet'!A:O,2,0),"")</f>
        <v>HOOD S TYPE MOLDED</v>
      </c>
      <c r="I1088" s="80" t="s">
        <v>1869</v>
      </c>
      <c r="J1088" s="80" t="s">
        <v>815</v>
      </c>
      <c r="K1088" s="124" t="n">
        <v>8</v>
      </c>
      <c r="L1088" s="124" t="n">
        <v>4137</v>
      </c>
      <c r="M1088" s="83" t="n">
        <v>517.125</v>
      </c>
      <c r="N1088" s="84" t="n">
        <f aca="false">+O1088+Q1088+T1088+U1088</f>
        <v>5012</v>
      </c>
      <c r="O1088" s="85" t="n">
        <v>5000</v>
      </c>
      <c r="P1088" s="86" t="n">
        <v>0</v>
      </c>
      <c r="Q1088" s="86" t="n">
        <v>0</v>
      </c>
      <c r="R1088" s="132" t="n">
        <v>0</v>
      </c>
      <c r="S1088" s="128" t="n">
        <v>0</v>
      </c>
      <c r="T1088" s="132" t="n">
        <v>4</v>
      </c>
      <c r="U1088" s="128" t="n">
        <v>8</v>
      </c>
      <c r="V1088" s="128" t="n">
        <v>1</v>
      </c>
      <c r="W1088" s="90" t="n">
        <f aca="false">IFERROR(O1088/V1088,0)</f>
        <v>5000</v>
      </c>
      <c r="X1088" s="91" t="n">
        <f aca="false">O1088/L1088</f>
        <v>1.20860526951898</v>
      </c>
      <c r="Y1088" s="92" t="str">
        <f aca="false">IFERROR(VLOOKUP(E:E,'Item Data Support Sheet'!A:J,6,0),0)</f>
        <v>HMC</v>
      </c>
      <c r="Z1088" s="93" t="n">
        <f aca="false">IFERROR(VLOOKUP(E:E,'Item Data Support Sheet'!A:O,4,0),0)</f>
        <v>8.6</v>
      </c>
      <c r="AA1088" s="93" t="n">
        <f aca="false">IFERROR(((N1088)*(Z1088/1000))+P1088,0)</f>
        <v>43.1032</v>
      </c>
      <c r="AB1088" s="94" t="n">
        <f aca="false">IFERROR((O1088*(Z1088/1000)/(AA1088))," ")</f>
        <v>0.997605746209098</v>
      </c>
      <c r="AC1088" s="95" t="n">
        <f aca="false">IFERROR((T1088)/((T1088)+O1088),0)</f>
        <v>0.000799360511590727</v>
      </c>
      <c r="AD1088" s="96" t="n">
        <f aca="false">IFERROR(Q1088/(Q1088+N1088),0)</f>
        <v>0</v>
      </c>
      <c r="AE1088" s="91" t="n">
        <f aca="false">(N1088-T1088)/N1088</f>
        <v>0.999201915403033</v>
      </c>
      <c r="AF1088" s="97" t="n">
        <f aca="false">BR1088</f>
        <v>0</v>
      </c>
      <c r="AG1088" s="98" t="n">
        <f aca="false">K1088-AF1088</f>
        <v>8</v>
      </c>
      <c r="AH1088" s="99" t="n">
        <f aca="false">IFERROR(AG1088/K1088," ")</f>
        <v>1</v>
      </c>
      <c r="AI1088" s="100" t="n">
        <f aca="false">IFERROR(O1088/K1088,0)</f>
        <v>625</v>
      </c>
      <c r="AJ1088" s="101" t="n">
        <f aca="false">VLOOKUP(D1088,'Standard Cycle time'!C:D,2,0)</f>
        <v>6</v>
      </c>
      <c r="AK1088" s="101" t="n">
        <f aca="false">AG1088*V1088*3600/O1088</f>
        <v>5.76</v>
      </c>
      <c r="AL1088" s="102" t="n">
        <f aca="false">AJ1088/AK1088</f>
        <v>1.04166666666667</v>
      </c>
      <c r="AM1088" s="99" t="n">
        <f aca="false">AE1088*AL1088*AH1088</f>
        <v>1.04083532854483</v>
      </c>
      <c r="AN1088" s="103" t="n">
        <v>1.04107142857143</v>
      </c>
      <c r="AO1088" s="112"/>
      <c r="AP1088" s="105" t="n">
        <v>0</v>
      </c>
      <c r="AQ1088" s="105" t="n">
        <v>0</v>
      </c>
      <c r="AR1088" s="105" t="n">
        <v>0</v>
      </c>
      <c r="AS1088" s="105" t="n">
        <v>0</v>
      </c>
      <c r="AT1088" s="105" t="n">
        <v>0</v>
      </c>
      <c r="AU1088" s="105" t="n">
        <v>0</v>
      </c>
      <c r="AV1088" s="105" t="n">
        <v>0</v>
      </c>
      <c r="AW1088" s="105" t="n">
        <v>0</v>
      </c>
      <c r="AX1088" s="105" t="n">
        <v>0</v>
      </c>
      <c r="AY1088" s="105" t="n">
        <v>0</v>
      </c>
      <c r="AZ1088" s="105" t="n">
        <v>0</v>
      </c>
      <c r="BA1088" s="105" t="n">
        <v>0</v>
      </c>
      <c r="BB1088" s="105" t="n">
        <v>0</v>
      </c>
      <c r="BC1088" s="105" t="n">
        <v>0</v>
      </c>
      <c r="BD1088" s="105" t="n">
        <v>0</v>
      </c>
      <c r="BE1088" s="105" t="n">
        <v>0</v>
      </c>
      <c r="BF1088" s="105" t="n">
        <v>0</v>
      </c>
      <c r="BG1088" s="105" t="n">
        <v>0</v>
      </c>
      <c r="BH1088" s="105" t="n">
        <v>0</v>
      </c>
      <c r="BI1088" s="105" t="n">
        <v>0</v>
      </c>
      <c r="BJ1088" s="105" t="n">
        <v>0</v>
      </c>
      <c r="BK1088" s="105" t="n">
        <v>0</v>
      </c>
      <c r="BL1088" s="105" t="n">
        <v>0</v>
      </c>
      <c r="BM1088" s="105" t="n">
        <v>0</v>
      </c>
      <c r="BN1088" s="105" t="n">
        <v>0</v>
      </c>
      <c r="BO1088" s="105" t="n">
        <v>0</v>
      </c>
      <c r="BP1088" s="105" t="n">
        <v>0</v>
      </c>
      <c r="BQ1088" s="105" t="n">
        <v>0</v>
      </c>
      <c r="BR1088" s="106" t="n">
        <v>0</v>
      </c>
      <c r="BS1088" s="106" t="n">
        <v>0</v>
      </c>
      <c r="BT1088" s="107"/>
      <c r="BU1088" s="107"/>
      <c r="BV1088" s="107"/>
      <c r="BW1088" s="107"/>
      <c r="BX1088" s="107"/>
      <c r="BY1088" s="107"/>
      <c r="BZ1088" s="107"/>
      <c r="CA1088" s="107"/>
      <c r="CB1088" s="107"/>
      <c r="CC1088" s="107"/>
      <c r="CD1088" s="107"/>
      <c r="CE1088" s="107"/>
      <c r="CF1088" s="107"/>
      <c r="CG1088" s="107"/>
      <c r="CH1088" s="107"/>
      <c r="CI1088" s="107"/>
      <c r="CJ1088" s="107"/>
      <c r="CK1088" s="107"/>
      <c r="CL1088" s="107"/>
      <c r="CM1088" s="107"/>
      <c r="CN1088" s="107"/>
      <c r="CO1088" s="107"/>
      <c r="CP1088" s="107"/>
      <c r="CQ1088" s="107"/>
      <c r="CR1088" s="107"/>
      <c r="CS1088" s="107"/>
      <c r="CT1088" s="107"/>
      <c r="CU1088" s="107"/>
      <c r="CV1088" s="107"/>
    </row>
    <row r="1089" customFormat="false" ht="14.9" hidden="false" customHeight="false" outlineLevel="0" collapsed="false">
      <c r="A1089" s="74" t="n">
        <f aca="false">MONTH(B1089)</f>
        <v>10</v>
      </c>
      <c r="B1089" s="135" t="n">
        <v>44498</v>
      </c>
      <c r="C1089" s="128" t="s">
        <v>51</v>
      </c>
      <c r="D1089" s="77" t="str">
        <f aca="false">IFERROR(VLOOKUP(E:E,'Item Data Support Sheet'!A:O,7,0),"")</f>
        <v>NIPPLE MOLDED</v>
      </c>
      <c r="E1089" s="80" t="s">
        <v>244</v>
      </c>
      <c r="F1089" s="122" t="s">
        <v>137</v>
      </c>
      <c r="G1089" s="137" t="s">
        <v>138</v>
      </c>
      <c r="H1089" s="79" t="str">
        <f aca="false">IFERROR(VLOOKUP(E:E,'Item Data Support Sheet'!A:O,2,0),"")</f>
        <v>NIPPLE S TYPE S SIZE INJECTION</v>
      </c>
      <c r="I1089" s="80" t="s">
        <v>1870</v>
      </c>
      <c r="J1089" s="80" t="s">
        <v>815</v>
      </c>
      <c r="K1089" s="124" t="n">
        <v>8</v>
      </c>
      <c r="L1089" s="124" t="n">
        <v>4815</v>
      </c>
      <c r="M1089" s="83" t="n">
        <v>601.875</v>
      </c>
      <c r="N1089" s="84" t="n">
        <f aca="false">+O1089+Q1089+T1089+U1089</f>
        <v>5440</v>
      </c>
      <c r="O1089" s="85" t="n">
        <v>5400</v>
      </c>
      <c r="P1089" s="86" t="n">
        <v>0</v>
      </c>
      <c r="Q1089" s="86" t="n">
        <v>0</v>
      </c>
      <c r="R1089" s="132" t="n">
        <v>0</v>
      </c>
      <c r="S1089" s="128" t="n">
        <v>0</v>
      </c>
      <c r="T1089" s="132" t="n">
        <v>32</v>
      </c>
      <c r="U1089" s="128" t="n">
        <v>8</v>
      </c>
      <c r="V1089" s="128" t="n">
        <v>1</v>
      </c>
      <c r="W1089" s="90" t="n">
        <f aca="false">IFERROR(O1089/V1089,0)</f>
        <v>5400</v>
      </c>
      <c r="X1089" s="91" t="n">
        <f aca="false">O1089/L1089</f>
        <v>1.1214953271028</v>
      </c>
      <c r="Y1089" s="92" t="str">
        <f aca="false">IFERROR(VLOOKUP(E:E,'Item Data Support Sheet'!A:J,6,0),0)</f>
        <v>Silicon</v>
      </c>
      <c r="Z1089" s="93" t="n">
        <f aca="false">IFERROR(VLOOKUP(E:E,'Item Data Support Sheet'!A:O,4,0),0)</f>
        <v>6.8</v>
      </c>
      <c r="AA1089" s="93" t="n">
        <f aca="false">IFERROR(((N1089)*(Z1089/1000))+P1089,0)</f>
        <v>36.992</v>
      </c>
      <c r="AB1089" s="94" t="n">
        <f aca="false">IFERROR((O1089*(Z1089/1000)/(AA1089))," ")</f>
        <v>0.992647058823529</v>
      </c>
      <c r="AC1089" s="95" t="n">
        <f aca="false">IFERROR((T1089)/((T1089)+O1089),0)</f>
        <v>0.00589101620029455</v>
      </c>
      <c r="AD1089" s="96" t="n">
        <f aca="false">IFERROR(Q1089/(Q1089+N1089),0)</f>
        <v>0</v>
      </c>
      <c r="AE1089" s="91" t="n">
        <f aca="false">(N1089-T1089)/N1089</f>
        <v>0.994117647058824</v>
      </c>
      <c r="AF1089" s="97" t="n">
        <f aca="false">BR1089</f>
        <v>0</v>
      </c>
      <c r="AG1089" s="98" t="n">
        <f aca="false">K1089-AF1089</f>
        <v>8</v>
      </c>
      <c r="AH1089" s="99" t="n">
        <f aca="false">IFERROR(AG1089/K1089," ")</f>
        <v>1</v>
      </c>
      <c r="AI1089" s="100" t="n">
        <f aca="false">IFERROR(O1089/K1089,0)</f>
        <v>675</v>
      </c>
      <c r="AJ1089" s="101" t="n">
        <f aca="false">VLOOKUP(D1089,'Standard Cycle time'!C:D,2,0)</f>
        <v>5.25</v>
      </c>
      <c r="AK1089" s="101" t="n">
        <f aca="false">AG1089*V1089*3600/O1089</f>
        <v>5.33333333333333</v>
      </c>
      <c r="AL1089" s="102" t="n">
        <f aca="false">AJ1089/AK1089</f>
        <v>0.984375</v>
      </c>
      <c r="AM1089" s="99" t="n">
        <f aca="false">AE1089*AL1089*AH1089</f>
        <v>0.978584558823529</v>
      </c>
      <c r="AN1089" s="103" t="n">
        <v>0.978090083798883</v>
      </c>
      <c r="AO1089" s="112"/>
      <c r="AP1089" s="105" t="n">
        <v>0</v>
      </c>
      <c r="AQ1089" s="105" t="n">
        <v>0</v>
      </c>
      <c r="AR1089" s="105" t="n">
        <v>0</v>
      </c>
      <c r="AS1089" s="105" t="n">
        <v>0</v>
      </c>
      <c r="AT1089" s="105" t="n">
        <v>0</v>
      </c>
      <c r="AU1089" s="105" t="n">
        <v>0</v>
      </c>
      <c r="AV1089" s="105" t="n">
        <v>0</v>
      </c>
      <c r="AW1089" s="105" t="n">
        <v>0</v>
      </c>
      <c r="AX1089" s="105" t="n">
        <v>0</v>
      </c>
      <c r="AY1089" s="105" t="n">
        <v>0</v>
      </c>
      <c r="AZ1089" s="105" t="n">
        <v>0</v>
      </c>
      <c r="BA1089" s="105" t="n">
        <v>0</v>
      </c>
      <c r="BB1089" s="105" t="n">
        <v>0</v>
      </c>
      <c r="BC1089" s="105" t="n">
        <v>0</v>
      </c>
      <c r="BD1089" s="105" t="n">
        <v>0</v>
      </c>
      <c r="BE1089" s="105" t="n">
        <v>0</v>
      </c>
      <c r="BF1089" s="105" t="n">
        <v>0</v>
      </c>
      <c r="BG1089" s="105" t="n">
        <v>0</v>
      </c>
      <c r="BH1089" s="105" t="n">
        <v>0</v>
      </c>
      <c r="BI1089" s="105" t="n">
        <v>0</v>
      </c>
      <c r="BJ1089" s="105" t="n">
        <v>0</v>
      </c>
      <c r="BK1089" s="105" t="n">
        <v>0</v>
      </c>
      <c r="BL1089" s="105" t="n">
        <v>0</v>
      </c>
      <c r="BM1089" s="105" t="n">
        <v>0</v>
      </c>
      <c r="BN1089" s="105" t="n">
        <v>0</v>
      </c>
      <c r="BO1089" s="105" t="n">
        <v>0</v>
      </c>
      <c r="BP1089" s="105" t="n">
        <v>0</v>
      </c>
      <c r="BQ1089" s="105" t="n">
        <v>0</v>
      </c>
      <c r="BR1089" s="106" t="n">
        <v>0</v>
      </c>
      <c r="BS1089" s="106" t="n">
        <v>0</v>
      </c>
      <c r="BT1089" s="107"/>
      <c r="BU1089" s="107"/>
      <c r="BV1089" s="107"/>
      <c r="BW1089" s="107"/>
      <c r="BX1089" s="107"/>
      <c r="BY1089" s="107"/>
      <c r="BZ1089" s="107"/>
      <c r="CA1089" s="107"/>
      <c r="CB1089" s="107"/>
      <c r="CC1089" s="107"/>
      <c r="CD1089" s="107"/>
      <c r="CE1089" s="107"/>
      <c r="CF1089" s="107"/>
      <c r="CG1089" s="107"/>
      <c r="CH1089" s="107"/>
      <c r="CI1089" s="107"/>
      <c r="CJ1089" s="107"/>
      <c r="CK1089" s="107"/>
      <c r="CL1089" s="107"/>
      <c r="CM1089" s="107"/>
      <c r="CN1089" s="107"/>
      <c r="CO1089" s="107"/>
      <c r="CP1089" s="107"/>
      <c r="CQ1089" s="107"/>
      <c r="CR1089" s="107"/>
      <c r="CS1089" s="107"/>
      <c r="CT1089" s="107"/>
      <c r="CU1089" s="107"/>
      <c r="CV1089" s="107"/>
    </row>
    <row r="1090" customFormat="false" ht="14.9" hidden="false" customHeight="false" outlineLevel="0" collapsed="false">
      <c r="A1090" s="74" t="n">
        <f aca="false">MONTH(B1090)</f>
        <v>10</v>
      </c>
      <c r="B1090" s="135" t="n">
        <v>44498</v>
      </c>
      <c r="C1090" s="128" t="s">
        <v>51</v>
      </c>
      <c r="D1090" s="77" t="str">
        <f aca="false">IFERROR(VLOOKUP(E:E,'Item Data Support Sheet'!A:O,7,0),"")</f>
        <v>BOTTLE PRINTED</v>
      </c>
      <c r="E1090" s="80" t="s">
        <v>65</v>
      </c>
      <c r="F1090" s="122"/>
      <c r="G1090" s="137"/>
      <c r="H1090" s="79" t="str">
        <f aca="false">IFERROR(VLOOKUP(E:E,'Item Data Support Sheet'!A:O,2,0),"")</f>
        <v>KPP 240 ML BOTTLE PRINTED</v>
      </c>
      <c r="I1090" s="80" t="s">
        <v>1871</v>
      </c>
      <c r="J1090" s="80" t="s">
        <v>161</v>
      </c>
      <c r="K1090" s="124" t="n">
        <v>8</v>
      </c>
      <c r="L1090" s="124" t="n">
        <v>5120</v>
      </c>
      <c r="M1090" s="83" t="n">
        <v>640</v>
      </c>
      <c r="N1090" s="84" t="n">
        <f aca="false">+O1090+Q1090+T1090+U1090</f>
        <v>3605</v>
      </c>
      <c r="O1090" s="85" t="n">
        <v>3564</v>
      </c>
      <c r="P1090" s="86" t="n">
        <v>0</v>
      </c>
      <c r="Q1090" s="86" t="n">
        <v>0</v>
      </c>
      <c r="R1090" s="132" t="n">
        <v>49</v>
      </c>
      <c r="S1090" s="128" t="n">
        <v>0</v>
      </c>
      <c r="T1090" s="132" t="n">
        <v>41</v>
      </c>
      <c r="U1090" s="128" t="n">
        <v>0</v>
      </c>
      <c r="V1090" s="128" t="n">
        <v>4.5</v>
      </c>
      <c r="W1090" s="90" t="n">
        <f aca="false">IFERROR(O1090/V1090,0)</f>
        <v>792</v>
      </c>
      <c r="X1090" s="91" t="n">
        <f aca="false">O1090/L1090</f>
        <v>0.69609375</v>
      </c>
      <c r="Y1090" s="92" t="str">
        <f aca="false">IFERROR(VLOOKUP(E:E,'Item Data Support Sheet'!A:J,6,0),0)</f>
        <v>FO003</v>
      </c>
      <c r="Z1090" s="93" t="n">
        <f aca="false">IFERROR(VLOOKUP(E:E,'Item Data Support Sheet'!A:O,4,0),0)</f>
        <v>0</v>
      </c>
      <c r="AA1090" s="93" t="n">
        <f aca="false">IFERROR(((N1090)*(Z1090/1000))+P1090,0)</f>
        <v>0</v>
      </c>
      <c r="AB1090" s="94" t="str">
        <f aca="false">IFERROR((O1090*(Z1090/1000)/(AA1090))," ")</f>
        <v> </v>
      </c>
      <c r="AC1090" s="95" t="n">
        <f aca="false">IFERROR((T1090)/((T1090)+O1090),0)</f>
        <v>0.011373092926491</v>
      </c>
      <c r="AD1090" s="96" t="n">
        <f aca="false">IFERROR(Q1090/(Q1090+N1090),0)</f>
        <v>0</v>
      </c>
      <c r="AE1090" s="91" t="n">
        <f aca="false">(N1090-T1090)/N1090</f>
        <v>0.988626907073509</v>
      </c>
      <c r="AF1090" s="97" t="n">
        <f aca="false">BR1090</f>
        <v>1</v>
      </c>
      <c r="AG1090" s="98" t="n">
        <f aca="false">K1090-AF1090</f>
        <v>7</v>
      </c>
      <c r="AH1090" s="99" t="n">
        <f aca="false">IFERROR(AG1090/K1090," ")</f>
        <v>0.875</v>
      </c>
      <c r="AI1090" s="100" t="n">
        <f aca="false">IFERROR(O1090/K1090,0)</f>
        <v>445.5</v>
      </c>
      <c r="AJ1090" s="101" t="n">
        <f aca="false">VLOOKUP(D1090,'Standard Cycle time'!C:D,2,0)</f>
        <v>32.4</v>
      </c>
      <c r="AK1090" s="101" t="n">
        <f aca="false">AG1090*V1090*3600/O1090</f>
        <v>31.8181818181818</v>
      </c>
      <c r="AL1090" s="102" t="n">
        <f aca="false">AJ1090/AK1090</f>
        <v>1.01828571428571</v>
      </c>
      <c r="AM1090" s="99" t="n">
        <f aca="false">AE1090*AL1090*AH1090</f>
        <v>0.880866574202496</v>
      </c>
      <c r="AN1090" s="103" t="n">
        <v>0.884284742647059</v>
      </c>
      <c r="AO1090" s="112" t="s">
        <v>1872</v>
      </c>
      <c r="AP1090" s="105" t="n">
        <v>0</v>
      </c>
      <c r="AQ1090" s="105" t="n">
        <v>0</v>
      </c>
      <c r="AR1090" s="105" t="n">
        <v>0</v>
      </c>
      <c r="AS1090" s="105" t="n">
        <v>0</v>
      </c>
      <c r="AT1090" s="105" t="n">
        <v>0</v>
      </c>
      <c r="AU1090" s="105" t="n">
        <v>0</v>
      </c>
      <c r="AV1090" s="105" t="n">
        <v>60</v>
      </c>
      <c r="AW1090" s="105" t="n">
        <v>0</v>
      </c>
      <c r="AX1090" s="105" t="n">
        <v>0</v>
      </c>
      <c r="AY1090" s="105" t="n">
        <v>0</v>
      </c>
      <c r="AZ1090" s="105" t="n">
        <v>0</v>
      </c>
      <c r="BA1090" s="105" t="n">
        <v>0</v>
      </c>
      <c r="BB1090" s="105" t="n">
        <v>0</v>
      </c>
      <c r="BC1090" s="105" t="n">
        <v>0</v>
      </c>
      <c r="BD1090" s="105" t="n">
        <v>0</v>
      </c>
      <c r="BE1090" s="105" t="n">
        <v>0</v>
      </c>
      <c r="BF1090" s="105" t="n">
        <v>0</v>
      </c>
      <c r="BG1090" s="105" t="n">
        <v>0</v>
      </c>
      <c r="BH1090" s="105" t="n">
        <v>0</v>
      </c>
      <c r="BI1090" s="105" t="n">
        <v>0</v>
      </c>
      <c r="BJ1090" s="105" t="n">
        <v>0</v>
      </c>
      <c r="BK1090" s="105" t="n">
        <v>0</v>
      </c>
      <c r="BL1090" s="105" t="n">
        <v>0</v>
      </c>
      <c r="BM1090" s="105" t="n">
        <v>0</v>
      </c>
      <c r="BN1090" s="105" t="n">
        <v>0</v>
      </c>
      <c r="BO1090" s="105" t="n">
        <v>0</v>
      </c>
      <c r="BP1090" s="105" t="n">
        <v>0</v>
      </c>
      <c r="BQ1090" s="105" t="n">
        <v>0</v>
      </c>
      <c r="BR1090" s="106" t="n">
        <v>1</v>
      </c>
      <c r="BS1090" s="106" t="n">
        <v>1</v>
      </c>
      <c r="BT1090" s="107"/>
      <c r="BU1090" s="107"/>
      <c r="BV1090" s="107"/>
      <c r="BW1090" s="107"/>
      <c r="BX1090" s="107"/>
      <c r="BY1090" s="107"/>
      <c r="BZ1090" s="107"/>
      <c r="CA1090" s="107"/>
      <c r="CB1090" s="107"/>
      <c r="CC1090" s="107"/>
      <c r="CD1090" s="107"/>
      <c r="CE1090" s="107"/>
      <c r="CF1090" s="107"/>
      <c r="CG1090" s="107"/>
      <c r="CH1090" s="107"/>
      <c r="CI1090" s="107"/>
      <c r="CJ1090" s="107"/>
      <c r="CK1090" s="107"/>
      <c r="CL1090" s="107"/>
      <c r="CM1090" s="107"/>
      <c r="CN1090" s="107"/>
      <c r="CO1090" s="107"/>
      <c r="CP1090" s="107"/>
      <c r="CQ1090" s="107"/>
      <c r="CR1090" s="107"/>
      <c r="CS1090" s="107"/>
      <c r="CT1090" s="107"/>
      <c r="CU1090" s="107"/>
      <c r="CV1090" s="107"/>
    </row>
    <row r="1091" customFormat="false" ht="14.9" hidden="false" customHeight="false" outlineLevel="0" collapsed="false">
      <c r="A1091" s="74" t="n">
        <f aca="false">MONTH(B1091)</f>
        <v>10</v>
      </c>
      <c r="B1091" s="135" t="n">
        <v>44498</v>
      </c>
      <c r="C1091" s="128" t="s">
        <v>63</v>
      </c>
      <c r="D1091" s="77" t="str">
        <f aca="false">IFERROR(VLOOKUP(E:E,'Item Data Support Sheet'!A:O,7,0),"")</f>
        <v>NIPPLE WRAP PRINTED</v>
      </c>
      <c r="E1091" s="80" t="s">
        <v>431</v>
      </c>
      <c r="F1091" s="122"/>
      <c r="G1091" s="137" t="s">
        <v>432</v>
      </c>
      <c r="H1091" s="79" t="str">
        <f aca="false">IFERROR(VLOOKUP(E:E,'Item Data Support Sheet'!A:O,2,0),"")</f>
        <v>NIPPLE S TYPE M SIZE WITH PRINTED WRAP</v>
      </c>
      <c r="I1091" s="80" t="s">
        <v>1745</v>
      </c>
      <c r="J1091" s="80" t="s">
        <v>155</v>
      </c>
      <c r="K1091" s="124" t="n">
        <v>4</v>
      </c>
      <c r="L1091" s="124" t="n">
        <v>8886</v>
      </c>
      <c r="M1091" s="83" t="n">
        <v>2221.5</v>
      </c>
      <c r="N1091" s="84" t="n">
        <f aca="false">+O1091+Q1091+T1091+U1091</f>
        <v>8277</v>
      </c>
      <c r="O1091" s="85" t="n">
        <v>8270</v>
      </c>
      <c r="P1091" s="86" t="n">
        <v>0</v>
      </c>
      <c r="Q1091" s="86" t="n">
        <v>0</v>
      </c>
      <c r="R1091" s="132" t="n">
        <v>0</v>
      </c>
      <c r="S1091" s="128" t="n">
        <v>0</v>
      </c>
      <c r="T1091" s="132" t="n">
        <v>7</v>
      </c>
      <c r="U1091" s="128" t="n">
        <v>0</v>
      </c>
      <c r="V1091" s="128" t="n">
        <v>2</v>
      </c>
      <c r="W1091" s="90" t="n">
        <f aca="false">IFERROR(O1091/V1091,0)</f>
        <v>4135</v>
      </c>
      <c r="X1091" s="91" t="n">
        <f aca="false">O1091/L1091</f>
        <v>0.930677470177808</v>
      </c>
      <c r="Y1091" s="92" t="str">
        <f aca="false">IFERROR(VLOOKUP(E:E,'Item Data Support Sheet'!A:J,6,0),0)</f>
        <v>FO020</v>
      </c>
      <c r="Z1091" s="93" t="n">
        <f aca="false">IFERROR(VLOOKUP(E:E,'Item Data Support Sheet'!A:O,4,0),0)</f>
        <v>0</v>
      </c>
      <c r="AA1091" s="93" t="n">
        <f aca="false">IFERROR(((N1091)*(Z1091/1000))+P1091,0)</f>
        <v>0</v>
      </c>
      <c r="AB1091" s="94" t="str">
        <f aca="false">IFERROR((O1091*(Z1091/1000)/(AA1091))," ")</f>
        <v> </v>
      </c>
      <c r="AC1091" s="95" t="n">
        <f aca="false">IFERROR((T1091)/((T1091)+O1091),0)</f>
        <v>0.000845717047239338</v>
      </c>
      <c r="AD1091" s="96" t="n">
        <f aca="false">IFERROR(Q1091/(Q1091+N1091),0)</f>
        <v>0</v>
      </c>
      <c r="AE1091" s="91" t="n">
        <f aca="false">(N1091-T1091)/N1091</f>
        <v>0.999154282952761</v>
      </c>
      <c r="AF1091" s="97" t="n">
        <f aca="false">BR1091</f>
        <v>0.833333333333333</v>
      </c>
      <c r="AG1091" s="98" t="n">
        <f aca="false">K1091-AF1091</f>
        <v>3.16666666666667</v>
      </c>
      <c r="AH1091" s="99" t="n">
        <f aca="false">IFERROR(AG1091/K1091," ")</f>
        <v>0.791666666666667</v>
      </c>
      <c r="AI1091" s="100" t="n">
        <f aca="false">IFERROR(O1091/K1091,0)</f>
        <v>2067.5</v>
      </c>
      <c r="AJ1091" s="101" t="n">
        <f aca="false">VLOOKUP(D1091,'Standard Cycle time'!C:D,2,0)</f>
        <v>2.5</v>
      </c>
      <c r="AK1091" s="101" t="n">
        <f aca="false">AG1091*V1091*3600/O1091</f>
        <v>2.75695284159613</v>
      </c>
      <c r="AL1091" s="102" t="n">
        <f aca="false">AJ1091/AK1091</f>
        <v>0.906798245614035</v>
      </c>
      <c r="AM1091" s="99" t="n">
        <f aca="false">AE1091*AL1091*AH1091</f>
        <v>0.717274819446122</v>
      </c>
      <c r="AN1091" s="103" t="n">
        <v>0.716487998921251</v>
      </c>
      <c r="AO1091" s="112"/>
      <c r="AP1091" s="105" t="n">
        <v>50</v>
      </c>
      <c r="AQ1091" s="105" t="n">
        <v>0</v>
      </c>
      <c r="AR1091" s="105" t="n">
        <v>0</v>
      </c>
      <c r="AS1091" s="105" t="n">
        <v>0</v>
      </c>
      <c r="AT1091" s="105" t="n">
        <v>0</v>
      </c>
      <c r="AU1091" s="105" t="n">
        <v>0</v>
      </c>
      <c r="AV1091" s="105" t="n">
        <v>0</v>
      </c>
      <c r="AW1091" s="105" t="n">
        <v>0</v>
      </c>
      <c r="AX1091" s="105" t="n">
        <v>0</v>
      </c>
      <c r="AY1091" s="105" t="n">
        <v>0</v>
      </c>
      <c r="AZ1091" s="105" t="n">
        <v>0</v>
      </c>
      <c r="BA1091" s="105" t="n">
        <v>0</v>
      </c>
      <c r="BB1091" s="105" t="n">
        <v>0</v>
      </c>
      <c r="BC1091" s="105" t="n">
        <v>0</v>
      </c>
      <c r="BD1091" s="105" t="n">
        <v>0</v>
      </c>
      <c r="BE1091" s="105" t="n">
        <v>0</v>
      </c>
      <c r="BF1091" s="105" t="n">
        <v>0</v>
      </c>
      <c r="BG1091" s="105" t="n">
        <v>0</v>
      </c>
      <c r="BH1091" s="105" t="n">
        <v>0</v>
      </c>
      <c r="BI1091" s="105" t="n">
        <v>0</v>
      </c>
      <c r="BJ1091" s="105" t="n">
        <v>0</v>
      </c>
      <c r="BK1091" s="105" t="n">
        <v>0</v>
      </c>
      <c r="BL1091" s="105" t="n">
        <v>0</v>
      </c>
      <c r="BM1091" s="105" t="n">
        <v>0</v>
      </c>
      <c r="BN1091" s="105" t="n">
        <v>0</v>
      </c>
      <c r="BO1091" s="105" t="n">
        <v>0</v>
      </c>
      <c r="BP1091" s="105" t="n">
        <v>0</v>
      </c>
      <c r="BQ1091" s="105" t="n">
        <v>0</v>
      </c>
      <c r="BR1091" s="106" t="n">
        <v>0.833333333333333</v>
      </c>
      <c r="BS1091" s="106" t="n">
        <v>0.833333333333333</v>
      </c>
      <c r="BT1091" s="107"/>
      <c r="BU1091" s="107"/>
      <c r="BV1091" s="107"/>
      <c r="BW1091" s="107"/>
      <c r="BX1091" s="107"/>
      <c r="BY1091" s="107"/>
      <c r="BZ1091" s="107"/>
      <c r="CA1091" s="107"/>
      <c r="CB1091" s="107"/>
      <c r="CC1091" s="107"/>
      <c r="CD1091" s="107"/>
      <c r="CE1091" s="107"/>
      <c r="CF1091" s="107"/>
      <c r="CG1091" s="107"/>
      <c r="CH1091" s="107"/>
      <c r="CI1091" s="107"/>
      <c r="CJ1091" s="107"/>
      <c r="CK1091" s="107"/>
      <c r="CL1091" s="107"/>
      <c r="CM1091" s="107"/>
      <c r="CN1091" s="107"/>
      <c r="CO1091" s="107"/>
      <c r="CP1091" s="107"/>
      <c r="CQ1091" s="107"/>
      <c r="CR1091" s="107"/>
      <c r="CS1091" s="107"/>
      <c r="CT1091" s="107"/>
      <c r="CU1091" s="107"/>
      <c r="CV1091" s="107"/>
    </row>
    <row r="1092" customFormat="false" ht="14.9" hidden="false" customHeight="false" outlineLevel="0" collapsed="false">
      <c r="A1092" s="74" t="n">
        <f aca="false">MONTH(B1092)</f>
        <v>10</v>
      </c>
      <c r="B1092" s="135" t="n">
        <v>44498</v>
      </c>
      <c r="C1092" s="128" t="s">
        <v>63</v>
      </c>
      <c r="D1092" s="77" t="str">
        <f aca="false">IFERROR(VLOOKUP(E:E,'Item Data Support Sheet'!A:O,7,0),"")</f>
        <v>NIPPLE WRAP PRINTED</v>
      </c>
      <c r="E1092" s="80" t="s">
        <v>551</v>
      </c>
      <c r="F1092" s="122"/>
      <c r="G1092" s="137" t="s">
        <v>432</v>
      </c>
      <c r="H1092" s="79" t="str">
        <f aca="false">IFERROR(VLOOKUP(E:E,'Item Data Support Sheet'!A:O,2,0),"")</f>
        <v>NIPPLE S TYPE S SIZE WITH PRINTED WRAP</v>
      </c>
      <c r="I1092" s="80" t="s">
        <v>1859</v>
      </c>
      <c r="J1092" s="80" t="s">
        <v>155</v>
      </c>
      <c r="K1092" s="124" t="n">
        <v>4</v>
      </c>
      <c r="L1092" s="124" t="n">
        <v>8886</v>
      </c>
      <c r="M1092" s="83" t="n">
        <v>2221.5</v>
      </c>
      <c r="N1092" s="84" t="n">
        <f aca="false">+O1092+Q1092+T1092+U1092</f>
        <v>9163</v>
      </c>
      <c r="O1092" s="85" t="n">
        <v>9163</v>
      </c>
      <c r="P1092" s="86" t="n">
        <v>0</v>
      </c>
      <c r="Q1092" s="86" t="n">
        <v>0</v>
      </c>
      <c r="R1092" s="132" t="n">
        <v>0</v>
      </c>
      <c r="S1092" s="128" t="n">
        <v>0</v>
      </c>
      <c r="T1092" s="132" t="n">
        <v>0</v>
      </c>
      <c r="U1092" s="128" t="n">
        <v>0</v>
      </c>
      <c r="V1092" s="128" t="n">
        <v>2</v>
      </c>
      <c r="W1092" s="90" t="n">
        <f aca="false">IFERROR(O1092/V1092,0)</f>
        <v>4581.5</v>
      </c>
      <c r="X1092" s="91" t="n">
        <f aca="false">O1092/L1092</f>
        <v>1.03117263110511</v>
      </c>
      <c r="Y1092" s="92" t="str">
        <f aca="false">IFERROR(VLOOKUP(E:E,'Item Data Support Sheet'!A:J,6,0),0)</f>
        <v>FO108</v>
      </c>
      <c r="Z1092" s="93" t="n">
        <f aca="false">IFERROR(VLOOKUP(E:E,'Item Data Support Sheet'!A:O,4,0),0)</f>
        <v>0</v>
      </c>
      <c r="AA1092" s="93" t="n">
        <f aca="false">IFERROR(((N1092)*(Z1092/1000))+P1092,0)</f>
        <v>0</v>
      </c>
      <c r="AB1092" s="94" t="str">
        <f aca="false">IFERROR((O1092*(Z1092/1000)/(AA1092))," ")</f>
        <v> </v>
      </c>
      <c r="AC1092" s="95" t="n">
        <f aca="false">IFERROR((T1092)/((T1092)+O1092),0)</f>
        <v>0</v>
      </c>
      <c r="AD1092" s="96" t="n">
        <f aca="false">IFERROR(Q1092/(Q1092+N1092),0)</f>
        <v>0</v>
      </c>
      <c r="AE1092" s="91" t="n">
        <f aca="false">(N1092-T1092)/N1092</f>
        <v>1</v>
      </c>
      <c r="AF1092" s="97" t="n">
        <f aca="false">BR1092</f>
        <v>0</v>
      </c>
      <c r="AG1092" s="98" t="n">
        <f aca="false">K1092-AF1092</f>
        <v>4</v>
      </c>
      <c r="AH1092" s="99" t="n">
        <f aca="false">IFERROR(AG1092/K1092," ")</f>
        <v>1</v>
      </c>
      <c r="AI1092" s="100" t="n">
        <f aca="false">IFERROR(O1092/K1092,0)</f>
        <v>2290.75</v>
      </c>
      <c r="AJ1092" s="101" t="n">
        <f aca="false">VLOOKUP(D1092,'Standard Cycle time'!C:D,2,0)</f>
        <v>2.5</v>
      </c>
      <c r="AK1092" s="101" t="n">
        <f aca="false">AG1092*V1092*3600/O1092</f>
        <v>3.14307541198297</v>
      </c>
      <c r="AL1092" s="102" t="n">
        <f aca="false">AJ1092/AK1092</f>
        <v>0.795399305555556</v>
      </c>
      <c r="AM1092" s="99" t="n">
        <f aca="false">AE1092*AL1092*AH1092</f>
        <v>0.795399305555556</v>
      </c>
      <c r="AN1092" s="103" t="n">
        <v>0.795399305555556</v>
      </c>
      <c r="AO1092" s="112"/>
      <c r="AP1092" s="105" t="n">
        <v>0</v>
      </c>
      <c r="AQ1092" s="105" t="n">
        <v>0</v>
      </c>
      <c r="AR1092" s="105" t="n">
        <v>0</v>
      </c>
      <c r="AS1092" s="105" t="n">
        <v>0</v>
      </c>
      <c r="AT1092" s="105" t="n">
        <v>0</v>
      </c>
      <c r="AU1092" s="105" t="n">
        <v>0</v>
      </c>
      <c r="AV1092" s="105" t="n">
        <v>0</v>
      </c>
      <c r="AW1092" s="105" t="n">
        <v>0</v>
      </c>
      <c r="AX1092" s="105" t="n">
        <v>0</v>
      </c>
      <c r="AY1092" s="105" t="n">
        <v>0</v>
      </c>
      <c r="AZ1092" s="105" t="n">
        <v>0</v>
      </c>
      <c r="BA1092" s="105" t="n">
        <v>0</v>
      </c>
      <c r="BB1092" s="105" t="n">
        <v>0</v>
      </c>
      <c r="BC1092" s="105" t="n">
        <v>0</v>
      </c>
      <c r="BD1092" s="105" t="n">
        <v>0</v>
      </c>
      <c r="BE1092" s="105" t="n">
        <v>0</v>
      </c>
      <c r="BF1092" s="105" t="n">
        <v>0</v>
      </c>
      <c r="BG1092" s="105" t="n">
        <v>0</v>
      </c>
      <c r="BH1092" s="105" t="n">
        <v>0</v>
      </c>
      <c r="BI1092" s="105" t="n">
        <v>0</v>
      </c>
      <c r="BJ1092" s="105" t="n">
        <v>0</v>
      </c>
      <c r="BK1092" s="105" t="n">
        <v>0</v>
      </c>
      <c r="BL1092" s="105" t="n">
        <v>0</v>
      </c>
      <c r="BM1092" s="105" t="n">
        <v>0</v>
      </c>
      <c r="BN1092" s="105" t="n">
        <v>0</v>
      </c>
      <c r="BO1092" s="105" t="n">
        <v>0</v>
      </c>
      <c r="BP1092" s="105" t="n">
        <v>0</v>
      </c>
      <c r="BQ1092" s="105" t="n">
        <v>0</v>
      </c>
      <c r="BR1092" s="106" t="n">
        <v>0</v>
      </c>
      <c r="BS1092" s="106" t="n">
        <v>0</v>
      </c>
      <c r="BT1092" s="107"/>
      <c r="BU1092" s="107"/>
      <c r="BV1092" s="107"/>
      <c r="BW1092" s="107"/>
      <c r="BX1092" s="107"/>
      <c r="BY1092" s="107"/>
      <c r="BZ1092" s="107"/>
      <c r="CA1092" s="107"/>
      <c r="CB1092" s="107"/>
      <c r="CC1092" s="107"/>
      <c r="CD1092" s="107"/>
      <c r="CE1092" s="107"/>
      <c r="CF1092" s="107"/>
      <c r="CG1092" s="107"/>
      <c r="CH1092" s="107"/>
      <c r="CI1092" s="107"/>
      <c r="CJ1092" s="107"/>
      <c r="CK1092" s="107"/>
      <c r="CL1092" s="107"/>
      <c r="CM1092" s="107"/>
      <c r="CN1092" s="107"/>
      <c r="CO1092" s="107"/>
      <c r="CP1092" s="107"/>
      <c r="CQ1092" s="107"/>
      <c r="CR1092" s="107"/>
      <c r="CS1092" s="107"/>
      <c r="CT1092" s="107"/>
      <c r="CU1092" s="107"/>
      <c r="CV1092" s="107"/>
    </row>
    <row r="1093" customFormat="false" ht="14.9" hidden="false" customHeight="false" outlineLevel="0" collapsed="false">
      <c r="A1093" s="74" t="n">
        <f aca="false">MONTH(B1093)</f>
        <v>10</v>
      </c>
      <c r="B1093" s="135" t="n">
        <v>44498</v>
      </c>
      <c r="C1093" s="128" t="s">
        <v>63</v>
      </c>
      <c r="D1093" s="77" t="str">
        <f aca="false">IFERROR(VLOOKUP(E:E,'Item Data Support Sheet'!A:O,7,0),"")</f>
        <v>NIPPLE PUNCH INSPECTED</v>
      </c>
      <c r="E1093" s="80" t="s">
        <v>297</v>
      </c>
      <c r="F1093" s="122"/>
      <c r="G1093" s="137"/>
      <c r="H1093" s="79" t="str">
        <f aca="false">IFERROR(VLOOKUP(E:E,'Item Data Support Sheet'!A:O,2,0),"")</f>
        <v>NIPPLE S TYPE S SIZE PUNCHED INSPECTED</v>
      </c>
      <c r="I1093" s="80" t="s">
        <v>1859</v>
      </c>
      <c r="J1093" s="80" t="s">
        <v>155</v>
      </c>
      <c r="K1093" s="124" t="n">
        <v>8</v>
      </c>
      <c r="L1093" s="124" t="n">
        <v>14000</v>
      </c>
      <c r="M1093" s="83" t="n">
        <v>1750</v>
      </c>
      <c r="N1093" s="84" t="n">
        <f aca="false">+O1093+Q1093+T1093+U1093</f>
        <v>14200</v>
      </c>
      <c r="O1093" s="85" t="n">
        <v>14102</v>
      </c>
      <c r="P1093" s="86" t="n">
        <v>0</v>
      </c>
      <c r="Q1093" s="86" t="n">
        <v>0</v>
      </c>
      <c r="R1093" s="132" t="n">
        <v>0</v>
      </c>
      <c r="S1093" s="128" t="n">
        <v>0</v>
      </c>
      <c r="T1093" s="132" t="n">
        <v>98</v>
      </c>
      <c r="U1093" s="128" t="n">
        <v>0</v>
      </c>
      <c r="V1093" s="128" t="n">
        <v>1</v>
      </c>
      <c r="W1093" s="90" t="n">
        <f aca="false">IFERROR(O1093/V1093,0)</f>
        <v>14102</v>
      </c>
      <c r="X1093" s="91" t="n">
        <f aca="false">O1093/L1093</f>
        <v>1.00728571428571</v>
      </c>
      <c r="Y1093" s="92" t="str">
        <f aca="false">IFERROR(VLOOKUP(E:E,'Item Data Support Sheet'!A:J,6,0),0)</f>
        <v>FO104</v>
      </c>
      <c r="Z1093" s="93" t="n">
        <f aca="false">IFERROR(VLOOKUP(E:E,'Item Data Support Sheet'!A:O,4,0),0)</f>
        <v>0</v>
      </c>
      <c r="AA1093" s="93" t="n">
        <f aca="false">IFERROR(((N1093)*(Z1093/1000))+P1093,0)</f>
        <v>0</v>
      </c>
      <c r="AB1093" s="94" t="str">
        <f aca="false">IFERROR((O1093*(Z1093/1000)/(AA1093))," ")</f>
        <v> </v>
      </c>
      <c r="AC1093" s="95" t="n">
        <f aca="false">IFERROR((T1093)/((T1093)+O1093),0)</f>
        <v>0.00690140845070423</v>
      </c>
      <c r="AD1093" s="96" t="n">
        <f aca="false">IFERROR(Q1093/(Q1093+N1093),0)</f>
        <v>0</v>
      </c>
      <c r="AE1093" s="91" t="n">
        <f aca="false">(N1093-T1093)/N1093</f>
        <v>0.993098591549296</v>
      </c>
      <c r="AF1093" s="97" t="n">
        <f aca="false">BR1093</f>
        <v>0.833333333333333</v>
      </c>
      <c r="AG1093" s="98" t="n">
        <f aca="false">K1093-AF1093</f>
        <v>7.16666666666667</v>
      </c>
      <c r="AH1093" s="99" t="n">
        <f aca="false">IFERROR(AG1093/K1093," ")</f>
        <v>0.895833333333333</v>
      </c>
      <c r="AI1093" s="100" t="n">
        <f aca="false">IFERROR(O1093/K1093,0)</f>
        <v>1762.75</v>
      </c>
      <c r="AJ1093" s="101" t="n">
        <f aca="false">VLOOKUP(D1093,'Standard Cycle time'!C:D,2,0)</f>
        <v>4</v>
      </c>
      <c r="AK1093" s="101" t="n">
        <f aca="false">AG1093*V1093*3600/O1093</f>
        <v>1.82952772656361</v>
      </c>
      <c r="AL1093" s="102" t="n">
        <f aca="false">AJ1093/AK1093</f>
        <v>2.18635658914729</v>
      </c>
      <c r="AM1093" s="99" t="n">
        <f aca="false">AE1093*AL1093*AH1093</f>
        <v>1.94509393583725</v>
      </c>
      <c r="AN1093" s="103" t="n">
        <v>1.93766339869281</v>
      </c>
      <c r="AO1093" s="112"/>
      <c r="AP1093" s="105" t="n">
        <v>50</v>
      </c>
      <c r="AQ1093" s="105" t="n">
        <v>0</v>
      </c>
      <c r="AR1093" s="105" t="n">
        <v>0</v>
      </c>
      <c r="AS1093" s="105" t="n">
        <v>0</v>
      </c>
      <c r="AT1093" s="105" t="n">
        <v>0</v>
      </c>
      <c r="AU1093" s="105" t="n">
        <v>0</v>
      </c>
      <c r="AV1093" s="105" t="n">
        <v>0</v>
      </c>
      <c r="AW1093" s="105" t="n">
        <v>0</v>
      </c>
      <c r="AX1093" s="105" t="n">
        <v>0</v>
      </c>
      <c r="AY1093" s="105" t="n">
        <v>0</v>
      </c>
      <c r="AZ1093" s="105" t="n">
        <v>0</v>
      </c>
      <c r="BA1093" s="105" t="n">
        <v>0</v>
      </c>
      <c r="BB1093" s="105" t="n">
        <v>0</v>
      </c>
      <c r="BC1093" s="105" t="n">
        <v>0</v>
      </c>
      <c r="BD1093" s="105" t="n">
        <v>0</v>
      </c>
      <c r="BE1093" s="105" t="n">
        <v>0</v>
      </c>
      <c r="BF1093" s="105" t="n">
        <v>0</v>
      </c>
      <c r="BG1093" s="105" t="n">
        <v>0</v>
      </c>
      <c r="BH1093" s="105" t="n">
        <v>0</v>
      </c>
      <c r="BI1093" s="105" t="n">
        <v>0</v>
      </c>
      <c r="BJ1093" s="105" t="n">
        <v>0</v>
      </c>
      <c r="BK1093" s="105" t="n">
        <v>0</v>
      </c>
      <c r="BL1093" s="105" t="n">
        <v>0</v>
      </c>
      <c r="BM1093" s="105" t="n">
        <v>0</v>
      </c>
      <c r="BN1093" s="105" t="n">
        <v>0</v>
      </c>
      <c r="BO1093" s="105" t="n">
        <v>0</v>
      </c>
      <c r="BP1093" s="105" t="n">
        <v>0</v>
      </c>
      <c r="BQ1093" s="105" t="n">
        <v>0</v>
      </c>
      <c r="BR1093" s="106" t="n">
        <v>0.833333333333333</v>
      </c>
      <c r="BS1093" s="106" t="n">
        <v>0.833333333333333</v>
      </c>
      <c r="BT1093" s="107"/>
      <c r="BU1093" s="107"/>
      <c r="BV1093" s="107"/>
      <c r="BW1093" s="107"/>
      <c r="BX1093" s="107"/>
      <c r="BY1093" s="107"/>
      <c r="BZ1093" s="107"/>
      <c r="CA1093" s="107"/>
      <c r="CB1093" s="107"/>
      <c r="CC1093" s="107"/>
      <c r="CD1093" s="107"/>
      <c r="CE1093" s="107"/>
      <c r="CF1093" s="107"/>
      <c r="CG1093" s="107"/>
      <c r="CH1093" s="107"/>
      <c r="CI1093" s="107"/>
      <c r="CJ1093" s="107"/>
      <c r="CK1093" s="107"/>
      <c r="CL1093" s="107"/>
      <c r="CM1093" s="107"/>
      <c r="CN1093" s="107"/>
      <c r="CO1093" s="107"/>
      <c r="CP1093" s="107"/>
      <c r="CQ1093" s="107"/>
      <c r="CR1093" s="107"/>
      <c r="CS1093" s="107"/>
      <c r="CT1093" s="107"/>
      <c r="CU1093" s="107"/>
      <c r="CV1093" s="107"/>
    </row>
    <row r="1094" customFormat="false" ht="14.9" hidden="false" customHeight="false" outlineLevel="0" collapsed="false">
      <c r="A1094" s="74" t="n">
        <f aca="false">MONTH(B1094)</f>
        <v>10</v>
      </c>
      <c r="B1094" s="135" t="n">
        <v>44498</v>
      </c>
      <c r="C1094" s="128" t="s">
        <v>70</v>
      </c>
      <c r="D1094" s="77" t="str">
        <f aca="false">IFERROR(VLOOKUP(E:E,'Item Data Support Sheet'!A:O,7,0),"")</f>
        <v>NIPPLE PUNCH</v>
      </c>
      <c r="E1094" s="80" t="s">
        <v>53</v>
      </c>
      <c r="F1094" s="122"/>
      <c r="G1094" s="137" t="s">
        <v>54</v>
      </c>
      <c r="H1094" s="79" t="str">
        <f aca="false">IFERROR(VLOOKUP(E:E,'Item Data Support Sheet'!A:O,2,0),"")</f>
        <v>NIPPLE S TYPE S SIZE PUNCHED</v>
      </c>
      <c r="I1094" s="80" t="s">
        <v>1873</v>
      </c>
      <c r="J1094" s="80" t="s">
        <v>155</v>
      </c>
      <c r="K1094" s="124" t="n">
        <v>8</v>
      </c>
      <c r="L1094" s="124" t="n">
        <v>7000</v>
      </c>
      <c r="M1094" s="83" t="n">
        <v>875</v>
      </c>
      <c r="N1094" s="84" t="n">
        <f aca="false">+O1094+Q1094+T1094+U1094</f>
        <v>7000</v>
      </c>
      <c r="O1094" s="85" t="n">
        <v>7000</v>
      </c>
      <c r="P1094" s="86" t="n">
        <v>0</v>
      </c>
      <c r="Q1094" s="86" t="n">
        <v>0</v>
      </c>
      <c r="R1094" s="132" t="n">
        <v>0</v>
      </c>
      <c r="S1094" s="128" t="n">
        <v>0</v>
      </c>
      <c r="T1094" s="132" t="n">
        <v>0</v>
      </c>
      <c r="U1094" s="128" t="n">
        <v>0</v>
      </c>
      <c r="V1094" s="128" t="n">
        <v>1</v>
      </c>
      <c r="W1094" s="90" t="n">
        <f aca="false">IFERROR(O1094/V1094,0)</f>
        <v>7000</v>
      </c>
      <c r="X1094" s="91" t="n">
        <f aca="false">O1094/L1094</f>
        <v>1</v>
      </c>
      <c r="Y1094" s="92" t="str">
        <f aca="false">IFERROR(VLOOKUP(E:E,'Item Data Support Sheet'!A:J,6,0),0)</f>
        <v>FO015</v>
      </c>
      <c r="Z1094" s="93" t="n">
        <f aca="false">IFERROR(VLOOKUP(E:E,'Item Data Support Sheet'!A:O,4,0),0)</f>
        <v>0</v>
      </c>
      <c r="AA1094" s="93" t="n">
        <f aca="false">IFERROR(((N1094)*(Z1094/1000))+P1094,0)</f>
        <v>0</v>
      </c>
      <c r="AB1094" s="94" t="str">
        <f aca="false">IFERROR((O1094*(Z1094/1000)/(AA1094))," ")</f>
        <v> </v>
      </c>
      <c r="AC1094" s="95" t="n">
        <f aca="false">IFERROR((T1094)/((T1094)+O1094),0)</f>
        <v>0</v>
      </c>
      <c r="AD1094" s="96" t="n">
        <f aca="false">IFERROR(Q1094/(Q1094+N1094),0)</f>
        <v>0</v>
      </c>
      <c r="AE1094" s="91" t="n">
        <f aca="false">(N1094-T1094)/N1094</f>
        <v>1</v>
      </c>
      <c r="AF1094" s="97" t="n">
        <f aca="false">BR1094</f>
        <v>0.666666666666667</v>
      </c>
      <c r="AG1094" s="98" t="n">
        <f aca="false">K1094-AF1094</f>
        <v>7.33333333333333</v>
      </c>
      <c r="AH1094" s="99" t="n">
        <f aca="false">IFERROR(AG1094/K1094," ")</f>
        <v>0.916666666666667</v>
      </c>
      <c r="AI1094" s="100" t="n">
        <f aca="false">IFERROR(O1094/K1094,0)</f>
        <v>875</v>
      </c>
      <c r="AJ1094" s="101" t="n">
        <f aca="false">VLOOKUP(D1094,'Standard Cycle time'!C:D,2,0)</f>
        <v>3.5</v>
      </c>
      <c r="AK1094" s="101" t="n">
        <f aca="false">AG1094*V1094*3600/O1094</f>
        <v>3.77142857142857</v>
      </c>
      <c r="AL1094" s="102" t="n">
        <f aca="false">AJ1094/AK1094</f>
        <v>0.928030303030303</v>
      </c>
      <c r="AM1094" s="99" t="n">
        <f aca="false">AE1094*AL1094*AH1094</f>
        <v>0.850694444444444</v>
      </c>
      <c r="AN1094" s="103" t="n">
        <v>0.850694444444444</v>
      </c>
      <c r="AO1094" s="112"/>
      <c r="AP1094" s="105" t="n">
        <v>40</v>
      </c>
      <c r="AQ1094" s="105" t="n">
        <v>0</v>
      </c>
      <c r="AR1094" s="105" t="n">
        <v>0</v>
      </c>
      <c r="AS1094" s="105" t="n">
        <v>0</v>
      </c>
      <c r="AT1094" s="105" t="n">
        <v>0</v>
      </c>
      <c r="AU1094" s="105" t="n">
        <v>0</v>
      </c>
      <c r="AV1094" s="105" t="n">
        <v>0</v>
      </c>
      <c r="AW1094" s="105" t="n">
        <v>0</v>
      </c>
      <c r="AX1094" s="105" t="n">
        <v>0</v>
      </c>
      <c r="AY1094" s="105" t="n">
        <v>0</v>
      </c>
      <c r="AZ1094" s="105" t="n">
        <v>0</v>
      </c>
      <c r="BA1094" s="105" t="n">
        <v>0</v>
      </c>
      <c r="BB1094" s="105" t="n">
        <v>0</v>
      </c>
      <c r="BC1094" s="105" t="n">
        <v>0</v>
      </c>
      <c r="BD1094" s="105" t="n">
        <v>0</v>
      </c>
      <c r="BE1094" s="105" t="n">
        <v>0</v>
      </c>
      <c r="BF1094" s="105" t="n">
        <v>0</v>
      </c>
      <c r="BG1094" s="105" t="n">
        <v>0</v>
      </c>
      <c r="BH1094" s="105" t="n">
        <v>0</v>
      </c>
      <c r="BI1094" s="105" t="n">
        <v>0</v>
      </c>
      <c r="BJ1094" s="105" t="n">
        <v>0</v>
      </c>
      <c r="BK1094" s="105" t="n">
        <v>0</v>
      </c>
      <c r="BL1094" s="105" t="n">
        <v>0</v>
      </c>
      <c r="BM1094" s="105" t="n">
        <v>0</v>
      </c>
      <c r="BN1094" s="105" t="n">
        <v>0</v>
      </c>
      <c r="BO1094" s="105" t="n">
        <v>0</v>
      </c>
      <c r="BP1094" s="105" t="n">
        <v>0</v>
      </c>
      <c r="BQ1094" s="105" t="n">
        <v>0</v>
      </c>
      <c r="BR1094" s="106" t="n">
        <v>0.666666666666667</v>
      </c>
      <c r="BS1094" s="106" t="n">
        <v>0.666666666666667</v>
      </c>
      <c r="BT1094" s="107"/>
      <c r="BU1094" s="107"/>
      <c r="BV1094" s="107"/>
      <c r="BW1094" s="107"/>
      <c r="BX1094" s="107"/>
      <c r="BY1094" s="107"/>
      <c r="BZ1094" s="107"/>
      <c r="CA1094" s="107"/>
      <c r="CB1094" s="107"/>
      <c r="CC1094" s="107"/>
      <c r="CD1094" s="107"/>
      <c r="CE1094" s="107"/>
      <c r="CF1094" s="107"/>
      <c r="CG1094" s="107"/>
      <c r="CH1094" s="107"/>
      <c r="CI1094" s="107"/>
      <c r="CJ1094" s="107"/>
      <c r="CK1094" s="107"/>
      <c r="CL1094" s="107"/>
      <c r="CM1094" s="107"/>
      <c r="CN1094" s="107"/>
      <c r="CO1094" s="107"/>
      <c r="CP1094" s="107"/>
      <c r="CQ1094" s="107"/>
      <c r="CR1094" s="107"/>
      <c r="CS1094" s="107"/>
      <c r="CT1094" s="107"/>
      <c r="CU1094" s="107"/>
      <c r="CV1094" s="107"/>
    </row>
    <row r="1095" customFormat="false" ht="14.9" hidden="false" customHeight="false" outlineLevel="0" collapsed="false">
      <c r="A1095" s="74" t="n">
        <f aca="false">MONTH(B1095)</f>
        <v>10</v>
      </c>
      <c r="B1095" s="135" t="n">
        <v>44498</v>
      </c>
      <c r="C1095" s="128" t="s">
        <v>70</v>
      </c>
      <c r="D1095" s="77" t="str">
        <f aca="false">IFERROR(VLOOKUP(E:E,'Item Data Support Sheet'!A:O,7,0),"")</f>
        <v>NIPPLE LASER MARKING</v>
      </c>
      <c r="E1095" s="80" t="s">
        <v>444</v>
      </c>
      <c r="F1095" s="122"/>
      <c r="G1095" s="137" t="s">
        <v>517</v>
      </c>
      <c r="H1095" s="79" t="str">
        <f aca="false">IFERROR(VLOOKUP(E:E,'Item Data Support Sheet'!A:O,2,0),"")</f>
        <v>NIPPLE S TYPE S SIZE PUNCHED LASER MARKED</v>
      </c>
      <c r="I1095" s="80" t="s">
        <v>1874</v>
      </c>
      <c r="J1095" s="80" t="s">
        <v>155</v>
      </c>
      <c r="K1095" s="124" t="n">
        <v>8</v>
      </c>
      <c r="L1095" s="124" t="n">
        <v>7000</v>
      </c>
      <c r="M1095" s="83" t="n">
        <v>875</v>
      </c>
      <c r="N1095" s="84" t="n">
        <f aca="false">+O1095+Q1095+T1095+U1095</f>
        <v>7000</v>
      </c>
      <c r="O1095" s="85" t="n">
        <v>7000</v>
      </c>
      <c r="P1095" s="86" t="n">
        <v>0</v>
      </c>
      <c r="Q1095" s="86" t="n">
        <v>0</v>
      </c>
      <c r="R1095" s="132" t="n">
        <v>0</v>
      </c>
      <c r="S1095" s="128" t="n">
        <v>0</v>
      </c>
      <c r="T1095" s="132" t="n">
        <v>0</v>
      </c>
      <c r="U1095" s="128" t="n">
        <v>0</v>
      </c>
      <c r="V1095" s="128" t="n">
        <v>1</v>
      </c>
      <c r="W1095" s="90" t="n">
        <f aca="false">IFERROR(O1095/V1095,0)</f>
        <v>7000</v>
      </c>
      <c r="X1095" s="91" t="n">
        <f aca="false">O1095/L1095</f>
        <v>1</v>
      </c>
      <c r="Y1095" s="92" t="str">
        <f aca="false">IFERROR(VLOOKUP(E:E,'Item Data Support Sheet'!A:J,6,0),0)</f>
        <v>FO019</v>
      </c>
      <c r="Z1095" s="93" t="n">
        <f aca="false">IFERROR(VLOOKUP(E:E,'Item Data Support Sheet'!A:O,4,0),0)</f>
        <v>0</v>
      </c>
      <c r="AA1095" s="93" t="n">
        <f aca="false">IFERROR(((N1095)*(Z1095/1000))+P1095,0)</f>
        <v>0</v>
      </c>
      <c r="AB1095" s="94" t="str">
        <f aca="false">IFERROR((O1095*(Z1095/1000)/(AA1095))," ")</f>
        <v> </v>
      </c>
      <c r="AC1095" s="95" t="n">
        <f aca="false">IFERROR((T1095)/((T1095)+O1095),0)</f>
        <v>0</v>
      </c>
      <c r="AD1095" s="96" t="n">
        <f aca="false">IFERROR(Q1095/(Q1095+N1095),0)</f>
        <v>0</v>
      </c>
      <c r="AE1095" s="91" t="n">
        <f aca="false">(N1095-T1095)/N1095</f>
        <v>1</v>
      </c>
      <c r="AF1095" s="97" t="n">
        <f aca="false">BR1095</f>
        <v>0.666666666666667</v>
      </c>
      <c r="AG1095" s="98" t="n">
        <f aca="false">K1095-AF1095</f>
        <v>7.33333333333333</v>
      </c>
      <c r="AH1095" s="99" t="n">
        <f aca="false">IFERROR(AG1095/K1095," ")</f>
        <v>0.916666666666667</v>
      </c>
      <c r="AI1095" s="100" t="n">
        <f aca="false">IFERROR(O1095/K1095,0)</f>
        <v>875</v>
      </c>
      <c r="AJ1095" s="101" t="n">
        <f aca="false">VLOOKUP(D1095,'Standard Cycle time'!C:D,2,0)</f>
        <v>3.5</v>
      </c>
      <c r="AK1095" s="101" t="n">
        <f aca="false">AG1095*V1095*3600/O1095</f>
        <v>3.77142857142857</v>
      </c>
      <c r="AL1095" s="102" t="n">
        <f aca="false">AJ1095/AK1095</f>
        <v>0.928030303030303</v>
      </c>
      <c r="AM1095" s="99" t="n">
        <f aca="false">AE1095*AL1095*AH1095</f>
        <v>0.850694444444444</v>
      </c>
      <c r="AN1095" s="103" t="n">
        <v>0.850694444444444</v>
      </c>
      <c r="AO1095" s="112"/>
      <c r="AP1095" s="105" t="n">
        <v>40</v>
      </c>
      <c r="AQ1095" s="105" t="n">
        <v>0</v>
      </c>
      <c r="AR1095" s="105" t="n">
        <v>0</v>
      </c>
      <c r="AS1095" s="105" t="n">
        <v>0</v>
      </c>
      <c r="AT1095" s="105" t="n">
        <v>0</v>
      </c>
      <c r="AU1095" s="105" t="n">
        <v>0</v>
      </c>
      <c r="AV1095" s="105" t="n">
        <v>0</v>
      </c>
      <c r="AW1095" s="105" t="n">
        <v>0</v>
      </c>
      <c r="AX1095" s="105" t="n">
        <v>0</v>
      </c>
      <c r="AY1095" s="105" t="n">
        <v>0</v>
      </c>
      <c r="AZ1095" s="105" t="n">
        <v>0</v>
      </c>
      <c r="BA1095" s="105" t="n">
        <v>0</v>
      </c>
      <c r="BB1095" s="105" t="n">
        <v>0</v>
      </c>
      <c r="BC1095" s="105" t="n">
        <v>0</v>
      </c>
      <c r="BD1095" s="105" t="n">
        <v>0</v>
      </c>
      <c r="BE1095" s="105" t="n">
        <v>0</v>
      </c>
      <c r="BF1095" s="105" t="n">
        <v>0</v>
      </c>
      <c r="BG1095" s="105" t="n">
        <v>0</v>
      </c>
      <c r="BH1095" s="105" t="n">
        <v>0</v>
      </c>
      <c r="BI1095" s="105" t="n">
        <v>0</v>
      </c>
      <c r="BJ1095" s="105" t="n">
        <v>0</v>
      </c>
      <c r="BK1095" s="105" t="n">
        <v>0</v>
      </c>
      <c r="BL1095" s="105" t="n">
        <v>0</v>
      </c>
      <c r="BM1095" s="105" t="n">
        <v>0</v>
      </c>
      <c r="BN1095" s="105" t="n">
        <v>0</v>
      </c>
      <c r="BO1095" s="105" t="n">
        <v>0</v>
      </c>
      <c r="BP1095" s="105" t="n">
        <v>0</v>
      </c>
      <c r="BQ1095" s="105" t="n">
        <v>0</v>
      </c>
      <c r="BR1095" s="106" t="n">
        <v>0.666666666666667</v>
      </c>
      <c r="BS1095" s="106" t="n">
        <v>0.666666666666667</v>
      </c>
      <c r="BT1095" s="107"/>
      <c r="BU1095" s="107"/>
      <c r="BV1095" s="107"/>
      <c r="BW1095" s="107"/>
      <c r="BX1095" s="107"/>
      <c r="BY1095" s="107"/>
      <c r="BZ1095" s="107"/>
      <c r="CA1095" s="107"/>
      <c r="CB1095" s="107"/>
      <c r="CC1095" s="107"/>
      <c r="CD1095" s="107"/>
      <c r="CE1095" s="107"/>
      <c r="CF1095" s="107"/>
      <c r="CG1095" s="107"/>
      <c r="CH1095" s="107"/>
      <c r="CI1095" s="107"/>
      <c r="CJ1095" s="107"/>
      <c r="CK1095" s="107"/>
      <c r="CL1095" s="107"/>
      <c r="CM1095" s="107"/>
      <c r="CN1095" s="107"/>
      <c r="CO1095" s="107"/>
      <c r="CP1095" s="107"/>
      <c r="CQ1095" s="107"/>
      <c r="CR1095" s="107"/>
      <c r="CS1095" s="107"/>
      <c r="CT1095" s="107"/>
      <c r="CU1095" s="107"/>
      <c r="CV1095" s="107"/>
    </row>
    <row r="1096" customFormat="false" ht="14.9" hidden="false" customHeight="false" outlineLevel="0" collapsed="false">
      <c r="A1096" s="74" t="n">
        <f aca="false">MONTH(B1096)</f>
        <v>10</v>
      </c>
      <c r="B1096" s="135" t="n">
        <v>44498</v>
      </c>
      <c r="C1096" s="128" t="s">
        <v>70</v>
      </c>
      <c r="D1096" s="77" t="str">
        <f aca="false">IFERROR(VLOOKUP(E:E,'Item Data Support Sheet'!A:O,7,0),"")</f>
        <v>NIPPLE MOLDED</v>
      </c>
      <c r="E1096" s="80" t="s">
        <v>244</v>
      </c>
      <c r="F1096" s="122" t="s">
        <v>137</v>
      </c>
      <c r="G1096" s="137" t="s">
        <v>138</v>
      </c>
      <c r="H1096" s="79" t="str">
        <f aca="false">IFERROR(VLOOKUP(E:E,'Item Data Support Sheet'!A:O,2,0),"")</f>
        <v>NIPPLE S TYPE S SIZE INJECTION</v>
      </c>
      <c r="I1096" s="80" t="s">
        <v>1875</v>
      </c>
      <c r="J1096" s="80" t="s">
        <v>155</v>
      </c>
      <c r="K1096" s="124" t="n">
        <v>8</v>
      </c>
      <c r="L1096" s="124" t="n">
        <v>4815</v>
      </c>
      <c r="M1096" s="83" t="n">
        <v>601.875</v>
      </c>
      <c r="N1096" s="84" t="n">
        <f aca="false">+O1096+Q1096+T1096+U1096</f>
        <v>5290</v>
      </c>
      <c r="O1096" s="85" t="n">
        <v>5200</v>
      </c>
      <c r="P1096" s="86" t="n">
        <v>0</v>
      </c>
      <c r="Q1096" s="86" t="n">
        <v>30</v>
      </c>
      <c r="R1096" s="132" t="n">
        <v>0</v>
      </c>
      <c r="S1096" s="128" t="n">
        <v>0</v>
      </c>
      <c r="T1096" s="132" t="n">
        <v>60</v>
      </c>
      <c r="U1096" s="128" t="n">
        <v>0</v>
      </c>
      <c r="V1096" s="128" t="n">
        <v>1</v>
      </c>
      <c r="W1096" s="90" t="n">
        <f aca="false">IFERROR(O1096/V1096,0)</f>
        <v>5200</v>
      </c>
      <c r="X1096" s="91" t="n">
        <f aca="false">O1096/L1096</f>
        <v>1.07995846313603</v>
      </c>
      <c r="Y1096" s="92" t="str">
        <f aca="false">IFERROR(VLOOKUP(E:E,'Item Data Support Sheet'!A:J,6,0),0)</f>
        <v>Silicon</v>
      </c>
      <c r="Z1096" s="93" t="n">
        <f aca="false">IFERROR(VLOOKUP(E:E,'Item Data Support Sheet'!A:O,4,0),0)</f>
        <v>6.8</v>
      </c>
      <c r="AA1096" s="93" t="n">
        <f aca="false">IFERROR(((N1096)*(Z1096/1000))+P1096,0)</f>
        <v>35.972</v>
      </c>
      <c r="AB1096" s="94" t="n">
        <f aca="false">IFERROR((O1096*(Z1096/1000)/(AA1096))," ")</f>
        <v>0.982986767485822</v>
      </c>
      <c r="AC1096" s="95" t="n">
        <f aca="false">IFERROR((T1096)/((T1096)+O1096),0)</f>
        <v>0.0114068441064639</v>
      </c>
      <c r="AD1096" s="96" t="n">
        <f aca="false">IFERROR(Q1096/(Q1096+N1096),0)</f>
        <v>0.0056390977443609</v>
      </c>
      <c r="AE1096" s="91" t="n">
        <f aca="false">(N1096-T1096)/N1096</f>
        <v>0.988657844990548</v>
      </c>
      <c r="AF1096" s="97" t="n">
        <f aca="false">BR1096</f>
        <v>0</v>
      </c>
      <c r="AG1096" s="98" t="n">
        <f aca="false">K1096-AF1096</f>
        <v>8</v>
      </c>
      <c r="AH1096" s="99" t="n">
        <f aca="false">IFERROR(AG1096/K1096," ")</f>
        <v>1</v>
      </c>
      <c r="AI1096" s="100" t="n">
        <f aca="false">IFERROR(O1096/K1096,0)</f>
        <v>650</v>
      </c>
      <c r="AJ1096" s="101" t="n">
        <f aca="false">VLOOKUP(D1096,'Standard Cycle time'!C:D,2,0)</f>
        <v>5.25</v>
      </c>
      <c r="AK1096" s="101" t="n">
        <f aca="false">AG1096*V1096*3600/O1096</f>
        <v>5.53846153846154</v>
      </c>
      <c r="AL1096" s="102" t="n">
        <f aca="false">AJ1096/AK1096</f>
        <v>0.947916666666667</v>
      </c>
      <c r="AM1096" s="99" t="n">
        <f aca="false">AE1096*AL1096*AH1096</f>
        <v>0.937165248897291</v>
      </c>
      <c r="AN1096" s="103" t="n">
        <v>0.939791666666667</v>
      </c>
      <c r="AO1096" s="112"/>
      <c r="AP1096" s="105" t="n">
        <v>0</v>
      </c>
      <c r="AQ1096" s="105" t="n">
        <v>0</v>
      </c>
      <c r="AR1096" s="105" t="n">
        <v>0</v>
      </c>
      <c r="AS1096" s="105" t="n">
        <v>0</v>
      </c>
      <c r="AT1096" s="105" t="n">
        <v>0</v>
      </c>
      <c r="AU1096" s="105" t="n">
        <v>0</v>
      </c>
      <c r="AV1096" s="105" t="n">
        <v>0</v>
      </c>
      <c r="AW1096" s="105" t="n">
        <v>0</v>
      </c>
      <c r="AX1096" s="105" t="n">
        <v>0</v>
      </c>
      <c r="AY1096" s="105" t="n">
        <v>0</v>
      </c>
      <c r="AZ1096" s="105" t="n">
        <v>0</v>
      </c>
      <c r="BA1096" s="105" t="n">
        <v>0</v>
      </c>
      <c r="BB1096" s="105" t="n">
        <v>0</v>
      </c>
      <c r="BC1096" s="105" t="n">
        <v>0</v>
      </c>
      <c r="BD1096" s="105" t="n">
        <v>0</v>
      </c>
      <c r="BE1096" s="105" t="n">
        <v>0</v>
      </c>
      <c r="BF1096" s="105" t="n">
        <v>0</v>
      </c>
      <c r="BG1096" s="105" t="n">
        <v>0</v>
      </c>
      <c r="BH1096" s="105" t="n">
        <v>0</v>
      </c>
      <c r="BI1096" s="105" t="n">
        <v>0</v>
      </c>
      <c r="BJ1096" s="105" t="n">
        <v>0</v>
      </c>
      <c r="BK1096" s="105" t="n">
        <v>0</v>
      </c>
      <c r="BL1096" s="105" t="n">
        <v>0</v>
      </c>
      <c r="BM1096" s="105" t="n">
        <v>0</v>
      </c>
      <c r="BN1096" s="105" t="n">
        <v>0</v>
      </c>
      <c r="BO1096" s="105" t="n">
        <v>0</v>
      </c>
      <c r="BP1096" s="105" t="n">
        <v>0</v>
      </c>
      <c r="BQ1096" s="105" t="n">
        <v>0</v>
      </c>
      <c r="BR1096" s="106" t="n">
        <v>0</v>
      </c>
      <c r="BS1096" s="106" t="n">
        <v>0</v>
      </c>
      <c r="BT1096" s="107"/>
      <c r="BU1096" s="107"/>
      <c r="BV1096" s="107"/>
      <c r="BW1096" s="107"/>
      <c r="BX1096" s="107"/>
      <c r="BY1096" s="107"/>
      <c r="BZ1096" s="107"/>
      <c r="CA1096" s="107"/>
      <c r="CB1096" s="107"/>
      <c r="CC1096" s="107"/>
      <c r="CD1096" s="107"/>
      <c r="CE1096" s="107"/>
      <c r="CF1096" s="107"/>
      <c r="CG1096" s="107"/>
      <c r="CH1096" s="107"/>
      <c r="CI1096" s="107"/>
      <c r="CJ1096" s="107"/>
      <c r="CK1096" s="107"/>
      <c r="CL1096" s="107"/>
      <c r="CM1096" s="107"/>
      <c r="CN1096" s="107"/>
      <c r="CO1096" s="107"/>
      <c r="CP1096" s="107"/>
      <c r="CQ1096" s="107"/>
      <c r="CR1096" s="107"/>
      <c r="CS1096" s="107"/>
      <c r="CT1096" s="107"/>
      <c r="CU1096" s="107"/>
      <c r="CV1096" s="107"/>
    </row>
    <row r="1097" customFormat="false" ht="14.9" hidden="false" customHeight="false" outlineLevel="0" collapsed="false">
      <c r="A1097" s="74" t="n">
        <f aca="false">MONTH(B1097)</f>
        <v>10</v>
      </c>
      <c r="B1097" s="135" t="n">
        <v>44498</v>
      </c>
      <c r="C1097" s="128" t="s">
        <v>70</v>
      </c>
      <c r="D1097" s="77" t="str">
        <f aca="false">IFERROR(VLOOKUP(E:E,'Item Data Support Sheet'!A:O,7,0),"")</f>
        <v>HOOD MOLDED</v>
      </c>
      <c r="E1097" s="80" t="s">
        <v>529</v>
      </c>
      <c r="F1097" s="122"/>
      <c r="G1097" s="137" t="s">
        <v>740</v>
      </c>
      <c r="H1097" s="79" t="str">
        <f aca="false">IFERROR(VLOOKUP(E:E,'Item Data Support Sheet'!A:O,2,0),"")</f>
        <v>HOOD S TYPE MOLDED</v>
      </c>
      <c r="I1097" s="80" t="s">
        <v>1876</v>
      </c>
      <c r="J1097" s="80" t="s">
        <v>155</v>
      </c>
      <c r="K1097" s="124" t="n">
        <v>8</v>
      </c>
      <c r="L1097" s="124" t="n">
        <v>4137</v>
      </c>
      <c r="M1097" s="83" t="n">
        <v>517.125</v>
      </c>
      <c r="N1097" s="84" t="n">
        <f aca="false">+O1097+Q1097+T1097+U1097</f>
        <v>4748</v>
      </c>
      <c r="O1097" s="85" t="n">
        <v>4700</v>
      </c>
      <c r="P1097" s="86" t="n">
        <v>0</v>
      </c>
      <c r="Q1097" s="86" t="n">
        <v>40</v>
      </c>
      <c r="R1097" s="132" t="n">
        <v>0</v>
      </c>
      <c r="S1097" s="128" t="n">
        <v>0</v>
      </c>
      <c r="T1097" s="132" t="n">
        <v>8</v>
      </c>
      <c r="U1097" s="128" t="n">
        <v>0</v>
      </c>
      <c r="V1097" s="128" t="n">
        <v>1</v>
      </c>
      <c r="W1097" s="90" t="n">
        <f aca="false">IFERROR(O1097/V1097,0)</f>
        <v>4700</v>
      </c>
      <c r="X1097" s="91" t="n">
        <f aca="false">O1097/L1097</f>
        <v>1.13608895334784</v>
      </c>
      <c r="Y1097" s="92" t="str">
        <f aca="false">IFERROR(VLOOKUP(E:E,'Item Data Support Sheet'!A:J,6,0),0)</f>
        <v>HMC</v>
      </c>
      <c r="Z1097" s="93" t="n">
        <f aca="false">IFERROR(VLOOKUP(E:E,'Item Data Support Sheet'!A:O,4,0),0)</f>
        <v>8.6</v>
      </c>
      <c r="AA1097" s="93" t="n">
        <f aca="false">IFERROR(((N1097)*(Z1097/1000))+P1097,0)</f>
        <v>40.8328</v>
      </c>
      <c r="AB1097" s="94" t="n">
        <f aca="false">IFERROR((O1097*(Z1097/1000)/(AA1097))," ")</f>
        <v>0.989890480202191</v>
      </c>
      <c r="AC1097" s="95" t="n">
        <f aca="false">IFERROR((T1097)/((T1097)+O1097),0)</f>
        <v>0.00169923534409516</v>
      </c>
      <c r="AD1097" s="96" t="n">
        <f aca="false">IFERROR(Q1097/(Q1097+N1097),0)</f>
        <v>0.00835421888053467</v>
      </c>
      <c r="AE1097" s="91" t="n">
        <f aca="false">(N1097-T1097)/N1097</f>
        <v>0.998315080033698</v>
      </c>
      <c r="AF1097" s="97" t="n">
        <f aca="false">BR1097</f>
        <v>0.333333333333333</v>
      </c>
      <c r="AG1097" s="98" t="n">
        <f aca="false">K1097-AF1097</f>
        <v>7.66666666666667</v>
      </c>
      <c r="AH1097" s="99" t="n">
        <f aca="false">IFERROR(AG1097/K1097," ")</f>
        <v>0.958333333333333</v>
      </c>
      <c r="AI1097" s="100" t="n">
        <f aca="false">IFERROR(O1097/K1097,0)</f>
        <v>587.5</v>
      </c>
      <c r="AJ1097" s="101" t="n">
        <f aca="false">VLOOKUP(D1097,'Standard Cycle time'!C:D,2,0)</f>
        <v>6</v>
      </c>
      <c r="AK1097" s="101" t="n">
        <f aca="false">AG1097*V1097*3600/O1097</f>
        <v>5.87234042553192</v>
      </c>
      <c r="AL1097" s="102" t="n">
        <f aca="false">AJ1097/AK1097</f>
        <v>1.02173913043478</v>
      </c>
      <c r="AM1097" s="99" t="n">
        <f aca="false">AE1097*AL1097*AH1097</f>
        <v>0.977516849199663</v>
      </c>
      <c r="AN1097" s="103" t="n">
        <v>0.977685885318211</v>
      </c>
      <c r="AO1097" s="112"/>
      <c r="AP1097" s="105" t="n">
        <v>0</v>
      </c>
      <c r="AQ1097" s="105" t="n">
        <v>0</v>
      </c>
      <c r="AR1097" s="105" t="n">
        <v>0</v>
      </c>
      <c r="AS1097" s="105" t="n">
        <v>0</v>
      </c>
      <c r="AT1097" s="105" t="n">
        <v>0</v>
      </c>
      <c r="AU1097" s="105" t="n">
        <v>0</v>
      </c>
      <c r="AV1097" s="105" t="n">
        <v>0</v>
      </c>
      <c r="AW1097" s="105" t="n">
        <v>0</v>
      </c>
      <c r="AX1097" s="105" t="n">
        <v>0</v>
      </c>
      <c r="AY1097" s="105" t="n">
        <v>0</v>
      </c>
      <c r="AZ1097" s="105" t="n">
        <v>20</v>
      </c>
      <c r="BA1097" s="105" t="n">
        <v>0</v>
      </c>
      <c r="BB1097" s="105" t="n">
        <v>0</v>
      </c>
      <c r="BC1097" s="105" t="n">
        <v>0</v>
      </c>
      <c r="BD1097" s="105" t="n">
        <v>0</v>
      </c>
      <c r="BE1097" s="105" t="n">
        <v>0</v>
      </c>
      <c r="BF1097" s="105" t="n">
        <v>0</v>
      </c>
      <c r="BG1097" s="105" t="n">
        <v>0</v>
      </c>
      <c r="BH1097" s="105" t="n">
        <v>0</v>
      </c>
      <c r="BI1097" s="105" t="n">
        <v>0</v>
      </c>
      <c r="BJ1097" s="105" t="n">
        <v>0</v>
      </c>
      <c r="BK1097" s="105" t="n">
        <v>0</v>
      </c>
      <c r="BL1097" s="105" t="n">
        <v>0</v>
      </c>
      <c r="BM1097" s="105" t="n">
        <v>0</v>
      </c>
      <c r="BN1097" s="105" t="n">
        <v>0</v>
      </c>
      <c r="BO1097" s="105" t="n">
        <v>0</v>
      </c>
      <c r="BP1097" s="105" t="n">
        <v>0</v>
      </c>
      <c r="BQ1097" s="105" t="n">
        <v>0</v>
      </c>
      <c r="BR1097" s="106" t="n">
        <v>0.333333333333333</v>
      </c>
      <c r="BS1097" s="106" t="n">
        <v>0.333333333333333</v>
      </c>
      <c r="BT1097" s="107"/>
      <c r="BU1097" s="107"/>
      <c r="BV1097" s="107"/>
      <c r="BW1097" s="107"/>
      <c r="BX1097" s="107"/>
      <c r="BY1097" s="107"/>
      <c r="BZ1097" s="107"/>
      <c r="CA1097" s="107"/>
      <c r="CB1097" s="107"/>
      <c r="CC1097" s="107"/>
      <c r="CD1097" s="107"/>
      <c r="CE1097" s="107"/>
      <c r="CF1097" s="107"/>
      <c r="CG1097" s="107"/>
      <c r="CH1097" s="107"/>
      <c r="CI1097" s="107"/>
      <c r="CJ1097" s="107"/>
      <c r="CK1097" s="107"/>
      <c r="CL1097" s="107"/>
      <c r="CM1097" s="107"/>
      <c r="CN1097" s="107"/>
      <c r="CO1097" s="107"/>
      <c r="CP1097" s="107"/>
      <c r="CQ1097" s="107"/>
      <c r="CR1097" s="107"/>
      <c r="CS1097" s="107"/>
      <c r="CT1097" s="107"/>
      <c r="CU1097" s="107"/>
      <c r="CV1097" s="107"/>
    </row>
    <row r="1098" customFormat="false" ht="14.9" hidden="false" customHeight="false" outlineLevel="0" collapsed="false">
      <c r="A1098" s="74" t="n">
        <f aca="false">MONTH(B1098)</f>
        <v>10</v>
      </c>
      <c r="B1098" s="135" t="n">
        <v>44498</v>
      </c>
      <c r="C1098" s="128" t="s">
        <v>70</v>
      </c>
      <c r="D1098" s="77" t="str">
        <f aca="false">IFERROR(VLOOKUP(E:E,'Item Data Support Sheet'!A:O,7,0),"")</f>
        <v>BOTTLE PRINTED</v>
      </c>
      <c r="E1098" s="80" t="s">
        <v>65</v>
      </c>
      <c r="F1098" s="122"/>
      <c r="G1098" s="137"/>
      <c r="H1098" s="79" t="str">
        <f aca="false">IFERROR(VLOOKUP(E:E,'Item Data Support Sheet'!A:O,2,0),"")</f>
        <v>KPP 240 ML BOTTLE PRINTED</v>
      </c>
      <c r="I1098" s="80" t="s">
        <v>1877</v>
      </c>
      <c r="J1098" s="80" t="s">
        <v>155</v>
      </c>
      <c r="K1098" s="124" t="n">
        <v>8</v>
      </c>
      <c r="L1098" s="124" t="n">
        <v>5100</v>
      </c>
      <c r="M1098" s="83" t="n">
        <v>637.5</v>
      </c>
      <c r="N1098" s="84" t="n">
        <f aca="false">+O1098+Q1098+T1098+U1098</f>
        <v>5367</v>
      </c>
      <c r="O1098" s="85" t="n">
        <v>5292</v>
      </c>
      <c r="P1098" s="86" t="n">
        <v>0</v>
      </c>
      <c r="Q1098" s="86" t="n">
        <v>0</v>
      </c>
      <c r="R1098" s="132" t="n">
        <v>52</v>
      </c>
      <c r="S1098" s="128" t="n">
        <v>0</v>
      </c>
      <c r="T1098" s="132" t="n">
        <v>75</v>
      </c>
      <c r="U1098" s="128" t="n">
        <v>0</v>
      </c>
      <c r="V1098" s="128" t="n">
        <v>5</v>
      </c>
      <c r="W1098" s="90" t="n">
        <f aca="false">IFERROR(O1098/V1098,0)</f>
        <v>1058.4</v>
      </c>
      <c r="X1098" s="91" t="n">
        <f aca="false">O1098/L1098</f>
        <v>1.03764705882353</v>
      </c>
      <c r="Y1098" s="92" t="str">
        <f aca="false">IFERROR(VLOOKUP(E:E,'Item Data Support Sheet'!A:J,6,0),0)</f>
        <v>FO003</v>
      </c>
      <c r="Z1098" s="93" t="n">
        <f aca="false">IFERROR(VLOOKUP(E:E,'Item Data Support Sheet'!A:O,4,0),0)</f>
        <v>0</v>
      </c>
      <c r="AA1098" s="93" t="n">
        <f aca="false">IFERROR(((N1098)*(Z1098/1000))+P1098,0)</f>
        <v>0</v>
      </c>
      <c r="AB1098" s="94" t="str">
        <f aca="false">IFERROR((O1098*(Z1098/1000)/(AA1098))," ")</f>
        <v> </v>
      </c>
      <c r="AC1098" s="95" t="n">
        <f aca="false">IFERROR((T1098)/((T1098)+O1098),0)</f>
        <v>0.0139742873113471</v>
      </c>
      <c r="AD1098" s="96" t="n">
        <f aca="false">IFERROR(Q1098/(Q1098+N1098),0)</f>
        <v>0</v>
      </c>
      <c r="AE1098" s="91" t="n">
        <f aca="false">(N1098-T1098)/N1098</f>
        <v>0.986025712688653</v>
      </c>
      <c r="AF1098" s="97" t="n">
        <f aca="false">BR1098</f>
        <v>0.666666666666667</v>
      </c>
      <c r="AG1098" s="98" t="n">
        <f aca="false">K1098-AF1098</f>
        <v>7.33333333333333</v>
      </c>
      <c r="AH1098" s="99" t="n">
        <f aca="false">IFERROR(AG1098/K1098," ")</f>
        <v>0.916666666666667</v>
      </c>
      <c r="AI1098" s="100" t="n">
        <f aca="false">IFERROR(O1098/K1098,0)</f>
        <v>661.5</v>
      </c>
      <c r="AJ1098" s="101" t="n">
        <f aca="false">VLOOKUP(D1098,'Standard Cycle time'!C:D,2,0)</f>
        <v>32.4</v>
      </c>
      <c r="AK1098" s="101" t="n">
        <f aca="false">AG1098*V1098*3600/O1098</f>
        <v>24.9433106575964</v>
      </c>
      <c r="AL1098" s="102" t="n">
        <f aca="false">AJ1098/AK1098</f>
        <v>1.29894545454545</v>
      </c>
      <c r="AM1098" s="99" t="n">
        <f aca="false">AE1098*AL1098*AH1098</f>
        <v>1.17406081609838</v>
      </c>
      <c r="AN1098" s="103" t="n">
        <v>1.17189155433867</v>
      </c>
      <c r="AO1098" s="112"/>
      <c r="AP1098" s="105" t="n">
        <v>40</v>
      </c>
      <c r="AQ1098" s="105" t="n">
        <v>0</v>
      </c>
      <c r="AR1098" s="105" t="n">
        <v>0</v>
      </c>
      <c r="AS1098" s="105" t="n">
        <v>0</v>
      </c>
      <c r="AT1098" s="105" t="n">
        <v>0</v>
      </c>
      <c r="AU1098" s="105" t="n">
        <v>0</v>
      </c>
      <c r="AV1098" s="105" t="n">
        <v>0</v>
      </c>
      <c r="AW1098" s="105" t="n">
        <v>0</v>
      </c>
      <c r="AX1098" s="105" t="n">
        <v>0</v>
      </c>
      <c r="AY1098" s="105" t="n">
        <v>0</v>
      </c>
      <c r="AZ1098" s="105" t="n">
        <v>0</v>
      </c>
      <c r="BA1098" s="105" t="n">
        <v>0</v>
      </c>
      <c r="BB1098" s="105" t="n">
        <v>0</v>
      </c>
      <c r="BC1098" s="105" t="n">
        <v>0</v>
      </c>
      <c r="BD1098" s="105" t="n">
        <v>0</v>
      </c>
      <c r="BE1098" s="105" t="n">
        <v>0</v>
      </c>
      <c r="BF1098" s="105" t="n">
        <v>0</v>
      </c>
      <c r="BG1098" s="105" t="n">
        <v>0</v>
      </c>
      <c r="BH1098" s="105" t="n">
        <v>0</v>
      </c>
      <c r="BI1098" s="105" t="n">
        <v>0</v>
      </c>
      <c r="BJ1098" s="105" t="n">
        <v>0</v>
      </c>
      <c r="BK1098" s="105" t="n">
        <v>0</v>
      </c>
      <c r="BL1098" s="105" t="n">
        <v>0</v>
      </c>
      <c r="BM1098" s="105" t="n">
        <v>0</v>
      </c>
      <c r="BN1098" s="105" t="n">
        <v>0</v>
      </c>
      <c r="BO1098" s="105" t="n">
        <v>0</v>
      </c>
      <c r="BP1098" s="105" t="n">
        <v>0</v>
      </c>
      <c r="BQ1098" s="105" t="n">
        <v>0</v>
      </c>
      <c r="BR1098" s="106" t="n">
        <v>0.666666666666667</v>
      </c>
      <c r="BS1098" s="106" t="n">
        <v>0.666666666666667</v>
      </c>
      <c r="BT1098" s="107"/>
      <c r="BU1098" s="107"/>
      <c r="BV1098" s="107"/>
      <c r="BW1098" s="107"/>
      <c r="BX1098" s="107"/>
      <c r="BY1098" s="107"/>
      <c r="BZ1098" s="107"/>
      <c r="CA1098" s="107"/>
      <c r="CB1098" s="107"/>
      <c r="CC1098" s="107"/>
      <c r="CD1098" s="107"/>
      <c r="CE1098" s="107"/>
      <c r="CF1098" s="107"/>
      <c r="CG1098" s="107"/>
      <c r="CH1098" s="107"/>
      <c r="CI1098" s="107"/>
      <c r="CJ1098" s="107"/>
      <c r="CK1098" s="107"/>
      <c r="CL1098" s="107"/>
      <c r="CM1098" s="107"/>
      <c r="CN1098" s="107"/>
      <c r="CO1098" s="107"/>
      <c r="CP1098" s="107"/>
      <c r="CQ1098" s="107"/>
      <c r="CR1098" s="107"/>
      <c r="CS1098" s="107"/>
      <c r="CT1098" s="107"/>
      <c r="CU1098" s="107"/>
      <c r="CV1098" s="107"/>
    </row>
    <row r="1099" customFormat="false" ht="14.9" hidden="false" customHeight="false" outlineLevel="0" collapsed="false">
      <c r="A1099" s="74" t="n">
        <f aca="false">MONTH(B1099)</f>
        <v>10</v>
      </c>
      <c r="B1099" s="135" t="n">
        <v>44498</v>
      </c>
      <c r="C1099" s="128" t="s">
        <v>152</v>
      </c>
      <c r="D1099" s="77" t="str">
        <f aca="false">IFERROR(VLOOKUP(E:E,'Item Data Support Sheet'!A:O,7,0),"")</f>
        <v>BOTTLE MOLDED</v>
      </c>
      <c r="E1099" s="80" t="s">
        <v>72</v>
      </c>
      <c r="F1099" s="122" t="s">
        <v>73</v>
      </c>
      <c r="G1099" s="137" t="s">
        <v>74</v>
      </c>
      <c r="H1099" s="79" t="str">
        <f aca="false">IFERROR(VLOOKUP(E:E,'Item Data Support Sheet'!A:O,2,0),"")</f>
        <v>KPP BOTTLE 240 ML MOULDED-WMG3B</v>
      </c>
      <c r="I1099" s="80" t="s">
        <v>1878</v>
      </c>
      <c r="J1099" s="80" t="s">
        <v>143</v>
      </c>
      <c r="K1099" s="124" t="n">
        <v>8</v>
      </c>
      <c r="L1099" s="124" t="n">
        <v>2503</v>
      </c>
      <c r="M1099" s="83" t="n">
        <v>312.875</v>
      </c>
      <c r="N1099" s="84" t="n">
        <f aca="false">+O1099+Q1099+T1099+U1099</f>
        <v>1730</v>
      </c>
      <c r="O1099" s="85" t="n">
        <v>1620</v>
      </c>
      <c r="P1099" s="86" t="n">
        <v>0.32</v>
      </c>
      <c r="Q1099" s="86" t="n">
        <v>58</v>
      </c>
      <c r="R1099" s="132" t="n">
        <v>0</v>
      </c>
      <c r="S1099" s="128" t="n">
        <v>0</v>
      </c>
      <c r="T1099" s="132" t="n">
        <v>44</v>
      </c>
      <c r="U1099" s="128" t="n">
        <v>8</v>
      </c>
      <c r="V1099" s="128" t="n">
        <v>1</v>
      </c>
      <c r="W1099" s="90" t="n">
        <f aca="false">IFERROR(O1099/V1099,0)</f>
        <v>1620</v>
      </c>
      <c r="X1099" s="91" t="n">
        <f aca="false">O1099/L1099</f>
        <v>0.647223332001598</v>
      </c>
      <c r="Y1099" s="92" t="str">
        <f aca="false">IFERROR(VLOOKUP(E:E,'Item Data Support Sheet'!A:J,6,0),0)</f>
        <v>WMG3B</v>
      </c>
      <c r="Z1099" s="93" t="n">
        <f aca="false">IFERROR(VLOOKUP(E:E,'Item Data Support Sheet'!A:O,4,0),0)</f>
        <v>33.1</v>
      </c>
      <c r="AA1099" s="93" t="n">
        <f aca="false">IFERROR(((N1099)*(Z1099/1000))+P1099,0)</f>
        <v>57.583</v>
      </c>
      <c r="AB1099" s="94" t="n">
        <f aca="false">IFERROR((O1099*(Z1099/1000)/(AA1099))," ")</f>
        <v>0.931212336974454</v>
      </c>
      <c r="AC1099" s="95" t="n">
        <f aca="false">IFERROR((T1099)/((T1099)+O1099),0)</f>
        <v>0.0264423076923077</v>
      </c>
      <c r="AD1099" s="96" t="n">
        <f aca="false">IFERROR(Q1099/(Q1099+N1099),0)</f>
        <v>0.0324384787472036</v>
      </c>
      <c r="AE1099" s="91" t="n">
        <f aca="false">(N1099-T1099)/N1099</f>
        <v>0.974566473988439</v>
      </c>
      <c r="AF1099" s="97" t="n">
        <f aca="false">BR1099</f>
        <v>4</v>
      </c>
      <c r="AG1099" s="98" t="n">
        <f aca="false">K1099-AF1099</f>
        <v>4</v>
      </c>
      <c r="AH1099" s="99" t="n">
        <f aca="false">IFERROR(AG1099/K1099," ")</f>
        <v>0.5</v>
      </c>
      <c r="AI1099" s="100" t="n">
        <f aca="false">IFERROR(O1099/K1099,0)</f>
        <v>202.5</v>
      </c>
      <c r="AJ1099" s="101" t="n">
        <f aca="false">VLOOKUP(D1099,'Standard Cycle time'!C:D,2,0)</f>
        <v>9</v>
      </c>
      <c r="AK1099" s="101" t="n">
        <f aca="false">AG1099*V1099*3600/O1099</f>
        <v>8.88888888888889</v>
      </c>
      <c r="AL1099" s="102" t="n">
        <f aca="false">AJ1099/AK1099</f>
        <v>1.0125</v>
      </c>
      <c r="AM1099" s="99" t="n">
        <f aca="false">AE1099*AL1099*AH1099</f>
        <v>0.493374277456647</v>
      </c>
      <c r="AN1099" s="103" t="n">
        <v>0.50209963666853</v>
      </c>
      <c r="AO1099" s="112" t="s">
        <v>1879</v>
      </c>
      <c r="AP1099" s="105" t="n">
        <v>0</v>
      </c>
      <c r="AQ1099" s="105" t="n">
        <v>0</v>
      </c>
      <c r="AR1099" s="105" t="n">
        <v>50</v>
      </c>
      <c r="AS1099" s="105" t="n">
        <v>0</v>
      </c>
      <c r="AT1099" s="105" t="n">
        <v>0</v>
      </c>
      <c r="AU1099" s="105" t="n">
        <v>0</v>
      </c>
      <c r="AV1099" s="105" t="n">
        <v>70</v>
      </c>
      <c r="AW1099" s="105" t="n">
        <v>30</v>
      </c>
      <c r="AX1099" s="105" t="n">
        <v>0</v>
      </c>
      <c r="AY1099" s="105" t="n">
        <v>0</v>
      </c>
      <c r="AZ1099" s="105" t="n">
        <v>0</v>
      </c>
      <c r="BA1099" s="105" t="n">
        <v>0</v>
      </c>
      <c r="BB1099" s="105" t="n">
        <v>0</v>
      </c>
      <c r="BC1099" s="105" t="n">
        <v>0</v>
      </c>
      <c r="BD1099" s="105" t="n">
        <v>0</v>
      </c>
      <c r="BE1099" s="105" t="n">
        <v>0</v>
      </c>
      <c r="BF1099" s="105" t="n">
        <v>0</v>
      </c>
      <c r="BG1099" s="105" t="n">
        <v>0</v>
      </c>
      <c r="BH1099" s="105" t="n">
        <v>0</v>
      </c>
      <c r="BI1099" s="105" t="n">
        <v>0</v>
      </c>
      <c r="BJ1099" s="105" t="n">
        <v>0</v>
      </c>
      <c r="BK1099" s="105" t="n">
        <v>90</v>
      </c>
      <c r="BL1099" s="105" t="n">
        <v>0</v>
      </c>
      <c r="BM1099" s="105" t="n">
        <v>0</v>
      </c>
      <c r="BN1099" s="105" t="n">
        <v>0</v>
      </c>
      <c r="BO1099" s="105" t="n">
        <v>0</v>
      </c>
      <c r="BP1099" s="105" t="n">
        <v>0</v>
      </c>
      <c r="BQ1099" s="105" t="n">
        <v>0</v>
      </c>
      <c r="BR1099" s="106" t="n">
        <v>4</v>
      </c>
      <c r="BS1099" s="106" t="n">
        <v>4</v>
      </c>
      <c r="BT1099" s="107"/>
      <c r="BU1099" s="107"/>
      <c r="BV1099" s="107"/>
      <c r="BW1099" s="107"/>
      <c r="BX1099" s="107"/>
      <c r="BY1099" s="107"/>
      <c r="BZ1099" s="107"/>
      <c r="CA1099" s="107"/>
      <c r="CB1099" s="107"/>
      <c r="CC1099" s="107"/>
      <c r="CD1099" s="107"/>
      <c r="CE1099" s="107"/>
      <c r="CF1099" s="107"/>
      <c r="CG1099" s="107"/>
      <c r="CH1099" s="107"/>
      <c r="CI1099" s="107"/>
      <c r="CJ1099" s="107"/>
      <c r="CK1099" s="107"/>
      <c r="CL1099" s="107"/>
      <c r="CM1099" s="107"/>
      <c r="CN1099" s="107"/>
      <c r="CO1099" s="107"/>
      <c r="CP1099" s="107"/>
      <c r="CQ1099" s="107"/>
      <c r="CR1099" s="107"/>
      <c r="CS1099" s="107"/>
      <c r="CT1099" s="107"/>
      <c r="CU1099" s="107"/>
      <c r="CV1099" s="107"/>
    </row>
    <row r="1100" customFormat="false" ht="14.9" hidden="false" customHeight="false" outlineLevel="0" collapsed="false">
      <c r="A1100" s="74" t="n">
        <f aca="false">MONTH(B1100)</f>
        <v>10</v>
      </c>
      <c r="B1100" s="135" t="n">
        <v>44498</v>
      </c>
      <c r="C1100" s="128" t="s">
        <v>152</v>
      </c>
      <c r="D1100" s="77" t="str">
        <f aca="false">IFERROR(VLOOKUP(E:E,'Item Data Support Sheet'!A:O,7,0),"")</f>
        <v>HOOD MOLDED</v>
      </c>
      <c r="E1100" s="80" t="s">
        <v>529</v>
      </c>
      <c r="F1100" s="122"/>
      <c r="G1100" s="137" t="s">
        <v>740</v>
      </c>
      <c r="H1100" s="79" t="str">
        <f aca="false">IFERROR(VLOOKUP(E:E,'Item Data Support Sheet'!A:O,2,0),"")</f>
        <v>HOOD S TYPE MOLDED</v>
      </c>
      <c r="I1100" s="80" t="s">
        <v>1880</v>
      </c>
      <c r="J1100" s="80" t="s">
        <v>143</v>
      </c>
      <c r="K1100" s="124" t="n">
        <v>8</v>
      </c>
      <c r="L1100" s="124" t="n">
        <v>4137</v>
      </c>
      <c r="M1100" s="83" t="n">
        <v>517.125</v>
      </c>
      <c r="N1100" s="84" t="n">
        <f aca="false">+O1100+Q1100+T1100+U1100</f>
        <v>5118</v>
      </c>
      <c r="O1100" s="85" t="n">
        <v>5100</v>
      </c>
      <c r="P1100" s="86" t="n">
        <v>0</v>
      </c>
      <c r="Q1100" s="86" t="n">
        <v>0</v>
      </c>
      <c r="R1100" s="132" t="n">
        <v>0</v>
      </c>
      <c r="S1100" s="128" t="n">
        <v>0</v>
      </c>
      <c r="T1100" s="132" t="n">
        <v>10</v>
      </c>
      <c r="U1100" s="128" t="n">
        <v>8</v>
      </c>
      <c r="V1100" s="128" t="n">
        <v>1</v>
      </c>
      <c r="W1100" s="90" t="n">
        <f aca="false">IFERROR(O1100/V1100,0)</f>
        <v>5100</v>
      </c>
      <c r="X1100" s="91" t="n">
        <f aca="false">O1100/L1100</f>
        <v>1.23277737490935</v>
      </c>
      <c r="Y1100" s="92" t="str">
        <f aca="false">IFERROR(VLOOKUP(E:E,'Item Data Support Sheet'!A:J,6,0),0)</f>
        <v>HMC</v>
      </c>
      <c r="Z1100" s="93" t="n">
        <f aca="false">IFERROR(VLOOKUP(E:E,'Item Data Support Sheet'!A:O,4,0),0)</f>
        <v>8.6</v>
      </c>
      <c r="AA1100" s="93" t="n">
        <f aca="false">IFERROR(((N1100)*(Z1100/1000))+P1100,0)</f>
        <v>44.0148</v>
      </c>
      <c r="AB1100" s="94" t="n">
        <f aca="false">IFERROR((O1100*(Z1100/1000)/(AA1100))," ")</f>
        <v>0.996483001172333</v>
      </c>
      <c r="AC1100" s="95" t="n">
        <f aca="false">IFERROR((T1100)/((T1100)+O1100),0)</f>
        <v>0.00195694716242661</v>
      </c>
      <c r="AD1100" s="96" t="n">
        <f aca="false">IFERROR(Q1100/(Q1100+N1100),0)</f>
        <v>0</v>
      </c>
      <c r="AE1100" s="91" t="n">
        <f aca="false">(N1100-T1100)/N1100</f>
        <v>0.998046111762407</v>
      </c>
      <c r="AF1100" s="97" t="n">
        <f aca="false">BR1100</f>
        <v>0</v>
      </c>
      <c r="AG1100" s="98" t="n">
        <f aca="false">K1100-AF1100</f>
        <v>8</v>
      </c>
      <c r="AH1100" s="99" t="n">
        <f aca="false">IFERROR(AG1100/K1100," ")</f>
        <v>1</v>
      </c>
      <c r="AI1100" s="100" t="n">
        <f aca="false">IFERROR(O1100/K1100,0)</f>
        <v>637.5</v>
      </c>
      <c r="AJ1100" s="101" t="n">
        <f aca="false">VLOOKUP(D1100,'Standard Cycle time'!C:D,2,0)</f>
        <v>6</v>
      </c>
      <c r="AK1100" s="101" t="n">
        <f aca="false">AG1100*V1100*3600/O1100</f>
        <v>5.64705882352941</v>
      </c>
      <c r="AL1100" s="102" t="n">
        <f aca="false">AJ1100/AK1100</f>
        <v>1.0625</v>
      </c>
      <c r="AM1100" s="99" t="n">
        <f aca="false">AE1100*AL1100*AH1100</f>
        <v>1.06042399374756</v>
      </c>
      <c r="AN1100" s="103" t="n">
        <v>1.05635838150289</v>
      </c>
      <c r="AO1100" s="112"/>
      <c r="AP1100" s="105" t="n">
        <v>0</v>
      </c>
      <c r="AQ1100" s="105" t="n">
        <v>0</v>
      </c>
      <c r="AR1100" s="105" t="n">
        <v>0</v>
      </c>
      <c r="AS1100" s="105" t="n">
        <v>0</v>
      </c>
      <c r="AT1100" s="105" t="n">
        <v>0</v>
      </c>
      <c r="AU1100" s="105" t="n">
        <v>0</v>
      </c>
      <c r="AV1100" s="105" t="n">
        <v>0</v>
      </c>
      <c r="AW1100" s="105" t="n">
        <v>0</v>
      </c>
      <c r="AX1100" s="105" t="n">
        <v>0</v>
      </c>
      <c r="AY1100" s="105" t="n">
        <v>0</v>
      </c>
      <c r="AZ1100" s="105" t="n">
        <v>0</v>
      </c>
      <c r="BA1100" s="105" t="n">
        <v>0</v>
      </c>
      <c r="BB1100" s="105" t="n">
        <v>0</v>
      </c>
      <c r="BC1100" s="105" t="n">
        <v>0</v>
      </c>
      <c r="BD1100" s="105" t="n">
        <v>0</v>
      </c>
      <c r="BE1100" s="105" t="n">
        <v>0</v>
      </c>
      <c r="BF1100" s="105" t="n">
        <v>0</v>
      </c>
      <c r="BG1100" s="105" t="n">
        <v>0</v>
      </c>
      <c r="BH1100" s="105" t="n">
        <v>0</v>
      </c>
      <c r="BI1100" s="105" t="n">
        <v>0</v>
      </c>
      <c r="BJ1100" s="105" t="n">
        <v>0</v>
      </c>
      <c r="BK1100" s="105" t="n">
        <v>0</v>
      </c>
      <c r="BL1100" s="105" t="n">
        <v>0</v>
      </c>
      <c r="BM1100" s="105" t="n">
        <v>0</v>
      </c>
      <c r="BN1100" s="105" t="n">
        <v>0</v>
      </c>
      <c r="BO1100" s="105" t="n">
        <v>0</v>
      </c>
      <c r="BP1100" s="105" t="n">
        <v>0</v>
      </c>
      <c r="BQ1100" s="105" t="n">
        <v>0</v>
      </c>
      <c r="BR1100" s="106" t="n">
        <v>0</v>
      </c>
      <c r="BS1100" s="106" t="n">
        <v>0</v>
      </c>
      <c r="BT1100" s="107"/>
      <c r="BU1100" s="107"/>
      <c r="BV1100" s="107"/>
      <c r="BW1100" s="107"/>
      <c r="BX1100" s="107"/>
      <c r="BY1100" s="107"/>
      <c r="BZ1100" s="107"/>
      <c r="CA1100" s="107"/>
      <c r="CB1100" s="107"/>
      <c r="CC1100" s="107"/>
      <c r="CD1100" s="107"/>
      <c r="CE1100" s="107"/>
      <c r="CF1100" s="107"/>
      <c r="CG1100" s="107"/>
      <c r="CH1100" s="107"/>
      <c r="CI1100" s="107"/>
      <c r="CJ1100" s="107"/>
      <c r="CK1100" s="107"/>
      <c r="CL1100" s="107"/>
      <c r="CM1100" s="107"/>
      <c r="CN1100" s="107"/>
      <c r="CO1100" s="107"/>
      <c r="CP1100" s="107"/>
      <c r="CQ1100" s="107"/>
      <c r="CR1100" s="107"/>
      <c r="CS1100" s="107"/>
      <c r="CT1100" s="107"/>
      <c r="CU1100" s="107"/>
      <c r="CV1100" s="107"/>
    </row>
    <row r="1101" customFormat="false" ht="14.9" hidden="false" customHeight="false" outlineLevel="0" collapsed="false">
      <c r="A1101" s="74" t="n">
        <f aca="false">MONTH(B1101)</f>
        <v>10</v>
      </c>
      <c r="B1101" s="135" t="n">
        <v>44498</v>
      </c>
      <c r="C1101" s="128" t="s">
        <v>152</v>
      </c>
      <c r="D1101" s="77" t="str">
        <f aca="false">IFERROR(VLOOKUP(E:E,'Item Data Support Sheet'!A:O,7,0),"")</f>
        <v>NIPPLE MOLDED</v>
      </c>
      <c r="E1101" s="80" t="s">
        <v>244</v>
      </c>
      <c r="F1101" s="122" t="s">
        <v>137</v>
      </c>
      <c r="G1101" s="137" t="s">
        <v>138</v>
      </c>
      <c r="H1101" s="79" t="str">
        <f aca="false">IFERROR(VLOOKUP(E:E,'Item Data Support Sheet'!A:O,2,0),"")</f>
        <v>NIPPLE S TYPE S SIZE INJECTION</v>
      </c>
      <c r="I1101" s="80" t="s">
        <v>1881</v>
      </c>
      <c r="J1101" s="80" t="s">
        <v>143</v>
      </c>
      <c r="K1101" s="124" t="n">
        <v>8</v>
      </c>
      <c r="L1101" s="124" t="n">
        <v>4815</v>
      </c>
      <c r="M1101" s="83" t="n">
        <v>601.875</v>
      </c>
      <c r="N1101" s="84" t="n">
        <f aca="false">+O1101+Q1101+T1101+U1101</f>
        <v>5463</v>
      </c>
      <c r="O1101" s="85" t="n">
        <v>5400</v>
      </c>
      <c r="P1101" s="86" t="n">
        <v>0</v>
      </c>
      <c r="Q1101" s="86" t="n">
        <v>0</v>
      </c>
      <c r="R1101" s="132" t="n">
        <v>0</v>
      </c>
      <c r="S1101" s="128" t="n">
        <v>0</v>
      </c>
      <c r="T1101" s="132" t="n">
        <v>55</v>
      </c>
      <c r="U1101" s="128" t="n">
        <v>8</v>
      </c>
      <c r="V1101" s="128" t="n">
        <v>1</v>
      </c>
      <c r="W1101" s="90" t="n">
        <f aca="false">IFERROR(O1101/V1101,0)</f>
        <v>5400</v>
      </c>
      <c r="X1101" s="91" t="n">
        <f aca="false">O1101/L1101</f>
        <v>1.1214953271028</v>
      </c>
      <c r="Y1101" s="92" t="str">
        <f aca="false">IFERROR(VLOOKUP(E:E,'Item Data Support Sheet'!A:J,6,0),0)</f>
        <v>Silicon</v>
      </c>
      <c r="Z1101" s="93" t="n">
        <f aca="false">IFERROR(VLOOKUP(E:E,'Item Data Support Sheet'!A:O,4,0),0)</f>
        <v>6.8</v>
      </c>
      <c r="AA1101" s="93" t="n">
        <f aca="false">IFERROR(((N1101)*(Z1101/1000))+P1101,0)</f>
        <v>37.1484</v>
      </c>
      <c r="AB1101" s="94" t="n">
        <f aca="false">IFERROR((O1101*(Z1101/1000)/(AA1101))," ")</f>
        <v>0.988467874794069</v>
      </c>
      <c r="AC1101" s="95" t="n">
        <f aca="false">IFERROR((T1101)/((T1101)+O1101),0)</f>
        <v>0.0100824931255729</v>
      </c>
      <c r="AD1101" s="96" t="n">
        <f aca="false">IFERROR(Q1101/(Q1101+N1101),0)</f>
        <v>0</v>
      </c>
      <c r="AE1101" s="91" t="n">
        <f aca="false">(N1101-T1101)/N1101</f>
        <v>0.989932271645616</v>
      </c>
      <c r="AF1101" s="97" t="n">
        <f aca="false">BR1101</f>
        <v>0</v>
      </c>
      <c r="AG1101" s="98" t="n">
        <f aca="false">K1101-AF1101</f>
        <v>8</v>
      </c>
      <c r="AH1101" s="99" t="n">
        <f aca="false">IFERROR(AG1101/K1101," ")</f>
        <v>1</v>
      </c>
      <c r="AI1101" s="100" t="n">
        <f aca="false">IFERROR(O1101/K1101,0)</f>
        <v>675</v>
      </c>
      <c r="AJ1101" s="101" t="n">
        <f aca="false">VLOOKUP(D1101,'Standard Cycle time'!C:D,2,0)</f>
        <v>5.25</v>
      </c>
      <c r="AK1101" s="101" t="n">
        <f aca="false">AG1101*V1101*3600/O1101</f>
        <v>5.33333333333333</v>
      </c>
      <c r="AL1101" s="102" t="n">
        <f aca="false">AJ1101/AK1101</f>
        <v>0.984375</v>
      </c>
      <c r="AM1101" s="99" t="n">
        <f aca="false">AE1101*AL1101*AH1101</f>
        <v>0.974464579901153</v>
      </c>
      <c r="AN1101" s="103" t="n">
        <v>0.973796526963658</v>
      </c>
      <c r="AO1101" s="112"/>
      <c r="AP1101" s="105" t="n">
        <v>0</v>
      </c>
      <c r="AQ1101" s="105" t="n">
        <v>0</v>
      </c>
      <c r="AR1101" s="105" t="n">
        <v>0</v>
      </c>
      <c r="AS1101" s="105" t="n">
        <v>0</v>
      </c>
      <c r="AT1101" s="105" t="n">
        <v>0</v>
      </c>
      <c r="AU1101" s="105" t="n">
        <v>0</v>
      </c>
      <c r="AV1101" s="105" t="n">
        <v>0</v>
      </c>
      <c r="AW1101" s="105" t="n">
        <v>0</v>
      </c>
      <c r="AX1101" s="105" t="n">
        <v>0</v>
      </c>
      <c r="AY1101" s="105" t="n">
        <v>0</v>
      </c>
      <c r="AZ1101" s="105" t="n">
        <v>0</v>
      </c>
      <c r="BA1101" s="105" t="n">
        <v>0</v>
      </c>
      <c r="BB1101" s="105" t="n">
        <v>0</v>
      </c>
      <c r="BC1101" s="105" t="n">
        <v>0</v>
      </c>
      <c r="BD1101" s="105" t="n">
        <v>0</v>
      </c>
      <c r="BE1101" s="105" t="n">
        <v>0</v>
      </c>
      <c r="BF1101" s="105" t="n">
        <v>0</v>
      </c>
      <c r="BG1101" s="105" t="n">
        <v>0</v>
      </c>
      <c r="BH1101" s="105" t="n">
        <v>0</v>
      </c>
      <c r="BI1101" s="105" t="n">
        <v>0</v>
      </c>
      <c r="BJ1101" s="105" t="n">
        <v>0</v>
      </c>
      <c r="BK1101" s="105" t="n">
        <v>0</v>
      </c>
      <c r="BL1101" s="105" t="n">
        <v>0</v>
      </c>
      <c r="BM1101" s="105" t="n">
        <v>0</v>
      </c>
      <c r="BN1101" s="105" t="n">
        <v>0</v>
      </c>
      <c r="BO1101" s="105" t="n">
        <v>0</v>
      </c>
      <c r="BP1101" s="105" t="n">
        <v>0</v>
      </c>
      <c r="BQ1101" s="105" t="n">
        <v>0</v>
      </c>
      <c r="BR1101" s="106" t="n">
        <v>0</v>
      </c>
      <c r="BS1101" s="106" t="n">
        <v>0</v>
      </c>
      <c r="BT1101" s="107"/>
      <c r="BU1101" s="107"/>
      <c r="BV1101" s="107"/>
      <c r="BW1101" s="107"/>
      <c r="BX1101" s="107"/>
      <c r="BY1101" s="107"/>
      <c r="BZ1101" s="107"/>
      <c r="CA1101" s="107"/>
      <c r="CB1101" s="107"/>
      <c r="CC1101" s="107"/>
      <c r="CD1101" s="107"/>
      <c r="CE1101" s="107"/>
      <c r="CF1101" s="107"/>
      <c r="CG1101" s="107"/>
      <c r="CH1101" s="107"/>
      <c r="CI1101" s="107"/>
      <c r="CJ1101" s="107"/>
      <c r="CK1101" s="107"/>
      <c r="CL1101" s="107"/>
      <c r="CM1101" s="107"/>
      <c r="CN1101" s="107"/>
      <c r="CO1101" s="107"/>
      <c r="CP1101" s="107"/>
      <c r="CQ1101" s="107"/>
      <c r="CR1101" s="107"/>
      <c r="CS1101" s="107"/>
      <c r="CT1101" s="107"/>
      <c r="CU1101" s="107"/>
      <c r="CV1101" s="107"/>
    </row>
    <row r="1102" customFormat="false" ht="14.9" hidden="false" customHeight="false" outlineLevel="0" collapsed="false">
      <c r="A1102" s="74" t="n">
        <f aca="false">MONTH(B1102)</f>
        <v>10</v>
      </c>
      <c r="B1102" s="135" t="n">
        <v>44499</v>
      </c>
      <c r="C1102" s="128" t="s">
        <v>51</v>
      </c>
      <c r="D1102" s="77" t="str">
        <f aca="false">IFERROR(VLOOKUP(E:E,'Item Data Support Sheet'!A:O,7,0),"")</f>
        <v>BOTTLE MOLDED</v>
      </c>
      <c r="E1102" s="80" t="s">
        <v>72</v>
      </c>
      <c r="F1102" s="122" t="s">
        <v>73</v>
      </c>
      <c r="G1102" s="137" t="s">
        <v>74</v>
      </c>
      <c r="H1102" s="79" t="str">
        <f aca="false">IFERROR(VLOOKUP(E:E,'Item Data Support Sheet'!A:O,2,0),"")</f>
        <v>KPP BOTTLE 240 ML MOULDED-WMG3B</v>
      </c>
      <c r="I1102" s="80" t="s">
        <v>1882</v>
      </c>
      <c r="J1102" s="80" t="s">
        <v>148</v>
      </c>
      <c r="K1102" s="124" t="n">
        <v>8</v>
      </c>
      <c r="L1102" s="124" t="n">
        <v>2574</v>
      </c>
      <c r="M1102" s="83" t="n">
        <v>321.75</v>
      </c>
      <c r="N1102" s="84" t="n">
        <f aca="false">+O1102+Q1102+T1102+U1102</f>
        <v>3166</v>
      </c>
      <c r="O1102" s="85" t="n">
        <v>3024</v>
      </c>
      <c r="P1102" s="86" t="n">
        <v>0</v>
      </c>
      <c r="Q1102" s="86" t="n">
        <v>52</v>
      </c>
      <c r="R1102" s="132" t="n">
        <v>0</v>
      </c>
      <c r="S1102" s="128" t="n">
        <v>0</v>
      </c>
      <c r="T1102" s="132" t="n">
        <v>82</v>
      </c>
      <c r="U1102" s="128" t="n">
        <v>8</v>
      </c>
      <c r="V1102" s="128" t="n">
        <v>1</v>
      </c>
      <c r="W1102" s="90" t="n">
        <f aca="false">IFERROR(O1102/V1102,0)</f>
        <v>3024</v>
      </c>
      <c r="X1102" s="91" t="n">
        <f aca="false">O1102/L1102</f>
        <v>1.17482517482517</v>
      </c>
      <c r="Y1102" s="92" t="str">
        <f aca="false">IFERROR(VLOOKUP(E:E,'Item Data Support Sheet'!A:J,6,0),0)</f>
        <v>WMG3B</v>
      </c>
      <c r="Z1102" s="93" t="n">
        <f aca="false">IFERROR(VLOOKUP(E:E,'Item Data Support Sheet'!A:O,4,0),0)</f>
        <v>33.1</v>
      </c>
      <c r="AA1102" s="93" t="n">
        <f aca="false">IFERROR(((N1102)*(Z1102/1000))+P1102,0)</f>
        <v>104.7946</v>
      </c>
      <c r="AB1102" s="94" t="n">
        <f aca="false">IFERROR((O1102*(Z1102/1000)/(AA1102))," ")</f>
        <v>0.955148452305748</v>
      </c>
      <c r="AC1102" s="95" t="n">
        <f aca="false">IFERROR((T1102)/((T1102)+O1102),0)</f>
        <v>0.0264005151320026</v>
      </c>
      <c r="AD1102" s="96" t="n">
        <f aca="false">IFERROR(Q1102/(Q1102+N1102),0)</f>
        <v>0.0161591050341827</v>
      </c>
      <c r="AE1102" s="91" t="n">
        <f aca="false">(N1102-T1102)/N1102</f>
        <v>0.974099810486418</v>
      </c>
      <c r="AF1102" s="97" t="n">
        <f aca="false">BR1102</f>
        <v>0</v>
      </c>
      <c r="AG1102" s="98" t="n">
        <f aca="false">K1102-AF1102</f>
        <v>8</v>
      </c>
      <c r="AH1102" s="99" t="n">
        <f aca="false">IFERROR(AG1102/K1102," ")</f>
        <v>1</v>
      </c>
      <c r="AI1102" s="100" t="n">
        <f aca="false">IFERROR(O1102/K1102,0)</f>
        <v>378</v>
      </c>
      <c r="AJ1102" s="101" t="n">
        <f aca="false">VLOOKUP(D1102,'Standard Cycle time'!C:D,2,0)</f>
        <v>9</v>
      </c>
      <c r="AK1102" s="101" t="n">
        <f aca="false">AG1102*V1102*3600/O1102</f>
        <v>9.52380952380952</v>
      </c>
      <c r="AL1102" s="102" t="n">
        <f aca="false">AJ1102/AK1102</f>
        <v>0.945</v>
      </c>
      <c r="AM1102" s="99" t="n">
        <f aca="false">AE1102*AL1102*AH1102</f>
        <v>0.920524320909665</v>
      </c>
      <c r="AN1102" s="103" t="n">
        <v>0.930815485996705</v>
      </c>
      <c r="AO1102" s="112"/>
      <c r="AP1102" s="105" t="n">
        <v>0</v>
      </c>
      <c r="AQ1102" s="105" t="n">
        <v>0</v>
      </c>
      <c r="AR1102" s="105" t="n">
        <v>0</v>
      </c>
      <c r="AS1102" s="105" t="n">
        <v>0</v>
      </c>
      <c r="AT1102" s="105" t="n">
        <v>0</v>
      </c>
      <c r="AU1102" s="105" t="n">
        <v>0</v>
      </c>
      <c r="AV1102" s="105" t="n">
        <v>0</v>
      </c>
      <c r="AW1102" s="105" t="n">
        <v>0</v>
      </c>
      <c r="AX1102" s="105" t="n">
        <v>0</v>
      </c>
      <c r="AY1102" s="105" t="n">
        <v>0</v>
      </c>
      <c r="AZ1102" s="105" t="n">
        <v>0</v>
      </c>
      <c r="BA1102" s="105" t="n">
        <v>0</v>
      </c>
      <c r="BB1102" s="105" t="n">
        <v>0</v>
      </c>
      <c r="BC1102" s="105" t="n">
        <v>0</v>
      </c>
      <c r="BD1102" s="105" t="n">
        <v>0</v>
      </c>
      <c r="BE1102" s="105" t="n">
        <v>0</v>
      </c>
      <c r="BF1102" s="105" t="n">
        <v>0</v>
      </c>
      <c r="BG1102" s="105" t="n">
        <v>0</v>
      </c>
      <c r="BH1102" s="105" t="n">
        <v>0</v>
      </c>
      <c r="BI1102" s="105" t="n">
        <v>0</v>
      </c>
      <c r="BJ1102" s="105" t="n">
        <v>0</v>
      </c>
      <c r="BK1102" s="105" t="n">
        <v>0</v>
      </c>
      <c r="BL1102" s="105" t="n">
        <v>0</v>
      </c>
      <c r="BM1102" s="105" t="n">
        <v>0</v>
      </c>
      <c r="BN1102" s="105" t="n">
        <v>0</v>
      </c>
      <c r="BO1102" s="105" t="n">
        <v>0</v>
      </c>
      <c r="BP1102" s="105" t="n">
        <v>0</v>
      </c>
      <c r="BQ1102" s="105" t="n">
        <v>0</v>
      </c>
      <c r="BR1102" s="106" t="n">
        <v>0</v>
      </c>
      <c r="BS1102" s="106" t="n">
        <v>0</v>
      </c>
      <c r="BT1102" s="107"/>
      <c r="BU1102" s="107"/>
      <c r="BV1102" s="107"/>
      <c r="BW1102" s="107"/>
      <c r="BX1102" s="107"/>
      <c r="BY1102" s="107"/>
      <c r="BZ1102" s="107"/>
      <c r="CA1102" s="107"/>
      <c r="CB1102" s="107"/>
      <c r="CC1102" s="107"/>
      <c r="CD1102" s="107"/>
      <c r="CE1102" s="107"/>
      <c r="CF1102" s="107"/>
      <c r="CG1102" s="107"/>
      <c r="CH1102" s="107"/>
      <c r="CI1102" s="107"/>
      <c r="CJ1102" s="107"/>
      <c r="CK1102" s="107"/>
      <c r="CL1102" s="107"/>
      <c r="CM1102" s="107"/>
      <c r="CN1102" s="107"/>
      <c r="CO1102" s="107"/>
      <c r="CP1102" s="107"/>
      <c r="CQ1102" s="107"/>
      <c r="CR1102" s="107"/>
      <c r="CS1102" s="107"/>
      <c r="CT1102" s="107"/>
      <c r="CU1102" s="107"/>
      <c r="CV1102" s="107"/>
    </row>
    <row r="1103" customFormat="false" ht="14.9" hidden="false" customHeight="false" outlineLevel="0" collapsed="false">
      <c r="A1103" s="74" t="n">
        <f aca="false">MONTH(B1103)</f>
        <v>10</v>
      </c>
      <c r="B1103" s="135" t="n">
        <v>44499</v>
      </c>
      <c r="C1103" s="128" t="s">
        <v>51</v>
      </c>
      <c r="D1103" s="77" t="str">
        <f aca="false">IFERROR(VLOOKUP(E:E,'Item Data Support Sheet'!A:O,7,0),"")</f>
        <v>NIPPLE MOLDED</v>
      </c>
      <c r="E1103" s="80" t="s">
        <v>244</v>
      </c>
      <c r="F1103" s="122" t="s">
        <v>137</v>
      </c>
      <c r="G1103" s="137" t="s">
        <v>138</v>
      </c>
      <c r="H1103" s="79" t="str">
        <f aca="false">IFERROR(VLOOKUP(E:E,'Item Data Support Sheet'!A:O,2,0),"")</f>
        <v>NIPPLE S TYPE S SIZE INJECTION</v>
      </c>
      <c r="I1103" s="80" t="s">
        <v>1883</v>
      </c>
      <c r="J1103" s="80" t="s">
        <v>148</v>
      </c>
      <c r="K1103" s="124" t="n">
        <v>8</v>
      </c>
      <c r="L1103" s="124" t="n">
        <v>4815</v>
      </c>
      <c r="M1103" s="83" t="n">
        <v>601.875</v>
      </c>
      <c r="N1103" s="84" t="n">
        <f aca="false">+O1103+Q1103+T1103+U1103</f>
        <v>5557</v>
      </c>
      <c r="O1103" s="85" t="n">
        <v>5500</v>
      </c>
      <c r="P1103" s="86" t="n">
        <v>0</v>
      </c>
      <c r="Q1103" s="86" t="n">
        <v>0</v>
      </c>
      <c r="R1103" s="132" t="n">
        <v>0</v>
      </c>
      <c r="S1103" s="128" t="n">
        <v>0</v>
      </c>
      <c r="T1103" s="132" t="n">
        <v>49</v>
      </c>
      <c r="U1103" s="128" t="n">
        <v>8</v>
      </c>
      <c r="V1103" s="128" t="n">
        <v>1</v>
      </c>
      <c r="W1103" s="90" t="n">
        <f aca="false">IFERROR(O1103/V1103,0)</f>
        <v>5500</v>
      </c>
      <c r="X1103" s="91" t="n">
        <f aca="false">O1103/L1103</f>
        <v>1.14226375908619</v>
      </c>
      <c r="Y1103" s="92" t="str">
        <f aca="false">IFERROR(VLOOKUP(E:E,'Item Data Support Sheet'!A:J,6,0),0)</f>
        <v>Silicon</v>
      </c>
      <c r="Z1103" s="93" t="n">
        <f aca="false">IFERROR(VLOOKUP(E:E,'Item Data Support Sheet'!A:O,4,0),0)</f>
        <v>6.8</v>
      </c>
      <c r="AA1103" s="93" t="n">
        <f aca="false">IFERROR(((N1103)*(Z1103/1000))+P1103,0)</f>
        <v>37.7876</v>
      </c>
      <c r="AB1103" s="94" t="n">
        <f aca="false">IFERROR((O1103*(Z1103/1000)/(AA1103))," ")</f>
        <v>0.989742666906604</v>
      </c>
      <c r="AC1103" s="95" t="n">
        <f aca="false">IFERROR((T1103)/((T1103)+O1103),0)</f>
        <v>0.00883041989547666</v>
      </c>
      <c r="AD1103" s="96" t="n">
        <f aca="false">IFERROR(Q1103/(Q1103+N1103),0)</f>
        <v>0</v>
      </c>
      <c r="AE1103" s="91" t="n">
        <f aca="false">(N1103-T1103)/N1103</f>
        <v>0.991182292603923</v>
      </c>
      <c r="AF1103" s="97" t="n">
        <f aca="false">BR1103</f>
        <v>0</v>
      </c>
      <c r="AG1103" s="98" t="n">
        <f aca="false">K1103-AF1103</f>
        <v>8</v>
      </c>
      <c r="AH1103" s="99" t="n">
        <f aca="false">IFERROR(AG1103/K1103," ")</f>
        <v>1</v>
      </c>
      <c r="AI1103" s="100" t="n">
        <f aca="false">IFERROR(O1103/K1103,0)</f>
        <v>687.5</v>
      </c>
      <c r="AJ1103" s="101" t="n">
        <f aca="false">VLOOKUP(D1103,'Standard Cycle time'!C:D,2,0)</f>
        <v>5.25</v>
      </c>
      <c r="AK1103" s="101" t="n">
        <f aca="false">AG1103*V1103*3600/O1103</f>
        <v>5.23636363636364</v>
      </c>
      <c r="AL1103" s="102" t="n">
        <f aca="false">AJ1103/AK1103</f>
        <v>1.00260416666667</v>
      </c>
      <c r="AM1103" s="99" t="n">
        <f aca="false">AE1103*AL1103*AH1103</f>
        <v>0.993763496490912</v>
      </c>
      <c r="AN1103" s="103" t="n">
        <v>0.987086919614656</v>
      </c>
      <c r="AO1103" s="112"/>
      <c r="AP1103" s="105" t="n">
        <v>0</v>
      </c>
      <c r="AQ1103" s="105" t="n">
        <v>0</v>
      </c>
      <c r="AR1103" s="105" t="n">
        <v>0</v>
      </c>
      <c r="AS1103" s="105" t="n">
        <v>0</v>
      </c>
      <c r="AT1103" s="105" t="n">
        <v>0</v>
      </c>
      <c r="AU1103" s="105" t="n">
        <v>0</v>
      </c>
      <c r="AV1103" s="105" t="n">
        <v>0</v>
      </c>
      <c r="AW1103" s="105" t="n">
        <v>0</v>
      </c>
      <c r="AX1103" s="105" t="n">
        <v>0</v>
      </c>
      <c r="AY1103" s="105" t="n">
        <v>0</v>
      </c>
      <c r="AZ1103" s="105" t="n">
        <v>0</v>
      </c>
      <c r="BA1103" s="105" t="n">
        <v>0</v>
      </c>
      <c r="BB1103" s="105" t="n">
        <v>0</v>
      </c>
      <c r="BC1103" s="105" t="n">
        <v>0</v>
      </c>
      <c r="BD1103" s="105" t="n">
        <v>0</v>
      </c>
      <c r="BE1103" s="105" t="n">
        <v>0</v>
      </c>
      <c r="BF1103" s="105" t="n">
        <v>0</v>
      </c>
      <c r="BG1103" s="105" t="n">
        <v>0</v>
      </c>
      <c r="BH1103" s="105" t="n">
        <v>0</v>
      </c>
      <c r="BI1103" s="105" t="n">
        <v>0</v>
      </c>
      <c r="BJ1103" s="105" t="n">
        <v>0</v>
      </c>
      <c r="BK1103" s="105" t="n">
        <v>0</v>
      </c>
      <c r="BL1103" s="105" t="n">
        <v>0</v>
      </c>
      <c r="BM1103" s="105" t="n">
        <v>0</v>
      </c>
      <c r="BN1103" s="105" t="n">
        <v>0</v>
      </c>
      <c r="BO1103" s="105" t="n">
        <v>0</v>
      </c>
      <c r="BP1103" s="105" t="n">
        <v>0</v>
      </c>
      <c r="BQ1103" s="105" t="n">
        <v>0</v>
      </c>
      <c r="BR1103" s="106" t="n">
        <v>0</v>
      </c>
      <c r="BS1103" s="106" t="n">
        <v>0</v>
      </c>
      <c r="BT1103" s="107"/>
      <c r="BU1103" s="107"/>
      <c r="BV1103" s="107"/>
      <c r="BW1103" s="107"/>
      <c r="BX1103" s="107"/>
      <c r="BY1103" s="107"/>
      <c r="BZ1103" s="107"/>
      <c r="CA1103" s="107"/>
      <c r="CB1103" s="107"/>
      <c r="CC1103" s="107"/>
      <c r="CD1103" s="107"/>
      <c r="CE1103" s="107"/>
      <c r="CF1103" s="107"/>
      <c r="CG1103" s="107"/>
      <c r="CH1103" s="107"/>
      <c r="CI1103" s="107"/>
      <c r="CJ1103" s="107"/>
      <c r="CK1103" s="107"/>
      <c r="CL1103" s="107"/>
      <c r="CM1103" s="107"/>
      <c r="CN1103" s="107"/>
      <c r="CO1103" s="107"/>
      <c r="CP1103" s="107"/>
      <c r="CQ1103" s="107"/>
      <c r="CR1103" s="107"/>
      <c r="CS1103" s="107"/>
      <c r="CT1103" s="107"/>
      <c r="CU1103" s="107"/>
      <c r="CV1103" s="107"/>
    </row>
    <row r="1104" customFormat="false" ht="14.9" hidden="false" customHeight="false" outlineLevel="0" collapsed="false">
      <c r="A1104" s="74" t="n">
        <f aca="false">MONTH(B1104)</f>
        <v>10</v>
      </c>
      <c r="B1104" s="135" t="n">
        <v>44499</v>
      </c>
      <c r="C1104" s="128" t="s">
        <v>51</v>
      </c>
      <c r="D1104" s="77" t="str">
        <f aca="false">IFERROR(VLOOKUP(E:E,'Item Data Support Sheet'!A:O,7,0),"")</f>
        <v>HOOD MOLDED</v>
      </c>
      <c r="E1104" s="80" t="s">
        <v>529</v>
      </c>
      <c r="F1104" s="122"/>
      <c r="G1104" s="137" t="s">
        <v>740</v>
      </c>
      <c r="H1104" s="79" t="str">
        <f aca="false">IFERROR(VLOOKUP(E:E,'Item Data Support Sheet'!A:O,2,0),"")</f>
        <v>HOOD S TYPE MOLDED</v>
      </c>
      <c r="I1104" s="80" t="s">
        <v>1884</v>
      </c>
      <c r="J1104" s="80" t="s">
        <v>148</v>
      </c>
      <c r="K1104" s="124" t="n">
        <v>8</v>
      </c>
      <c r="L1104" s="124" t="n">
        <v>4137</v>
      </c>
      <c r="M1104" s="83" t="n">
        <v>517.125</v>
      </c>
      <c r="N1104" s="84" t="n">
        <f aca="false">+O1104+Q1104+T1104+U1104</f>
        <v>5012</v>
      </c>
      <c r="O1104" s="85" t="n">
        <v>5000</v>
      </c>
      <c r="P1104" s="86" t="n">
        <v>0</v>
      </c>
      <c r="Q1104" s="86" t="n">
        <v>0</v>
      </c>
      <c r="R1104" s="132" t="n">
        <v>0</v>
      </c>
      <c r="S1104" s="128" t="n">
        <v>0</v>
      </c>
      <c r="T1104" s="132" t="n">
        <v>4</v>
      </c>
      <c r="U1104" s="128" t="n">
        <v>8</v>
      </c>
      <c r="V1104" s="128" t="n">
        <v>1</v>
      </c>
      <c r="W1104" s="90" t="n">
        <f aca="false">IFERROR(O1104/V1104,0)</f>
        <v>5000</v>
      </c>
      <c r="X1104" s="91" t="n">
        <f aca="false">O1104/L1104</f>
        <v>1.20860526951898</v>
      </c>
      <c r="Y1104" s="92" t="str">
        <f aca="false">IFERROR(VLOOKUP(E:E,'Item Data Support Sheet'!A:J,6,0),0)</f>
        <v>HMC</v>
      </c>
      <c r="Z1104" s="93" t="n">
        <f aca="false">IFERROR(VLOOKUP(E:E,'Item Data Support Sheet'!A:O,4,0),0)</f>
        <v>8.6</v>
      </c>
      <c r="AA1104" s="93" t="n">
        <f aca="false">IFERROR(((N1104)*(Z1104/1000))+P1104,0)</f>
        <v>43.1032</v>
      </c>
      <c r="AB1104" s="94" t="n">
        <f aca="false">IFERROR((O1104*(Z1104/1000)/(AA1104))," ")</f>
        <v>0.997605746209098</v>
      </c>
      <c r="AC1104" s="95" t="n">
        <f aca="false">IFERROR((T1104)/((T1104)+O1104),0)</f>
        <v>0.000799360511590727</v>
      </c>
      <c r="AD1104" s="96" t="n">
        <f aca="false">IFERROR(Q1104/(Q1104+N1104),0)</f>
        <v>0</v>
      </c>
      <c r="AE1104" s="91" t="n">
        <f aca="false">(N1104-T1104)/N1104</f>
        <v>0.999201915403033</v>
      </c>
      <c r="AF1104" s="97" t="n">
        <f aca="false">BR1104</f>
        <v>0</v>
      </c>
      <c r="AG1104" s="98" t="n">
        <f aca="false">K1104-AF1104</f>
        <v>8</v>
      </c>
      <c r="AH1104" s="99" t="n">
        <f aca="false">IFERROR(AG1104/K1104," ")</f>
        <v>1</v>
      </c>
      <c r="AI1104" s="100" t="n">
        <f aca="false">IFERROR(O1104/K1104,0)</f>
        <v>625</v>
      </c>
      <c r="AJ1104" s="101" t="n">
        <f aca="false">VLOOKUP(D1104,'Standard Cycle time'!C:D,2,0)</f>
        <v>6</v>
      </c>
      <c r="AK1104" s="101" t="n">
        <f aca="false">AG1104*V1104*3600/O1104</f>
        <v>5.76</v>
      </c>
      <c r="AL1104" s="102" t="n">
        <f aca="false">AJ1104/AK1104</f>
        <v>1.04166666666667</v>
      </c>
      <c r="AM1104" s="99" t="n">
        <f aca="false">AE1104*AL1104*AH1104</f>
        <v>1.04083532854483</v>
      </c>
      <c r="AN1104" s="103" t="n">
        <v>1.04091686161598</v>
      </c>
      <c r="AO1104" s="112"/>
      <c r="AP1104" s="105" t="n">
        <v>0</v>
      </c>
      <c r="AQ1104" s="105" t="n">
        <v>0</v>
      </c>
      <c r="AR1104" s="105" t="n">
        <v>0</v>
      </c>
      <c r="AS1104" s="105" t="n">
        <v>0</v>
      </c>
      <c r="AT1104" s="105" t="n">
        <v>0</v>
      </c>
      <c r="AU1104" s="105" t="n">
        <v>0</v>
      </c>
      <c r="AV1104" s="105" t="n">
        <v>0</v>
      </c>
      <c r="AW1104" s="105" t="n">
        <v>0</v>
      </c>
      <c r="AX1104" s="105" t="n">
        <v>0</v>
      </c>
      <c r="AY1104" s="105" t="n">
        <v>0</v>
      </c>
      <c r="AZ1104" s="105" t="n">
        <v>0</v>
      </c>
      <c r="BA1104" s="105" t="n">
        <v>0</v>
      </c>
      <c r="BB1104" s="105" t="n">
        <v>0</v>
      </c>
      <c r="BC1104" s="105" t="n">
        <v>0</v>
      </c>
      <c r="BD1104" s="105" t="n">
        <v>0</v>
      </c>
      <c r="BE1104" s="105" t="n">
        <v>0</v>
      </c>
      <c r="BF1104" s="105" t="n">
        <v>0</v>
      </c>
      <c r="BG1104" s="105" t="n">
        <v>0</v>
      </c>
      <c r="BH1104" s="105" t="n">
        <v>0</v>
      </c>
      <c r="BI1104" s="105" t="n">
        <v>0</v>
      </c>
      <c r="BJ1104" s="105" t="n">
        <v>0</v>
      </c>
      <c r="BK1104" s="105" t="n">
        <v>0</v>
      </c>
      <c r="BL1104" s="105" t="n">
        <v>0</v>
      </c>
      <c r="BM1104" s="105" t="n">
        <v>0</v>
      </c>
      <c r="BN1104" s="105" t="n">
        <v>0</v>
      </c>
      <c r="BO1104" s="105" t="n">
        <v>0</v>
      </c>
      <c r="BP1104" s="105" t="n">
        <v>0</v>
      </c>
      <c r="BQ1104" s="105" t="n">
        <v>0</v>
      </c>
      <c r="BR1104" s="106" t="n">
        <v>0</v>
      </c>
      <c r="BS1104" s="106" t="n">
        <v>0</v>
      </c>
      <c r="BT1104" s="107"/>
      <c r="BU1104" s="107"/>
      <c r="BV1104" s="107"/>
      <c r="BW1104" s="107"/>
      <c r="BX1104" s="107"/>
      <c r="BY1104" s="107"/>
      <c r="BZ1104" s="107"/>
      <c r="CA1104" s="107"/>
      <c r="CB1104" s="107"/>
      <c r="CC1104" s="107"/>
      <c r="CD1104" s="107"/>
      <c r="CE1104" s="107"/>
      <c r="CF1104" s="107"/>
      <c r="CG1104" s="107"/>
      <c r="CH1104" s="107"/>
      <c r="CI1104" s="107"/>
      <c r="CJ1104" s="107"/>
      <c r="CK1104" s="107"/>
      <c r="CL1104" s="107"/>
      <c r="CM1104" s="107"/>
      <c r="CN1104" s="107"/>
      <c r="CO1104" s="107"/>
      <c r="CP1104" s="107"/>
      <c r="CQ1104" s="107"/>
      <c r="CR1104" s="107"/>
      <c r="CS1104" s="107"/>
      <c r="CT1104" s="107"/>
      <c r="CU1104" s="107"/>
      <c r="CV1104" s="107"/>
    </row>
    <row r="1105" customFormat="false" ht="14.9" hidden="false" customHeight="false" outlineLevel="0" collapsed="false">
      <c r="A1105" s="74" t="n">
        <f aca="false">MONTH(B1105)</f>
        <v>10</v>
      </c>
      <c r="B1105" s="135" t="n">
        <v>44499</v>
      </c>
      <c r="C1105" s="128" t="s">
        <v>51</v>
      </c>
      <c r="D1105" s="77" t="str">
        <f aca="false">IFERROR(VLOOKUP(E:E,'Item Data Support Sheet'!A:O,7,0),"")</f>
        <v>NIPPLE PUNCH</v>
      </c>
      <c r="E1105" s="80" t="s">
        <v>53</v>
      </c>
      <c r="F1105" s="122"/>
      <c r="G1105" s="137" t="s">
        <v>54</v>
      </c>
      <c r="H1105" s="79" t="str">
        <f aca="false">IFERROR(VLOOKUP(E:E,'Item Data Support Sheet'!A:O,2,0),"")</f>
        <v>NIPPLE S TYPE S SIZE PUNCHED</v>
      </c>
      <c r="I1105" s="80" t="s">
        <v>1885</v>
      </c>
      <c r="J1105" s="80" t="s">
        <v>155</v>
      </c>
      <c r="K1105" s="124" t="n">
        <v>8</v>
      </c>
      <c r="L1105" s="124" t="n">
        <v>7000</v>
      </c>
      <c r="M1105" s="83" t="n">
        <v>875</v>
      </c>
      <c r="N1105" s="84" t="n">
        <f aca="false">+O1105+Q1105+T1105+U1105</f>
        <v>7000</v>
      </c>
      <c r="O1105" s="85" t="n">
        <v>7000</v>
      </c>
      <c r="P1105" s="86" t="n">
        <v>0</v>
      </c>
      <c r="Q1105" s="86" t="n">
        <v>0</v>
      </c>
      <c r="R1105" s="132" t="n">
        <v>0</v>
      </c>
      <c r="S1105" s="128" t="n">
        <v>0</v>
      </c>
      <c r="T1105" s="132" t="n">
        <v>0</v>
      </c>
      <c r="U1105" s="128" t="n">
        <v>0</v>
      </c>
      <c r="V1105" s="128" t="n">
        <v>1</v>
      </c>
      <c r="W1105" s="90" t="n">
        <f aca="false">IFERROR(O1105/V1105,0)</f>
        <v>7000</v>
      </c>
      <c r="X1105" s="91" t="n">
        <f aca="false">O1105/L1105</f>
        <v>1</v>
      </c>
      <c r="Y1105" s="92" t="str">
        <f aca="false">IFERROR(VLOOKUP(E:E,'Item Data Support Sheet'!A:J,6,0),0)</f>
        <v>FO015</v>
      </c>
      <c r="Z1105" s="93" t="n">
        <f aca="false">IFERROR(VLOOKUP(E:E,'Item Data Support Sheet'!A:O,4,0),0)</f>
        <v>0</v>
      </c>
      <c r="AA1105" s="93" t="n">
        <f aca="false">IFERROR(((N1105)*(Z1105/1000))+P1105,0)</f>
        <v>0</v>
      </c>
      <c r="AB1105" s="94" t="str">
        <f aca="false">IFERROR((O1105*(Z1105/1000)/(AA1105))," ")</f>
        <v> </v>
      </c>
      <c r="AC1105" s="95" t="n">
        <f aca="false">IFERROR((T1105)/((T1105)+O1105),0)</f>
        <v>0</v>
      </c>
      <c r="AD1105" s="96" t="n">
        <f aca="false">IFERROR(Q1105/(Q1105+N1105),0)</f>
        <v>0</v>
      </c>
      <c r="AE1105" s="91" t="n">
        <f aca="false">(N1105-T1105)/N1105</f>
        <v>1</v>
      </c>
      <c r="AF1105" s="97" t="n">
        <f aca="false">BR1105</f>
        <v>0.666666666666667</v>
      </c>
      <c r="AG1105" s="98" t="n">
        <f aca="false">K1105-AF1105</f>
        <v>7.33333333333333</v>
      </c>
      <c r="AH1105" s="99" t="n">
        <f aca="false">IFERROR(AG1105/K1105," ")</f>
        <v>0.916666666666667</v>
      </c>
      <c r="AI1105" s="100" t="n">
        <f aca="false">IFERROR(O1105/K1105,0)</f>
        <v>875</v>
      </c>
      <c r="AJ1105" s="101" t="n">
        <f aca="false">VLOOKUP(D1105,'Standard Cycle time'!C:D,2,0)</f>
        <v>3.5</v>
      </c>
      <c r="AK1105" s="101" t="n">
        <f aca="false">AG1105*V1105*3600/O1105</f>
        <v>3.77142857142857</v>
      </c>
      <c r="AL1105" s="102" t="n">
        <f aca="false">AJ1105/AK1105</f>
        <v>0.928030303030303</v>
      </c>
      <c r="AM1105" s="99" t="n">
        <f aca="false">AE1105*AL1105*AH1105</f>
        <v>0.850694444444444</v>
      </c>
      <c r="AN1105" s="103" t="n">
        <v>0.850694444444444</v>
      </c>
      <c r="AO1105" s="112"/>
      <c r="AP1105" s="105" t="n">
        <v>40</v>
      </c>
      <c r="AQ1105" s="105" t="n">
        <v>0</v>
      </c>
      <c r="AR1105" s="105" t="n">
        <v>0</v>
      </c>
      <c r="AS1105" s="105" t="n">
        <v>0</v>
      </c>
      <c r="AT1105" s="105" t="n">
        <v>0</v>
      </c>
      <c r="AU1105" s="105" t="n">
        <v>0</v>
      </c>
      <c r="AV1105" s="105" t="n">
        <v>0</v>
      </c>
      <c r="AW1105" s="105" t="n">
        <v>0</v>
      </c>
      <c r="AX1105" s="105" t="n">
        <v>0</v>
      </c>
      <c r="AY1105" s="105" t="n">
        <v>0</v>
      </c>
      <c r="AZ1105" s="105" t="n">
        <v>0</v>
      </c>
      <c r="BA1105" s="105" t="n">
        <v>0</v>
      </c>
      <c r="BB1105" s="105" t="n">
        <v>0</v>
      </c>
      <c r="BC1105" s="105" t="n">
        <v>0</v>
      </c>
      <c r="BD1105" s="105" t="n">
        <v>0</v>
      </c>
      <c r="BE1105" s="105" t="n">
        <v>0</v>
      </c>
      <c r="BF1105" s="105" t="n">
        <v>0</v>
      </c>
      <c r="BG1105" s="105" t="n">
        <v>0</v>
      </c>
      <c r="BH1105" s="105" t="n">
        <v>0</v>
      </c>
      <c r="BI1105" s="105" t="n">
        <v>0</v>
      </c>
      <c r="BJ1105" s="105" t="n">
        <v>0</v>
      </c>
      <c r="BK1105" s="105" t="n">
        <v>0</v>
      </c>
      <c r="BL1105" s="105" t="n">
        <v>0</v>
      </c>
      <c r="BM1105" s="105" t="n">
        <v>0</v>
      </c>
      <c r="BN1105" s="105" t="n">
        <v>0</v>
      </c>
      <c r="BO1105" s="105" t="n">
        <v>0</v>
      </c>
      <c r="BP1105" s="105" t="n">
        <v>0</v>
      </c>
      <c r="BQ1105" s="105" t="n">
        <v>0</v>
      </c>
      <c r="BR1105" s="106" t="n">
        <v>0.666666666666667</v>
      </c>
      <c r="BS1105" s="106" t="n">
        <v>0.666666666666667</v>
      </c>
      <c r="BT1105" s="107"/>
      <c r="BU1105" s="107"/>
      <c r="BV1105" s="107"/>
      <c r="BW1105" s="107"/>
      <c r="BX1105" s="107"/>
      <c r="BY1105" s="107"/>
      <c r="BZ1105" s="107"/>
      <c r="CA1105" s="107"/>
      <c r="CB1105" s="107"/>
      <c r="CC1105" s="107"/>
      <c r="CD1105" s="107"/>
      <c r="CE1105" s="107"/>
      <c r="CF1105" s="107"/>
      <c r="CG1105" s="107"/>
      <c r="CH1105" s="107"/>
      <c r="CI1105" s="107"/>
      <c r="CJ1105" s="107"/>
      <c r="CK1105" s="107"/>
      <c r="CL1105" s="107"/>
      <c r="CM1105" s="107"/>
      <c r="CN1105" s="107"/>
      <c r="CO1105" s="107"/>
      <c r="CP1105" s="107"/>
      <c r="CQ1105" s="107"/>
      <c r="CR1105" s="107"/>
      <c r="CS1105" s="107"/>
      <c r="CT1105" s="107"/>
      <c r="CU1105" s="107"/>
      <c r="CV1105" s="107"/>
    </row>
    <row r="1106" customFormat="false" ht="14.9" hidden="false" customHeight="false" outlineLevel="0" collapsed="false">
      <c r="A1106" s="74" t="n">
        <f aca="false">MONTH(B1106)</f>
        <v>10</v>
      </c>
      <c r="B1106" s="135" t="n">
        <v>44499</v>
      </c>
      <c r="C1106" s="128" t="s">
        <v>51</v>
      </c>
      <c r="D1106" s="77" t="str">
        <f aca="false">IFERROR(VLOOKUP(E:E,'Item Data Support Sheet'!A:O,7,0),"")</f>
        <v>NIPPLE LASER MARKING</v>
      </c>
      <c r="E1106" s="80" t="s">
        <v>444</v>
      </c>
      <c r="F1106" s="122"/>
      <c r="G1106" s="137" t="s">
        <v>517</v>
      </c>
      <c r="H1106" s="79" t="str">
        <f aca="false">IFERROR(VLOOKUP(E:E,'Item Data Support Sheet'!A:O,2,0),"")</f>
        <v>NIPPLE S TYPE S SIZE PUNCHED LASER MARKED</v>
      </c>
      <c r="I1106" s="80" t="s">
        <v>1745</v>
      </c>
      <c r="J1106" s="80" t="s">
        <v>155</v>
      </c>
      <c r="K1106" s="124" t="n">
        <v>8</v>
      </c>
      <c r="L1106" s="124" t="n">
        <v>7000</v>
      </c>
      <c r="M1106" s="83" t="n">
        <v>875</v>
      </c>
      <c r="N1106" s="84" t="n">
        <f aca="false">+O1106+Q1106+T1106+U1106</f>
        <v>6600</v>
      </c>
      <c r="O1106" s="85" t="n">
        <v>6600</v>
      </c>
      <c r="P1106" s="86" t="n">
        <v>0</v>
      </c>
      <c r="Q1106" s="86" t="n">
        <v>0</v>
      </c>
      <c r="R1106" s="132" t="n">
        <v>0</v>
      </c>
      <c r="S1106" s="128" t="n">
        <v>0</v>
      </c>
      <c r="T1106" s="132" t="n">
        <v>0</v>
      </c>
      <c r="U1106" s="128" t="n">
        <v>0</v>
      </c>
      <c r="V1106" s="128" t="n">
        <v>1</v>
      </c>
      <c r="W1106" s="90" t="n">
        <f aca="false">IFERROR(O1106/V1106,0)</f>
        <v>6600</v>
      </c>
      <c r="X1106" s="91" t="n">
        <f aca="false">O1106/L1106</f>
        <v>0.942857142857143</v>
      </c>
      <c r="Y1106" s="92" t="str">
        <f aca="false">IFERROR(VLOOKUP(E:E,'Item Data Support Sheet'!A:J,6,0),0)</f>
        <v>FO019</v>
      </c>
      <c r="Z1106" s="93" t="n">
        <f aca="false">IFERROR(VLOOKUP(E:E,'Item Data Support Sheet'!A:O,4,0),0)</f>
        <v>0</v>
      </c>
      <c r="AA1106" s="93" t="n">
        <f aca="false">IFERROR(((N1106)*(Z1106/1000))+P1106,0)</f>
        <v>0</v>
      </c>
      <c r="AB1106" s="94" t="str">
        <f aca="false">IFERROR((O1106*(Z1106/1000)/(AA1106))," ")</f>
        <v> </v>
      </c>
      <c r="AC1106" s="95" t="n">
        <f aca="false">IFERROR((T1106)/((T1106)+O1106),0)</f>
        <v>0</v>
      </c>
      <c r="AD1106" s="96" t="n">
        <f aca="false">IFERROR(Q1106/(Q1106+N1106),0)</f>
        <v>0</v>
      </c>
      <c r="AE1106" s="91" t="n">
        <f aca="false">(N1106-T1106)/N1106</f>
        <v>1</v>
      </c>
      <c r="AF1106" s="97" t="n">
        <f aca="false">BR1106</f>
        <v>0.666666666666667</v>
      </c>
      <c r="AG1106" s="98" t="n">
        <f aca="false">K1106-AF1106</f>
        <v>7.33333333333333</v>
      </c>
      <c r="AH1106" s="99" t="n">
        <f aca="false">IFERROR(AG1106/K1106," ")</f>
        <v>0.916666666666667</v>
      </c>
      <c r="AI1106" s="100" t="n">
        <f aca="false">IFERROR(O1106/K1106,0)</f>
        <v>825</v>
      </c>
      <c r="AJ1106" s="101" t="n">
        <f aca="false">VLOOKUP(D1106,'Standard Cycle time'!C:D,2,0)</f>
        <v>3.5</v>
      </c>
      <c r="AK1106" s="101" t="n">
        <f aca="false">AG1106*V1106*3600/O1106</f>
        <v>4</v>
      </c>
      <c r="AL1106" s="102" t="n">
        <f aca="false">AJ1106/AK1106</f>
        <v>0.875</v>
      </c>
      <c r="AM1106" s="99" t="n">
        <f aca="false">AE1106*AL1106*AH1106</f>
        <v>0.802083333333333</v>
      </c>
      <c r="AN1106" s="103" t="n">
        <v>0.802083333333333</v>
      </c>
      <c r="AO1106" s="112" t="s">
        <v>1886</v>
      </c>
      <c r="AP1106" s="105" t="n">
        <v>40</v>
      </c>
      <c r="AQ1106" s="105" t="n">
        <v>0</v>
      </c>
      <c r="AR1106" s="105" t="n">
        <v>0</v>
      </c>
      <c r="AS1106" s="105" t="n">
        <v>0</v>
      </c>
      <c r="AT1106" s="105" t="n">
        <v>0</v>
      </c>
      <c r="AU1106" s="105" t="n">
        <v>0</v>
      </c>
      <c r="AV1106" s="105" t="n">
        <v>0</v>
      </c>
      <c r="AW1106" s="105" t="n">
        <v>0</v>
      </c>
      <c r="AX1106" s="105" t="n">
        <v>0</v>
      </c>
      <c r="AY1106" s="105" t="n">
        <v>0</v>
      </c>
      <c r="AZ1106" s="105" t="n">
        <v>0</v>
      </c>
      <c r="BA1106" s="105" t="n">
        <v>0</v>
      </c>
      <c r="BB1106" s="105" t="n">
        <v>0</v>
      </c>
      <c r="BC1106" s="105" t="n">
        <v>0</v>
      </c>
      <c r="BD1106" s="105" t="n">
        <v>0</v>
      </c>
      <c r="BE1106" s="105" t="n">
        <v>0</v>
      </c>
      <c r="BF1106" s="105" t="n">
        <v>0</v>
      </c>
      <c r="BG1106" s="105" t="n">
        <v>0</v>
      </c>
      <c r="BH1106" s="105" t="n">
        <v>0</v>
      </c>
      <c r="BI1106" s="105" t="n">
        <v>0</v>
      </c>
      <c r="BJ1106" s="105" t="n">
        <v>0</v>
      </c>
      <c r="BK1106" s="105" t="n">
        <v>0</v>
      </c>
      <c r="BL1106" s="105" t="n">
        <v>0</v>
      </c>
      <c r="BM1106" s="105" t="n">
        <v>0</v>
      </c>
      <c r="BN1106" s="105" t="n">
        <v>0</v>
      </c>
      <c r="BO1106" s="105" t="n">
        <v>0</v>
      </c>
      <c r="BP1106" s="105" t="n">
        <v>0</v>
      </c>
      <c r="BQ1106" s="105" t="n">
        <v>0</v>
      </c>
      <c r="BR1106" s="106" t="n">
        <v>0.666666666666667</v>
      </c>
      <c r="BS1106" s="106" t="n">
        <v>0.666666666666667</v>
      </c>
      <c r="BT1106" s="107"/>
      <c r="BU1106" s="107"/>
      <c r="BV1106" s="107"/>
      <c r="BW1106" s="107"/>
      <c r="BX1106" s="107"/>
      <c r="BY1106" s="107"/>
      <c r="BZ1106" s="107"/>
      <c r="CA1106" s="107"/>
      <c r="CB1106" s="107"/>
      <c r="CC1106" s="107"/>
      <c r="CD1106" s="107"/>
      <c r="CE1106" s="107"/>
      <c r="CF1106" s="107"/>
      <c r="CG1106" s="107"/>
      <c r="CH1106" s="107"/>
      <c r="CI1106" s="107"/>
      <c r="CJ1106" s="107"/>
      <c r="CK1106" s="107"/>
      <c r="CL1106" s="107"/>
      <c r="CM1106" s="107"/>
      <c r="CN1106" s="107"/>
      <c r="CO1106" s="107"/>
      <c r="CP1106" s="107"/>
      <c r="CQ1106" s="107"/>
      <c r="CR1106" s="107"/>
      <c r="CS1106" s="107"/>
      <c r="CT1106" s="107"/>
      <c r="CU1106" s="107"/>
      <c r="CV1106" s="107"/>
      <c r="CZ1106" s="0" t="n">
        <v>0</v>
      </c>
    </row>
    <row r="1107" customFormat="false" ht="14.9" hidden="false" customHeight="false" outlineLevel="0" collapsed="false">
      <c r="A1107" s="74" t="n">
        <f aca="false">MONTH(B1107)</f>
        <v>10</v>
      </c>
      <c r="B1107" s="135" t="n">
        <v>44499</v>
      </c>
      <c r="C1107" s="128" t="s">
        <v>51</v>
      </c>
      <c r="D1107" s="77" t="str">
        <f aca="false">IFERROR(VLOOKUP(E:E,'Item Data Support Sheet'!A:O,7,0),"")</f>
        <v>BOTTLE PRINTED</v>
      </c>
      <c r="E1107" s="80" t="s">
        <v>65</v>
      </c>
      <c r="F1107" s="122"/>
      <c r="G1107" s="137"/>
      <c r="H1107" s="79" t="str">
        <f aca="false">IFERROR(VLOOKUP(E:E,'Item Data Support Sheet'!A:O,2,0),"")</f>
        <v>KPP 240 ML BOTTLE PRINTED</v>
      </c>
      <c r="I1107" s="80" t="s">
        <v>1887</v>
      </c>
      <c r="J1107" s="80" t="s">
        <v>155</v>
      </c>
      <c r="K1107" s="124" t="n">
        <v>8</v>
      </c>
      <c r="L1107" s="124" t="n">
        <v>5100</v>
      </c>
      <c r="M1107" s="83" t="n">
        <v>637.5</v>
      </c>
      <c r="N1107" s="84" t="n">
        <f aca="false">+O1107+Q1107+T1107+U1107</f>
        <v>4367</v>
      </c>
      <c r="O1107" s="85" t="n">
        <v>4320</v>
      </c>
      <c r="P1107" s="86" t="n">
        <v>0</v>
      </c>
      <c r="Q1107" s="86" t="n">
        <v>0</v>
      </c>
      <c r="R1107" s="132" t="n">
        <v>46</v>
      </c>
      <c r="S1107" s="128" t="n">
        <v>0</v>
      </c>
      <c r="T1107" s="132" t="n">
        <v>47</v>
      </c>
      <c r="U1107" s="128" t="n">
        <v>0</v>
      </c>
      <c r="V1107" s="128" t="n">
        <v>5</v>
      </c>
      <c r="W1107" s="90" t="n">
        <f aca="false">IFERROR(O1107/V1107,0)</f>
        <v>864</v>
      </c>
      <c r="X1107" s="91" t="n">
        <f aca="false">O1107/L1107</f>
        <v>0.847058823529412</v>
      </c>
      <c r="Y1107" s="92" t="str">
        <f aca="false">IFERROR(VLOOKUP(E:E,'Item Data Support Sheet'!A:J,6,0),0)</f>
        <v>FO003</v>
      </c>
      <c r="Z1107" s="93" t="n">
        <f aca="false">IFERROR(VLOOKUP(E:E,'Item Data Support Sheet'!A:O,4,0),0)</f>
        <v>0</v>
      </c>
      <c r="AA1107" s="93" t="n">
        <f aca="false">IFERROR(((N1107)*(Z1107/1000))+P1107,0)</f>
        <v>0</v>
      </c>
      <c r="AB1107" s="94" t="str">
        <f aca="false">IFERROR((O1107*(Z1107/1000)/(AA1107))," ")</f>
        <v> </v>
      </c>
      <c r="AC1107" s="95" t="n">
        <f aca="false">IFERROR((T1107)/((T1107)+O1107),0)</f>
        <v>0.0107625372108999</v>
      </c>
      <c r="AD1107" s="96" t="n">
        <f aca="false">IFERROR(Q1107/(Q1107+N1107),0)</f>
        <v>0</v>
      </c>
      <c r="AE1107" s="91" t="n">
        <f aca="false">(N1107-T1107)/N1107</f>
        <v>0.9892374627891</v>
      </c>
      <c r="AF1107" s="97" t="n">
        <f aca="false">BR1107</f>
        <v>2</v>
      </c>
      <c r="AG1107" s="98" t="n">
        <f aca="false">K1107-AF1107</f>
        <v>6</v>
      </c>
      <c r="AH1107" s="99" t="n">
        <f aca="false">IFERROR(AG1107/K1107," ")</f>
        <v>0.75</v>
      </c>
      <c r="AI1107" s="100" t="n">
        <f aca="false">IFERROR(O1107/K1107,0)</f>
        <v>540</v>
      </c>
      <c r="AJ1107" s="101" t="n">
        <f aca="false">VLOOKUP(D1107,'Standard Cycle time'!C:D,2,0)</f>
        <v>32.4</v>
      </c>
      <c r="AK1107" s="101" t="n">
        <f aca="false">AG1107*V1107*3600/O1107</f>
        <v>25</v>
      </c>
      <c r="AL1107" s="102" t="n">
        <f aca="false">AJ1107/AK1107</f>
        <v>1.296</v>
      </c>
      <c r="AM1107" s="99" t="n">
        <f aca="false">AE1107*AL1107*AH1107</f>
        <v>0.961538813831005</v>
      </c>
      <c r="AN1107" s="103" t="n">
        <v>0.965078181818182</v>
      </c>
      <c r="AO1107" s="112" t="s">
        <v>1888</v>
      </c>
      <c r="AP1107" s="105" t="n">
        <v>40</v>
      </c>
      <c r="AQ1107" s="105" t="n">
        <v>0</v>
      </c>
      <c r="AR1107" s="105" t="n">
        <v>0</v>
      </c>
      <c r="AS1107" s="105" t="n">
        <v>0</v>
      </c>
      <c r="AT1107" s="105" t="n">
        <v>80</v>
      </c>
      <c r="AU1107" s="105" t="n">
        <v>0</v>
      </c>
      <c r="AV1107" s="105" t="n">
        <v>0</v>
      </c>
      <c r="AW1107" s="105" t="n">
        <v>0</v>
      </c>
      <c r="AX1107" s="105" t="n">
        <v>0</v>
      </c>
      <c r="AY1107" s="105" t="n">
        <v>0</v>
      </c>
      <c r="AZ1107" s="105" t="n">
        <v>0</v>
      </c>
      <c r="BA1107" s="105" t="n">
        <v>0</v>
      </c>
      <c r="BB1107" s="105" t="n">
        <v>0</v>
      </c>
      <c r="BC1107" s="105" t="n">
        <v>0</v>
      </c>
      <c r="BD1107" s="105" t="n">
        <v>0</v>
      </c>
      <c r="BE1107" s="105" t="n">
        <v>0</v>
      </c>
      <c r="BF1107" s="105" t="n">
        <v>0</v>
      </c>
      <c r="BG1107" s="105" t="n">
        <v>0</v>
      </c>
      <c r="BH1107" s="105" t="n">
        <v>0</v>
      </c>
      <c r="BI1107" s="105" t="n">
        <v>0</v>
      </c>
      <c r="BJ1107" s="105" t="n">
        <v>0</v>
      </c>
      <c r="BK1107" s="105" t="n">
        <v>0</v>
      </c>
      <c r="BL1107" s="105" t="n">
        <v>0</v>
      </c>
      <c r="BM1107" s="105" t="n">
        <v>0</v>
      </c>
      <c r="BN1107" s="105" t="n">
        <v>0</v>
      </c>
      <c r="BO1107" s="105" t="n">
        <v>0</v>
      </c>
      <c r="BP1107" s="105" t="n">
        <v>0</v>
      </c>
      <c r="BQ1107" s="105" t="n">
        <v>0</v>
      </c>
      <c r="BR1107" s="106" t="n">
        <v>2</v>
      </c>
      <c r="BS1107" s="106" t="n">
        <v>2</v>
      </c>
      <c r="BT1107" s="107"/>
      <c r="BU1107" s="107"/>
      <c r="BV1107" s="107"/>
      <c r="BW1107" s="107"/>
      <c r="BX1107" s="107"/>
      <c r="BY1107" s="107"/>
      <c r="BZ1107" s="107"/>
      <c r="CA1107" s="107"/>
      <c r="CB1107" s="107"/>
      <c r="CC1107" s="107"/>
      <c r="CD1107" s="107"/>
      <c r="CE1107" s="107"/>
      <c r="CF1107" s="107"/>
      <c r="CG1107" s="107"/>
      <c r="CH1107" s="107"/>
      <c r="CI1107" s="107"/>
      <c r="CJ1107" s="107"/>
      <c r="CK1107" s="107"/>
      <c r="CL1107" s="107"/>
      <c r="CM1107" s="107"/>
      <c r="CN1107" s="107"/>
      <c r="CO1107" s="107"/>
      <c r="CP1107" s="107"/>
      <c r="CQ1107" s="107"/>
      <c r="CR1107" s="107"/>
      <c r="CS1107" s="107"/>
      <c r="CT1107" s="107"/>
      <c r="CU1107" s="107"/>
      <c r="CV1107" s="107"/>
    </row>
    <row r="1108" customFormat="false" ht="14.9" hidden="false" customHeight="false" outlineLevel="0" collapsed="false">
      <c r="A1108" s="74" t="n">
        <f aca="false">MONTH(B1108)</f>
        <v>10</v>
      </c>
      <c r="B1108" s="135" t="n">
        <v>44499</v>
      </c>
      <c r="C1108" s="128" t="s">
        <v>63</v>
      </c>
      <c r="D1108" s="77" t="str">
        <f aca="false">IFERROR(VLOOKUP(E:E,'Item Data Support Sheet'!A:O,7,0),"")</f>
        <v>NIPPLE PUNCH INSPECTED</v>
      </c>
      <c r="E1108" s="80" t="s">
        <v>297</v>
      </c>
      <c r="F1108" s="122"/>
      <c r="G1108" s="137"/>
      <c r="H1108" s="79" t="str">
        <f aca="false">IFERROR(VLOOKUP(E:E,'Item Data Support Sheet'!A:O,2,0),"")</f>
        <v>NIPPLE S TYPE S SIZE PUNCHED INSPECTED</v>
      </c>
      <c r="I1108" s="80" t="s">
        <v>1874</v>
      </c>
      <c r="J1108" s="80" t="s">
        <v>155</v>
      </c>
      <c r="K1108" s="124" t="n">
        <v>8</v>
      </c>
      <c r="L1108" s="124" t="n">
        <v>14000</v>
      </c>
      <c r="M1108" s="83" t="n">
        <v>1750</v>
      </c>
      <c r="N1108" s="84" t="n">
        <f aca="false">+O1108+Q1108+T1108+U1108</f>
        <v>14000</v>
      </c>
      <c r="O1108" s="85" t="n">
        <v>13918</v>
      </c>
      <c r="P1108" s="86" t="n">
        <v>0</v>
      </c>
      <c r="Q1108" s="86" t="n">
        <v>0</v>
      </c>
      <c r="R1108" s="132" t="n">
        <v>0</v>
      </c>
      <c r="S1108" s="128" t="n">
        <v>0</v>
      </c>
      <c r="T1108" s="132" t="n">
        <v>82</v>
      </c>
      <c r="U1108" s="128" t="n">
        <v>0</v>
      </c>
      <c r="V1108" s="128" t="n">
        <v>2</v>
      </c>
      <c r="W1108" s="90" t="n">
        <f aca="false">IFERROR(O1108/V1108,0)</f>
        <v>6959</v>
      </c>
      <c r="X1108" s="91" t="n">
        <f aca="false">O1108/L1108</f>
        <v>0.994142857142857</v>
      </c>
      <c r="Y1108" s="92" t="str">
        <f aca="false">IFERROR(VLOOKUP(E:E,'Item Data Support Sheet'!A:J,6,0),0)</f>
        <v>FO104</v>
      </c>
      <c r="Z1108" s="93" t="n">
        <f aca="false">IFERROR(VLOOKUP(E:E,'Item Data Support Sheet'!A:O,4,0),0)</f>
        <v>0</v>
      </c>
      <c r="AA1108" s="93" t="n">
        <f aca="false">IFERROR(((N1108)*(Z1108/1000))+P1108,0)</f>
        <v>0</v>
      </c>
      <c r="AB1108" s="94" t="str">
        <f aca="false">IFERROR((O1108*(Z1108/1000)/(AA1108))," ")</f>
        <v> </v>
      </c>
      <c r="AC1108" s="95" t="n">
        <f aca="false">IFERROR((T1108)/((T1108)+O1108),0)</f>
        <v>0.00585714285714286</v>
      </c>
      <c r="AD1108" s="96" t="n">
        <f aca="false">IFERROR(Q1108/(Q1108+N1108),0)</f>
        <v>0</v>
      </c>
      <c r="AE1108" s="91" t="n">
        <f aca="false">(N1108-T1108)/N1108</f>
        <v>0.994142857142857</v>
      </c>
      <c r="AF1108" s="97" t="n">
        <f aca="false">BR1108</f>
        <v>0</v>
      </c>
      <c r="AG1108" s="98" t="n">
        <f aca="false">K1108-AF1108</f>
        <v>8</v>
      </c>
      <c r="AH1108" s="99" t="n">
        <f aca="false">IFERROR(AG1108/K1108," ")</f>
        <v>1</v>
      </c>
      <c r="AI1108" s="100" t="n">
        <f aca="false">IFERROR(O1108/K1108,0)</f>
        <v>1739.75</v>
      </c>
      <c r="AJ1108" s="101" t="n">
        <f aca="false">VLOOKUP(D1108,'Standard Cycle time'!C:D,2,0)</f>
        <v>4</v>
      </c>
      <c r="AK1108" s="101" t="n">
        <f aca="false">AG1108*V1108*3600/O1108</f>
        <v>4.1385256502371</v>
      </c>
      <c r="AL1108" s="102" t="n">
        <f aca="false">AJ1108/AK1108</f>
        <v>0.966527777777778</v>
      </c>
      <c r="AM1108" s="99" t="n">
        <f aca="false">AE1108*AL1108*AH1108</f>
        <v>0.960866686507937</v>
      </c>
      <c r="AN1108" s="103" t="n">
        <v>0.94837909955983</v>
      </c>
      <c r="AO1108" s="112"/>
      <c r="AP1108" s="105" t="n">
        <v>0</v>
      </c>
      <c r="AQ1108" s="105" t="n">
        <v>0</v>
      </c>
      <c r="AR1108" s="105" t="n">
        <v>0</v>
      </c>
      <c r="AS1108" s="105" t="n">
        <v>0</v>
      </c>
      <c r="AT1108" s="105" t="n">
        <v>0</v>
      </c>
      <c r="AU1108" s="105" t="n">
        <v>0</v>
      </c>
      <c r="AV1108" s="105" t="n">
        <v>0</v>
      </c>
      <c r="AW1108" s="105" t="n">
        <v>0</v>
      </c>
      <c r="AX1108" s="105" t="n">
        <v>0</v>
      </c>
      <c r="AY1108" s="105" t="n">
        <v>0</v>
      </c>
      <c r="AZ1108" s="105" t="n">
        <v>0</v>
      </c>
      <c r="BA1108" s="105" t="n">
        <v>0</v>
      </c>
      <c r="BB1108" s="105" t="n">
        <v>0</v>
      </c>
      <c r="BC1108" s="105" t="n">
        <v>0</v>
      </c>
      <c r="BD1108" s="105" t="n">
        <v>0</v>
      </c>
      <c r="BE1108" s="105" t="n">
        <v>0</v>
      </c>
      <c r="BF1108" s="105" t="n">
        <v>0</v>
      </c>
      <c r="BG1108" s="105" t="n">
        <v>0</v>
      </c>
      <c r="BH1108" s="105" t="n">
        <v>0</v>
      </c>
      <c r="BI1108" s="105" t="n">
        <v>0</v>
      </c>
      <c r="BJ1108" s="105" t="n">
        <v>0</v>
      </c>
      <c r="BK1108" s="105" t="n">
        <v>0</v>
      </c>
      <c r="BL1108" s="105" t="n">
        <v>0</v>
      </c>
      <c r="BM1108" s="105" t="n">
        <v>0</v>
      </c>
      <c r="BN1108" s="105" t="n">
        <v>0</v>
      </c>
      <c r="BO1108" s="105" t="n">
        <v>0</v>
      </c>
      <c r="BP1108" s="105" t="n">
        <v>0</v>
      </c>
      <c r="BQ1108" s="105" t="n">
        <v>0</v>
      </c>
      <c r="BR1108" s="106" t="n">
        <v>0</v>
      </c>
      <c r="BS1108" s="106" t="n">
        <v>0</v>
      </c>
      <c r="BT1108" s="107"/>
      <c r="BU1108" s="107"/>
      <c r="BV1108" s="107"/>
      <c r="BW1108" s="107"/>
      <c r="BX1108" s="107"/>
      <c r="BY1108" s="107"/>
      <c r="BZ1108" s="107"/>
      <c r="CA1108" s="107"/>
      <c r="CB1108" s="107"/>
      <c r="CC1108" s="107"/>
      <c r="CD1108" s="107"/>
      <c r="CE1108" s="107"/>
      <c r="CF1108" s="107"/>
      <c r="CG1108" s="107"/>
      <c r="CH1108" s="107"/>
      <c r="CI1108" s="107"/>
      <c r="CJ1108" s="107"/>
      <c r="CK1108" s="107"/>
      <c r="CL1108" s="107"/>
      <c r="CM1108" s="107"/>
      <c r="CN1108" s="107"/>
      <c r="CO1108" s="107"/>
      <c r="CP1108" s="107"/>
      <c r="CQ1108" s="107"/>
      <c r="CR1108" s="107"/>
      <c r="CS1108" s="107"/>
      <c r="CT1108" s="107"/>
      <c r="CU1108" s="107"/>
      <c r="CV1108" s="107"/>
    </row>
    <row r="1109" customFormat="false" ht="14.9" hidden="false" customHeight="false" outlineLevel="0" collapsed="false">
      <c r="A1109" s="74" t="n">
        <f aca="false">MONTH(B1109)</f>
        <v>10</v>
      </c>
      <c r="B1109" s="135" t="n">
        <v>44499</v>
      </c>
      <c r="C1109" s="128" t="s">
        <v>70</v>
      </c>
      <c r="D1109" s="77" t="str">
        <f aca="false">IFERROR(VLOOKUP(E:E,'Item Data Support Sheet'!A:O,7,0),"")</f>
        <v>NIPPLE PUNCH</v>
      </c>
      <c r="E1109" s="80" t="s">
        <v>53</v>
      </c>
      <c r="F1109" s="122"/>
      <c r="G1109" s="137" t="s">
        <v>54</v>
      </c>
      <c r="H1109" s="79" t="str">
        <f aca="false">IFERROR(VLOOKUP(E:E,'Item Data Support Sheet'!A:O,2,0),"")</f>
        <v>NIPPLE S TYPE S SIZE PUNCHED</v>
      </c>
      <c r="I1109" s="80" t="s">
        <v>1889</v>
      </c>
      <c r="J1109" s="80" t="s">
        <v>155</v>
      </c>
      <c r="K1109" s="124" t="n">
        <v>8</v>
      </c>
      <c r="L1109" s="124" t="n">
        <v>7000</v>
      </c>
      <c r="M1109" s="83" t="n">
        <v>875</v>
      </c>
      <c r="N1109" s="84" t="n">
        <f aca="false">+O1109+Q1109+T1109+U1109</f>
        <v>7000</v>
      </c>
      <c r="O1109" s="85" t="n">
        <v>7000</v>
      </c>
      <c r="P1109" s="86" t="n">
        <v>0</v>
      </c>
      <c r="Q1109" s="86" t="n">
        <v>0</v>
      </c>
      <c r="R1109" s="132" t="n">
        <v>0</v>
      </c>
      <c r="S1109" s="128" t="n">
        <v>0</v>
      </c>
      <c r="T1109" s="132" t="n">
        <v>0</v>
      </c>
      <c r="U1109" s="128" t="n">
        <v>0</v>
      </c>
      <c r="V1109" s="128" t="n">
        <v>1</v>
      </c>
      <c r="W1109" s="90" t="n">
        <f aca="false">IFERROR(O1109/V1109,0)</f>
        <v>7000</v>
      </c>
      <c r="X1109" s="91" t="n">
        <f aca="false">O1109/L1109</f>
        <v>1</v>
      </c>
      <c r="Y1109" s="92" t="str">
        <f aca="false">IFERROR(VLOOKUP(E:E,'Item Data Support Sheet'!A:J,6,0),0)</f>
        <v>FO015</v>
      </c>
      <c r="Z1109" s="93" t="n">
        <f aca="false">IFERROR(VLOOKUP(E:E,'Item Data Support Sheet'!A:O,4,0),0)</f>
        <v>0</v>
      </c>
      <c r="AA1109" s="93" t="n">
        <f aca="false">IFERROR(((N1109)*(Z1109/1000))+P1109,0)</f>
        <v>0</v>
      </c>
      <c r="AB1109" s="94" t="str">
        <f aca="false">IFERROR((O1109*(Z1109/1000)/(AA1109))," ")</f>
        <v> </v>
      </c>
      <c r="AC1109" s="95" t="n">
        <f aca="false">IFERROR((T1109)/((T1109)+O1109),0)</f>
        <v>0</v>
      </c>
      <c r="AD1109" s="96" t="n">
        <f aca="false">IFERROR(Q1109/(Q1109+N1109),0)</f>
        <v>0</v>
      </c>
      <c r="AE1109" s="91" t="n">
        <f aca="false">(N1109-T1109)/N1109</f>
        <v>1</v>
      </c>
      <c r="AF1109" s="97" t="n">
        <f aca="false">BR1109</f>
        <v>0.666666666666667</v>
      </c>
      <c r="AG1109" s="98" t="n">
        <f aca="false">K1109-AF1109</f>
        <v>7.33333333333333</v>
      </c>
      <c r="AH1109" s="99" t="n">
        <f aca="false">IFERROR(AG1109/K1109," ")</f>
        <v>0.916666666666667</v>
      </c>
      <c r="AI1109" s="100" t="n">
        <f aca="false">IFERROR(O1109/K1109,0)</f>
        <v>875</v>
      </c>
      <c r="AJ1109" s="101" t="n">
        <f aca="false">VLOOKUP(D1109,'Standard Cycle time'!C:D,2,0)</f>
        <v>3.5</v>
      </c>
      <c r="AK1109" s="101" t="n">
        <f aca="false">AG1109*V1109*3600/O1109</f>
        <v>3.77142857142857</v>
      </c>
      <c r="AL1109" s="102" t="n">
        <f aca="false">AJ1109/AK1109</f>
        <v>0.928030303030303</v>
      </c>
      <c r="AM1109" s="99" t="n">
        <f aca="false">AE1109*AL1109*AH1109</f>
        <v>0.850694444444444</v>
      </c>
      <c r="AN1109" s="103" t="n">
        <v>0.850694444444444</v>
      </c>
      <c r="AO1109" s="112"/>
      <c r="AP1109" s="105" t="n">
        <v>40</v>
      </c>
      <c r="AQ1109" s="105" t="n">
        <v>0</v>
      </c>
      <c r="AR1109" s="105" t="n">
        <v>0</v>
      </c>
      <c r="AS1109" s="105" t="n">
        <v>0</v>
      </c>
      <c r="AT1109" s="105" t="n">
        <v>0</v>
      </c>
      <c r="AU1109" s="105" t="n">
        <v>0</v>
      </c>
      <c r="AV1109" s="105" t="n">
        <v>0</v>
      </c>
      <c r="AW1109" s="105" t="n">
        <v>0</v>
      </c>
      <c r="AX1109" s="105" t="n">
        <v>0</v>
      </c>
      <c r="AY1109" s="105" t="n">
        <v>0</v>
      </c>
      <c r="AZ1109" s="105" t="n">
        <v>0</v>
      </c>
      <c r="BA1109" s="105" t="n">
        <v>0</v>
      </c>
      <c r="BB1109" s="105" t="n">
        <v>0</v>
      </c>
      <c r="BC1109" s="105" t="n">
        <v>0</v>
      </c>
      <c r="BD1109" s="105" t="n">
        <v>0</v>
      </c>
      <c r="BE1109" s="105" t="n">
        <v>0</v>
      </c>
      <c r="BF1109" s="105" t="n">
        <v>0</v>
      </c>
      <c r="BG1109" s="105" t="n">
        <v>0</v>
      </c>
      <c r="BH1109" s="105" t="n">
        <v>0</v>
      </c>
      <c r="BI1109" s="105" t="n">
        <v>0</v>
      </c>
      <c r="BJ1109" s="105" t="n">
        <v>0</v>
      </c>
      <c r="BK1109" s="105" t="n">
        <v>0</v>
      </c>
      <c r="BL1109" s="105" t="n">
        <v>0</v>
      </c>
      <c r="BM1109" s="105" t="n">
        <v>0</v>
      </c>
      <c r="BN1109" s="105" t="n">
        <v>0</v>
      </c>
      <c r="BO1109" s="105" t="n">
        <v>0</v>
      </c>
      <c r="BP1109" s="105" t="n">
        <v>0</v>
      </c>
      <c r="BQ1109" s="105" t="n">
        <v>0</v>
      </c>
      <c r="BR1109" s="106" t="n">
        <v>0.666666666666667</v>
      </c>
      <c r="BS1109" s="106" t="n">
        <v>0.666666666666667</v>
      </c>
      <c r="BT1109" s="107"/>
      <c r="BU1109" s="107"/>
      <c r="BV1109" s="107"/>
      <c r="BW1109" s="107"/>
      <c r="BX1109" s="107"/>
      <c r="BY1109" s="107"/>
      <c r="BZ1109" s="107"/>
      <c r="CA1109" s="107"/>
      <c r="CB1109" s="107"/>
      <c r="CC1109" s="107"/>
      <c r="CD1109" s="107"/>
      <c r="CE1109" s="107"/>
      <c r="CF1109" s="107"/>
      <c r="CG1109" s="107"/>
      <c r="CH1109" s="107"/>
      <c r="CI1109" s="107"/>
      <c r="CJ1109" s="107"/>
      <c r="CK1109" s="107"/>
      <c r="CL1109" s="107"/>
      <c r="CM1109" s="107"/>
      <c r="CN1109" s="107"/>
      <c r="CO1109" s="107"/>
      <c r="CP1109" s="107"/>
      <c r="CQ1109" s="107"/>
      <c r="CR1109" s="107"/>
      <c r="CS1109" s="107"/>
      <c r="CT1109" s="107"/>
      <c r="CU1109" s="107"/>
      <c r="CV1109" s="107"/>
    </row>
    <row r="1110" customFormat="false" ht="14.9" hidden="false" customHeight="false" outlineLevel="0" collapsed="false">
      <c r="A1110" s="74" t="n">
        <f aca="false">MONTH(B1110)</f>
        <v>10</v>
      </c>
      <c r="B1110" s="135" t="n">
        <v>44499</v>
      </c>
      <c r="C1110" s="128" t="s">
        <v>70</v>
      </c>
      <c r="D1110" s="77" t="str">
        <f aca="false">IFERROR(VLOOKUP(E:E,'Item Data Support Sheet'!A:O,7,0),"")</f>
        <v>NIPPLE LASER MARKING</v>
      </c>
      <c r="E1110" s="80" t="s">
        <v>444</v>
      </c>
      <c r="F1110" s="122"/>
      <c r="G1110" s="137" t="s">
        <v>517</v>
      </c>
      <c r="H1110" s="79" t="str">
        <f aca="false">IFERROR(VLOOKUP(E:E,'Item Data Support Sheet'!A:O,2,0),"")</f>
        <v>NIPPLE S TYPE S SIZE PUNCHED LASER MARKED</v>
      </c>
      <c r="I1110" s="80" t="s">
        <v>1890</v>
      </c>
      <c r="J1110" s="80" t="s">
        <v>155</v>
      </c>
      <c r="K1110" s="124" t="n">
        <v>8</v>
      </c>
      <c r="L1110" s="124" t="n">
        <v>7000</v>
      </c>
      <c r="M1110" s="83" t="n">
        <v>875</v>
      </c>
      <c r="N1110" s="84" t="n">
        <f aca="false">+O1110+Q1110+T1110+U1110</f>
        <v>7400</v>
      </c>
      <c r="O1110" s="85" t="n">
        <v>7400</v>
      </c>
      <c r="P1110" s="86" t="n">
        <v>0</v>
      </c>
      <c r="Q1110" s="86" t="n">
        <v>0</v>
      </c>
      <c r="R1110" s="132" t="n">
        <v>0</v>
      </c>
      <c r="S1110" s="128" t="n">
        <v>0</v>
      </c>
      <c r="T1110" s="132" t="n">
        <v>0</v>
      </c>
      <c r="U1110" s="128" t="n">
        <v>0</v>
      </c>
      <c r="V1110" s="128" t="n">
        <v>1</v>
      </c>
      <c r="W1110" s="90" t="n">
        <f aca="false">IFERROR(O1110/V1110,0)</f>
        <v>7400</v>
      </c>
      <c r="X1110" s="91" t="n">
        <f aca="false">O1110/L1110</f>
        <v>1.05714285714286</v>
      </c>
      <c r="Y1110" s="92" t="str">
        <f aca="false">IFERROR(VLOOKUP(E:E,'Item Data Support Sheet'!A:J,6,0),0)</f>
        <v>FO019</v>
      </c>
      <c r="Z1110" s="93" t="n">
        <f aca="false">IFERROR(VLOOKUP(E:E,'Item Data Support Sheet'!A:O,4,0),0)</f>
        <v>0</v>
      </c>
      <c r="AA1110" s="93" t="n">
        <f aca="false">IFERROR(((N1110)*(Z1110/1000))+P1110,0)</f>
        <v>0</v>
      </c>
      <c r="AB1110" s="94" t="str">
        <f aca="false">IFERROR((O1110*(Z1110/1000)/(AA1110))," ")</f>
        <v> </v>
      </c>
      <c r="AC1110" s="95" t="n">
        <f aca="false">IFERROR((T1110)/((T1110)+O1110),0)</f>
        <v>0</v>
      </c>
      <c r="AD1110" s="96" t="n">
        <f aca="false">IFERROR(Q1110/(Q1110+N1110),0)</f>
        <v>0</v>
      </c>
      <c r="AE1110" s="91" t="n">
        <f aca="false">(N1110-T1110)/N1110</f>
        <v>1</v>
      </c>
      <c r="AF1110" s="97" t="n">
        <f aca="false">BR1110</f>
        <v>0.666666666666667</v>
      </c>
      <c r="AG1110" s="98" t="n">
        <f aca="false">K1110-AF1110</f>
        <v>7.33333333333333</v>
      </c>
      <c r="AH1110" s="99" t="n">
        <f aca="false">IFERROR(AG1110/K1110," ")</f>
        <v>0.916666666666667</v>
      </c>
      <c r="AI1110" s="100" t="n">
        <f aca="false">IFERROR(O1110/K1110,0)</f>
        <v>925</v>
      </c>
      <c r="AJ1110" s="101" t="n">
        <f aca="false">VLOOKUP(D1110,'Standard Cycle time'!C:D,2,0)</f>
        <v>3.5</v>
      </c>
      <c r="AK1110" s="101" t="n">
        <f aca="false">AG1110*V1110*3600/O1110</f>
        <v>3.56756756756757</v>
      </c>
      <c r="AL1110" s="102" t="n">
        <f aca="false">AJ1110/AK1110</f>
        <v>0.981060606060606</v>
      </c>
      <c r="AM1110" s="99" t="n">
        <f aca="false">AE1110*AL1110*AH1110</f>
        <v>0.899305555555556</v>
      </c>
      <c r="AN1110" s="103" t="n">
        <v>0.899305555555556</v>
      </c>
      <c r="AO1110" s="112"/>
      <c r="AP1110" s="105" t="n">
        <v>40</v>
      </c>
      <c r="AQ1110" s="105" t="n">
        <v>0</v>
      </c>
      <c r="AR1110" s="105" t="n">
        <v>0</v>
      </c>
      <c r="AS1110" s="105" t="n">
        <v>0</v>
      </c>
      <c r="AT1110" s="105" t="n">
        <v>0</v>
      </c>
      <c r="AU1110" s="105" t="n">
        <v>0</v>
      </c>
      <c r="AV1110" s="105" t="n">
        <v>0</v>
      </c>
      <c r="AW1110" s="105" t="n">
        <v>0</v>
      </c>
      <c r="AX1110" s="105" t="n">
        <v>0</v>
      </c>
      <c r="AY1110" s="105" t="n">
        <v>0</v>
      </c>
      <c r="AZ1110" s="105" t="n">
        <v>0</v>
      </c>
      <c r="BA1110" s="105" t="n">
        <v>0</v>
      </c>
      <c r="BB1110" s="105" t="n">
        <v>0</v>
      </c>
      <c r="BC1110" s="105" t="n">
        <v>0</v>
      </c>
      <c r="BD1110" s="105" t="n">
        <v>0</v>
      </c>
      <c r="BE1110" s="105" t="n">
        <v>0</v>
      </c>
      <c r="BF1110" s="105" t="n">
        <v>0</v>
      </c>
      <c r="BG1110" s="105" t="n">
        <v>0</v>
      </c>
      <c r="BH1110" s="105" t="n">
        <v>0</v>
      </c>
      <c r="BI1110" s="105" t="n">
        <v>0</v>
      </c>
      <c r="BJ1110" s="105" t="n">
        <v>0</v>
      </c>
      <c r="BK1110" s="105" t="n">
        <v>0</v>
      </c>
      <c r="BL1110" s="105" t="n">
        <v>0</v>
      </c>
      <c r="BM1110" s="105" t="n">
        <v>0</v>
      </c>
      <c r="BN1110" s="105" t="n">
        <v>0</v>
      </c>
      <c r="BO1110" s="105" t="n">
        <v>0</v>
      </c>
      <c r="BP1110" s="105" t="n">
        <v>0</v>
      </c>
      <c r="BQ1110" s="105" t="n">
        <v>0</v>
      </c>
      <c r="BR1110" s="106" t="n">
        <v>0.666666666666667</v>
      </c>
      <c r="BS1110" s="106" t="n">
        <v>0.666666666666667</v>
      </c>
      <c r="BT1110" s="107"/>
      <c r="BU1110" s="107"/>
      <c r="BV1110" s="107"/>
      <c r="BW1110" s="107"/>
      <c r="BX1110" s="107"/>
      <c r="BY1110" s="107"/>
      <c r="BZ1110" s="107"/>
      <c r="CA1110" s="107"/>
      <c r="CB1110" s="107"/>
      <c r="CC1110" s="107"/>
      <c r="CD1110" s="107"/>
      <c r="CE1110" s="107"/>
      <c r="CF1110" s="107"/>
      <c r="CG1110" s="107"/>
      <c r="CH1110" s="107"/>
      <c r="CI1110" s="107"/>
      <c r="CJ1110" s="107"/>
      <c r="CK1110" s="107"/>
      <c r="CL1110" s="107"/>
      <c r="CM1110" s="107"/>
      <c r="CN1110" s="107"/>
      <c r="CO1110" s="107"/>
      <c r="CP1110" s="107"/>
      <c r="CQ1110" s="107"/>
      <c r="CR1110" s="107"/>
      <c r="CS1110" s="107"/>
      <c r="CT1110" s="107"/>
      <c r="CU1110" s="107"/>
      <c r="CV1110" s="107"/>
    </row>
    <row r="1111" customFormat="false" ht="14.9" hidden="false" customHeight="false" outlineLevel="0" collapsed="false">
      <c r="A1111" s="74" t="n">
        <f aca="false">MONTH(B1111)</f>
        <v>10</v>
      </c>
      <c r="B1111" s="135" t="n">
        <v>44499</v>
      </c>
      <c r="C1111" s="128" t="s">
        <v>70</v>
      </c>
      <c r="D1111" s="77" t="str">
        <f aca="false">IFERROR(VLOOKUP(E:E,'Item Data Support Sheet'!A:O,7,0),"")</f>
        <v>BOTTLE MOLDED</v>
      </c>
      <c r="E1111" s="80" t="s">
        <v>72</v>
      </c>
      <c r="F1111" s="122" t="s">
        <v>73</v>
      </c>
      <c r="G1111" s="137" t="s">
        <v>74</v>
      </c>
      <c r="H1111" s="79" t="str">
        <f aca="false">IFERROR(VLOOKUP(E:E,'Item Data Support Sheet'!A:O,2,0),"")</f>
        <v>KPP BOTTLE 240 ML MOULDED-WMG3B</v>
      </c>
      <c r="I1111" s="80" t="s">
        <v>1891</v>
      </c>
      <c r="J1111" s="80" t="s">
        <v>155</v>
      </c>
      <c r="K1111" s="124" t="n">
        <v>8</v>
      </c>
      <c r="L1111" s="124" t="n">
        <v>2503</v>
      </c>
      <c r="M1111" s="83" t="n">
        <v>312.875</v>
      </c>
      <c r="N1111" s="84" t="n">
        <f aca="false">+O1111+Q1111+T1111+U1111</f>
        <v>1516</v>
      </c>
      <c r="O1111" s="85" t="n">
        <v>1404</v>
      </c>
      <c r="P1111" s="86" t="n">
        <v>0</v>
      </c>
      <c r="Q1111" s="86" t="n">
        <v>50</v>
      </c>
      <c r="R1111" s="132" t="n">
        <v>0</v>
      </c>
      <c r="S1111" s="128" t="n">
        <v>0</v>
      </c>
      <c r="T1111" s="132" t="n">
        <v>62</v>
      </c>
      <c r="U1111" s="128" t="n">
        <v>0</v>
      </c>
      <c r="V1111" s="128" t="n">
        <v>1</v>
      </c>
      <c r="W1111" s="90" t="n">
        <f aca="false">IFERROR(O1111/V1111,0)</f>
        <v>1404</v>
      </c>
      <c r="X1111" s="91" t="n">
        <f aca="false">O1111/L1111</f>
        <v>0.560926887734718</v>
      </c>
      <c r="Y1111" s="92" t="str">
        <f aca="false">IFERROR(VLOOKUP(E:E,'Item Data Support Sheet'!A:J,6,0),0)</f>
        <v>WMG3B</v>
      </c>
      <c r="Z1111" s="93" t="n">
        <f aca="false">IFERROR(VLOOKUP(E:E,'Item Data Support Sheet'!A:O,4,0),0)</f>
        <v>33.1</v>
      </c>
      <c r="AA1111" s="93" t="n">
        <f aca="false">IFERROR(((N1111)*(Z1111/1000))+P1111,0)</f>
        <v>50.1796</v>
      </c>
      <c r="AB1111" s="94" t="n">
        <f aca="false">IFERROR((O1111*(Z1111/1000)/(AA1111))," ")</f>
        <v>0.926121372031662</v>
      </c>
      <c r="AC1111" s="95" t="n">
        <f aca="false">IFERROR((T1111)/((T1111)+O1111),0)</f>
        <v>0.0422919508867667</v>
      </c>
      <c r="AD1111" s="96" t="n">
        <f aca="false">IFERROR(Q1111/(Q1111+N1111),0)</f>
        <v>0.0319284802043423</v>
      </c>
      <c r="AE1111" s="91" t="n">
        <f aca="false">(N1111-T1111)/N1111</f>
        <v>0.95910290237467</v>
      </c>
      <c r="AF1111" s="97" t="n">
        <f aca="false">BR1111</f>
        <v>4</v>
      </c>
      <c r="AG1111" s="98" t="n">
        <f aca="false">K1111-AF1111</f>
        <v>4</v>
      </c>
      <c r="AH1111" s="99" t="n">
        <f aca="false">IFERROR(AG1111/K1111," ")</f>
        <v>0.5</v>
      </c>
      <c r="AI1111" s="100" t="n">
        <f aca="false">IFERROR(O1111/K1111,0)</f>
        <v>175.5</v>
      </c>
      <c r="AJ1111" s="101" t="n">
        <f aca="false">VLOOKUP(D1111,'Standard Cycle time'!C:D,2,0)</f>
        <v>9</v>
      </c>
      <c r="AK1111" s="101" t="n">
        <f aca="false">AG1111*V1111*3600/O1111</f>
        <v>10.2564102564103</v>
      </c>
      <c r="AL1111" s="102" t="n">
        <f aca="false">AJ1111/AK1111</f>
        <v>0.8775</v>
      </c>
      <c r="AM1111" s="99" t="n">
        <f aca="false">AE1111*AL1111*AH1111</f>
        <v>0.420806398416887</v>
      </c>
      <c r="AN1111" s="103" t="n">
        <v>0.435073986486486</v>
      </c>
      <c r="AO1111" s="112"/>
      <c r="AP1111" s="105" t="n">
        <v>0</v>
      </c>
      <c r="AQ1111" s="105" t="n">
        <v>0</v>
      </c>
      <c r="AR1111" s="105" t="n">
        <v>0</v>
      </c>
      <c r="AS1111" s="105" t="n">
        <v>0</v>
      </c>
      <c r="AT1111" s="105" t="n">
        <v>0</v>
      </c>
      <c r="AU1111" s="105" t="n">
        <v>0</v>
      </c>
      <c r="AV1111" s="105" t="n">
        <v>0</v>
      </c>
      <c r="AW1111" s="105" t="n">
        <v>240</v>
      </c>
      <c r="AX1111" s="105" t="n">
        <v>0</v>
      </c>
      <c r="AY1111" s="105" t="n">
        <v>0</v>
      </c>
      <c r="AZ1111" s="105" t="n">
        <v>0</v>
      </c>
      <c r="BA1111" s="105" t="n">
        <v>0</v>
      </c>
      <c r="BB1111" s="105" t="n">
        <v>0</v>
      </c>
      <c r="BC1111" s="105" t="n">
        <v>0</v>
      </c>
      <c r="BD1111" s="105" t="n">
        <v>0</v>
      </c>
      <c r="BE1111" s="105" t="n">
        <v>0</v>
      </c>
      <c r="BF1111" s="105" t="n">
        <v>0</v>
      </c>
      <c r="BG1111" s="105" t="n">
        <v>0</v>
      </c>
      <c r="BH1111" s="105" t="n">
        <v>0</v>
      </c>
      <c r="BI1111" s="105" t="n">
        <v>0</v>
      </c>
      <c r="BJ1111" s="105" t="n">
        <v>0</v>
      </c>
      <c r="BK1111" s="105" t="n">
        <v>0</v>
      </c>
      <c r="BL1111" s="105" t="n">
        <v>0</v>
      </c>
      <c r="BM1111" s="105" t="n">
        <v>0</v>
      </c>
      <c r="BN1111" s="105" t="n">
        <v>0</v>
      </c>
      <c r="BO1111" s="105" t="n">
        <v>0</v>
      </c>
      <c r="BP1111" s="105" t="n">
        <v>0</v>
      </c>
      <c r="BQ1111" s="105" t="n">
        <v>0</v>
      </c>
      <c r="BR1111" s="106" t="n">
        <v>4</v>
      </c>
      <c r="BS1111" s="106" t="n">
        <v>4</v>
      </c>
      <c r="BT1111" s="107"/>
      <c r="BU1111" s="107"/>
      <c r="BV1111" s="107"/>
      <c r="BW1111" s="107"/>
      <c r="BX1111" s="107"/>
      <c r="BY1111" s="107"/>
      <c r="BZ1111" s="107"/>
      <c r="CA1111" s="107"/>
      <c r="CB1111" s="107"/>
      <c r="CC1111" s="107"/>
      <c r="CD1111" s="107"/>
      <c r="CE1111" s="107"/>
      <c r="CF1111" s="107"/>
      <c r="CG1111" s="107"/>
      <c r="CH1111" s="107"/>
      <c r="CI1111" s="107"/>
      <c r="CJ1111" s="107"/>
      <c r="CK1111" s="107"/>
      <c r="CL1111" s="107"/>
      <c r="CM1111" s="107"/>
      <c r="CN1111" s="107"/>
      <c r="CO1111" s="107"/>
      <c r="CP1111" s="107"/>
      <c r="CQ1111" s="107"/>
      <c r="CR1111" s="107"/>
      <c r="CS1111" s="107"/>
      <c r="CT1111" s="107"/>
      <c r="CU1111" s="107"/>
      <c r="CV1111" s="107"/>
    </row>
    <row r="1112" customFormat="false" ht="14.9" hidden="false" customHeight="false" outlineLevel="0" collapsed="false">
      <c r="A1112" s="74" t="n">
        <f aca="false">MONTH(B1112)</f>
        <v>10</v>
      </c>
      <c r="B1112" s="135" t="n">
        <v>44499</v>
      </c>
      <c r="C1112" s="128" t="s">
        <v>70</v>
      </c>
      <c r="D1112" s="77" t="str">
        <f aca="false">IFERROR(VLOOKUP(E:E,'Item Data Support Sheet'!A:O,7,0),"")</f>
        <v>NIPPLE MOLDED</v>
      </c>
      <c r="E1112" s="80" t="s">
        <v>244</v>
      </c>
      <c r="F1112" s="122" t="s">
        <v>137</v>
      </c>
      <c r="G1112" s="137" t="s">
        <v>138</v>
      </c>
      <c r="H1112" s="79" t="str">
        <f aca="false">IFERROR(VLOOKUP(E:E,'Item Data Support Sheet'!A:O,2,0),"")</f>
        <v>NIPPLE S TYPE S SIZE INJECTION</v>
      </c>
      <c r="I1112" s="80" t="s">
        <v>1892</v>
      </c>
      <c r="J1112" s="80" t="s">
        <v>155</v>
      </c>
      <c r="K1112" s="124" t="n">
        <v>8</v>
      </c>
      <c r="L1112" s="124" t="n">
        <v>4815</v>
      </c>
      <c r="M1112" s="83" t="n">
        <v>601.875</v>
      </c>
      <c r="N1112" s="84" t="n">
        <f aca="false">+O1112+Q1112+T1112+U1112</f>
        <v>4900</v>
      </c>
      <c r="O1112" s="85" t="n">
        <v>4800</v>
      </c>
      <c r="P1112" s="86" t="n">
        <v>0</v>
      </c>
      <c r="Q1112" s="86" t="n">
        <v>60</v>
      </c>
      <c r="R1112" s="132" t="n">
        <v>0</v>
      </c>
      <c r="S1112" s="128" t="n">
        <v>0</v>
      </c>
      <c r="T1112" s="132" t="n">
        <v>40</v>
      </c>
      <c r="U1112" s="128" t="n">
        <v>0</v>
      </c>
      <c r="V1112" s="128" t="n">
        <v>1</v>
      </c>
      <c r="W1112" s="90" t="n">
        <f aca="false">IFERROR(O1112/V1112,0)</f>
        <v>4800</v>
      </c>
      <c r="X1112" s="91" t="n">
        <f aca="false">O1112/L1112</f>
        <v>0.996884735202492</v>
      </c>
      <c r="Y1112" s="92" t="str">
        <f aca="false">IFERROR(VLOOKUP(E:E,'Item Data Support Sheet'!A:J,6,0),0)</f>
        <v>Silicon</v>
      </c>
      <c r="Z1112" s="93" t="n">
        <f aca="false">IFERROR(VLOOKUP(E:E,'Item Data Support Sheet'!A:O,4,0),0)</f>
        <v>6.8</v>
      </c>
      <c r="AA1112" s="93" t="n">
        <f aca="false">IFERROR(((N1112)*(Z1112/1000))+P1112,0)</f>
        <v>33.32</v>
      </c>
      <c r="AB1112" s="94" t="n">
        <f aca="false">IFERROR((O1112*(Z1112/1000)/(AA1112))," ")</f>
        <v>0.979591836734694</v>
      </c>
      <c r="AC1112" s="95" t="n">
        <f aca="false">IFERROR((T1112)/((T1112)+O1112),0)</f>
        <v>0.00826446280991736</v>
      </c>
      <c r="AD1112" s="96" t="n">
        <f aca="false">IFERROR(Q1112/(Q1112+N1112),0)</f>
        <v>0.0120967741935484</v>
      </c>
      <c r="AE1112" s="91" t="n">
        <f aca="false">(N1112-T1112)/N1112</f>
        <v>0.991836734693877</v>
      </c>
      <c r="AF1112" s="97" t="n">
        <f aca="false">BR1112</f>
        <v>0</v>
      </c>
      <c r="AG1112" s="98" t="n">
        <f aca="false">K1112-AF1112</f>
        <v>8</v>
      </c>
      <c r="AH1112" s="99" t="n">
        <f aca="false">IFERROR(AG1112/K1112," ")</f>
        <v>1</v>
      </c>
      <c r="AI1112" s="100" t="n">
        <f aca="false">IFERROR(O1112/K1112,0)</f>
        <v>600</v>
      </c>
      <c r="AJ1112" s="101" t="n">
        <f aca="false">VLOOKUP(D1112,'Standard Cycle time'!C:D,2,0)</f>
        <v>5.25</v>
      </c>
      <c r="AK1112" s="101" t="n">
        <f aca="false">AG1112*V1112*3600/O1112</f>
        <v>6</v>
      </c>
      <c r="AL1112" s="102" t="n">
        <f aca="false">AJ1112/AK1112</f>
        <v>0.875</v>
      </c>
      <c r="AM1112" s="99" t="n">
        <f aca="false">AE1112*AL1112*AH1112</f>
        <v>0.867857142857143</v>
      </c>
      <c r="AN1112" s="103" t="n">
        <v>0.851912928759894</v>
      </c>
      <c r="AO1112" s="112"/>
      <c r="AP1112" s="105" t="n">
        <v>0</v>
      </c>
      <c r="AQ1112" s="105" t="n">
        <v>0</v>
      </c>
      <c r="AR1112" s="105" t="n">
        <v>0</v>
      </c>
      <c r="AS1112" s="105" t="n">
        <v>0</v>
      </c>
      <c r="AT1112" s="105" t="n">
        <v>0</v>
      </c>
      <c r="AU1112" s="105" t="n">
        <v>0</v>
      </c>
      <c r="AV1112" s="105" t="n">
        <v>0</v>
      </c>
      <c r="AW1112" s="105" t="n">
        <v>0</v>
      </c>
      <c r="AX1112" s="105" t="n">
        <v>0</v>
      </c>
      <c r="AY1112" s="105" t="n">
        <v>0</v>
      </c>
      <c r="AZ1112" s="105" t="n">
        <v>0</v>
      </c>
      <c r="BA1112" s="105" t="n">
        <v>0</v>
      </c>
      <c r="BB1112" s="105" t="n">
        <v>0</v>
      </c>
      <c r="BC1112" s="105" t="n">
        <v>0</v>
      </c>
      <c r="BD1112" s="105" t="n">
        <v>0</v>
      </c>
      <c r="BE1112" s="105" t="n">
        <v>0</v>
      </c>
      <c r="BF1112" s="105" t="n">
        <v>0</v>
      </c>
      <c r="BG1112" s="105" t="n">
        <v>0</v>
      </c>
      <c r="BH1112" s="105" t="n">
        <v>0</v>
      </c>
      <c r="BI1112" s="105" t="n">
        <v>0</v>
      </c>
      <c r="BJ1112" s="105" t="n">
        <v>0</v>
      </c>
      <c r="BK1112" s="105" t="n">
        <v>0</v>
      </c>
      <c r="BL1112" s="105" t="n">
        <v>0</v>
      </c>
      <c r="BM1112" s="105" t="n">
        <v>0</v>
      </c>
      <c r="BN1112" s="105" t="n">
        <v>0</v>
      </c>
      <c r="BO1112" s="105" t="n">
        <v>0</v>
      </c>
      <c r="BP1112" s="105" t="n">
        <v>0</v>
      </c>
      <c r="BQ1112" s="105" t="n">
        <v>0</v>
      </c>
      <c r="BR1112" s="106" t="n">
        <v>0</v>
      </c>
      <c r="BS1112" s="106" t="n">
        <v>0</v>
      </c>
      <c r="BT1112" s="107"/>
      <c r="BU1112" s="107"/>
      <c r="BV1112" s="107"/>
      <c r="BW1112" s="107"/>
      <c r="BX1112" s="107"/>
      <c r="BY1112" s="107"/>
      <c r="BZ1112" s="107"/>
      <c r="CA1112" s="107"/>
      <c r="CB1112" s="107"/>
      <c r="CC1112" s="107"/>
      <c r="CD1112" s="107"/>
      <c r="CE1112" s="107"/>
      <c r="CF1112" s="107"/>
      <c r="CG1112" s="107"/>
      <c r="CH1112" s="107"/>
      <c r="CI1112" s="107"/>
      <c r="CJ1112" s="107"/>
      <c r="CK1112" s="107"/>
      <c r="CL1112" s="107"/>
      <c r="CM1112" s="107"/>
      <c r="CN1112" s="107"/>
      <c r="CO1112" s="107"/>
      <c r="CP1112" s="107"/>
      <c r="CQ1112" s="107"/>
      <c r="CR1112" s="107"/>
      <c r="CS1112" s="107"/>
      <c r="CT1112" s="107"/>
      <c r="CU1112" s="107"/>
      <c r="CV1112" s="107"/>
    </row>
    <row r="1113" customFormat="false" ht="14.9" hidden="false" customHeight="false" outlineLevel="0" collapsed="false">
      <c r="A1113" s="74" t="n">
        <f aca="false">MONTH(B1113)</f>
        <v>10</v>
      </c>
      <c r="B1113" s="135" t="n">
        <v>44499</v>
      </c>
      <c r="C1113" s="128" t="s">
        <v>70</v>
      </c>
      <c r="D1113" s="77" t="str">
        <f aca="false">IFERROR(VLOOKUP(E:E,'Item Data Support Sheet'!A:O,7,0),"")</f>
        <v>HOOD MOLDED</v>
      </c>
      <c r="E1113" s="80" t="s">
        <v>529</v>
      </c>
      <c r="F1113" s="122"/>
      <c r="G1113" s="137" t="s">
        <v>740</v>
      </c>
      <c r="H1113" s="79" t="str">
        <f aca="false">IFERROR(VLOOKUP(E:E,'Item Data Support Sheet'!A:O,2,0),"")</f>
        <v>HOOD S TYPE MOLDED</v>
      </c>
      <c r="I1113" s="80" t="s">
        <v>1893</v>
      </c>
      <c r="J1113" s="80" t="s">
        <v>155</v>
      </c>
      <c r="K1113" s="124" t="n">
        <v>8</v>
      </c>
      <c r="L1113" s="124" t="n">
        <v>4137</v>
      </c>
      <c r="M1113" s="83" t="n">
        <v>517.125</v>
      </c>
      <c r="N1113" s="84" t="n">
        <f aca="false">+O1113+Q1113+T1113+U1113</f>
        <v>4808</v>
      </c>
      <c r="O1113" s="85" t="n">
        <v>4800</v>
      </c>
      <c r="P1113" s="86" t="n">
        <v>0</v>
      </c>
      <c r="Q1113" s="86" t="n">
        <v>0</v>
      </c>
      <c r="R1113" s="132" t="n">
        <v>0</v>
      </c>
      <c r="S1113" s="128" t="n">
        <v>0</v>
      </c>
      <c r="T1113" s="132" t="n">
        <v>8</v>
      </c>
      <c r="U1113" s="128" t="n">
        <v>0</v>
      </c>
      <c r="V1113" s="128" t="n">
        <v>1</v>
      </c>
      <c r="W1113" s="90" t="n">
        <f aca="false">IFERROR(O1113/V1113,0)</f>
        <v>4800</v>
      </c>
      <c r="X1113" s="91" t="n">
        <f aca="false">O1113/L1113</f>
        <v>1.16026105873822</v>
      </c>
      <c r="Y1113" s="92" t="str">
        <f aca="false">IFERROR(VLOOKUP(E:E,'Item Data Support Sheet'!A:J,6,0),0)</f>
        <v>HMC</v>
      </c>
      <c r="Z1113" s="93" t="n">
        <f aca="false">IFERROR(VLOOKUP(E:E,'Item Data Support Sheet'!A:O,4,0),0)</f>
        <v>8.6</v>
      </c>
      <c r="AA1113" s="93" t="n">
        <f aca="false">IFERROR(((N1113)*(Z1113/1000))+P1113,0)</f>
        <v>41.3488</v>
      </c>
      <c r="AB1113" s="94" t="n">
        <f aca="false">IFERROR((O1113*(Z1113/1000)/(AA1113))," ")</f>
        <v>0.998336106489185</v>
      </c>
      <c r="AC1113" s="95" t="n">
        <f aca="false">IFERROR((T1113)/((T1113)+O1113),0)</f>
        <v>0.00166389351081531</v>
      </c>
      <c r="AD1113" s="96" t="n">
        <f aca="false">IFERROR(Q1113/(Q1113+N1113),0)</f>
        <v>0</v>
      </c>
      <c r="AE1113" s="91" t="n">
        <f aca="false">(N1113-T1113)/N1113</f>
        <v>0.998336106489185</v>
      </c>
      <c r="AF1113" s="97" t="n">
        <f aca="false">BR1113</f>
        <v>0</v>
      </c>
      <c r="AG1113" s="98" t="n">
        <f aca="false">K1113-AF1113</f>
        <v>8</v>
      </c>
      <c r="AH1113" s="99" t="n">
        <f aca="false">IFERROR(AG1113/K1113," ")</f>
        <v>1</v>
      </c>
      <c r="AI1113" s="100" t="n">
        <f aca="false">IFERROR(O1113/K1113,0)</f>
        <v>600</v>
      </c>
      <c r="AJ1113" s="101" t="n">
        <f aca="false">VLOOKUP(D1113,'Standard Cycle time'!C:D,2,0)</f>
        <v>6</v>
      </c>
      <c r="AK1113" s="101" t="n">
        <f aca="false">AG1113*V1113*3600/O1113</f>
        <v>6</v>
      </c>
      <c r="AL1113" s="102" t="n">
        <f aca="false">AJ1113/AK1113</f>
        <v>1</v>
      </c>
      <c r="AM1113" s="99" t="n">
        <f aca="false">AE1113*AL1113*AH1113</f>
        <v>0.998336106489185</v>
      </c>
      <c r="AN1113" s="103" t="n">
        <v>0.998367346938776</v>
      </c>
      <c r="AO1113" s="112"/>
      <c r="AP1113" s="105" t="n">
        <v>0</v>
      </c>
      <c r="AQ1113" s="105" t="n">
        <v>0</v>
      </c>
      <c r="AR1113" s="105" t="n">
        <v>0</v>
      </c>
      <c r="AS1113" s="105" t="n">
        <v>0</v>
      </c>
      <c r="AT1113" s="105" t="n">
        <v>0</v>
      </c>
      <c r="AU1113" s="105" t="n">
        <v>0</v>
      </c>
      <c r="AV1113" s="105" t="n">
        <v>0</v>
      </c>
      <c r="AW1113" s="105" t="n">
        <v>0</v>
      </c>
      <c r="AX1113" s="105" t="n">
        <v>0</v>
      </c>
      <c r="AY1113" s="105" t="n">
        <v>0</v>
      </c>
      <c r="AZ1113" s="105" t="n">
        <v>0</v>
      </c>
      <c r="BA1113" s="105" t="n">
        <v>0</v>
      </c>
      <c r="BB1113" s="105" t="n">
        <v>0</v>
      </c>
      <c r="BC1113" s="105" t="n">
        <v>0</v>
      </c>
      <c r="BD1113" s="105" t="n">
        <v>0</v>
      </c>
      <c r="BE1113" s="105" t="n">
        <v>0</v>
      </c>
      <c r="BF1113" s="105" t="n">
        <v>0</v>
      </c>
      <c r="BG1113" s="105" t="n">
        <v>0</v>
      </c>
      <c r="BH1113" s="105" t="n">
        <v>0</v>
      </c>
      <c r="BI1113" s="105" t="n">
        <v>0</v>
      </c>
      <c r="BJ1113" s="105" t="n">
        <v>0</v>
      </c>
      <c r="BK1113" s="105" t="n">
        <v>0</v>
      </c>
      <c r="BL1113" s="105" t="n">
        <v>0</v>
      </c>
      <c r="BM1113" s="105" t="n">
        <v>0</v>
      </c>
      <c r="BN1113" s="105" t="n">
        <v>0</v>
      </c>
      <c r="BO1113" s="105" t="n">
        <v>0</v>
      </c>
      <c r="BP1113" s="105" t="n">
        <v>0</v>
      </c>
      <c r="BQ1113" s="105" t="n">
        <v>0</v>
      </c>
      <c r="BR1113" s="106" t="n">
        <v>0</v>
      </c>
      <c r="BS1113" s="106" t="n">
        <v>0</v>
      </c>
      <c r="BT1113" s="107"/>
      <c r="BU1113" s="107"/>
      <c r="BV1113" s="107"/>
      <c r="BW1113" s="107"/>
      <c r="BX1113" s="107"/>
      <c r="BY1113" s="107"/>
      <c r="BZ1113" s="107"/>
      <c r="CA1113" s="107"/>
      <c r="CB1113" s="107"/>
      <c r="CC1113" s="107"/>
      <c r="CD1113" s="107"/>
      <c r="CE1113" s="107"/>
      <c r="CF1113" s="107"/>
      <c r="CG1113" s="107"/>
      <c r="CH1113" s="107"/>
      <c r="CI1113" s="107"/>
      <c r="CJ1113" s="107"/>
      <c r="CK1113" s="107"/>
      <c r="CL1113" s="107"/>
      <c r="CM1113" s="107"/>
      <c r="CN1113" s="107"/>
      <c r="CO1113" s="107"/>
      <c r="CP1113" s="107"/>
      <c r="CQ1113" s="107"/>
      <c r="CR1113" s="107"/>
      <c r="CS1113" s="107"/>
      <c r="CT1113" s="107"/>
      <c r="CU1113" s="107"/>
      <c r="CV1113" s="107"/>
    </row>
    <row r="1114" customFormat="false" ht="14.9" hidden="false" customHeight="false" outlineLevel="0" collapsed="false">
      <c r="A1114" s="74" t="n">
        <f aca="false">MONTH(B1114)</f>
        <v>10</v>
      </c>
      <c r="B1114" s="135" t="n">
        <v>44499</v>
      </c>
      <c r="C1114" s="128" t="s">
        <v>70</v>
      </c>
      <c r="D1114" s="77" t="str">
        <f aca="false">IFERROR(VLOOKUP(E:E,'Item Data Support Sheet'!A:O,7,0),"")</f>
        <v>BOTTLE PRINTED</v>
      </c>
      <c r="E1114" s="80" t="s">
        <v>65</v>
      </c>
      <c r="F1114" s="122"/>
      <c r="G1114" s="137"/>
      <c r="H1114" s="79" t="str">
        <f aca="false">IFERROR(VLOOKUP(E:E,'Item Data Support Sheet'!A:O,2,0),"")</f>
        <v>KPP 240 ML BOTTLE PRINTED</v>
      </c>
      <c r="I1114" s="80" t="s">
        <v>1894</v>
      </c>
      <c r="J1114" s="80" t="s">
        <v>155</v>
      </c>
      <c r="K1114" s="124" t="n">
        <v>8</v>
      </c>
      <c r="L1114" s="124" t="n">
        <v>5100</v>
      </c>
      <c r="M1114" s="83" t="n">
        <v>637.5</v>
      </c>
      <c r="N1114" s="84" t="n">
        <f aca="false">+O1114+Q1114+T1114+U1114</f>
        <v>4956</v>
      </c>
      <c r="O1114" s="85" t="n">
        <v>4915</v>
      </c>
      <c r="P1114" s="86" t="n">
        <v>0</v>
      </c>
      <c r="Q1114" s="86" t="n">
        <v>0</v>
      </c>
      <c r="R1114" s="132" t="n">
        <v>49</v>
      </c>
      <c r="S1114" s="128" t="n">
        <v>0</v>
      </c>
      <c r="T1114" s="132" t="n">
        <v>41</v>
      </c>
      <c r="U1114" s="128" t="n">
        <v>0</v>
      </c>
      <c r="V1114" s="128" t="n">
        <v>5</v>
      </c>
      <c r="W1114" s="90" t="n">
        <f aca="false">IFERROR(O1114/V1114,0)</f>
        <v>983</v>
      </c>
      <c r="X1114" s="91" t="n">
        <f aca="false">O1114/L1114</f>
        <v>0.963725490196078</v>
      </c>
      <c r="Y1114" s="92" t="str">
        <f aca="false">IFERROR(VLOOKUP(E:E,'Item Data Support Sheet'!A:J,6,0),0)</f>
        <v>FO003</v>
      </c>
      <c r="Z1114" s="93" t="n">
        <f aca="false">IFERROR(VLOOKUP(E:E,'Item Data Support Sheet'!A:O,4,0),0)</f>
        <v>0</v>
      </c>
      <c r="AA1114" s="93" t="n">
        <f aca="false">IFERROR(((N1114)*(Z1114/1000))+P1114,0)</f>
        <v>0</v>
      </c>
      <c r="AB1114" s="94" t="str">
        <f aca="false">IFERROR((O1114*(Z1114/1000)/(AA1114))," ")</f>
        <v> </v>
      </c>
      <c r="AC1114" s="95" t="n">
        <f aca="false">IFERROR((T1114)/((T1114)+O1114),0)</f>
        <v>0.008272800645682</v>
      </c>
      <c r="AD1114" s="96" t="n">
        <f aca="false">IFERROR(Q1114/(Q1114+N1114),0)</f>
        <v>0</v>
      </c>
      <c r="AE1114" s="91" t="n">
        <f aca="false">(N1114-T1114)/N1114</f>
        <v>0.991727199354318</v>
      </c>
      <c r="AF1114" s="97" t="n">
        <f aca="false">BR1114</f>
        <v>0</v>
      </c>
      <c r="AG1114" s="98" t="n">
        <f aca="false">K1114-AF1114</f>
        <v>8</v>
      </c>
      <c r="AH1114" s="99" t="n">
        <f aca="false">IFERROR(AG1114/K1114," ")</f>
        <v>1</v>
      </c>
      <c r="AI1114" s="100" t="n">
        <f aca="false">IFERROR(O1114/K1114,0)</f>
        <v>614.375</v>
      </c>
      <c r="AJ1114" s="101" t="n">
        <f aca="false">VLOOKUP(D1114,'Standard Cycle time'!C:D,2,0)</f>
        <v>32.4</v>
      </c>
      <c r="AK1114" s="101" t="n">
        <f aca="false">AG1114*V1114*3600/O1114</f>
        <v>29.2980671414039</v>
      </c>
      <c r="AL1114" s="102" t="n">
        <f aca="false">AJ1114/AK1114</f>
        <v>1.105875</v>
      </c>
      <c r="AM1114" s="99" t="n">
        <f aca="false">AE1114*AL1114*AH1114</f>
        <v>1.09672631658596</v>
      </c>
      <c r="AN1114" s="103" t="n">
        <v>1.09672631658596</v>
      </c>
      <c r="AO1114" s="112"/>
      <c r="AP1114" s="105" t="n">
        <v>0</v>
      </c>
      <c r="AQ1114" s="105" t="n">
        <v>0</v>
      </c>
      <c r="AR1114" s="105" t="n">
        <v>0</v>
      </c>
      <c r="AS1114" s="105" t="n">
        <v>0</v>
      </c>
      <c r="AT1114" s="105" t="n">
        <v>0</v>
      </c>
      <c r="AU1114" s="105" t="n">
        <v>0</v>
      </c>
      <c r="AV1114" s="105" t="n">
        <v>0</v>
      </c>
      <c r="AW1114" s="105" t="n">
        <v>0</v>
      </c>
      <c r="AX1114" s="105" t="n">
        <v>0</v>
      </c>
      <c r="AY1114" s="105" t="n">
        <v>0</v>
      </c>
      <c r="AZ1114" s="105" t="n">
        <v>0</v>
      </c>
      <c r="BA1114" s="105" t="n">
        <v>0</v>
      </c>
      <c r="BB1114" s="105" t="n">
        <v>0</v>
      </c>
      <c r="BC1114" s="105" t="n">
        <v>0</v>
      </c>
      <c r="BD1114" s="105" t="n">
        <v>0</v>
      </c>
      <c r="BE1114" s="105" t="n">
        <v>0</v>
      </c>
      <c r="BF1114" s="105" t="n">
        <v>0</v>
      </c>
      <c r="BG1114" s="105" t="n">
        <v>0</v>
      </c>
      <c r="BH1114" s="105" t="n">
        <v>0</v>
      </c>
      <c r="BI1114" s="105" t="n">
        <v>0</v>
      </c>
      <c r="BJ1114" s="105" t="n">
        <v>0</v>
      </c>
      <c r="BK1114" s="105" t="n">
        <v>0</v>
      </c>
      <c r="BL1114" s="105" t="n">
        <v>0</v>
      </c>
      <c r="BM1114" s="105" t="n">
        <v>0</v>
      </c>
      <c r="BN1114" s="105" t="n">
        <v>0</v>
      </c>
      <c r="BO1114" s="105" t="n">
        <v>0</v>
      </c>
      <c r="BP1114" s="105" t="n">
        <v>0</v>
      </c>
      <c r="BQ1114" s="105" t="n">
        <v>0</v>
      </c>
      <c r="BR1114" s="106" t="n">
        <v>0</v>
      </c>
      <c r="BS1114" s="106" t="n">
        <v>0</v>
      </c>
      <c r="BT1114" s="107"/>
      <c r="BU1114" s="107"/>
      <c r="BV1114" s="107"/>
      <c r="BW1114" s="107"/>
      <c r="BX1114" s="107"/>
      <c r="BY1114" s="107"/>
      <c r="BZ1114" s="107"/>
      <c r="CA1114" s="107"/>
      <c r="CB1114" s="107"/>
      <c r="CC1114" s="107"/>
      <c r="CD1114" s="107"/>
      <c r="CE1114" s="107"/>
      <c r="CF1114" s="107"/>
      <c r="CG1114" s="107"/>
      <c r="CH1114" s="107"/>
      <c r="CI1114" s="107"/>
      <c r="CJ1114" s="107"/>
      <c r="CK1114" s="107"/>
      <c r="CL1114" s="107"/>
      <c r="CM1114" s="107"/>
      <c r="CN1114" s="107"/>
      <c r="CO1114" s="107"/>
      <c r="CP1114" s="107"/>
      <c r="CQ1114" s="107"/>
      <c r="CR1114" s="107"/>
      <c r="CS1114" s="107"/>
      <c r="CT1114" s="107"/>
      <c r="CU1114" s="107"/>
      <c r="CV1114" s="107"/>
    </row>
    <row r="1115" customFormat="false" ht="14.9" hidden="false" customHeight="false" outlineLevel="0" collapsed="false">
      <c r="A1115" s="74" t="n">
        <f aca="false">MONTH(B1115)</f>
        <v>10</v>
      </c>
      <c r="B1115" s="135" t="n">
        <v>44499</v>
      </c>
      <c r="C1115" s="128" t="s">
        <v>152</v>
      </c>
      <c r="D1115" s="77" t="str">
        <f aca="false">IFERROR(VLOOKUP(E:E,'Item Data Support Sheet'!A:O,7,0),"")</f>
        <v>BOTTLE MOLDED</v>
      </c>
      <c r="E1115" s="80" t="s">
        <v>72</v>
      </c>
      <c r="F1115" s="122" t="s">
        <v>73</v>
      </c>
      <c r="G1115" s="137" t="s">
        <v>74</v>
      </c>
      <c r="H1115" s="79" t="str">
        <f aca="false">IFERROR(VLOOKUP(E:E,'Item Data Support Sheet'!A:O,2,0),"")</f>
        <v>KPP BOTTLE 240 ML MOULDED-WMG3B</v>
      </c>
      <c r="I1115" s="80" t="s">
        <v>1878</v>
      </c>
      <c r="J1115" s="80" t="s">
        <v>143</v>
      </c>
      <c r="K1115" s="124" t="n">
        <v>8</v>
      </c>
      <c r="L1115" s="124" t="n">
        <v>2503</v>
      </c>
      <c r="M1115" s="83" t="n">
        <v>312.875</v>
      </c>
      <c r="N1115" s="84" t="n">
        <f aca="false">+O1115+Q1115+T1115+U1115</f>
        <v>2828</v>
      </c>
      <c r="O1115" s="85" t="n">
        <v>2700</v>
      </c>
      <c r="P1115" s="86" t="n">
        <v>0.32</v>
      </c>
      <c r="Q1115" s="86" t="n">
        <v>62</v>
      </c>
      <c r="R1115" s="132" t="n">
        <v>0</v>
      </c>
      <c r="S1115" s="128" t="n">
        <v>0</v>
      </c>
      <c r="T1115" s="132" t="n">
        <v>58</v>
      </c>
      <c r="U1115" s="128" t="n">
        <v>8</v>
      </c>
      <c r="V1115" s="128" t="n">
        <v>1</v>
      </c>
      <c r="W1115" s="90" t="n">
        <f aca="false">IFERROR(O1115/V1115,0)</f>
        <v>2700</v>
      </c>
      <c r="X1115" s="91" t="n">
        <f aca="false">O1115/L1115</f>
        <v>1.078705553336</v>
      </c>
      <c r="Y1115" s="92" t="str">
        <f aca="false">IFERROR(VLOOKUP(E:E,'Item Data Support Sheet'!A:J,6,0),0)</f>
        <v>WMG3B</v>
      </c>
      <c r="Z1115" s="93" t="n">
        <f aca="false">IFERROR(VLOOKUP(E:E,'Item Data Support Sheet'!A:O,4,0),0)</f>
        <v>33.1</v>
      </c>
      <c r="AA1115" s="93" t="n">
        <f aca="false">IFERROR(((N1115)*(Z1115/1000))+P1115,0)</f>
        <v>93.9268</v>
      </c>
      <c r="AB1115" s="94" t="n">
        <f aca="false">IFERROR((O1115*(Z1115/1000)/(AA1115))," ")</f>
        <v>0.951485624976045</v>
      </c>
      <c r="AC1115" s="95" t="n">
        <f aca="false">IFERROR((T1115)/((T1115)+O1115),0)</f>
        <v>0.0210297316896302</v>
      </c>
      <c r="AD1115" s="96" t="n">
        <f aca="false">IFERROR(Q1115/(Q1115+N1115),0)</f>
        <v>0.0214532871972318</v>
      </c>
      <c r="AE1115" s="91" t="n">
        <f aca="false">(N1115-T1115)/N1115</f>
        <v>0.979490806223479</v>
      </c>
      <c r="AF1115" s="97" t="n">
        <f aca="false">BR1115</f>
        <v>0.5</v>
      </c>
      <c r="AG1115" s="98" t="n">
        <f aca="false">K1115-AF1115</f>
        <v>7.5</v>
      </c>
      <c r="AH1115" s="99" t="n">
        <f aca="false">IFERROR(AG1115/K1115," ")</f>
        <v>0.9375</v>
      </c>
      <c r="AI1115" s="100" t="n">
        <f aca="false">IFERROR(O1115/K1115,0)</f>
        <v>337.5</v>
      </c>
      <c r="AJ1115" s="101" t="n">
        <f aca="false">VLOOKUP(D1115,'Standard Cycle time'!C:D,2,0)</f>
        <v>9</v>
      </c>
      <c r="AK1115" s="101" t="n">
        <f aca="false">AG1115*V1115*3600/O1115</f>
        <v>10</v>
      </c>
      <c r="AL1115" s="102" t="n">
        <f aca="false">AJ1115/AK1115</f>
        <v>0.9</v>
      </c>
      <c r="AM1115" s="99" t="n">
        <f aca="false">AE1115*AL1115*AH1115</f>
        <v>0.826445367751061</v>
      </c>
      <c r="AN1115" s="103" t="n">
        <v>0.826445367751061</v>
      </c>
      <c r="AO1115" s="112" t="s">
        <v>1895</v>
      </c>
      <c r="AP1115" s="105" t="n">
        <v>0</v>
      </c>
      <c r="AQ1115" s="105" t="n">
        <v>0</v>
      </c>
      <c r="AR1115" s="105" t="n">
        <v>0</v>
      </c>
      <c r="AS1115" s="105" t="n">
        <v>0</v>
      </c>
      <c r="AT1115" s="105" t="n">
        <v>0</v>
      </c>
      <c r="AU1115" s="105" t="n">
        <v>0</v>
      </c>
      <c r="AV1115" s="105" t="n">
        <v>0</v>
      </c>
      <c r="AW1115" s="105" t="n">
        <v>0</v>
      </c>
      <c r="AX1115" s="105" t="n">
        <v>0</v>
      </c>
      <c r="AY1115" s="105" t="n">
        <v>0</v>
      </c>
      <c r="AZ1115" s="105" t="n">
        <v>0</v>
      </c>
      <c r="BA1115" s="105" t="n">
        <v>0</v>
      </c>
      <c r="BB1115" s="105" t="n">
        <v>30</v>
      </c>
      <c r="BC1115" s="105" t="n">
        <v>0</v>
      </c>
      <c r="BD1115" s="105" t="n">
        <v>0</v>
      </c>
      <c r="BE1115" s="105" t="n">
        <v>0</v>
      </c>
      <c r="BF1115" s="105" t="n">
        <v>0</v>
      </c>
      <c r="BG1115" s="105" t="n">
        <v>0</v>
      </c>
      <c r="BH1115" s="105" t="n">
        <v>0</v>
      </c>
      <c r="BI1115" s="105" t="n">
        <v>0</v>
      </c>
      <c r="BJ1115" s="105" t="n">
        <v>0</v>
      </c>
      <c r="BK1115" s="105" t="n">
        <v>0</v>
      </c>
      <c r="BL1115" s="105" t="n">
        <v>0</v>
      </c>
      <c r="BM1115" s="105" t="n">
        <v>0</v>
      </c>
      <c r="BN1115" s="105" t="n">
        <v>0</v>
      </c>
      <c r="BO1115" s="105" t="n">
        <v>0</v>
      </c>
      <c r="BP1115" s="105" t="n">
        <v>0</v>
      </c>
      <c r="BQ1115" s="105" t="n">
        <v>0</v>
      </c>
      <c r="BR1115" s="106" t="n">
        <v>0.5</v>
      </c>
      <c r="BS1115" s="106" t="n">
        <v>0.5</v>
      </c>
      <c r="BT1115" s="107"/>
      <c r="BU1115" s="107"/>
      <c r="BV1115" s="107"/>
      <c r="BW1115" s="107"/>
      <c r="BX1115" s="107"/>
      <c r="BY1115" s="107"/>
      <c r="BZ1115" s="107"/>
      <c r="CA1115" s="107"/>
      <c r="CB1115" s="107"/>
      <c r="CC1115" s="107"/>
      <c r="CD1115" s="107"/>
      <c r="CE1115" s="107"/>
      <c r="CF1115" s="107"/>
      <c r="CG1115" s="107"/>
      <c r="CH1115" s="107"/>
      <c r="CI1115" s="107"/>
      <c r="CJ1115" s="107"/>
      <c r="CK1115" s="107"/>
      <c r="CL1115" s="107"/>
      <c r="CM1115" s="107"/>
      <c r="CN1115" s="107"/>
      <c r="CO1115" s="107"/>
      <c r="CP1115" s="107"/>
      <c r="CQ1115" s="107"/>
      <c r="CR1115" s="107"/>
      <c r="CS1115" s="107"/>
      <c r="CT1115" s="107"/>
      <c r="CU1115" s="107"/>
      <c r="CV1115" s="107"/>
    </row>
    <row r="1116" customFormat="false" ht="14.9" hidden="false" customHeight="false" outlineLevel="0" collapsed="false">
      <c r="A1116" s="74" t="n">
        <f aca="false">MONTH(B1116)</f>
        <v>10</v>
      </c>
      <c r="B1116" s="135" t="n">
        <v>44499</v>
      </c>
      <c r="C1116" s="128" t="s">
        <v>152</v>
      </c>
      <c r="D1116" s="77" t="str">
        <f aca="false">IFERROR(VLOOKUP(E:E,'Item Data Support Sheet'!A:O,7,0),"")</f>
        <v>HOOD MOLDED</v>
      </c>
      <c r="E1116" s="80" t="s">
        <v>529</v>
      </c>
      <c r="F1116" s="122"/>
      <c r="G1116" s="137" t="s">
        <v>740</v>
      </c>
      <c r="H1116" s="79" t="str">
        <f aca="false">IFERROR(VLOOKUP(E:E,'Item Data Support Sheet'!A:O,2,0),"")</f>
        <v>HOOD S TYPE MOLDED</v>
      </c>
      <c r="I1116" s="80" t="s">
        <v>1880</v>
      </c>
      <c r="J1116" s="80" t="s">
        <v>143</v>
      </c>
      <c r="K1116" s="124" t="n">
        <v>8</v>
      </c>
      <c r="L1116" s="124" t="n">
        <v>4137</v>
      </c>
      <c r="M1116" s="83" t="n">
        <v>517.125</v>
      </c>
      <c r="N1116" s="84" t="n">
        <f aca="false">+O1116+Q1116+T1116+U1116</f>
        <v>4713</v>
      </c>
      <c r="O1116" s="85" t="n">
        <v>4700</v>
      </c>
      <c r="P1116" s="86" t="n">
        <v>0.1</v>
      </c>
      <c r="Q1116" s="86" t="n">
        <v>0</v>
      </c>
      <c r="R1116" s="132" t="n">
        <v>0</v>
      </c>
      <c r="S1116" s="128" t="n">
        <v>0</v>
      </c>
      <c r="T1116" s="132" t="n">
        <v>5</v>
      </c>
      <c r="U1116" s="128" t="n">
        <v>8</v>
      </c>
      <c r="V1116" s="128" t="n">
        <v>1</v>
      </c>
      <c r="W1116" s="90" t="n">
        <f aca="false">IFERROR(O1116/V1116,0)</f>
        <v>4700</v>
      </c>
      <c r="X1116" s="91" t="n">
        <f aca="false">O1116/L1116</f>
        <v>1.13608895334784</v>
      </c>
      <c r="Y1116" s="92" t="str">
        <f aca="false">IFERROR(VLOOKUP(E:E,'Item Data Support Sheet'!A:J,6,0),0)</f>
        <v>HMC</v>
      </c>
      <c r="Z1116" s="93" t="n">
        <f aca="false">IFERROR(VLOOKUP(E:E,'Item Data Support Sheet'!A:O,4,0),0)</f>
        <v>8.6</v>
      </c>
      <c r="AA1116" s="93" t="n">
        <f aca="false">IFERROR(((N1116)*(Z1116/1000))+P1116,0)</f>
        <v>40.6318</v>
      </c>
      <c r="AB1116" s="94" t="n">
        <f aca="false">IFERROR((O1116*(Z1116/1000)/(AA1116))," ")</f>
        <v>0.994787334058545</v>
      </c>
      <c r="AC1116" s="95" t="n">
        <f aca="false">IFERROR((T1116)/((T1116)+O1116),0)</f>
        <v>0.00106269925611052</v>
      </c>
      <c r="AD1116" s="96" t="n">
        <f aca="false">IFERROR(Q1116/(Q1116+N1116),0)</f>
        <v>0</v>
      </c>
      <c r="AE1116" s="91" t="n">
        <f aca="false">(N1116-T1116)/N1116</f>
        <v>0.998939104604286</v>
      </c>
      <c r="AF1116" s="97" t="n">
        <f aca="false">BR1116</f>
        <v>0.5</v>
      </c>
      <c r="AG1116" s="98" t="n">
        <f aca="false">K1116-AF1116</f>
        <v>7.5</v>
      </c>
      <c r="AH1116" s="99" t="n">
        <f aca="false">IFERROR(AG1116/K1116," ")</f>
        <v>0.9375</v>
      </c>
      <c r="AI1116" s="100" t="n">
        <f aca="false">IFERROR(O1116/K1116,0)</f>
        <v>587.5</v>
      </c>
      <c r="AJ1116" s="101" t="n">
        <f aca="false">VLOOKUP(D1116,'Standard Cycle time'!C:D,2,0)</f>
        <v>6</v>
      </c>
      <c r="AK1116" s="101" t="n">
        <f aca="false">AG1116*V1116*3600/O1116</f>
        <v>5.74468085106383</v>
      </c>
      <c r="AL1116" s="102" t="n">
        <f aca="false">AJ1116/AK1116</f>
        <v>1.04444444444444</v>
      </c>
      <c r="AM1116" s="99" t="n">
        <f aca="false">AE1116*AL1116*AH1116</f>
        <v>0.978127873258363</v>
      </c>
      <c r="AN1116" s="103" t="n">
        <v>0.978127873258363</v>
      </c>
      <c r="AO1116" s="112" t="s">
        <v>1895</v>
      </c>
      <c r="AP1116" s="105" t="n">
        <v>0</v>
      </c>
      <c r="AQ1116" s="105" t="n">
        <v>0</v>
      </c>
      <c r="AR1116" s="105" t="n">
        <v>0</v>
      </c>
      <c r="AS1116" s="105" t="n">
        <v>0</v>
      </c>
      <c r="AT1116" s="105" t="n">
        <v>0</v>
      </c>
      <c r="AU1116" s="105" t="n">
        <v>0</v>
      </c>
      <c r="AV1116" s="105" t="n">
        <v>0</v>
      </c>
      <c r="AW1116" s="105" t="n">
        <v>0</v>
      </c>
      <c r="AX1116" s="105" t="n">
        <v>0</v>
      </c>
      <c r="AY1116" s="105" t="n">
        <v>0</v>
      </c>
      <c r="AZ1116" s="105" t="n">
        <v>0</v>
      </c>
      <c r="BA1116" s="105" t="n">
        <v>0</v>
      </c>
      <c r="BB1116" s="105" t="n">
        <v>30</v>
      </c>
      <c r="BC1116" s="105" t="n">
        <v>0</v>
      </c>
      <c r="BD1116" s="105" t="n">
        <v>0</v>
      </c>
      <c r="BE1116" s="105" t="n">
        <v>0</v>
      </c>
      <c r="BF1116" s="105" t="n">
        <v>0</v>
      </c>
      <c r="BG1116" s="105" t="n">
        <v>0</v>
      </c>
      <c r="BH1116" s="105" t="n">
        <v>0</v>
      </c>
      <c r="BI1116" s="105" t="n">
        <v>0</v>
      </c>
      <c r="BJ1116" s="105" t="n">
        <v>0</v>
      </c>
      <c r="BK1116" s="105" t="n">
        <v>0</v>
      </c>
      <c r="BL1116" s="105" t="n">
        <v>0</v>
      </c>
      <c r="BM1116" s="105" t="n">
        <v>0</v>
      </c>
      <c r="BN1116" s="105" t="n">
        <v>0</v>
      </c>
      <c r="BO1116" s="105" t="n">
        <v>0</v>
      </c>
      <c r="BP1116" s="105" t="n">
        <v>0</v>
      </c>
      <c r="BQ1116" s="105" t="n">
        <v>0</v>
      </c>
      <c r="BR1116" s="106" t="n">
        <v>0.5</v>
      </c>
      <c r="BS1116" s="106" t="n">
        <v>0.5</v>
      </c>
      <c r="BT1116" s="107"/>
      <c r="BU1116" s="107"/>
      <c r="BV1116" s="107"/>
      <c r="BW1116" s="107"/>
      <c r="BX1116" s="107"/>
      <c r="BY1116" s="107"/>
      <c r="BZ1116" s="107"/>
      <c r="CA1116" s="107"/>
      <c r="CB1116" s="107"/>
      <c r="CC1116" s="107"/>
      <c r="CD1116" s="107"/>
      <c r="CE1116" s="107"/>
      <c r="CF1116" s="107"/>
      <c r="CG1116" s="107"/>
      <c r="CH1116" s="107"/>
      <c r="CI1116" s="107"/>
      <c r="CJ1116" s="107"/>
      <c r="CK1116" s="107"/>
      <c r="CL1116" s="107"/>
      <c r="CM1116" s="107"/>
      <c r="CN1116" s="107"/>
      <c r="CO1116" s="107"/>
      <c r="CP1116" s="107"/>
      <c r="CQ1116" s="107"/>
      <c r="CR1116" s="107"/>
      <c r="CS1116" s="107"/>
      <c r="CT1116" s="107"/>
      <c r="CU1116" s="107"/>
      <c r="CV1116" s="107"/>
    </row>
    <row r="1117" customFormat="false" ht="14.9" hidden="false" customHeight="false" outlineLevel="0" collapsed="false">
      <c r="A1117" s="74" t="n">
        <f aca="false">MONTH(B1117)</f>
        <v>10</v>
      </c>
      <c r="B1117" s="135" t="n">
        <v>44499</v>
      </c>
      <c r="C1117" s="128" t="s">
        <v>152</v>
      </c>
      <c r="D1117" s="77" t="str">
        <f aca="false">IFERROR(VLOOKUP(E:E,'Item Data Support Sheet'!A:O,7,0),"")</f>
        <v>NIPPLE MOLDED</v>
      </c>
      <c r="E1117" s="80" t="s">
        <v>244</v>
      </c>
      <c r="F1117" s="122" t="s">
        <v>137</v>
      </c>
      <c r="G1117" s="137" t="s">
        <v>138</v>
      </c>
      <c r="H1117" s="79" t="str">
        <f aca="false">IFERROR(VLOOKUP(E:E,'Item Data Support Sheet'!A:O,2,0),"")</f>
        <v>NIPPLE S TYPE S SIZE INJECTION</v>
      </c>
      <c r="I1117" s="80" t="s">
        <v>1881</v>
      </c>
      <c r="J1117" s="80" t="s">
        <v>143</v>
      </c>
      <c r="K1117" s="124" t="n">
        <v>8</v>
      </c>
      <c r="L1117" s="124" t="n">
        <v>4815</v>
      </c>
      <c r="M1117" s="83" t="n">
        <v>601.875</v>
      </c>
      <c r="N1117" s="84" t="n">
        <f aca="false">+O1117+Q1117+T1117+U1117</f>
        <v>4785</v>
      </c>
      <c r="O1117" s="85" t="n">
        <v>4730</v>
      </c>
      <c r="P1117" s="86" t="n">
        <v>0.6</v>
      </c>
      <c r="Q1117" s="86" t="n">
        <v>0</v>
      </c>
      <c r="R1117" s="132" t="n">
        <v>0</v>
      </c>
      <c r="S1117" s="128" t="n">
        <v>0</v>
      </c>
      <c r="T1117" s="132" t="n">
        <v>47</v>
      </c>
      <c r="U1117" s="128" t="n">
        <v>8</v>
      </c>
      <c r="V1117" s="128" t="n">
        <v>1</v>
      </c>
      <c r="W1117" s="90" t="n">
        <f aca="false">IFERROR(O1117/V1117,0)</f>
        <v>4730</v>
      </c>
      <c r="X1117" s="91" t="n">
        <f aca="false">O1117/L1117</f>
        <v>0.982346832814122</v>
      </c>
      <c r="Y1117" s="92" t="str">
        <f aca="false">IFERROR(VLOOKUP(E:E,'Item Data Support Sheet'!A:J,6,0),0)</f>
        <v>Silicon</v>
      </c>
      <c r="Z1117" s="93" t="n">
        <f aca="false">IFERROR(VLOOKUP(E:E,'Item Data Support Sheet'!A:O,4,0),0)</f>
        <v>6.8</v>
      </c>
      <c r="AA1117" s="93" t="n">
        <f aca="false">IFERROR(((N1117)*(Z1117/1000))+P1117,0)</f>
        <v>33.138</v>
      </c>
      <c r="AB1117" s="94" t="n">
        <f aca="false">IFERROR((O1117*(Z1117/1000)/(AA1117))," ")</f>
        <v>0.970607761482286</v>
      </c>
      <c r="AC1117" s="95" t="n">
        <f aca="false">IFERROR((T1117)/((T1117)+O1117),0)</f>
        <v>0.00983881096922755</v>
      </c>
      <c r="AD1117" s="96" t="n">
        <f aca="false">IFERROR(Q1117/(Q1117+N1117),0)</f>
        <v>0</v>
      </c>
      <c r="AE1117" s="91" t="n">
        <f aca="false">(N1117-T1117)/N1117</f>
        <v>0.9901776384535</v>
      </c>
      <c r="AF1117" s="97" t="n">
        <f aca="false">BR1117</f>
        <v>0.5</v>
      </c>
      <c r="AG1117" s="98" t="n">
        <f aca="false">K1117-AF1117</f>
        <v>7.5</v>
      </c>
      <c r="AH1117" s="99" t="n">
        <f aca="false">IFERROR(AG1117/K1117," ")</f>
        <v>0.9375</v>
      </c>
      <c r="AI1117" s="100" t="n">
        <f aca="false">IFERROR(O1117/K1117,0)</f>
        <v>591.25</v>
      </c>
      <c r="AJ1117" s="101" t="n">
        <f aca="false">VLOOKUP(D1117,'Standard Cycle time'!C:D,2,0)</f>
        <v>5.25</v>
      </c>
      <c r="AK1117" s="101" t="n">
        <f aca="false">AG1117*V1117*3600/O1117</f>
        <v>5.70824524312896</v>
      </c>
      <c r="AL1117" s="102" t="n">
        <f aca="false">AJ1117/AK1117</f>
        <v>0.919722222222222</v>
      </c>
      <c r="AM1117" s="99" t="n">
        <f aca="false">AE1117*AL1117*AH1117</f>
        <v>0.85377035440613</v>
      </c>
      <c r="AN1117" s="103" t="n">
        <v>0.85377035440613</v>
      </c>
      <c r="AO1117" s="112" t="s">
        <v>1895</v>
      </c>
      <c r="AP1117" s="105" t="n">
        <v>0</v>
      </c>
      <c r="AQ1117" s="105" t="n">
        <v>0</v>
      </c>
      <c r="AR1117" s="105" t="n">
        <v>0</v>
      </c>
      <c r="AS1117" s="105" t="n">
        <v>0</v>
      </c>
      <c r="AT1117" s="105" t="n">
        <v>0</v>
      </c>
      <c r="AU1117" s="105" t="n">
        <v>0</v>
      </c>
      <c r="AV1117" s="105" t="n">
        <v>0</v>
      </c>
      <c r="AW1117" s="105" t="n">
        <v>0</v>
      </c>
      <c r="AX1117" s="105" t="n">
        <v>0</v>
      </c>
      <c r="AY1117" s="105" t="n">
        <v>0</v>
      </c>
      <c r="AZ1117" s="105" t="n">
        <v>0</v>
      </c>
      <c r="BA1117" s="105" t="n">
        <v>0</v>
      </c>
      <c r="BB1117" s="105" t="n">
        <v>30</v>
      </c>
      <c r="BC1117" s="105" t="n">
        <v>0</v>
      </c>
      <c r="BD1117" s="105" t="n">
        <v>0</v>
      </c>
      <c r="BE1117" s="105" t="n">
        <v>0</v>
      </c>
      <c r="BF1117" s="105" t="n">
        <v>0</v>
      </c>
      <c r="BG1117" s="105" t="n">
        <v>0</v>
      </c>
      <c r="BH1117" s="105" t="n">
        <v>0</v>
      </c>
      <c r="BI1117" s="105" t="n">
        <v>0</v>
      </c>
      <c r="BJ1117" s="105" t="n">
        <v>0</v>
      </c>
      <c r="BK1117" s="105" t="n">
        <v>0</v>
      </c>
      <c r="BL1117" s="105" t="n">
        <v>0</v>
      </c>
      <c r="BM1117" s="105" t="n">
        <v>0</v>
      </c>
      <c r="BN1117" s="105" t="n">
        <v>0</v>
      </c>
      <c r="BO1117" s="105" t="n">
        <v>0</v>
      </c>
      <c r="BP1117" s="105" t="n">
        <v>0</v>
      </c>
      <c r="BQ1117" s="105" t="n">
        <v>0</v>
      </c>
      <c r="BR1117" s="106" t="n">
        <v>0.5</v>
      </c>
      <c r="BS1117" s="106" t="n">
        <v>0.5</v>
      </c>
      <c r="BT1117" s="107"/>
      <c r="BU1117" s="107"/>
      <c r="BV1117" s="107"/>
      <c r="BW1117" s="107"/>
      <c r="BX1117" s="107"/>
      <c r="BY1117" s="107"/>
      <c r="BZ1117" s="107"/>
      <c r="CA1117" s="107"/>
      <c r="CB1117" s="107"/>
      <c r="CC1117" s="107"/>
      <c r="CD1117" s="107"/>
      <c r="CE1117" s="107"/>
      <c r="CF1117" s="107"/>
      <c r="CG1117" s="107"/>
      <c r="CH1117" s="107"/>
      <c r="CI1117" s="107"/>
      <c r="CJ1117" s="107"/>
      <c r="CK1117" s="107"/>
      <c r="CL1117" s="107"/>
      <c r="CM1117" s="107"/>
      <c r="CN1117" s="107"/>
      <c r="CO1117" s="107"/>
      <c r="CP1117" s="107"/>
      <c r="CQ1117" s="107"/>
      <c r="CR1117" s="107"/>
      <c r="CS1117" s="107"/>
      <c r="CT1117" s="107"/>
      <c r="CU1117" s="107"/>
      <c r="CV1117" s="107"/>
    </row>
    <row r="1118" customFormat="false" ht="14.9" hidden="false" customHeight="false" outlineLevel="0" collapsed="false">
      <c r="A1118" s="74" t="n">
        <f aca="false">MONTH(B1118)</f>
        <v>11</v>
      </c>
      <c r="B1118" s="135" t="n">
        <v>44501</v>
      </c>
      <c r="C1118" s="128" t="s">
        <v>51</v>
      </c>
      <c r="D1118" s="77" t="str">
        <f aca="false">IFERROR(VLOOKUP(E:E,'Item Data Support Sheet'!A:O,7,0),"")</f>
        <v>HOOD MOLDED</v>
      </c>
      <c r="E1118" s="80" t="s">
        <v>529</v>
      </c>
      <c r="F1118" s="122"/>
      <c r="G1118" s="137" t="s">
        <v>740</v>
      </c>
      <c r="H1118" s="79" t="str">
        <f aca="false">IFERROR(VLOOKUP(E:E,'Item Data Support Sheet'!A:O,2,0),"")</f>
        <v>HOOD S TYPE MOLDED</v>
      </c>
      <c r="I1118" s="80" t="s">
        <v>1896</v>
      </c>
      <c r="J1118" s="80" t="s">
        <v>143</v>
      </c>
      <c r="K1118" s="124" t="n">
        <v>8</v>
      </c>
      <c r="L1118" s="124" t="n">
        <v>4137</v>
      </c>
      <c r="M1118" s="83" t="n">
        <v>517.125</v>
      </c>
      <c r="N1118" s="84" t="n">
        <f aca="false">+O1118+Q1118+T1118+U1118</f>
        <v>4058</v>
      </c>
      <c r="O1118" s="85" t="n">
        <v>4000</v>
      </c>
      <c r="P1118" s="86" t="n">
        <v>0.1</v>
      </c>
      <c r="Q1118" s="86" t="n">
        <v>30</v>
      </c>
      <c r="R1118" s="132" t="n">
        <v>0</v>
      </c>
      <c r="S1118" s="128" t="n">
        <v>0</v>
      </c>
      <c r="T1118" s="132" t="n">
        <v>20</v>
      </c>
      <c r="U1118" s="128" t="n">
        <v>8</v>
      </c>
      <c r="V1118" s="128" t="n">
        <v>1</v>
      </c>
      <c r="W1118" s="90" t="n">
        <f aca="false">IFERROR(O1118/V1118,0)</f>
        <v>4000</v>
      </c>
      <c r="X1118" s="91" t="n">
        <f aca="false">O1118/L1118</f>
        <v>0.96688421561518</v>
      </c>
      <c r="Y1118" s="92" t="str">
        <f aca="false">IFERROR(VLOOKUP(E:E,'Item Data Support Sheet'!A:J,6,0),0)</f>
        <v>HMC</v>
      </c>
      <c r="Z1118" s="93" t="n">
        <f aca="false">IFERROR(VLOOKUP(E:E,'Item Data Support Sheet'!A:O,4,0),0)</f>
        <v>8.6</v>
      </c>
      <c r="AA1118" s="93" t="n">
        <f aca="false">IFERROR(((N1118)*(Z1118/1000))+P1118,0)</f>
        <v>34.9988</v>
      </c>
      <c r="AB1118" s="94" t="n">
        <f aca="false">IFERROR((O1118*(Z1118/1000)/(AA1118))," ")</f>
        <v>0.982890841971725</v>
      </c>
      <c r="AC1118" s="95" t="n">
        <f aca="false">IFERROR((T1118)/((T1118)+O1118),0)</f>
        <v>0.00497512437810945</v>
      </c>
      <c r="AD1118" s="96" t="n">
        <f aca="false">IFERROR(Q1118/(Q1118+N1118),0)</f>
        <v>0.0073385518590998</v>
      </c>
      <c r="AE1118" s="91" t="n">
        <f aca="false">(N1118-T1118)/N1118</f>
        <v>0.995071463775259</v>
      </c>
      <c r="AF1118" s="97" t="n">
        <f aca="false">BR1118</f>
        <v>0.5</v>
      </c>
      <c r="AG1118" s="98" t="n">
        <f aca="false">K1118-AF1118</f>
        <v>7.5</v>
      </c>
      <c r="AH1118" s="99" t="n">
        <f aca="false">IFERROR(AG1118/K1118," ")</f>
        <v>0.9375</v>
      </c>
      <c r="AI1118" s="100" t="n">
        <f aca="false">IFERROR(O1118/K1118,0)</f>
        <v>500</v>
      </c>
      <c r="AJ1118" s="101" t="n">
        <f aca="false">VLOOKUP(D1118,'Standard Cycle time'!C:D,2,0)</f>
        <v>6</v>
      </c>
      <c r="AK1118" s="101" t="n">
        <f aca="false">AG1118*V1118*3600/O1118</f>
        <v>6.75</v>
      </c>
      <c r="AL1118" s="102" t="n">
        <f aca="false">AJ1118/AK1118</f>
        <v>0.888888888888889</v>
      </c>
      <c r="AM1118" s="99" t="n">
        <f aca="false">AE1118*AL1118*AH1118</f>
        <v>0.829226219812716</v>
      </c>
      <c r="AN1118" s="103" t="n">
        <v>0.829226219812716</v>
      </c>
      <c r="AO1118" s="112" t="s">
        <v>1897</v>
      </c>
      <c r="AP1118" s="105" t="n">
        <v>0</v>
      </c>
      <c r="AQ1118" s="105" t="n">
        <v>0</v>
      </c>
      <c r="AR1118" s="105" t="n">
        <v>0</v>
      </c>
      <c r="AS1118" s="105" t="n">
        <v>0</v>
      </c>
      <c r="AT1118" s="105" t="n">
        <v>0</v>
      </c>
      <c r="AU1118" s="105" t="n">
        <v>0</v>
      </c>
      <c r="AV1118" s="105" t="n">
        <v>0</v>
      </c>
      <c r="AW1118" s="105" t="n">
        <v>0</v>
      </c>
      <c r="AX1118" s="105" t="n">
        <v>0</v>
      </c>
      <c r="AY1118" s="105" t="n">
        <v>0</v>
      </c>
      <c r="AZ1118" s="105" t="n">
        <v>0</v>
      </c>
      <c r="BA1118" s="105" t="n">
        <v>0</v>
      </c>
      <c r="BB1118" s="105" t="n">
        <v>30</v>
      </c>
      <c r="BC1118" s="105" t="n">
        <v>0</v>
      </c>
      <c r="BD1118" s="105" t="n">
        <v>0</v>
      </c>
      <c r="BE1118" s="105" t="n">
        <v>0</v>
      </c>
      <c r="BF1118" s="105" t="n">
        <v>0</v>
      </c>
      <c r="BG1118" s="105" t="n">
        <v>0</v>
      </c>
      <c r="BH1118" s="105" t="n">
        <v>0</v>
      </c>
      <c r="BI1118" s="105" t="n">
        <v>0</v>
      </c>
      <c r="BJ1118" s="105" t="n">
        <v>0</v>
      </c>
      <c r="BK1118" s="105" t="n">
        <v>0</v>
      </c>
      <c r="BL1118" s="105" t="n">
        <v>0</v>
      </c>
      <c r="BM1118" s="105" t="n">
        <v>0</v>
      </c>
      <c r="BN1118" s="105" t="n">
        <v>0</v>
      </c>
      <c r="BO1118" s="105" t="n">
        <v>0</v>
      </c>
      <c r="BP1118" s="105" t="n">
        <v>0</v>
      </c>
      <c r="BQ1118" s="105" t="n">
        <v>0</v>
      </c>
      <c r="BR1118" s="106" t="n">
        <v>0.5</v>
      </c>
      <c r="BS1118" s="106" t="n">
        <v>0.5</v>
      </c>
      <c r="BT1118" s="107"/>
      <c r="BU1118" s="107"/>
      <c r="BV1118" s="107"/>
      <c r="BW1118" s="107"/>
      <c r="BX1118" s="107"/>
      <c r="BY1118" s="107"/>
      <c r="BZ1118" s="107"/>
      <c r="CA1118" s="107"/>
      <c r="CB1118" s="107"/>
      <c r="CC1118" s="107"/>
      <c r="CD1118" s="107"/>
      <c r="CE1118" s="107"/>
      <c r="CF1118" s="107"/>
      <c r="CG1118" s="107"/>
      <c r="CH1118" s="107"/>
      <c r="CI1118" s="107"/>
      <c r="CJ1118" s="107"/>
      <c r="CK1118" s="107"/>
      <c r="CL1118" s="107"/>
      <c r="CM1118" s="107"/>
      <c r="CN1118" s="107"/>
      <c r="CO1118" s="107"/>
      <c r="CP1118" s="107"/>
      <c r="CQ1118" s="107"/>
      <c r="CR1118" s="107"/>
      <c r="CS1118" s="107"/>
      <c r="CT1118" s="107"/>
      <c r="CU1118" s="107"/>
      <c r="CV1118" s="107"/>
      <c r="CX1118" s="0" t="s">
        <v>143</v>
      </c>
      <c r="CY1118" s="0" t="s">
        <v>1481</v>
      </c>
    </row>
    <row r="1119" customFormat="false" ht="14.9" hidden="false" customHeight="false" outlineLevel="0" collapsed="false">
      <c r="A1119" s="74" t="n">
        <f aca="false">MONTH(B1119)</f>
        <v>11</v>
      </c>
      <c r="B1119" s="135" t="n">
        <v>44501</v>
      </c>
      <c r="C1119" s="128" t="s">
        <v>51</v>
      </c>
      <c r="D1119" s="77" t="str">
        <f aca="false">IFERROR(VLOOKUP(E:E,'Item Data Support Sheet'!A:O,7,0),"")</f>
        <v>BOTTLE MOLDED</v>
      </c>
      <c r="E1119" s="80" t="s">
        <v>72</v>
      </c>
      <c r="F1119" s="122" t="s">
        <v>73</v>
      </c>
      <c r="G1119" s="137" t="s">
        <v>74</v>
      </c>
      <c r="H1119" s="79" t="str">
        <f aca="false">IFERROR(VLOOKUP(E:E,'Item Data Support Sheet'!A:O,2,0),"")</f>
        <v>KPP BOTTLE 240 ML MOULDED-WMG3B</v>
      </c>
      <c r="I1119" s="80" t="s">
        <v>1898</v>
      </c>
      <c r="J1119" s="80" t="s">
        <v>143</v>
      </c>
      <c r="K1119" s="124" t="n">
        <v>8</v>
      </c>
      <c r="L1119" s="124" t="n">
        <v>2503</v>
      </c>
      <c r="M1119" s="83" t="n">
        <v>312.875</v>
      </c>
      <c r="N1119" s="84" t="n">
        <f aca="false">+O1119+Q1119+T1119+U1119</f>
        <v>2511</v>
      </c>
      <c r="O1119" s="85" t="n">
        <v>2376</v>
      </c>
      <c r="P1119" s="86" t="n">
        <v>0.12</v>
      </c>
      <c r="Q1119" s="86" t="n">
        <v>67</v>
      </c>
      <c r="R1119" s="132" t="n">
        <v>0</v>
      </c>
      <c r="S1119" s="128" t="n">
        <v>0</v>
      </c>
      <c r="T1119" s="132" t="n">
        <v>52</v>
      </c>
      <c r="U1119" s="128" t="n">
        <v>16</v>
      </c>
      <c r="V1119" s="128" t="n">
        <v>1</v>
      </c>
      <c r="W1119" s="90" t="n">
        <f aca="false">IFERROR(O1119/V1119,0)</f>
        <v>2376</v>
      </c>
      <c r="X1119" s="91" t="n">
        <f aca="false">O1119/L1119</f>
        <v>0.949260886935677</v>
      </c>
      <c r="Y1119" s="92" t="str">
        <f aca="false">IFERROR(VLOOKUP(E:E,'Item Data Support Sheet'!A:J,6,0),0)</f>
        <v>WMG3B</v>
      </c>
      <c r="Z1119" s="93" t="n">
        <f aca="false">IFERROR(VLOOKUP(E:E,'Item Data Support Sheet'!A:O,4,0),0)</f>
        <v>33.1</v>
      </c>
      <c r="AA1119" s="93" t="n">
        <f aca="false">IFERROR(((N1119)*(Z1119/1000))+P1119,0)</f>
        <v>83.2341</v>
      </c>
      <c r="AB1119" s="94" t="n">
        <f aca="false">IFERROR((O1119*(Z1119/1000)/(AA1119))," ")</f>
        <v>0.944872353999142</v>
      </c>
      <c r="AC1119" s="95" t="n">
        <f aca="false">IFERROR((T1119)/((T1119)+O1119),0)</f>
        <v>0.0214168039538715</v>
      </c>
      <c r="AD1119" s="96" t="n">
        <f aca="false">IFERROR(Q1119/(Q1119+N1119),0)</f>
        <v>0.025989138867339</v>
      </c>
      <c r="AE1119" s="91" t="n">
        <f aca="false">(N1119-T1119)/N1119</f>
        <v>0.979291119076065</v>
      </c>
      <c r="AF1119" s="97" t="n">
        <f aca="false">BR1119</f>
        <v>2.16666666666667</v>
      </c>
      <c r="AG1119" s="98" t="n">
        <f aca="false">K1119-AF1119</f>
        <v>5.83333333333333</v>
      </c>
      <c r="AH1119" s="99" t="n">
        <f aca="false">IFERROR(AG1119/K1119," ")</f>
        <v>0.729166666666666</v>
      </c>
      <c r="AI1119" s="100" t="n">
        <f aca="false">IFERROR(O1119/K1119,0)</f>
        <v>297</v>
      </c>
      <c r="AJ1119" s="101" t="n">
        <f aca="false">VLOOKUP(D1119,'Standard Cycle time'!C:D,2,0)</f>
        <v>9</v>
      </c>
      <c r="AK1119" s="101" t="n">
        <f aca="false">AG1119*V1119*3600/O1119</f>
        <v>8.83838383838383</v>
      </c>
      <c r="AL1119" s="102" t="n">
        <f aca="false">AJ1119/AK1119</f>
        <v>1.01828571428572</v>
      </c>
      <c r="AM1119" s="99" t="n">
        <f aca="false">AE1119*AL1119*AH1119</f>
        <v>0.727123655913979</v>
      </c>
      <c r="AN1119" s="103" t="n">
        <v>0.727123655913979</v>
      </c>
      <c r="AO1119" s="112" t="s">
        <v>1899</v>
      </c>
      <c r="AP1119" s="105" t="n">
        <v>0</v>
      </c>
      <c r="AQ1119" s="105" t="n">
        <v>0</v>
      </c>
      <c r="AR1119" s="105" t="n">
        <v>70</v>
      </c>
      <c r="AS1119" s="105" t="n">
        <v>0</v>
      </c>
      <c r="AT1119" s="105" t="n">
        <v>0</v>
      </c>
      <c r="AU1119" s="105" t="n">
        <v>0</v>
      </c>
      <c r="AV1119" s="105" t="n">
        <v>30</v>
      </c>
      <c r="AW1119" s="105" t="n">
        <v>0</v>
      </c>
      <c r="AX1119" s="105" t="n">
        <v>0</v>
      </c>
      <c r="AY1119" s="105" t="n">
        <v>0</v>
      </c>
      <c r="AZ1119" s="105" t="n">
        <v>0</v>
      </c>
      <c r="BA1119" s="105" t="n">
        <v>0</v>
      </c>
      <c r="BB1119" s="105" t="n">
        <v>30</v>
      </c>
      <c r="BC1119" s="105" t="n">
        <v>0</v>
      </c>
      <c r="BD1119" s="105" t="n">
        <v>0</v>
      </c>
      <c r="BE1119" s="105" t="n">
        <v>0</v>
      </c>
      <c r="BF1119" s="105" t="n">
        <v>0</v>
      </c>
      <c r="BG1119" s="105" t="n">
        <v>0</v>
      </c>
      <c r="BH1119" s="105" t="n">
        <v>0</v>
      </c>
      <c r="BI1119" s="105" t="n">
        <v>0</v>
      </c>
      <c r="BJ1119" s="105" t="n">
        <v>0</v>
      </c>
      <c r="BK1119" s="105" t="n">
        <v>0</v>
      </c>
      <c r="BL1119" s="105" t="n">
        <v>0</v>
      </c>
      <c r="BM1119" s="105" t="n">
        <v>0</v>
      </c>
      <c r="BN1119" s="105" t="n">
        <v>0</v>
      </c>
      <c r="BO1119" s="105" t="n">
        <v>0</v>
      </c>
      <c r="BP1119" s="105" t="n">
        <v>0</v>
      </c>
      <c r="BQ1119" s="105" t="n">
        <v>0</v>
      </c>
      <c r="BR1119" s="106" t="n">
        <v>2.16666666666667</v>
      </c>
      <c r="BS1119" s="106" t="n">
        <v>2.16666666666667</v>
      </c>
      <c r="BT1119" s="107"/>
      <c r="BU1119" s="107"/>
      <c r="BV1119" s="107"/>
      <c r="BW1119" s="107"/>
      <c r="BX1119" s="107"/>
      <c r="BY1119" s="107"/>
      <c r="BZ1119" s="107"/>
      <c r="CA1119" s="107"/>
      <c r="CB1119" s="107"/>
      <c r="CC1119" s="107"/>
      <c r="CD1119" s="107"/>
      <c r="CE1119" s="107"/>
      <c r="CF1119" s="107"/>
      <c r="CG1119" s="107"/>
      <c r="CH1119" s="107"/>
      <c r="CI1119" s="107"/>
      <c r="CJ1119" s="107"/>
      <c r="CK1119" s="107"/>
      <c r="CL1119" s="107"/>
      <c r="CM1119" s="107"/>
      <c r="CN1119" s="107"/>
      <c r="CO1119" s="107"/>
      <c r="CP1119" s="107"/>
      <c r="CQ1119" s="107"/>
      <c r="CR1119" s="107"/>
      <c r="CS1119" s="107"/>
      <c r="CT1119" s="107"/>
      <c r="CU1119" s="107"/>
      <c r="CV1119" s="107"/>
      <c r="CX1119" s="0" t="s">
        <v>815</v>
      </c>
      <c r="CY1119" s="0" t="s">
        <v>1483</v>
      </c>
    </row>
    <row r="1120" customFormat="false" ht="14.9" hidden="false" customHeight="false" outlineLevel="0" collapsed="false">
      <c r="A1120" s="74" t="n">
        <f aca="false">MONTH(B1120)</f>
        <v>11</v>
      </c>
      <c r="B1120" s="135" t="n">
        <v>44501</v>
      </c>
      <c r="C1120" s="128" t="s">
        <v>51</v>
      </c>
      <c r="D1120" s="77" t="str">
        <f aca="false">IFERROR(VLOOKUP(E:E,'Item Data Support Sheet'!A:O,7,0),"")</f>
        <v>NIPPLE MOLDED</v>
      </c>
      <c r="E1120" s="80" t="s">
        <v>244</v>
      </c>
      <c r="F1120" s="122" t="s">
        <v>137</v>
      </c>
      <c r="G1120" s="137" t="s">
        <v>138</v>
      </c>
      <c r="H1120" s="79" t="str">
        <f aca="false">IFERROR(VLOOKUP(E:E,'Item Data Support Sheet'!A:O,2,0),"")</f>
        <v>NIPPLE S TYPE S SIZE INJECTION</v>
      </c>
      <c r="I1120" s="80" t="s">
        <v>1900</v>
      </c>
      <c r="J1120" s="80" t="s">
        <v>143</v>
      </c>
      <c r="K1120" s="124" t="n">
        <v>8</v>
      </c>
      <c r="L1120" s="124" t="n">
        <v>4815</v>
      </c>
      <c r="M1120" s="83" t="n">
        <v>601.875</v>
      </c>
      <c r="N1120" s="84" t="n">
        <f aca="false">+O1120+Q1120+T1120+U1120</f>
        <v>4665</v>
      </c>
      <c r="O1120" s="85" t="n">
        <v>4500</v>
      </c>
      <c r="P1120" s="86" t="n">
        <v>6.997</v>
      </c>
      <c r="Q1120" s="86" t="n">
        <v>94</v>
      </c>
      <c r="R1120" s="132" t="n">
        <v>0</v>
      </c>
      <c r="S1120" s="128" t="n">
        <v>0</v>
      </c>
      <c r="T1120" s="132" t="n">
        <v>55</v>
      </c>
      <c r="U1120" s="128" t="n">
        <v>16</v>
      </c>
      <c r="V1120" s="128" t="n">
        <v>1</v>
      </c>
      <c r="W1120" s="90" t="n">
        <f aca="false">IFERROR(O1120/V1120,0)</f>
        <v>4500</v>
      </c>
      <c r="X1120" s="91" t="n">
        <f aca="false">O1120/L1120</f>
        <v>0.934579439252336</v>
      </c>
      <c r="Y1120" s="92" t="str">
        <f aca="false">IFERROR(VLOOKUP(E:E,'Item Data Support Sheet'!A:J,6,0),0)</f>
        <v>Silicon</v>
      </c>
      <c r="Z1120" s="93" t="n">
        <f aca="false">IFERROR(VLOOKUP(E:E,'Item Data Support Sheet'!A:O,4,0),0)</f>
        <v>6.8</v>
      </c>
      <c r="AA1120" s="93" t="n">
        <f aca="false">IFERROR(((N1120)*(Z1120/1000))+P1120,0)</f>
        <v>38.719</v>
      </c>
      <c r="AB1120" s="94" t="n">
        <f aca="false">IFERROR((O1120*(Z1120/1000)/(AA1120))," ")</f>
        <v>0.79030966708851</v>
      </c>
      <c r="AC1120" s="95" t="n">
        <f aca="false">IFERROR((T1120)/((T1120)+O1120),0)</f>
        <v>0.0120746432491767</v>
      </c>
      <c r="AD1120" s="96" t="n">
        <f aca="false">IFERROR(Q1120/(Q1120+N1120),0)</f>
        <v>0.0197520487497373</v>
      </c>
      <c r="AE1120" s="91" t="n">
        <f aca="false">(N1120-T1120)/N1120</f>
        <v>0.988210075026795</v>
      </c>
      <c r="AF1120" s="97" t="n">
        <f aca="false">BR1120</f>
        <v>1.66666666666667</v>
      </c>
      <c r="AG1120" s="98" t="n">
        <f aca="false">K1120-AF1120</f>
        <v>6.33333333333333</v>
      </c>
      <c r="AH1120" s="99" t="n">
        <f aca="false">IFERROR(AG1120/K1120," ")</f>
        <v>0.791666666666666</v>
      </c>
      <c r="AI1120" s="100" t="n">
        <f aca="false">IFERROR(O1120/K1120,0)</f>
        <v>562.5</v>
      </c>
      <c r="AJ1120" s="101" t="n">
        <f aca="false">VLOOKUP(D1120,'Standard Cycle time'!C:D,2,0)</f>
        <v>5.25</v>
      </c>
      <c r="AK1120" s="101" t="n">
        <f aca="false">AG1120*V1120*3600/O1120</f>
        <v>5.06666666666666</v>
      </c>
      <c r="AL1120" s="102" t="n">
        <f aca="false">AJ1120/AK1120</f>
        <v>1.03618421052632</v>
      </c>
      <c r="AM1120" s="99" t="n">
        <f aca="false">AE1120*AL1120*AH1120</f>
        <v>0.810641077170418</v>
      </c>
      <c r="AN1120" s="103" t="n">
        <v>0.810641077170418</v>
      </c>
      <c r="AO1120" s="112" t="s">
        <v>1901</v>
      </c>
      <c r="AP1120" s="105" t="n">
        <v>0</v>
      </c>
      <c r="AQ1120" s="105" t="n">
        <v>0</v>
      </c>
      <c r="AR1120" s="105" t="n">
        <v>0</v>
      </c>
      <c r="AS1120" s="105" t="n">
        <v>0</v>
      </c>
      <c r="AT1120" s="105" t="n">
        <v>0</v>
      </c>
      <c r="AU1120" s="105" t="n">
        <v>30</v>
      </c>
      <c r="AV1120" s="105" t="n">
        <v>0</v>
      </c>
      <c r="AW1120" s="105" t="n">
        <v>0</v>
      </c>
      <c r="AX1120" s="105" t="n">
        <v>0</v>
      </c>
      <c r="AY1120" s="105" t="n">
        <v>0</v>
      </c>
      <c r="AZ1120" s="105" t="n">
        <v>0</v>
      </c>
      <c r="BA1120" s="105" t="n">
        <v>0</v>
      </c>
      <c r="BB1120" s="105" t="n">
        <v>70</v>
      </c>
      <c r="BC1120" s="105" t="n">
        <v>0</v>
      </c>
      <c r="BD1120" s="105" t="n">
        <v>0</v>
      </c>
      <c r="BE1120" s="105" t="n">
        <v>0</v>
      </c>
      <c r="BF1120" s="105" t="n">
        <v>0</v>
      </c>
      <c r="BG1120" s="105" t="n">
        <v>0</v>
      </c>
      <c r="BH1120" s="105" t="n">
        <v>0</v>
      </c>
      <c r="BI1120" s="105" t="n">
        <v>0</v>
      </c>
      <c r="BJ1120" s="105" t="n">
        <v>0</v>
      </c>
      <c r="BK1120" s="105" t="n">
        <v>0</v>
      </c>
      <c r="BL1120" s="105" t="n">
        <v>0</v>
      </c>
      <c r="BM1120" s="105" t="n">
        <v>0</v>
      </c>
      <c r="BN1120" s="105" t="n">
        <v>0</v>
      </c>
      <c r="BO1120" s="105" t="n">
        <v>0</v>
      </c>
      <c r="BP1120" s="105" t="n">
        <v>0</v>
      </c>
      <c r="BQ1120" s="105" t="n">
        <v>0</v>
      </c>
      <c r="BR1120" s="106" t="n">
        <v>1.66666666666667</v>
      </c>
      <c r="BS1120" s="106" t="n">
        <v>1.66666666666667</v>
      </c>
      <c r="BT1120" s="107"/>
      <c r="BU1120" s="107"/>
      <c r="BV1120" s="107"/>
      <c r="BW1120" s="107"/>
      <c r="BX1120" s="107"/>
      <c r="BY1120" s="107"/>
      <c r="BZ1120" s="107"/>
      <c r="CA1120" s="107"/>
      <c r="CB1120" s="107"/>
      <c r="CC1120" s="107"/>
      <c r="CD1120" s="107"/>
      <c r="CE1120" s="107"/>
      <c r="CF1120" s="107"/>
      <c r="CG1120" s="107"/>
      <c r="CH1120" s="107"/>
      <c r="CI1120" s="107"/>
      <c r="CJ1120" s="107"/>
      <c r="CK1120" s="107"/>
      <c r="CL1120" s="107"/>
      <c r="CM1120" s="107"/>
      <c r="CN1120" s="107"/>
      <c r="CO1120" s="107"/>
      <c r="CP1120" s="107"/>
      <c r="CQ1120" s="107"/>
      <c r="CR1120" s="107"/>
      <c r="CS1120" s="107"/>
      <c r="CT1120" s="107"/>
      <c r="CU1120" s="107"/>
      <c r="CV1120" s="107"/>
      <c r="CX1120" s="0" t="s">
        <v>155</v>
      </c>
      <c r="CY1120" s="0" t="s">
        <v>1486</v>
      </c>
      <c r="CZ1120" s="0" t="n">
        <v>38.719</v>
      </c>
    </row>
    <row r="1121" customFormat="false" ht="14.9" hidden="false" customHeight="false" outlineLevel="0" collapsed="false">
      <c r="A1121" s="74" t="n">
        <f aca="false">MONTH(B1121)</f>
        <v>11</v>
      </c>
      <c r="B1121" s="135" t="n">
        <v>44501</v>
      </c>
      <c r="C1121" s="128" t="s">
        <v>51</v>
      </c>
      <c r="D1121" s="77" t="str">
        <f aca="false">IFERROR(VLOOKUP(E:E,'Item Data Support Sheet'!A:O,7,0),"")</f>
        <v>NIPPLE PUNCH</v>
      </c>
      <c r="E1121" s="80" t="s">
        <v>53</v>
      </c>
      <c r="F1121" s="122"/>
      <c r="G1121" s="137" t="s">
        <v>54</v>
      </c>
      <c r="H1121" s="79" t="str">
        <f aca="false">IFERROR(VLOOKUP(E:E,'Item Data Support Sheet'!A:O,2,0),"")</f>
        <v>NIPPLE S TYPE S SIZE PUNCHED</v>
      </c>
      <c r="I1121" s="80" t="s">
        <v>1902</v>
      </c>
      <c r="J1121" s="80" t="s">
        <v>143</v>
      </c>
      <c r="K1121" s="124" t="n">
        <v>8</v>
      </c>
      <c r="L1121" s="124" t="n">
        <v>7000</v>
      </c>
      <c r="M1121" s="83" t="n">
        <v>875</v>
      </c>
      <c r="N1121" s="84" t="n">
        <f aca="false">+O1121+Q1121+T1121+U1121</f>
        <v>7300</v>
      </c>
      <c r="O1121" s="85" t="n">
        <v>7300</v>
      </c>
      <c r="P1121" s="86" t="n">
        <v>0</v>
      </c>
      <c r="Q1121" s="86" t="n">
        <v>0</v>
      </c>
      <c r="R1121" s="132" t="n">
        <v>0</v>
      </c>
      <c r="S1121" s="128" t="n">
        <v>0</v>
      </c>
      <c r="T1121" s="132" t="n">
        <v>0</v>
      </c>
      <c r="U1121" s="128" t="n">
        <v>0</v>
      </c>
      <c r="V1121" s="128" t="n">
        <v>1</v>
      </c>
      <c r="W1121" s="90" t="n">
        <f aca="false">IFERROR(O1121/V1121,0)</f>
        <v>7300</v>
      </c>
      <c r="X1121" s="91" t="n">
        <f aca="false">O1121/L1121</f>
        <v>1.04285714285714</v>
      </c>
      <c r="Y1121" s="92" t="str">
        <f aca="false">IFERROR(VLOOKUP(E:E,'Item Data Support Sheet'!A:J,6,0),0)</f>
        <v>FO015</v>
      </c>
      <c r="Z1121" s="93" t="n">
        <f aca="false">IFERROR(VLOOKUP(E:E,'Item Data Support Sheet'!A:O,4,0),0)</f>
        <v>0</v>
      </c>
      <c r="AA1121" s="93" t="n">
        <f aca="false">IFERROR(((N1121)*(Z1121/1000))+P1121,0)</f>
        <v>0</v>
      </c>
      <c r="AB1121" s="94" t="str">
        <f aca="false">IFERROR((O1121*(Z1121/1000)/(AA1121))," ")</f>
        <v> </v>
      </c>
      <c r="AC1121" s="95" t="n">
        <f aca="false">IFERROR((T1121)/((T1121)+O1121),0)</f>
        <v>0</v>
      </c>
      <c r="AD1121" s="96" t="n">
        <f aca="false">IFERROR(Q1121/(Q1121+N1121),0)</f>
        <v>0</v>
      </c>
      <c r="AE1121" s="91" t="n">
        <f aca="false">(N1121-T1121)/N1121</f>
        <v>1</v>
      </c>
      <c r="AF1121" s="97" t="n">
        <f aca="false">BR1121</f>
        <v>0</v>
      </c>
      <c r="AG1121" s="98" t="n">
        <f aca="false">K1121-AF1121</f>
        <v>8</v>
      </c>
      <c r="AH1121" s="99" t="n">
        <f aca="false">IFERROR(AG1121/K1121," ")</f>
        <v>1</v>
      </c>
      <c r="AI1121" s="100" t="n">
        <f aca="false">IFERROR(O1121/K1121,0)</f>
        <v>912.5</v>
      </c>
      <c r="AJ1121" s="101" t="n">
        <f aca="false">VLOOKUP(D1121,'Standard Cycle time'!C:D,2,0)</f>
        <v>3.5</v>
      </c>
      <c r="AK1121" s="101" t="n">
        <f aca="false">AG1121*V1121*3600/O1121</f>
        <v>3.94520547945205</v>
      </c>
      <c r="AL1121" s="102" t="n">
        <f aca="false">AJ1121/AK1121</f>
        <v>0.887152777777778</v>
      </c>
      <c r="AM1121" s="99" t="n">
        <f aca="false">AE1121*AL1121*AH1121</f>
        <v>0.887152777777778</v>
      </c>
      <c r="AN1121" s="103" t="n">
        <v>0.887152777777778</v>
      </c>
      <c r="AO1121" s="112" t="s">
        <v>1897</v>
      </c>
      <c r="AP1121" s="105" t="n">
        <v>0</v>
      </c>
      <c r="AQ1121" s="105" t="n">
        <v>0</v>
      </c>
      <c r="AR1121" s="105" t="n">
        <v>0</v>
      </c>
      <c r="AS1121" s="105" t="n">
        <v>0</v>
      </c>
      <c r="AT1121" s="105" t="n">
        <v>0</v>
      </c>
      <c r="AU1121" s="105" t="n">
        <v>0</v>
      </c>
      <c r="AV1121" s="105" t="n">
        <v>0</v>
      </c>
      <c r="AW1121" s="105" t="n">
        <v>0</v>
      </c>
      <c r="AX1121" s="105" t="n">
        <v>0</v>
      </c>
      <c r="AY1121" s="105" t="n">
        <v>0</v>
      </c>
      <c r="AZ1121" s="105" t="n">
        <v>0</v>
      </c>
      <c r="BA1121" s="105" t="n">
        <v>0</v>
      </c>
      <c r="BB1121" s="105" t="n">
        <v>0</v>
      </c>
      <c r="BC1121" s="105" t="n">
        <v>0</v>
      </c>
      <c r="BD1121" s="105" t="n">
        <v>0</v>
      </c>
      <c r="BE1121" s="105" t="n">
        <v>0</v>
      </c>
      <c r="BF1121" s="105" t="n">
        <v>0</v>
      </c>
      <c r="BG1121" s="105" t="n">
        <v>0</v>
      </c>
      <c r="BH1121" s="105" t="n">
        <v>0</v>
      </c>
      <c r="BI1121" s="105" t="n">
        <v>0</v>
      </c>
      <c r="BJ1121" s="105" t="n">
        <v>0</v>
      </c>
      <c r="BK1121" s="105" t="n">
        <v>0</v>
      </c>
      <c r="BL1121" s="105" t="n">
        <v>0</v>
      </c>
      <c r="BM1121" s="105" t="n">
        <v>0</v>
      </c>
      <c r="BN1121" s="105" t="n">
        <v>0</v>
      </c>
      <c r="BO1121" s="105" t="n">
        <v>0</v>
      </c>
      <c r="BP1121" s="105" t="n">
        <v>0</v>
      </c>
      <c r="BQ1121" s="105" t="n">
        <v>0</v>
      </c>
      <c r="BR1121" s="106" t="n">
        <v>0</v>
      </c>
      <c r="BS1121" s="106" t="n">
        <v>0</v>
      </c>
      <c r="BT1121" s="107"/>
      <c r="BU1121" s="107"/>
      <c r="BV1121" s="107"/>
      <c r="BW1121" s="107"/>
      <c r="BX1121" s="107"/>
      <c r="BY1121" s="107"/>
      <c r="BZ1121" s="107"/>
      <c r="CA1121" s="107"/>
      <c r="CB1121" s="107"/>
      <c r="CC1121" s="107"/>
      <c r="CD1121" s="107"/>
      <c r="CE1121" s="107"/>
      <c r="CF1121" s="107"/>
      <c r="CG1121" s="107"/>
      <c r="CH1121" s="107"/>
      <c r="CI1121" s="107"/>
      <c r="CJ1121" s="107"/>
      <c r="CK1121" s="107"/>
      <c r="CL1121" s="107"/>
      <c r="CM1121" s="107"/>
      <c r="CN1121" s="107"/>
      <c r="CO1121" s="107"/>
      <c r="CP1121" s="107"/>
      <c r="CQ1121" s="107"/>
      <c r="CR1121" s="107"/>
      <c r="CS1121" s="107"/>
      <c r="CT1121" s="107"/>
      <c r="CU1121" s="107"/>
      <c r="CV1121" s="107"/>
      <c r="CX1121" s="0" t="s">
        <v>148</v>
      </c>
      <c r="CY1121" s="0" t="s">
        <v>1489</v>
      </c>
    </row>
    <row r="1122" customFormat="false" ht="14.9" hidden="false" customHeight="false" outlineLevel="0" collapsed="false">
      <c r="A1122" s="74" t="n">
        <f aca="false">MONTH(B1122)</f>
        <v>11</v>
      </c>
      <c r="B1122" s="135" t="n">
        <v>44501</v>
      </c>
      <c r="C1122" s="128" t="s">
        <v>51</v>
      </c>
      <c r="D1122" s="77" t="str">
        <f aca="false">IFERROR(VLOOKUP(E:E,'Item Data Support Sheet'!A:O,7,0),"")</f>
        <v>NIPPLE LASER MARKING</v>
      </c>
      <c r="E1122" s="80" t="s">
        <v>444</v>
      </c>
      <c r="F1122" s="122"/>
      <c r="G1122" s="137" t="s">
        <v>517</v>
      </c>
      <c r="H1122" s="79" t="str">
        <f aca="false">IFERROR(VLOOKUP(E:E,'Item Data Support Sheet'!A:O,2,0),"")</f>
        <v>NIPPLE S TYPE S SIZE PUNCHED LASER MARKED</v>
      </c>
      <c r="I1122" s="80" t="s">
        <v>1903</v>
      </c>
      <c r="J1122" s="80" t="s">
        <v>143</v>
      </c>
      <c r="K1122" s="124" t="n">
        <v>8</v>
      </c>
      <c r="L1122" s="124" t="n">
        <v>7000</v>
      </c>
      <c r="M1122" s="83" t="n">
        <v>875</v>
      </c>
      <c r="N1122" s="84" t="n">
        <f aca="false">+O1122+Q1122+T1122+U1122</f>
        <v>7300</v>
      </c>
      <c r="O1122" s="85" t="n">
        <v>7300</v>
      </c>
      <c r="P1122" s="86" t="n">
        <v>0</v>
      </c>
      <c r="Q1122" s="86" t="n">
        <v>0</v>
      </c>
      <c r="R1122" s="132" t="n">
        <v>0</v>
      </c>
      <c r="S1122" s="128" t="n">
        <v>0</v>
      </c>
      <c r="T1122" s="132" t="n">
        <v>0</v>
      </c>
      <c r="U1122" s="128" t="n">
        <v>0</v>
      </c>
      <c r="V1122" s="128" t="n">
        <v>1</v>
      </c>
      <c r="W1122" s="90" t="n">
        <f aca="false">IFERROR(O1122/V1122,0)</f>
        <v>7300</v>
      </c>
      <c r="X1122" s="91" t="n">
        <f aca="false">O1122/L1122</f>
        <v>1.04285714285714</v>
      </c>
      <c r="Y1122" s="92" t="str">
        <f aca="false">IFERROR(VLOOKUP(E:E,'Item Data Support Sheet'!A:J,6,0),0)</f>
        <v>FO019</v>
      </c>
      <c r="Z1122" s="93" t="n">
        <f aca="false">IFERROR(VLOOKUP(E:E,'Item Data Support Sheet'!A:O,4,0),0)</f>
        <v>0</v>
      </c>
      <c r="AA1122" s="93" t="n">
        <f aca="false">IFERROR(((N1122)*(Z1122/1000))+P1122,0)</f>
        <v>0</v>
      </c>
      <c r="AB1122" s="94" t="str">
        <f aca="false">IFERROR((O1122*(Z1122/1000)/(AA1122))," ")</f>
        <v> </v>
      </c>
      <c r="AC1122" s="95" t="n">
        <f aca="false">IFERROR((T1122)/((T1122)+O1122),0)</f>
        <v>0</v>
      </c>
      <c r="AD1122" s="96" t="n">
        <f aca="false">IFERROR(Q1122/(Q1122+N1122),0)</f>
        <v>0</v>
      </c>
      <c r="AE1122" s="91" t="n">
        <f aca="false">(N1122-T1122)/N1122</f>
        <v>1</v>
      </c>
      <c r="AF1122" s="97" t="n">
        <f aca="false">BR1122</f>
        <v>0</v>
      </c>
      <c r="AG1122" s="98" t="n">
        <f aca="false">K1122-AF1122</f>
        <v>8</v>
      </c>
      <c r="AH1122" s="99" t="n">
        <f aca="false">IFERROR(AG1122/K1122," ")</f>
        <v>1</v>
      </c>
      <c r="AI1122" s="100" t="n">
        <f aca="false">IFERROR(O1122/K1122,0)</f>
        <v>912.5</v>
      </c>
      <c r="AJ1122" s="101" t="n">
        <f aca="false">VLOOKUP(D1122,'Standard Cycle time'!C:D,2,0)</f>
        <v>3.5</v>
      </c>
      <c r="AK1122" s="101" t="n">
        <f aca="false">AG1122*V1122*3600/O1122</f>
        <v>3.94520547945205</v>
      </c>
      <c r="AL1122" s="102" t="n">
        <f aca="false">AJ1122/AK1122</f>
        <v>0.887152777777778</v>
      </c>
      <c r="AM1122" s="99" t="n">
        <f aca="false">AE1122*AL1122*AH1122</f>
        <v>0.887152777777778</v>
      </c>
      <c r="AN1122" s="103" t="n">
        <v>0.887152777777778</v>
      </c>
      <c r="AO1122" s="112" t="s">
        <v>1897</v>
      </c>
      <c r="AP1122" s="105" t="n">
        <v>0</v>
      </c>
      <c r="AQ1122" s="105" t="n">
        <v>0</v>
      </c>
      <c r="AR1122" s="105" t="n">
        <v>0</v>
      </c>
      <c r="AS1122" s="105" t="n">
        <v>0</v>
      </c>
      <c r="AT1122" s="105" t="n">
        <v>0</v>
      </c>
      <c r="AU1122" s="105" t="n">
        <v>0</v>
      </c>
      <c r="AV1122" s="105" t="n">
        <v>0</v>
      </c>
      <c r="AW1122" s="105" t="n">
        <v>0</v>
      </c>
      <c r="AX1122" s="105" t="n">
        <v>0</v>
      </c>
      <c r="AY1122" s="105" t="n">
        <v>0</v>
      </c>
      <c r="AZ1122" s="105" t="n">
        <v>0</v>
      </c>
      <c r="BA1122" s="105" t="n">
        <v>0</v>
      </c>
      <c r="BB1122" s="105" t="n">
        <v>0</v>
      </c>
      <c r="BC1122" s="105" t="n">
        <v>0</v>
      </c>
      <c r="BD1122" s="105" t="n">
        <v>0</v>
      </c>
      <c r="BE1122" s="105" t="n">
        <v>0</v>
      </c>
      <c r="BF1122" s="105" t="n">
        <v>0</v>
      </c>
      <c r="BG1122" s="105" t="n">
        <v>0</v>
      </c>
      <c r="BH1122" s="105" t="n">
        <v>0</v>
      </c>
      <c r="BI1122" s="105" t="n">
        <v>0</v>
      </c>
      <c r="BJ1122" s="105" t="n">
        <v>0</v>
      </c>
      <c r="BK1122" s="105" t="n">
        <v>0</v>
      </c>
      <c r="BL1122" s="105" t="n">
        <v>0</v>
      </c>
      <c r="BM1122" s="105" t="n">
        <v>0</v>
      </c>
      <c r="BN1122" s="105" t="n">
        <v>0</v>
      </c>
      <c r="BO1122" s="105" t="n">
        <v>0</v>
      </c>
      <c r="BP1122" s="105" t="n">
        <v>0</v>
      </c>
      <c r="BQ1122" s="105" t="n">
        <v>0</v>
      </c>
      <c r="BR1122" s="106" t="n">
        <v>0</v>
      </c>
      <c r="BS1122" s="106" t="n">
        <v>0</v>
      </c>
      <c r="BT1122" s="107"/>
      <c r="BU1122" s="107"/>
      <c r="BV1122" s="107"/>
      <c r="BW1122" s="107"/>
      <c r="BX1122" s="107"/>
      <c r="BY1122" s="107"/>
      <c r="BZ1122" s="107"/>
      <c r="CA1122" s="107"/>
      <c r="CB1122" s="107"/>
      <c r="CC1122" s="107"/>
      <c r="CD1122" s="107"/>
      <c r="CE1122" s="107"/>
      <c r="CF1122" s="107"/>
      <c r="CG1122" s="107"/>
      <c r="CH1122" s="107"/>
      <c r="CI1122" s="107"/>
      <c r="CJ1122" s="107"/>
      <c r="CK1122" s="107"/>
      <c r="CL1122" s="107"/>
      <c r="CM1122" s="107"/>
      <c r="CN1122" s="107"/>
      <c r="CO1122" s="107"/>
      <c r="CP1122" s="107"/>
      <c r="CQ1122" s="107"/>
      <c r="CR1122" s="107"/>
      <c r="CS1122" s="107"/>
      <c r="CT1122" s="107"/>
      <c r="CU1122" s="107"/>
      <c r="CV1122" s="107"/>
      <c r="CX1122" s="0" t="s">
        <v>161</v>
      </c>
      <c r="CY1122" s="0" t="s">
        <v>1492</v>
      </c>
    </row>
    <row r="1123" customFormat="false" ht="14.9" hidden="false" customHeight="false" outlineLevel="0" collapsed="false">
      <c r="A1123" s="74" t="n">
        <f aca="false">MONTH(B1123)</f>
        <v>11</v>
      </c>
      <c r="B1123" s="135" t="n">
        <v>44501</v>
      </c>
      <c r="C1123" s="128" t="s">
        <v>63</v>
      </c>
      <c r="D1123" s="77" t="str">
        <f aca="false">IFERROR(VLOOKUP(E:E,'Item Data Support Sheet'!A:O,7,0),"")</f>
        <v>NIPPLE PUNCH INSPECTED</v>
      </c>
      <c r="E1123" s="80" t="s">
        <v>297</v>
      </c>
      <c r="F1123" s="122"/>
      <c r="G1123" s="137"/>
      <c r="H1123" s="79" t="str">
        <f aca="false">IFERROR(VLOOKUP(E:E,'Item Data Support Sheet'!A:O,2,0),"")</f>
        <v>NIPPLE S TYPE S SIZE PUNCHED INSPECTED</v>
      </c>
      <c r="I1123" s="80" t="s">
        <v>1904</v>
      </c>
      <c r="J1123" s="80" t="s">
        <v>155</v>
      </c>
      <c r="K1123" s="124" t="n">
        <v>8</v>
      </c>
      <c r="L1123" s="124" t="n">
        <v>14000</v>
      </c>
      <c r="M1123" s="83" t="n">
        <v>1750</v>
      </c>
      <c r="N1123" s="84" t="n">
        <f aca="false">+O1123+Q1123+T1123+U1123</f>
        <v>14300</v>
      </c>
      <c r="O1123" s="85" t="n">
        <v>14230</v>
      </c>
      <c r="P1123" s="86" t="n">
        <v>0</v>
      </c>
      <c r="Q1123" s="86" t="n">
        <v>0</v>
      </c>
      <c r="R1123" s="132" t="n">
        <v>0</v>
      </c>
      <c r="S1123" s="128" t="n">
        <v>0</v>
      </c>
      <c r="T1123" s="132" t="n">
        <v>70</v>
      </c>
      <c r="U1123" s="128" t="n">
        <v>0</v>
      </c>
      <c r="V1123" s="128" t="n">
        <v>1</v>
      </c>
      <c r="W1123" s="90" t="n">
        <f aca="false">IFERROR(O1123/V1123,0)</f>
        <v>14230</v>
      </c>
      <c r="X1123" s="91" t="n">
        <f aca="false">O1123/L1123</f>
        <v>1.01642857142857</v>
      </c>
      <c r="Y1123" s="92" t="str">
        <f aca="false">IFERROR(VLOOKUP(E:E,'Item Data Support Sheet'!A:J,6,0),0)</f>
        <v>FO104</v>
      </c>
      <c r="Z1123" s="93" t="n">
        <f aca="false">IFERROR(VLOOKUP(E:E,'Item Data Support Sheet'!A:O,4,0),0)</f>
        <v>0</v>
      </c>
      <c r="AA1123" s="93" t="n">
        <f aca="false">IFERROR(((N1123)*(Z1123/1000))+P1123,0)</f>
        <v>0</v>
      </c>
      <c r="AB1123" s="94" t="str">
        <f aca="false">IFERROR((O1123*(Z1123/1000)/(AA1123))," ")</f>
        <v> </v>
      </c>
      <c r="AC1123" s="95" t="n">
        <f aca="false">IFERROR((T1123)/((T1123)+O1123),0)</f>
        <v>0.0048951048951049</v>
      </c>
      <c r="AD1123" s="96" t="n">
        <f aca="false">IFERROR(Q1123/(Q1123+N1123),0)</f>
        <v>0</v>
      </c>
      <c r="AE1123" s="91" t="n">
        <f aca="false">(N1123-T1123)/N1123</f>
        <v>0.995104895104895</v>
      </c>
      <c r="AF1123" s="97" t="n">
        <f aca="false">BR1123</f>
        <v>0.833333333333333</v>
      </c>
      <c r="AG1123" s="98" t="n">
        <f aca="false">K1123-AF1123</f>
        <v>7.16666666666667</v>
      </c>
      <c r="AH1123" s="99" t="n">
        <f aca="false">IFERROR(AG1123/K1123," ")</f>
        <v>0.895833333333333</v>
      </c>
      <c r="AI1123" s="100" t="n">
        <f aca="false">IFERROR(O1123/K1123,0)</f>
        <v>1778.75</v>
      </c>
      <c r="AJ1123" s="101" t="n">
        <f aca="false">VLOOKUP(D1123,'Standard Cycle time'!C:D,2,0)</f>
        <v>4</v>
      </c>
      <c r="AK1123" s="101" t="n">
        <f aca="false">AG1123*V1123*3600/O1123</f>
        <v>1.81307097680956</v>
      </c>
      <c r="AL1123" s="102" t="n">
        <f aca="false">AJ1123/AK1123</f>
        <v>2.2062015503876</v>
      </c>
      <c r="AM1123" s="99" t="n">
        <f aca="false">AE1123*AL1123*AH1123</f>
        <v>1.96671425796426</v>
      </c>
      <c r="AN1123" s="103" t="n">
        <v>1.96671425796426</v>
      </c>
      <c r="AO1123" s="112"/>
      <c r="AP1123" s="105" t="n">
        <v>50</v>
      </c>
      <c r="AQ1123" s="105" t="n">
        <v>0</v>
      </c>
      <c r="AR1123" s="105" t="n">
        <v>0</v>
      </c>
      <c r="AS1123" s="105" t="n">
        <v>0</v>
      </c>
      <c r="AT1123" s="105" t="n">
        <v>0</v>
      </c>
      <c r="AU1123" s="105" t="n">
        <v>0</v>
      </c>
      <c r="AV1123" s="105" t="n">
        <v>0</v>
      </c>
      <c r="AW1123" s="105" t="n">
        <v>0</v>
      </c>
      <c r="AX1123" s="105" t="n">
        <v>0</v>
      </c>
      <c r="AY1123" s="105" t="n">
        <v>0</v>
      </c>
      <c r="AZ1123" s="105" t="n">
        <v>0</v>
      </c>
      <c r="BA1123" s="105" t="n">
        <v>0</v>
      </c>
      <c r="BB1123" s="105" t="n">
        <v>0</v>
      </c>
      <c r="BC1123" s="105" t="n">
        <v>0</v>
      </c>
      <c r="BD1123" s="105" t="n">
        <v>0</v>
      </c>
      <c r="BE1123" s="105" t="n">
        <v>0</v>
      </c>
      <c r="BF1123" s="105" t="n">
        <v>0</v>
      </c>
      <c r="BG1123" s="105" t="n">
        <v>0</v>
      </c>
      <c r="BH1123" s="105" t="n">
        <v>0</v>
      </c>
      <c r="BI1123" s="105" t="n">
        <v>0</v>
      </c>
      <c r="BJ1123" s="105" t="n">
        <v>0</v>
      </c>
      <c r="BK1123" s="105" t="n">
        <v>0</v>
      </c>
      <c r="BL1123" s="105" t="n">
        <v>0</v>
      </c>
      <c r="BM1123" s="105" t="n">
        <v>0</v>
      </c>
      <c r="BN1123" s="105" t="n">
        <v>0</v>
      </c>
      <c r="BO1123" s="105" t="n">
        <v>0</v>
      </c>
      <c r="BP1123" s="105" t="n">
        <v>0</v>
      </c>
      <c r="BQ1123" s="105" t="n">
        <v>0</v>
      </c>
      <c r="BR1123" s="106" t="n">
        <v>0.833333333333333</v>
      </c>
      <c r="BS1123" s="106" t="n">
        <v>0.833333333333333</v>
      </c>
      <c r="BT1123" s="107"/>
      <c r="BU1123" s="107"/>
      <c r="BV1123" s="107"/>
      <c r="BW1123" s="107"/>
      <c r="BX1123" s="107"/>
      <c r="BY1123" s="107"/>
      <c r="BZ1123" s="107"/>
      <c r="CA1123" s="107"/>
      <c r="CB1123" s="107"/>
      <c r="CC1123" s="107"/>
      <c r="CD1123" s="107"/>
      <c r="CE1123" s="107"/>
      <c r="CF1123" s="107"/>
      <c r="CG1123" s="107"/>
      <c r="CH1123" s="107"/>
      <c r="CI1123" s="107"/>
      <c r="CJ1123" s="107"/>
      <c r="CK1123" s="107"/>
      <c r="CL1123" s="107"/>
      <c r="CM1123" s="107"/>
      <c r="CN1123" s="107"/>
      <c r="CO1123" s="107"/>
      <c r="CP1123" s="107"/>
      <c r="CQ1123" s="107"/>
      <c r="CR1123" s="107"/>
      <c r="CS1123" s="107"/>
      <c r="CT1123" s="107"/>
      <c r="CU1123" s="107"/>
      <c r="CV1123" s="107"/>
      <c r="CX1123" s="0" t="s">
        <v>158</v>
      </c>
      <c r="CY1123" s="0" t="s">
        <v>1495</v>
      </c>
    </row>
    <row r="1124" customFormat="false" ht="14.9" hidden="false" customHeight="false" outlineLevel="0" collapsed="false">
      <c r="A1124" s="74" t="n">
        <f aca="false">MONTH(B1124)</f>
        <v>11</v>
      </c>
      <c r="B1124" s="135" t="n">
        <v>44501</v>
      </c>
      <c r="C1124" s="128" t="s">
        <v>70</v>
      </c>
      <c r="D1124" s="77" t="str">
        <f aca="false">IFERROR(VLOOKUP(E:E,'Item Data Support Sheet'!A:O,7,0),"")</f>
        <v>NIPPLE PUNCH</v>
      </c>
      <c r="E1124" s="80" t="s">
        <v>53</v>
      </c>
      <c r="F1124" s="122"/>
      <c r="G1124" s="137" t="s">
        <v>54</v>
      </c>
      <c r="H1124" s="79" t="str">
        <f aca="false">IFERROR(VLOOKUP(E:E,'Item Data Support Sheet'!A:O,2,0),"")</f>
        <v>NIPPLE S TYPE S SIZE PUNCHED</v>
      </c>
      <c r="I1124" s="80" t="s">
        <v>1905</v>
      </c>
      <c r="J1124" s="80" t="s">
        <v>155</v>
      </c>
      <c r="K1124" s="124" t="n">
        <v>8</v>
      </c>
      <c r="L1124" s="124" t="n">
        <v>7000</v>
      </c>
      <c r="M1124" s="83" t="n">
        <v>875</v>
      </c>
      <c r="N1124" s="84" t="n">
        <f aca="false">+O1124+Q1124+T1124+U1124</f>
        <v>7230</v>
      </c>
      <c r="O1124" s="85" t="n">
        <v>7230</v>
      </c>
      <c r="P1124" s="86" t="n">
        <v>0</v>
      </c>
      <c r="Q1124" s="86" t="n">
        <v>0</v>
      </c>
      <c r="R1124" s="132" t="n">
        <v>0</v>
      </c>
      <c r="S1124" s="128" t="n">
        <v>0</v>
      </c>
      <c r="T1124" s="132" t="n">
        <v>0</v>
      </c>
      <c r="U1124" s="128" t="n">
        <v>0</v>
      </c>
      <c r="V1124" s="128" t="n">
        <v>1</v>
      </c>
      <c r="W1124" s="90" t="n">
        <f aca="false">IFERROR(O1124/V1124,0)</f>
        <v>7230</v>
      </c>
      <c r="X1124" s="91" t="n">
        <f aca="false">O1124/L1124</f>
        <v>1.03285714285714</v>
      </c>
      <c r="Y1124" s="92" t="str">
        <f aca="false">IFERROR(VLOOKUP(E:E,'Item Data Support Sheet'!A:J,6,0),0)</f>
        <v>FO015</v>
      </c>
      <c r="Z1124" s="93" t="n">
        <f aca="false">IFERROR(VLOOKUP(E:E,'Item Data Support Sheet'!A:O,4,0),0)</f>
        <v>0</v>
      </c>
      <c r="AA1124" s="93" t="n">
        <f aca="false">IFERROR(((N1124)*(Z1124/1000))+P1124,0)</f>
        <v>0</v>
      </c>
      <c r="AB1124" s="94" t="str">
        <f aca="false">IFERROR((O1124*(Z1124/1000)/(AA1124))," ")</f>
        <v> </v>
      </c>
      <c r="AC1124" s="95" t="n">
        <f aca="false">IFERROR((T1124)/((T1124)+O1124),0)</f>
        <v>0</v>
      </c>
      <c r="AD1124" s="96" t="n">
        <f aca="false">IFERROR(Q1124/(Q1124+N1124),0)</f>
        <v>0</v>
      </c>
      <c r="AE1124" s="91" t="n">
        <f aca="false">(N1124-T1124)/N1124</f>
        <v>1</v>
      </c>
      <c r="AF1124" s="97" t="n">
        <f aca="false">BR1124</f>
        <v>0.666666666666667</v>
      </c>
      <c r="AG1124" s="98" t="n">
        <f aca="false">K1124-AF1124</f>
        <v>7.33333333333333</v>
      </c>
      <c r="AH1124" s="99" t="n">
        <f aca="false">IFERROR(AG1124/K1124," ")</f>
        <v>0.916666666666667</v>
      </c>
      <c r="AI1124" s="100" t="n">
        <f aca="false">IFERROR(O1124/K1124,0)</f>
        <v>903.75</v>
      </c>
      <c r="AJ1124" s="101" t="n">
        <f aca="false">VLOOKUP(D1124,'Standard Cycle time'!C:D,2,0)</f>
        <v>3.5</v>
      </c>
      <c r="AK1124" s="101" t="n">
        <f aca="false">AG1124*V1124*3600/O1124</f>
        <v>3.65145228215768</v>
      </c>
      <c r="AL1124" s="102" t="n">
        <f aca="false">AJ1124/AK1124</f>
        <v>0.958522727272727</v>
      </c>
      <c r="AM1124" s="99" t="n">
        <f aca="false">AE1124*AL1124*AH1124</f>
        <v>0.878645833333333</v>
      </c>
      <c r="AN1124" s="103" t="n">
        <v>0.878645833333333</v>
      </c>
      <c r="AO1124" s="112"/>
      <c r="AP1124" s="105" t="n">
        <v>40</v>
      </c>
      <c r="AQ1124" s="105" t="n">
        <v>0</v>
      </c>
      <c r="AR1124" s="105" t="n">
        <v>0</v>
      </c>
      <c r="AS1124" s="105" t="n">
        <v>0</v>
      </c>
      <c r="AT1124" s="105" t="n">
        <v>0</v>
      </c>
      <c r="AU1124" s="105" t="n">
        <v>0</v>
      </c>
      <c r="AV1124" s="105" t="n">
        <v>0</v>
      </c>
      <c r="AW1124" s="105" t="n">
        <v>0</v>
      </c>
      <c r="AX1124" s="105" t="n">
        <v>0</v>
      </c>
      <c r="AY1124" s="105" t="n">
        <v>0</v>
      </c>
      <c r="AZ1124" s="105" t="n">
        <v>0</v>
      </c>
      <c r="BA1124" s="105" t="n">
        <v>0</v>
      </c>
      <c r="BB1124" s="105" t="n">
        <v>0</v>
      </c>
      <c r="BC1124" s="105" t="n">
        <v>0</v>
      </c>
      <c r="BD1124" s="105" t="n">
        <v>0</v>
      </c>
      <c r="BE1124" s="105" t="n">
        <v>0</v>
      </c>
      <c r="BF1124" s="105" t="n">
        <v>0</v>
      </c>
      <c r="BG1124" s="105" t="n">
        <v>0</v>
      </c>
      <c r="BH1124" s="105" t="n">
        <v>0</v>
      </c>
      <c r="BI1124" s="105" t="n">
        <v>0</v>
      </c>
      <c r="BJ1124" s="105" t="n">
        <v>0</v>
      </c>
      <c r="BK1124" s="105" t="n">
        <v>0</v>
      </c>
      <c r="BL1124" s="105" t="n">
        <v>0</v>
      </c>
      <c r="BM1124" s="105" t="n">
        <v>0</v>
      </c>
      <c r="BN1124" s="105" t="n">
        <v>0</v>
      </c>
      <c r="BO1124" s="105" t="n">
        <v>0</v>
      </c>
      <c r="BP1124" s="105" t="n">
        <v>0</v>
      </c>
      <c r="BQ1124" s="105" t="n">
        <v>0</v>
      </c>
      <c r="BR1124" s="106" t="n">
        <v>0.666666666666667</v>
      </c>
      <c r="BS1124" s="106" t="n">
        <v>0.666666666666667</v>
      </c>
      <c r="BT1124" s="107"/>
      <c r="BU1124" s="107"/>
      <c r="BV1124" s="107"/>
      <c r="BW1124" s="107"/>
      <c r="BX1124" s="107"/>
      <c r="BY1124" s="107"/>
      <c r="BZ1124" s="107"/>
      <c r="CA1124" s="107"/>
      <c r="CB1124" s="107"/>
      <c r="CC1124" s="107"/>
      <c r="CD1124" s="107"/>
      <c r="CE1124" s="107"/>
      <c r="CF1124" s="107"/>
      <c r="CG1124" s="107"/>
      <c r="CH1124" s="107"/>
      <c r="CI1124" s="107"/>
      <c r="CJ1124" s="107"/>
      <c r="CK1124" s="107"/>
      <c r="CL1124" s="107"/>
      <c r="CM1124" s="107"/>
      <c r="CN1124" s="107"/>
      <c r="CO1124" s="107"/>
      <c r="CP1124" s="107"/>
      <c r="CQ1124" s="107"/>
      <c r="CR1124" s="107"/>
      <c r="CS1124" s="107"/>
      <c r="CT1124" s="107"/>
      <c r="CU1124" s="107"/>
      <c r="CV1124" s="107"/>
      <c r="CY1124" s="0" t="s">
        <v>1497</v>
      </c>
    </row>
    <row r="1125" customFormat="false" ht="14.9" hidden="false" customHeight="false" outlineLevel="0" collapsed="false">
      <c r="A1125" s="74" t="n">
        <f aca="false">MONTH(B1125)</f>
        <v>11</v>
      </c>
      <c r="B1125" s="135" t="n">
        <v>44501</v>
      </c>
      <c r="C1125" s="128" t="s">
        <v>70</v>
      </c>
      <c r="D1125" s="77" t="str">
        <f aca="false">IFERROR(VLOOKUP(E:E,'Item Data Support Sheet'!A:O,7,0),"")</f>
        <v>NIPPLE LASER MARKING</v>
      </c>
      <c r="E1125" s="80" t="s">
        <v>444</v>
      </c>
      <c r="F1125" s="122"/>
      <c r="G1125" s="137" t="s">
        <v>517</v>
      </c>
      <c r="H1125" s="79" t="str">
        <f aca="false">IFERROR(VLOOKUP(E:E,'Item Data Support Sheet'!A:O,2,0),"")</f>
        <v>NIPPLE S TYPE S SIZE PUNCHED LASER MARKED</v>
      </c>
      <c r="I1125" s="80" t="s">
        <v>1906</v>
      </c>
      <c r="J1125" s="80" t="s">
        <v>155</v>
      </c>
      <c r="K1125" s="124" t="n">
        <v>8</v>
      </c>
      <c r="L1125" s="124" t="n">
        <v>7000</v>
      </c>
      <c r="M1125" s="83" t="n">
        <v>875</v>
      </c>
      <c r="N1125" s="84" t="n">
        <f aca="false">+O1125+Q1125+T1125+U1125</f>
        <v>6730</v>
      </c>
      <c r="O1125" s="85" t="n">
        <v>6730</v>
      </c>
      <c r="P1125" s="86" t="n">
        <v>0</v>
      </c>
      <c r="Q1125" s="86" t="n">
        <v>0</v>
      </c>
      <c r="R1125" s="132" t="n">
        <v>0</v>
      </c>
      <c r="S1125" s="128" t="n">
        <v>0</v>
      </c>
      <c r="T1125" s="132" t="n">
        <v>0</v>
      </c>
      <c r="U1125" s="128" t="n">
        <v>0</v>
      </c>
      <c r="V1125" s="128" t="n">
        <v>1</v>
      </c>
      <c r="W1125" s="90" t="n">
        <f aca="false">IFERROR(O1125/V1125,0)</f>
        <v>6730</v>
      </c>
      <c r="X1125" s="91" t="n">
        <f aca="false">O1125/L1125</f>
        <v>0.961428571428571</v>
      </c>
      <c r="Y1125" s="92" t="str">
        <f aca="false">IFERROR(VLOOKUP(E:E,'Item Data Support Sheet'!A:J,6,0),0)</f>
        <v>FO019</v>
      </c>
      <c r="Z1125" s="93" t="n">
        <f aca="false">IFERROR(VLOOKUP(E:E,'Item Data Support Sheet'!A:O,4,0),0)</f>
        <v>0</v>
      </c>
      <c r="AA1125" s="93" t="n">
        <f aca="false">IFERROR(((N1125)*(Z1125/1000))+P1125,0)</f>
        <v>0</v>
      </c>
      <c r="AB1125" s="94" t="str">
        <f aca="false">IFERROR((O1125*(Z1125/1000)/(AA1125))," ")</f>
        <v> </v>
      </c>
      <c r="AC1125" s="95" t="n">
        <f aca="false">IFERROR((T1125)/((T1125)+O1125),0)</f>
        <v>0</v>
      </c>
      <c r="AD1125" s="96" t="n">
        <f aca="false">IFERROR(Q1125/(Q1125+N1125),0)</f>
        <v>0</v>
      </c>
      <c r="AE1125" s="91" t="n">
        <f aca="false">(N1125-T1125)/N1125</f>
        <v>1</v>
      </c>
      <c r="AF1125" s="97" t="n">
        <f aca="false">BR1125</f>
        <v>0.666666666666667</v>
      </c>
      <c r="AG1125" s="98" t="n">
        <f aca="false">K1125-AF1125</f>
        <v>7.33333333333333</v>
      </c>
      <c r="AH1125" s="99" t="n">
        <f aca="false">IFERROR(AG1125/K1125," ")</f>
        <v>0.916666666666667</v>
      </c>
      <c r="AI1125" s="100" t="n">
        <f aca="false">IFERROR(O1125/K1125,0)</f>
        <v>841.25</v>
      </c>
      <c r="AJ1125" s="101" t="n">
        <f aca="false">VLOOKUP(D1125,'Standard Cycle time'!C:D,2,0)</f>
        <v>3.5</v>
      </c>
      <c r="AK1125" s="101" t="n">
        <f aca="false">AG1125*V1125*3600/O1125</f>
        <v>3.92273402674591</v>
      </c>
      <c r="AL1125" s="102" t="n">
        <f aca="false">AJ1125/AK1125</f>
        <v>0.892234848484848</v>
      </c>
      <c r="AM1125" s="99" t="n">
        <f aca="false">AE1125*AL1125*AH1125</f>
        <v>0.817881944444444</v>
      </c>
      <c r="AN1125" s="103" t="n">
        <v>0.817881944444444</v>
      </c>
      <c r="AO1125" s="112"/>
      <c r="AP1125" s="105" t="n">
        <v>40</v>
      </c>
      <c r="AQ1125" s="105" t="n">
        <v>0</v>
      </c>
      <c r="AR1125" s="105" t="n">
        <v>0</v>
      </c>
      <c r="AS1125" s="105" t="n">
        <v>0</v>
      </c>
      <c r="AT1125" s="105" t="n">
        <v>0</v>
      </c>
      <c r="AU1125" s="105" t="n">
        <v>0</v>
      </c>
      <c r="AV1125" s="105" t="n">
        <v>0</v>
      </c>
      <c r="AW1125" s="105" t="n">
        <v>0</v>
      </c>
      <c r="AX1125" s="105" t="n">
        <v>0</v>
      </c>
      <c r="AY1125" s="105" t="n">
        <v>0</v>
      </c>
      <c r="AZ1125" s="105" t="n">
        <v>0</v>
      </c>
      <c r="BA1125" s="105" t="n">
        <v>0</v>
      </c>
      <c r="BB1125" s="105" t="n">
        <v>0</v>
      </c>
      <c r="BC1125" s="105" t="n">
        <v>0</v>
      </c>
      <c r="BD1125" s="105" t="n">
        <v>0</v>
      </c>
      <c r="BE1125" s="105" t="n">
        <v>0</v>
      </c>
      <c r="BF1125" s="105" t="n">
        <v>0</v>
      </c>
      <c r="BG1125" s="105" t="n">
        <v>0</v>
      </c>
      <c r="BH1125" s="105" t="n">
        <v>0</v>
      </c>
      <c r="BI1125" s="105" t="n">
        <v>0</v>
      </c>
      <c r="BJ1125" s="105" t="n">
        <v>0</v>
      </c>
      <c r="BK1125" s="105" t="n">
        <v>0</v>
      </c>
      <c r="BL1125" s="105" t="n">
        <v>0</v>
      </c>
      <c r="BM1125" s="105" t="n">
        <v>0</v>
      </c>
      <c r="BN1125" s="105" t="n">
        <v>0</v>
      </c>
      <c r="BO1125" s="105" t="n">
        <v>0</v>
      </c>
      <c r="BP1125" s="105" t="n">
        <v>0</v>
      </c>
      <c r="BQ1125" s="105" t="n">
        <v>0</v>
      </c>
      <c r="BR1125" s="106" t="n">
        <v>0.666666666666667</v>
      </c>
      <c r="BS1125" s="106" t="n">
        <v>0.666666666666667</v>
      </c>
      <c r="BT1125" s="107"/>
      <c r="BU1125" s="107"/>
      <c r="BV1125" s="107"/>
      <c r="BW1125" s="107"/>
      <c r="BX1125" s="107"/>
      <c r="BY1125" s="107"/>
      <c r="BZ1125" s="107"/>
      <c r="CA1125" s="107"/>
      <c r="CB1125" s="107"/>
      <c r="CC1125" s="107"/>
      <c r="CD1125" s="107"/>
      <c r="CE1125" s="107"/>
      <c r="CF1125" s="107"/>
      <c r="CG1125" s="107"/>
      <c r="CH1125" s="107"/>
      <c r="CI1125" s="107"/>
      <c r="CJ1125" s="107"/>
      <c r="CK1125" s="107"/>
      <c r="CL1125" s="107"/>
      <c r="CM1125" s="107"/>
      <c r="CN1125" s="107"/>
      <c r="CO1125" s="107"/>
      <c r="CP1125" s="107"/>
      <c r="CQ1125" s="107"/>
      <c r="CR1125" s="107"/>
      <c r="CS1125" s="107"/>
      <c r="CT1125" s="107"/>
      <c r="CU1125" s="107"/>
      <c r="CV1125" s="107"/>
      <c r="CY1125" s="0" t="s">
        <v>1500</v>
      </c>
    </row>
    <row r="1126" customFormat="false" ht="14.9" hidden="false" customHeight="false" outlineLevel="0" collapsed="false">
      <c r="A1126" s="74" t="n">
        <f aca="false">MONTH(B1126)</f>
        <v>11</v>
      </c>
      <c r="B1126" s="135" t="n">
        <v>44501</v>
      </c>
      <c r="C1126" s="128" t="s">
        <v>70</v>
      </c>
      <c r="D1126" s="77" t="str">
        <f aca="false">IFERROR(VLOOKUP(E:E,'Item Data Support Sheet'!A:O,7,0),"")</f>
        <v>HOOD MOLDED</v>
      </c>
      <c r="E1126" s="80" t="s">
        <v>529</v>
      </c>
      <c r="F1126" s="122"/>
      <c r="G1126" s="137" t="s">
        <v>740</v>
      </c>
      <c r="H1126" s="79" t="str">
        <f aca="false">IFERROR(VLOOKUP(E:E,'Item Data Support Sheet'!A:O,2,0),"")</f>
        <v>HOOD S TYPE MOLDED</v>
      </c>
      <c r="I1126" s="80" t="s">
        <v>1907</v>
      </c>
      <c r="J1126" s="80" t="s">
        <v>155</v>
      </c>
      <c r="K1126" s="124" t="n">
        <v>8</v>
      </c>
      <c r="L1126" s="124" t="n">
        <v>4137</v>
      </c>
      <c r="M1126" s="83" t="n">
        <v>517.125</v>
      </c>
      <c r="N1126" s="84" t="n">
        <f aca="false">+O1126+Q1126+T1126+U1126</f>
        <v>5038</v>
      </c>
      <c r="O1126" s="85" t="n">
        <v>5000</v>
      </c>
      <c r="P1126" s="86" t="n">
        <v>0</v>
      </c>
      <c r="Q1126" s="86" t="n">
        <v>30</v>
      </c>
      <c r="R1126" s="132" t="n">
        <v>0</v>
      </c>
      <c r="S1126" s="128" t="n">
        <v>0</v>
      </c>
      <c r="T1126" s="132" t="n">
        <v>8</v>
      </c>
      <c r="U1126" s="128" t="n">
        <v>0</v>
      </c>
      <c r="V1126" s="128" t="n">
        <v>1</v>
      </c>
      <c r="W1126" s="90" t="n">
        <f aca="false">IFERROR(O1126/V1126,0)</f>
        <v>5000</v>
      </c>
      <c r="X1126" s="91" t="n">
        <f aca="false">O1126/L1126</f>
        <v>1.20860526951898</v>
      </c>
      <c r="Y1126" s="92" t="str">
        <f aca="false">IFERROR(VLOOKUP(E:E,'Item Data Support Sheet'!A:J,6,0),0)</f>
        <v>HMC</v>
      </c>
      <c r="Z1126" s="93" t="n">
        <f aca="false">IFERROR(VLOOKUP(E:E,'Item Data Support Sheet'!A:O,4,0),0)</f>
        <v>8.6</v>
      </c>
      <c r="AA1126" s="93" t="n">
        <f aca="false">IFERROR(((N1126)*(Z1126/1000))+P1126,0)</f>
        <v>43.3268</v>
      </c>
      <c r="AB1126" s="94" t="n">
        <f aca="false">IFERROR((O1126*(Z1126/1000)/(AA1126))," ")</f>
        <v>0.992457324335054</v>
      </c>
      <c r="AC1126" s="95" t="n">
        <f aca="false">IFERROR((T1126)/((T1126)+O1126),0)</f>
        <v>0.00159744408945687</v>
      </c>
      <c r="AD1126" s="96" t="n">
        <f aca="false">IFERROR(Q1126/(Q1126+N1126),0)</f>
        <v>0.00591949486977111</v>
      </c>
      <c r="AE1126" s="91" t="n">
        <f aca="false">(N1126-T1126)/N1126</f>
        <v>0.998412068281064</v>
      </c>
      <c r="AF1126" s="97" t="n">
        <f aca="false">BR1126</f>
        <v>0</v>
      </c>
      <c r="AG1126" s="98" t="n">
        <f aca="false">K1126-AF1126</f>
        <v>8</v>
      </c>
      <c r="AH1126" s="99" t="n">
        <f aca="false">IFERROR(AG1126/K1126," ")</f>
        <v>1</v>
      </c>
      <c r="AI1126" s="100" t="n">
        <f aca="false">IFERROR(O1126/K1126,0)</f>
        <v>625</v>
      </c>
      <c r="AJ1126" s="101" t="n">
        <f aca="false">VLOOKUP(D1126,'Standard Cycle time'!C:D,2,0)</f>
        <v>6</v>
      </c>
      <c r="AK1126" s="101" t="n">
        <f aca="false">AG1126*V1126*3600/O1126</f>
        <v>5.76</v>
      </c>
      <c r="AL1126" s="102" t="n">
        <f aca="false">AJ1126/AK1126</f>
        <v>1.04166666666667</v>
      </c>
      <c r="AM1126" s="99" t="n">
        <f aca="false">AE1126*AL1126*AH1126</f>
        <v>1.04001257112611</v>
      </c>
      <c r="AN1126" s="103" t="n">
        <v>1.04001257112611</v>
      </c>
      <c r="AO1126" s="112"/>
      <c r="AP1126" s="105" t="n">
        <v>0</v>
      </c>
      <c r="AQ1126" s="105" t="n">
        <v>0</v>
      </c>
      <c r="AR1126" s="105" t="n">
        <v>0</v>
      </c>
      <c r="AS1126" s="105" t="n">
        <v>0</v>
      </c>
      <c r="AT1126" s="105" t="n">
        <v>0</v>
      </c>
      <c r="AU1126" s="105" t="n">
        <v>0</v>
      </c>
      <c r="AV1126" s="105" t="n">
        <v>0</v>
      </c>
      <c r="AW1126" s="105" t="n">
        <v>0</v>
      </c>
      <c r="AX1126" s="105" t="n">
        <v>0</v>
      </c>
      <c r="AY1126" s="105" t="n">
        <v>0</v>
      </c>
      <c r="AZ1126" s="105" t="n">
        <v>0</v>
      </c>
      <c r="BA1126" s="105" t="n">
        <v>0</v>
      </c>
      <c r="BB1126" s="105" t="n">
        <v>0</v>
      </c>
      <c r="BC1126" s="105" t="n">
        <v>0</v>
      </c>
      <c r="BD1126" s="105" t="n">
        <v>0</v>
      </c>
      <c r="BE1126" s="105" t="n">
        <v>0</v>
      </c>
      <c r="BF1126" s="105" t="n">
        <v>0</v>
      </c>
      <c r="BG1126" s="105" t="n">
        <v>0</v>
      </c>
      <c r="BH1126" s="105" t="n">
        <v>0</v>
      </c>
      <c r="BI1126" s="105" t="n">
        <v>0</v>
      </c>
      <c r="BJ1126" s="105" t="n">
        <v>0</v>
      </c>
      <c r="BK1126" s="105" t="n">
        <v>0</v>
      </c>
      <c r="BL1126" s="105" t="n">
        <v>0</v>
      </c>
      <c r="BM1126" s="105" t="n">
        <v>0</v>
      </c>
      <c r="BN1126" s="105" t="n">
        <v>0</v>
      </c>
      <c r="BO1126" s="105" t="n">
        <v>0</v>
      </c>
      <c r="BP1126" s="105" t="n">
        <v>0</v>
      </c>
      <c r="BQ1126" s="105" t="n">
        <v>0</v>
      </c>
      <c r="BR1126" s="106" t="n">
        <v>0</v>
      </c>
      <c r="BS1126" s="106" t="n">
        <v>0</v>
      </c>
      <c r="BT1126" s="107"/>
      <c r="BU1126" s="107"/>
      <c r="BV1126" s="107"/>
      <c r="BW1126" s="107"/>
      <c r="BX1126" s="107"/>
      <c r="BY1126" s="107"/>
      <c r="BZ1126" s="107"/>
      <c r="CA1126" s="107"/>
      <c r="CB1126" s="107"/>
      <c r="CC1126" s="107"/>
      <c r="CD1126" s="107"/>
      <c r="CE1126" s="107"/>
      <c r="CF1126" s="107"/>
      <c r="CG1126" s="107"/>
      <c r="CH1126" s="107"/>
      <c r="CI1126" s="107"/>
      <c r="CJ1126" s="107"/>
      <c r="CK1126" s="107"/>
      <c r="CL1126" s="107"/>
      <c r="CM1126" s="107"/>
      <c r="CN1126" s="107"/>
      <c r="CO1126" s="107"/>
      <c r="CP1126" s="107"/>
      <c r="CQ1126" s="107"/>
      <c r="CR1126" s="107"/>
      <c r="CS1126" s="107"/>
      <c r="CT1126" s="107"/>
      <c r="CU1126" s="107"/>
      <c r="CV1126" s="107"/>
      <c r="CY1126" s="0" t="s">
        <v>1502</v>
      </c>
      <c r="CZ1126" s="0" t="n">
        <v>43.3268</v>
      </c>
    </row>
    <row r="1127" customFormat="false" ht="14.9" hidden="false" customHeight="false" outlineLevel="0" collapsed="false">
      <c r="A1127" s="74" t="n">
        <f aca="false">MONTH(B1127)</f>
        <v>11</v>
      </c>
      <c r="B1127" s="135" t="n">
        <v>44501</v>
      </c>
      <c r="C1127" s="128" t="s">
        <v>70</v>
      </c>
      <c r="D1127" s="77" t="str">
        <f aca="false">IFERROR(VLOOKUP(E:E,'Item Data Support Sheet'!A:O,7,0),"")</f>
        <v>BOTTLE MOLDED</v>
      </c>
      <c r="E1127" s="80" t="s">
        <v>72</v>
      </c>
      <c r="F1127" s="122" t="s">
        <v>73</v>
      </c>
      <c r="G1127" s="137" t="s">
        <v>74</v>
      </c>
      <c r="H1127" s="79" t="str">
        <f aca="false">IFERROR(VLOOKUP(E:E,'Item Data Support Sheet'!A:O,2,0),"")</f>
        <v>KPP BOTTLE 240 ML MOULDED-WMG3B</v>
      </c>
      <c r="I1127" s="80" t="s">
        <v>1908</v>
      </c>
      <c r="J1127" s="80" t="s">
        <v>155</v>
      </c>
      <c r="K1127" s="124" t="n">
        <v>8</v>
      </c>
      <c r="L1127" s="124" t="n">
        <v>2574</v>
      </c>
      <c r="M1127" s="83" t="n">
        <v>321.75</v>
      </c>
      <c r="N1127" s="84" t="n">
        <f aca="false">+O1127+Q1127+T1127+U1127</f>
        <v>2915</v>
      </c>
      <c r="O1127" s="85" t="n">
        <v>2808</v>
      </c>
      <c r="P1127" s="86" t="n">
        <v>0</v>
      </c>
      <c r="Q1127" s="86" t="n">
        <v>52</v>
      </c>
      <c r="R1127" s="132" t="n">
        <v>0</v>
      </c>
      <c r="S1127" s="128" t="n">
        <v>0</v>
      </c>
      <c r="T1127" s="132" t="n">
        <v>55</v>
      </c>
      <c r="U1127" s="128" t="n">
        <v>0</v>
      </c>
      <c r="V1127" s="128" t="n">
        <v>1</v>
      </c>
      <c r="W1127" s="90" t="n">
        <f aca="false">IFERROR(O1127/V1127,0)</f>
        <v>2808</v>
      </c>
      <c r="X1127" s="91" t="n">
        <f aca="false">O1127/L1127</f>
        <v>1.09090909090909</v>
      </c>
      <c r="Y1127" s="92" t="str">
        <f aca="false">IFERROR(VLOOKUP(E:E,'Item Data Support Sheet'!A:J,6,0),0)</f>
        <v>WMG3B</v>
      </c>
      <c r="Z1127" s="93" t="n">
        <f aca="false">IFERROR(VLOOKUP(E:E,'Item Data Support Sheet'!A:O,4,0),0)</f>
        <v>33.1</v>
      </c>
      <c r="AA1127" s="93" t="n">
        <f aca="false">IFERROR(((N1127)*(Z1127/1000))+P1127,0)</f>
        <v>96.4865</v>
      </c>
      <c r="AB1127" s="94" t="n">
        <f aca="false">IFERROR((O1127*(Z1127/1000)/(AA1127))," ")</f>
        <v>0.963293310463122</v>
      </c>
      <c r="AC1127" s="95" t="n">
        <f aca="false">IFERROR((T1127)/((T1127)+O1127),0)</f>
        <v>0.0192106182326231</v>
      </c>
      <c r="AD1127" s="96" t="n">
        <f aca="false">IFERROR(Q1127/(Q1127+N1127),0)</f>
        <v>0.0175261206605999</v>
      </c>
      <c r="AE1127" s="91" t="n">
        <f aca="false">(N1127-T1127)/N1127</f>
        <v>0.981132075471698</v>
      </c>
      <c r="AF1127" s="97" t="n">
        <f aca="false">BR1127</f>
        <v>0</v>
      </c>
      <c r="AG1127" s="98" t="n">
        <f aca="false">K1127-AF1127</f>
        <v>8</v>
      </c>
      <c r="AH1127" s="99" t="n">
        <f aca="false">IFERROR(AG1127/K1127," ")</f>
        <v>1</v>
      </c>
      <c r="AI1127" s="100" t="n">
        <f aca="false">IFERROR(O1127/K1127,0)</f>
        <v>351</v>
      </c>
      <c r="AJ1127" s="101" t="n">
        <f aca="false">VLOOKUP(D1127,'Standard Cycle time'!C:D,2,0)</f>
        <v>9</v>
      </c>
      <c r="AK1127" s="101" t="n">
        <f aca="false">AG1127*V1127*3600/O1127</f>
        <v>10.2564102564103</v>
      </c>
      <c r="AL1127" s="102" t="n">
        <f aca="false">AJ1127/AK1127</f>
        <v>0.8775</v>
      </c>
      <c r="AM1127" s="99" t="n">
        <f aca="false">AE1127*AL1127*AH1127</f>
        <v>0.860943396226415</v>
      </c>
      <c r="AN1127" s="103" t="n">
        <v>0.860943396226415</v>
      </c>
      <c r="AO1127" s="112"/>
      <c r="AP1127" s="105" t="n">
        <v>0</v>
      </c>
      <c r="AQ1127" s="105" t="n">
        <v>0</v>
      </c>
      <c r="AR1127" s="105" t="n">
        <v>0</v>
      </c>
      <c r="AS1127" s="105" t="n">
        <v>0</v>
      </c>
      <c r="AT1127" s="105" t="n">
        <v>0</v>
      </c>
      <c r="AU1127" s="105" t="n">
        <v>0</v>
      </c>
      <c r="AV1127" s="105" t="n">
        <v>0</v>
      </c>
      <c r="AW1127" s="105" t="n">
        <v>0</v>
      </c>
      <c r="AX1127" s="105" t="n">
        <v>0</v>
      </c>
      <c r="AY1127" s="105" t="n">
        <v>0</v>
      </c>
      <c r="AZ1127" s="105" t="n">
        <v>0</v>
      </c>
      <c r="BA1127" s="105" t="n">
        <v>0</v>
      </c>
      <c r="BB1127" s="105" t="n">
        <v>0</v>
      </c>
      <c r="BC1127" s="105" t="n">
        <v>0</v>
      </c>
      <c r="BD1127" s="105" t="n">
        <v>0</v>
      </c>
      <c r="BE1127" s="105" t="n">
        <v>0</v>
      </c>
      <c r="BF1127" s="105" t="n">
        <v>0</v>
      </c>
      <c r="BG1127" s="105" t="n">
        <v>0</v>
      </c>
      <c r="BH1127" s="105" t="n">
        <v>0</v>
      </c>
      <c r="BI1127" s="105" t="n">
        <v>0</v>
      </c>
      <c r="BJ1127" s="105" t="n">
        <v>0</v>
      </c>
      <c r="BK1127" s="105" t="n">
        <v>0</v>
      </c>
      <c r="BL1127" s="105" t="n">
        <v>0</v>
      </c>
      <c r="BM1127" s="105" t="n">
        <v>0</v>
      </c>
      <c r="BN1127" s="105" t="n">
        <v>0</v>
      </c>
      <c r="BO1127" s="105" t="n">
        <v>0</v>
      </c>
      <c r="BP1127" s="105" t="n">
        <v>0</v>
      </c>
      <c r="BQ1127" s="105" t="n">
        <v>0</v>
      </c>
      <c r="BR1127" s="106" t="n">
        <v>0</v>
      </c>
      <c r="BS1127" s="106" t="n">
        <v>0</v>
      </c>
      <c r="BT1127" s="107"/>
      <c r="BU1127" s="107"/>
      <c r="BV1127" s="107"/>
      <c r="BW1127" s="107"/>
      <c r="BX1127" s="107"/>
      <c r="BY1127" s="107"/>
      <c r="BZ1127" s="107"/>
      <c r="CA1127" s="107"/>
      <c r="CB1127" s="107"/>
      <c r="CC1127" s="107"/>
      <c r="CD1127" s="107"/>
      <c r="CE1127" s="107"/>
      <c r="CF1127" s="107"/>
      <c r="CG1127" s="107"/>
      <c r="CH1127" s="107"/>
      <c r="CI1127" s="107"/>
      <c r="CJ1127" s="107"/>
      <c r="CK1127" s="107"/>
      <c r="CL1127" s="107"/>
      <c r="CM1127" s="107"/>
      <c r="CN1127" s="107"/>
      <c r="CO1127" s="107"/>
      <c r="CP1127" s="107"/>
      <c r="CQ1127" s="107"/>
      <c r="CR1127" s="107"/>
      <c r="CS1127" s="107"/>
      <c r="CT1127" s="107"/>
      <c r="CU1127" s="107"/>
      <c r="CV1127" s="107"/>
      <c r="CY1127" s="0" t="s">
        <v>1504</v>
      </c>
    </row>
    <row r="1128" customFormat="false" ht="14.9" hidden="false" customHeight="false" outlineLevel="0" collapsed="false">
      <c r="A1128" s="74" t="n">
        <f aca="false">MONTH(B1128)</f>
        <v>11</v>
      </c>
      <c r="B1128" s="135" t="n">
        <v>44501</v>
      </c>
      <c r="C1128" s="128" t="s">
        <v>70</v>
      </c>
      <c r="D1128" s="77" t="str">
        <f aca="false">IFERROR(VLOOKUP(E:E,'Item Data Support Sheet'!A:O,7,0),"")</f>
        <v>NIPPLE MOLDED</v>
      </c>
      <c r="E1128" s="80" t="s">
        <v>244</v>
      </c>
      <c r="F1128" s="122" t="s">
        <v>137</v>
      </c>
      <c r="G1128" s="137" t="s">
        <v>138</v>
      </c>
      <c r="H1128" s="79" t="str">
        <f aca="false">IFERROR(VLOOKUP(E:E,'Item Data Support Sheet'!A:O,2,0),"")</f>
        <v>NIPPLE S TYPE S SIZE INJECTION</v>
      </c>
      <c r="I1128" s="80" t="s">
        <v>1909</v>
      </c>
      <c r="J1128" s="80" t="s">
        <v>155</v>
      </c>
      <c r="K1128" s="124" t="n">
        <v>8</v>
      </c>
      <c r="L1128" s="124" t="n">
        <v>4815</v>
      </c>
      <c r="M1128" s="83" t="n">
        <v>601.875</v>
      </c>
      <c r="N1128" s="84" t="n">
        <f aca="false">+O1128+Q1128+T1128+U1128</f>
        <v>5140</v>
      </c>
      <c r="O1128" s="85" t="n">
        <v>5070</v>
      </c>
      <c r="P1128" s="86" t="n">
        <v>0</v>
      </c>
      <c r="Q1128" s="86" t="n">
        <v>30</v>
      </c>
      <c r="R1128" s="132" t="n">
        <v>0</v>
      </c>
      <c r="S1128" s="128" t="n">
        <v>0</v>
      </c>
      <c r="T1128" s="132" t="n">
        <v>40</v>
      </c>
      <c r="U1128" s="128" t="n">
        <v>0</v>
      </c>
      <c r="V1128" s="128" t="n">
        <v>1</v>
      </c>
      <c r="W1128" s="90" t="n">
        <f aca="false">IFERROR(O1128/V1128,0)</f>
        <v>5070</v>
      </c>
      <c r="X1128" s="91" t="n">
        <f aca="false">O1128/L1128</f>
        <v>1.05295950155763</v>
      </c>
      <c r="Y1128" s="92" t="str">
        <f aca="false">IFERROR(VLOOKUP(E:E,'Item Data Support Sheet'!A:J,6,0),0)</f>
        <v>Silicon</v>
      </c>
      <c r="Z1128" s="93" t="n">
        <f aca="false">IFERROR(VLOOKUP(E:E,'Item Data Support Sheet'!A:O,4,0),0)</f>
        <v>6.8</v>
      </c>
      <c r="AA1128" s="93" t="n">
        <f aca="false">IFERROR(((N1128)*(Z1128/1000))+P1128,0)</f>
        <v>34.952</v>
      </c>
      <c r="AB1128" s="94" t="n">
        <f aca="false">IFERROR((O1128*(Z1128/1000)/(AA1128))," ")</f>
        <v>0.986381322957199</v>
      </c>
      <c r="AC1128" s="95" t="n">
        <f aca="false">IFERROR((T1128)/((T1128)+O1128),0)</f>
        <v>0.00782778864970646</v>
      </c>
      <c r="AD1128" s="96" t="n">
        <f aca="false">IFERROR(Q1128/(Q1128+N1128),0)</f>
        <v>0.0058027079303675</v>
      </c>
      <c r="AE1128" s="91" t="n">
        <f aca="false">(N1128-T1128)/N1128</f>
        <v>0.992217898832685</v>
      </c>
      <c r="AF1128" s="97" t="n">
        <f aca="false">BR1128</f>
        <v>0</v>
      </c>
      <c r="AG1128" s="98" t="n">
        <f aca="false">K1128-AF1128</f>
        <v>8</v>
      </c>
      <c r="AH1128" s="99" t="n">
        <f aca="false">IFERROR(AG1128/K1128," ")</f>
        <v>1</v>
      </c>
      <c r="AI1128" s="100" t="n">
        <f aca="false">IFERROR(O1128/K1128,0)</f>
        <v>633.75</v>
      </c>
      <c r="AJ1128" s="101" t="n">
        <f aca="false">VLOOKUP(D1128,'Standard Cycle time'!C:D,2,0)</f>
        <v>5.25</v>
      </c>
      <c r="AK1128" s="101" t="n">
        <f aca="false">AG1128*V1128*3600/O1128</f>
        <v>5.68047337278107</v>
      </c>
      <c r="AL1128" s="102" t="n">
        <f aca="false">AJ1128/AK1128</f>
        <v>0.92421875</v>
      </c>
      <c r="AM1128" s="99" t="n">
        <f aca="false">AE1128*AL1128*AH1128</f>
        <v>0.91702638618677</v>
      </c>
      <c r="AN1128" s="103" t="n">
        <v>0.91702638618677</v>
      </c>
      <c r="AO1128" s="112"/>
      <c r="AP1128" s="105" t="n">
        <v>0</v>
      </c>
      <c r="AQ1128" s="105" t="n">
        <v>0</v>
      </c>
      <c r="AR1128" s="105" t="n">
        <v>0</v>
      </c>
      <c r="AS1128" s="105" t="n">
        <v>0</v>
      </c>
      <c r="AT1128" s="105" t="n">
        <v>0</v>
      </c>
      <c r="AU1128" s="105" t="n">
        <v>0</v>
      </c>
      <c r="AV1128" s="105" t="n">
        <v>0</v>
      </c>
      <c r="AW1128" s="105" t="n">
        <v>0</v>
      </c>
      <c r="AX1128" s="105" t="n">
        <v>0</v>
      </c>
      <c r="AY1128" s="105" t="n">
        <v>0</v>
      </c>
      <c r="AZ1128" s="105" t="n">
        <v>0</v>
      </c>
      <c r="BA1128" s="105" t="n">
        <v>0</v>
      </c>
      <c r="BB1128" s="105" t="n">
        <v>0</v>
      </c>
      <c r="BC1128" s="105" t="n">
        <v>0</v>
      </c>
      <c r="BD1128" s="105" t="n">
        <v>0</v>
      </c>
      <c r="BE1128" s="105" t="n">
        <v>0</v>
      </c>
      <c r="BF1128" s="105" t="n">
        <v>0</v>
      </c>
      <c r="BG1128" s="105" t="n">
        <v>0</v>
      </c>
      <c r="BH1128" s="105" t="n">
        <v>0</v>
      </c>
      <c r="BI1128" s="105" t="n">
        <v>0</v>
      </c>
      <c r="BJ1128" s="105" t="n">
        <v>0</v>
      </c>
      <c r="BK1128" s="105" t="n">
        <v>0</v>
      </c>
      <c r="BL1128" s="105" t="n">
        <v>0</v>
      </c>
      <c r="BM1128" s="105" t="n">
        <v>0</v>
      </c>
      <c r="BN1128" s="105" t="n">
        <v>0</v>
      </c>
      <c r="BO1128" s="105" t="n">
        <v>0</v>
      </c>
      <c r="BP1128" s="105" t="n">
        <v>0</v>
      </c>
      <c r="BQ1128" s="105" t="n">
        <v>0</v>
      </c>
      <c r="BR1128" s="106" t="n">
        <v>0</v>
      </c>
      <c r="BS1128" s="106" t="n">
        <v>0</v>
      </c>
      <c r="BT1128" s="107"/>
      <c r="BU1128" s="107"/>
      <c r="BV1128" s="107"/>
      <c r="BW1128" s="107"/>
      <c r="BX1128" s="107"/>
      <c r="BY1128" s="107"/>
      <c r="BZ1128" s="107"/>
      <c r="CA1128" s="107"/>
      <c r="CB1128" s="107"/>
      <c r="CC1128" s="107"/>
      <c r="CD1128" s="107"/>
      <c r="CE1128" s="107"/>
      <c r="CF1128" s="107"/>
      <c r="CG1128" s="107"/>
      <c r="CH1128" s="107"/>
      <c r="CI1128" s="107"/>
      <c r="CJ1128" s="107"/>
      <c r="CK1128" s="107"/>
      <c r="CL1128" s="107"/>
      <c r="CM1128" s="107"/>
      <c r="CN1128" s="107"/>
      <c r="CO1128" s="107"/>
      <c r="CP1128" s="107"/>
      <c r="CQ1128" s="107"/>
      <c r="CR1128" s="107"/>
      <c r="CS1128" s="107"/>
      <c r="CT1128" s="107"/>
      <c r="CU1128" s="107"/>
      <c r="CV1128" s="107"/>
      <c r="CY1128" s="0" t="s">
        <v>1506</v>
      </c>
    </row>
    <row r="1129" customFormat="false" ht="14.9" hidden="false" customHeight="false" outlineLevel="0" collapsed="false">
      <c r="A1129" s="74" t="n">
        <f aca="false">MONTH(B1129)</f>
        <v>11</v>
      </c>
      <c r="B1129" s="135" t="n">
        <v>44501</v>
      </c>
      <c r="C1129" s="128" t="s">
        <v>70</v>
      </c>
      <c r="D1129" s="77" t="str">
        <f aca="false">IFERROR(VLOOKUP(E:E,'Item Data Support Sheet'!A:O,7,0),"")</f>
        <v>BOTTLE PRINTED</v>
      </c>
      <c r="E1129" s="80" t="s">
        <v>65</v>
      </c>
      <c r="F1129" s="122"/>
      <c r="G1129" s="137"/>
      <c r="H1129" s="79" t="str">
        <f aca="false">IFERROR(VLOOKUP(E:E,'Item Data Support Sheet'!A:O,2,0),"")</f>
        <v>KPP 240 ML BOTTLE PRINTED</v>
      </c>
      <c r="I1129" s="80" t="s">
        <v>1910</v>
      </c>
      <c r="J1129" s="80" t="s">
        <v>155</v>
      </c>
      <c r="K1129" s="124" t="n">
        <v>4</v>
      </c>
      <c r="L1129" s="124" t="n">
        <v>2550</v>
      </c>
      <c r="M1129" s="83" t="n">
        <v>637.5</v>
      </c>
      <c r="N1129" s="84" t="n">
        <f aca="false">+O1129+Q1129+T1129+U1129</f>
        <v>2066</v>
      </c>
      <c r="O1129" s="85" t="n">
        <v>2052</v>
      </c>
      <c r="P1129" s="86" t="n">
        <v>0</v>
      </c>
      <c r="Q1129" s="86" t="n">
        <v>0</v>
      </c>
      <c r="R1129" s="132" t="n">
        <v>27</v>
      </c>
      <c r="S1129" s="128" t="n">
        <v>0</v>
      </c>
      <c r="T1129" s="132" t="n">
        <v>14</v>
      </c>
      <c r="U1129" s="128" t="n">
        <v>0</v>
      </c>
      <c r="V1129" s="128" t="n">
        <v>5</v>
      </c>
      <c r="W1129" s="90" t="n">
        <f aca="false">IFERROR(O1129/V1129,0)</f>
        <v>410.4</v>
      </c>
      <c r="X1129" s="91" t="n">
        <f aca="false">O1129/L1129</f>
        <v>0.804705882352941</v>
      </c>
      <c r="Y1129" s="92" t="str">
        <f aca="false">IFERROR(VLOOKUP(E:E,'Item Data Support Sheet'!A:J,6,0),0)</f>
        <v>FO003</v>
      </c>
      <c r="Z1129" s="93" t="n">
        <f aca="false">IFERROR(VLOOKUP(E:E,'Item Data Support Sheet'!A:O,4,0),0)</f>
        <v>0</v>
      </c>
      <c r="AA1129" s="93" t="n">
        <f aca="false">IFERROR(((N1129)*(Z1129/1000))+P1129,0)</f>
        <v>0</v>
      </c>
      <c r="AB1129" s="94" t="str">
        <f aca="false">IFERROR((O1129*(Z1129/1000)/(AA1129))," ")</f>
        <v> </v>
      </c>
      <c r="AC1129" s="95" t="n">
        <f aca="false">IFERROR((T1129)/((T1129)+O1129),0)</f>
        <v>0.00677637947725073</v>
      </c>
      <c r="AD1129" s="96" t="n">
        <f aca="false">IFERROR(Q1129/(Q1129+N1129),0)</f>
        <v>0</v>
      </c>
      <c r="AE1129" s="91" t="n">
        <f aca="false">(N1129-T1129)/N1129</f>
        <v>0.993223620522749</v>
      </c>
      <c r="AF1129" s="97" t="n">
        <f aca="false">BR1129</f>
        <v>0.666666666666667</v>
      </c>
      <c r="AG1129" s="98" t="n">
        <f aca="false">K1129-AF1129</f>
        <v>3.33333333333333</v>
      </c>
      <c r="AH1129" s="99" t="n">
        <f aca="false">IFERROR(AG1129/K1129," ")</f>
        <v>0.833333333333333</v>
      </c>
      <c r="AI1129" s="100" t="n">
        <f aca="false">IFERROR(O1129/K1129,0)</f>
        <v>513</v>
      </c>
      <c r="AJ1129" s="101" t="n">
        <f aca="false">VLOOKUP(D1129,'Standard Cycle time'!C:D,2,0)</f>
        <v>32.4</v>
      </c>
      <c r="AK1129" s="101" t="n">
        <f aca="false">AG1129*V1129*3600/O1129</f>
        <v>29.2397660818713</v>
      </c>
      <c r="AL1129" s="102" t="n">
        <f aca="false">AJ1129/AK1129</f>
        <v>1.10808</v>
      </c>
      <c r="AM1129" s="99" t="n">
        <f aca="false">AE1129*AL1129*AH1129</f>
        <v>0.917142691190707</v>
      </c>
      <c r="AN1129" s="103" t="n">
        <v>0.917142691190706</v>
      </c>
      <c r="AO1129" s="112" t="s">
        <v>1911</v>
      </c>
      <c r="AP1129" s="105" t="n">
        <v>40</v>
      </c>
      <c r="AQ1129" s="105" t="n">
        <v>0</v>
      </c>
      <c r="AR1129" s="105" t="n">
        <v>0</v>
      </c>
      <c r="AS1129" s="105" t="n">
        <v>0</v>
      </c>
      <c r="AT1129" s="105" t="n">
        <v>0</v>
      </c>
      <c r="AU1129" s="105" t="n">
        <v>0</v>
      </c>
      <c r="AV1129" s="105" t="n">
        <v>0</v>
      </c>
      <c r="AW1129" s="105" t="n">
        <v>0</v>
      </c>
      <c r="AX1129" s="105" t="n">
        <v>0</v>
      </c>
      <c r="AY1129" s="105" t="n">
        <v>0</v>
      </c>
      <c r="AZ1129" s="105" t="n">
        <v>0</v>
      </c>
      <c r="BA1129" s="105" t="n">
        <v>0</v>
      </c>
      <c r="BB1129" s="105" t="n">
        <v>0</v>
      </c>
      <c r="BC1129" s="105" t="n">
        <v>0</v>
      </c>
      <c r="BD1129" s="105" t="n">
        <v>0</v>
      </c>
      <c r="BE1129" s="105" t="n">
        <v>0</v>
      </c>
      <c r="BF1129" s="105" t="n">
        <v>0</v>
      </c>
      <c r="BG1129" s="105" t="n">
        <v>0</v>
      </c>
      <c r="BH1129" s="105" t="n">
        <v>0</v>
      </c>
      <c r="BI1129" s="105" t="n">
        <v>0</v>
      </c>
      <c r="BJ1129" s="105" t="n">
        <v>0</v>
      </c>
      <c r="BK1129" s="105" t="n">
        <v>0</v>
      </c>
      <c r="BL1129" s="105" t="n">
        <v>0</v>
      </c>
      <c r="BM1129" s="105" t="n">
        <v>0</v>
      </c>
      <c r="BN1129" s="105" t="n">
        <v>0</v>
      </c>
      <c r="BO1129" s="105" t="n">
        <v>0</v>
      </c>
      <c r="BP1129" s="105" t="n">
        <v>0</v>
      </c>
      <c r="BQ1129" s="105" t="n">
        <v>0</v>
      </c>
      <c r="BR1129" s="106" t="n">
        <v>0.666666666666667</v>
      </c>
      <c r="BS1129" s="106" t="n">
        <v>0.666666666666667</v>
      </c>
      <c r="BT1129" s="107"/>
      <c r="BU1129" s="107"/>
      <c r="BV1129" s="107"/>
      <c r="BW1129" s="107"/>
      <c r="BX1129" s="107"/>
      <c r="BY1129" s="107"/>
      <c r="BZ1129" s="107"/>
      <c r="CA1129" s="107"/>
      <c r="CB1129" s="107"/>
      <c r="CC1129" s="107"/>
      <c r="CD1129" s="107"/>
      <c r="CE1129" s="107"/>
      <c r="CF1129" s="107"/>
      <c r="CG1129" s="107"/>
      <c r="CH1129" s="107"/>
      <c r="CI1129" s="107"/>
      <c r="CJ1129" s="107"/>
      <c r="CK1129" s="107"/>
      <c r="CL1129" s="107"/>
      <c r="CM1129" s="107"/>
      <c r="CN1129" s="107"/>
      <c r="CO1129" s="107"/>
      <c r="CP1129" s="107"/>
      <c r="CQ1129" s="107"/>
      <c r="CR1129" s="107"/>
      <c r="CS1129" s="107"/>
      <c r="CT1129" s="107"/>
      <c r="CU1129" s="107"/>
      <c r="CV1129" s="107"/>
      <c r="CY1129" s="0" t="s">
        <v>1508</v>
      </c>
    </row>
    <row r="1130" customFormat="false" ht="14.9" hidden="false" customHeight="false" outlineLevel="0" collapsed="false">
      <c r="A1130" s="74" t="n">
        <f aca="false">MONTH(B1130)</f>
        <v>11</v>
      </c>
      <c r="B1130" s="135" t="n">
        <v>44501</v>
      </c>
      <c r="C1130" s="128" t="s">
        <v>152</v>
      </c>
      <c r="D1130" s="77" t="str">
        <f aca="false">IFERROR(VLOOKUP(E:E,'Item Data Support Sheet'!A:O,7,0),"")</f>
        <v>BOTTLE MOLDED</v>
      </c>
      <c r="E1130" s="80" t="s">
        <v>69</v>
      </c>
      <c r="F1130" s="122" t="s">
        <v>73</v>
      </c>
      <c r="G1130" s="137" t="s">
        <v>74</v>
      </c>
      <c r="H1130" s="79" t="str">
        <f aca="false">IFERROR(VLOOKUP(E:E,'Item Data Support Sheet'!A:O,2,0),"")</f>
        <v>KPP 240 ML BOTTLE MOLDED</v>
      </c>
      <c r="I1130" s="80" t="s">
        <v>1912</v>
      </c>
      <c r="J1130" s="80" t="s">
        <v>1913</v>
      </c>
      <c r="K1130" s="124" t="n">
        <v>8</v>
      </c>
      <c r="L1130" s="124" t="n">
        <v>2574</v>
      </c>
      <c r="M1130" s="83" t="n">
        <v>321.75</v>
      </c>
      <c r="N1130" s="84" t="n">
        <f aca="false">+O1130+Q1130+T1130+U1130</f>
        <v>1720</v>
      </c>
      <c r="O1130" s="85" t="n">
        <v>1620</v>
      </c>
      <c r="P1130" s="86" t="n">
        <v>1.5</v>
      </c>
      <c r="Q1130" s="86" t="n">
        <v>60</v>
      </c>
      <c r="R1130" s="132" t="n">
        <v>0</v>
      </c>
      <c r="S1130" s="128" t="n">
        <v>0</v>
      </c>
      <c r="T1130" s="132" t="n">
        <v>32</v>
      </c>
      <c r="U1130" s="128" t="n">
        <v>8</v>
      </c>
      <c r="V1130" s="128" t="n">
        <v>1</v>
      </c>
      <c r="W1130" s="90" t="n">
        <f aca="false">IFERROR(O1130/V1130,0)</f>
        <v>1620</v>
      </c>
      <c r="X1130" s="91" t="n">
        <f aca="false">O1130/L1130</f>
        <v>0.629370629370629</v>
      </c>
      <c r="Y1130" s="92" t="str">
        <f aca="false">IFERROR(VLOOKUP(E:E,'Item Data Support Sheet'!A:J,6,0),0)</f>
        <v>HMC</v>
      </c>
      <c r="Z1130" s="93" t="n">
        <f aca="false">IFERROR(VLOOKUP(E:E,'Item Data Support Sheet'!A:O,4,0),0)</f>
        <v>32.1</v>
      </c>
      <c r="AA1130" s="93" t="n">
        <f aca="false">IFERROR(((N1130)*(Z1130/1000))+P1130,0)</f>
        <v>56.712</v>
      </c>
      <c r="AB1130" s="94" t="n">
        <f aca="false">IFERROR((O1130*(Z1130/1000)/(AA1130))," ")</f>
        <v>0.916948793906052</v>
      </c>
      <c r="AC1130" s="95" t="n">
        <f aca="false">IFERROR((T1130)/((T1130)+O1130),0)</f>
        <v>0.0193704600484262</v>
      </c>
      <c r="AD1130" s="96" t="n">
        <f aca="false">IFERROR(Q1130/(Q1130+N1130),0)</f>
        <v>0.0337078651685393</v>
      </c>
      <c r="AE1130" s="91" t="n">
        <f aca="false">(N1130-T1130)/N1130</f>
        <v>0.981395348837209</v>
      </c>
      <c r="AF1130" s="97" t="n">
        <f aca="false">BR1130</f>
        <v>3.83333333333333</v>
      </c>
      <c r="AG1130" s="98" t="n">
        <f aca="false">K1130-AF1130</f>
        <v>4.16666666666667</v>
      </c>
      <c r="AH1130" s="99" t="n">
        <f aca="false">IFERROR(AG1130/K1130," ")</f>
        <v>0.520833333333334</v>
      </c>
      <c r="AI1130" s="100" t="n">
        <f aca="false">IFERROR(O1130/K1130,0)</f>
        <v>202.5</v>
      </c>
      <c r="AJ1130" s="101" t="n">
        <f aca="false">VLOOKUP(D1130,'Standard Cycle time'!C:D,2,0)</f>
        <v>9</v>
      </c>
      <c r="AK1130" s="101" t="n">
        <f aca="false">AG1130*V1130*3600/O1130</f>
        <v>9.25925925925927</v>
      </c>
      <c r="AL1130" s="102" t="n">
        <f aca="false">AJ1130/AK1130</f>
        <v>0.971999999999999</v>
      </c>
      <c r="AM1130" s="99" t="n">
        <f aca="false">AE1130*AL1130*AH1130</f>
        <v>0.496831395348837</v>
      </c>
      <c r="AN1130" s="103" t="n">
        <v>0.496831395348837</v>
      </c>
      <c r="AO1130" s="112" t="s">
        <v>1914</v>
      </c>
      <c r="AP1130" s="105" t="n">
        <v>0</v>
      </c>
      <c r="AQ1130" s="105" t="n">
        <v>40</v>
      </c>
      <c r="AR1130" s="105" t="n">
        <v>120</v>
      </c>
      <c r="AS1130" s="105" t="n">
        <v>0</v>
      </c>
      <c r="AT1130" s="105" t="n">
        <v>0</v>
      </c>
      <c r="AU1130" s="105" t="n">
        <v>0</v>
      </c>
      <c r="AV1130" s="105" t="n">
        <v>30</v>
      </c>
      <c r="AW1130" s="105" t="n">
        <v>40</v>
      </c>
      <c r="AX1130" s="105" t="n">
        <v>0</v>
      </c>
      <c r="AY1130" s="105" t="n">
        <v>0</v>
      </c>
      <c r="AZ1130" s="105" t="n">
        <v>0</v>
      </c>
      <c r="BA1130" s="105" t="n">
        <v>0</v>
      </c>
      <c r="BB1130" s="105" t="n">
        <v>0</v>
      </c>
      <c r="BC1130" s="105" t="n">
        <v>0</v>
      </c>
      <c r="BD1130" s="105" t="n">
        <v>0</v>
      </c>
      <c r="BE1130" s="105" t="n">
        <v>0</v>
      </c>
      <c r="BF1130" s="105" t="n">
        <v>0</v>
      </c>
      <c r="BG1130" s="105" t="n">
        <v>0</v>
      </c>
      <c r="BH1130" s="105" t="n">
        <v>0</v>
      </c>
      <c r="BI1130" s="105" t="n">
        <v>0</v>
      </c>
      <c r="BJ1130" s="105" t="n">
        <v>0</v>
      </c>
      <c r="BK1130" s="105" t="n">
        <v>0</v>
      </c>
      <c r="BL1130" s="105" t="n">
        <v>0</v>
      </c>
      <c r="BM1130" s="105" t="n">
        <v>0</v>
      </c>
      <c r="BN1130" s="105" t="n">
        <v>0</v>
      </c>
      <c r="BO1130" s="105" t="n">
        <v>0</v>
      </c>
      <c r="BP1130" s="105" t="n">
        <v>0</v>
      </c>
      <c r="BQ1130" s="105" t="n">
        <v>0</v>
      </c>
      <c r="BR1130" s="106" t="n">
        <v>3.83333333333333</v>
      </c>
      <c r="BS1130" s="106" t="n">
        <v>3.83333333333333</v>
      </c>
      <c r="BT1130" s="107"/>
      <c r="BU1130" s="107"/>
      <c r="BV1130" s="107"/>
      <c r="BW1130" s="107"/>
      <c r="BX1130" s="107"/>
      <c r="BY1130" s="107"/>
      <c r="BZ1130" s="107"/>
      <c r="CA1130" s="107"/>
      <c r="CB1130" s="107"/>
      <c r="CC1130" s="107"/>
      <c r="CD1130" s="107"/>
      <c r="CE1130" s="107"/>
      <c r="CF1130" s="107"/>
      <c r="CG1130" s="107"/>
      <c r="CH1130" s="107"/>
      <c r="CI1130" s="107"/>
      <c r="CJ1130" s="107"/>
      <c r="CK1130" s="107"/>
      <c r="CL1130" s="107"/>
      <c r="CM1130" s="107"/>
      <c r="CN1130" s="107"/>
      <c r="CO1130" s="107"/>
      <c r="CP1130" s="107"/>
      <c r="CQ1130" s="107"/>
      <c r="CR1130" s="107"/>
      <c r="CS1130" s="107"/>
      <c r="CT1130" s="107"/>
      <c r="CU1130" s="107"/>
      <c r="CV1130" s="107"/>
      <c r="CY1130" s="0" t="s">
        <v>1510</v>
      </c>
    </row>
    <row r="1131" customFormat="false" ht="14.9" hidden="false" customHeight="false" outlineLevel="0" collapsed="false">
      <c r="A1131" s="74" t="n">
        <f aca="false">MONTH(B1131)</f>
        <v>11</v>
      </c>
      <c r="B1131" s="135" t="n">
        <v>44501</v>
      </c>
      <c r="C1131" s="128" t="s">
        <v>152</v>
      </c>
      <c r="D1131" s="77" t="str">
        <f aca="false">IFERROR(VLOOKUP(E:E,'Item Data Support Sheet'!A:O,7,0),"")</f>
        <v>NIPPLE MOLDED</v>
      </c>
      <c r="E1131" s="80" t="s">
        <v>244</v>
      </c>
      <c r="F1131" s="122" t="s">
        <v>137</v>
      </c>
      <c r="G1131" s="137" t="s">
        <v>138</v>
      </c>
      <c r="H1131" s="79" t="str">
        <f aca="false">IFERROR(VLOOKUP(E:E,'Item Data Support Sheet'!A:O,2,0),"")</f>
        <v>NIPPLE S TYPE S SIZE INJECTION</v>
      </c>
      <c r="I1131" s="80" t="s">
        <v>1915</v>
      </c>
      <c r="J1131" s="80" t="s">
        <v>1913</v>
      </c>
      <c r="K1131" s="124" t="n">
        <v>8</v>
      </c>
      <c r="L1131" s="124" t="n">
        <v>4815</v>
      </c>
      <c r="M1131" s="83" t="n">
        <v>601.875</v>
      </c>
      <c r="N1131" s="84" t="n">
        <f aca="false">+O1131+Q1131+T1131+U1131</f>
        <v>4402</v>
      </c>
      <c r="O1131" s="85" t="n">
        <v>4300</v>
      </c>
      <c r="P1131" s="86" t="n">
        <v>6.38</v>
      </c>
      <c r="Q1131" s="86" t="n">
        <v>56</v>
      </c>
      <c r="R1131" s="132" t="n">
        <v>0</v>
      </c>
      <c r="S1131" s="128" t="n">
        <v>0</v>
      </c>
      <c r="T1131" s="132" t="n">
        <v>38</v>
      </c>
      <c r="U1131" s="128" t="n">
        <v>8</v>
      </c>
      <c r="V1131" s="128" t="n">
        <v>1</v>
      </c>
      <c r="W1131" s="90" t="n">
        <f aca="false">IFERROR(O1131/V1131,0)</f>
        <v>4300</v>
      </c>
      <c r="X1131" s="91" t="n">
        <f aca="false">O1131/L1131</f>
        <v>0.893042575285566</v>
      </c>
      <c r="Y1131" s="92" t="str">
        <f aca="false">IFERROR(VLOOKUP(E:E,'Item Data Support Sheet'!A:J,6,0),0)</f>
        <v>Silicon</v>
      </c>
      <c r="Z1131" s="93" t="n">
        <f aca="false">IFERROR(VLOOKUP(E:E,'Item Data Support Sheet'!A:O,4,0),0)</f>
        <v>6.8</v>
      </c>
      <c r="AA1131" s="93" t="n">
        <f aca="false">IFERROR(((N1131)*(Z1131/1000))+P1131,0)</f>
        <v>36.3136</v>
      </c>
      <c r="AB1131" s="94" t="n">
        <f aca="false">IFERROR((O1131*(Z1131/1000)/(AA1131))," ")</f>
        <v>0.805207966161438</v>
      </c>
      <c r="AC1131" s="95" t="n">
        <f aca="false">IFERROR((T1131)/((T1131)+O1131),0)</f>
        <v>0.00875979714153988</v>
      </c>
      <c r="AD1131" s="96" t="n">
        <f aca="false">IFERROR(Q1131/(Q1131+N1131),0)</f>
        <v>0.012561686855092</v>
      </c>
      <c r="AE1131" s="91" t="n">
        <f aca="false">(N1131-T1131)/N1131</f>
        <v>0.991367560199909</v>
      </c>
      <c r="AF1131" s="97" t="n">
        <f aca="false">BR1131</f>
        <v>1</v>
      </c>
      <c r="AG1131" s="98" t="n">
        <f aca="false">K1131-AF1131</f>
        <v>7</v>
      </c>
      <c r="AH1131" s="99" t="n">
        <f aca="false">IFERROR(AG1131/K1131," ")</f>
        <v>0.875</v>
      </c>
      <c r="AI1131" s="100" t="n">
        <f aca="false">IFERROR(O1131/K1131,0)</f>
        <v>537.5</v>
      </c>
      <c r="AJ1131" s="101" t="n">
        <f aca="false">VLOOKUP(D1131,'Standard Cycle time'!C:D,2,0)</f>
        <v>5.25</v>
      </c>
      <c r="AK1131" s="101" t="n">
        <f aca="false">AG1131*V1131*3600/O1131</f>
        <v>5.86046511627907</v>
      </c>
      <c r="AL1131" s="102" t="n">
        <f aca="false">AJ1131/AK1131</f>
        <v>0.895833333333333</v>
      </c>
      <c r="AM1131" s="99" t="n">
        <f aca="false">AE1131*AL1131*AH1131</f>
        <v>0.777087592760866</v>
      </c>
      <c r="AN1131" s="103" t="n">
        <v>0.777087592760866</v>
      </c>
      <c r="AO1131" s="112" t="s">
        <v>1916</v>
      </c>
      <c r="AP1131" s="105" t="n">
        <v>0</v>
      </c>
      <c r="AQ1131" s="105" t="n">
        <v>0</v>
      </c>
      <c r="AR1131" s="105" t="n">
        <v>0</v>
      </c>
      <c r="AS1131" s="105" t="n">
        <v>0</v>
      </c>
      <c r="AT1131" s="105" t="n">
        <v>0</v>
      </c>
      <c r="AU1131" s="105" t="n">
        <v>30</v>
      </c>
      <c r="AV1131" s="105" t="n">
        <v>0</v>
      </c>
      <c r="AW1131" s="105" t="n">
        <v>0</v>
      </c>
      <c r="AX1131" s="105" t="n">
        <v>30</v>
      </c>
      <c r="AY1131" s="105" t="n">
        <v>0</v>
      </c>
      <c r="AZ1131" s="105" t="n">
        <v>0</v>
      </c>
      <c r="BA1131" s="105" t="n">
        <v>0</v>
      </c>
      <c r="BB1131" s="105" t="n">
        <v>0</v>
      </c>
      <c r="BC1131" s="105" t="n">
        <v>0</v>
      </c>
      <c r="BD1131" s="105" t="n">
        <v>0</v>
      </c>
      <c r="BE1131" s="105" t="n">
        <v>0</v>
      </c>
      <c r="BF1131" s="105" t="n">
        <v>0</v>
      </c>
      <c r="BG1131" s="105" t="n">
        <v>0</v>
      </c>
      <c r="BH1131" s="105" t="n">
        <v>0</v>
      </c>
      <c r="BI1131" s="105" t="n">
        <v>0</v>
      </c>
      <c r="BJ1131" s="105" t="n">
        <v>0</v>
      </c>
      <c r="BK1131" s="105" t="n">
        <v>0</v>
      </c>
      <c r="BL1131" s="105" t="n">
        <v>0</v>
      </c>
      <c r="BM1131" s="105" t="n">
        <v>0</v>
      </c>
      <c r="BN1131" s="105" t="n">
        <v>0</v>
      </c>
      <c r="BO1131" s="105" t="n">
        <v>0</v>
      </c>
      <c r="BP1131" s="105" t="n">
        <v>0</v>
      </c>
      <c r="BQ1131" s="105" t="n">
        <v>0</v>
      </c>
      <c r="BR1131" s="106" t="n">
        <v>1</v>
      </c>
      <c r="BS1131" s="106" t="n">
        <v>1</v>
      </c>
      <c r="BT1131" s="107"/>
      <c r="BU1131" s="107"/>
      <c r="BV1131" s="107"/>
      <c r="BW1131" s="107"/>
      <c r="BX1131" s="107"/>
      <c r="BY1131" s="107"/>
      <c r="BZ1131" s="107"/>
      <c r="CA1131" s="107"/>
      <c r="CB1131" s="107"/>
      <c r="CC1131" s="107"/>
      <c r="CD1131" s="107"/>
      <c r="CE1131" s="107"/>
      <c r="CF1131" s="107"/>
      <c r="CG1131" s="107"/>
      <c r="CH1131" s="107"/>
      <c r="CI1131" s="107"/>
      <c r="CJ1131" s="107"/>
      <c r="CK1131" s="107"/>
      <c r="CL1131" s="107"/>
      <c r="CM1131" s="107"/>
      <c r="CN1131" s="107"/>
      <c r="CO1131" s="107"/>
      <c r="CP1131" s="107"/>
      <c r="CQ1131" s="107"/>
      <c r="CR1131" s="107"/>
      <c r="CS1131" s="107"/>
      <c r="CT1131" s="107"/>
      <c r="CU1131" s="107"/>
      <c r="CV1131" s="107"/>
      <c r="CY1131" s="0" t="s">
        <v>1512</v>
      </c>
      <c r="CZ1131" s="0" t="n">
        <v>36.3136</v>
      </c>
    </row>
    <row r="1132" customFormat="false" ht="14.9" hidden="false" customHeight="false" outlineLevel="0" collapsed="false">
      <c r="A1132" s="74" t="n">
        <f aca="false">MONTH(B1132)</f>
        <v>11</v>
      </c>
      <c r="B1132" s="135" t="n">
        <v>44501</v>
      </c>
      <c r="C1132" s="128" t="s">
        <v>152</v>
      </c>
      <c r="D1132" s="77" t="str">
        <f aca="false">IFERROR(VLOOKUP(E:E,'Item Data Support Sheet'!A:O,7,0),"")</f>
        <v>HOOD MOLDED</v>
      </c>
      <c r="E1132" s="80" t="s">
        <v>529</v>
      </c>
      <c r="F1132" s="122"/>
      <c r="G1132" s="137" t="s">
        <v>740</v>
      </c>
      <c r="H1132" s="79" t="str">
        <f aca="false">IFERROR(VLOOKUP(E:E,'Item Data Support Sheet'!A:O,2,0),"")</f>
        <v>HOOD S TYPE MOLDED</v>
      </c>
      <c r="I1132" s="80" t="s">
        <v>1917</v>
      </c>
      <c r="J1132" s="80" t="s">
        <v>1913</v>
      </c>
      <c r="K1132" s="124" t="n">
        <v>8</v>
      </c>
      <c r="L1132" s="124" t="n">
        <v>4137</v>
      </c>
      <c r="M1132" s="83" t="n">
        <v>517.125</v>
      </c>
      <c r="N1132" s="84" t="n">
        <f aca="false">+O1132+Q1132+T1132+U1132</f>
        <v>4819</v>
      </c>
      <c r="O1132" s="85" t="n">
        <v>4800</v>
      </c>
      <c r="P1132" s="86" t="n">
        <v>0</v>
      </c>
      <c r="Q1132" s="86" t="n">
        <v>0</v>
      </c>
      <c r="R1132" s="132" t="n">
        <v>0</v>
      </c>
      <c r="S1132" s="128" t="n">
        <v>0</v>
      </c>
      <c r="T1132" s="132" t="n">
        <v>11</v>
      </c>
      <c r="U1132" s="128" t="n">
        <v>8</v>
      </c>
      <c r="V1132" s="128" t="n">
        <v>1</v>
      </c>
      <c r="W1132" s="90" t="n">
        <f aca="false">IFERROR(O1132/V1132,0)</f>
        <v>4800</v>
      </c>
      <c r="X1132" s="91" t="n">
        <f aca="false">O1132/L1132</f>
        <v>1.16026105873822</v>
      </c>
      <c r="Y1132" s="92" t="str">
        <f aca="false">IFERROR(VLOOKUP(E:E,'Item Data Support Sheet'!A:J,6,0),0)</f>
        <v>HMC</v>
      </c>
      <c r="Z1132" s="93" t="n">
        <f aca="false">IFERROR(VLOOKUP(E:E,'Item Data Support Sheet'!A:O,4,0),0)</f>
        <v>8.6</v>
      </c>
      <c r="AA1132" s="93" t="n">
        <f aca="false">IFERROR(((N1132)*(Z1132/1000))+P1132,0)</f>
        <v>41.4434</v>
      </c>
      <c r="AB1132" s="94" t="n">
        <f aca="false">IFERROR((O1132*(Z1132/1000)/(AA1132))," ")</f>
        <v>0.996057273293214</v>
      </c>
      <c r="AC1132" s="95" t="n">
        <f aca="false">IFERROR((T1132)/((T1132)+O1132),0)</f>
        <v>0.00228642693826647</v>
      </c>
      <c r="AD1132" s="96" t="n">
        <f aca="false">IFERROR(Q1132/(Q1132+N1132),0)</f>
        <v>0</v>
      </c>
      <c r="AE1132" s="91" t="n">
        <f aca="false">(N1132-T1132)/N1132</f>
        <v>0.997717368748703</v>
      </c>
      <c r="AF1132" s="97" t="n">
        <f aca="false">BR1132</f>
        <v>0</v>
      </c>
      <c r="AG1132" s="98" t="n">
        <f aca="false">K1132-AF1132</f>
        <v>8</v>
      </c>
      <c r="AH1132" s="99" t="n">
        <f aca="false">IFERROR(AG1132/K1132," ")</f>
        <v>1</v>
      </c>
      <c r="AI1132" s="100" t="n">
        <f aca="false">IFERROR(O1132/K1132,0)</f>
        <v>600</v>
      </c>
      <c r="AJ1132" s="101" t="n">
        <f aca="false">VLOOKUP(D1132,'Standard Cycle time'!C:D,2,0)</f>
        <v>6</v>
      </c>
      <c r="AK1132" s="101" t="n">
        <f aca="false">AG1132*V1132*3600/O1132</f>
        <v>6</v>
      </c>
      <c r="AL1132" s="102" t="n">
        <f aca="false">AJ1132/AK1132</f>
        <v>1</v>
      </c>
      <c r="AM1132" s="99" t="n">
        <f aca="false">AE1132*AL1132*AH1132</f>
        <v>0.997717368748703</v>
      </c>
      <c r="AN1132" s="103" t="n">
        <v>0.997717368748703</v>
      </c>
      <c r="AO1132" s="112"/>
      <c r="AP1132" s="105" t="n">
        <v>0</v>
      </c>
      <c r="AQ1132" s="105" t="n">
        <v>0</v>
      </c>
      <c r="AR1132" s="105" t="n">
        <v>0</v>
      </c>
      <c r="AS1132" s="105" t="n">
        <v>0</v>
      </c>
      <c r="AT1132" s="105" t="n">
        <v>0</v>
      </c>
      <c r="AU1132" s="105" t="n">
        <v>0</v>
      </c>
      <c r="AV1132" s="105" t="n">
        <v>0</v>
      </c>
      <c r="AW1132" s="105" t="n">
        <v>0</v>
      </c>
      <c r="AX1132" s="105" t="n">
        <v>0</v>
      </c>
      <c r="AY1132" s="105" t="n">
        <v>0</v>
      </c>
      <c r="AZ1132" s="105" t="n">
        <v>0</v>
      </c>
      <c r="BA1132" s="105" t="n">
        <v>0</v>
      </c>
      <c r="BB1132" s="105" t="n">
        <v>0</v>
      </c>
      <c r="BC1132" s="105" t="n">
        <v>0</v>
      </c>
      <c r="BD1132" s="105" t="n">
        <v>0</v>
      </c>
      <c r="BE1132" s="105" t="n">
        <v>0</v>
      </c>
      <c r="BF1132" s="105" t="n">
        <v>0</v>
      </c>
      <c r="BG1132" s="105" t="n">
        <v>0</v>
      </c>
      <c r="BH1132" s="105" t="n">
        <v>0</v>
      </c>
      <c r="BI1132" s="105" t="n">
        <v>0</v>
      </c>
      <c r="BJ1132" s="105" t="n">
        <v>0</v>
      </c>
      <c r="BK1132" s="105" t="n">
        <v>0</v>
      </c>
      <c r="BL1132" s="105" t="n">
        <v>0</v>
      </c>
      <c r="BM1132" s="105" t="n">
        <v>0</v>
      </c>
      <c r="BN1132" s="105" t="n">
        <v>0</v>
      </c>
      <c r="BO1132" s="105" t="n">
        <v>0</v>
      </c>
      <c r="BP1132" s="105" t="n">
        <v>0</v>
      </c>
      <c r="BQ1132" s="105" t="n">
        <v>0</v>
      </c>
      <c r="BR1132" s="106" t="n">
        <v>0</v>
      </c>
      <c r="BS1132" s="106" t="n">
        <v>0</v>
      </c>
      <c r="BT1132" s="107"/>
      <c r="BU1132" s="107"/>
      <c r="BV1132" s="107"/>
      <c r="BW1132" s="107"/>
      <c r="BX1132" s="107"/>
      <c r="BY1132" s="107"/>
      <c r="BZ1132" s="107"/>
      <c r="CA1132" s="107"/>
      <c r="CB1132" s="107"/>
      <c r="CC1132" s="107"/>
      <c r="CD1132" s="107"/>
      <c r="CE1132" s="107"/>
      <c r="CF1132" s="107"/>
      <c r="CG1132" s="107"/>
      <c r="CH1132" s="107"/>
      <c r="CI1132" s="107"/>
      <c r="CJ1132" s="107"/>
      <c r="CK1132" s="107"/>
      <c r="CL1132" s="107"/>
      <c r="CM1132" s="107"/>
      <c r="CN1132" s="107"/>
      <c r="CO1132" s="107"/>
      <c r="CP1132" s="107"/>
      <c r="CQ1132" s="107"/>
      <c r="CR1132" s="107"/>
      <c r="CS1132" s="107"/>
      <c r="CT1132" s="107"/>
      <c r="CU1132" s="107"/>
      <c r="CV1132" s="107"/>
      <c r="CY1132" s="0" t="s">
        <v>1515</v>
      </c>
    </row>
    <row r="1133" customFormat="false" ht="14.9" hidden="false" customHeight="false" outlineLevel="0" collapsed="false">
      <c r="A1133" s="74" t="n">
        <f aca="false">MONTH(B1133)</f>
        <v>11</v>
      </c>
      <c r="B1133" s="135" t="n">
        <v>44502</v>
      </c>
      <c r="C1133" s="128" t="s">
        <v>51</v>
      </c>
      <c r="D1133" s="77" t="str">
        <f aca="false">IFERROR(VLOOKUP(E:E,'Item Data Support Sheet'!A:O,7,0),"")</f>
        <v>HOOD MOLDED</v>
      </c>
      <c r="E1133" s="80" t="s">
        <v>529</v>
      </c>
      <c r="F1133" s="122"/>
      <c r="G1133" s="137" t="s">
        <v>740</v>
      </c>
      <c r="H1133" s="79" t="str">
        <f aca="false">IFERROR(VLOOKUP(E:E,'Item Data Support Sheet'!A:O,2,0),"")</f>
        <v>HOOD S TYPE MOLDED</v>
      </c>
      <c r="I1133" s="80" t="s">
        <v>1918</v>
      </c>
      <c r="J1133" s="80" t="s">
        <v>143</v>
      </c>
      <c r="K1133" s="124" t="n">
        <v>8</v>
      </c>
      <c r="L1133" s="124" t="n">
        <v>4137</v>
      </c>
      <c r="M1133" s="83" t="n">
        <v>517.125</v>
      </c>
      <c r="N1133" s="84" t="n">
        <f aca="false">+O1133+Q1133+T1133+U1133</f>
        <v>4816</v>
      </c>
      <c r="O1133" s="85" t="n">
        <v>4800</v>
      </c>
      <c r="P1133" s="86" t="n">
        <v>0</v>
      </c>
      <c r="Q1133" s="86" t="n">
        <v>0</v>
      </c>
      <c r="R1133" s="132" t="n">
        <v>0</v>
      </c>
      <c r="S1133" s="128" t="n">
        <v>0</v>
      </c>
      <c r="T1133" s="132" t="n">
        <v>8</v>
      </c>
      <c r="U1133" s="128" t="n">
        <v>8</v>
      </c>
      <c r="V1133" s="128" t="n">
        <v>1</v>
      </c>
      <c r="W1133" s="90" t="n">
        <f aca="false">IFERROR(O1133/V1133,0)</f>
        <v>4800</v>
      </c>
      <c r="X1133" s="91" t="n">
        <f aca="false">O1133/L1133</f>
        <v>1.16026105873822</v>
      </c>
      <c r="Y1133" s="92" t="str">
        <f aca="false">IFERROR(VLOOKUP(E:E,'Item Data Support Sheet'!A:J,6,0),0)</f>
        <v>HMC</v>
      </c>
      <c r="Z1133" s="93" t="n">
        <f aca="false">IFERROR(VLOOKUP(E:E,'Item Data Support Sheet'!A:O,4,0),0)</f>
        <v>8.6</v>
      </c>
      <c r="AA1133" s="93" t="n">
        <f aca="false">IFERROR(((N1133)*(Z1133/1000))+P1133,0)</f>
        <v>41.4176</v>
      </c>
      <c r="AB1133" s="94" t="n">
        <f aca="false">IFERROR((O1133*(Z1133/1000)/(AA1133))," ")</f>
        <v>0.996677740863787</v>
      </c>
      <c r="AC1133" s="95" t="n">
        <f aca="false">IFERROR((T1133)/((T1133)+O1133),0)</f>
        <v>0.00166389351081531</v>
      </c>
      <c r="AD1133" s="96" t="n">
        <f aca="false">IFERROR(Q1133/(Q1133+N1133),0)</f>
        <v>0</v>
      </c>
      <c r="AE1133" s="91" t="n">
        <f aca="false">(N1133-T1133)/N1133</f>
        <v>0.998338870431894</v>
      </c>
      <c r="AF1133" s="97" t="n">
        <f aca="false">BR1133</f>
        <v>0</v>
      </c>
      <c r="AG1133" s="98" t="n">
        <f aca="false">K1133-AF1133</f>
        <v>8</v>
      </c>
      <c r="AH1133" s="99" t="n">
        <f aca="false">IFERROR(AG1133/K1133," ")</f>
        <v>1</v>
      </c>
      <c r="AI1133" s="100" t="n">
        <f aca="false">IFERROR(O1133/K1133,0)</f>
        <v>600</v>
      </c>
      <c r="AJ1133" s="101" t="n">
        <f aca="false">VLOOKUP(D1133,'Standard Cycle time'!C:D,2,0)</f>
        <v>6</v>
      </c>
      <c r="AK1133" s="101" t="n">
        <f aca="false">AG1133*V1133*3600/O1133</f>
        <v>6</v>
      </c>
      <c r="AL1133" s="102" t="n">
        <f aca="false">AJ1133/AK1133</f>
        <v>1</v>
      </c>
      <c r="AM1133" s="99" t="n">
        <f aca="false">AE1133*AL1133*AH1133</f>
        <v>0.998338870431894</v>
      </c>
      <c r="AN1133" s="103" t="n">
        <v>0.998338870431894</v>
      </c>
      <c r="AO1133" s="112"/>
      <c r="AP1133" s="105" t="n">
        <v>0</v>
      </c>
      <c r="AQ1133" s="105" t="n">
        <v>0</v>
      </c>
      <c r="AR1133" s="105" t="n">
        <v>0</v>
      </c>
      <c r="AS1133" s="105" t="n">
        <v>0</v>
      </c>
      <c r="AT1133" s="105" t="n">
        <v>0</v>
      </c>
      <c r="AU1133" s="105" t="n">
        <v>0</v>
      </c>
      <c r="AV1133" s="105" t="n">
        <v>0</v>
      </c>
      <c r="AW1133" s="105" t="n">
        <v>0</v>
      </c>
      <c r="AX1133" s="105" t="n">
        <v>0</v>
      </c>
      <c r="AY1133" s="105" t="n">
        <v>0</v>
      </c>
      <c r="AZ1133" s="105" t="n">
        <v>0</v>
      </c>
      <c r="BA1133" s="105" t="n">
        <v>0</v>
      </c>
      <c r="BB1133" s="105" t="n">
        <v>0</v>
      </c>
      <c r="BC1133" s="105" t="n">
        <v>0</v>
      </c>
      <c r="BD1133" s="105" t="n">
        <v>0</v>
      </c>
      <c r="BE1133" s="105" t="n">
        <v>0</v>
      </c>
      <c r="BF1133" s="105" t="n">
        <v>0</v>
      </c>
      <c r="BG1133" s="105" t="n">
        <v>0</v>
      </c>
      <c r="BH1133" s="105" t="n">
        <v>0</v>
      </c>
      <c r="BI1133" s="105" t="n">
        <v>0</v>
      </c>
      <c r="BJ1133" s="105" t="n">
        <v>0</v>
      </c>
      <c r="BK1133" s="105" t="n">
        <v>0</v>
      </c>
      <c r="BL1133" s="105" t="n">
        <v>0</v>
      </c>
      <c r="BM1133" s="105" t="n">
        <v>0</v>
      </c>
      <c r="BN1133" s="105" t="n">
        <v>0</v>
      </c>
      <c r="BO1133" s="105" t="n">
        <v>0</v>
      </c>
      <c r="BP1133" s="105" t="n">
        <v>0</v>
      </c>
      <c r="BQ1133" s="105" t="n">
        <v>0</v>
      </c>
      <c r="BR1133" s="106" t="n">
        <v>0</v>
      </c>
      <c r="BS1133" s="106" t="n">
        <v>0</v>
      </c>
      <c r="BT1133" s="107"/>
      <c r="BU1133" s="107"/>
      <c r="BV1133" s="107"/>
      <c r="BW1133" s="107"/>
      <c r="BX1133" s="107"/>
      <c r="BY1133" s="107"/>
      <c r="BZ1133" s="107"/>
      <c r="CA1133" s="107"/>
      <c r="CB1133" s="107"/>
      <c r="CC1133" s="107"/>
      <c r="CD1133" s="107"/>
      <c r="CE1133" s="107"/>
      <c r="CF1133" s="107"/>
      <c r="CG1133" s="107"/>
      <c r="CH1133" s="107"/>
      <c r="CI1133" s="107"/>
      <c r="CJ1133" s="107"/>
      <c r="CK1133" s="107"/>
      <c r="CL1133" s="107"/>
      <c r="CM1133" s="107"/>
      <c r="CN1133" s="107"/>
      <c r="CO1133" s="107"/>
      <c r="CP1133" s="107"/>
      <c r="CQ1133" s="107"/>
      <c r="CR1133" s="107"/>
      <c r="CS1133" s="107"/>
      <c r="CT1133" s="107"/>
      <c r="CU1133" s="107"/>
      <c r="CV1133" s="107"/>
      <c r="CY1133" s="0" t="s">
        <v>1517</v>
      </c>
      <c r="CZ1133" s="0" t="n">
        <v>41.4176</v>
      </c>
    </row>
    <row r="1134" customFormat="false" ht="14.9" hidden="false" customHeight="false" outlineLevel="0" collapsed="false">
      <c r="A1134" s="74" t="n">
        <f aca="false">MONTH(B1134)</f>
        <v>11</v>
      </c>
      <c r="B1134" s="135" t="n">
        <v>44502</v>
      </c>
      <c r="C1134" s="128" t="s">
        <v>51</v>
      </c>
      <c r="D1134" s="77" t="str">
        <f aca="false">IFERROR(VLOOKUP(E:E,'Item Data Support Sheet'!A:O,7,0),"")</f>
        <v>BOTTLE MOLDED</v>
      </c>
      <c r="E1134" s="80" t="s">
        <v>69</v>
      </c>
      <c r="F1134" s="122" t="s">
        <v>73</v>
      </c>
      <c r="G1134" s="137" t="s">
        <v>74</v>
      </c>
      <c r="H1134" s="79" t="str">
        <f aca="false">IFERROR(VLOOKUP(E:E,'Item Data Support Sheet'!A:O,2,0),"")</f>
        <v>KPP 240 ML BOTTLE MOLDED</v>
      </c>
      <c r="I1134" s="80" t="s">
        <v>1919</v>
      </c>
      <c r="J1134" s="80" t="s">
        <v>143</v>
      </c>
      <c r="K1134" s="124" t="n">
        <v>8</v>
      </c>
      <c r="L1134" s="124" t="n">
        <v>2573</v>
      </c>
      <c r="M1134" s="83" t="n">
        <v>321.625</v>
      </c>
      <c r="N1134" s="84" t="n">
        <f aca="false">+O1134+Q1134+T1134+U1134</f>
        <v>3205</v>
      </c>
      <c r="O1134" s="85" t="n">
        <v>3132</v>
      </c>
      <c r="P1134" s="86" t="n">
        <v>0.32</v>
      </c>
      <c r="Q1134" s="86" t="n">
        <v>25</v>
      </c>
      <c r="R1134" s="132" t="n">
        <v>0</v>
      </c>
      <c r="S1134" s="128" t="n">
        <v>0</v>
      </c>
      <c r="T1134" s="132" t="n">
        <v>40</v>
      </c>
      <c r="U1134" s="128" t="n">
        <v>8</v>
      </c>
      <c r="V1134" s="128" t="n">
        <v>1</v>
      </c>
      <c r="W1134" s="90" t="n">
        <f aca="false">IFERROR(O1134/V1134,0)</f>
        <v>3132</v>
      </c>
      <c r="X1134" s="91" t="n">
        <f aca="false">O1134/L1134</f>
        <v>1.21725612125923</v>
      </c>
      <c r="Y1134" s="92" t="str">
        <f aca="false">IFERROR(VLOOKUP(E:E,'Item Data Support Sheet'!A:J,6,0),0)</f>
        <v>HMC</v>
      </c>
      <c r="Z1134" s="93" t="n">
        <f aca="false">IFERROR(VLOOKUP(E:E,'Item Data Support Sheet'!A:O,4,0),0)</f>
        <v>32.1</v>
      </c>
      <c r="AA1134" s="93" t="n">
        <f aca="false">IFERROR(((N1134)*(Z1134/1000))+P1134,0)</f>
        <v>103.2005</v>
      </c>
      <c r="AB1134" s="94" t="n">
        <f aca="false">IFERROR((O1134*(Z1134/1000)/(AA1134))," ")</f>
        <v>0.9741929544915</v>
      </c>
      <c r="AC1134" s="95" t="n">
        <f aca="false">IFERROR((T1134)/((T1134)+O1134),0)</f>
        <v>0.0126103404791929</v>
      </c>
      <c r="AD1134" s="96" t="n">
        <f aca="false">IFERROR(Q1134/(Q1134+N1134),0)</f>
        <v>0.00773993808049536</v>
      </c>
      <c r="AE1134" s="91" t="n">
        <f aca="false">(N1134-T1134)/N1134</f>
        <v>0.987519500780031</v>
      </c>
      <c r="AF1134" s="97" t="n">
        <f aca="false">BR1134</f>
        <v>0</v>
      </c>
      <c r="AG1134" s="98" t="n">
        <f aca="false">K1134-AF1134</f>
        <v>8</v>
      </c>
      <c r="AH1134" s="99" t="n">
        <f aca="false">IFERROR(AG1134/K1134," ")</f>
        <v>1</v>
      </c>
      <c r="AI1134" s="100" t="n">
        <f aca="false">IFERROR(O1134/K1134,0)</f>
        <v>391.5</v>
      </c>
      <c r="AJ1134" s="101" t="n">
        <f aca="false">VLOOKUP(D1134,'Standard Cycle time'!C:D,2,0)</f>
        <v>9</v>
      </c>
      <c r="AK1134" s="101" t="n">
        <f aca="false">AG1134*V1134*3600/O1134</f>
        <v>9.19540229885057</v>
      </c>
      <c r="AL1134" s="102" t="n">
        <f aca="false">AJ1134/AK1134</f>
        <v>0.97875</v>
      </c>
      <c r="AM1134" s="99" t="n">
        <f aca="false">AE1134*AL1134*AH1134</f>
        <v>0.966534711388456</v>
      </c>
      <c r="AN1134" s="103" t="n">
        <v>0.966534711388456</v>
      </c>
      <c r="AO1134" s="112"/>
      <c r="AP1134" s="105" t="n">
        <v>0</v>
      </c>
      <c r="AQ1134" s="105" t="n">
        <v>0</v>
      </c>
      <c r="AR1134" s="105" t="n">
        <v>0</v>
      </c>
      <c r="AS1134" s="105" t="n">
        <v>0</v>
      </c>
      <c r="AT1134" s="105" t="n">
        <v>0</v>
      </c>
      <c r="AU1134" s="105" t="n">
        <v>0</v>
      </c>
      <c r="AV1134" s="105" t="n">
        <v>0</v>
      </c>
      <c r="AW1134" s="105" t="n">
        <v>0</v>
      </c>
      <c r="AX1134" s="105" t="n">
        <v>0</v>
      </c>
      <c r="AY1134" s="105" t="n">
        <v>0</v>
      </c>
      <c r="AZ1134" s="105" t="n">
        <v>0</v>
      </c>
      <c r="BA1134" s="105" t="n">
        <v>0</v>
      </c>
      <c r="BB1134" s="105" t="n">
        <v>0</v>
      </c>
      <c r="BC1134" s="105" t="n">
        <v>0</v>
      </c>
      <c r="BD1134" s="105" t="n">
        <v>0</v>
      </c>
      <c r="BE1134" s="105" t="n">
        <v>0</v>
      </c>
      <c r="BF1134" s="105" t="n">
        <v>0</v>
      </c>
      <c r="BG1134" s="105" t="n">
        <v>0</v>
      </c>
      <c r="BH1134" s="105" t="n">
        <v>0</v>
      </c>
      <c r="BI1134" s="105" t="n">
        <v>0</v>
      </c>
      <c r="BJ1134" s="105" t="n">
        <v>0</v>
      </c>
      <c r="BK1134" s="105" t="n">
        <v>0</v>
      </c>
      <c r="BL1134" s="105" t="n">
        <v>0</v>
      </c>
      <c r="BM1134" s="105" t="n">
        <v>0</v>
      </c>
      <c r="BN1134" s="105" t="n">
        <v>0</v>
      </c>
      <c r="BO1134" s="105" t="n">
        <v>0</v>
      </c>
      <c r="BP1134" s="105" t="n">
        <v>0</v>
      </c>
      <c r="BQ1134" s="105" t="n">
        <v>0</v>
      </c>
      <c r="BR1134" s="106" t="n">
        <v>0</v>
      </c>
      <c r="BS1134" s="106" t="n">
        <v>0</v>
      </c>
      <c r="BT1134" s="107"/>
      <c r="BU1134" s="107"/>
      <c r="BV1134" s="107"/>
      <c r="BW1134" s="107"/>
      <c r="BX1134" s="107"/>
      <c r="BY1134" s="107"/>
      <c r="BZ1134" s="107"/>
      <c r="CA1134" s="107"/>
      <c r="CB1134" s="107"/>
      <c r="CC1134" s="107"/>
      <c r="CD1134" s="107"/>
      <c r="CE1134" s="107"/>
      <c r="CF1134" s="107"/>
      <c r="CG1134" s="107"/>
      <c r="CH1134" s="107"/>
      <c r="CI1134" s="107"/>
      <c r="CJ1134" s="107"/>
      <c r="CK1134" s="107"/>
      <c r="CL1134" s="107"/>
      <c r="CM1134" s="107"/>
      <c r="CN1134" s="107"/>
      <c r="CO1134" s="107"/>
      <c r="CP1134" s="107"/>
      <c r="CQ1134" s="107"/>
      <c r="CR1134" s="107"/>
      <c r="CS1134" s="107"/>
      <c r="CT1134" s="107"/>
      <c r="CU1134" s="107"/>
      <c r="CV1134" s="107"/>
      <c r="CY1134" s="0" t="s">
        <v>1520</v>
      </c>
    </row>
    <row r="1135" customFormat="false" ht="14.9" hidden="false" customHeight="false" outlineLevel="0" collapsed="false">
      <c r="A1135" s="74" t="n">
        <f aca="false">MONTH(B1135)</f>
        <v>11</v>
      </c>
      <c r="B1135" s="135" t="n">
        <v>44502</v>
      </c>
      <c r="C1135" s="128" t="s">
        <v>51</v>
      </c>
      <c r="D1135" s="77" t="str">
        <f aca="false">IFERROR(VLOOKUP(E:E,'Item Data Support Sheet'!A:O,7,0),"")</f>
        <v>NIPPLE MOLDED</v>
      </c>
      <c r="E1135" s="80" t="s">
        <v>244</v>
      </c>
      <c r="F1135" s="122" t="s">
        <v>137</v>
      </c>
      <c r="G1135" s="137" t="s">
        <v>138</v>
      </c>
      <c r="H1135" s="79" t="str">
        <f aca="false">IFERROR(VLOOKUP(E:E,'Item Data Support Sheet'!A:O,2,0),"")</f>
        <v>NIPPLE S TYPE S SIZE INJECTION</v>
      </c>
      <c r="I1135" s="80" t="s">
        <v>1920</v>
      </c>
      <c r="J1135" s="80" t="s">
        <v>143</v>
      </c>
      <c r="K1135" s="124" t="n">
        <v>8</v>
      </c>
      <c r="L1135" s="124" t="n">
        <v>4815</v>
      </c>
      <c r="M1135" s="83" t="n">
        <v>601.875</v>
      </c>
      <c r="N1135" s="84" t="n">
        <f aca="false">+O1135+Q1135+T1135+U1135</f>
        <v>5458</v>
      </c>
      <c r="O1135" s="85" t="n">
        <v>5400</v>
      </c>
      <c r="P1135" s="86" t="n">
        <v>0</v>
      </c>
      <c r="Q1135" s="86" t="n">
        <v>0</v>
      </c>
      <c r="R1135" s="132" t="n">
        <v>0</v>
      </c>
      <c r="S1135" s="128" t="n">
        <v>0</v>
      </c>
      <c r="T1135" s="132" t="n">
        <v>42</v>
      </c>
      <c r="U1135" s="128" t="n">
        <v>16</v>
      </c>
      <c r="V1135" s="128" t="n">
        <v>1</v>
      </c>
      <c r="W1135" s="90" t="n">
        <f aca="false">IFERROR(O1135/V1135,0)</f>
        <v>5400</v>
      </c>
      <c r="X1135" s="91" t="n">
        <f aca="false">O1135/L1135</f>
        <v>1.1214953271028</v>
      </c>
      <c r="Y1135" s="92" t="str">
        <f aca="false">IFERROR(VLOOKUP(E:E,'Item Data Support Sheet'!A:J,6,0),0)</f>
        <v>Silicon</v>
      </c>
      <c r="Z1135" s="93" t="n">
        <f aca="false">IFERROR(VLOOKUP(E:E,'Item Data Support Sheet'!A:O,4,0),0)</f>
        <v>6.8</v>
      </c>
      <c r="AA1135" s="93" t="n">
        <f aca="false">IFERROR(((N1135)*(Z1135/1000))+P1135,0)</f>
        <v>37.1144</v>
      </c>
      <c r="AB1135" s="94" t="n">
        <f aca="false">IFERROR((O1135*(Z1135/1000)/(AA1135))," ")</f>
        <v>0.989373396848663</v>
      </c>
      <c r="AC1135" s="95" t="n">
        <f aca="false">IFERROR((T1135)/((T1135)+O1135),0)</f>
        <v>0.00771775082690187</v>
      </c>
      <c r="AD1135" s="96" t="n">
        <f aca="false">IFERROR(Q1135/(Q1135+N1135),0)</f>
        <v>0</v>
      </c>
      <c r="AE1135" s="91" t="n">
        <f aca="false">(N1135-T1135)/N1135</f>
        <v>0.992304873580066</v>
      </c>
      <c r="AF1135" s="97" t="n">
        <f aca="false">BR1135</f>
        <v>0</v>
      </c>
      <c r="AG1135" s="98" t="n">
        <f aca="false">K1135-AF1135</f>
        <v>8</v>
      </c>
      <c r="AH1135" s="99" t="n">
        <f aca="false">IFERROR(AG1135/K1135," ")</f>
        <v>1</v>
      </c>
      <c r="AI1135" s="100" t="n">
        <f aca="false">IFERROR(O1135/K1135,0)</f>
        <v>675</v>
      </c>
      <c r="AJ1135" s="101" t="n">
        <f aca="false">VLOOKUP(D1135,'Standard Cycle time'!C:D,2,0)</f>
        <v>5.25</v>
      </c>
      <c r="AK1135" s="101" t="n">
        <f aca="false">AG1135*V1135*3600/O1135</f>
        <v>5.33333333333333</v>
      </c>
      <c r="AL1135" s="102" t="n">
        <f aca="false">AJ1135/AK1135</f>
        <v>0.984375</v>
      </c>
      <c r="AM1135" s="99" t="n">
        <f aca="false">AE1135*AL1135*AH1135</f>
        <v>0.976800109930377</v>
      </c>
      <c r="AN1135" s="103" t="n">
        <v>0.976800109930377</v>
      </c>
      <c r="AO1135" s="112"/>
      <c r="AP1135" s="105" t="n">
        <v>0</v>
      </c>
      <c r="AQ1135" s="105" t="n">
        <v>0</v>
      </c>
      <c r="AR1135" s="105" t="n">
        <v>0</v>
      </c>
      <c r="AS1135" s="105" t="n">
        <v>0</v>
      </c>
      <c r="AT1135" s="105" t="n">
        <v>0</v>
      </c>
      <c r="AU1135" s="105" t="n">
        <v>0</v>
      </c>
      <c r="AV1135" s="105" t="n">
        <v>0</v>
      </c>
      <c r="AW1135" s="105" t="n">
        <v>0</v>
      </c>
      <c r="AX1135" s="105" t="n">
        <v>0</v>
      </c>
      <c r="AY1135" s="105" t="n">
        <v>0</v>
      </c>
      <c r="AZ1135" s="105" t="n">
        <v>0</v>
      </c>
      <c r="BA1135" s="105" t="n">
        <v>0</v>
      </c>
      <c r="BB1135" s="105" t="n">
        <v>0</v>
      </c>
      <c r="BC1135" s="105" t="n">
        <v>0</v>
      </c>
      <c r="BD1135" s="105" t="n">
        <v>0</v>
      </c>
      <c r="BE1135" s="105" t="n">
        <v>0</v>
      </c>
      <c r="BF1135" s="105" t="n">
        <v>0</v>
      </c>
      <c r="BG1135" s="105" t="n">
        <v>0</v>
      </c>
      <c r="BH1135" s="105" t="n">
        <v>0</v>
      </c>
      <c r="BI1135" s="105" t="n">
        <v>0</v>
      </c>
      <c r="BJ1135" s="105" t="n">
        <v>0</v>
      </c>
      <c r="BK1135" s="105" t="n">
        <v>0</v>
      </c>
      <c r="BL1135" s="105" t="n">
        <v>0</v>
      </c>
      <c r="BM1135" s="105" t="n">
        <v>0</v>
      </c>
      <c r="BN1135" s="105" t="n">
        <v>0</v>
      </c>
      <c r="BO1135" s="105" t="n">
        <v>0</v>
      </c>
      <c r="BP1135" s="105" t="n">
        <v>0</v>
      </c>
      <c r="BQ1135" s="105" t="n">
        <v>0</v>
      </c>
      <c r="BR1135" s="106" t="n">
        <v>0</v>
      </c>
      <c r="BS1135" s="106" t="n">
        <v>0</v>
      </c>
      <c r="BT1135" s="107"/>
      <c r="BU1135" s="107"/>
      <c r="BV1135" s="107"/>
      <c r="BW1135" s="107"/>
      <c r="BX1135" s="107"/>
      <c r="BY1135" s="107"/>
      <c r="BZ1135" s="107"/>
      <c r="CA1135" s="107"/>
      <c r="CB1135" s="107"/>
      <c r="CC1135" s="107"/>
      <c r="CD1135" s="107"/>
      <c r="CE1135" s="107"/>
      <c r="CF1135" s="107"/>
      <c r="CG1135" s="107"/>
      <c r="CH1135" s="107"/>
      <c r="CI1135" s="107"/>
      <c r="CJ1135" s="107"/>
      <c r="CK1135" s="107"/>
      <c r="CL1135" s="107"/>
      <c r="CM1135" s="107"/>
      <c r="CN1135" s="107"/>
      <c r="CO1135" s="107"/>
      <c r="CP1135" s="107"/>
      <c r="CQ1135" s="107"/>
      <c r="CR1135" s="107"/>
      <c r="CS1135" s="107"/>
      <c r="CT1135" s="107"/>
      <c r="CU1135" s="107"/>
      <c r="CV1135" s="107"/>
      <c r="CY1135" s="0" t="s">
        <v>1522</v>
      </c>
    </row>
    <row r="1136" customFormat="false" ht="14.9" hidden="false" customHeight="false" outlineLevel="0" collapsed="false">
      <c r="A1136" s="74" t="n">
        <f aca="false">MONTH(B1136)</f>
        <v>11</v>
      </c>
      <c r="B1136" s="135" t="n">
        <v>44502</v>
      </c>
      <c r="C1136" s="128" t="s">
        <v>51</v>
      </c>
      <c r="D1136" s="77" t="str">
        <f aca="false">IFERROR(VLOOKUP(E:E,'Item Data Support Sheet'!A:O,7,0),"")</f>
        <v>NIPPLE PUNCH</v>
      </c>
      <c r="E1136" s="80" t="s">
        <v>53</v>
      </c>
      <c r="F1136" s="122"/>
      <c r="G1136" s="137" t="s">
        <v>54</v>
      </c>
      <c r="H1136" s="79" t="str">
        <f aca="false">IFERROR(VLOOKUP(E:E,'Item Data Support Sheet'!A:O,2,0),"")</f>
        <v>NIPPLE S TYPE S SIZE PUNCHED</v>
      </c>
      <c r="I1136" s="80" t="s">
        <v>1921</v>
      </c>
      <c r="J1136" s="80" t="s">
        <v>143</v>
      </c>
      <c r="K1136" s="124" t="n">
        <v>8</v>
      </c>
      <c r="L1136" s="124" t="n">
        <v>7000</v>
      </c>
      <c r="M1136" s="83" t="n">
        <v>875</v>
      </c>
      <c r="N1136" s="84" t="n">
        <f aca="false">+O1136+Q1136+T1136+U1136</f>
        <v>7070</v>
      </c>
      <c r="O1136" s="85" t="n">
        <v>7070</v>
      </c>
      <c r="P1136" s="86" t="n">
        <v>0</v>
      </c>
      <c r="Q1136" s="86" t="n">
        <v>0</v>
      </c>
      <c r="R1136" s="132" t="n">
        <v>0</v>
      </c>
      <c r="S1136" s="128" t="n">
        <v>0</v>
      </c>
      <c r="T1136" s="132" t="n">
        <v>0</v>
      </c>
      <c r="U1136" s="128" t="n">
        <v>0</v>
      </c>
      <c r="V1136" s="128" t="n">
        <v>1</v>
      </c>
      <c r="W1136" s="90" t="n">
        <f aca="false">IFERROR(O1136/V1136,0)</f>
        <v>7070</v>
      </c>
      <c r="X1136" s="91" t="n">
        <f aca="false">O1136/L1136</f>
        <v>1.01</v>
      </c>
      <c r="Y1136" s="92" t="str">
        <f aca="false">IFERROR(VLOOKUP(E:E,'Item Data Support Sheet'!A:J,6,0),0)</f>
        <v>FO015</v>
      </c>
      <c r="Z1136" s="93" t="n">
        <f aca="false">IFERROR(VLOOKUP(E:E,'Item Data Support Sheet'!A:O,4,0),0)</f>
        <v>0</v>
      </c>
      <c r="AA1136" s="93" t="n">
        <f aca="false">IFERROR(((N1136)*(Z1136/1000))+P1136,0)</f>
        <v>0</v>
      </c>
      <c r="AB1136" s="94" t="str">
        <f aca="false">IFERROR((O1136*(Z1136/1000)/(AA1136))," ")</f>
        <v> </v>
      </c>
      <c r="AC1136" s="95" t="n">
        <f aca="false">IFERROR((T1136)/((T1136)+O1136),0)</f>
        <v>0</v>
      </c>
      <c r="AD1136" s="96" t="n">
        <f aca="false">IFERROR(Q1136/(Q1136+N1136),0)</f>
        <v>0</v>
      </c>
      <c r="AE1136" s="91" t="n">
        <f aca="false">(N1136-T1136)/N1136</f>
        <v>1</v>
      </c>
      <c r="AF1136" s="97" t="n">
        <f aca="false">BR1136</f>
        <v>0</v>
      </c>
      <c r="AG1136" s="98" t="n">
        <f aca="false">K1136-AF1136</f>
        <v>8</v>
      </c>
      <c r="AH1136" s="99" t="n">
        <f aca="false">IFERROR(AG1136/K1136," ")</f>
        <v>1</v>
      </c>
      <c r="AI1136" s="100" t="n">
        <f aca="false">IFERROR(O1136/K1136,0)</f>
        <v>883.75</v>
      </c>
      <c r="AJ1136" s="101" t="n">
        <f aca="false">VLOOKUP(D1136,'Standard Cycle time'!C:D,2,0)</f>
        <v>3.5</v>
      </c>
      <c r="AK1136" s="101" t="n">
        <f aca="false">AG1136*V1136*3600/O1136</f>
        <v>4.07355021216407</v>
      </c>
      <c r="AL1136" s="102" t="n">
        <f aca="false">AJ1136/AK1136</f>
        <v>0.859201388888889</v>
      </c>
      <c r="AM1136" s="99" t="n">
        <f aca="false">AE1136*AL1136*AH1136</f>
        <v>0.859201388888889</v>
      </c>
      <c r="AN1136" s="103" t="n">
        <v>0.859201388888889</v>
      </c>
      <c r="AO1136" s="112"/>
      <c r="AP1136" s="105" t="n">
        <v>0</v>
      </c>
      <c r="AQ1136" s="105" t="n">
        <v>0</v>
      </c>
      <c r="AR1136" s="105" t="n">
        <v>0</v>
      </c>
      <c r="AS1136" s="105" t="n">
        <v>0</v>
      </c>
      <c r="AT1136" s="105" t="n">
        <v>0</v>
      </c>
      <c r="AU1136" s="105" t="n">
        <v>0</v>
      </c>
      <c r="AV1136" s="105" t="n">
        <v>0</v>
      </c>
      <c r="AW1136" s="105" t="n">
        <v>0</v>
      </c>
      <c r="AX1136" s="105" t="n">
        <v>0</v>
      </c>
      <c r="AY1136" s="105" t="n">
        <v>0</v>
      </c>
      <c r="AZ1136" s="105" t="n">
        <v>0</v>
      </c>
      <c r="BA1136" s="105" t="n">
        <v>0</v>
      </c>
      <c r="BB1136" s="105" t="n">
        <v>0</v>
      </c>
      <c r="BC1136" s="105" t="n">
        <v>0</v>
      </c>
      <c r="BD1136" s="105" t="n">
        <v>0</v>
      </c>
      <c r="BE1136" s="105" t="n">
        <v>0</v>
      </c>
      <c r="BF1136" s="105" t="n">
        <v>0</v>
      </c>
      <c r="BG1136" s="105" t="n">
        <v>0</v>
      </c>
      <c r="BH1136" s="105" t="n">
        <v>0</v>
      </c>
      <c r="BI1136" s="105" t="n">
        <v>0</v>
      </c>
      <c r="BJ1136" s="105" t="n">
        <v>0</v>
      </c>
      <c r="BK1136" s="105" t="n">
        <v>0</v>
      </c>
      <c r="BL1136" s="105" t="n">
        <v>0</v>
      </c>
      <c r="BM1136" s="105" t="n">
        <v>0</v>
      </c>
      <c r="BN1136" s="105" t="n">
        <v>0</v>
      </c>
      <c r="BO1136" s="105" t="n">
        <v>0</v>
      </c>
      <c r="BP1136" s="105" t="n">
        <v>0</v>
      </c>
      <c r="BQ1136" s="105" t="n">
        <v>0</v>
      </c>
      <c r="BR1136" s="106" t="n">
        <v>0</v>
      </c>
      <c r="BS1136" s="106" t="n">
        <v>0</v>
      </c>
      <c r="BT1136" s="107"/>
      <c r="BU1136" s="107"/>
      <c r="BV1136" s="107"/>
      <c r="BW1136" s="107"/>
      <c r="BX1136" s="107"/>
      <c r="BY1136" s="107"/>
      <c r="BZ1136" s="107"/>
      <c r="CA1136" s="107"/>
      <c r="CB1136" s="107"/>
      <c r="CC1136" s="107"/>
      <c r="CD1136" s="107"/>
      <c r="CE1136" s="107"/>
      <c r="CF1136" s="107"/>
      <c r="CG1136" s="107"/>
      <c r="CH1136" s="107"/>
      <c r="CI1136" s="107"/>
      <c r="CJ1136" s="107"/>
      <c r="CK1136" s="107"/>
      <c r="CL1136" s="107"/>
      <c r="CM1136" s="107"/>
      <c r="CN1136" s="107"/>
      <c r="CO1136" s="107"/>
      <c r="CP1136" s="107"/>
      <c r="CQ1136" s="107"/>
      <c r="CR1136" s="107"/>
      <c r="CS1136" s="107"/>
      <c r="CT1136" s="107"/>
      <c r="CU1136" s="107"/>
      <c r="CV1136" s="107"/>
      <c r="CY1136" s="0" t="s">
        <v>1524</v>
      </c>
    </row>
    <row r="1137" customFormat="false" ht="14.9" hidden="false" customHeight="false" outlineLevel="0" collapsed="false">
      <c r="A1137" s="74" t="n">
        <f aca="false">MONTH(B1137)</f>
        <v>11</v>
      </c>
      <c r="B1137" s="135" t="n">
        <v>44502</v>
      </c>
      <c r="C1137" s="128" t="s">
        <v>51</v>
      </c>
      <c r="D1137" s="77" t="str">
        <f aca="false">IFERROR(VLOOKUP(E:E,'Item Data Support Sheet'!A:O,7,0),"")</f>
        <v>NIPPLE LASER MARKING</v>
      </c>
      <c r="E1137" s="80" t="s">
        <v>444</v>
      </c>
      <c r="F1137" s="122"/>
      <c r="G1137" s="137" t="s">
        <v>517</v>
      </c>
      <c r="H1137" s="79" t="str">
        <f aca="false">IFERROR(VLOOKUP(E:E,'Item Data Support Sheet'!A:O,2,0),"")</f>
        <v>NIPPLE S TYPE S SIZE PUNCHED LASER MARKED</v>
      </c>
      <c r="I1137" s="80" t="s">
        <v>1922</v>
      </c>
      <c r="J1137" s="80" t="s">
        <v>143</v>
      </c>
      <c r="K1137" s="124" t="n">
        <v>8</v>
      </c>
      <c r="L1137" s="124" t="n">
        <v>7000</v>
      </c>
      <c r="M1137" s="83" t="n">
        <v>875</v>
      </c>
      <c r="N1137" s="84" t="n">
        <f aca="false">+O1137+Q1137+T1137+U1137</f>
        <v>6500</v>
      </c>
      <c r="O1137" s="85" t="n">
        <v>6500</v>
      </c>
      <c r="P1137" s="86" t="n">
        <v>0</v>
      </c>
      <c r="Q1137" s="86" t="n">
        <v>0</v>
      </c>
      <c r="R1137" s="132" t="n">
        <v>0</v>
      </c>
      <c r="S1137" s="128" t="n">
        <v>0</v>
      </c>
      <c r="T1137" s="132" t="n">
        <v>0</v>
      </c>
      <c r="U1137" s="128" t="n">
        <v>0</v>
      </c>
      <c r="V1137" s="128" t="n">
        <v>1</v>
      </c>
      <c r="W1137" s="90" t="n">
        <f aca="false">IFERROR(O1137/V1137,0)</f>
        <v>6500</v>
      </c>
      <c r="X1137" s="91" t="n">
        <f aca="false">O1137/L1137</f>
        <v>0.928571428571429</v>
      </c>
      <c r="Y1137" s="92" t="str">
        <f aca="false">IFERROR(VLOOKUP(E:E,'Item Data Support Sheet'!A:J,6,0),0)</f>
        <v>FO019</v>
      </c>
      <c r="Z1137" s="93" t="n">
        <f aca="false">IFERROR(VLOOKUP(E:E,'Item Data Support Sheet'!A:O,4,0),0)</f>
        <v>0</v>
      </c>
      <c r="AA1137" s="93" t="n">
        <f aca="false">IFERROR(((N1137)*(Z1137/1000))+P1137,0)</f>
        <v>0</v>
      </c>
      <c r="AB1137" s="94" t="str">
        <f aca="false">IFERROR((O1137*(Z1137/1000)/(AA1137))," ")</f>
        <v> </v>
      </c>
      <c r="AC1137" s="95" t="n">
        <f aca="false">IFERROR((T1137)/((T1137)+O1137),0)</f>
        <v>0</v>
      </c>
      <c r="AD1137" s="96" t="n">
        <f aca="false">IFERROR(Q1137/(Q1137+N1137),0)</f>
        <v>0</v>
      </c>
      <c r="AE1137" s="91" t="n">
        <f aca="false">(N1137-T1137)/N1137</f>
        <v>1</v>
      </c>
      <c r="AF1137" s="97" t="n">
        <f aca="false">BR1137</f>
        <v>0</v>
      </c>
      <c r="AG1137" s="98" t="n">
        <f aca="false">K1137-AF1137</f>
        <v>8</v>
      </c>
      <c r="AH1137" s="99" t="n">
        <f aca="false">IFERROR(AG1137/K1137," ")</f>
        <v>1</v>
      </c>
      <c r="AI1137" s="100" t="n">
        <f aca="false">IFERROR(O1137/K1137,0)</f>
        <v>812.5</v>
      </c>
      <c r="AJ1137" s="101" t="n">
        <f aca="false">VLOOKUP(D1137,'Standard Cycle time'!C:D,2,0)</f>
        <v>3.5</v>
      </c>
      <c r="AK1137" s="101" t="n">
        <f aca="false">AG1137*V1137*3600/O1137</f>
        <v>4.43076923076923</v>
      </c>
      <c r="AL1137" s="102" t="n">
        <f aca="false">AJ1137/AK1137</f>
        <v>0.789930555555555</v>
      </c>
      <c r="AM1137" s="99" t="n">
        <f aca="false">AE1137*AL1137*AH1137</f>
        <v>0.789930555555555</v>
      </c>
      <c r="AN1137" s="103" t="n">
        <v>0.789930555555555</v>
      </c>
      <c r="AO1137" s="112" t="s">
        <v>1923</v>
      </c>
      <c r="AP1137" s="105" t="n">
        <v>0</v>
      </c>
      <c r="AQ1137" s="105" t="n">
        <v>0</v>
      </c>
      <c r="AR1137" s="105" t="n">
        <v>0</v>
      </c>
      <c r="AS1137" s="105" t="n">
        <v>0</v>
      </c>
      <c r="AT1137" s="105" t="n">
        <v>0</v>
      </c>
      <c r="AU1137" s="105" t="n">
        <v>0</v>
      </c>
      <c r="AV1137" s="105" t="n">
        <v>0</v>
      </c>
      <c r="AW1137" s="105" t="n">
        <v>0</v>
      </c>
      <c r="AX1137" s="105" t="n">
        <v>0</v>
      </c>
      <c r="AY1137" s="105" t="n">
        <v>0</v>
      </c>
      <c r="AZ1137" s="105" t="n">
        <v>0</v>
      </c>
      <c r="BA1137" s="105" t="n">
        <v>0</v>
      </c>
      <c r="BB1137" s="105" t="n">
        <v>0</v>
      </c>
      <c r="BC1137" s="105" t="n">
        <v>0</v>
      </c>
      <c r="BD1137" s="105" t="n">
        <v>0</v>
      </c>
      <c r="BE1137" s="105" t="n">
        <v>0</v>
      </c>
      <c r="BF1137" s="105" t="n">
        <v>0</v>
      </c>
      <c r="BG1137" s="105" t="n">
        <v>0</v>
      </c>
      <c r="BH1137" s="105" t="n">
        <v>0</v>
      </c>
      <c r="BI1137" s="105" t="n">
        <v>0</v>
      </c>
      <c r="BJ1137" s="105" t="n">
        <v>0</v>
      </c>
      <c r="BK1137" s="105" t="n">
        <v>0</v>
      </c>
      <c r="BL1137" s="105" t="n">
        <v>0</v>
      </c>
      <c r="BM1137" s="105" t="n">
        <v>0</v>
      </c>
      <c r="BN1137" s="105" t="n">
        <v>0</v>
      </c>
      <c r="BO1137" s="105" t="n">
        <v>0</v>
      </c>
      <c r="BP1137" s="105" t="n">
        <v>0</v>
      </c>
      <c r="BQ1137" s="105" t="n">
        <v>0</v>
      </c>
      <c r="BR1137" s="106" t="n">
        <v>0</v>
      </c>
      <c r="BS1137" s="106" t="n">
        <v>0</v>
      </c>
      <c r="BT1137" s="107"/>
      <c r="BU1137" s="107"/>
      <c r="BV1137" s="107"/>
      <c r="BW1137" s="107"/>
      <c r="BX1137" s="107"/>
      <c r="BY1137" s="107"/>
      <c r="BZ1137" s="107"/>
      <c r="CA1137" s="107"/>
      <c r="CB1137" s="107"/>
      <c r="CC1137" s="107"/>
      <c r="CD1137" s="107"/>
      <c r="CE1137" s="107"/>
      <c r="CF1137" s="107"/>
      <c r="CG1137" s="107"/>
      <c r="CH1137" s="107"/>
      <c r="CI1137" s="107"/>
      <c r="CJ1137" s="107"/>
      <c r="CK1137" s="107"/>
      <c r="CL1137" s="107"/>
      <c r="CM1137" s="107"/>
      <c r="CN1137" s="107"/>
      <c r="CO1137" s="107"/>
      <c r="CP1137" s="107"/>
      <c r="CQ1137" s="107"/>
      <c r="CR1137" s="107"/>
      <c r="CS1137" s="107"/>
      <c r="CT1137" s="107"/>
      <c r="CU1137" s="107"/>
      <c r="CV1137" s="107"/>
      <c r="CY1137" s="0" t="s">
        <v>1526</v>
      </c>
    </row>
    <row r="1138" customFormat="false" ht="14.9" hidden="false" customHeight="false" outlineLevel="0" collapsed="false">
      <c r="A1138" s="74" t="n">
        <f aca="false">MONTH(B1138)</f>
        <v>11</v>
      </c>
      <c r="B1138" s="135" t="n">
        <v>44502</v>
      </c>
      <c r="C1138" s="128" t="s">
        <v>63</v>
      </c>
      <c r="D1138" s="77" t="str">
        <f aca="false">IFERROR(VLOOKUP(E:E,'Item Data Support Sheet'!A:O,7,0),"")</f>
        <v>NIPPLE PUNCH INSPECTED</v>
      </c>
      <c r="E1138" s="80" t="s">
        <v>297</v>
      </c>
      <c r="F1138" s="122"/>
      <c r="G1138" s="137"/>
      <c r="H1138" s="79" t="str">
        <f aca="false">IFERROR(VLOOKUP(E:E,'Item Data Support Sheet'!A:O,2,0),"")</f>
        <v>NIPPLE S TYPE S SIZE PUNCHED INSPECTED</v>
      </c>
      <c r="I1138" s="80" t="s">
        <v>1924</v>
      </c>
      <c r="J1138" s="80" t="s">
        <v>155</v>
      </c>
      <c r="K1138" s="124" t="n">
        <v>8</v>
      </c>
      <c r="L1138" s="124" t="n">
        <v>14000</v>
      </c>
      <c r="M1138" s="83" t="n">
        <v>1750</v>
      </c>
      <c r="N1138" s="84" t="n">
        <f aca="false">+O1138+Q1138+T1138+U1138</f>
        <v>12230</v>
      </c>
      <c r="O1138" s="85" t="n">
        <v>12188</v>
      </c>
      <c r="P1138" s="86" t="n">
        <v>0</v>
      </c>
      <c r="Q1138" s="86" t="n">
        <v>0</v>
      </c>
      <c r="R1138" s="132" t="n">
        <v>0</v>
      </c>
      <c r="S1138" s="128" t="n">
        <v>0</v>
      </c>
      <c r="T1138" s="132" t="n">
        <v>42</v>
      </c>
      <c r="U1138" s="128" t="n">
        <v>0</v>
      </c>
      <c r="V1138" s="128" t="n">
        <v>2</v>
      </c>
      <c r="W1138" s="90" t="n">
        <f aca="false">IFERROR(O1138/V1138,0)</f>
        <v>6094</v>
      </c>
      <c r="X1138" s="91" t="n">
        <f aca="false">O1138/L1138</f>
        <v>0.870571428571428</v>
      </c>
      <c r="Y1138" s="92" t="str">
        <f aca="false">IFERROR(VLOOKUP(E:E,'Item Data Support Sheet'!A:J,6,0),0)</f>
        <v>FO104</v>
      </c>
      <c r="Z1138" s="93" t="n">
        <f aca="false">IFERROR(VLOOKUP(E:E,'Item Data Support Sheet'!A:O,4,0),0)</f>
        <v>0</v>
      </c>
      <c r="AA1138" s="93" t="n">
        <f aca="false">IFERROR(((N1138)*(Z1138/1000))+P1138,0)</f>
        <v>0</v>
      </c>
      <c r="AB1138" s="94" t="str">
        <f aca="false">IFERROR((O1138*(Z1138/1000)/(AA1138))," ")</f>
        <v> </v>
      </c>
      <c r="AC1138" s="95" t="n">
        <f aca="false">IFERROR((T1138)/((T1138)+O1138),0)</f>
        <v>0.00343417825020442</v>
      </c>
      <c r="AD1138" s="96" t="n">
        <f aca="false">IFERROR(Q1138/(Q1138+N1138),0)</f>
        <v>0</v>
      </c>
      <c r="AE1138" s="91" t="n">
        <f aca="false">(N1138-T1138)/N1138</f>
        <v>0.996565821749796</v>
      </c>
      <c r="AF1138" s="97" t="n">
        <f aca="false">BR1138</f>
        <v>0.833333333333333</v>
      </c>
      <c r="AG1138" s="98" t="n">
        <f aca="false">K1138-AF1138</f>
        <v>7.16666666666667</v>
      </c>
      <c r="AH1138" s="99" t="n">
        <f aca="false">IFERROR(AG1138/K1138," ")</f>
        <v>0.895833333333333</v>
      </c>
      <c r="AI1138" s="100" t="n">
        <f aca="false">IFERROR(O1138/K1138,0)</f>
        <v>1523.5</v>
      </c>
      <c r="AJ1138" s="101" t="n">
        <f aca="false">VLOOKUP(D1138,'Standard Cycle time'!C:D,2,0)</f>
        <v>4</v>
      </c>
      <c r="AK1138" s="101" t="n">
        <f aca="false">AG1138*V1138*3600/O1138</f>
        <v>4.2336724647194</v>
      </c>
      <c r="AL1138" s="102" t="n">
        <f aca="false">AJ1138/AK1138</f>
        <v>0.944806201550388</v>
      </c>
      <c r="AM1138" s="99" t="n">
        <f aca="false">AE1138*AL1138*AH1138</f>
        <v>0.843482238575452</v>
      </c>
      <c r="AN1138" s="103" t="n">
        <v>0.843482238575452</v>
      </c>
      <c r="AO1138" s="112"/>
      <c r="AP1138" s="105" t="n">
        <v>50</v>
      </c>
      <c r="AQ1138" s="105" t="n">
        <v>0</v>
      </c>
      <c r="AR1138" s="105" t="n">
        <v>0</v>
      </c>
      <c r="AS1138" s="105" t="n">
        <v>0</v>
      </c>
      <c r="AT1138" s="105" t="n">
        <v>0</v>
      </c>
      <c r="AU1138" s="105" t="n">
        <v>0</v>
      </c>
      <c r="AV1138" s="105" t="n">
        <v>0</v>
      </c>
      <c r="AW1138" s="105" t="n">
        <v>0</v>
      </c>
      <c r="AX1138" s="105" t="n">
        <v>0</v>
      </c>
      <c r="AY1138" s="105" t="n">
        <v>0</v>
      </c>
      <c r="AZ1138" s="105" t="n">
        <v>0</v>
      </c>
      <c r="BA1138" s="105" t="n">
        <v>0</v>
      </c>
      <c r="BB1138" s="105" t="n">
        <v>0</v>
      </c>
      <c r="BC1138" s="105" t="n">
        <v>0</v>
      </c>
      <c r="BD1138" s="105" t="n">
        <v>0</v>
      </c>
      <c r="BE1138" s="105" t="n">
        <v>0</v>
      </c>
      <c r="BF1138" s="105" t="n">
        <v>0</v>
      </c>
      <c r="BG1138" s="105" t="n">
        <v>0</v>
      </c>
      <c r="BH1138" s="105" t="n">
        <v>0</v>
      </c>
      <c r="BI1138" s="105" t="n">
        <v>0</v>
      </c>
      <c r="BJ1138" s="105" t="n">
        <v>0</v>
      </c>
      <c r="BK1138" s="105" t="n">
        <v>0</v>
      </c>
      <c r="BL1138" s="105" t="n">
        <v>0</v>
      </c>
      <c r="BM1138" s="105" t="n">
        <v>0</v>
      </c>
      <c r="BN1138" s="105" t="n">
        <v>0</v>
      </c>
      <c r="BO1138" s="105" t="n">
        <v>0</v>
      </c>
      <c r="BP1138" s="105" t="n">
        <v>0</v>
      </c>
      <c r="BQ1138" s="105" t="n">
        <v>0</v>
      </c>
      <c r="BR1138" s="106" t="n">
        <v>0.833333333333333</v>
      </c>
      <c r="BS1138" s="106" t="n">
        <v>0.833333333333333</v>
      </c>
      <c r="BT1138" s="107"/>
      <c r="BU1138" s="107"/>
      <c r="BV1138" s="107"/>
      <c r="BW1138" s="107"/>
      <c r="BX1138" s="107"/>
      <c r="BY1138" s="107"/>
      <c r="BZ1138" s="107"/>
      <c r="CA1138" s="107"/>
      <c r="CB1138" s="107"/>
      <c r="CC1138" s="107"/>
      <c r="CD1138" s="107"/>
      <c r="CE1138" s="107"/>
      <c r="CF1138" s="107"/>
      <c r="CG1138" s="107"/>
      <c r="CH1138" s="107"/>
      <c r="CI1138" s="107"/>
      <c r="CJ1138" s="107"/>
      <c r="CK1138" s="107"/>
      <c r="CL1138" s="107"/>
      <c r="CM1138" s="107"/>
      <c r="CN1138" s="107"/>
      <c r="CO1138" s="107"/>
      <c r="CP1138" s="107"/>
      <c r="CQ1138" s="107"/>
      <c r="CR1138" s="107"/>
      <c r="CS1138" s="107"/>
      <c r="CT1138" s="107"/>
      <c r="CU1138" s="107"/>
      <c r="CV1138" s="107"/>
      <c r="CY1138" s="0" t="s">
        <v>1529</v>
      </c>
    </row>
    <row r="1139" customFormat="false" ht="14.9" hidden="false" customHeight="false" outlineLevel="0" collapsed="false">
      <c r="A1139" s="74" t="n">
        <f aca="false">MONTH(B1139)</f>
        <v>11</v>
      </c>
      <c r="B1139" s="135" t="n">
        <v>44502</v>
      </c>
      <c r="C1139" s="128" t="s">
        <v>70</v>
      </c>
      <c r="D1139" s="77" t="str">
        <f aca="false">IFERROR(VLOOKUP(E:E,'Item Data Support Sheet'!A:O,7,0),"")</f>
        <v>NIPPLE PUNCH</v>
      </c>
      <c r="E1139" s="80" t="s">
        <v>53</v>
      </c>
      <c r="F1139" s="122"/>
      <c r="G1139" s="137" t="s">
        <v>54</v>
      </c>
      <c r="H1139" s="79" t="str">
        <f aca="false">IFERROR(VLOOKUP(E:E,'Item Data Support Sheet'!A:O,2,0),"")</f>
        <v>NIPPLE S TYPE S SIZE PUNCHED</v>
      </c>
      <c r="I1139" s="80" t="s">
        <v>1925</v>
      </c>
      <c r="J1139" s="80" t="s">
        <v>155</v>
      </c>
      <c r="K1139" s="124" t="n">
        <v>8</v>
      </c>
      <c r="L1139" s="124" t="n">
        <v>7000</v>
      </c>
      <c r="M1139" s="83" t="n">
        <v>875</v>
      </c>
      <c r="N1139" s="84" t="n">
        <f aca="false">+O1139+Q1139+T1139+U1139</f>
        <v>7300</v>
      </c>
      <c r="O1139" s="85" t="n">
        <v>7300</v>
      </c>
      <c r="P1139" s="86" t="n">
        <v>0</v>
      </c>
      <c r="Q1139" s="86" t="n">
        <v>0</v>
      </c>
      <c r="R1139" s="132" t="n">
        <v>0</v>
      </c>
      <c r="S1139" s="128" t="n">
        <v>0</v>
      </c>
      <c r="T1139" s="132" t="n">
        <v>0</v>
      </c>
      <c r="U1139" s="128" t="n">
        <v>0</v>
      </c>
      <c r="V1139" s="128" t="n">
        <v>1</v>
      </c>
      <c r="W1139" s="90" t="n">
        <f aca="false">IFERROR(O1139/V1139,0)</f>
        <v>7300</v>
      </c>
      <c r="X1139" s="91" t="n">
        <f aca="false">O1139/L1139</f>
        <v>1.04285714285714</v>
      </c>
      <c r="Y1139" s="92" t="str">
        <f aca="false">IFERROR(VLOOKUP(E:E,'Item Data Support Sheet'!A:J,6,0),0)</f>
        <v>FO015</v>
      </c>
      <c r="Z1139" s="93" t="n">
        <f aca="false">IFERROR(VLOOKUP(E:E,'Item Data Support Sheet'!A:O,4,0),0)</f>
        <v>0</v>
      </c>
      <c r="AA1139" s="93" t="n">
        <f aca="false">IFERROR(((N1139)*(Z1139/1000))+P1139,0)</f>
        <v>0</v>
      </c>
      <c r="AB1139" s="94" t="str">
        <f aca="false">IFERROR((O1139*(Z1139/1000)/(AA1139))," ")</f>
        <v> </v>
      </c>
      <c r="AC1139" s="95" t="n">
        <f aca="false">IFERROR((T1139)/((T1139)+O1139),0)</f>
        <v>0</v>
      </c>
      <c r="AD1139" s="96" t="n">
        <f aca="false">IFERROR(Q1139/(Q1139+N1139),0)</f>
        <v>0</v>
      </c>
      <c r="AE1139" s="91" t="n">
        <f aca="false">(N1139-T1139)/N1139</f>
        <v>1</v>
      </c>
      <c r="AF1139" s="97" t="n">
        <f aca="false">BR1139</f>
        <v>0.666666666666667</v>
      </c>
      <c r="AG1139" s="98" t="n">
        <f aca="false">K1139-AF1139</f>
        <v>7.33333333333333</v>
      </c>
      <c r="AH1139" s="99" t="n">
        <f aca="false">IFERROR(AG1139/K1139," ")</f>
        <v>0.916666666666667</v>
      </c>
      <c r="AI1139" s="100" t="n">
        <f aca="false">IFERROR(O1139/K1139,0)</f>
        <v>912.5</v>
      </c>
      <c r="AJ1139" s="101" t="n">
        <f aca="false">VLOOKUP(D1139,'Standard Cycle time'!C:D,2,0)</f>
        <v>3.5</v>
      </c>
      <c r="AK1139" s="101" t="n">
        <f aca="false">AG1139*V1139*3600/O1139</f>
        <v>3.61643835616438</v>
      </c>
      <c r="AL1139" s="102" t="n">
        <f aca="false">AJ1139/AK1139</f>
        <v>0.96780303030303</v>
      </c>
      <c r="AM1139" s="99" t="n">
        <f aca="false">AE1139*AL1139*AH1139</f>
        <v>0.887152777777778</v>
      </c>
      <c r="AN1139" s="103" t="n">
        <v>0.887152777777778</v>
      </c>
      <c r="AO1139" s="112"/>
      <c r="AP1139" s="105" t="n">
        <v>40</v>
      </c>
      <c r="AQ1139" s="105" t="n">
        <v>0</v>
      </c>
      <c r="AR1139" s="105" t="n">
        <v>0</v>
      </c>
      <c r="AS1139" s="105" t="n">
        <v>0</v>
      </c>
      <c r="AT1139" s="105" t="n">
        <v>0</v>
      </c>
      <c r="AU1139" s="105" t="n">
        <v>0</v>
      </c>
      <c r="AV1139" s="105" t="n">
        <v>0</v>
      </c>
      <c r="AW1139" s="105" t="n">
        <v>0</v>
      </c>
      <c r="AX1139" s="105" t="n">
        <v>0</v>
      </c>
      <c r="AY1139" s="105" t="n">
        <v>0</v>
      </c>
      <c r="AZ1139" s="105" t="n">
        <v>0</v>
      </c>
      <c r="BA1139" s="105" t="n">
        <v>0</v>
      </c>
      <c r="BB1139" s="105" t="n">
        <v>0</v>
      </c>
      <c r="BC1139" s="105" t="n">
        <v>0</v>
      </c>
      <c r="BD1139" s="105" t="n">
        <v>0</v>
      </c>
      <c r="BE1139" s="105" t="n">
        <v>0</v>
      </c>
      <c r="BF1139" s="105" t="n">
        <v>0</v>
      </c>
      <c r="BG1139" s="105" t="n">
        <v>0</v>
      </c>
      <c r="BH1139" s="105" t="n">
        <v>0</v>
      </c>
      <c r="BI1139" s="105" t="n">
        <v>0</v>
      </c>
      <c r="BJ1139" s="105" t="n">
        <v>0</v>
      </c>
      <c r="BK1139" s="105" t="n">
        <v>0</v>
      </c>
      <c r="BL1139" s="105" t="n">
        <v>0</v>
      </c>
      <c r="BM1139" s="105" t="n">
        <v>0</v>
      </c>
      <c r="BN1139" s="105" t="n">
        <v>0</v>
      </c>
      <c r="BO1139" s="105" t="n">
        <v>0</v>
      </c>
      <c r="BP1139" s="105" t="n">
        <v>0</v>
      </c>
      <c r="BQ1139" s="105" t="n">
        <v>0</v>
      </c>
      <c r="BR1139" s="106" t="n">
        <v>0.666666666666667</v>
      </c>
      <c r="BS1139" s="106" t="n">
        <v>0.666666666666667</v>
      </c>
      <c r="BT1139" s="107"/>
      <c r="BU1139" s="107"/>
      <c r="BV1139" s="107"/>
      <c r="BW1139" s="107"/>
      <c r="BX1139" s="107"/>
      <c r="BY1139" s="107"/>
      <c r="BZ1139" s="107"/>
      <c r="CA1139" s="107"/>
      <c r="CB1139" s="107"/>
      <c r="CC1139" s="107"/>
      <c r="CD1139" s="107"/>
      <c r="CE1139" s="107"/>
      <c r="CF1139" s="107"/>
      <c r="CG1139" s="107"/>
      <c r="CH1139" s="107"/>
      <c r="CI1139" s="107"/>
      <c r="CJ1139" s="107"/>
      <c r="CK1139" s="107"/>
      <c r="CL1139" s="107"/>
      <c r="CM1139" s="107"/>
      <c r="CN1139" s="107"/>
      <c r="CO1139" s="107"/>
      <c r="CP1139" s="107"/>
      <c r="CQ1139" s="107"/>
      <c r="CR1139" s="107"/>
      <c r="CS1139" s="107"/>
      <c r="CT1139" s="107"/>
      <c r="CU1139" s="107"/>
      <c r="CV1139" s="107"/>
      <c r="CY1139" s="0" t="s">
        <v>1531</v>
      </c>
    </row>
    <row r="1140" customFormat="false" ht="14.9" hidden="false" customHeight="false" outlineLevel="0" collapsed="false">
      <c r="A1140" s="74" t="n">
        <f aca="false">MONTH(B1140)</f>
        <v>11</v>
      </c>
      <c r="B1140" s="135" t="n">
        <v>44502</v>
      </c>
      <c r="C1140" s="128" t="s">
        <v>70</v>
      </c>
      <c r="D1140" s="77" t="str">
        <f aca="false">IFERROR(VLOOKUP(E:E,'Item Data Support Sheet'!A:O,7,0),"")</f>
        <v>NIPPLE LASER MARKING</v>
      </c>
      <c r="E1140" s="80" t="s">
        <v>444</v>
      </c>
      <c r="F1140" s="122"/>
      <c r="G1140" s="137" t="s">
        <v>517</v>
      </c>
      <c r="H1140" s="79" t="str">
        <f aca="false">IFERROR(VLOOKUP(E:E,'Item Data Support Sheet'!A:O,2,0),"")</f>
        <v>NIPPLE S TYPE S SIZE PUNCHED LASER MARKED</v>
      </c>
      <c r="I1140" s="80" t="s">
        <v>1926</v>
      </c>
      <c r="J1140" s="80" t="s">
        <v>155</v>
      </c>
      <c r="K1140" s="124" t="n">
        <v>8</v>
      </c>
      <c r="L1140" s="124" t="n">
        <v>7000</v>
      </c>
      <c r="M1140" s="83" t="n">
        <v>875</v>
      </c>
      <c r="N1140" s="84" t="n">
        <f aca="false">+O1140+Q1140+T1140+U1140</f>
        <v>7370</v>
      </c>
      <c r="O1140" s="85" t="n">
        <v>7370</v>
      </c>
      <c r="P1140" s="86" t="n">
        <v>0</v>
      </c>
      <c r="Q1140" s="86" t="n">
        <v>0</v>
      </c>
      <c r="R1140" s="132" t="n">
        <v>0</v>
      </c>
      <c r="S1140" s="128" t="n">
        <v>0</v>
      </c>
      <c r="T1140" s="132" t="n">
        <v>0</v>
      </c>
      <c r="U1140" s="128" t="n">
        <v>0</v>
      </c>
      <c r="V1140" s="128" t="n">
        <v>1</v>
      </c>
      <c r="W1140" s="90" t="n">
        <f aca="false">IFERROR(O1140/V1140,0)</f>
        <v>7370</v>
      </c>
      <c r="X1140" s="91" t="n">
        <f aca="false">O1140/L1140</f>
        <v>1.05285714285714</v>
      </c>
      <c r="Y1140" s="92" t="str">
        <f aca="false">IFERROR(VLOOKUP(E:E,'Item Data Support Sheet'!A:J,6,0),0)</f>
        <v>FO019</v>
      </c>
      <c r="Z1140" s="93" t="n">
        <f aca="false">IFERROR(VLOOKUP(E:E,'Item Data Support Sheet'!A:O,4,0),0)</f>
        <v>0</v>
      </c>
      <c r="AA1140" s="93" t="n">
        <f aca="false">IFERROR(((N1140)*(Z1140/1000))+P1140,0)</f>
        <v>0</v>
      </c>
      <c r="AB1140" s="94" t="str">
        <f aca="false">IFERROR((O1140*(Z1140/1000)/(AA1140))," ")</f>
        <v> </v>
      </c>
      <c r="AC1140" s="95" t="n">
        <f aca="false">IFERROR((T1140)/((T1140)+O1140),0)</f>
        <v>0</v>
      </c>
      <c r="AD1140" s="96" t="n">
        <f aca="false">IFERROR(Q1140/(Q1140+N1140),0)</f>
        <v>0</v>
      </c>
      <c r="AE1140" s="91" t="n">
        <f aca="false">(N1140-T1140)/N1140</f>
        <v>1</v>
      </c>
      <c r="AF1140" s="97" t="n">
        <f aca="false">BR1140</f>
        <v>0.666666666666667</v>
      </c>
      <c r="AG1140" s="98" t="n">
        <f aca="false">K1140-AF1140</f>
        <v>7.33333333333333</v>
      </c>
      <c r="AH1140" s="99" t="n">
        <f aca="false">IFERROR(AG1140/K1140," ")</f>
        <v>0.916666666666667</v>
      </c>
      <c r="AI1140" s="100" t="n">
        <f aca="false">IFERROR(O1140/K1140,0)</f>
        <v>921.25</v>
      </c>
      <c r="AJ1140" s="101" t="n">
        <f aca="false">VLOOKUP(D1140,'Standard Cycle time'!C:D,2,0)</f>
        <v>3.5</v>
      </c>
      <c r="AK1140" s="101" t="n">
        <f aca="false">AG1140*V1140*3600/O1140</f>
        <v>3.58208955223881</v>
      </c>
      <c r="AL1140" s="102" t="n">
        <f aca="false">AJ1140/AK1140</f>
        <v>0.977083333333333</v>
      </c>
      <c r="AM1140" s="99" t="n">
        <f aca="false">AE1140*AL1140*AH1140</f>
        <v>0.895659722222222</v>
      </c>
      <c r="AN1140" s="103" t="n">
        <v>0.895659722222222</v>
      </c>
      <c r="AO1140" s="112"/>
      <c r="AP1140" s="105" t="n">
        <v>40</v>
      </c>
      <c r="AQ1140" s="105" t="n">
        <v>0</v>
      </c>
      <c r="AR1140" s="105" t="n">
        <v>0</v>
      </c>
      <c r="AS1140" s="105" t="n">
        <v>0</v>
      </c>
      <c r="AT1140" s="105" t="n">
        <v>0</v>
      </c>
      <c r="AU1140" s="105" t="n">
        <v>0</v>
      </c>
      <c r="AV1140" s="105" t="n">
        <v>0</v>
      </c>
      <c r="AW1140" s="105" t="n">
        <v>0</v>
      </c>
      <c r="AX1140" s="105" t="n">
        <v>0</v>
      </c>
      <c r="AY1140" s="105" t="n">
        <v>0</v>
      </c>
      <c r="AZ1140" s="105" t="n">
        <v>0</v>
      </c>
      <c r="BA1140" s="105" t="n">
        <v>0</v>
      </c>
      <c r="BB1140" s="105" t="n">
        <v>0</v>
      </c>
      <c r="BC1140" s="105" t="n">
        <v>0</v>
      </c>
      <c r="BD1140" s="105" t="n">
        <v>0</v>
      </c>
      <c r="BE1140" s="105" t="n">
        <v>0</v>
      </c>
      <c r="BF1140" s="105" t="n">
        <v>0</v>
      </c>
      <c r="BG1140" s="105" t="n">
        <v>0</v>
      </c>
      <c r="BH1140" s="105" t="n">
        <v>0</v>
      </c>
      <c r="BI1140" s="105" t="n">
        <v>0</v>
      </c>
      <c r="BJ1140" s="105" t="n">
        <v>0</v>
      </c>
      <c r="BK1140" s="105" t="n">
        <v>0</v>
      </c>
      <c r="BL1140" s="105" t="n">
        <v>0</v>
      </c>
      <c r="BM1140" s="105" t="n">
        <v>0</v>
      </c>
      <c r="BN1140" s="105" t="n">
        <v>0</v>
      </c>
      <c r="BO1140" s="105" t="n">
        <v>0</v>
      </c>
      <c r="BP1140" s="105" t="n">
        <v>0</v>
      </c>
      <c r="BQ1140" s="105" t="n">
        <v>0</v>
      </c>
      <c r="BR1140" s="106" t="n">
        <v>0.666666666666667</v>
      </c>
      <c r="BS1140" s="106" t="n">
        <v>0.666666666666667</v>
      </c>
      <c r="BT1140" s="107"/>
      <c r="BU1140" s="107"/>
      <c r="BV1140" s="107"/>
      <c r="BW1140" s="107"/>
      <c r="BX1140" s="107"/>
      <c r="BY1140" s="107"/>
      <c r="BZ1140" s="107"/>
      <c r="CA1140" s="107"/>
      <c r="CB1140" s="107"/>
      <c r="CC1140" s="107"/>
      <c r="CD1140" s="107"/>
      <c r="CE1140" s="107"/>
      <c r="CF1140" s="107"/>
      <c r="CG1140" s="107"/>
      <c r="CH1140" s="107"/>
      <c r="CI1140" s="107"/>
      <c r="CJ1140" s="107"/>
      <c r="CK1140" s="107"/>
      <c r="CL1140" s="107"/>
      <c r="CM1140" s="107"/>
      <c r="CN1140" s="107"/>
      <c r="CO1140" s="107"/>
      <c r="CP1140" s="107"/>
      <c r="CQ1140" s="107"/>
      <c r="CR1140" s="107"/>
      <c r="CS1140" s="107"/>
      <c r="CT1140" s="107"/>
      <c r="CU1140" s="107"/>
      <c r="CV1140" s="107"/>
      <c r="CY1140" s="0" t="s">
        <v>1533</v>
      </c>
    </row>
    <row r="1141" customFormat="false" ht="14.9" hidden="false" customHeight="false" outlineLevel="0" collapsed="false">
      <c r="A1141" s="74" t="n">
        <f aca="false">MONTH(B1141)</f>
        <v>11</v>
      </c>
      <c r="B1141" s="135" t="n">
        <v>44502</v>
      </c>
      <c r="C1141" s="128" t="s">
        <v>70</v>
      </c>
      <c r="D1141" s="77" t="str">
        <f aca="false">IFERROR(VLOOKUP(E:E,'Item Data Support Sheet'!A:O,7,0),"")</f>
        <v>HOOD MOLDED</v>
      </c>
      <c r="E1141" s="80" t="s">
        <v>529</v>
      </c>
      <c r="F1141" s="122"/>
      <c r="G1141" s="137" t="s">
        <v>740</v>
      </c>
      <c r="H1141" s="79" t="str">
        <f aca="false">IFERROR(VLOOKUP(E:E,'Item Data Support Sheet'!A:O,2,0),"")</f>
        <v>HOOD S TYPE MOLDED</v>
      </c>
      <c r="I1141" s="80" t="s">
        <v>1927</v>
      </c>
      <c r="J1141" s="80" t="s">
        <v>155</v>
      </c>
      <c r="K1141" s="124" t="n">
        <v>8</v>
      </c>
      <c r="L1141" s="124" t="n">
        <v>4137</v>
      </c>
      <c r="M1141" s="83" t="n">
        <v>517.125</v>
      </c>
      <c r="N1141" s="84" t="n">
        <f aca="false">+O1141+Q1141+T1141+U1141</f>
        <v>4740</v>
      </c>
      <c r="O1141" s="85" t="n">
        <v>4700</v>
      </c>
      <c r="P1141" s="86" t="n">
        <v>0</v>
      </c>
      <c r="Q1141" s="86" t="n">
        <v>32</v>
      </c>
      <c r="R1141" s="132" t="n">
        <v>0</v>
      </c>
      <c r="S1141" s="128" t="n">
        <v>0</v>
      </c>
      <c r="T1141" s="132" t="n">
        <v>8</v>
      </c>
      <c r="U1141" s="128" t="n">
        <v>0</v>
      </c>
      <c r="V1141" s="128" t="n">
        <v>1</v>
      </c>
      <c r="W1141" s="90" t="n">
        <f aca="false">IFERROR(O1141/V1141,0)</f>
        <v>4700</v>
      </c>
      <c r="X1141" s="91" t="n">
        <f aca="false">O1141/L1141</f>
        <v>1.13608895334784</v>
      </c>
      <c r="Y1141" s="92" t="str">
        <f aca="false">IFERROR(VLOOKUP(E:E,'Item Data Support Sheet'!A:J,6,0),0)</f>
        <v>HMC</v>
      </c>
      <c r="Z1141" s="93" t="n">
        <f aca="false">IFERROR(VLOOKUP(E:E,'Item Data Support Sheet'!A:O,4,0),0)</f>
        <v>8.6</v>
      </c>
      <c r="AA1141" s="93" t="n">
        <f aca="false">IFERROR(((N1141)*(Z1141/1000))+P1141,0)</f>
        <v>40.764</v>
      </c>
      <c r="AB1141" s="94" t="n">
        <f aca="false">IFERROR((O1141*(Z1141/1000)/(AA1141))," ")</f>
        <v>0.991561181434599</v>
      </c>
      <c r="AC1141" s="95" t="n">
        <f aca="false">IFERROR((T1141)/((T1141)+O1141),0)</f>
        <v>0.00169923534409516</v>
      </c>
      <c r="AD1141" s="96" t="n">
        <f aca="false">IFERROR(Q1141/(Q1141+N1141),0)</f>
        <v>0.00670578373847443</v>
      </c>
      <c r="AE1141" s="91" t="n">
        <f aca="false">(N1141-T1141)/N1141</f>
        <v>0.99831223628692</v>
      </c>
      <c r="AF1141" s="97" t="n">
        <f aca="false">BR1141</f>
        <v>0</v>
      </c>
      <c r="AG1141" s="98" t="n">
        <f aca="false">K1141-AF1141</f>
        <v>8</v>
      </c>
      <c r="AH1141" s="99" t="n">
        <f aca="false">IFERROR(AG1141/K1141," ")</f>
        <v>1</v>
      </c>
      <c r="AI1141" s="100" t="n">
        <f aca="false">IFERROR(O1141/K1141,0)</f>
        <v>587.5</v>
      </c>
      <c r="AJ1141" s="101" t="n">
        <f aca="false">VLOOKUP(D1141,'Standard Cycle time'!C:D,2,0)</f>
        <v>6</v>
      </c>
      <c r="AK1141" s="101" t="n">
        <f aca="false">AG1141*V1141*3600/O1141</f>
        <v>6.12765957446809</v>
      </c>
      <c r="AL1141" s="102" t="n">
        <f aca="false">AJ1141/AK1141</f>
        <v>0.979166666666667</v>
      </c>
      <c r="AM1141" s="99" t="n">
        <f aca="false">AE1141*AL1141*AH1141</f>
        <v>0.977514064697609</v>
      </c>
      <c r="AN1141" s="103" t="n">
        <v>0.977514064697609</v>
      </c>
      <c r="AO1141" s="112"/>
      <c r="AP1141" s="105" t="n">
        <v>0</v>
      </c>
      <c r="AQ1141" s="105" t="n">
        <v>0</v>
      </c>
      <c r="AR1141" s="105" t="n">
        <v>0</v>
      </c>
      <c r="AS1141" s="105" t="n">
        <v>0</v>
      </c>
      <c r="AT1141" s="105" t="n">
        <v>0</v>
      </c>
      <c r="AU1141" s="105" t="n">
        <v>0</v>
      </c>
      <c r="AV1141" s="105" t="n">
        <v>0</v>
      </c>
      <c r="AW1141" s="105" t="n">
        <v>0</v>
      </c>
      <c r="AX1141" s="105" t="n">
        <v>0</v>
      </c>
      <c r="AY1141" s="105" t="n">
        <v>0</v>
      </c>
      <c r="AZ1141" s="105" t="n">
        <v>0</v>
      </c>
      <c r="BA1141" s="105" t="n">
        <v>0</v>
      </c>
      <c r="BB1141" s="105" t="n">
        <v>0</v>
      </c>
      <c r="BC1141" s="105" t="n">
        <v>0</v>
      </c>
      <c r="BD1141" s="105" t="n">
        <v>0</v>
      </c>
      <c r="BE1141" s="105" t="n">
        <v>0</v>
      </c>
      <c r="BF1141" s="105" t="n">
        <v>0</v>
      </c>
      <c r="BG1141" s="105" t="n">
        <v>0</v>
      </c>
      <c r="BH1141" s="105" t="n">
        <v>0</v>
      </c>
      <c r="BI1141" s="105" t="n">
        <v>0</v>
      </c>
      <c r="BJ1141" s="105" t="n">
        <v>0</v>
      </c>
      <c r="BK1141" s="105" t="n">
        <v>0</v>
      </c>
      <c r="BL1141" s="105" t="n">
        <v>0</v>
      </c>
      <c r="BM1141" s="105" t="n">
        <v>0</v>
      </c>
      <c r="BN1141" s="105" t="n">
        <v>0</v>
      </c>
      <c r="BO1141" s="105" t="n">
        <v>0</v>
      </c>
      <c r="BP1141" s="105" t="n">
        <v>0</v>
      </c>
      <c r="BQ1141" s="105" t="n">
        <v>0</v>
      </c>
      <c r="BR1141" s="106" t="n">
        <v>0</v>
      </c>
      <c r="BS1141" s="106" t="n">
        <v>0</v>
      </c>
      <c r="BT1141" s="107"/>
      <c r="BU1141" s="107"/>
      <c r="BV1141" s="107"/>
      <c r="BW1141" s="107"/>
      <c r="BX1141" s="107"/>
      <c r="BY1141" s="107"/>
      <c r="BZ1141" s="107"/>
      <c r="CA1141" s="107"/>
      <c r="CB1141" s="107"/>
      <c r="CC1141" s="107"/>
      <c r="CD1141" s="107"/>
      <c r="CE1141" s="107"/>
      <c r="CF1141" s="107"/>
      <c r="CG1141" s="107"/>
      <c r="CH1141" s="107"/>
      <c r="CI1141" s="107"/>
      <c r="CJ1141" s="107"/>
      <c r="CK1141" s="107"/>
      <c r="CL1141" s="107"/>
      <c r="CM1141" s="107"/>
      <c r="CN1141" s="107"/>
      <c r="CO1141" s="107"/>
      <c r="CP1141" s="107"/>
      <c r="CQ1141" s="107"/>
      <c r="CR1141" s="107"/>
      <c r="CS1141" s="107"/>
      <c r="CT1141" s="107"/>
      <c r="CU1141" s="107"/>
      <c r="CV1141" s="107"/>
      <c r="CY1141" s="0" t="s">
        <v>1535</v>
      </c>
    </row>
    <row r="1142" customFormat="false" ht="14.9" hidden="false" customHeight="false" outlineLevel="0" collapsed="false">
      <c r="A1142" s="74" t="n">
        <f aca="false">MONTH(B1142)</f>
        <v>11</v>
      </c>
      <c r="B1142" s="135" t="n">
        <v>44502</v>
      </c>
      <c r="C1142" s="128" t="s">
        <v>70</v>
      </c>
      <c r="D1142" s="77" t="str">
        <f aca="false">IFERROR(VLOOKUP(E:E,'Item Data Support Sheet'!A:O,7,0),"")</f>
        <v>BOTTLE MOLDED</v>
      </c>
      <c r="E1142" s="80" t="s">
        <v>69</v>
      </c>
      <c r="F1142" s="122" t="s">
        <v>73</v>
      </c>
      <c r="G1142" s="137" t="s">
        <v>74</v>
      </c>
      <c r="H1142" s="79" t="str">
        <f aca="false">IFERROR(VLOOKUP(E:E,'Item Data Support Sheet'!A:O,2,0),"")</f>
        <v>KPP 240 ML BOTTLE MOLDED</v>
      </c>
      <c r="I1142" s="80" t="s">
        <v>1928</v>
      </c>
      <c r="J1142" s="80" t="s">
        <v>155</v>
      </c>
      <c r="K1142" s="124" t="n">
        <v>8</v>
      </c>
      <c r="L1142" s="124" t="n">
        <v>2574</v>
      </c>
      <c r="M1142" s="83" t="n">
        <v>321.75</v>
      </c>
      <c r="N1142" s="84" t="n">
        <f aca="false">+O1142+Q1142+T1142+U1142</f>
        <v>3100</v>
      </c>
      <c r="O1142" s="85" t="n">
        <v>3024</v>
      </c>
      <c r="P1142" s="86" t="n">
        <v>0</v>
      </c>
      <c r="Q1142" s="86" t="n">
        <v>36</v>
      </c>
      <c r="R1142" s="132" t="n">
        <v>0</v>
      </c>
      <c r="S1142" s="128" t="n">
        <v>0</v>
      </c>
      <c r="T1142" s="132" t="n">
        <v>40</v>
      </c>
      <c r="U1142" s="128" t="n">
        <v>0</v>
      </c>
      <c r="V1142" s="128" t="n">
        <v>1</v>
      </c>
      <c r="W1142" s="90" t="n">
        <f aca="false">IFERROR(O1142/V1142,0)</f>
        <v>3024</v>
      </c>
      <c r="X1142" s="91" t="n">
        <f aca="false">O1142/L1142</f>
        <v>1.17482517482517</v>
      </c>
      <c r="Y1142" s="92" t="str">
        <f aca="false">IFERROR(VLOOKUP(E:E,'Item Data Support Sheet'!A:J,6,0),0)</f>
        <v>HMC</v>
      </c>
      <c r="Z1142" s="93" t="n">
        <f aca="false">IFERROR(VLOOKUP(E:E,'Item Data Support Sheet'!A:O,4,0),0)</f>
        <v>32.1</v>
      </c>
      <c r="AA1142" s="93" t="n">
        <f aca="false">IFERROR(((N1142)*(Z1142/1000))+P1142,0)</f>
        <v>99.51</v>
      </c>
      <c r="AB1142" s="94" t="n">
        <f aca="false">IFERROR((O1142*(Z1142/1000)/(AA1142))," ")</f>
        <v>0.975483870967742</v>
      </c>
      <c r="AC1142" s="95" t="n">
        <f aca="false">IFERROR((T1142)/((T1142)+O1142),0)</f>
        <v>0.0130548302872063</v>
      </c>
      <c r="AD1142" s="96" t="n">
        <f aca="false">IFERROR(Q1142/(Q1142+N1142),0)</f>
        <v>0.0114795918367347</v>
      </c>
      <c r="AE1142" s="91" t="n">
        <f aca="false">(N1142-T1142)/N1142</f>
        <v>0.987096774193548</v>
      </c>
      <c r="AF1142" s="97" t="n">
        <f aca="false">BR1142</f>
        <v>0</v>
      </c>
      <c r="AG1142" s="98" t="n">
        <f aca="false">K1142-AF1142</f>
        <v>8</v>
      </c>
      <c r="AH1142" s="99" t="n">
        <f aca="false">IFERROR(AG1142/K1142," ")</f>
        <v>1</v>
      </c>
      <c r="AI1142" s="100" t="n">
        <f aca="false">IFERROR(O1142/K1142,0)</f>
        <v>378</v>
      </c>
      <c r="AJ1142" s="101" t="n">
        <f aca="false">VLOOKUP(D1142,'Standard Cycle time'!C:D,2,0)</f>
        <v>9</v>
      </c>
      <c r="AK1142" s="101" t="n">
        <f aca="false">AG1142*V1142*3600/O1142</f>
        <v>9.52380952380952</v>
      </c>
      <c r="AL1142" s="102" t="n">
        <f aca="false">AJ1142/AK1142</f>
        <v>0.945</v>
      </c>
      <c r="AM1142" s="99" t="n">
        <f aca="false">AE1142*AL1142*AH1142</f>
        <v>0.932806451612903</v>
      </c>
      <c r="AN1142" s="103" t="n">
        <v>0.932806451612903</v>
      </c>
      <c r="AO1142" s="112"/>
      <c r="AP1142" s="105" t="n">
        <v>0</v>
      </c>
      <c r="AQ1142" s="105" t="n">
        <v>0</v>
      </c>
      <c r="AR1142" s="105" t="n">
        <v>0</v>
      </c>
      <c r="AS1142" s="105" t="n">
        <v>0</v>
      </c>
      <c r="AT1142" s="105" t="n">
        <v>0</v>
      </c>
      <c r="AU1142" s="105" t="n">
        <v>0</v>
      </c>
      <c r="AV1142" s="105" t="n">
        <v>0</v>
      </c>
      <c r="AW1142" s="105" t="n">
        <v>0</v>
      </c>
      <c r="AX1142" s="105" t="n">
        <v>0</v>
      </c>
      <c r="AY1142" s="105" t="n">
        <v>0</v>
      </c>
      <c r="AZ1142" s="105" t="n">
        <v>0</v>
      </c>
      <c r="BA1142" s="105" t="n">
        <v>0</v>
      </c>
      <c r="BB1142" s="105" t="n">
        <v>0</v>
      </c>
      <c r="BC1142" s="105" t="n">
        <v>0</v>
      </c>
      <c r="BD1142" s="105" t="n">
        <v>0</v>
      </c>
      <c r="BE1142" s="105" t="n">
        <v>0</v>
      </c>
      <c r="BF1142" s="105" t="n">
        <v>0</v>
      </c>
      <c r="BG1142" s="105" t="n">
        <v>0</v>
      </c>
      <c r="BH1142" s="105" t="n">
        <v>0</v>
      </c>
      <c r="BI1142" s="105" t="n">
        <v>0</v>
      </c>
      <c r="BJ1142" s="105" t="n">
        <v>0</v>
      </c>
      <c r="BK1142" s="105" t="n">
        <v>0</v>
      </c>
      <c r="BL1142" s="105" t="n">
        <v>0</v>
      </c>
      <c r="BM1142" s="105" t="n">
        <v>0</v>
      </c>
      <c r="BN1142" s="105" t="n">
        <v>0</v>
      </c>
      <c r="BO1142" s="105" t="n">
        <v>0</v>
      </c>
      <c r="BP1142" s="105" t="n">
        <v>0</v>
      </c>
      <c r="BQ1142" s="105" t="n">
        <v>0</v>
      </c>
      <c r="BR1142" s="106" t="n">
        <v>0</v>
      </c>
      <c r="BS1142" s="106" t="n">
        <v>0</v>
      </c>
      <c r="BT1142" s="107"/>
      <c r="BU1142" s="107"/>
      <c r="BV1142" s="107"/>
      <c r="BW1142" s="107"/>
      <c r="BX1142" s="107"/>
      <c r="BY1142" s="107"/>
      <c r="BZ1142" s="107"/>
      <c r="CA1142" s="107"/>
      <c r="CB1142" s="107"/>
      <c r="CC1142" s="107"/>
      <c r="CD1142" s="107"/>
      <c r="CE1142" s="107"/>
      <c r="CF1142" s="107"/>
      <c r="CG1142" s="107"/>
      <c r="CH1142" s="107"/>
      <c r="CI1142" s="107"/>
      <c r="CJ1142" s="107"/>
      <c r="CK1142" s="107"/>
      <c r="CL1142" s="107"/>
      <c r="CM1142" s="107"/>
      <c r="CN1142" s="107"/>
      <c r="CO1142" s="107"/>
      <c r="CP1142" s="107"/>
      <c r="CQ1142" s="107"/>
      <c r="CR1142" s="107"/>
      <c r="CS1142" s="107"/>
      <c r="CT1142" s="107"/>
      <c r="CU1142" s="107"/>
      <c r="CV1142" s="107"/>
      <c r="CY1142" s="0" t="s">
        <v>1537</v>
      </c>
    </row>
    <row r="1143" customFormat="false" ht="14.9" hidden="false" customHeight="false" outlineLevel="0" collapsed="false">
      <c r="A1143" s="74" t="n">
        <f aca="false">MONTH(B1143)</f>
        <v>11</v>
      </c>
      <c r="B1143" s="135" t="n">
        <v>44502</v>
      </c>
      <c r="C1143" s="128" t="s">
        <v>70</v>
      </c>
      <c r="D1143" s="77" t="str">
        <f aca="false">IFERROR(VLOOKUP(E:E,'Item Data Support Sheet'!A:O,7,0),"")</f>
        <v>NIPPLE MOLDED</v>
      </c>
      <c r="E1143" s="80" t="s">
        <v>244</v>
      </c>
      <c r="F1143" s="122" t="s">
        <v>137</v>
      </c>
      <c r="G1143" s="137" t="s">
        <v>138</v>
      </c>
      <c r="H1143" s="79" t="str">
        <f aca="false">IFERROR(VLOOKUP(E:E,'Item Data Support Sheet'!A:O,2,0),"")</f>
        <v>NIPPLE S TYPE S SIZE INJECTION</v>
      </c>
      <c r="I1143" s="80" t="s">
        <v>1929</v>
      </c>
      <c r="J1143" s="80" t="s">
        <v>155</v>
      </c>
      <c r="K1143" s="124" t="n">
        <v>8</v>
      </c>
      <c r="L1143" s="124" t="n">
        <v>4815</v>
      </c>
      <c r="M1143" s="83" t="n">
        <v>601.875</v>
      </c>
      <c r="N1143" s="84" t="n">
        <f aca="false">+O1143+Q1143+T1143+U1143</f>
        <v>5552</v>
      </c>
      <c r="O1143" s="85" t="n">
        <v>5500</v>
      </c>
      <c r="P1143" s="86" t="n">
        <v>0</v>
      </c>
      <c r="Q1143" s="86" t="n">
        <v>0</v>
      </c>
      <c r="R1143" s="132" t="n">
        <v>0</v>
      </c>
      <c r="S1143" s="128" t="n">
        <v>0</v>
      </c>
      <c r="T1143" s="132" t="n">
        <v>52</v>
      </c>
      <c r="U1143" s="128" t="n">
        <v>0</v>
      </c>
      <c r="V1143" s="128" t="n">
        <v>1</v>
      </c>
      <c r="W1143" s="90" t="n">
        <f aca="false">IFERROR(O1143/V1143,0)</f>
        <v>5500</v>
      </c>
      <c r="X1143" s="91" t="n">
        <f aca="false">O1143/L1143</f>
        <v>1.14226375908619</v>
      </c>
      <c r="Y1143" s="92" t="str">
        <f aca="false">IFERROR(VLOOKUP(E:E,'Item Data Support Sheet'!A:J,6,0),0)</f>
        <v>Silicon</v>
      </c>
      <c r="Z1143" s="93" t="n">
        <f aca="false">IFERROR(VLOOKUP(E:E,'Item Data Support Sheet'!A:O,4,0),0)</f>
        <v>6.8</v>
      </c>
      <c r="AA1143" s="93" t="n">
        <f aca="false">IFERROR(((N1143)*(Z1143/1000))+P1143,0)</f>
        <v>37.7536</v>
      </c>
      <c r="AB1143" s="94" t="n">
        <f aca="false">IFERROR((O1143*(Z1143/1000)/(AA1143))," ")</f>
        <v>0.990634005763689</v>
      </c>
      <c r="AC1143" s="95" t="n">
        <f aca="false">IFERROR((T1143)/((T1143)+O1143),0)</f>
        <v>0.00936599423631124</v>
      </c>
      <c r="AD1143" s="96" t="n">
        <f aca="false">IFERROR(Q1143/(Q1143+N1143),0)</f>
        <v>0</v>
      </c>
      <c r="AE1143" s="91" t="n">
        <f aca="false">(N1143-T1143)/N1143</f>
        <v>0.990634005763689</v>
      </c>
      <c r="AF1143" s="97" t="n">
        <f aca="false">BR1143</f>
        <v>0</v>
      </c>
      <c r="AG1143" s="98" t="n">
        <f aca="false">K1143-AF1143</f>
        <v>8</v>
      </c>
      <c r="AH1143" s="99" t="n">
        <f aca="false">IFERROR(AG1143/K1143," ")</f>
        <v>1</v>
      </c>
      <c r="AI1143" s="100" t="n">
        <f aca="false">IFERROR(O1143/K1143,0)</f>
        <v>687.5</v>
      </c>
      <c r="AJ1143" s="101" t="n">
        <f aca="false">VLOOKUP(D1143,'Standard Cycle time'!C:D,2,0)</f>
        <v>5.25</v>
      </c>
      <c r="AK1143" s="101" t="n">
        <f aca="false">AG1143*V1143*3600/O1143</f>
        <v>5.23636363636364</v>
      </c>
      <c r="AL1143" s="102" t="n">
        <f aca="false">AJ1143/AK1143</f>
        <v>1.00260416666667</v>
      </c>
      <c r="AM1143" s="99" t="n">
        <f aca="false">AE1143*AL1143*AH1143</f>
        <v>0.993213781820365</v>
      </c>
      <c r="AN1143" s="103" t="n">
        <v>0.993213781820365</v>
      </c>
      <c r="AO1143" s="112"/>
      <c r="AP1143" s="105" t="n">
        <v>0</v>
      </c>
      <c r="AQ1143" s="105" t="n">
        <v>0</v>
      </c>
      <c r="AR1143" s="105" t="n">
        <v>0</v>
      </c>
      <c r="AS1143" s="105" t="n">
        <v>0</v>
      </c>
      <c r="AT1143" s="105" t="n">
        <v>0</v>
      </c>
      <c r="AU1143" s="105" t="n">
        <v>0</v>
      </c>
      <c r="AV1143" s="105" t="n">
        <v>0</v>
      </c>
      <c r="AW1143" s="105" t="n">
        <v>0</v>
      </c>
      <c r="AX1143" s="105" t="n">
        <v>0</v>
      </c>
      <c r="AY1143" s="105" t="n">
        <v>0</v>
      </c>
      <c r="AZ1143" s="105" t="n">
        <v>0</v>
      </c>
      <c r="BA1143" s="105" t="n">
        <v>0</v>
      </c>
      <c r="BB1143" s="105" t="n">
        <v>0</v>
      </c>
      <c r="BC1143" s="105" t="n">
        <v>0</v>
      </c>
      <c r="BD1143" s="105" t="n">
        <v>0</v>
      </c>
      <c r="BE1143" s="105" t="n">
        <v>0</v>
      </c>
      <c r="BF1143" s="105" t="n">
        <v>0</v>
      </c>
      <c r="BG1143" s="105" t="n">
        <v>0</v>
      </c>
      <c r="BH1143" s="105" t="n">
        <v>0</v>
      </c>
      <c r="BI1143" s="105" t="n">
        <v>0</v>
      </c>
      <c r="BJ1143" s="105" t="n">
        <v>0</v>
      </c>
      <c r="BK1143" s="105" t="n">
        <v>0</v>
      </c>
      <c r="BL1143" s="105" t="n">
        <v>0</v>
      </c>
      <c r="BM1143" s="105" t="n">
        <v>0</v>
      </c>
      <c r="BN1143" s="105" t="n">
        <v>0</v>
      </c>
      <c r="BO1143" s="105" t="n">
        <v>0</v>
      </c>
      <c r="BP1143" s="105" t="n">
        <v>0</v>
      </c>
      <c r="BQ1143" s="105" t="n">
        <v>0</v>
      </c>
      <c r="BR1143" s="106" t="n">
        <v>0</v>
      </c>
      <c r="BS1143" s="106" t="n">
        <v>0</v>
      </c>
      <c r="BT1143" s="107"/>
      <c r="BU1143" s="107"/>
      <c r="BV1143" s="107"/>
      <c r="BW1143" s="107"/>
      <c r="BX1143" s="107"/>
      <c r="BY1143" s="107"/>
      <c r="BZ1143" s="107"/>
      <c r="CA1143" s="107"/>
      <c r="CB1143" s="107"/>
      <c r="CC1143" s="107"/>
      <c r="CD1143" s="107"/>
      <c r="CE1143" s="107"/>
      <c r="CF1143" s="107"/>
      <c r="CG1143" s="107"/>
      <c r="CH1143" s="107"/>
      <c r="CI1143" s="107"/>
      <c r="CJ1143" s="107"/>
      <c r="CK1143" s="107"/>
      <c r="CL1143" s="107"/>
      <c r="CM1143" s="107"/>
      <c r="CN1143" s="107"/>
      <c r="CO1143" s="107"/>
      <c r="CP1143" s="107"/>
      <c r="CQ1143" s="107"/>
      <c r="CR1143" s="107"/>
      <c r="CS1143" s="107"/>
      <c r="CT1143" s="107"/>
      <c r="CU1143" s="107"/>
      <c r="CV1143" s="107"/>
      <c r="CY1143" s="0" t="s">
        <v>1539</v>
      </c>
    </row>
    <row r="1144" customFormat="false" ht="14.9" hidden="false" customHeight="false" outlineLevel="0" collapsed="false">
      <c r="A1144" s="74" t="n">
        <f aca="false">MONTH(B1144)</f>
        <v>11</v>
      </c>
      <c r="B1144" s="135" t="n">
        <v>44502</v>
      </c>
      <c r="C1144" s="128" t="s">
        <v>51</v>
      </c>
      <c r="D1144" s="77" t="str">
        <f aca="false">IFERROR(VLOOKUP(E:E,'Item Data Support Sheet'!A:O,7,0),"")</f>
        <v>BOTTLE PRINTED</v>
      </c>
      <c r="E1144" s="80" t="s">
        <v>65</v>
      </c>
      <c r="F1144" s="122"/>
      <c r="G1144" s="137"/>
      <c r="H1144" s="79" t="str">
        <f aca="false">IFERROR(VLOOKUP(E:E,'Item Data Support Sheet'!A:O,2,0),"")</f>
        <v>KPP 240 ML BOTTLE PRINTED</v>
      </c>
      <c r="I1144" s="80" t="s">
        <v>1930</v>
      </c>
      <c r="J1144" s="80" t="s">
        <v>155</v>
      </c>
      <c r="K1144" s="124" t="n">
        <v>3</v>
      </c>
      <c r="L1144" s="124" t="n">
        <v>1800</v>
      </c>
      <c r="M1144" s="83" t="n">
        <v>600</v>
      </c>
      <c r="N1144" s="84" t="n">
        <f aca="false">+O1144+Q1144+T1144+U1144</f>
        <v>1507</v>
      </c>
      <c r="O1144" s="85" t="n">
        <v>1477</v>
      </c>
      <c r="P1144" s="86" t="n">
        <v>0</v>
      </c>
      <c r="Q1144" s="86" t="n">
        <v>0</v>
      </c>
      <c r="R1144" s="132" t="n">
        <v>17</v>
      </c>
      <c r="S1144" s="128" t="n">
        <v>0</v>
      </c>
      <c r="T1144" s="132" t="n">
        <v>30</v>
      </c>
      <c r="U1144" s="128" t="n">
        <v>0</v>
      </c>
      <c r="V1144" s="128" t="n">
        <v>5</v>
      </c>
      <c r="W1144" s="90" t="n">
        <f aca="false">IFERROR(O1144/V1144,0)</f>
        <v>295.4</v>
      </c>
      <c r="X1144" s="91" t="n">
        <f aca="false">O1144/L1144</f>
        <v>0.820555555555556</v>
      </c>
      <c r="Y1144" s="92" t="str">
        <f aca="false">IFERROR(VLOOKUP(E:E,'Item Data Support Sheet'!A:J,6,0),0)</f>
        <v>FO003</v>
      </c>
      <c r="Z1144" s="93" t="n">
        <f aca="false">IFERROR(VLOOKUP(E:E,'Item Data Support Sheet'!A:O,4,0),0)</f>
        <v>0</v>
      </c>
      <c r="AA1144" s="93" t="n">
        <f aca="false">IFERROR(((N1144)*(Z1144/1000))+P1144,0)</f>
        <v>0</v>
      </c>
      <c r="AB1144" s="94" t="str">
        <f aca="false">IFERROR((O1144*(Z1144/1000)/(AA1144))," ")</f>
        <v> </v>
      </c>
      <c r="AC1144" s="95" t="n">
        <f aca="false">IFERROR((T1144)/((T1144)+O1144),0)</f>
        <v>0.019907100199071</v>
      </c>
      <c r="AD1144" s="96" t="n">
        <f aca="false">IFERROR(Q1144/(Q1144+N1144),0)</f>
        <v>0</v>
      </c>
      <c r="AE1144" s="91" t="n">
        <f aca="false">(N1144-T1144)/N1144</f>
        <v>0.980092899800929</v>
      </c>
      <c r="AF1144" s="97" t="n">
        <f aca="false">BR1144</f>
        <v>0.666666666666667</v>
      </c>
      <c r="AG1144" s="98" t="n">
        <f aca="false">K1144-AF1144</f>
        <v>2.33333333333333</v>
      </c>
      <c r="AH1144" s="99" t="n">
        <f aca="false">IFERROR(AG1144/K1144," ")</f>
        <v>0.777777777777778</v>
      </c>
      <c r="AI1144" s="100" t="n">
        <f aca="false">IFERROR(O1144/K1144,0)</f>
        <v>492.333333333333</v>
      </c>
      <c r="AJ1144" s="101" t="n">
        <f aca="false">VLOOKUP(D1144,'Standard Cycle time'!C:D,2,0)</f>
        <v>32.4</v>
      </c>
      <c r="AK1144" s="101" t="n">
        <f aca="false">AG1144*V1144*3600/O1144</f>
        <v>28.436018957346</v>
      </c>
      <c r="AL1144" s="102" t="n">
        <f aca="false">AJ1144/AK1144</f>
        <v>1.1394</v>
      </c>
      <c r="AM1144" s="99" t="n">
        <f aca="false">AE1144*AL1144*AH1144</f>
        <v>0.868558327803583</v>
      </c>
      <c r="AN1144" s="103" t="n">
        <v>0.868558327803583</v>
      </c>
      <c r="AO1144" s="112"/>
      <c r="AP1144" s="105" t="n">
        <v>40</v>
      </c>
      <c r="AQ1144" s="105" t="n">
        <v>0</v>
      </c>
      <c r="AR1144" s="105" t="n">
        <v>0</v>
      </c>
      <c r="AS1144" s="105" t="n">
        <v>0</v>
      </c>
      <c r="AT1144" s="105" t="n">
        <v>0</v>
      </c>
      <c r="AU1144" s="105" t="n">
        <v>0</v>
      </c>
      <c r="AV1144" s="105" t="n">
        <v>0</v>
      </c>
      <c r="AW1144" s="105" t="n">
        <v>0</v>
      </c>
      <c r="AX1144" s="105" t="n">
        <v>0</v>
      </c>
      <c r="AY1144" s="105" t="n">
        <v>0</v>
      </c>
      <c r="AZ1144" s="105" t="n">
        <v>0</v>
      </c>
      <c r="BA1144" s="105" t="n">
        <v>0</v>
      </c>
      <c r="BB1144" s="105" t="n">
        <v>0</v>
      </c>
      <c r="BC1144" s="105" t="n">
        <v>0</v>
      </c>
      <c r="BD1144" s="105" t="n">
        <v>0</v>
      </c>
      <c r="BE1144" s="105" t="n">
        <v>0</v>
      </c>
      <c r="BF1144" s="105" t="n">
        <v>0</v>
      </c>
      <c r="BG1144" s="105" t="n">
        <v>0</v>
      </c>
      <c r="BH1144" s="105" t="n">
        <v>0</v>
      </c>
      <c r="BI1144" s="105" t="n">
        <v>0</v>
      </c>
      <c r="BJ1144" s="105" t="n">
        <v>0</v>
      </c>
      <c r="BK1144" s="105" t="n">
        <v>0</v>
      </c>
      <c r="BL1144" s="105" t="n">
        <v>0</v>
      </c>
      <c r="BM1144" s="105" t="n">
        <v>0</v>
      </c>
      <c r="BN1144" s="105" t="n">
        <v>0</v>
      </c>
      <c r="BO1144" s="105" t="n">
        <v>0</v>
      </c>
      <c r="BP1144" s="105" t="n">
        <v>0</v>
      </c>
      <c r="BQ1144" s="105" t="n">
        <v>0</v>
      </c>
      <c r="BR1144" s="106" t="n">
        <v>0.666666666666667</v>
      </c>
      <c r="BS1144" s="106" t="n">
        <v>0.666666666666667</v>
      </c>
      <c r="BT1144" s="107"/>
      <c r="BU1144" s="107"/>
      <c r="BV1144" s="107"/>
      <c r="BW1144" s="107"/>
      <c r="BX1144" s="107"/>
      <c r="BY1144" s="107"/>
      <c r="BZ1144" s="107"/>
      <c r="CA1144" s="107"/>
      <c r="CB1144" s="107"/>
      <c r="CC1144" s="107"/>
      <c r="CD1144" s="107"/>
      <c r="CE1144" s="107"/>
      <c r="CF1144" s="107"/>
      <c r="CG1144" s="107"/>
      <c r="CH1144" s="107"/>
      <c r="CI1144" s="107"/>
      <c r="CJ1144" s="107"/>
      <c r="CK1144" s="107"/>
      <c r="CL1144" s="107"/>
      <c r="CM1144" s="107"/>
      <c r="CN1144" s="107"/>
      <c r="CO1144" s="107"/>
      <c r="CP1144" s="107"/>
      <c r="CQ1144" s="107"/>
      <c r="CR1144" s="107"/>
      <c r="CS1144" s="107"/>
      <c r="CT1144" s="107"/>
      <c r="CU1144" s="107"/>
      <c r="CV1144" s="107"/>
      <c r="CY1144" s="0" t="s">
        <v>1931</v>
      </c>
    </row>
    <row r="1145" customFormat="false" ht="14.9" hidden="false" customHeight="false" outlineLevel="0" collapsed="false">
      <c r="A1145" s="74" t="n">
        <f aca="false">MONTH(B1145)</f>
        <v>11</v>
      </c>
      <c r="B1145" s="135" t="n">
        <v>44502</v>
      </c>
      <c r="C1145" s="128" t="s">
        <v>51</v>
      </c>
      <c r="D1145" s="77" t="str">
        <f aca="false">IFERROR(VLOOKUP(E:E,'Item Data Support Sheet'!A:O,7,0),"")</f>
        <v>BOTTLE PRINTED</v>
      </c>
      <c r="E1145" s="80" t="s">
        <v>981</v>
      </c>
      <c r="F1145" s="122"/>
      <c r="G1145" s="137"/>
      <c r="H1145" s="79" t="str">
        <f aca="false">IFERROR(VLOOKUP(E:E,'Item Data Support Sheet'!A:O,2,0),"")</f>
        <v>KPP BOTTLE 240 ML PRINTED-WMG3B</v>
      </c>
      <c r="I1145" s="80" t="s">
        <v>1932</v>
      </c>
      <c r="J1145" s="80" t="s">
        <v>155</v>
      </c>
      <c r="K1145" s="124" t="n">
        <v>3</v>
      </c>
      <c r="L1145" s="124" t="n">
        <v>1800</v>
      </c>
      <c r="M1145" s="83" t="n">
        <v>600</v>
      </c>
      <c r="N1145" s="84" t="n">
        <f aca="false">+O1145+Q1145+T1145+U1145</f>
        <v>1644</v>
      </c>
      <c r="O1145" s="85" t="n">
        <v>1620</v>
      </c>
      <c r="P1145" s="86" t="n">
        <v>0</v>
      </c>
      <c r="Q1145" s="86" t="n">
        <v>0</v>
      </c>
      <c r="R1145" s="132" t="n">
        <v>21</v>
      </c>
      <c r="S1145" s="128" t="n">
        <v>0</v>
      </c>
      <c r="T1145" s="132" t="n">
        <v>24</v>
      </c>
      <c r="U1145" s="128" t="n">
        <v>0</v>
      </c>
      <c r="V1145" s="128" t="n">
        <v>5</v>
      </c>
      <c r="W1145" s="90" t="n">
        <f aca="false">IFERROR(O1145/V1145,0)</f>
        <v>324</v>
      </c>
      <c r="X1145" s="91" t="n">
        <f aca="false">O1145/L1145</f>
        <v>0.9</v>
      </c>
      <c r="Y1145" s="92" t="str">
        <f aca="false">IFERROR(VLOOKUP(E:E,'Item Data Support Sheet'!A:J,6,0),0)</f>
        <v>FO044</v>
      </c>
      <c r="Z1145" s="93" t="n">
        <f aca="false">IFERROR(VLOOKUP(E:E,'Item Data Support Sheet'!A:O,4,0),0)</f>
        <v>0</v>
      </c>
      <c r="AA1145" s="93" t="n">
        <f aca="false">IFERROR(((N1145)*(Z1145/1000))+P1145,0)</f>
        <v>0</v>
      </c>
      <c r="AB1145" s="94" t="str">
        <f aca="false">IFERROR((O1145*(Z1145/1000)/(AA1145))," ")</f>
        <v> </v>
      </c>
      <c r="AC1145" s="95" t="n">
        <f aca="false">IFERROR((T1145)/((T1145)+O1145),0)</f>
        <v>0.0145985401459854</v>
      </c>
      <c r="AD1145" s="96" t="n">
        <f aca="false">IFERROR(Q1145/(Q1145+N1145),0)</f>
        <v>0</v>
      </c>
      <c r="AE1145" s="91" t="n">
        <f aca="false">(N1145-T1145)/N1145</f>
        <v>0.985401459854015</v>
      </c>
      <c r="AF1145" s="97" t="n">
        <f aca="false">BR1145</f>
        <v>0</v>
      </c>
      <c r="AG1145" s="98" t="n">
        <f aca="false">K1145-AF1145</f>
        <v>3</v>
      </c>
      <c r="AH1145" s="99" t="n">
        <f aca="false">IFERROR(AG1145/K1145," ")</f>
        <v>1</v>
      </c>
      <c r="AI1145" s="100" t="n">
        <f aca="false">IFERROR(O1145/K1145,0)</f>
        <v>540</v>
      </c>
      <c r="AJ1145" s="101" t="n">
        <f aca="false">VLOOKUP(D1145,'Standard Cycle time'!C:D,2,0)</f>
        <v>32.4</v>
      </c>
      <c r="AK1145" s="101" t="n">
        <f aca="false">AG1145*V1145*3600/O1145</f>
        <v>33.3333333333333</v>
      </c>
      <c r="AL1145" s="102" t="n">
        <f aca="false">AJ1145/AK1145</f>
        <v>0.972</v>
      </c>
      <c r="AM1145" s="99" t="n">
        <f aca="false">AE1145*AL1145*AH1145</f>
        <v>0.957810218978102</v>
      </c>
      <c r="AN1145" s="103" t="n">
        <v>0.957810218978102</v>
      </c>
      <c r="AO1145" s="112" t="s">
        <v>1933</v>
      </c>
      <c r="AP1145" s="105" t="n">
        <v>0</v>
      </c>
      <c r="AQ1145" s="105" t="n">
        <v>0</v>
      </c>
      <c r="AR1145" s="105" t="n">
        <v>0</v>
      </c>
      <c r="AS1145" s="105" t="n">
        <v>0</v>
      </c>
      <c r="AT1145" s="105" t="n">
        <v>0</v>
      </c>
      <c r="AU1145" s="105" t="n">
        <v>0</v>
      </c>
      <c r="AV1145" s="105" t="n">
        <v>0</v>
      </c>
      <c r="AW1145" s="105" t="n">
        <v>0</v>
      </c>
      <c r="AX1145" s="105" t="n">
        <v>0</v>
      </c>
      <c r="AY1145" s="105" t="n">
        <v>0</v>
      </c>
      <c r="AZ1145" s="105" t="n">
        <v>0</v>
      </c>
      <c r="BA1145" s="105" t="n">
        <v>0</v>
      </c>
      <c r="BB1145" s="105" t="n">
        <v>0</v>
      </c>
      <c r="BC1145" s="105" t="n">
        <v>0</v>
      </c>
      <c r="BD1145" s="105" t="n">
        <v>0</v>
      </c>
      <c r="BE1145" s="105" t="n">
        <v>0</v>
      </c>
      <c r="BF1145" s="105" t="n">
        <v>0</v>
      </c>
      <c r="BG1145" s="105" t="n">
        <v>0</v>
      </c>
      <c r="BH1145" s="105" t="n">
        <v>0</v>
      </c>
      <c r="BI1145" s="105" t="n">
        <v>0</v>
      </c>
      <c r="BJ1145" s="105" t="n">
        <v>0</v>
      </c>
      <c r="BK1145" s="105" t="n">
        <v>0</v>
      </c>
      <c r="BL1145" s="105" t="n">
        <v>0</v>
      </c>
      <c r="BM1145" s="105" t="n">
        <v>0</v>
      </c>
      <c r="BN1145" s="105" t="n">
        <v>0</v>
      </c>
      <c r="BO1145" s="105" t="n">
        <v>0</v>
      </c>
      <c r="BP1145" s="105" t="n">
        <v>0</v>
      </c>
      <c r="BQ1145" s="105" t="n">
        <v>0</v>
      </c>
      <c r="BR1145" s="106" t="n">
        <v>0</v>
      </c>
      <c r="BS1145" s="106" t="n">
        <v>0</v>
      </c>
      <c r="BT1145" s="107"/>
      <c r="BU1145" s="107"/>
      <c r="BV1145" s="107"/>
      <c r="BW1145" s="107"/>
      <c r="BX1145" s="107"/>
      <c r="BY1145" s="107"/>
      <c r="BZ1145" s="107"/>
      <c r="CA1145" s="107"/>
      <c r="CB1145" s="107"/>
      <c r="CC1145" s="107"/>
      <c r="CD1145" s="107"/>
      <c r="CE1145" s="107"/>
      <c r="CF1145" s="107"/>
      <c r="CG1145" s="107"/>
      <c r="CH1145" s="107"/>
      <c r="CI1145" s="107"/>
      <c r="CJ1145" s="107"/>
      <c r="CK1145" s="107"/>
      <c r="CL1145" s="107"/>
      <c r="CM1145" s="107"/>
      <c r="CN1145" s="107"/>
      <c r="CO1145" s="107"/>
      <c r="CP1145" s="107"/>
      <c r="CQ1145" s="107"/>
      <c r="CR1145" s="107"/>
      <c r="CS1145" s="107"/>
      <c r="CT1145" s="107"/>
      <c r="CU1145" s="107"/>
      <c r="CV1145" s="107"/>
      <c r="CY1145" s="0" t="s">
        <v>1934</v>
      </c>
      <c r="CZ1145" s="0" t="n">
        <v>0</v>
      </c>
    </row>
    <row r="1146" customFormat="false" ht="14.9" hidden="false" customHeight="false" outlineLevel="0" collapsed="false">
      <c r="A1146" s="74" t="n">
        <f aca="false">MONTH(B1146)</f>
        <v>11</v>
      </c>
      <c r="B1146" s="135" t="n">
        <v>44502</v>
      </c>
      <c r="C1146" s="128" t="s">
        <v>70</v>
      </c>
      <c r="D1146" s="77" t="str">
        <f aca="false">IFERROR(VLOOKUP(E:E,'Item Data Support Sheet'!A:O,7,0),"")</f>
        <v>BOTTLE PRINTED</v>
      </c>
      <c r="E1146" s="80" t="s">
        <v>981</v>
      </c>
      <c r="F1146" s="122"/>
      <c r="G1146" s="137"/>
      <c r="H1146" s="79" t="str">
        <f aca="false">IFERROR(VLOOKUP(E:E,'Item Data Support Sheet'!A:O,2,0),"")</f>
        <v>KPP BOTTLE 240 ML PRINTED-WMG3B</v>
      </c>
      <c r="I1146" s="80" t="s">
        <v>1932</v>
      </c>
      <c r="J1146" s="80" t="s">
        <v>155</v>
      </c>
      <c r="K1146" s="124" t="n">
        <v>8</v>
      </c>
      <c r="L1146" s="124" t="n">
        <v>5100</v>
      </c>
      <c r="M1146" s="83" t="n">
        <v>637.5</v>
      </c>
      <c r="N1146" s="84" t="n">
        <f aca="false">+O1146+Q1146+T1146+U1146</f>
        <v>3843</v>
      </c>
      <c r="O1146" s="85" t="n">
        <v>3780</v>
      </c>
      <c r="P1146" s="86" t="n">
        <v>0</v>
      </c>
      <c r="Q1146" s="86" t="n">
        <v>0</v>
      </c>
      <c r="R1146" s="132" t="n">
        <v>27</v>
      </c>
      <c r="S1146" s="128" t="n">
        <v>0</v>
      </c>
      <c r="T1146" s="132" t="n">
        <v>63</v>
      </c>
      <c r="U1146" s="128" t="n">
        <v>0</v>
      </c>
      <c r="V1146" s="128" t="n">
        <v>5</v>
      </c>
      <c r="W1146" s="90" t="n">
        <f aca="false">IFERROR(O1146/V1146,0)</f>
        <v>756</v>
      </c>
      <c r="X1146" s="91" t="n">
        <f aca="false">O1146/L1146</f>
        <v>0.741176470588235</v>
      </c>
      <c r="Y1146" s="92" t="str">
        <f aca="false">IFERROR(VLOOKUP(E:E,'Item Data Support Sheet'!A:J,6,0),0)</f>
        <v>FO044</v>
      </c>
      <c r="Z1146" s="93" t="n">
        <f aca="false">IFERROR(VLOOKUP(E:E,'Item Data Support Sheet'!A:O,4,0),0)</f>
        <v>0</v>
      </c>
      <c r="AA1146" s="93" t="n">
        <f aca="false">IFERROR(((N1146)*(Z1146/1000))+P1146,0)</f>
        <v>0</v>
      </c>
      <c r="AB1146" s="94" t="str">
        <f aca="false">IFERROR((O1146*(Z1146/1000)/(AA1146))," ")</f>
        <v> </v>
      </c>
      <c r="AC1146" s="95" t="n">
        <f aca="false">IFERROR((T1146)/((T1146)+O1146),0)</f>
        <v>0.0163934426229508</v>
      </c>
      <c r="AD1146" s="96" t="n">
        <f aca="false">IFERROR(Q1146/(Q1146+N1146),0)</f>
        <v>0</v>
      </c>
      <c r="AE1146" s="91" t="n">
        <f aca="false">(N1146-T1146)/N1146</f>
        <v>0.983606557377049</v>
      </c>
      <c r="AF1146" s="97" t="n">
        <f aca="false">BR1146</f>
        <v>0.666666666666667</v>
      </c>
      <c r="AG1146" s="98" t="n">
        <f aca="false">K1146-AF1146</f>
        <v>7.33333333333333</v>
      </c>
      <c r="AH1146" s="99" t="n">
        <f aca="false">IFERROR(AG1146/K1146," ")</f>
        <v>0.916666666666667</v>
      </c>
      <c r="AI1146" s="100" t="n">
        <f aca="false">IFERROR(O1146/K1146,0)</f>
        <v>472.5</v>
      </c>
      <c r="AJ1146" s="101" t="n">
        <f aca="false">VLOOKUP(D1146,'Standard Cycle time'!C:D,2,0)</f>
        <v>32.4</v>
      </c>
      <c r="AK1146" s="101" t="n">
        <f aca="false">AG1146*V1146*3600/O1146</f>
        <v>34.9206349206349</v>
      </c>
      <c r="AL1146" s="102" t="n">
        <f aca="false">AJ1146/AK1146</f>
        <v>0.927818181818182</v>
      </c>
      <c r="AM1146" s="99" t="n">
        <f aca="false">AE1146*AL1146*AH1146</f>
        <v>0.83655737704918</v>
      </c>
      <c r="AN1146" s="103" t="n">
        <v>0.83655737704918</v>
      </c>
      <c r="AO1146" s="112"/>
      <c r="AP1146" s="105" t="n">
        <v>40</v>
      </c>
      <c r="AQ1146" s="105" t="n">
        <v>0</v>
      </c>
      <c r="AR1146" s="105" t="n">
        <v>0</v>
      </c>
      <c r="AS1146" s="105" t="n">
        <v>0</v>
      </c>
      <c r="AT1146" s="105" t="n">
        <v>0</v>
      </c>
      <c r="AU1146" s="105" t="n">
        <v>0</v>
      </c>
      <c r="AV1146" s="105" t="n">
        <v>0</v>
      </c>
      <c r="AW1146" s="105" t="n">
        <v>0</v>
      </c>
      <c r="AX1146" s="105" t="n">
        <v>0</v>
      </c>
      <c r="AY1146" s="105" t="n">
        <v>0</v>
      </c>
      <c r="AZ1146" s="105" t="n">
        <v>0</v>
      </c>
      <c r="BA1146" s="105" t="n">
        <v>0</v>
      </c>
      <c r="BB1146" s="105" t="n">
        <v>0</v>
      </c>
      <c r="BC1146" s="105" t="n">
        <v>0</v>
      </c>
      <c r="BD1146" s="105" t="n">
        <v>0</v>
      </c>
      <c r="BE1146" s="105" t="n">
        <v>0</v>
      </c>
      <c r="BF1146" s="105" t="n">
        <v>0</v>
      </c>
      <c r="BG1146" s="105" t="n">
        <v>0</v>
      </c>
      <c r="BH1146" s="105" t="n">
        <v>0</v>
      </c>
      <c r="BI1146" s="105" t="n">
        <v>0</v>
      </c>
      <c r="BJ1146" s="105" t="n">
        <v>0</v>
      </c>
      <c r="BK1146" s="105" t="n">
        <v>0</v>
      </c>
      <c r="BL1146" s="105" t="n">
        <v>0</v>
      </c>
      <c r="BM1146" s="105" t="n">
        <v>0</v>
      </c>
      <c r="BN1146" s="105" t="n">
        <v>0</v>
      </c>
      <c r="BO1146" s="105" t="n">
        <v>0</v>
      </c>
      <c r="BP1146" s="105" t="n">
        <v>0</v>
      </c>
      <c r="BQ1146" s="105" t="n">
        <v>0</v>
      </c>
      <c r="BR1146" s="106" t="n">
        <v>0.666666666666667</v>
      </c>
      <c r="BS1146" s="106" t="n">
        <v>0.666666666666667</v>
      </c>
      <c r="BT1146" s="107"/>
      <c r="BU1146" s="107"/>
      <c r="BV1146" s="107"/>
      <c r="BW1146" s="107"/>
      <c r="BX1146" s="107"/>
      <c r="BY1146" s="107"/>
      <c r="BZ1146" s="107"/>
      <c r="CA1146" s="107"/>
      <c r="CB1146" s="107"/>
      <c r="CC1146" s="107"/>
      <c r="CD1146" s="107"/>
      <c r="CE1146" s="107"/>
      <c r="CF1146" s="107"/>
      <c r="CG1146" s="107"/>
      <c r="CH1146" s="107"/>
      <c r="CI1146" s="107"/>
      <c r="CJ1146" s="107"/>
      <c r="CK1146" s="107"/>
      <c r="CL1146" s="107"/>
      <c r="CM1146" s="107"/>
      <c r="CN1146" s="107"/>
      <c r="CO1146" s="107"/>
      <c r="CP1146" s="107"/>
      <c r="CQ1146" s="107"/>
      <c r="CR1146" s="107"/>
      <c r="CS1146" s="107"/>
      <c r="CT1146" s="107"/>
      <c r="CU1146" s="107"/>
      <c r="CV1146" s="107"/>
    </row>
    <row r="1147" customFormat="false" ht="14.9" hidden="false" customHeight="false" outlineLevel="0" collapsed="false">
      <c r="A1147" s="74" t="n">
        <f aca="false">MONTH(B1147)</f>
        <v>11</v>
      </c>
      <c r="B1147" s="135" t="n">
        <v>44502</v>
      </c>
      <c r="C1147" s="128" t="s">
        <v>152</v>
      </c>
      <c r="D1147" s="77" t="str">
        <f aca="false">IFERROR(VLOOKUP(E:E,'Item Data Support Sheet'!A:O,7,0),"")</f>
        <v>BOTTLE MOLDED</v>
      </c>
      <c r="E1147" s="80" t="s">
        <v>69</v>
      </c>
      <c r="F1147" s="122" t="s">
        <v>73</v>
      </c>
      <c r="G1147" s="137" t="s">
        <v>74</v>
      </c>
      <c r="H1147" s="79" t="str">
        <f aca="false">IFERROR(VLOOKUP(E:E,'Item Data Support Sheet'!A:O,2,0),"")</f>
        <v>KPP 240 ML BOTTLE MOLDED</v>
      </c>
      <c r="I1147" s="80" t="s">
        <v>1935</v>
      </c>
      <c r="J1147" s="80" t="s">
        <v>1913</v>
      </c>
      <c r="K1147" s="124" t="n">
        <v>8</v>
      </c>
      <c r="L1147" s="124" t="n">
        <v>2574</v>
      </c>
      <c r="M1147" s="83" t="n">
        <v>321.75</v>
      </c>
      <c r="N1147" s="84" t="n">
        <f aca="false">+O1147+Q1147+T1147+U1147</f>
        <v>2793</v>
      </c>
      <c r="O1147" s="85" t="n">
        <v>2700</v>
      </c>
      <c r="P1147" s="86" t="n">
        <v>0.2</v>
      </c>
      <c r="Q1147" s="86" t="n">
        <v>37</v>
      </c>
      <c r="R1147" s="132" t="n">
        <v>0</v>
      </c>
      <c r="S1147" s="128" t="n">
        <v>0</v>
      </c>
      <c r="T1147" s="132" t="n">
        <v>48</v>
      </c>
      <c r="U1147" s="128" t="n">
        <v>8</v>
      </c>
      <c r="V1147" s="128" t="n">
        <v>1</v>
      </c>
      <c r="W1147" s="90" t="n">
        <f aca="false">IFERROR(O1147/V1147,0)</f>
        <v>2700</v>
      </c>
      <c r="X1147" s="91" t="n">
        <f aca="false">O1147/L1147</f>
        <v>1.04895104895105</v>
      </c>
      <c r="Y1147" s="92" t="str">
        <f aca="false">IFERROR(VLOOKUP(E:E,'Item Data Support Sheet'!A:J,6,0),0)</f>
        <v>HMC</v>
      </c>
      <c r="Z1147" s="93" t="n">
        <f aca="false">IFERROR(VLOOKUP(E:E,'Item Data Support Sheet'!A:O,4,0),0)</f>
        <v>32.1</v>
      </c>
      <c r="AA1147" s="93" t="n">
        <f aca="false">IFERROR(((N1147)*(Z1147/1000))+P1147,0)</f>
        <v>89.8553</v>
      </c>
      <c r="AB1147" s="94" t="n">
        <f aca="false">IFERROR((O1147*(Z1147/1000)/(AA1147))," ")</f>
        <v>0.964550783314952</v>
      </c>
      <c r="AC1147" s="95" t="n">
        <f aca="false">IFERROR((T1147)/((T1147)+O1147),0)</f>
        <v>0.0174672489082969</v>
      </c>
      <c r="AD1147" s="96" t="n">
        <f aca="false">IFERROR(Q1147/(Q1147+N1147),0)</f>
        <v>0.0130742049469965</v>
      </c>
      <c r="AE1147" s="91" t="n">
        <f aca="false">(N1147-T1147)/N1147</f>
        <v>0.9828141783029</v>
      </c>
      <c r="AF1147" s="97" t="n">
        <f aca="false">BR1147</f>
        <v>0</v>
      </c>
      <c r="AG1147" s="98" t="n">
        <f aca="false">K1147-AF1147</f>
        <v>8</v>
      </c>
      <c r="AH1147" s="99" t="n">
        <f aca="false">IFERROR(AG1147/K1147," ")</f>
        <v>1</v>
      </c>
      <c r="AI1147" s="100" t="n">
        <f aca="false">IFERROR(O1147/K1147,0)</f>
        <v>337.5</v>
      </c>
      <c r="AJ1147" s="101" t="n">
        <f aca="false">VLOOKUP(D1147,'Standard Cycle time'!C:D,2,0)</f>
        <v>9</v>
      </c>
      <c r="AK1147" s="101" t="n">
        <f aca="false">AG1147*V1147*3600/O1147</f>
        <v>10.6666666666667</v>
      </c>
      <c r="AL1147" s="102" t="n">
        <f aca="false">AJ1147/AK1147</f>
        <v>0.84375</v>
      </c>
      <c r="AM1147" s="99" t="n">
        <f aca="false">AE1147*AL1147*AH1147</f>
        <v>0.829249462943072</v>
      </c>
      <c r="AN1147" s="103" t="n">
        <v>0.829249462943072</v>
      </c>
      <c r="AO1147" s="112"/>
      <c r="AP1147" s="105" t="n">
        <v>0</v>
      </c>
      <c r="AQ1147" s="105" t="n">
        <v>0</v>
      </c>
      <c r="AR1147" s="105" t="n">
        <v>0</v>
      </c>
      <c r="AS1147" s="105" t="n">
        <v>0</v>
      </c>
      <c r="AT1147" s="105" t="n">
        <v>0</v>
      </c>
      <c r="AU1147" s="105" t="n">
        <v>0</v>
      </c>
      <c r="AV1147" s="105" t="n">
        <v>0</v>
      </c>
      <c r="AW1147" s="105" t="n">
        <v>0</v>
      </c>
      <c r="AX1147" s="105" t="n">
        <v>0</v>
      </c>
      <c r="AY1147" s="105" t="n">
        <v>0</v>
      </c>
      <c r="AZ1147" s="105" t="n">
        <v>0</v>
      </c>
      <c r="BA1147" s="105" t="n">
        <v>0</v>
      </c>
      <c r="BB1147" s="105" t="n">
        <v>0</v>
      </c>
      <c r="BC1147" s="105" t="n">
        <v>0</v>
      </c>
      <c r="BD1147" s="105" t="n">
        <v>0</v>
      </c>
      <c r="BE1147" s="105" t="n">
        <v>0</v>
      </c>
      <c r="BF1147" s="105" t="n">
        <v>0</v>
      </c>
      <c r="BG1147" s="105" t="n">
        <v>0</v>
      </c>
      <c r="BH1147" s="105" t="n">
        <v>0</v>
      </c>
      <c r="BI1147" s="105" t="n">
        <v>0</v>
      </c>
      <c r="BJ1147" s="105" t="n">
        <v>0</v>
      </c>
      <c r="BK1147" s="105" t="n">
        <v>0</v>
      </c>
      <c r="BL1147" s="105" t="n">
        <v>0</v>
      </c>
      <c r="BM1147" s="105" t="n">
        <v>0</v>
      </c>
      <c r="BN1147" s="105" t="n">
        <v>0</v>
      </c>
      <c r="BO1147" s="105" t="n">
        <v>0</v>
      </c>
      <c r="BP1147" s="105" t="n">
        <v>0</v>
      </c>
      <c r="BQ1147" s="105" t="n">
        <v>0</v>
      </c>
      <c r="BR1147" s="106" t="n">
        <v>0</v>
      </c>
      <c r="BS1147" s="106" t="n">
        <v>0</v>
      </c>
      <c r="BT1147" s="107"/>
      <c r="BU1147" s="107"/>
      <c r="BV1147" s="107"/>
      <c r="BW1147" s="107"/>
      <c r="BX1147" s="107"/>
      <c r="BY1147" s="107"/>
      <c r="BZ1147" s="107"/>
      <c r="CA1147" s="107"/>
      <c r="CB1147" s="107"/>
      <c r="CC1147" s="107"/>
      <c r="CD1147" s="107"/>
      <c r="CE1147" s="107"/>
      <c r="CF1147" s="107"/>
      <c r="CG1147" s="107"/>
      <c r="CH1147" s="107"/>
      <c r="CI1147" s="107"/>
      <c r="CJ1147" s="107"/>
      <c r="CK1147" s="107"/>
      <c r="CL1147" s="107"/>
      <c r="CM1147" s="107"/>
      <c r="CN1147" s="107"/>
      <c r="CO1147" s="107"/>
      <c r="CP1147" s="107"/>
      <c r="CQ1147" s="107"/>
      <c r="CR1147" s="107"/>
      <c r="CS1147" s="107"/>
      <c r="CT1147" s="107"/>
      <c r="CU1147" s="107"/>
      <c r="CV1147" s="107"/>
    </row>
    <row r="1148" customFormat="false" ht="14.9" hidden="false" customHeight="false" outlineLevel="0" collapsed="false">
      <c r="A1148" s="74" t="n">
        <f aca="false">MONTH(B1148)</f>
        <v>11</v>
      </c>
      <c r="B1148" s="135" t="n">
        <v>44502</v>
      </c>
      <c r="C1148" s="128" t="s">
        <v>152</v>
      </c>
      <c r="D1148" s="77" t="str">
        <f aca="false">IFERROR(VLOOKUP(E:E,'Item Data Support Sheet'!A:O,7,0),"")</f>
        <v>HOOD MOLDED</v>
      </c>
      <c r="E1148" s="80" t="s">
        <v>529</v>
      </c>
      <c r="F1148" s="122"/>
      <c r="G1148" s="137" t="s">
        <v>740</v>
      </c>
      <c r="H1148" s="79" t="str">
        <f aca="false">IFERROR(VLOOKUP(E:E,'Item Data Support Sheet'!A:O,2,0),"")</f>
        <v>HOOD S TYPE MOLDED</v>
      </c>
      <c r="I1148" s="80" t="s">
        <v>1936</v>
      </c>
      <c r="J1148" s="80" t="s">
        <v>1913</v>
      </c>
      <c r="K1148" s="124" t="n">
        <v>8</v>
      </c>
      <c r="L1148" s="124" t="n">
        <v>4137</v>
      </c>
      <c r="M1148" s="83" t="n">
        <v>517.125</v>
      </c>
      <c r="N1148" s="84" t="n">
        <f aca="false">+O1148+Q1148+T1148+U1148</f>
        <v>4516</v>
      </c>
      <c r="O1148" s="85" t="n">
        <v>4500</v>
      </c>
      <c r="P1148" s="86" t="n">
        <v>0</v>
      </c>
      <c r="Q1148" s="86" t="n">
        <v>0</v>
      </c>
      <c r="R1148" s="132" t="n">
        <v>0</v>
      </c>
      <c r="S1148" s="128" t="n">
        <v>0</v>
      </c>
      <c r="T1148" s="132" t="n">
        <v>8</v>
      </c>
      <c r="U1148" s="128" t="n">
        <v>8</v>
      </c>
      <c r="V1148" s="128" t="n">
        <v>1</v>
      </c>
      <c r="W1148" s="90" t="n">
        <f aca="false">IFERROR(O1148/V1148,0)</f>
        <v>4500</v>
      </c>
      <c r="X1148" s="91" t="n">
        <f aca="false">O1148/L1148</f>
        <v>1.08774474256708</v>
      </c>
      <c r="Y1148" s="92" t="str">
        <f aca="false">IFERROR(VLOOKUP(E:E,'Item Data Support Sheet'!A:J,6,0),0)</f>
        <v>HMC</v>
      </c>
      <c r="Z1148" s="93" t="n">
        <f aca="false">IFERROR(VLOOKUP(E:E,'Item Data Support Sheet'!A:O,4,0),0)</f>
        <v>8.6</v>
      </c>
      <c r="AA1148" s="93" t="n">
        <f aca="false">IFERROR(((N1148)*(Z1148/1000))+P1148,0)</f>
        <v>38.8376</v>
      </c>
      <c r="AB1148" s="94" t="n">
        <f aca="false">IFERROR((O1148*(Z1148/1000)/(AA1148))," ")</f>
        <v>0.996457041629761</v>
      </c>
      <c r="AC1148" s="95" t="n">
        <f aca="false">IFERROR((T1148)/((T1148)+O1148),0)</f>
        <v>0.00177462289263532</v>
      </c>
      <c r="AD1148" s="96" t="n">
        <f aca="false">IFERROR(Q1148/(Q1148+N1148),0)</f>
        <v>0</v>
      </c>
      <c r="AE1148" s="91" t="n">
        <f aca="false">(N1148-T1148)/N1148</f>
        <v>0.99822852081488</v>
      </c>
      <c r="AF1148" s="97" t="n">
        <f aca="false">BR1148</f>
        <v>0</v>
      </c>
      <c r="AG1148" s="98" t="n">
        <f aca="false">K1148-AF1148</f>
        <v>8</v>
      </c>
      <c r="AH1148" s="99" t="n">
        <f aca="false">IFERROR(AG1148/K1148," ")</f>
        <v>1</v>
      </c>
      <c r="AI1148" s="100" t="n">
        <f aca="false">IFERROR(O1148/K1148,0)</f>
        <v>562.5</v>
      </c>
      <c r="AJ1148" s="101" t="n">
        <f aca="false">VLOOKUP(D1148,'Standard Cycle time'!C:D,2,0)</f>
        <v>6</v>
      </c>
      <c r="AK1148" s="101" t="n">
        <f aca="false">AG1148*V1148*3600/O1148</f>
        <v>6.4</v>
      </c>
      <c r="AL1148" s="102" t="n">
        <f aca="false">AJ1148/AK1148</f>
        <v>0.9375</v>
      </c>
      <c r="AM1148" s="99" t="n">
        <f aca="false">AE1148*AL1148*AH1148</f>
        <v>0.93583923826395</v>
      </c>
      <c r="AN1148" s="103" t="n">
        <v>0.93583923826395</v>
      </c>
      <c r="AO1148" s="112"/>
      <c r="AP1148" s="105" t="n">
        <v>0</v>
      </c>
      <c r="AQ1148" s="105" t="n">
        <v>0</v>
      </c>
      <c r="AR1148" s="105" t="n">
        <v>0</v>
      </c>
      <c r="AS1148" s="105" t="n">
        <v>0</v>
      </c>
      <c r="AT1148" s="105" t="n">
        <v>0</v>
      </c>
      <c r="AU1148" s="105" t="n">
        <v>0</v>
      </c>
      <c r="AV1148" s="105" t="n">
        <v>0</v>
      </c>
      <c r="AW1148" s="105" t="n">
        <v>0</v>
      </c>
      <c r="AX1148" s="105" t="n">
        <v>0</v>
      </c>
      <c r="AY1148" s="105" t="n">
        <v>0</v>
      </c>
      <c r="AZ1148" s="105" t="n">
        <v>0</v>
      </c>
      <c r="BA1148" s="105" t="n">
        <v>0</v>
      </c>
      <c r="BB1148" s="105" t="n">
        <v>0</v>
      </c>
      <c r="BC1148" s="105" t="n">
        <v>0</v>
      </c>
      <c r="BD1148" s="105" t="n">
        <v>0</v>
      </c>
      <c r="BE1148" s="105" t="n">
        <v>0</v>
      </c>
      <c r="BF1148" s="105" t="n">
        <v>0</v>
      </c>
      <c r="BG1148" s="105" t="n">
        <v>0</v>
      </c>
      <c r="BH1148" s="105" t="n">
        <v>0</v>
      </c>
      <c r="BI1148" s="105" t="n">
        <v>0</v>
      </c>
      <c r="BJ1148" s="105" t="n">
        <v>0</v>
      </c>
      <c r="BK1148" s="105" t="n">
        <v>0</v>
      </c>
      <c r="BL1148" s="105" t="n">
        <v>0</v>
      </c>
      <c r="BM1148" s="105" t="n">
        <v>0</v>
      </c>
      <c r="BN1148" s="105" t="n">
        <v>0</v>
      </c>
      <c r="BO1148" s="105" t="n">
        <v>0</v>
      </c>
      <c r="BP1148" s="105" t="n">
        <v>0</v>
      </c>
      <c r="BQ1148" s="105" t="n">
        <v>0</v>
      </c>
      <c r="BR1148" s="106" t="n">
        <v>0</v>
      </c>
      <c r="BS1148" s="106" t="n">
        <v>0</v>
      </c>
      <c r="BT1148" s="107"/>
      <c r="BU1148" s="107"/>
      <c r="BV1148" s="107"/>
      <c r="BW1148" s="107"/>
      <c r="BX1148" s="107"/>
      <c r="BY1148" s="107"/>
      <c r="BZ1148" s="107"/>
      <c r="CA1148" s="107"/>
      <c r="CB1148" s="107"/>
      <c r="CC1148" s="107"/>
      <c r="CD1148" s="107"/>
      <c r="CE1148" s="107"/>
      <c r="CF1148" s="107"/>
      <c r="CG1148" s="107"/>
      <c r="CH1148" s="107"/>
      <c r="CI1148" s="107"/>
      <c r="CJ1148" s="107"/>
      <c r="CK1148" s="107"/>
      <c r="CL1148" s="107"/>
      <c r="CM1148" s="107"/>
      <c r="CN1148" s="107"/>
      <c r="CO1148" s="107"/>
      <c r="CP1148" s="107"/>
      <c r="CQ1148" s="107"/>
      <c r="CR1148" s="107"/>
      <c r="CS1148" s="107"/>
      <c r="CT1148" s="107"/>
      <c r="CU1148" s="107"/>
      <c r="CV1148" s="107"/>
    </row>
    <row r="1149" customFormat="false" ht="14.9" hidden="false" customHeight="false" outlineLevel="0" collapsed="false">
      <c r="A1149" s="74" t="n">
        <f aca="false">MONTH(B1149)</f>
        <v>11</v>
      </c>
      <c r="B1149" s="135" t="n">
        <v>44502</v>
      </c>
      <c r="C1149" s="128" t="s">
        <v>152</v>
      </c>
      <c r="D1149" s="77" t="str">
        <f aca="false">IFERROR(VLOOKUP(E:E,'Item Data Support Sheet'!A:O,7,0),"")</f>
        <v>NIPPLE MOLDED</v>
      </c>
      <c r="E1149" s="80" t="s">
        <v>244</v>
      </c>
      <c r="F1149" s="122" t="s">
        <v>137</v>
      </c>
      <c r="G1149" s="137" t="s">
        <v>138</v>
      </c>
      <c r="H1149" s="79" t="str">
        <f aca="false">IFERROR(VLOOKUP(E:E,'Item Data Support Sheet'!A:O,2,0),"")</f>
        <v>NIPPLE S TYPE S SIZE INJECTION</v>
      </c>
      <c r="I1149" s="80" t="s">
        <v>1937</v>
      </c>
      <c r="J1149" s="80" t="s">
        <v>1913</v>
      </c>
      <c r="K1149" s="124" t="n">
        <v>8</v>
      </c>
      <c r="L1149" s="124" t="n">
        <v>4815</v>
      </c>
      <c r="M1149" s="83" t="n">
        <v>601.875</v>
      </c>
      <c r="N1149" s="84" t="n">
        <f aca="false">+O1149+Q1149+T1149+U1149</f>
        <v>4350</v>
      </c>
      <c r="O1149" s="85" t="n">
        <v>4310</v>
      </c>
      <c r="P1149" s="86" t="n">
        <v>0</v>
      </c>
      <c r="Q1149" s="86" t="n">
        <v>0</v>
      </c>
      <c r="R1149" s="132" t="n">
        <v>0</v>
      </c>
      <c r="S1149" s="128" t="n">
        <v>0</v>
      </c>
      <c r="T1149" s="132" t="n">
        <v>32</v>
      </c>
      <c r="U1149" s="128" t="n">
        <v>8</v>
      </c>
      <c r="V1149" s="128" t="n">
        <v>1</v>
      </c>
      <c r="W1149" s="90" t="n">
        <f aca="false">IFERROR(O1149/V1149,0)</f>
        <v>4310</v>
      </c>
      <c r="X1149" s="91" t="n">
        <f aca="false">O1149/L1149</f>
        <v>0.895119418483904</v>
      </c>
      <c r="Y1149" s="92" t="str">
        <f aca="false">IFERROR(VLOOKUP(E:E,'Item Data Support Sheet'!A:J,6,0),0)</f>
        <v>Silicon</v>
      </c>
      <c r="Z1149" s="93" t="n">
        <f aca="false">IFERROR(VLOOKUP(E:E,'Item Data Support Sheet'!A:O,4,0),0)</f>
        <v>6.8</v>
      </c>
      <c r="AA1149" s="93" t="n">
        <f aca="false">IFERROR(((N1149)*(Z1149/1000))+P1149,0)</f>
        <v>29.58</v>
      </c>
      <c r="AB1149" s="94" t="n">
        <f aca="false">IFERROR((O1149*(Z1149/1000)/(AA1149))," ")</f>
        <v>0.990804597701149</v>
      </c>
      <c r="AC1149" s="95" t="n">
        <f aca="false">IFERROR((T1149)/((T1149)+O1149),0)</f>
        <v>0.00736987563334869</v>
      </c>
      <c r="AD1149" s="96" t="n">
        <f aca="false">IFERROR(Q1149/(Q1149+N1149),0)</f>
        <v>0</v>
      </c>
      <c r="AE1149" s="91" t="n">
        <f aca="false">(N1149-T1149)/N1149</f>
        <v>0.99264367816092</v>
      </c>
      <c r="AF1149" s="97" t="n">
        <f aca="false">BR1149</f>
        <v>1.5</v>
      </c>
      <c r="AG1149" s="98" t="n">
        <f aca="false">K1149-AF1149</f>
        <v>6.5</v>
      </c>
      <c r="AH1149" s="99" t="n">
        <f aca="false">IFERROR(AG1149/K1149," ")</f>
        <v>0.8125</v>
      </c>
      <c r="AI1149" s="100" t="n">
        <f aca="false">IFERROR(O1149/K1149,0)</f>
        <v>538.75</v>
      </c>
      <c r="AJ1149" s="101" t="n">
        <f aca="false">VLOOKUP(D1149,'Standard Cycle time'!C:D,2,0)</f>
        <v>5.25</v>
      </c>
      <c r="AK1149" s="101" t="n">
        <f aca="false">AG1149*V1149*3600/O1149</f>
        <v>5.4292343387471</v>
      </c>
      <c r="AL1149" s="102" t="n">
        <f aca="false">AJ1149/AK1149</f>
        <v>0.966987179487179</v>
      </c>
      <c r="AM1149" s="99" t="n">
        <f aca="false">AE1149*AL1149*AH1149</f>
        <v>0.779897389846743</v>
      </c>
      <c r="AN1149" s="103" t="n">
        <v>0.779897389846744</v>
      </c>
      <c r="AO1149" s="112" t="s">
        <v>1938</v>
      </c>
      <c r="AP1149" s="105" t="n">
        <v>0</v>
      </c>
      <c r="AQ1149" s="105" t="n">
        <v>0</v>
      </c>
      <c r="AR1149" s="105" t="n">
        <v>0</v>
      </c>
      <c r="AS1149" s="105" t="n">
        <v>0</v>
      </c>
      <c r="AT1149" s="105" t="n">
        <v>0</v>
      </c>
      <c r="AU1149" s="105" t="n">
        <v>0</v>
      </c>
      <c r="AV1149" s="105" t="n">
        <v>0</v>
      </c>
      <c r="AW1149" s="105" t="n">
        <v>0</v>
      </c>
      <c r="AX1149" s="105" t="n">
        <v>0</v>
      </c>
      <c r="AY1149" s="105" t="n">
        <v>0</v>
      </c>
      <c r="AZ1149" s="105" t="n">
        <v>0</v>
      </c>
      <c r="BA1149" s="105" t="n">
        <v>0</v>
      </c>
      <c r="BB1149" s="105" t="n">
        <v>90</v>
      </c>
      <c r="BC1149" s="105" t="n">
        <v>0</v>
      </c>
      <c r="BD1149" s="105" t="n">
        <v>0</v>
      </c>
      <c r="BE1149" s="105" t="n">
        <v>0</v>
      </c>
      <c r="BF1149" s="105" t="n">
        <v>0</v>
      </c>
      <c r="BG1149" s="105" t="n">
        <v>0</v>
      </c>
      <c r="BH1149" s="105" t="n">
        <v>0</v>
      </c>
      <c r="BI1149" s="105" t="n">
        <v>0</v>
      </c>
      <c r="BJ1149" s="105" t="n">
        <v>0</v>
      </c>
      <c r="BK1149" s="105" t="n">
        <v>0</v>
      </c>
      <c r="BL1149" s="105" t="n">
        <v>0</v>
      </c>
      <c r="BM1149" s="105" t="n">
        <v>0</v>
      </c>
      <c r="BN1149" s="105" t="n">
        <v>0</v>
      </c>
      <c r="BO1149" s="105" t="n">
        <v>0</v>
      </c>
      <c r="BP1149" s="105" t="n">
        <v>0</v>
      </c>
      <c r="BQ1149" s="105" t="n">
        <v>0</v>
      </c>
      <c r="BR1149" s="106" t="n">
        <v>1.5</v>
      </c>
      <c r="BS1149" s="106" t="n">
        <v>1.5</v>
      </c>
      <c r="BT1149" s="107"/>
      <c r="BU1149" s="107"/>
      <c r="BV1149" s="107"/>
      <c r="BW1149" s="107"/>
      <c r="BX1149" s="107"/>
      <c r="BY1149" s="107"/>
      <c r="BZ1149" s="107"/>
      <c r="CA1149" s="107"/>
      <c r="CB1149" s="107"/>
      <c r="CC1149" s="107"/>
      <c r="CD1149" s="107"/>
      <c r="CE1149" s="107"/>
      <c r="CF1149" s="107"/>
      <c r="CG1149" s="107"/>
      <c r="CH1149" s="107"/>
      <c r="CI1149" s="107"/>
      <c r="CJ1149" s="107"/>
      <c r="CK1149" s="107"/>
      <c r="CL1149" s="107"/>
      <c r="CM1149" s="107"/>
      <c r="CN1149" s="107"/>
      <c r="CO1149" s="107"/>
      <c r="CP1149" s="107"/>
      <c r="CQ1149" s="107"/>
      <c r="CR1149" s="107"/>
      <c r="CS1149" s="107"/>
      <c r="CT1149" s="107"/>
      <c r="CU1149" s="107"/>
      <c r="CV1149" s="107"/>
    </row>
    <row r="1150" customFormat="false" ht="14.9" hidden="false" customHeight="false" outlineLevel="0" collapsed="false">
      <c r="A1150" s="74" t="n">
        <f aca="false">MONTH(B1150)</f>
        <v>11</v>
      </c>
      <c r="B1150" s="135" t="n">
        <v>44509</v>
      </c>
      <c r="C1150" s="128" t="s">
        <v>51</v>
      </c>
      <c r="D1150" s="77" t="str">
        <f aca="false">IFERROR(VLOOKUP(E:E,'Item Data Support Sheet'!A:O,7,0),"")</f>
        <v>NIPPLE MOLDED</v>
      </c>
      <c r="E1150" s="80" t="s">
        <v>661</v>
      </c>
      <c r="F1150" s="122" t="s">
        <v>1286</v>
      </c>
      <c r="G1150" s="137" t="s">
        <v>848</v>
      </c>
      <c r="H1150" s="79" t="str">
        <f aca="false">IFERROR(VLOOKUP(E:E,'Item Data Support Sheet'!A:O,2,0),"")</f>
        <v>NIPPLE S TYPE L SIZE INJECTION</v>
      </c>
      <c r="I1150" s="80" t="s">
        <v>1939</v>
      </c>
      <c r="J1150" s="80" t="s">
        <v>1913</v>
      </c>
      <c r="K1150" s="124" t="n">
        <v>2.8</v>
      </c>
      <c r="L1150" s="124" t="n">
        <v>1200</v>
      </c>
      <c r="M1150" s="83" t="n">
        <v>428.571428571429</v>
      </c>
      <c r="N1150" s="84" t="n">
        <f aca="false">+O1150+Q1150+T1150+U1150</f>
        <v>770</v>
      </c>
      <c r="O1150" s="85" t="n">
        <v>770</v>
      </c>
      <c r="P1150" s="86" t="n">
        <v>0</v>
      </c>
      <c r="Q1150" s="86" t="n">
        <v>0</v>
      </c>
      <c r="R1150" s="132" t="n">
        <v>0</v>
      </c>
      <c r="S1150" s="128" t="n">
        <v>0</v>
      </c>
      <c r="T1150" s="132" t="n">
        <v>0</v>
      </c>
      <c r="U1150" s="128" t="n">
        <v>0</v>
      </c>
      <c r="V1150" s="128" t="n">
        <v>1</v>
      </c>
      <c r="W1150" s="90" t="n">
        <f aca="false">IFERROR(O1150/V1150,0)</f>
        <v>770</v>
      </c>
      <c r="X1150" s="91" t="n">
        <f aca="false">O1150/L1150</f>
        <v>0.641666666666667</v>
      </c>
      <c r="Y1150" s="92" t="str">
        <f aca="false">IFERROR(VLOOKUP(E:E,'Item Data Support Sheet'!A:J,6,0),0)</f>
        <v>Silicon</v>
      </c>
      <c r="Z1150" s="93" t="n">
        <f aca="false">IFERROR(VLOOKUP(E:E,'Item Data Support Sheet'!A:O,4,0),0)</f>
        <v>6.8</v>
      </c>
      <c r="AA1150" s="93" t="n">
        <f aca="false">IFERROR(((N1150)*(Z1150/1000))+P1150,0)</f>
        <v>5.236</v>
      </c>
      <c r="AB1150" s="94" t="n">
        <f aca="false">IFERROR((O1150*(Z1150/1000)/(AA1150))," ")</f>
        <v>1</v>
      </c>
      <c r="AC1150" s="95" t="n">
        <f aca="false">IFERROR((T1150)/((T1150)+O1150),0)</f>
        <v>0</v>
      </c>
      <c r="AD1150" s="96" t="n">
        <f aca="false">IFERROR(Q1150/(Q1150+N1150),0)</f>
        <v>0</v>
      </c>
      <c r="AE1150" s="91" t="n">
        <f aca="false">(N1150-T1150)/N1150</f>
        <v>1</v>
      </c>
      <c r="AF1150" s="97" t="n">
        <f aca="false">BR1150</f>
        <v>1.5</v>
      </c>
      <c r="AG1150" s="98" t="n">
        <f aca="false">K1150-AF1150</f>
        <v>1.3</v>
      </c>
      <c r="AH1150" s="99" t="n">
        <f aca="false">IFERROR(AG1150/K1150," ")</f>
        <v>0.464285714285714</v>
      </c>
      <c r="AI1150" s="100" t="n">
        <f aca="false">IFERROR(O1150/K1150,0)</f>
        <v>275</v>
      </c>
      <c r="AJ1150" s="101" t="n">
        <f aca="false">VLOOKUP(D1150,'Standard Cycle time'!C:D,2,0)</f>
        <v>5.25</v>
      </c>
      <c r="AK1150" s="101" t="n">
        <f aca="false">AG1150*V1150*3600/O1150</f>
        <v>6.07792207792208</v>
      </c>
      <c r="AL1150" s="102" t="n">
        <f aca="false">AJ1150/AK1150</f>
        <v>0.863782051282051</v>
      </c>
      <c r="AM1150" s="99" t="n">
        <f aca="false">AE1150*AL1150*AH1150</f>
        <v>0.401041666666667</v>
      </c>
      <c r="AN1150" s="103" t="n">
        <v>0.401041666666667</v>
      </c>
      <c r="AO1150" s="112"/>
      <c r="AP1150" s="105" t="n">
        <v>0</v>
      </c>
      <c r="AQ1150" s="105" t="n">
        <v>0</v>
      </c>
      <c r="AR1150" s="105" t="n">
        <v>0</v>
      </c>
      <c r="AS1150" s="105" t="n">
        <v>0</v>
      </c>
      <c r="AT1150" s="105" t="n">
        <v>0</v>
      </c>
      <c r="AU1150" s="105" t="n">
        <v>0</v>
      </c>
      <c r="AV1150" s="105" t="n">
        <v>0</v>
      </c>
      <c r="AW1150" s="105" t="n">
        <v>0</v>
      </c>
      <c r="AX1150" s="105" t="n">
        <v>0</v>
      </c>
      <c r="AY1150" s="105" t="n">
        <v>0</v>
      </c>
      <c r="AZ1150" s="105" t="n">
        <v>0</v>
      </c>
      <c r="BA1150" s="105" t="n">
        <v>0</v>
      </c>
      <c r="BB1150" s="105" t="n">
        <v>90</v>
      </c>
      <c r="BC1150" s="105" t="n">
        <v>0</v>
      </c>
      <c r="BD1150" s="105" t="n">
        <v>0</v>
      </c>
      <c r="BE1150" s="105" t="n">
        <v>0</v>
      </c>
      <c r="BF1150" s="105" t="n">
        <v>0</v>
      </c>
      <c r="BG1150" s="105" t="n">
        <v>0</v>
      </c>
      <c r="BH1150" s="105" t="n">
        <v>0</v>
      </c>
      <c r="BI1150" s="105" t="n">
        <v>0</v>
      </c>
      <c r="BJ1150" s="105" t="n">
        <v>0</v>
      </c>
      <c r="BK1150" s="105" t="n">
        <v>0</v>
      </c>
      <c r="BL1150" s="105" t="n">
        <v>0</v>
      </c>
      <c r="BM1150" s="105" t="n">
        <v>0</v>
      </c>
      <c r="BN1150" s="105" t="n">
        <v>0</v>
      </c>
      <c r="BO1150" s="105" t="n">
        <v>0</v>
      </c>
      <c r="BP1150" s="105" t="n">
        <v>0</v>
      </c>
      <c r="BQ1150" s="105" t="n">
        <v>0</v>
      </c>
      <c r="BR1150" s="106" t="n">
        <v>1.5</v>
      </c>
      <c r="BS1150" s="106" t="n">
        <v>1.5</v>
      </c>
      <c r="BT1150" s="107"/>
      <c r="BU1150" s="107"/>
      <c r="BV1150" s="107"/>
      <c r="BW1150" s="107"/>
      <c r="BX1150" s="107"/>
      <c r="BY1150" s="107"/>
      <c r="BZ1150" s="107"/>
      <c r="CA1150" s="107"/>
      <c r="CB1150" s="107"/>
      <c r="CC1150" s="107"/>
      <c r="CD1150" s="107"/>
      <c r="CE1150" s="107"/>
      <c r="CF1150" s="107"/>
      <c r="CG1150" s="107"/>
      <c r="CH1150" s="107"/>
      <c r="CI1150" s="107"/>
      <c r="CJ1150" s="107"/>
      <c r="CK1150" s="107"/>
      <c r="CL1150" s="107"/>
      <c r="CM1150" s="107"/>
      <c r="CN1150" s="107"/>
      <c r="CO1150" s="107"/>
      <c r="CP1150" s="107"/>
      <c r="CQ1150" s="107"/>
      <c r="CR1150" s="107"/>
      <c r="CS1150" s="107"/>
      <c r="CT1150" s="107"/>
      <c r="CU1150" s="107"/>
      <c r="CV1150" s="107"/>
    </row>
    <row r="1151" customFormat="false" ht="14.9" hidden="false" customHeight="false" outlineLevel="0" collapsed="false">
      <c r="A1151" s="74" t="n">
        <f aca="false">MONTH(B1151)</f>
        <v>11</v>
      </c>
      <c r="B1151" s="135" t="n">
        <v>44509</v>
      </c>
      <c r="C1151" s="128" t="s">
        <v>51</v>
      </c>
      <c r="D1151" s="77" t="str">
        <f aca="false">IFERROR(VLOOKUP(E:E,'Item Data Support Sheet'!A:O,7,0),"")</f>
        <v>HOOD MOLDED</v>
      </c>
      <c r="E1151" s="80" t="s">
        <v>529</v>
      </c>
      <c r="F1151" s="122"/>
      <c r="G1151" s="137" t="s">
        <v>740</v>
      </c>
      <c r="H1151" s="79" t="str">
        <f aca="false">IFERROR(VLOOKUP(E:E,'Item Data Support Sheet'!A:O,2,0),"")</f>
        <v>HOOD S TYPE MOLDED</v>
      </c>
      <c r="I1151" s="80" t="s">
        <v>1940</v>
      </c>
      <c r="J1151" s="80" t="s">
        <v>143</v>
      </c>
      <c r="K1151" s="124" t="n">
        <v>8</v>
      </c>
      <c r="L1151" s="124" t="n">
        <v>3800</v>
      </c>
      <c r="M1151" s="83" t="n">
        <v>475</v>
      </c>
      <c r="N1151" s="84" t="n">
        <f aca="false">+O1151+Q1151+T1151+U1151</f>
        <v>4356</v>
      </c>
      <c r="O1151" s="85" t="n">
        <v>4300</v>
      </c>
      <c r="P1151" s="86" t="n">
        <v>0</v>
      </c>
      <c r="Q1151" s="86" t="n">
        <v>40</v>
      </c>
      <c r="R1151" s="132" t="n">
        <v>0</v>
      </c>
      <c r="S1151" s="128" t="n">
        <v>0</v>
      </c>
      <c r="T1151" s="132" t="n">
        <v>8</v>
      </c>
      <c r="U1151" s="128" t="n">
        <v>8</v>
      </c>
      <c r="V1151" s="128" t="n">
        <v>1</v>
      </c>
      <c r="W1151" s="90" t="n">
        <f aca="false">IFERROR(O1151/V1151,0)</f>
        <v>4300</v>
      </c>
      <c r="X1151" s="91" t="n">
        <f aca="false">O1151/L1151</f>
        <v>1.13157894736842</v>
      </c>
      <c r="Y1151" s="92" t="str">
        <f aca="false">IFERROR(VLOOKUP(E:E,'Item Data Support Sheet'!A:J,6,0),0)</f>
        <v>HMC</v>
      </c>
      <c r="Z1151" s="93" t="n">
        <f aca="false">IFERROR(VLOOKUP(E:E,'Item Data Support Sheet'!A:O,4,0),0)</f>
        <v>8.6</v>
      </c>
      <c r="AA1151" s="93" t="n">
        <f aca="false">IFERROR(((N1151)*(Z1151/1000))+P1151,0)</f>
        <v>37.4616</v>
      </c>
      <c r="AB1151" s="94" t="n">
        <f aca="false">IFERROR((O1151*(Z1151/1000)/(AA1151))," ")</f>
        <v>0.987144168962351</v>
      </c>
      <c r="AC1151" s="95" t="n">
        <f aca="false">IFERROR((T1151)/((T1151)+O1151),0)</f>
        <v>0.00185701021355617</v>
      </c>
      <c r="AD1151" s="96" t="n">
        <f aca="false">IFERROR(Q1151/(Q1151+N1151),0)</f>
        <v>0.00909918107370337</v>
      </c>
      <c r="AE1151" s="91" t="n">
        <f aca="false">(N1151-T1151)/N1151</f>
        <v>0.998163452708907</v>
      </c>
      <c r="AF1151" s="97" t="n">
        <f aca="false">BR1151</f>
        <v>0</v>
      </c>
      <c r="AG1151" s="98" t="n">
        <f aca="false">K1151-AF1151</f>
        <v>8</v>
      </c>
      <c r="AH1151" s="99" t="n">
        <f aca="false">IFERROR(AG1151/K1151," ")</f>
        <v>1</v>
      </c>
      <c r="AI1151" s="100" t="n">
        <f aca="false">IFERROR(O1151/K1151,0)</f>
        <v>537.5</v>
      </c>
      <c r="AJ1151" s="101" t="n">
        <f aca="false">VLOOKUP(D1151,'Standard Cycle time'!C:D,2,0)</f>
        <v>6</v>
      </c>
      <c r="AK1151" s="101" t="n">
        <f aca="false">AG1151*V1151*3600/O1151</f>
        <v>6.69767441860465</v>
      </c>
      <c r="AL1151" s="102" t="n">
        <f aca="false">AJ1151/AK1151</f>
        <v>0.895833333333333</v>
      </c>
      <c r="AM1151" s="99" t="n">
        <f aca="false">AE1151*AL1151*AH1151</f>
        <v>0.894188093051729</v>
      </c>
      <c r="AN1151" s="103" t="n">
        <v>0.894188093051729</v>
      </c>
      <c r="AO1151" s="112" t="s">
        <v>1941</v>
      </c>
      <c r="AP1151" s="105" t="n">
        <v>0</v>
      </c>
      <c r="AQ1151" s="105" t="n">
        <v>0</v>
      </c>
      <c r="AR1151" s="105" t="n">
        <v>0</v>
      </c>
      <c r="AS1151" s="105" t="n">
        <v>0</v>
      </c>
      <c r="AT1151" s="105" t="n">
        <v>0</v>
      </c>
      <c r="AU1151" s="105" t="n">
        <v>0</v>
      </c>
      <c r="AV1151" s="105" t="n">
        <v>0</v>
      </c>
      <c r="AW1151" s="105" t="n">
        <v>0</v>
      </c>
      <c r="AX1151" s="105" t="n">
        <v>0</v>
      </c>
      <c r="AY1151" s="105" t="n">
        <v>0</v>
      </c>
      <c r="AZ1151" s="105" t="n">
        <v>0</v>
      </c>
      <c r="BA1151" s="105" t="n">
        <v>0</v>
      </c>
      <c r="BB1151" s="105" t="n">
        <v>0</v>
      </c>
      <c r="BC1151" s="105" t="n">
        <v>0</v>
      </c>
      <c r="BD1151" s="105" t="n">
        <v>0</v>
      </c>
      <c r="BE1151" s="105" t="n">
        <v>0</v>
      </c>
      <c r="BF1151" s="105" t="n">
        <v>0</v>
      </c>
      <c r="BG1151" s="105" t="n">
        <v>0</v>
      </c>
      <c r="BH1151" s="105" t="n">
        <v>0</v>
      </c>
      <c r="BI1151" s="105" t="n">
        <v>0</v>
      </c>
      <c r="BJ1151" s="105" t="n">
        <v>0</v>
      </c>
      <c r="BK1151" s="105" t="n">
        <v>0</v>
      </c>
      <c r="BL1151" s="105" t="n">
        <v>0</v>
      </c>
      <c r="BM1151" s="105" t="n">
        <v>0</v>
      </c>
      <c r="BN1151" s="105" t="n">
        <v>0</v>
      </c>
      <c r="BO1151" s="105" t="n">
        <v>0</v>
      </c>
      <c r="BP1151" s="105" t="n">
        <v>0</v>
      </c>
      <c r="BQ1151" s="105" t="n">
        <v>0</v>
      </c>
      <c r="BR1151" s="106" t="n">
        <v>0</v>
      </c>
      <c r="BS1151" s="106" t="n">
        <v>0</v>
      </c>
      <c r="BT1151" s="107"/>
      <c r="BU1151" s="107"/>
      <c r="BV1151" s="107"/>
      <c r="BW1151" s="107"/>
      <c r="BX1151" s="107"/>
      <c r="BY1151" s="107"/>
      <c r="BZ1151" s="107"/>
      <c r="CA1151" s="107"/>
      <c r="CB1151" s="107"/>
      <c r="CC1151" s="107"/>
      <c r="CD1151" s="107"/>
      <c r="CE1151" s="107"/>
      <c r="CF1151" s="107"/>
      <c r="CG1151" s="107"/>
      <c r="CH1151" s="107"/>
      <c r="CI1151" s="107"/>
      <c r="CJ1151" s="107"/>
      <c r="CK1151" s="107"/>
      <c r="CL1151" s="107"/>
      <c r="CM1151" s="107"/>
      <c r="CN1151" s="107"/>
      <c r="CO1151" s="107"/>
      <c r="CP1151" s="107"/>
      <c r="CQ1151" s="107"/>
      <c r="CR1151" s="107"/>
      <c r="CS1151" s="107"/>
      <c r="CT1151" s="107"/>
      <c r="CU1151" s="107"/>
      <c r="CV1151" s="107"/>
    </row>
    <row r="1152" customFormat="false" ht="14.9" hidden="false" customHeight="false" outlineLevel="0" collapsed="false">
      <c r="A1152" s="74" t="n">
        <f aca="false">MONTH(B1152)</f>
        <v>11</v>
      </c>
      <c r="B1152" s="135" t="n">
        <v>44509</v>
      </c>
      <c r="C1152" s="128" t="s">
        <v>51</v>
      </c>
      <c r="D1152" s="77" t="str">
        <f aca="false">IFERROR(VLOOKUP(E:E,'Item Data Support Sheet'!A:O,7,0),"")</f>
        <v>BOTTLE MOLDED</v>
      </c>
      <c r="E1152" s="80" t="s">
        <v>69</v>
      </c>
      <c r="F1152" s="122" t="s">
        <v>73</v>
      </c>
      <c r="G1152" s="137" t="s">
        <v>74</v>
      </c>
      <c r="H1152" s="79" t="str">
        <f aca="false">IFERROR(VLOOKUP(E:E,'Item Data Support Sheet'!A:O,2,0),"")</f>
        <v>KPP 240 ML BOTTLE MOLDED</v>
      </c>
      <c r="I1152" s="80" t="s">
        <v>1942</v>
      </c>
      <c r="J1152" s="80" t="s">
        <v>143</v>
      </c>
      <c r="K1152" s="124" t="n">
        <v>8</v>
      </c>
      <c r="L1152" s="124" t="n">
        <v>2000</v>
      </c>
      <c r="M1152" s="83" t="n">
        <v>250</v>
      </c>
      <c r="N1152" s="84" t="n">
        <f aca="false">+O1152+Q1152+T1152+U1152</f>
        <v>2010</v>
      </c>
      <c r="O1152" s="85" t="n">
        <v>1944</v>
      </c>
      <c r="P1152" s="86" t="n">
        <v>0.2</v>
      </c>
      <c r="Q1152" s="86" t="n">
        <v>32</v>
      </c>
      <c r="R1152" s="132" t="n">
        <v>0</v>
      </c>
      <c r="S1152" s="128" t="n">
        <v>0</v>
      </c>
      <c r="T1152" s="132" t="n">
        <v>26</v>
      </c>
      <c r="U1152" s="128" t="n">
        <v>8</v>
      </c>
      <c r="V1152" s="128" t="n">
        <v>1</v>
      </c>
      <c r="W1152" s="90" t="n">
        <f aca="false">IFERROR(O1152/V1152,0)</f>
        <v>1944</v>
      </c>
      <c r="X1152" s="91" t="n">
        <f aca="false">O1152/L1152</f>
        <v>0.972</v>
      </c>
      <c r="Y1152" s="92" t="str">
        <f aca="false">IFERROR(VLOOKUP(E:E,'Item Data Support Sheet'!A:J,6,0),0)</f>
        <v>HMC</v>
      </c>
      <c r="Z1152" s="93" t="n">
        <f aca="false">IFERROR(VLOOKUP(E:E,'Item Data Support Sheet'!A:O,4,0),0)</f>
        <v>32.1</v>
      </c>
      <c r="AA1152" s="93" t="n">
        <f aca="false">IFERROR(((N1152)*(Z1152/1000))+P1152,0)</f>
        <v>64.721</v>
      </c>
      <c r="AB1152" s="94" t="n">
        <f aca="false">IFERROR((O1152*(Z1152/1000)/(AA1152))," ")</f>
        <v>0.964175460824153</v>
      </c>
      <c r="AC1152" s="95" t="n">
        <f aca="false">IFERROR((T1152)/((T1152)+O1152),0)</f>
        <v>0.0131979695431472</v>
      </c>
      <c r="AD1152" s="96" t="n">
        <f aca="false">IFERROR(Q1152/(Q1152+N1152),0)</f>
        <v>0.0156709108716944</v>
      </c>
      <c r="AE1152" s="91" t="n">
        <f aca="false">(N1152-T1152)/N1152</f>
        <v>0.987064676616915</v>
      </c>
      <c r="AF1152" s="97" t="n">
        <f aca="false">BR1152</f>
        <v>2.16666666666667</v>
      </c>
      <c r="AG1152" s="98" t="n">
        <f aca="false">K1152-AF1152</f>
        <v>5.83333333333333</v>
      </c>
      <c r="AH1152" s="99" t="n">
        <f aca="false">IFERROR(AG1152/K1152," ")</f>
        <v>0.729166666666666</v>
      </c>
      <c r="AI1152" s="100" t="n">
        <f aca="false">IFERROR(O1152/K1152,0)</f>
        <v>243</v>
      </c>
      <c r="AJ1152" s="101" t="n">
        <f aca="false">VLOOKUP(D1152,'Standard Cycle time'!C:D,2,0)</f>
        <v>9</v>
      </c>
      <c r="AK1152" s="101" t="n">
        <f aca="false">AG1152*V1152*3600/O1152</f>
        <v>10.8024691358025</v>
      </c>
      <c r="AL1152" s="102" t="n">
        <f aca="false">AJ1152/AK1152</f>
        <v>0.833142857142858</v>
      </c>
      <c r="AM1152" s="99" t="n">
        <f aca="false">AE1152*AL1152*AH1152</f>
        <v>0.599641791044776</v>
      </c>
      <c r="AN1152" s="103" t="n">
        <v>0.599641791044776</v>
      </c>
      <c r="AO1152" s="112" t="s">
        <v>1943</v>
      </c>
      <c r="AP1152" s="105" t="n">
        <v>0</v>
      </c>
      <c r="AQ1152" s="105" t="n">
        <v>0</v>
      </c>
      <c r="AR1152" s="105" t="n">
        <v>70</v>
      </c>
      <c r="AS1152" s="105" t="n">
        <v>0</v>
      </c>
      <c r="AT1152" s="105" t="n">
        <v>0</v>
      </c>
      <c r="AU1152" s="105" t="n">
        <v>0</v>
      </c>
      <c r="AV1152" s="105" t="n">
        <v>0</v>
      </c>
      <c r="AW1152" s="105" t="n">
        <v>30</v>
      </c>
      <c r="AX1152" s="105" t="n">
        <v>0</v>
      </c>
      <c r="AY1152" s="105" t="n">
        <v>0</v>
      </c>
      <c r="AZ1152" s="105" t="n">
        <v>0</v>
      </c>
      <c r="BA1152" s="105" t="n">
        <v>0</v>
      </c>
      <c r="BB1152" s="105" t="n">
        <v>30</v>
      </c>
      <c r="BC1152" s="105" t="n">
        <v>0</v>
      </c>
      <c r="BD1152" s="105" t="n">
        <v>0</v>
      </c>
      <c r="BE1152" s="105" t="n">
        <v>0</v>
      </c>
      <c r="BF1152" s="105" t="n">
        <v>0</v>
      </c>
      <c r="BG1152" s="105" t="n">
        <v>0</v>
      </c>
      <c r="BH1152" s="105" t="n">
        <v>0</v>
      </c>
      <c r="BI1152" s="105" t="n">
        <v>0</v>
      </c>
      <c r="BJ1152" s="105" t="n">
        <v>0</v>
      </c>
      <c r="BK1152" s="105" t="n">
        <v>0</v>
      </c>
      <c r="BL1152" s="105" t="n">
        <v>0</v>
      </c>
      <c r="BM1152" s="105" t="n">
        <v>0</v>
      </c>
      <c r="BN1152" s="105" t="n">
        <v>0</v>
      </c>
      <c r="BO1152" s="105" t="n">
        <v>0</v>
      </c>
      <c r="BP1152" s="105" t="n">
        <v>0</v>
      </c>
      <c r="BQ1152" s="105" t="n">
        <v>0</v>
      </c>
      <c r="BR1152" s="106" t="n">
        <v>2.16666666666667</v>
      </c>
      <c r="BS1152" s="106" t="n">
        <v>2.16666666666667</v>
      </c>
      <c r="BT1152" s="107"/>
      <c r="BU1152" s="107"/>
      <c r="BV1152" s="107"/>
      <c r="BW1152" s="107"/>
      <c r="BX1152" s="107"/>
      <c r="BY1152" s="107"/>
      <c r="BZ1152" s="107"/>
      <c r="CA1152" s="107"/>
      <c r="CB1152" s="107"/>
      <c r="CC1152" s="107"/>
      <c r="CD1152" s="107"/>
      <c r="CE1152" s="107"/>
      <c r="CF1152" s="107"/>
      <c r="CG1152" s="107"/>
      <c r="CH1152" s="107"/>
      <c r="CI1152" s="107"/>
      <c r="CJ1152" s="107"/>
      <c r="CK1152" s="107"/>
      <c r="CL1152" s="107"/>
      <c r="CM1152" s="107"/>
      <c r="CN1152" s="107"/>
      <c r="CO1152" s="107"/>
      <c r="CP1152" s="107"/>
      <c r="CQ1152" s="107"/>
      <c r="CR1152" s="107"/>
      <c r="CS1152" s="107"/>
      <c r="CT1152" s="107"/>
      <c r="CU1152" s="107"/>
      <c r="CV1152" s="107"/>
    </row>
    <row r="1153" customFormat="false" ht="14.9" hidden="false" customHeight="false" outlineLevel="0" collapsed="false">
      <c r="A1153" s="74" t="n">
        <f aca="false">MONTH(B1153)</f>
        <v>11</v>
      </c>
      <c r="B1153" s="135" t="n">
        <v>44509</v>
      </c>
      <c r="C1153" s="128" t="s">
        <v>51</v>
      </c>
      <c r="D1153" s="77" t="str">
        <f aca="false">IFERROR(VLOOKUP(E:E,'Item Data Support Sheet'!A:O,7,0),"")</f>
        <v>NIPPLE PUNCH</v>
      </c>
      <c r="E1153" s="80" t="s">
        <v>53</v>
      </c>
      <c r="F1153" s="122"/>
      <c r="G1153" s="137" t="s">
        <v>54</v>
      </c>
      <c r="H1153" s="79" t="str">
        <f aca="false">IFERROR(VLOOKUP(E:E,'Item Data Support Sheet'!A:O,2,0),"")</f>
        <v>NIPPLE S TYPE S SIZE PUNCHED</v>
      </c>
      <c r="I1153" s="80" t="s">
        <v>1944</v>
      </c>
      <c r="J1153" s="80" t="s">
        <v>143</v>
      </c>
      <c r="K1153" s="124" t="n">
        <v>8</v>
      </c>
      <c r="L1153" s="124" t="n">
        <v>7000</v>
      </c>
      <c r="M1153" s="83" t="n">
        <v>875</v>
      </c>
      <c r="N1153" s="84" t="n">
        <f aca="false">+O1153+Q1153+T1153+U1153</f>
        <v>6900</v>
      </c>
      <c r="O1153" s="85" t="n">
        <v>6900</v>
      </c>
      <c r="P1153" s="86" t="n">
        <v>0</v>
      </c>
      <c r="Q1153" s="86" t="n">
        <v>0</v>
      </c>
      <c r="R1153" s="132" t="n">
        <v>0</v>
      </c>
      <c r="S1153" s="128" t="n">
        <v>0</v>
      </c>
      <c r="T1153" s="132" t="n">
        <v>0</v>
      </c>
      <c r="U1153" s="128" t="n">
        <v>0</v>
      </c>
      <c r="V1153" s="128" t="n">
        <v>1</v>
      </c>
      <c r="W1153" s="90" t="n">
        <f aca="false">IFERROR(O1153/V1153,0)</f>
        <v>6900</v>
      </c>
      <c r="X1153" s="91" t="n">
        <f aca="false">O1153/L1153</f>
        <v>0.985714285714286</v>
      </c>
      <c r="Y1153" s="92" t="str">
        <f aca="false">IFERROR(VLOOKUP(E:E,'Item Data Support Sheet'!A:J,6,0),0)</f>
        <v>FO015</v>
      </c>
      <c r="Z1153" s="93" t="n">
        <f aca="false">IFERROR(VLOOKUP(E:E,'Item Data Support Sheet'!A:O,4,0),0)</f>
        <v>0</v>
      </c>
      <c r="AA1153" s="93" t="n">
        <f aca="false">IFERROR(((N1153)*(Z1153/1000))+P1153,0)</f>
        <v>0</v>
      </c>
      <c r="AB1153" s="94" t="str">
        <f aca="false">IFERROR((O1153*(Z1153/1000)/(AA1153))," ")</f>
        <v> </v>
      </c>
      <c r="AC1153" s="95" t="n">
        <f aca="false">IFERROR((T1153)/((T1153)+O1153),0)</f>
        <v>0</v>
      </c>
      <c r="AD1153" s="96" t="n">
        <f aca="false">IFERROR(Q1153/(Q1153+N1153),0)</f>
        <v>0</v>
      </c>
      <c r="AE1153" s="91" t="n">
        <f aca="false">(N1153-T1153)/N1153</f>
        <v>1</v>
      </c>
      <c r="AF1153" s="97" t="n">
        <f aca="false">BR1153</f>
        <v>1</v>
      </c>
      <c r="AG1153" s="98" t="n">
        <f aca="false">K1153-AF1153</f>
        <v>7</v>
      </c>
      <c r="AH1153" s="99" t="n">
        <f aca="false">IFERROR(AG1153/K1153," ")</f>
        <v>0.875</v>
      </c>
      <c r="AI1153" s="100" t="n">
        <f aca="false">IFERROR(O1153/K1153,0)</f>
        <v>862.5</v>
      </c>
      <c r="AJ1153" s="101" t="n">
        <f aca="false">VLOOKUP(D1153,'Standard Cycle time'!C:D,2,0)</f>
        <v>3.5</v>
      </c>
      <c r="AK1153" s="101" t="n">
        <f aca="false">AG1153*V1153*3600/O1153</f>
        <v>3.65217391304348</v>
      </c>
      <c r="AL1153" s="102" t="n">
        <f aca="false">AJ1153/AK1153</f>
        <v>0.958333333333333</v>
      </c>
      <c r="AM1153" s="99" t="n">
        <f aca="false">AE1153*AL1153*AH1153</f>
        <v>0.838541666666667</v>
      </c>
      <c r="AN1153" s="103" t="n">
        <v>0.838541666666667</v>
      </c>
      <c r="AO1153" s="112" t="s">
        <v>1941</v>
      </c>
      <c r="AP1153" s="105" t="n">
        <v>0</v>
      </c>
      <c r="AQ1153" s="105" t="n">
        <v>0</v>
      </c>
      <c r="AR1153" s="105" t="n">
        <v>0</v>
      </c>
      <c r="AS1153" s="105" t="n">
        <v>0</v>
      </c>
      <c r="AT1153" s="105" t="n">
        <v>0</v>
      </c>
      <c r="AU1153" s="105" t="n">
        <v>0</v>
      </c>
      <c r="AV1153" s="105" t="n">
        <v>0</v>
      </c>
      <c r="AW1153" s="105" t="n">
        <v>0</v>
      </c>
      <c r="AX1153" s="105" t="n">
        <v>0</v>
      </c>
      <c r="AY1153" s="105" t="n">
        <v>0</v>
      </c>
      <c r="AZ1153" s="105" t="n">
        <v>30</v>
      </c>
      <c r="BA1153" s="105" t="n">
        <v>0</v>
      </c>
      <c r="BB1153" s="105" t="n">
        <v>0</v>
      </c>
      <c r="BC1153" s="105" t="n">
        <v>0</v>
      </c>
      <c r="BD1153" s="105" t="n">
        <v>0</v>
      </c>
      <c r="BE1153" s="105" t="n">
        <v>0</v>
      </c>
      <c r="BF1153" s="105" t="n">
        <v>0</v>
      </c>
      <c r="BG1153" s="105" t="n">
        <v>0</v>
      </c>
      <c r="BH1153" s="105" t="n">
        <v>0</v>
      </c>
      <c r="BI1153" s="105" t="n">
        <v>0</v>
      </c>
      <c r="BJ1153" s="105" t="n">
        <v>0</v>
      </c>
      <c r="BK1153" s="105" t="n">
        <v>0</v>
      </c>
      <c r="BL1153" s="105" t="n">
        <v>0</v>
      </c>
      <c r="BM1153" s="105" t="n">
        <v>0</v>
      </c>
      <c r="BN1153" s="105" t="n">
        <v>0</v>
      </c>
      <c r="BO1153" s="105" t="n">
        <v>0</v>
      </c>
      <c r="BP1153" s="105" t="n">
        <v>0</v>
      </c>
      <c r="BQ1153" s="105" t="n">
        <v>30</v>
      </c>
      <c r="BR1153" s="106" t="n">
        <v>1</v>
      </c>
      <c r="BS1153" s="106" t="n">
        <v>1</v>
      </c>
      <c r="BT1153" s="107"/>
      <c r="BU1153" s="107"/>
      <c r="BV1153" s="107"/>
      <c r="BW1153" s="107"/>
      <c r="BX1153" s="107"/>
      <c r="BY1153" s="107"/>
      <c r="BZ1153" s="107"/>
      <c r="CA1153" s="107"/>
      <c r="CB1153" s="107"/>
      <c r="CC1153" s="107"/>
      <c r="CD1153" s="107"/>
      <c r="CE1153" s="107"/>
      <c r="CF1153" s="107"/>
      <c r="CG1153" s="107"/>
      <c r="CH1153" s="107"/>
      <c r="CI1153" s="107"/>
      <c r="CJ1153" s="107"/>
      <c r="CK1153" s="107"/>
      <c r="CL1153" s="107"/>
      <c r="CM1153" s="107"/>
      <c r="CN1153" s="107"/>
      <c r="CO1153" s="107"/>
      <c r="CP1153" s="107"/>
      <c r="CQ1153" s="107"/>
      <c r="CR1153" s="107"/>
      <c r="CS1153" s="107"/>
      <c r="CT1153" s="107"/>
      <c r="CU1153" s="107"/>
      <c r="CV1153" s="107"/>
    </row>
    <row r="1154" customFormat="false" ht="14.9" hidden="false" customHeight="false" outlineLevel="0" collapsed="false">
      <c r="A1154" s="74" t="n">
        <f aca="false">MONTH(B1154)</f>
        <v>11</v>
      </c>
      <c r="B1154" s="135" t="n">
        <v>44509</v>
      </c>
      <c r="C1154" s="128" t="s">
        <v>51</v>
      </c>
      <c r="D1154" s="77" t="str">
        <f aca="false">IFERROR(VLOOKUP(E:E,'Item Data Support Sheet'!A:O,7,0),"")</f>
        <v>NIPPLE LASER MARKING</v>
      </c>
      <c r="E1154" s="80" t="s">
        <v>444</v>
      </c>
      <c r="F1154" s="122"/>
      <c r="G1154" s="137" t="s">
        <v>517</v>
      </c>
      <c r="H1154" s="79" t="str">
        <f aca="false">IFERROR(VLOOKUP(E:E,'Item Data Support Sheet'!A:O,2,0),"")</f>
        <v>NIPPLE S TYPE S SIZE PUNCHED LASER MARKED</v>
      </c>
      <c r="I1154" s="80" t="s">
        <v>1945</v>
      </c>
      <c r="J1154" s="80" t="s">
        <v>143</v>
      </c>
      <c r="K1154" s="124" t="n">
        <v>8</v>
      </c>
      <c r="L1154" s="124" t="n">
        <v>7000</v>
      </c>
      <c r="M1154" s="83" t="n">
        <v>875</v>
      </c>
      <c r="N1154" s="84" t="n">
        <f aca="false">+O1154+Q1154+T1154+U1154</f>
        <v>6900</v>
      </c>
      <c r="O1154" s="85" t="n">
        <v>6900</v>
      </c>
      <c r="P1154" s="86" t="n">
        <v>0</v>
      </c>
      <c r="Q1154" s="86" t="n">
        <v>0</v>
      </c>
      <c r="R1154" s="132" t="n">
        <v>0</v>
      </c>
      <c r="S1154" s="128" t="n">
        <v>0</v>
      </c>
      <c r="T1154" s="132" t="n">
        <v>0</v>
      </c>
      <c r="U1154" s="128" t="n">
        <v>0</v>
      </c>
      <c r="V1154" s="128" t="n">
        <v>1</v>
      </c>
      <c r="W1154" s="90" t="n">
        <f aca="false">IFERROR(O1154/V1154,0)</f>
        <v>6900</v>
      </c>
      <c r="X1154" s="91" t="n">
        <f aca="false">O1154/L1154</f>
        <v>0.985714285714286</v>
      </c>
      <c r="Y1154" s="92" t="str">
        <f aca="false">IFERROR(VLOOKUP(E:E,'Item Data Support Sheet'!A:J,6,0),0)</f>
        <v>FO019</v>
      </c>
      <c r="Z1154" s="93" t="n">
        <f aca="false">IFERROR(VLOOKUP(E:E,'Item Data Support Sheet'!A:O,4,0),0)</f>
        <v>0</v>
      </c>
      <c r="AA1154" s="93" t="n">
        <f aca="false">IFERROR(((N1154)*(Z1154/1000))+P1154,0)</f>
        <v>0</v>
      </c>
      <c r="AB1154" s="94" t="str">
        <f aca="false">IFERROR((O1154*(Z1154/1000)/(AA1154))," ")</f>
        <v> </v>
      </c>
      <c r="AC1154" s="95" t="n">
        <f aca="false">IFERROR((T1154)/((T1154)+O1154),0)</f>
        <v>0</v>
      </c>
      <c r="AD1154" s="96" t="n">
        <f aca="false">IFERROR(Q1154/(Q1154+N1154),0)</f>
        <v>0</v>
      </c>
      <c r="AE1154" s="91" t="n">
        <f aca="false">(N1154-T1154)/N1154</f>
        <v>1</v>
      </c>
      <c r="AF1154" s="97" t="n">
        <f aca="false">BR1154</f>
        <v>0.5</v>
      </c>
      <c r="AG1154" s="98" t="n">
        <f aca="false">K1154-AF1154</f>
        <v>7.5</v>
      </c>
      <c r="AH1154" s="99" t="n">
        <f aca="false">IFERROR(AG1154/K1154," ")</f>
        <v>0.9375</v>
      </c>
      <c r="AI1154" s="100" t="n">
        <f aca="false">IFERROR(O1154/K1154,0)</f>
        <v>862.5</v>
      </c>
      <c r="AJ1154" s="101" t="n">
        <f aca="false">VLOOKUP(D1154,'Standard Cycle time'!C:D,2,0)</f>
        <v>3.5</v>
      </c>
      <c r="AK1154" s="101" t="n">
        <f aca="false">AG1154*V1154*3600/O1154</f>
        <v>3.91304347826087</v>
      </c>
      <c r="AL1154" s="102" t="n">
        <f aca="false">AJ1154/AK1154</f>
        <v>0.894444444444444</v>
      </c>
      <c r="AM1154" s="99" t="n">
        <f aca="false">AE1154*AL1154*AH1154</f>
        <v>0.838541666666667</v>
      </c>
      <c r="AN1154" s="103" t="n">
        <v>0.838541666666667</v>
      </c>
      <c r="AO1154" s="112" t="s">
        <v>1941</v>
      </c>
      <c r="AP1154" s="105" t="n">
        <v>0</v>
      </c>
      <c r="AQ1154" s="105" t="n">
        <v>0</v>
      </c>
      <c r="AR1154" s="105" t="n">
        <v>0</v>
      </c>
      <c r="AS1154" s="105" t="n">
        <v>0</v>
      </c>
      <c r="AT1154" s="105" t="n">
        <v>0</v>
      </c>
      <c r="AU1154" s="105" t="n">
        <v>0</v>
      </c>
      <c r="AV1154" s="105" t="n">
        <v>0</v>
      </c>
      <c r="AW1154" s="105" t="n">
        <v>0</v>
      </c>
      <c r="AX1154" s="105" t="n">
        <v>0</v>
      </c>
      <c r="AY1154" s="105" t="n">
        <v>0</v>
      </c>
      <c r="AZ1154" s="105" t="n">
        <v>30</v>
      </c>
      <c r="BA1154" s="105" t="n">
        <v>0</v>
      </c>
      <c r="BB1154" s="105" t="n">
        <v>0</v>
      </c>
      <c r="BC1154" s="105" t="n">
        <v>0</v>
      </c>
      <c r="BD1154" s="105" t="n">
        <v>0</v>
      </c>
      <c r="BE1154" s="105" t="n">
        <v>0</v>
      </c>
      <c r="BF1154" s="105" t="n">
        <v>0</v>
      </c>
      <c r="BG1154" s="105" t="n">
        <v>0</v>
      </c>
      <c r="BH1154" s="105" t="n">
        <v>0</v>
      </c>
      <c r="BI1154" s="105" t="n">
        <v>0</v>
      </c>
      <c r="BJ1154" s="105" t="n">
        <v>0</v>
      </c>
      <c r="BK1154" s="105" t="n">
        <v>0</v>
      </c>
      <c r="BL1154" s="105" t="n">
        <v>0</v>
      </c>
      <c r="BM1154" s="105" t="n">
        <v>0</v>
      </c>
      <c r="BN1154" s="105" t="n">
        <v>0</v>
      </c>
      <c r="BO1154" s="105" t="n">
        <v>0</v>
      </c>
      <c r="BP1154" s="105" t="n">
        <v>0</v>
      </c>
      <c r="BQ1154" s="105" t="n">
        <v>0</v>
      </c>
      <c r="BR1154" s="106" t="n">
        <v>0.5</v>
      </c>
      <c r="BS1154" s="106" t="n">
        <v>0.5</v>
      </c>
      <c r="BT1154" s="107"/>
      <c r="BU1154" s="107"/>
      <c r="BV1154" s="107"/>
      <c r="BW1154" s="107"/>
      <c r="BX1154" s="107"/>
      <c r="BY1154" s="107"/>
      <c r="BZ1154" s="107"/>
      <c r="CA1154" s="107"/>
      <c r="CB1154" s="107"/>
      <c r="CC1154" s="107"/>
      <c r="CD1154" s="107"/>
      <c r="CE1154" s="107"/>
      <c r="CF1154" s="107"/>
      <c r="CG1154" s="107"/>
      <c r="CH1154" s="107"/>
      <c r="CI1154" s="107"/>
      <c r="CJ1154" s="107"/>
      <c r="CK1154" s="107"/>
      <c r="CL1154" s="107"/>
      <c r="CM1154" s="107"/>
      <c r="CN1154" s="107"/>
      <c r="CO1154" s="107"/>
      <c r="CP1154" s="107"/>
      <c r="CQ1154" s="107"/>
      <c r="CR1154" s="107"/>
      <c r="CS1154" s="107"/>
      <c r="CT1154" s="107"/>
      <c r="CU1154" s="107"/>
      <c r="CV1154" s="107"/>
      <c r="CZ1154" s="0" t="n">
        <v>0</v>
      </c>
    </row>
    <row r="1155" customFormat="false" ht="14.9" hidden="false" customHeight="false" outlineLevel="0" collapsed="false">
      <c r="A1155" s="74" t="n">
        <f aca="false">MONTH(B1155)</f>
        <v>11</v>
      </c>
      <c r="B1155" s="135" t="n">
        <v>44509</v>
      </c>
      <c r="C1155" s="128" t="s">
        <v>51</v>
      </c>
      <c r="D1155" s="77" t="str">
        <f aca="false">IFERROR(VLOOKUP(E:E,'Item Data Support Sheet'!A:O,7,0),"")</f>
        <v>BOTTLE PRINTED</v>
      </c>
      <c r="E1155" s="80" t="s">
        <v>981</v>
      </c>
      <c r="F1155" s="122"/>
      <c r="G1155" s="137"/>
      <c r="H1155" s="79" t="str">
        <f aca="false">IFERROR(VLOOKUP(E:E,'Item Data Support Sheet'!A:O,2,0),"")</f>
        <v>KPP BOTTLE 240 ML PRINTED-WMG3B</v>
      </c>
      <c r="I1155" s="80" t="s">
        <v>1946</v>
      </c>
      <c r="J1155" s="80" t="s">
        <v>1947</v>
      </c>
      <c r="K1155" s="124" t="n">
        <v>8</v>
      </c>
      <c r="L1155" s="124" t="n">
        <v>5120</v>
      </c>
      <c r="M1155" s="83" t="n">
        <v>640</v>
      </c>
      <c r="N1155" s="84" t="n">
        <f aca="false">+O1155+Q1155+T1155+U1155</f>
        <v>4169</v>
      </c>
      <c r="O1155" s="85" t="n">
        <v>4104</v>
      </c>
      <c r="P1155" s="86" t="n">
        <v>0</v>
      </c>
      <c r="Q1155" s="86" t="n">
        <v>0</v>
      </c>
      <c r="R1155" s="132" t="n">
        <v>0</v>
      </c>
      <c r="S1155" s="128" t="n">
        <v>0</v>
      </c>
      <c r="T1155" s="132" t="n">
        <v>65</v>
      </c>
      <c r="U1155" s="128" t="n">
        <v>0</v>
      </c>
      <c r="V1155" s="128" t="n">
        <v>4.5</v>
      </c>
      <c r="W1155" s="90" t="n">
        <f aca="false">IFERROR(O1155/V1155,0)</f>
        <v>912</v>
      </c>
      <c r="X1155" s="91" t="n">
        <f aca="false">O1155/L1155</f>
        <v>0.8015625</v>
      </c>
      <c r="Y1155" s="92" t="str">
        <f aca="false">IFERROR(VLOOKUP(E:E,'Item Data Support Sheet'!A:J,6,0),0)</f>
        <v>FO044</v>
      </c>
      <c r="Z1155" s="93" t="n">
        <f aca="false">IFERROR(VLOOKUP(E:E,'Item Data Support Sheet'!A:O,4,0),0)</f>
        <v>0</v>
      </c>
      <c r="AA1155" s="93" t="n">
        <f aca="false">IFERROR(((N1155)*(Z1155/1000))+P1155,0)</f>
        <v>0</v>
      </c>
      <c r="AB1155" s="94" t="str">
        <f aca="false">IFERROR((O1155*(Z1155/1000)/(AA1155))," ")</f>
        <v> </v>
      </c>
      <c r="AC1155" s="95" t="n">
        <f aca="false">IFERROR((T1155)/((T1155)+O1155),0)</f>
        <v>0.0155912688894219</v>
      </c>
      <c r="AD1155" s="96" t="n">
        <f aca="false">IFERROR(Q1155/(Q1155+N1155),0)</f>
        <v>0</v>
      </c>
      <c r="AE1155" s="91" t="n">
        <f aca="false">(N1155-T1155)/N1155</f>
        <v>0.984408731110578</v>
      </c>
      <c r="AF1155" s="97" t="n">
        <f aca="false">BR1155</f>
        <v>0</v>
      </c>
      <c r="AG1155" s="98" t="n">
        <f aca="false">K1155-AF1155</f>
        <v>8</v>
      </c>
      <c r="AH1155" s="99" t="n">
        <f aca="false">IFERROR(AG1155/K1155," ")</f>
        <v>1</v>
      </c>
      <c r="AI1155" s="100" t="n">
        <f aca="false">IFERROR(O1155/K1155,0)</f>
        <v>513</v>
      </c>
      <c r="AJ1155" s="101" t="n">
        <f aca="false">VLOOKUP(D1155,'Standard Cycle time'!C:D,2,0)</f>
        <v>32.4</v>
      </c>
      <c r="AK1155" s="101" t="n">
        <f aca="false">AG1155*V1155*3600/O1155</f>
        <v>31.5789473684211</v>
      </c>
      <c r="AL1155" s="102" t="n">
        <f aca="false">AJ1155/AK1155</f>
        <v>1.026</v>
      </c>
      <c r="AM1155" s="99" t="n">
        <f aca="false">AE1155*AL1155*AH1155</f>
        <v>1.01000335811945</v>
      </c>
      <c r="AN1155" s="103" t="n">
        <v>1.01000335811945</v>
      </c>
      <c r="AO1155" s="112" t="s">
        <v>1599</v>
      </c>
      <c r="AP1155" s="105" t="n">
        <v>0</v>
      </c>
      <c r="AQ1155" s="105" t="n">
        <v>0</v>
      </c>
      <c r="AR1155" s="105" t="n">
        <v>0</v>
      </c>
      <c r="AS1155" s="105" t="n">
        <v>0</v>
      </c>
      <c r="AT1155" s="105" t="n">
        <v>0</v>
      </c>
      <c r="AU1155" s="105" t="n">
        <v>0</v>
      </c>
      <c r="AV1155" s="105" t="n">
        <v>0</v>
      </c>
      <c r="AW1155" s="105" t="n">
        <v>0</v>
      </c>
      <c r="AX1155" s="105" t="n">
        <v>0</v>
      </c>
      <c r="AY1155" s="105" t="n">
        <v>0</v>
      </c>
      <c r="AZ1155" s="105" t="n">
        <v>0</v>
      </c>
      <c r="BA1155" s="105" t="n">
        <v>0</v>
      </c>
      <c r="BB1155" s="105" t="n">
        <v>0</v>
      </c>
      <c r="BC1155" s="105" t="n">
        <v>0</v>
      </c>
      <c r="BD1155" s="105" t="n">
        <v>0</v>
      </c>
      <c r="BE1155" s="105" t="n">
        <v>0</v>
      </c>
      <c r="BF1155" s="105" t="n">
        <v>0</v>
      </c>
      <c r="BG1155" s="105" t="n">
        <v>0</v>
      </c>
      <c r="BH1155" s="105" t="n">
        <v>0</v>
      </c>
      <c r="BI1155" s="105" t="n">
        <v>0</v>
      </c>
      <c r="BJ1155" s="105" t="n">
        <v>0</v>
      </c>
      <c r="BK1155" s="105" t="n">
        <v>0</v>
      </c>
      <c r="BL1155" s="105" t="n">
        <v>0</v>
      </c>
      <c r="BM1155" s="105" t="n">
        <v>0</v>
      </c>
      <c r="BN1155" s="105" t="n">
        <v>0</v>
      </c>
      <c r="BO1155" s="105" t="n">
        <v>0</v>
      </c>
      <c r="BP1155" s="105" t="n">
        <v>0</v>
      </c>
      <c r="BQ1155" s="105" t="n">
        <v>0</v>
      </c>
      <c r="BR1155" s="106" t="n">
        <v>0</v>
      </c>
      <c r="BS1155" s="106" t="n">
        <v>0</v>
      </c>
      <c r="BT1155" s="107"/>
      <c r="BU1155" s="107"/>
      <c r="BV1155" s="107"/>
      <c r="BW1155" s="107"/>
      <c r="BX1155" s="107"/>
      <c r="BY1155" s="107"/>
      <c r="BZ1155" s="107"/>
      <c r="CA1155" s="107"/>
      <c r="CB1155" s="107"/>
      <c r="CC1155" s="107"/>
      <c r="CD1155" s="107"/>
      <c r="CE1155" s="107"/>
      <c r="CF1155" s="107"/>
      <c r="CG1155" s="107"/>
      <c r="CH1155" s="107"/>
      <c r="CI1155" s="107"/>
      <c r="CJ1155" s="107"/>
      <c r="CK1155" s="107"/>
      <c r="CL1155" s="107"/>
      <c r="CM1155" s="107"/>
      <c r="CN1155" s="107"/>
      <c r="CO1155" s="107"/>
      <c r="CP1155" s="107"/>
      <c r="CQ1155" s="107"/>
      <c r="CR1155" s="107"/>
      <c r="CS1155" s="107"/>
      <c r="CT1155" s="107"/>
      <c r="CU1155" s="107"/>
      <c r="CV1155" s="107"/>
      <c r="CZ1155" s="0" t="n">
        <v>0</v>
      </c>
    </row>
    <row r="1156" customFormat="false" ht="14.9" hidden="false" customHeight="false" outlineLevel="0" collapsed="false">
      <c r="A1156" s="74" t="n">
        <f aca="false">MONTH(B1156)</f>
        <v>11</v>
      </c>
      <c r="B1156" s="135" t="n">
        <v>44509</v>
      </c>
      <c r="C1156" s="128" t="s">
        <v>63</v>
      </c>
      <c r="D1156" s="77" t="str">
        <f aca="false">IFERROR(VLOOKUP(E:E,'Item Data Support Sheet'!A:O,7,0),"")</f>
        <v>NIPPLE PUNCH INSPECTED</v>
      </c>
      <c r="E1156" s="80" t="s">
        <v>297</v>
      </c>
      <c r="F1156" s="122"/>
      <c r="G1156" s="137"/>
      <c r="H1156" s="79" t="str">
        <f aca="false">IFERROR(VLOOKUP(E:E,'Item Data Support Sheet'!A:O,2,0),"")</f>
        <v>NIPPLE S TYPE S SIZE PUNCHED INSPECTED</v>
      </c>
      <c r="I1156" s="80" t="s">
        <v>1948</v>
      </c>
      <c r="J1156" s="80" t="s">
        <v>158</v>
      </c>
      <c r="K1156" s="124" t="n">
        <v>8</v>
      </c>
      <c r="L1156" s="124" t="n">
        <v>9000</v>
      </c>
      <c r="M1156" s="83" t="n">
        <v>1125</v>
      </c>
      <c r="N1156" s="84" t="n">
        <f aca="false">+O1156+Q1156+T1156+U1156</f>
        <v>14270</v>
      </c>
      <c r="O1156" s="85" t="n">
        <v>14247</v>
      </c>
      <c r="P1156" s="86" t="n">
        <v>0</v>
      </c>
      <c r="Q1156" s="86" t="n">
        <v>0</v>
      </c>
      <c r="R1156" s="132" t="n">
        <v>0</v>
      </c>
      <c r="S1156" s="128" t="n">
        <v>0</v>
      </c>
      <c r="T1156" s="132" t="n">
        <v>23</v>
      </c>
      <c r="U1156" s="128" t="n">
        <v>0</v>
      </c>
      <c r="V1156" s="128" t="n">
        <v>2</v>
      </c>
      <c r="W1156" s="90" t="n">
        <f aca="false">IFERROR(O1156/V1156,0)</f>
        <v>7123.5</v>
      </c>
      <c r="X1156" s="91" t="n">
        <f aca="false">O1156/L1156</f>
        <v>1.583</v>
      </c>
      <c r="Y1156" s="92" t="str">
        <f aca="false">IFERROR(VLOOKUP(E:E,'Item Data Support Sheet'!A:J,6,0),0)</f>
        <v>FO104</v>
      </c>
      <c r="Z1156" s="93" t="n">
        <f aca="false">IFERROR(VLOOKUP(E:E,'Item Data Support Sheet'!A:O,4,0),0)</f>
        <v>0</v>
      </c>
      <c r="AA1156" s="93" t="n">
        <f aca="false">IFERROR(((N1156)*(Z1156/1000))+P1156,0)</f>
        <v>0</v>
      </c>
      <c r="AB1156" s="94" t="str">
        <f aca="false">IFERROR((O1156*(Z1156/1000)/(AA1156))," ")</f>
        <v> </v>
      </c>
      <c r="AC1156" s="95" t="n">
        <f aca="false">IFERROR((T1156)/((T1156)+O1156),0)</f>
        <v>0.00161177295024527</v>
      </c>
      <c r="AD1156" s="96" t="n">
        <f aca="false">IFERROR(Q1156/(Q1156+N1156),0)</f>
        <v>0</v>
      </c>
      <c r="AE1156" s="91" t="n">
        <f aca="false">(N1156-T1156)/N1156</f>
        <v>0.998388227049755</v>
      </c>
      <c r="AF1156" s="97" t="n">
        <f aca="false">BR1156</f>
        <v>0</v>
      </c>
      <c r="AG1156" s="98" t="n">
        <f aca="false">K1156-AF1156</f>
        <v>8</v>
      </c>
      <c r="AH1156" s="99" t="n">
        <f aca="false">IFERROR(AG1156/K1156," ")</f>
        <v>1</v>
      </c>
      <c r="AI1156" s="100" t="n">
        <f aca="false">IFERROR(O1156/K1156,0)</f>
        <v>1780.875</v>
      </c>
      <c r="AJ1156" s="101" t="n">
        <f aca="false">VLOOKUP(D1156,'Standard Cycle time'!C:D,2,0)</f>
        <v>4</v>
      </c>
      <c r="AK1156" s="101" t="n">
        <f aca="false">AG1156*V1156*3600/O1156</f>
        <v>4.04295641187618</v>
      </c>
      <c r="AL1156" s="102" t="n">
        <f aca="false">AJ1156/AK1156</f>
        <v>0.989375</v>
      </c>
      <c r="AM1156" s="99" t="n">
        <f aca="false">AE1156*AL1156*AH1156</f>
        <v>0.987780352137351</v>
      </c>
      <c r="AN1156" s="103" t="n">
        <v>0.987780352137351</v>
      </c>
      <c r="AO1156" s="112" t="s">
        <v>913</v>
      </c>
      <c r="AP1156" s="105" t="n">
        <v>0</v>
      </c>
      <c r="AQ1156" s="105" t="n">
        <v>0</v>
      </c>
      <c r="AR1156" s="105" t="n">
        <v>0</v>
      </c>
      <c r="AS1156" s="105" t="n">
        <v>0</v>
      </c>
      <c r="AT1156" s="105" t="n">
        <v>0</v>
      </c>
      <c r="AU1156" s="105" t="n">
        <v>0</v>
      </c>
      <c r="AV1156" s="105" t="n">
        <v>0</v>
      </c>
      <c r="AW1156" s="105" t="n">
        <v>0</v>
      </c>
      <c r="AX1156" s="105" t="n">
        <v>0</v>
      </c>
      <c r="AY1156" s="105" t="n">
        <v>0</v>
      </c>
      <c r="AZ1156" s="105" t="n">
        <v>0</v>
      </c>
      <c r="BA1156" s="105" t="n">
        <v>0</v>
      </c>
      <c r="BB1156" s="105" t="n">
        <v>0</v>
      </c>
      <c r="BC1156" s="105" t="n">
        <v>0</v>
      </c>
      <c r="BD1156" s="105" t="n">
        <v>0</v>
      </c>
      <c r="BE1156" s="105" t="n">
        <v>0</v>
      </c>
      <c r="BF1156" s="105" t="n">
        <v>0</v>
      </c>
      <c r="BG1156" s="105" t="n">
        <v>0</v>
      </c>
      <c r="BH1156" s="105" t="n">
        <v>0</v>
      </c>
      <c r="BI1156" s="105" t="n">
        <v>0</v>
      </c>
      <c r="BJ1156" s="105" t="n">
        <v>0</v>
      </c>
      <c r="BK1156" s="105" t="n">
        <v>0</v>
      </c>
      <c r="BL1156" s="105" t="n">
        <v>0</v>
      </c>
      <c r="BM1156" s="105" t="n">
        <v>0</v>
      </c>
      <c r="BN1156" s="105" t="n">
        <v>0</v>
      </c>
      <c r="BO1156" s="105" t="n">
        <v>0</v>
      </c>
      <c r="BP1156" s="105" t="n">
        <v>0</v>
      </c>
      <c r="BQ1156" s="105" t="n">
        <v>0</v>
      </c>
      <c r="BR1156" s="106" t="n">
        <v>0</v>
      </c>
      <c r="BS1156" s="106" t="n">
        <v>0</v>
      </c>
      <c r="BT1156" s="107"/>
      <c r="BU1156" s="107"/>
      <c r="BV1156" s="107"/>
      <c r="BW1156" s="107"/>
      <c r="BX1156" s="107"/>
      <c r="BY1156" s="107"/>
      <c r="BZ1156" s="107"/>
      <c r="CA1156" s="107"/>
      <c r="CB1156" s="107"/>
      <c r="CC1156" s="107"/>
      <c r="CD1156" s="107"/>
      <c r="CE1156" s="107"/>
      <c r="CF1156" s="107"/>
      <c r="CG1156" s="107"/>
      <c r="CH1156" s="107"/>
      <c r="CI1156" s="107"/>
      <c r="CJ1156" s="107"/>
      <c r="CK1156" s="107"/>
      <c r="CL1156" s="107"/>
      <c r="CM1156" s="107"/>
      <c r="CN1156" s="107"/>
      <c r="CO1156" s="107"/>
      <c r="CP1156" s="107"/>
      <c r="CQ1156" s="107"/>
      <c r="CR1156" s="107"/>
      <c r="CS1156" s="107"/>
      <c r="CT1156" s="107"/>
      <c r="CU1156" s="107"/>
      <c r="CV1156" s="107"/>
    </row>
    <row r="1157" customFormat="false" ht="14.9" hidden="false" customHeight="false" outlineLevel="0" collapsed="false">
      <c r="A1157" s="74" t="n">
        <f aca="false">MONTH(B1157)</f>
        <v>11</v>
      </c>
      <c r="B1157" s="135" t="n">
        <v>44509</v>
      </c>
      <c r="C1157" s="128" t="s">
        <v>70</v>
      </c>
      <c r="D1157" s="77" t="str">
        <f aca="false">IFERROR(VLOOKUP(E:E,'Item Data Support Sheet'!A:O,7,0),"")</f>
        <v>NIPPLE PUNCH</v>
      </c>
      <c r="E1157" s="80" t="s">
        <v>53</v>
      </c>
      <c r="F1157" s="122"/>
      <c r="G1157" s="137"/>
      <c r="H1157" s="79" t="str">
        <f aca="false">IFERROR(VLOOKUP(E:E,'Item Data Support Sheet'!A:O,2,0),"")</f>
        <v>NIPPLE S TYPE S SIZE PUNCHED</v>
      </c>
      <c r="I1157" s="80" t="s">
        <v>1949</v>
      </c>
      <c r="J1157" s="80" t="s">
        <v>158</v>
      </c>
      <c r="K1157" s="124" t="n">
        <v>8</v>
      </c>
      <c r="L1157" s="124" t="n">
        <v>4000</v>
      </c>
      <c r="M1157" s="83" t="n">
        <v>500</v>
      </c>
      <c r="N1157" s="84" t="n">
        <f aca="false">+O1157+Q1157+T1157+U1157</f>
        <v>5000</v>
      </c>
      <c r="O1157" s="85" t="n">
        <v>5000</v>
      </c>
      <c r="P1157" s="86" t="n">
        <v>0</v>
      </c>
      <c r="Q1157" s="86" t="n">
        <v>0</v>
      </c>
      <c r="R1157" s="132" t="n">
        <v>0</v>
      </c>
      <c r="S1157" s="128" t="n">
        <v>0</v>
      </c>
      <c r="T1157" s="132" t="n">
        <v>0</v>
      </c>
      <c r="U1157" s="128" t="n">
        <v>0</v>
      </c>
      <c r="V1157" s="128" t="n">
        <v>1</v>
      </c>
      <c r="W1157" s="90" t="n">
        <f aca="false">IFERROR(O1157/V1157,0)</f>
        <v>5000</v>
      </c>
      <c r="X1157" s="91" t="n">
        <f aca="false">O1157/L1157</f>
        <v>1.25</v>
      </c>
      <c r="Y1157" s="92" t="str">
        <f aca="false">IFERROR(VLOOKUP(E:E,'Item Data Support Sheet'!A:J,6,0),0)</f>
        <v>FO015</v>
      </c>
      <c r="Z1157" s="93" t="n">
        <f aca="false">IFERROR(VLOOKUP(E:E,'Item Data Support Sheet'!A:O,4,0),0)</f>
        <v>0</v>
      </c>
      <c r="AA1157" s="93" t="n">
        <f aca="false">IFERROR(((N1157)*(Z1157/1000))+P1157,0)</f>
        <v>0</v>
      </c>
      <c r="AB1157" s="94" t="str">
        <f aca="false">IFERROR((O1157*(Z1157/1000)/(AA1157))," ")</f>
        <v> </v>
      </c>
      <c r="AC1157" s="95" t="n">
        <f aca="false">IFERROR((T1157)/((T1157)+O1157),0)</f>
        <v>0</v>
      </c>
      <c r="AD1157" s="96" t="n">
        <f aca="false">IFERROR(Q1157/(Q1157+N1157),0)</f>
        <v>0</v>
      </c>
      <c r="AE1157" s="91" t="n">
        <f aca="false">(N1157-T1157)/N1157</f>
        <v>1</v>
      </c>
      <c r="AF1157" s="97" t="n">
        <f aca="false">BR1157</f>
        <v>0</v>
      </c>
      <c r="AG1157" s="98" t="n">
        <f aca="false">K1157-AF1157</f>
        <v>8</v>
      </c>
      <c r="AH1157" s="99" t="n">
        <f aca="false">IFERROR(AG1157/K1157," ")</f>
        <v>1</v>
      </c>
      <c r="AI1157" s="100" t="n">
        <f aca="false">IFERROR(O1157/K1157,0)</f>
        <v>625</v>
      </c>
      <c r="AJ1157" s="101" t="n">
        <f aca="false">VLOOKUP(D1157,'Standard Cycle time'!C:D,2,0)</f>
        <v>3.5</v>
      </c>
      <c r="AK1157" s="101" t="n">
        <f aca="false">AG1157*V1157*3600/O1157</f>
        <v>5.76</v>
      </c>
      <c r="AL1157" s="102" t="n">
        <f aca="false">AJ1157/AK1157</f>
        <v>0.607638888888889</v>
      </c>
      <c r="AM1157" s="99" t="n">
        <f aca="false">AE1157*AL1157*AH1157</f>
        <v>0.607638888888889</v>
      </c>
      <c r="AN1157" s="103" t="n">
        <v>0.607638888888889</v>
      </c>
      <c r="AO1157" s="112" t="s">
        <v>913</v>
      </c>
      <c r="AP1157" s="105" t="n">
        <v>0</v>
      </c>
      <c r="AQ1157" s="105" t="n">
        <v>0</v>
      </c>
      <c r="AR1157" s="105" t="n">
        <v>0</v>
      </c>
      <c r="AS1157" s="105" t="n">
        <v>0</v>
      </c>
      <c r="AT1157" s="105" t="n">
        <v>0</v>
      </c>
      <c r="AU1157" s="105" t="n">
        <v>0</v>
      </c>
      <c r="AV1157" s="105" t="n">
        <v>0</v>
      </c>
      <c r="AW1157" s="105" t="n">
        <v>0</v>
      </c>
      <c r="AX1157" s="105" t="n">
        <v>0</v>
      </c>
      <c r="AY1157" s="105" t="n">
        <v>0</v>
      </c>
      <c r="AZ1157" s="105" t="n">
        <v>0</v>
      </c>
      <c r="BA1157" s="105" t="n">
        <v>0</v>
      </c>
      <c r="BB1157" s="105" t="n">
        <v>0</v>
      </c>
      <c r="BC1157" s="105" t="n">
        <v>0</v>
      </c>
      <c r="BD1157" s="105" t="n">
        <v>0</v>
      </c>
      <c r="BE1157" s="105" t="n">
        <v>0</v>
      </c>
      <c r="BF1157" s="105" t="n">
        <v>0</v>
      </c>
      <c r="BG1157" s="105" t="n">
        <v>0</v>
      </c>
      <c r="BH1157" s="105" t="n">
        <v>0</v>
      </c>
      <c r="BI1157" s="105" t="n">
        <v>0</v>
      </c>
      <c r="BJ1157" s="105" t="n">
        <v>0</v>
      </c>
      <c r="BK1157" s="105" t="n">
        <v>0</v>
      </c>
      <c r="BL1157" s="105" t="n">
        <v>0</v>
      </c>
      <c r="BM1157" s="105" t="n">
        <v>0</v>
      </c>
      <c r="BN1157" s="105" t="n">
        <v>0</v>
      </c>
      <c r="BO1157" s="105" t="n">
        <v>0</v>
      </c>
      <c r="BP1157" s="105" t="n">
        <v>0</v>
      </c>
      <c r="BQ1157" s="105" t="n">
        <v>0</v>
      </c>
      <c r="BR1157" s="106" t="n">
        <v>0</v>
      </c>
      <c r="BS1157" s="106" t="n">
        <v>0</v>
      </c>
      <c r="BT1157" s="107"/>
      <c r="BU1157" s="107"/>
      <c r="BV1157" s="107"/>
      <c r="BW1157" s="107"/>
      <c r="BX1157" s="107"/>
      <c r="BY1157" s="107"/>
      <c r="BZ1157" s="107"/>
      <c r="CA1157" s="107"/>
      <c r="CB1157" s="107"/>
      <c r="CC1157" s="107"/>
      <c r="CD1157" s="107"/>
      <c r="CE1157" s="107"/>
      <c r="CF1157" s="107"/>
      <c r="CG1157" s="107"/>
      <c r="CH1157" s="107"/>
      <c r="CI1157" s="107"/>
      <c r="CJ1157" s="107"/>
      <c r="CK1157" s="107"/>
      <c r="CL1157" s="107"/>
      <c r="CM1157" s="107"/>
      <c r="CN1157" s="107"/>
      <c r="CO1157" s="107"/>
      <c r="CP1157" s="107"/>
      <c r="CQ1157" s="107"/>
      <c r="CR1157" s="107"/>
      <c r="CS1157" s="107"/>
      <c r="CT1157" s="107"/>
      <c r="CU1157" s="107"/>
      <c r="CV1157" s="107"/>
    </row>
    <row r="1158" customFormat="false" ht="14.9" hidden="false" customHeight="false" outlineLevel="0" collapsed="false">
      <c r="A1158" s="74" t="n">
        <f aca="false">MONTH(B1158)</f>
        <v>11</v>
      </c>
      <c r="B1158" s="135" t="n">
        <v>44509</v>
      </c>
      <c r="C1158" s="128" t="s">
        <v>70</v>
      </c>
      <c r="D1158" s="77" t="str">
        <f aca="false">IFERROR(VLOOKUP(E:E,'Item Data Support Sheet'!A:O,7,0),"")</f>
        <v>NIPPLE LASER MARKING</v>
      </c>
      <c r="E1158" s="80" t="s">
        <v>444</v>
      </c>
      <c r="F1158" s="122"/>
      <c r="G1158" s="137"/>
      <c r="H1158" s="79" t="str">
        <f aca="false">IFERROR(VLOOKUP(E:E,'Item Data Support Sheet'!A:O,2,0),"")</f>
        <v>NIPPLE S TYPE S SIZE PUNCHED LASER MARKED</v>
      </c>
      <c r="I1158" s="80" t="s">
        <v>1945</v>
      </c>
      <c r="J1158" s="80" t="s">
        <v>158</v>
      </c>
      <c r="K1158" s="124" t="n">
        <v>8</v>
      </c>
      <c r="L1158" s="124" t="n">
        <v>4000</v>
      </c>
      <c r="M1158" s="83" t="n">
        <v>500</v>
      </c>
      <c r="N1158" s="84" t="n">
        <f aca="false">+O1158+Q1158+T1158+U1158</f>
        <v>4000</v>
      </c>
      <c r="O1158" s="85" t="n">
        <v>4000</v>
      </c>
      <c r="P1158" s="86" t="n">
        <v>0</v>
      </c>
      <c r="Q1158" s="86" t="n">
        <v>0</v>
      </c>
      <c r="R1158" s="132" t="n">
        <v>0</v>
      </c>
      <c r="S1158" s="128" t="n">
        <v>0</v>
      </c>
      <c r="T1158" s="132" t="n">
        <v>0</v>
      </c>
      <c r="U1158" s="128" t="n">
        <v>0</v>
      </c>
      <c r="V1158" s="128" t="n">
        <v>1</v>
      </c>
      <c r="W1158" s="90" t="n">
        <f aca="false">IFERROR(O1158/V1158,0)</f>
        <v>4000</v>
      </c>
      <c r="X1158" s="91" t="n">
        <f aca="false">O1158/L1158</f>
        <v>1</v>
      </c>
      <c r="Y1158" s="92" t="str">
        <f aca="false">IFERROR(VLOOKUP(E:E,'Item Data Support Sheet'!A:J,6,0),0)</f>
        <v>FO019</v>
      </c>
      <c r="Z1158" s="93" t="n">
        <f aca="false">IFERROR(VLOOKUP(E:E,'Item Data Support Sheet'!A:O,4,0),0)</f>
        <v>0</v>
      </c>
      <c r="AA1158" s="93" t="n">
        <f aca="false">IFERROR(((N1158)*(Z1158/1000))+P1158,0)</f>
        <v>0</v>
      </c>
      <c r="AB1158" s="94" t="str">
        <f aca="false">IFERROR((O1158*(Z1158/1000)/(AA1158))," ")</f>
        <v> </v>
      </c>
      <c r="AC1158" s="95" t="n">
        <f aca="false">IFERROR((T1158)/((T1158)+O1158),0)</f>
        <v>0</v>
      </c>
      <c r="AD1158" s="96" t="n">
        <f aca="false">IFERROR(Q1158/(Q1158+N1158),0)</f>
        <v>0</v>
      </c>
      <c r="AE1158" s="91" t="n">
        <f aca="false">(N1158-T1158)/N1158</f>
        <v>1</v>
      </c>
      <c r="AF1158" s="97" t="n">
        <f aca="false">BR1158</f>
        <v>0</v>
      </c>
      <c r="AG1158" s="98" t="n">
        <f aca="false">K1158-AF1158</f>
        <v>8</v>
      </c>
      <c r="AH1158" s="99" t="n">
        <f aca="false">IFERROR(AG1158/K1158," ")</f>
        <v>1</v>
      </c>
      <c r="AI1158" s="100" t="n">
        <f aca="false">IFERROR(O1158/K1158,0)</f>
        <v>500</v>
      </c>
      <c r="AJ1158" s="101" t="n">
        <f aca="false">VLOOKUP(D1158,'Standard Cycle time'!C:D,2,0)</f>
        <v>3.5</v>
      </c>
      <c r="AK1158" s="101" t="n">
        <f aca="false">AG1158*V1158*3600/O1158</f>
        <v>7.2</v>
      </c>
      <c r="AL1158" s="102" t="n">
        <f aca="false">AJ1158/AK1158</f>
        <v>0.486111111111111</v>
      </c>
      <c r="AM1158" s="99" t="n">
        <f aca="false">AE1158*AL1158*AH1158</f>
        <v>0.486111111111111</v>
      </c>
      <c r="AN1158" s="103" t="n">
        <v>0.486111111111111</v>
      </c>
      <c r="AO1158" s="112" t="s">
        <v>913</v>
      </c>
      <c r="AP1158" s="105" t="n">
        <v>0</v>
      </c>
      <c r="AQ1158" s="105" t="n">
        <v>0</v>
      </c>
      <c r="AR1158" s="105" t="n">
        <v>0</v>
      </c>
      <c r="AS1158" s="105" t="n">
        <v>0</v>
      </c>
      <c r="AT1158" s="105" t="n">
        <v>0</v>
      </c>
      <c r="AU1158" s="105" t="n">
        <v>0</v>
      </c>
      <c r="AV1158" s="105" t="n">
        <v>0</v>
      </c>
      <c r="AW1158" s="105" t="n">
        <v>0</v>
      </c>
      <c r="AX1158" s="105" t="n">
        <v>0</v>
      </c>
      <c r="AY1158" s="105" t="n">
        <v>0</v>
      </c>
      <c r="AZ1158" s="105" t="n">
        <v>0</v>
      </c>
      <c r="BA1158" s="105" t="n">
        <v>0</v>
      </c>
      <c r="BB1158" s="105" t="n">
        <v>0</v>
      </c>
      <c r="BC1158" s="105" t="n">
        <v>0</v>
      </c>
      <c r="BD1158" s="105" t="n">
        <v>0</v>
      </c>
      <c r="BE1158" s="105" t="n">
        <v>0</v>
      </c>
      <c r="BF1158" s="105" t="n">
        <v>0</v>
      </c>
      <c r="BG1158" s="105" t="n">
        <v>0</v>
      </c>
      <c r="BH1158" s="105" t="n">
        <v>0</v>
      </c>
      <c r="BI1158" s="105" t="n">
        <v>0</v>
      </c>
      <c r="BJ1158" s="105" t="n">
        <v>0</v>
      </c>
      <c r="BK1158" s="105" t="n">
        <v>0</v>
      </c>
      <c r="BL1158" s="105" t="n">
        <v>0</v>
      </c>
      <c r="BM1158" s="105" t="n">
        <v>0</v>
      </c>
      <c r="BN1158" s="105" t="n">
        <v>0</v>
      </c>
      <c r="BO1158" s="105" t="n">
        <v>0</v>
      </c>
      <c r="BP1158" s="105" t="n">
        <v>0</v>
      </c>
      <c r="BQ1158" s="105" t="n">
        <v>0</v>
      </c>
      <c r="BR1158" s="106" t="n">
        <v>0</v>
      </c>
      <c r="BS1158" s="106" t="n">
        <v>0</v>
      </c>
      <c r="BT1158" s="107"/>
      <c r="BU1158" s="107"/>
      <c r="BV1158" s="107"/>
      <c r="BW1158" s="107"/>
      <c r="BX1158" s="107"/>
      <c r="BY1158" s="107"/>
      <c r="BZ1158" s="107"/>
      <c r="CA1158" s="107"/>
      <c r="CB1158" s="107"/>
      <c r="CC1158" s="107"/>
      <c r="CD1158" s="107"/>
      <c r="CE1158" s="107"/>
      <c r="CF1158" s="107"/>
      <c r="CG1158" s="107"/>
      <c r="CH1158" s="107"/>
      <c r="CI1158" s="107"/>
      <c r="CJ1158" s="107"/>
      <c r="CK1158" s="107"/>
      <c r="CL1158" s="107"/>
      <c r="CM1158" s="107"/>
      <c r="CN1158" s="107"/>
      <c r="CO1158" s="107"/>
      <c r="CP1158" s="107"/>
      <c r="CQ1158" s="107"/>
      <c r="CR1158" s="107"/>
      <c r="CS1158" s="107"/>
      <c r="CT1158" s="107"/>
      <c r="CU1158" s="107"/>
      <c r="CV1158" s="107"/>
    </row>
    <row r="1159" customFormat="false" ht="14.9" hidden="false" customHeight="false" outlineLevel="0" collapsed="false">
      <c r="A1159" s="74" t="n">
        <f aca="false">MONTH(B1159)</f>
        <v>11</v>
      </c>
      <c r="B1159" s="135" t="n">
        <v>44509</v>
      </c>
      <c r="C1159" s="128" t="s">
        <v>70</v>
      </c>
      <c r="D1159" s="77" t="str">
        <f aca="false">IFERROR(VLOOKUP(E:E,'Item Data Support Sheet'!A:O,7,0),"")</f>
        <v>HOOD MOLDED</v>
      </c>
      <c r="E1159" s="80" t="s">
        <v>529</v>
      </c>
      <c r="F1159" s="122"/>
      <c r="G1159" s="137"/>
      <c r="H1159" s="79" t="str">
        <f aca="false">IFERROR(VLOOKUP(E:E,'Item Data Support Sheet'!A:O,2,0),"")</f>
        <v>HOOD S TYPE MOLDED</v>
      </c>
      <c r="I1159" s="80" t="s">
        <v>1950</v>
      </c>
      <c r="J1159" s="80" t="s">
        <v>158</v>
      </c>
      <c r="K1159" s="124" t="n">
        <v>8</v>
      </c>
      <c r="L1159" s="124" t="n">
        <v>4137</v>
      </c>
      <c r="M1159" s="83" t="n">
        <v>517.125</v>
      </c>
      <c r="N1159" s="84" t="n">
        <f aca="false">+O1159+Q1159+T1159+U1159</f>
        <v>5004</v>
      </c>
      <c r="O1159" s="85" t="n">
        <v>5000</v>
      </c>
      <c r="P1159" s="86" t="n">
        <v>0</v>
      </c>
      <c r="Q1159" s="86" t="n">
        <v>0</v>
      </c>
      <c r="R1159" s="132" t="n">
        <v>0</v>
      </c>
      <c r="S1159" s="128" t="n">
        <v>0</v>
      </c>
      <c r="T1159" s="132" t="n">
        <v>4</v>
      </c>
      <c r="U1159" s="128" t="n">
        <v>0</v>
      </c>
      <c r="V1159" s="128" t="n">
        <v>1</v>
      </c>
      <c r="W1159" s="90" t="n">
        <f aca="false">IFERROR(O1159/V1159,0)</f>
        <v>5000</v>
      </c>
      <c r="X1159" s="91" t="n">
        <f aca="false">O1159/L1159</f>
        <v>1.20860526951898</v>
      </c>
      <c r="Y1159" s="92" t="str">
        <f aca="false">IFERROR(VLOOKUP(E:E,'Item Data Support Sheet'!A:J,6,0),0)</f>
        <v>HMC</v>
      </c>
      <c r="Z1159" s="93" t="n">
        <f aca="false">IFERROR(VLOOKUP(E:E,'Item Data Support Sheet'!A:O,4,0),0)</f>
        <v>8.6</v>
      </c>
      <c r="AA1159" s="93" t="n">
        <f aca="false">IFERROR(((N1159)*(Z1159/1000))+P1159,0)</f>
        <v>43.0344</v>
      </c>
      <c r="AB1159" s="94" t="n">
        <f aca="false">IFERROR((O1159*(Z1159/1000)/(AA1159))," ")</f>
        <v>0.999200639488409</v>
      </c>
      <c r="AC1159" s="95" t="n">
        <f aca="false">IFERROR((T1159)/((T1159)+O1159),0)</f>
        <v>0.000799360511590727</v>
      </c>
      <c r="AD1159" s="96" t="n">
        <f aca="false">IFERROR(Q1159/(Q1159+N1159),0)</f>
        <v>0</v>
      </c>
      <c r="AE1159" s="91" t="n">
        <f aca="false">(N1159-T1159)/N1159</f>
        <v>0.999200639488409</v>
      </c>
      <c r="AF1159" s="97" t="n">
        <f aca="false">BR1159</f>
        <v>0</v>
      </c>
      <c r="AG1159" s="98" t="n">
        <f aca="false">K1159-AF1159</f>
        <v>8</v>
      </c>
      <c r="AH1159" s="99" t="n">
        <f aca="false">IFERROR(AG1159/K1159," ")</f>
        <v>1</v>
      </c>
      <c r="AI1159" s="100" t="n">
        <f aca="false">IFERROR(O1159/K1159,0)</f>
        <v>625</v>
      </c>
      <c r="AJ1159" s="101" t="n">
        <f aca="false">VLOOKUP(D1159,'Standard Cycle time'!C:D,2,0)</f>
        <v>6</v>
      </c>
      <c r="AK1159" s="101" t="n">
        <f aca="false">AG1159*V1159*3600/O1159</f>
        <v>5.76</v>
      </c>
      <c r="AL1159" s="102" t="n">
        <f aca="false">AJ1159/AK1159</f>
        <v>1.04166666666667</v>
      </c>
      <c r="AM1159" s="99" t="n">
        <f aca="false">AE1159*AL1159*AH1159</f>
        <v>1.04083399946709</v>
      </c>
      <c r="AN1159" s="103" t="n">
        <v>1.04083399946709</v>
      </c>
      <c r="AO1159" s="112" t="s">
        <v>913</v>
      </c>
      <c r="AP1159" s="105" t="n">
        <v>0</v>
      </c>
      <c r="AQ1159" s="105" t="n">
        <v>0</v>
      </c>
      <c r="AR1159" s="105" t="n">
        <v>0</v>
      </c>
      <c r="AS1159" s="105" t="n">
        <v>0</v>
      </c>
      <c r="AT1159" s="105" t="n">
        <v>0</v>
      </c>
      <c r="AU1159" s="105" t="n">
        <v>0</v>
      </c>
      <c r="AV1159" s="105" t="n">
        <v>0</v>
      </c>
      <c r="AW1159" s="105" t="n">
        <v>0</v>
      </c>
      <c r="AX1159" s="105" t="n">
        <v>0</v>
      </c>
      <c r="AY1159" s="105" t="n">
        <v>0</v>
      </c>
      <c r="AZ1159" s="105" t="n">
        <v>0</v>
      </c>
      <c r="BA1159" s="105" t="n">
        <v>0</v>
      </c>
      <c r="BB1159" s="105" t="n">
        <v>0</v>
      </c>
      <c r="BC1159" s="105" t="n">
        <v>0</v>
      </c>
      <c r="BD1159" s="105" t="n">
        <v>0</v>
      </c>
      <c r="BE1159" s="105" t="n">
        <v>0</v>
      </c>
      <c r="BF1159" s="105" t="n">
        <v>0</v>
      </c>
      <c r="BG1159" s="105" t="n">
        <v>0</v>
      </c>
      <c r="BH1159" s="105" t="n">
        <v>0</v>
      </c>
      <c r="BI1159" s="105" t="n">
        <v>0</v>
      </c>
      <c r="BJ1159" s="105" t="n">
        <v>0</v>
      </c>
      <c r="BK1159" s="105" t="n">
        <v>0</v>
      </c>
      <c r="BL1159" s="105" t="n">
        <v>0</v>
      </c>
      <c r="BM1159" s="105" t="n">
        <v>0</v>
      </c>
      <c r="BN1159" s="105" t="n">
        <v>0</v>
      </c>
      <c r="BO1159" s="105" t="n">
        <v>0</v>
      </c>
      <c r="BP1159" s="105" t="n">
        <v>0</v>
      </c>
      <c r="BQ1159" s="105" t="n">
        <v>0</v>
      </c>
      <c r="BR1159" s="106" t="n">
        <v>0</v>
      </c>
      <c r="BS1159" s="106" t="n">
        <v>0</v>
      </c>
      <c r="BT1159" s="107"/>
      <c r="BU1159" s="107"/>
      <c r="BV1159" s="107"/>
      <c r="BW1159" s="107"/>
      <c r="BX1159" s="107"/>
      <c r="BY1159" s="107"/>
      <c r="BZ1159" s="107"/>
      <c r="CA1159" s="107"/>
      <c r="CB1159" s="107"/>
      <c r="CC1159" s="107"/>
      <c r="CD1159" s="107"/>
      <c r="CE1159" s="107"/>
      <c r="CF1159" s="107"/>
      <c r="CG1159" s="107"/>
      <c r="CH1159" s="107"/>
      <c r="CI1159" s="107"/>
      <c r="CJ1159" s="107"/>
      <c r="CK1159" s="107"/>
      <c r="CL1159" s="107"/>
      <c r="CM1159" s="107"/>
      <c r="CN1159" s="107"/>
      <c r="CO1159" s="107"/>
      <c r="CP1159" s="107"/>
      <c r="CQ1159" s="107"/>
      <c r="CR1159" s="107"/>
      <c r="CS1159" s="107"/>
      <c r="CT1159" s="107"/>
      <c r="CU1159" s="107"/>
      <c r="CV1159" s="107"/>
    </row>
    <row r="1160" customFormat="false" ht="14.9" hidden="false" customHeight="false" outlineLevel="0" collapsed="false">
      <c r="A1160" s="74" t="n">
        <f aca="false">MONTH(B1160)</f>
        <v>11</v>
      </c>
      <c r="B1160" s="135" t="n">
        <v>44509</v>
      </c>
      <c r="C1160" s="128" t="s">
        <v>70</v>
      </c>
      <c r="D1160" s="77" t="str">
        <f aca="false">IFERROR(VLOOKUP(E:E,'Item Data Support Sheet'!A:O,7,0),"")</f>
        <v>BOTTLE PRINTED</v>
      </c>
      <c r="E1160" s="80" t="s">
        <v>981</v>
      </c>
      <c r="F1160" s="122"/>
      <c r="G1160" s="137" t="s">
        <v>66</v>
      </c>
      <c r="H1160" s="79" t="str">
        <f aca="false">IFERROR(VLOOKUP(E:E,'Item Data Support Sheet'!A:O,2,0),"")</f>
        <v>KPP BOTTLE 240 ML PRINTED-WMG3B</v>
      </c>
      <c r="I1160" s="80" t="s">
        <v>1951</v>
      </c>
      <c r="J1160" s="80" t="s">
        <v>158</v>
      </c>
      <c r="K1160" s="124" t="n">
        <v>8</v>
      </c>
      <c r="L1160" s="124" t="n">
        <v>5134</v>
      </c>
      <c r="M1160" s="83" t="n">
        <v>641.75</v>
      </c>
      <c r="N1160" s="84" t="n">
        <f aca="false">+O1160+Q1160+T1160+U1160</f>
        <v>3870</v>
      </c>
      <c r="O1160" s="85" t="n">
        <v>3769</v>
      </c>
      <c r="P1160" s="86" t="n">
        <v>0</v>
      </c>
      <c r="Q1160" s="86" t="n">
        <v>0</v>
      </c>
      <c r="R1160" s="132" t="n">
        <v>44</v>
      </c>
      <c r="S1160" s="128" t="n">
        <v>0</v>
      </c>
      <c r="T1160" s="132" t="n">
        <v>101</v>
      </c>
      <c r="U1160" s="128" t="n">
        <v>0</v>
      </c>
      <c r="V1160" s="128" t="n">
        <v>4</v>
      </c>
      <c r="W1160" s="90" t="n">
        <f aca="false">IFERROR(O1160/V1160,0)</f>
        <v>942.25</v>
      </c>
      <c r="X1160" s="91" t="n">
        <f aca="false">O1160/L1160</f>
        <v>0.734125438254772</v>
      </c>
      <c r="Y1160" s="92" t="str">
        <f aca="false">IFERROR(VLOOKUP(E:E,'Item Data Support Sheet'!A:J,6,0),0)</f>
        <v>FO044</v>
      </c>
      <c r="Z1160" s="93" t="n">
        <f aca="false">IFERROR(VLOOKUP(E:E,'Item Data Support Sheet'!A:O,4,0),0)</f>
        <v>0</v>
      </c>
      <c r="AA1160" s="93" t="n">
        <f aca="false">IFERROR(((N1160)*(Z1160/1000))+P1160,0)</f>
        <v>0</v>
      </c>
      <c r="AB1160" s="94" t="str">
        <f aca="false">IFERROR((O1160*(Z1160/1000)/(AA1160))," ")</f>
        <v> </v>
      </c>
      <c r="AC1160" s="95" t="n">
        <f aca="false">IFERROR((T1160)/((T1160)+O1160),0)</f>
        <v>0.0260981912144703</v>
      </c>
      <c r="AD1160" s="96" t="n">
        <f aca="false">IFERROR(Q1160/(Q1160+N1160),0)</f>
        <v>0</v>
      </c>
      <c r="AE1160" s="91" t="n">
        <f aca="false">(N1160-T1160)/N1160</f>
        <v>0.97390180878553</v>
      </c>
      <c r="AF1160" s="97" t="n">
        <f aca="false">BR1160</f>
        <v>0</v>
      </c>
      <c r="AG1160" s="98" t="n">
        <f aca="false">K1160-AF1160</f>
        <v>8</v>
      </c>
      <c r="AH1160" s="99" t="n">
        <f aca="false">IFERROR(AG1160/K1160," ")</f>
        <v>1</v>
      </c>
      <c r="AI1160" s="100" t="n">
        <f aca="false">IFERROR(O1160/K1160,0)</f>
        <v>471.125</v>
      </c>
      <c r="AJ1160" s="101" t="n">
        <f aca="false">VLOOKUP(D1160,'Standard Cycle time'!C:D,2,0)</f>
        <v>32.4</v>
      </c>
      <c r="AK1160" s="101" t="n">
        <f aca="false">AG1160*V1160*3600/O1160</f>
        <v>30.5651366410188</v>
      </c>
      <c r="AL1160" s="102" t="n">
        <f aca="false">AJ1160/AK1160</f>
        <v>1.06003125</v>
      </c>
      <c r="AM1160" s="99" t="n">
        <f aca="false">AE1160*AL1160*AH1160</f>
        <v>1.03236635174419</v>
      </c>
      <c r="AN1160" s="103" t="n">
        <v>1.03236635174419</v>
      </c>
      <c r="AO1160" s="112"/>
      <c r="AP1160" s="105"/>
      <c r="AQ1160" s="105"/>
      <c r="AR1160" s="105"/>
      <c r="AS1160" s="105"/>
      <c r="AT1160" s="105"/>
      <c r="AU1160" s="105"/>
      <c r="AV1160" s="105"/>
      <c r="AW1160" s="105"/>
      <c r="AX1160" s="105"/>
      <c r="AY1160" s="105"/>
      <c r="AZ1160" s="105"/>
      <c r="BA1160" s="105"/>
      <c r="BB1160" s="105"/>
      <c r="BC1160" s="105"/>
      <c r="BD1160" s="105"/>
      <c r="BE1160" s="105"/>
      <c r="BF1160" s="105"/>
      <c r="BG1160" s="105"/>
      <c r="BH1160" s="105"/>
      <c r="BI1160" s="105"/>
      <c r="BJ1160" s="105"/>
      <c r="BK1160" s="105"/>
      <c r="BL1160" s="105"/>
      <c r="BM1160" s="105"/>
      <c r="BN1160" s="105"/>
      <c r="BO1160" s="105"/>
      <c r="BP1160" s="105"/>
      <c r="BQ1160" s="105"/>
      <c r="BR1160" s="106"/>
      <c r="BS1160" s="106"/>
      <c r="BT1160" s="107"/>
      <c r="BU1160" s="107"/>
      <c r="BV1160" s="107"/>
      <c r="BW1160" s="107"/>
      <c r="BX1160" s="107"/>
      <c r="BY1160" s="107"/>
      <c r="BZ1160" s="107"/>
      <c r="CA1160" s="107"/>
      <c r="CB1160" s="107"/>
      <c r="CC1160" s="107"/>
      <c r="CD1160" s="107"/>
      <c r="CE1160" s="107"/>
      <c r="CF1160" s="107"/>
      <c r="CG1160" s="107"/>
      <c r="CH1160" s="107"/>
      <c r="CI1160" s="107"/>
      <c r="CJ1160" s="107"/>
      <c r="CK1160" s="107"/>
      <c r="CL1160" s="107"/>
      <c r="CM1160" s="107"/>
      <c r="CN1160" s="107"/>
      <c r="CO1160" s="107"/>
      <c r="CP1160" s="107"/>
      <c r="CQ1160" s="107"/>
      <c r="CR1160" s="107"/>
      <c r="CS1160" s="107"/>
      <c r="CT1160" s="107"/>
      <c r="CU1160" s="107"/>
      <c r="CV1160" s="107"/>
    </row>
    <row r="1161" customFormat="false" ht="14.9" hidden="false" customHeight="false" outlineLevel="0" collapsed="false">
      <c r="A1161" s="74" t="n">
        <f aca="false">MONTH(B1161)</f>
        <v>11</v>
      </c>
      <c r="B1161" s="135" t="n">
        <v>44509</v>
      </c>
      <c r="C1161" s="128" t="s">
        <v>70</v>
      </c>
      <c r="D1161" s="77" t="str">
        <f aca="false">IFERROR(VLOOKUP(E:E,'Item Data Support Sheet'!A:O,7,0),"")</f>
        <v>BOTTLE MOLDED</v>
      </c>
      <c r="E1161" s="80" t="s">
        <v>69</v>
      </c>
      <c r="F1161" s="122" t="s">
        <v>73</v>
      </c>
      <c r="G1161" s="137" t="s">
        <v>74</v>
      </c>
      <c r="H1161" s="79" t="str">
        <f aca="false">IFERROR(VLOOKUP(E:E,'Item Data Support Sheet'!A:O,2,0),"")</f>
        <v>KPP 240 ML BOTTLE MOLDED</v>
      </c>
      <c r="I1161" s="80" t="s">
        <v>1952</v>
      </c>
      <c r="J1161" s="80" t="s">
        <v>158</v>
      </c>
      <c r="K1161" s="124" t="n">
        <v>8</v>
      </c>
      <c r="L1161" s="124" t="n">
        <v>2574</v>
      </c>
      <c r="M1161" s="83" t="n">
        <v>321.75</v>
      </c>
      <c r="N1161" s="84" t="n">
        <f aca="false">+O1161+Q1161+T1161+U1161</f>
        <v>3231</v>
      </c>
      <c r="O1161" s="85" t="n">
        <v>3132</v>
      </c>
      <c r="P1161" s="86" t="n">
        <v>0</v>
      </c>
      <c r="Q1161" s="86" t="n">
        <v>24</v>
      </c>
      <c r="R1161" s="132" t="n">
        <v>0</v>
      </c>
      <c r="S1161" s="128" t="n">
        <v>0</v>
      </c>
      <c r="T1161" s="132" t="n">
        <v>75</v>
      </c>
      <c r="U1161" s="128" t="n">
        <v>0</v>
      </c>
      <c r="V1161" s="128" t="n">
        <v>1</v>
      </c>
      <c r="W1161" s="90" t="n">
        <f aca="false">IFERROR(O1161/V1161,0)</f>
        <v>3132</v>
      </c>
      <c r="X1161" s="91" t="n">
        <f aca="false">O1161/L1161</f>
        <v>1.21678321678322</v>
      </c>
      <c r="Y1161" s="92" t="str">
        <f aca="false">IFERROR(VLOOKUP(E:E,'Item Data Support Sheet'!A:J,6,0),0)</f>
        <v>HMC</v>
      </c>
      <c r="Z1161" s="93" t="n">
        <f aca="false">IFERROR(VLOOKUP(E:E,'Item Data Support Sheet'!A:O,4,0),0)</f>
        <v>32.1</v>
      </c>
      <c r="AA1161" s="93" t="n">
        <f aca="false">IFERROR(((N1161)*(Z1161/1000))+P1161,0)</f>
        <v>103.7151</v>
      </c>
      <c r="AB1161" s="94" t="n">
        <f aca="false">IFERROR((O1161*(Z1161/1000)/(AA1161))," ")</f>
        <v>0.969359331476323</v>
      </c>
      <c r="AC1161" s="95" t="n">
        <f aca="false">IFERROR((T1161)/((T1161)+O1161),0)</f>
        <v>0.0233863423760524</v>
      </c>
      <c r="AD1161" s="96" t="n">
        <f aca="false">IFERROR(Q1161/(Q1161+N1161),0)</f>
        <v>0.00737327188940092</v>
      </c>
      <c r="AE1161" s="91" t="n">
        <f aca="false">(N1161-T1161)/N1161</f>
        <v>0.976787372330548</v>
      </c>
      <c r="AF1161" s="97" t="n">
        <f aca="false">BR1161</f>
        <v>0</v>
      </c>
      <c r="AG1161" s="98" t="n">
        <f aca="false">K1161-AF1161</f>
        <v>8</v>
      </c>
      <c r="AH1161" s="99" t="n">
        <f aca="false">IFERROR(AG1161/K1161," ")</f>
        <v>1</v>
      </c>
      <c r="AI1161" s="100" t="n">
        <f aca="false">IFERROR(O1161/K1161,0)</f>
        <v>391.5</v>
      </c>
      <c r="AJ1161" s="101" t="n">
        <f aca="false">VLOOKUP(D1161,'Standard Cycle time'!C:D,2,0)</f>
        <v>9</v>
      </c>
      <c r="AK1161" s="101" t="n">
        <f aca="false">AG1161*V1161*3600/O1161</f>
        <v>9.19540229885057</v>
      </c>
      <c r="AL1161" s="102" t="n">
        <f aca="false">AJ1161/AK1161</f>
        <v>0.97875</v>
      </c>
      <c r="AM1161" s="99" t="n">
        <f aca="false">AE1161*AL1161*AH1161</f>
        <v>0.956030640668524</v>
      </c>
      <c r="AN1161" s="103" t="n">
        <v>0.956030640668524</v>
      </c>
      <c r="AO1161" s="112" t="s">
        <v>913</v>
      </c>
      <c r="AP1161" s="105" t="n">
        <v>0</v>
      </c>
      <c r="AQ1161" s="105" t="n">
        <v>0</v>
      </c>
      <c r="AR1161" s="105" t="n">
        <v>0</v>
      </c>
      <c r="AS1161" s="105" t="n">
        <v>0</v>
      </c>
      <c r="AT1161" s="105" t="n">
        <v>0</v>
      </c>
      <c r="AU1161" s="105" t="n">
        <v>0</v>
      </c>
      <c r="AV1161" s="105" t="n">
        <v>0</v>
      </c>
      <c r="AW1161" s="105" t="n">
        <v>0</v>
      </c>
      <c r="AX1161" s="105" t="n">
        <v>0</v>
      </c>
      <c r="AY1161" s="105" t="n">
        <v>0</v>
      </c>
      <c r="AZ1161" s="105" t="n">
        <v>0</v>
      </c>
      <c r="BA1161" s="105" t="n">
        <v>0</v>
      </c>
      <c r="BB1161" s="105" t="n">
        <v>0</v>
      </c>
      <c r="BC1161" s="105" t="n">
        <v>0</v>
      </c>
      <c r="BD1161" s="105" t="n">
        <v>0</v>
      </c>
      <c r="BE1161" s="105" t="n">
        <v>0</v>
      </c>
      <c r="BF1161" s="105" t="n">
        <v>0</v>
      </c>
      <c r="BG1161" s="105" t="n">
        <v>0</v>
      </c>
      <c r="BH1161" s="105" t="n">
        <v>0</v>
      </c>
      <c r="BI1161" s="105" t="n">
        <v>0</v>
      </c>
      <c r="BJ1161" s="105" t="n">
        <v>0</v>
      </c>
      <c r="BK1161" s="105" t="n">
        <v>0</v>
      </c>
      <c r="BL1161" s="105" t="n">
        <v>0</v>
      </c>
      <c r="BM1161" s="105" t="n">
        <v>0</v>
      </c>
      <c r="BN1161" s="105" t="n">
        <v>0</v>
      </c>
      <c r="BO1161" s="105" t="n">
        <v>0</v>
      </c>
      <c r="BP1161" s="105" t="n">
        <v>0</v>
      </c>
      <c r="BQ1161" s="105" t="n">
        <v>0</v>
      </c>
      <c r="BR1161" s="106" t="n">
        <v>0</v>
      </c>
      <c r="BS1161" s="106" t="n">
        <v>0</v>
      </c>
      <c r="BT1161" s="107"/>
      <c r="BU1161" s="107"/>
      <c r="BV1161" s="107"/>
      <c r="BW1161" s="107"/>
      <c r="BX1161" s="107"/>
      <c r="BY1161" s="107"/>
      <c r="BZ1161" s="107"/>
      <c r="CA1161" s="107"/>
      <c r="CB1161" s="107"/>
      <c r="CC1161" s="107"/>
      <c r="CD1161" s="107"/>
      <c r="CE1161" s="107"/>
      <c r="CF1161" s="107"/>
      <c r="CG1161" s="107"/>
      <c r="CH1161" s="107"/>
      <c r="CI1161" s="107"/>
      <c r="CJ1161" s="107"/>
      <c r="CK1161" s="107"/>
      <c r="CL1161" s="107"/>
      <c r="CM1161" s="107"/>
      <c r="CN1161" s="107"/>
      <c r="CO1161" s="107"/>
      <c r="CP1161" s="107"/>
      <c r="CQ1161" s="107"/>
      <c r="CR1161" s="107"/>
      <c r="CS1161" s="107"/>
      <c r="CT1161" s="107"/>
      <c r="CU1161" s="107"/>
      <c r="CV1161" s="107"/>
    </row>
    <row r="1162" customFormat="false" ht="14.9" hidden="false" customHeight="false" outlineLevel="0" collapsed="false">
      <c r="A1162" s="74" t="n">
        <f aca="false">MONTH(B1162)</f>
        <v>11</v>
      </c>
      <c r="B1162" s="135" t="n">
        <v>44509</v>
      </c>
      <c r="C1162" s="128" t="s">
        <v>152</v>
      </c>
      <c r="D1162" s="77" t="str">
        <f aca="false">IFERROR(VLOOKUP(E:E,'Item Data Support Sheet'!A:O,7,0),"")</f>
        <v>HOOD MOLDED</v>
      </c>
      <c r="E1162" s="80" t="s">
        <v>529</v>
      </c>
      <c r="F1162" s="122"/>
      <c r="G1162" s="137" t="s">
        <v>740</v>
      </c>
      <c r="H1162" s="79" t="str">
        <f aca="false">IFERROR(VLOOKUP(E:E,'Item Data Support Sheet'!A:O,2,0),"")</f>
        <v>HOOD S TYPE MOLDED</v>
      </c>
      <c r="I1162" s="80" t="s">
        <v>1953</v>
      </c>
      <c r="J1162" s="80" t="s">
        <v>1913</v>
      </c>
      <c r="K1162" s="124" t="n">
        <v>8</v>
      </c>
      <c r="L1162" s="124" t="n">
        <v>4137</v>
      </c>
      <c r="M1162" s="83" t="n">
        <v>517.125</v>
      </c>
      <c r="N1162" s="84" t="n">
        <f aca="false">+O1162+Q1162+T1162+U1162</f>
        <v>4614</v>
      </c>
      <c r="O1162" s="85" t="n">
        <v>4600</v>
      </c>
      <c r="P1162" s="86" t="n">
        <v>0</v>
      </c>
      <c r="Q1162" s="86" t="n">
        <v>0</v>
      </c>
      <c r="R1162" s="132" t="n">
        <v>0</v>
      </c>
      <c r="S1162" s="128" t="n">
        <v>0</v>
      </c>
      <c r="T1162" s="132" t="n">
        <v>6</v>
      </c>
      <c r="U1162" s="128" t="n">
        <v>8</v>
      </c>
      <c r="V1162" s="128" t="n">
        <v>1</v>
      </c>
      <c r="W1162" s="90" t="n">
        <f aca="false">IFERROR(O1162/V1162,0)</f>
        <v>4600</v>
      </c>
      <c r="X1162" s="91" t="n">
        <f aca="false">O1162/L1162</f>
        <v>1.11191684795746</v>
      </c>
      <c r="Y1162" s="92" t="str">
        <f aca="false">IFERROR(VLOOKUP(E:E,'Item Data Support Sheet'!A:J,6,0),0)</f>
        <v>HMC</v>
      </c>
      <c r="Z1162" s="93" t="n">
        <f aca="false">IFERROR(VLOOKUP(E:E,'Item Data Support Sheet'!A:O,4,0),0)</f>
        <v>8.6</v>
      </c>
      <c r="AA1162" s="93" t="n">
        <f aca="false">IFERROR(((N1162)*(Z1162/1000))+P1162,0)</f>
        <v>39.6804</v>
      </c>
      <c r="AB1162" s="94" t="n">
        <f aca="false">IFERROR((O1162*(Z1162/1000)/(AA1162))," ")</f>
        <v>0.996965756393585</v>
      </c>
      <c r="AC1162" s="95" t="n">
        <f aca="false">IFERROR((T1162)/((T1162)+O1162),0)</f>
        <v>0.00130264871906209</v>
      </c>
      <c r="AD1162" s="96" t="n">
        <f aca="false">IFERROR(Q1162/(Q1162+N1162),0)</f>
        <v>0</v>
      </c>
      <c r="AE1162" s="91" t="n">
        <f aca="false">(N1162-T1162)/N1162</f>
        <v>0.998699609882965</v>
      </c>
      <c r="AF1162" s="97" t="n">
        <f aca="false">BR1162</f>
        <v>0</v>
      </c>
      <c r="AG1162" s="98" t="n">
        <f aca="false">K1162-AF1162</f>
        <v>8</v>
      </c>
      <c r="AH1162" s="99" t="n">
        <f aca="false">IFERROR(AG1162/K1162," ")</f>
        <v>1</v>
      </c>
      <c r="AI1162" s="100" t="n">
        <f aca="false">IFERROR(O1162/K1162,0)</f>
        <v>575</v>
      </c>
      <c r="AJ1162" s="101" t="n">
        <f aca="false">VLOOKUP(D1162,'Standard Cycle time'!C:D,2,0)</f>
        <v>6</v>
      </c>
      <c r="AK1162" s="101" t="n">
        <f aca="false">AG1162*V1162*3600/O1162</f>
        <v>6.26086956521739</v>
      </c>
      <c r="AL1162" s="102" t="n">
        <f aca="false">AJ1162/AK1162</f>
        <v>0.958333333333333</v>
      </c>
      <c r="AM1162" s="99" t="n">
        <f aca="false">AE1162*AL1162*AH1162</f>
        <v>0.957087126137841</v>
      </c>
      <c r="AN1162" s="103" t="n">
        <v>0.957087126137841</v>
      </c>
      <c r="AO1162" s="112"/>
      <c r="AP1162" s="105" t="n">
        <v>0</v>
      </c>
      <c r="AQ1162" s="105" t="n">
        <v>0</v>
      </c>
      <c r="AR1162" s="105" t="n">
        <v>0</v>
      </c>
      <c r="AS1162" s="105" t="n">
        <v>0</v>
      </c>
      <c r="AT1162" s="105" t="n">
        <v>0</v>
      </c>
      <c r="AU1162" s="105" t="n">
        <v>0</v>
      </c>
      <c r="AV1162" s="105" t="n">
        <v>0</v>
      </c>
      <c r="AW1162" s="105" t="n">
        <v>0</v>
      </c>
      <c r="AX1162" s="105" t="n">
        <v>0</v>
      </c>
      <c r="AY1162" s="105" t="n">
        <v>0</v>
      </c>
      <c r="AZ1162" s="105" t="n">
        <v>0</v>
      </c>
      <c r="BA1162" s="105" t="n">
        <v>0</v>
      </c>
      <c r="BB1162" s="105" t="n">
        <v>0</v>
      </c>
      <c r="BC1162" s="105" t="n">
        <v>0</v>
      </c>
      <c r="BD1162" s="105" t="n">
        <v>0</v>
      </c>
      <c r="BE1162" s="105" t="n">
        <v>0</v>
      </c>
      <c r="BF1162" s="105" t="n">
        <v>0</v>
      </c>
      <c r="BG1162" s="105" t="n">
        <v>0</v>
      </c>
      <c r="BH1162" s="105" t="n">
        <v>0</v>
      </c>
      <c r="BI1162" s="105" t="n">
        <v>0</v>
      </c>
      <c r="BJ1162" s="105" t="n">
        <v>0</v>
      </c>
      <c r="BK1162" s="105" t="n">
        <v>0</v>
      </c>
      <c r="BL1162" s="105" t="n">
        <v>0</v>
      </c>
      <c r="BM1162" s="105" t="n">
        <v>0</v>
      </c>
      <c r="BN1162" s="105" t="n">
        <v>0</v>
      </c>
      <c r="BO1162" s="105" t="n">
        <v>0</v>
      </c>
      <c r="BP1162" s="105" t="n">
        <v>0</v>
      </c>
      <c r="BQ1162" s="105" t="n">
        <v>0</v>
      </c>
      <c r="BR1162" s="106" t="n">
        <v>0</v>
      </c>
      <c r="BS1162" s="106" t="n">
        <v>0</v>
      </c>
      <c r="BT1162" s="107"/>
      <c r="BU1162" s="107"/>
      <c r="BV1162" s="107"/>
      <c r="BW1162" s="107"/>
      <c r="BX1162" s="107"/>
      <c r="BY1162" s="107"/>
      <c r="BZ1162" s="107"/>
      <c r="CA1162" s="107"/>
      <c r="CB1162" s="107"/>
      <c r="CC1162" s="107"/>
      <c r="CD1162" s="107"/>
      <c r="CE1162" s="107"/>
      <c r="CF1162" s="107"/>
      <c r="CG1162" s="107"/>
      <c r="CH1162" s="107"/>
      <c r="CI1162" s="107"/>
      <c r="CJ1162" s="107"/>
      <c r="CK1162" s="107"/>
      <c r="CL1162" s="107"/>
      <c r="CM1162" s="107"/>
      <c r="CN1162" s="107"/>
      <c r="CO1162" s="107"/>
      <c r="CP1162" s="107"/>
      <c r="CQ1162" s="107"/>
      <c r="CR1162" s="107"/>
      <c r="CS1162" s="107"/>
      <c r="CT1162" s="107"/>
      <c r="CU1162" s="107"/>
      <c r="CV1162" s="107"/>
    </row>
    <row r="1163" customFormat="false" ht="14.9" hidden="false" customHeight="false" outlineLevel="0" collapsed="false">
      <c r="A1163" s="74" t="n">
        <f aca="false">MONTH(B1163)</f>
        <v>11</v>
      </c>
      <c r="B1163" s="135" t="n">
        <v>44509</v>
      </c>
      <c r="C1163" s="128" t="s">
        <v>152</v>
      </c>
      <c r="D1163" s="77" t="str">
        <f aca="false">IFERROR(VLOOKUP(E:E,'Item Data Support Sheet'!A:O,7,0),"")</f>
        <v>BOTTLE MOLDED</v>
      </c>
      <c r="E1163" s="80" t="s">
        <v>69</v>
      </c>
      <c r="F1163" s="122" t="s">
        <v>73</v>
      </c>
      <c r="G1163" s="137" t="s">
        <v>74</v>
      </c>
      <c r="H1163" s="79" t="str">
        <f aca="false">IFERROR(VLOOKUP(E:E,'Item Data Support Sheet'!A:O,2,0),"")</f>
        <v>KPP 240 ML BOTTLE MOLDED</v>
      </c>
      <c r="I1163" s="80" t="s">
        <v>1954</v>
      </c>
      <c r="J1163" s="80" t="s">
        <v>1913</v>
      </c>
      <c r="K1163" s="124" t="n">
        <v>8</v>
      </c>
      <c r="L1163" s="124" t="n">
        <v>2574</v>
      </c>
      <c r="M1163" s="83" t="n">
        <v>321.75</v>
      </c>
      <c r="N1163" s="84" t="n">
        <f aca="false">+O1163+Q1163+T1163+U1163</f>
        <v>3358</v>
      </c>
      <c r="O1163" s="85" t="n">
        <v>3240</v>
      </c>
      <c r="P1163" s="86" t="n">
        <v>0.2</v>
      </c>
      <c r="Q1163" s="86" t="n">
        <v>45</v>
      </c>
      <c r="R1163" s="132" t="n">
        <v>0</v>
      </c>
      <c r="S1163" s="128" t="n">
        <v>0</v>
      </c>
      <c r="T1163" s="132" t="n">
        <v>65</v>
      </c>
      <c r="U1163" s="128" t="n">
        <v>8</v>
      </c>
      <c r="V1163" s="128" t="n">
        <v>1</v>
      </c>
      <c r="W1163" s="90" t="n">
        <f aca="false">IFERROR(O1163/V1163,0)</f>
        <v>3240</v>
      </c>
      <c r="X1163" s="91" t="n">
        <f aca="false">O1163/L1163</f>
        <v>1.25874125874126</v>
      </c>
      <c r="Y1163" s="92" t="str">
        <f aca="false">IFERROR(VLOOKUP(E:E,'Item Data Support Sheet'!A:J,6,0),0)</f>
        <v>HMC</v>
      </c>
      <c r="Z1163" s="93" t="n">
        <f aca="false">IFERROR(VLOOKUP(E:E,'Item Data Support Sheet'!A:O,4,0),0)</f>
        <v>32.1</v>
      </c>
      <c r="AA1163" s="93" t="n">
        <f aca="false">IFERROR(((N1163)*(Z1163/1000))+P1163,0)</f>
        <v>107.9918</v>
      </c>
      <c r="AB1163" s="94" t="n">
        <f aca="false">IFERROR((O1163*(Z1163/1000)/(AA1163))," ")</f>
        <v>0.963073122218539</v>
      </c>
      <c r="AC1163" s="95" t="n">
        <f aca="false">IFERROR((T1163)/((T1163)+O1163),0)</f>
        <v>0.0196671709531014</v>
      </c>
      <c r="AD1163" s="96" t="n">
        <f aca="false">IFERROR(Q1163/(Q1163+N1163),0)</f>
        <v>0.0132236262121657</v>
      </c>
      <c r="AE1163" s="91" t="n">
        <f aca="false">(N1163-T1163)/N1163</f>
        <v>0.980643240023824</v>
      </c>
      <c r="AF1163" s="97" t="n">
        <f aca="false">BR1163</f>
        <v>0</v>
      </c>
      <c r="AG1163" s="98" t="n">
        <f aca="false">K1163-AF1163</f>
        <v>8</v>
      </c>
      <c r="AH1163" s="99" t="n">
        <f aca="false">IFERROR(AG1163/K1163," ")</f>
        <v>1</v>
      </c>
      <c r="AI1163" s="100" t="n">
        <f aca="false">IFERROR(O1163/K1163,0)</f>
        <v>405</v>
      </c>
      <c r="AJ1163" s="101" t="n">
        <f aca="false">VLOOKUP(D1163,'Standard Cycle time'!C:D,2,0)</f>
        <v>9</v>
      </c>
      <c r="AK1163" s="101" t="n">
        <f aca="false">AG1163*V1163*3600/O1163</f>
        <v>8.88888888888889</v>
      </c>
      <c r="AL1163" s="102" t="n">
        <f aca="false">AJ1163/AK1163</f>
        <v>1.0125</v>
      </c>
      <c r="AM1163" s="99" t="n">
        <f aca="false">AE1163*AL1163*AH1163</f>
        <v>0.992901280524121</v>
      </c>
      <c r="AN1163" s="103" t="n">
        <v>0.992901280524122</v>
      </c>
      <c r="AO1163" s="112"/>
      <c r="AP1163" s="105" t="n">
        <v>0</v>
      </c>
      <c r="AQ1163" s="105" t="n">
        <v>0</v>
      </c>
      <c r="AR1163" s="105" t="n">
        <v>0</v>
      </c>
      <c r="AS1163" s="105" t="n">
        <v>0</v>
      </c>
      <c r="AT1163" s="105" t="n">
        <v>0</v>
      </c>
      <c r="AU1163" s="105" t="n">
        <v>0</v>
      </c>
      <c r="AV1163" s="105" t="n">
        <v>0</v>
      </c>
      <c r="AW1163" s="105" t="n">
        <v>0</v>
      </c>
      <c r="AX1163" s="105" t="n">
        <v>0</v>
      </c>
      <c r="AY1163" s="105" t="n">
        <v>0</v>
      </c>
      <c r="AZ1163" s="105" t="n">
        <v>0</v>
      </c>
      <c r="BA1163" s="105" t="n">
        <v>0</v>
      </c>
      <c r="BB1163" s="105" t="n">
        <v>0</v>
      </c>
      <c r="BC1163" s="105" t="n">
        <v>0</v>
      </c>
      <c r="BD1163" s="105" t="n">
        <v>0</v>
      </c>
      <c r="BE1163" s="105" t="n">
        <v>0</v>
      </c>
      <c r="BF1163" s="105" t="n">
        <v>0</v>
      </c>
      <c r="BG1163" s="105" t="n">
        <v>0</v>
      </c>
      <c r="BH1163" s="105" t="n">
        <v>0</v>
      </c>
      <c r="BI1163" s="105" t="n">
        <v>0</v>
      </c>
      <c r="BJ1163" s="105" t="n">
        <v>0</v>
      </c>
      <c r="BK1163" s="105" t="n">
        <v>0</v>
      </c>
      <c r="BL1163" s="105" t="n">
        <v>0</v>
      </c>
      <c r="BM1163" s="105" t="n">
        <v>0</v>
      </c>
      <c r="BN1163" s="105" t="n">
        <v>0</v>
      </c>
      <c r="BO1163" s="105" t="n">
        <v>0</v>
      </c>
      <c r="BP1163" s="105" t="n">
        <v>0</v>
      </c>
      <c r="BQ1163" s="105" t="n">
        <v>0</v>
      </c>
      <c r="BR1163" s="106" t="n">
        <v>0</v>
      </c>
      <c r="BS1163" s="106" t="n">
        <v>0</v>
      </c>
      <c r="BT1163" s="107"/>
      <c r="BU1163" s="107"/>
      <c r="BV1163" s="107"/>
      <c r="BW1163" s="107"/>
      <c r="BX1163" s="107"/>
      <c r="BY1163" s="107"/>
      <c r="BZ1163" s="107"/>
      <c r="CA1163" s="107"/>
      <c r="CB1163" s="107"/>
      <c r="CC1163" s="107"/>
      <c r="CD1163" s="107"/>
      <c r="CE1163" s="107"/>
      <c r="CF1163" s="107"/>
      <c r="CG1163" s="107"/>
      <c r="CH1163" s="107"/>
      <c r="CI1163" s="107"/>
      <c r="CJ1163" s="107"/>
      <c r="CK1163" s="107"/>
      <c r="CL1163" s="107"/>
      <c r="CM1163" s="107"/>
      <c r="CN1163" s="107"/>
      <c r="CO1163" s="107"/>
      <c r="CP1163" s="107"/>
      <c r="CQ1163" s="107"/>
      <c r="CR1163" s="107"/>
      <c r="CS1163" s="107"/>
      <c r="CT1163" s="107"/>
      <c r="CU1163" s="107"/>
      <c r="CV1163" s="107"/>
    </row>
    <row r="1164" customFormat="false" ht="14.9" hidden="false" customHeight="false" outlineLevel="0" collapsed="false">
      <c r="A1164" s="74" t="n">
        <f aca="false">MONTH(B1164)</f>
        <v>11</v>
      </c>
      <c r="B1164" s="135" t="n">
        <v>44510</v>
      </c>
      <c r="C1164" s="128" t="s">
        <v>51</v>
      </c>
      <c r="D1164" s="77" t="str">
        <f aca="false">IFERROR(VLOOKUP(E:E,'Item Data Support Sheet'!A:O,7,0),"")</f>
        <v>HOOD MOLDED</v>
      </c>
      <c r="E1164" s="80" t="s">
        <v>529</v>
      </c>
      <c r="F1164" s="122"/>
      <c r="G1164" s="137" t="s">
        <v>740</v>
      </c>
      <c r="H1164" s="79" t="str">
        <f aca="false">IFERROR(VLOOKUP(E:E,'Item Data Support Sheet'!A:O,2,0),"")</f>
        <v>HOOD S TYPE MOLDED</v>
      </c>
      <c r="I1164" s="80" t="s">
        <v>1955</v>
      </c>
      <c r="J1164" s="80" t="s">
        <v>143</v>
      </c>
      <c r="K1164" s="124" t="n">
        <v>8</v>
      </c>
      <c r="L1164" s="124" t="n">
        <v>4137</v>
      </c>
      <c r="M1164" s="83" t="n">
        <v>517.125</v>
      </c>
      <c r="N1164" s="84" t="n">
        <f aca="false">+O1164+Q1164+T1164+U1164</f>
        <v>5013</v>
      </c>
      <c r="O1164" s="85" t="n">
        <v>5000</v>
      </c>
      <c r="P1164" s="86" t="n">
        <v>0</v>
      </c>
      <c r="Q1164" s="86" t="n">
        <v>0</v>
      </c>
      <c r="R1164" s="132" t="n">
        <v>0</v>
      </c>
      <c r="S1164" s="128" t="n">
        <v>0</v>
      </c>
      <c r="T1164" s="132" t="n">
        <v>5</v>
      </c>
      <c r="U1164" s="128" t="n">
        <v>8</v>
      </c>
      <c r="V1164" s="128" t="n">
        <v>1</v>
      </c>
      <c r="W1164" s="90" t="n">
        <f aca="false">IFERROR(O1164/V1164,0)</f>
        <v>5000</v>
      </c>
      <c r="X1164" s="91" t="n">
        <f aca="false">O1164/L1164</f>
        <v>1.20860526951898</v>
      </c>
      <c r="Y1164" s="92" t="str">
        <f aca="false">IFERROR(VLOOKUP(E:E,'Item Data Support Sheet'!A:J,6,0),0)</f>
        <v>HMC</v>
      </c>
      <c r="Z1164" s="93" t="n">
        <f aca="false">IFERROR(VLOOKUP(E:E,'Item Data Support Sheet'!A:O,4,0),0)</f>
        <v>8.6</v>
      </c>
      <c r="AA1164" s="93" t="n">
        <f aca="false">IFERROR(((N1164)*(Z1164/1000))+P1164,0)</f>
        <v>43.1118</v>
      </c>
      <c r="AB1164" s="94" t="n">
        <f aca="false">IFERROR((O1164*(Z1164/1000)/(AA1164))," ")</f>
        <v>0.997406742469579</v>
      </c>
      <c r="AC1164" s="95" t="n">
        <f aca="false">IFERROR((T1164)/((T1164)+O1164),0)</f>
        <v>0.000999000999000999</v>
      </c>
      <c r="AD1164" s="96" t="n">
        <f aca="false">IFERROR(Q1164/(Q1164+N1164),0)</f>
        <v>0</v>
      </c>
      <c r="AE1164" s="91" t="n">
        <f aca="false">(N1164-T1164)/N1164</f>
        <v>0.99900259325753</v>
      </c>
      <c r="AF1164" s="97" t="n">
        <f aca="false">BR1164</f>
        <v>0</v>
      </c>
      <c r="AG1164" s="98" t="n">
        <f aca="false">K1164-AF1164</f>
        <v>8</v>
      </c>
      <c r="AH1164" s="99" t="n">
        <f aca="false">IFERROR(AG1164/K1164," ")</f>
        <v>1</v>
      </c>
      <c r="AI1164" s="100" t="n">
        <f aca="false">IFERROR(O1164/K1164,0)</f>
        <v>625</v>
      </c>
      <c r="AJ1164" s="101" t="n">
        <f aca="false">VLOOKUP(D1164,'Standard Cycle time'!C:D,2,0)</f>
        <v>6</v>
      </c>
      <c r="AK1164" s="101" t="n">
        <f aca="false">AG1164*V1164*3600/O1164</f>
        <v>5.76</v>
      </c>
      <c r="AL1164" s="102" t="n">
        <f aca="false">AJ1164/AK1164</f>
        <v>1.04166666666667</v>
      </c>
      <c r="AM1164" s="99" t="n">
        <f aca="false">AE1164*AL1164*AH1164</f>
        <v>1.04062770130993</v>
      </c>
      <c r="AN1164" s="103" t="n">
        <v>1.04062770130993</v>
      </c>
      <c r="AO1164" s="112"/>
      <c r="AP1164" s="105" t="n">
        <v>0</v>
      </c>
      <c r="AQ1164" s="105" t="n">
        <v>0</v>
      </c>
      <c r="AR1164" s="105" t="n">
        <v>0</v>
      </c>
      <c r="AS1164" s="105" t="n">
        <v>0</v>
      </c>
      <c r="AT1164" s="105" t="n">
        <v>0</v>
      </c>
      <c r="AU1164" s="105" t="n">
        <v>0</v>
      </c>
      <c r="AV1164" s="105" t="n">
        <v>0</v>
      </c>
      <c r="AW1164" s="105" t="n">
        <v>0</v>
      </c>
      <c r="AX1164" s="105" t="n">
        <v>0</v>
      </c>
      <c r="AY1164" s="105" t="n">
        <v>0</v>
      </c>
      <c r="AZ1164" s="105" t="n">
        <v>0</v>
      </c>
      <c r="BA1164" s="105" t="n">
        <v>0</v>
      </c>
      <c r="BB1164" s="105" t="n">
        <v>0</v>
      </c>
      <c r="BC1164" s="105" t="n">
        <v>0</v>
      </c>
      <c r="BD1164" s="105" t="n">
        <v>0</v>
      </c>
      <c r="BE1164" s="105" t="n">
        <v>0</v>
      </c>
      <c r="BF1164" s="105" t="n">
        <v>0</v>
      </c>
      <c r="BG1164" s="105" t="n">
        <v>0</v>
      </c>
      <c r="BH1164" s="105" t="n">
        <v>0</v>
      </c>
      <c r="BI1164" s="105" t="n">
        <v>0</v>
      </c>
      <c r="BJ1164" s="105" t="n">
        <v>0</v>
      </c>
      <c r="BK1164" s="105" t="n">
        <v>0</v>
      </c>
      <c r="BL1164" s="105" t="n">
        <v>0</v>
      </c>
      <c r="BM1164" s="105" t="n">
        <v>0</v>
      </c>
      <c r="BN1164" s="105" t="n">
        <v>0</v>
      </c>
      <c r="BO1164" s="105" t="n">
        <v>0</v>
      </c>
      <c r="BP1164" s="105" t="n">
        <v>0</v>
      </c>
      <c r="BQ1164" s="105" t="n">
        <v>0</v>
      </c>
      <c r="BR1164" s="106" t="n">
        <v>0</v>
      </c>
      <c r="BS1164" s="106" t="n">
        <v>0</v>
      </c>
      <c r="BT1164" s="107"/>
      <c r="BU1164" s="107"/>
      <c r="BV1164" s="107"/>
      <c r="BW1164" s="107"/>
      <c r="BX1164" s="107"/>
      <c r="BY1164" s="107"/>
      <c r="BZ1164" s="107"/>
      <c r="CA1164" s="107"/>
      <c r="CB1164" s="107"/>
      <c r="CC1164" s="107"/>
      <c r="CD1164" s="107"/>
      <c r="CE1164" s="107"/>
      <c r="CF1164" s="107"/>
      <c r="CG1164" s="107"/>
      <c r="CH1164" s="107"/>
      <c r="CI1164" s="107"/>
      <c r="CJ1164" s="107"/>
      <c r="CK1164" s="107"/>
      <c r="CL1164" s="107"/>
      <c r="CM1164" s="107"/>
      <c r="CN1164" s="107"/>
      <c r="CO1164" s="107"/>
      <c r="CP1164" s="107"/>
      <c r="CQ1164" s="107"/>
      <c r="CR1164" s="107"/>
      <c r="CS1164" s="107"/>
      <c r="CT1164" s="107"/>
      <c r="CU1164" s="107"/>
      <c r="CV1164" s="107"/>
    </row>
    <row r="1165" customFormat="false" ht="14.9" hidden="false" customHeight="false" outlineLevel="0" collapsed="false">
      <c r="A1165" s="74" t="n">
        <f aca="false">MONTH(B1165)</f>
        <v>11</v>
      </c>
      <c r="B1165" s="135" t="n">
        <v>44510</v>
      </c>
      <c r="C1165" s="128" t="s">
        <v>51</v>
      </c>
      <c r="D1165" s="77" t="str">
        <f aca="false">IFERROR(VLOOKUP(E:E,'Item Data Support Sheet'!A:O,7,0),"")</f>
        <v>BOTTLE MOLDED</v>
      </c>
      <c r="E1165" s="80" t="s">
        <v>69</v>
      </c>
      <c r="F1165" s="122" t="s">
        <v>73</v>
      </c>
      <c r="G1165" s="137" t="s">
        <v>74</v>
      </c>
      <c r="H1165" s="79" t="str">
        <f aca="false">IFERROR(VLOOKUP(E:E,'Item Data Support Sheet'!A:O,2,0),"")</f>
        <v>KPP 240 ML BOTTLE MOLDED</v>
      </c>
      <c r="I1165" s="80" t="s">
        <v>1956</v>
      </c>
      <c r="J1165" s="80" t="s">
        <v>143</v>
      </c>
      <c r="K1165" s="124" t="n">
        <v>8</v>
      </c>
      <c r="L1165" s="124" t="n">
        <v>2574</v>
      </c>
      <c r="M1165" s="83" t="n">
        <v>321.75</v>
      </c>
      <c r="N1165" s="84" t="n">
        <f aca="false">+O1165+Q1165+T1165+U1165</f>
        <v>3214</v>
      </c>
      <c r="O1165" s="85" t="n">
        <v>3132</v>
      </c>
      <c r="P1165" s="86" t="n">
        <v>0.1</v>
      </c>
      <c r="Q1165" s="86" t="n">
        <v>34</v>
      </c>
      <c r="R1165" s="132" t="n">
        <v>0</v>
      </c>
      <c r="S1165" s="128" t="n">
        <v>0</v>
      </c>
      <c r="T1165" s="132" t="n">
        <v>40</v>
      </c>
      <c r="U1165" s="128" t="n">
        <v>8</v>
      </c>
      <c r="V1165" s="128" t="n">
        <v>1</v>
      </c>
      <c r="W1165" s="90" t="n">
        <f aca="false">IFERROR(O1165/V1165,0)</f>
        <v>3132</v>
      </c>
      <c r="X1165" s="91" t="n">
        <f aca="false">O1165/L1165</f>
        <v>1.21678321678322</v>
      </c>
      <c r="Y1165" s="92" t="str">
        <f aca="false">IFERROR(VLOOKUP(E:E,'Item Data Support Sheet'!A:J,6,0),0)</f>
        <v>HMC</v>
      </c>
      <c r="Z1165" s="93" t="n">
        <f aca="false">IFERROR(VLOOKUP(E:E,'Item Data Support Sheet'!A:O,4,0),0)</f>
        <v>32.1</v>
      </c>
      <c r="AA1165" s="93" t="n">
        <f aca="false">IFERROR(((N1165)*(Z1165/1000))+P1165,0)</f>
        <v>103.2694</v>
      </c>
      <c r="AB1165" s="94" t="n">
        <f aca="false">IFERROR((O1165*(Z1165/1000)/(AA1165))," ")</f>
        <v>0.973542985627882</v>
      </c>
      <c r="AC1165" s="95" t="n">
        <f aca="false">IFERROR((T1165)/((T1165)+O1165),0)</f>
        <v>0.0126103404791929</v>
      </c>
      <c r="AD1165" s="96" t="n">
        <f aca="false">IFERROR(Q1165/(Q1165+N1165),0)</f>
        <v>0.0104679802955665</v>
      </c>
      <c r="AE1165" s="91" t="n">
        <f aca="false">(N1165-T1165)/N1165</f>
        <v>0.987554449284381</v>
      </c>
      <c r="AF1165" s="97" t="n">
        <f aca="false">BR1165</f>
        <v>0</v>
      </c>
      <c r="AG1165" s="98" t="n">
        <f aca="false">K1165-AF1165</f>
        <v>8</v>
      </c>
      <c r="AH1165" s="99" t="n">
        <f aca="false">IFERROR(AG1165/K1165," ")</f>
        <v>1</v>
      </c>
      <c r="AI1165" s="100" t="n">
        <f aca="false">IFERROR(O1165/K1165,0)</f>
        <v>391.5</v>
      </c>
      <c r="AJ1165" s="101" t="n">
        <f aca="false">VLOOKUP(D1165,'Standard Cycle time'!C:D,2,0)</f>
        <v>9</v>
      </c>
      <c r="AK1165" s="101" t="n">
        <f aca="false">AG1165*V1165*3600/O1165</f>
        <v>9.19540229885057</v>
      </c>
      <c r="AL1165" s="102" t="n">
        <f aca="false">AJ1165/AK1165</f>
        <v>0.97875</v>
      </c>
      <c r="AM1165" s="99" t="n">
        <f aca="false">AE1165*AL1165*AH1165</f>
        <v>0.966568917237088</v>
      </c>
      <c r="AN1165" s="103" t="n">
        <v>0.966568917237088</v>
      </c>
      <c r="AO1165" s="112"/>
      <c r="AP1165" s="105" t="n">
        <v>0</v>
      </c>
      <c r="AQ1165" s="105" t="n">
        <v>0</v>
      </c>
      <c r="AR1165" s="105" t="n">
        <v>0</v>
      </c>
      <c r="AS1165" s="105" t="n">
        <v>0</v>
      </c>
      <c r="AT1165" s="105" t="n">
        <v>0</v>
      </c>
      <c r="AU1165" s="105" t="n">
        <v>0</v>
      </c>
      <c r="AV1165" s="105" t="n">
        <v>0</v>
      </c>
      <c r="AW1165" s="105" t="n">
        <v>0</v>
      </c>
      <c r="AX1165" s="105" t="n">
        <v>0</v>
      </c>
      <c r="AY1165" s="105" t="n">
        <v>0</v>
      </c>
      <c r="AZ1165" s="105" t="n">
        <v>0</v>
      </c>
      <c r="BA1165" s="105" t="n">
        <v>0</v>
      </c>
      <c r="BB1165" s="105" t="n">
        <v>0</v>
      </c>
      <c r="BC1165" s="105" t="n">
        <v>0</v>
      </c>
      <c r="BD1165" s="105" t="n">
        <v>0</v>
      </c>
      <c r="BE1165" s="105" t="n">
        <v>0</v>
      </c>
      <c r="BF1165" s="105" t="n">
        <v>0</v>
      </c>
      <c r="BG1165" s="105" t="n">
        <v>0</v>
      </c>
      <c r="BH1165" s="105" t="n">
        <v>0</v>
      </c>
      <c r="BI1165" s="105" t="n">
        <v>0</v>
      </c>
      <c r="BJ1165" s="105" t="n">
        <v>0</v>
      </c>
      <c r="BK1165" s="105" t="n">
        <v>0</v>
      </c>
      <c r="BL1165" s="105" t="n">
        <v>0</v>
      </c>
      <c r="BM1165" s="105" t="n">
        <v>0</v>
      </c>
      <c r="BN1165" s="105" t="n">
        <v>0</v>
      </c>
      <c r="BO1165" s="105" t="n">
        <v>0</v>
      </c>
      <c r="BP1165" s="105" t="n">
        <v>0</v>
      </c>
      <c r="BQ1165" s="105" t="n">
        <v>0</v>
      </c>
      <c r="BR1165" s="106" t="n">
        <v>0</v>
      </c>
      <c r="BS1165" s="106" t="n">
        <v>0</v>
      </c>
      <c r="BT1165" s="107"/>
      <c r="BU1165" s="107"/>
      <c r="BV1165" s="107"/>
      <c r="BW1165" s="107"/>
      <c r="BX1165" s="107"/>
      <c r="BY1165" s="107"/>
      <c r="BZ1165" s="107"/>
      <c r="CA1165" s="107"/>
      <c r="CB1165" s="107"/>
      <c r="CC1165" s="107"/>
      <c r="CD1165" s="107"/>
      <c r="CE1165" s="107"/>
      <c r="CF1165" s="107"/>
      <c r="CG1165" s="107"/>
      <c r="CH1165" s="107"/>
      <c r="CI1165" s="107"/>
      <c r="CJ1165" s="107"/>
      <c r="CK1165" s="107"/>
      <c r="CL1165" s="107"/>
      <c r="CM1165" s="107"/>
      <c r="CN1165" s="107"/>
      <c r="CO1165" s="107"/>
      <c r="CP1165" s="107"/>
      <c r="CQ1165" s="107"/>
      <c r="CR1165" s="107"/>
      <c r="CS1165" s="107"/>
      <c r="CT1165" s="107"/>
      <c r="CU1165" s="107"/>
      <c r="CV1165" s="107"/>
    </row>
    <row r="1166" customFormat="false" ht="14.9" hidden="false" customHeight="false" outlineLevel="0" collapsed="false">
      <c r="A1166" s="74" t="n">
        <f aca="false">MONTH(B1166)</f>
        <v>11</v>
      </c>
      <c r="B1166" s="135" t="n">
        <v>44510</v>
      </c>
      <c r="C1166" s="128" t="s">
        <v>51</v>
      </c>
      <c r="D1166" s="77" t="str">
        <f aca="false">IFERROR(VLOOKUP(E:E,'Item Data Support Sheet'!A:O,7,0),"")</f>
        <v>NIPPLE PUNCH</v>
      </c>
      <c r="E1166" s="80" t="s">
        <v>53</v>
      </c>
      <c r="F1166" s="122"/>
      <c r="G1166" s="137" t="s">
        <v>54</v>
      </c>
      <c r="H1166" s="79" t="str">
        <f aca="false">IFERROR(VLOOKUP(E:E,'Item Data Support Sheet'!A:O,2,0),"")</f>
        <v>NIPPLE S TYPE S SIZE PUNCHED</v>
      </c>
      <c r="I1166" s="80" t="s">
        <v>1957</v>
      </c>
      <c r="J1166" s="80" t="s">
        <v>143</v>
      </c>
      <c r="K1166" s="124" t="n">
        <v>8</v>
      </c>
      <c r="L1166" s="124" t="n">
        <v>7000</v>
      </c>
      <c r="M1166" s="83" t="n">
        <v>875</v>
      </c>
      <c r="N1166" s="84" t="n">
        <f aca="false">+O1166+Q1166+T1166+U1166</f>
        <v>1310</v>
      </c>
      <c r="O1166" s="85" t="n">
        <v>1310</v>
      </c>
      <c r="P1166" s="86" t="n">
        <v>0</v>
      </c>
      <c r="Q1166" s="86" t="n">
        <v>0</v>
      </c>
      <c r="R1166" s="132" t="n">
        <v>0</v>
      </c>
      <c r="S1166" s="128" t="n">
        <v>0</v>
      </c>
      <c r="T1166" s="132" t="n">
        <v>0</v>
      </c>
      <c r="U1166" s="128" t="n">
        <v>0</v>
      </c>
      <c r="V1166" s="128" t="n">
        <v>1</v>
      </c>
      <c r="W1166" s="90" t="n">
        <f aca="false">IFERROR(O1166/V1166,0)</f>
        <v>1310</v>
      </c>
      <c r="X1166" s="91" t="n">
        <f aca="false">O1166/L1166</f>
        <v>0.187142857142857</v>
      </c>
      <c r="Y1166" s="92" t="str">
        <f aca="false">IFERROR(VLOOKUP(E:E,'Item Data Support Sheet'!A:J,6,0),0)</f>
        <v>FO015</v>
      </c>
      <c r="Z1166" s="93" t="n">
        <f aca="false">IFERROR(VLOOKUP(E:E,'Item Data Support Sheet'!A:O,4,0),0)</f>
        <v>0</v>
      </c>
      <c r="AA1166" s="93" t="n">
        <f aca="false">IFERROR(((N1166)*(Z1166/1000))+P1166,0)</f>
        <v>0</v>
      </c>
      <c r="AB1166" s="94" t="str">
        <f aca="false">IFERROR((O1166*(Z1166/1000)/(AA1166))," ")</f>
        <v> </v>
      </c>
      <c r="AC1166" s="95" t="n">
        <f aca="false">IFERROR((T1166)/((T1166)+O1166),0)</f>
        <v>0</v>
      </c>
      <c r="AD1166" s="96" t="n">
        <f aca="false">IFERROR(Q1166/(Q1166+N1166),0)</f>
        <v>0</v>
      </c>
      <c r="AE1166" s="91" t="n">
        <f aca="false">(N1166-T1166)/N1166</f>
        <v>1</v>
      </c>
      <c r="AF1166" s="97" t="n">
        <f aca="false">BR1166</f>
        <v>6.66666666666667</v>
      </c>
      <c r="AG1166" s="98" t="n">
        <f aca="false">K1166-AF1166</f>
        <v>1.33333333333333</v>
      </c>
      <c r="AH1166" s="99" t="n">
        <f aca="false">IFERROR(AG1166/K1166," ")</f>
        <v>0.166666666666666</v>
      </c>
      <c r="AI1166" s="100" t="n">
        <f aca="false">IFERROR(O1166/K1166,0)</f>
        <v>163.75</v>
      </c>
      <c r="AJ1166" s="101" t="n">
        <f aca="false">VLOOKUP(D1166,'Standard Cycle time'!C:D,2,0)</f>
        <v>3.5</v>
      </c>
      <c r="AK1166" s="101" t="n">
        <f aca="false">AG1166*V1166*3600/O1166</f>
        <v>3.66412213740457</v>
      </c>
      <c r="AL1166" s="102" t="n">
        <f aca="false">AJ1166/AK1166</f>
        <v>0.955208333333336</v>
      </c>
      <c r="AM1166" s="99" t="n">
        <f aca="false">AE1166*AL1166*AH1166</f>
        <v>0.159201388888889</v>
      </c>
      <c r="AN1166" s="103" t="n">
        <v>0.159201388888889</v>
      </c>
      <c r="AO1166" s="112" t="s">
        <v>755</v>
      </c>
      <c r="AP1166" s="105" t="n">
        <v>30</v>
      </c>
      <c r="AQ1166" s="105" t="n">
        <v>0</v>
      </c>
      <c r="AR1166" s="105" t="n">
        <v>0</v>
      </c>
      <c r="AS1166" s="105" t="n">
        <v>0</v>
      </c>
      <c r="AT1166" s="105" t="n">
        <v>340</v>
      </c>
      <c r="AU1166" s="105" t="n">
        <v>0</v>
      </c>
      <c r="AV1166" s="105" t="n">
        <v>0</v>
      </c>
      <c r="AW1166" s="105" t="n">
        <v>0</v>
      </c>
      <c r="AX1166" s="105" t="n">
        <v>0</v>
      </c>
      <c r="AY1166" s="105" t="n">
        <v>0</v>
      </c>
      <c r="AZ1166" s="105" t="n">
        <v>0</v>
      </c>
      <c r="BA1166" s="105" t="n">
        <v>0</v>
      </c>
      <c r="BB1166" s="105" t="n">
        <v>0</v>
      </c>
      <c r="BC1166" s="105" t="n">
        <v>0</v>
      </c>
      <c r="BD1166" s="105" t="n">
        <v>0</v>
      </c>
      <c r="BE1166" s="105" t="n">
        <v>0</v>
      </c>
      <c r="BF1166" s="105" t="n">
        <v>0</v>
      </c>
      <c r="BG1166" s="105" t="n">
        <v>0</v>
      </c>
      <c r="BH1166" s="105" t="n">
        <v>0</v>
      </c>
      <c r="BI1166" s="105" t="n">
        <v>0</v>
      </c>
      <c r="BJ1166" s="105" t="n">
        <v>0</v>
      </c>
      <c r="BK1166" s="105" t="n">
        <v>0</v>
      </c>
      <c r="BL1166" s="105" t="n">
        <v>0</v>
      </c>
      <c r="BM1166" s="105" t="n">
        <v>0</v>
      </c>
      <c r="BN1166" s="105" t="n">
        <v>0</v>
      </c>
      <c r="BO1166" s="105" t="n">
        <v>0</v>
      </c>
      <c r="BP1166" s="105" t="n">
        <v>0</v>
      </c>
      <c r="BQ1166" s="105" t="n">
        <v>30</v>
      </c>
      <c r="BR1166" s="106" t="n">
        <v>6.66666666666667</v>
      </c>
      <c r="BS1166" s="106" t="n">
        <v>6.66666666666667</v>
      </c>
      <c r="BT1166" s="107"/>
      <c r="BU1166" s="107"/>
      <c r="BV1166" s="107"/>
      <c r="BW1166" s="107"/>
      <c r="BX1166" s="107"/>
      <c r="BY1166" s="107"/>
      <c r="BZ1166" s="107"/>
      <c r="CA1166" s="107"/>
      <c r="CB1166" s="107"/>
      <c r="CC1166" s="107"/>
      <c r="CD1166" s="107"/>
      <c r="CE1166" s="107"/>
      <c r="CF1166" s="107"/>
      <c r="CG1166" s="107"/>
      <c r="CH1166" s="107"/>
      <c r="CI1166" s="107"/>
      <c r="CJ1166" s="107"/>
      <c r="CK1166" s="107"/>
      <c r="CL1166" s="107"/>
      <c r="CM1166" s="107"/>
      <c r="CN1166" s="107"/>
      <c r="CO1166" s="107"/>
      <c r="CP1166" s="107"/>
      <c r="CQ1166" s="107"/>
      <c r="CR1166" s="107"/>
      <c r="CS1166" s="107"/>
      <c r="CT1166" s="107"/>
      <c r="CU1166" s="107"/>
      <c r="CV1166" s="107"/>
    </row>
    <row r="1167" customFormat="false" ht="14.9" hidden="false" customHeight="false" outlineLevel="0" collapsed="false">
      <c r="A1167" s="74" t="n">
        <f aca="false">MONTH(B1167)</f>
        <v>11</v>
      </c>
      <c r="B1167" s="135" t="n">
        <v>44510</v>
      </c>
      <c r="C1167" s="128" t="s">
        <v>51</v>
      </c>
      <c r="D1167" s="77" t="str">
        <f aca="false">IFERROR(VLOOKUP(E:E,'Item Data Support Sheet'!A:O,7,0),"")</f>
        <v>NIPPLE LASER MARKING</v>
      </c>
      <c r="E1167" s="80" t="s">
        <v>444</v>
      </c>
      <c r="F1167" s="122"/>
      <c r="G1167" s="137" t="s">
        <v>517</v>
      </c>
      <c r="H1167" s="79" t="str">
        <f aca="false">IFERROR(VLOOKUP(E:E,'Item Data Support Sheet'!A:O,2,0),"")</f>
        <v>NIPPLE S TYPE S SIZE PUNCHED LASER MARKED</v>
      </c>
      <c r="I1167" s="80" t="s">
        <v>1958</v>
      </c>
      <c r="J1167" s="80" t="s">
        <v>143</v>
      </c>
      <c r="K1167" s="124" t="n">
        <v>8</v>
      </c>
      <c r="L1167" s="124" t="n">
        <v>7000</v>
      </c>
      <c r="M1167" s="83" t="n">
        <v>875</v>
      </c>
      <c r="N1167" s="84" t="n">
        <f aca="false">+O1167+Q1167+T1167+U1167</f>
        <v>5310</v>
      </c>
      <c r="O1167" s="85" t="n">
        <v>5310</v>
      </c>
      <c r="P1167" s="86" t="n">
        <v>0</v>
      </c>
      <c r="Q1167" s="86" t="n">
        <v>0</v>
      </c>
      <c r="R1167" s="132" t="n">
        <v>0</v>
      </c>
      <c r="S1167" s="128" t="n">
        <v>0</v>
      </c>
      <c r="T1167" s="132" t="n">
        <v>0</v>
      </c>
      <c r="U1167" s="128" t="n">
        <v>0</v>
      </c>
      <c r="V1167" s="128" t="n">
        <v>1</v>
      </c>
      <c r="W1167" s="90" t="n">
        <f aca="false">IFERROR(O1167/V1167,0)</f>
        <v>5310</v>
      </c>
      <c r="X1167" s="91" t="n">
        <f aca="false">O1167/L1167</f>
        <v>0.758571428571429</v>
      </c>
      <c r="Y1167" s="92" t="str">
        <f aca="false">IFERROR(VLOOKUP(E:E,'Item Data Support Sheet'!A:J,6,0),0)</f>
        <v>FO019</v>
      </c>
      <c r="Z1167" s="93" t="n">
        <f aca="false">IFERROR(VLOOKUP(E:E,'Item Data Support Sheet'!A:O,4,0),0)</f>
        <v>0</v>
      </c>
      <c r="AA1167" s="93" t="n">
        <f aca="false">IFERROR(((N1167)*(Z1167/1000))+P1167,0)</f>
        <v>0</v>
      </c>
      <c r="AB1167" s="94" t="str">
        <f aca="false">IFERROR((O1167*(Z1167/1000)/(AA1167))," ")</f>
        <v> </v>
      </c>
      <c r="AC1167" s="95" t="n">
        <f aca="false">IFERROR((T1167)/((T1167)+O1167),0)</f>
        <v>0</v>
      </c>
      <c r="AD1167" s="96" t="n">
        <f aca="false">IFERROR(Q1167/(Q1167+N1167),0)</f>
        <v>0</v>
      </c>
      <c r="AE1167" s="91" t="n">
        <f aca="false">(N1167-T1167)/N1167</f>
        <v>1</v>
      </c>
      <c r="AF1167" s="97" t="n">
        <f aca="false">BR1167</f>
        <v>2</v>
      </c>
      <c r="AG1167" s="98" t="n">
        <f aca="false">K1167-AF1167</f>
        <v>6</v>
      </c>
      <c r="AH1167" s="99" t="n">
        <f aca="false">IFERROR(AG1167/K1167," ")</f>
        <v>0.75</v>
      </c>
      <c r="AI1167" s="100" t="n">
        <f aca="false">IFERROR(O1167/K1167,0)</f>
        <v>663.75</v>
      </c>
      <c r="AJ1167" s="101" t="n">
        <f aca="false">VLOOKUP(D1167,'Standard Cycle time'!C:D,2,0)</f>
        <v>3.5</v>
      </c>
      <c r="AK1167" s="101" t="n">
        <f aca="false">AG1167*V1167*3600/O1167</f>
        <v>4.06779661016949</v>
      </c>
      <c r="AL1167" s="102" t="n">
        <f aca="false">AJ1167/AK1167</f>
        <v>0.860416666666667</v>
      </c>
      <c r="AM1167" s="99" t="n">
        <f aca="false">AE1167*AL1167*AH1167</f>
        <v>0.6453125</v>
      </c>
      <c r="AN1167" s="103" t="n">
        <v>0.6453125</v>
      </c>
      <c r="AO1167" s="112" t="s">
        <v>755</v>
      </c>
      <c r="AP1167" s="105" t="n">
        <v>30</v>
      </c>
      <c r="AQ1167" s="105" t="n">
        <v>0</v>
      </c>
      <c r="AR1167" s="105" t="n">
        <v>0</v>
      </c>
      <c r="AS1167" s="105" t="n">
        <v>0</v>
      </c>
      <c r="AT1167" s="105" t="n">
        <v>90</v>
      </c>
      <c r="AU1167" s="105" t="n">
        <v>0</v>
      </c>
      <c r="AV1167" s="105" t="n">
        <v>0</v>
      </c>
      <c r="AW1167" s="105" t="n">
        <v>0</v>
      </c>
      <c r="AX1167" s="105" t="n">
        <v>0</v>
      </c>
      <c r="AY1167" s="105" t="n">
        <v>0</v>
      </c>
      <c r="AZ1167" s="105" t="n">
        <v>0</v>
      </c>
      <c r="BA1167" s="105" t="n">
        <v>0</v>
      </c>
      <c r="BB1167" s="105" t="n">
        <v>0</v>
      </c>
      <c r="BC1167" s="105" t="n">
        <v>0</v>
      </c>
      <c r="BD1167" s="105" t="n">
        <v>0</v>
      </c>
      <c r="BE1167" s="105" t="n">
        <v>0</v>
      </c>
      <c r="BF1167" s="105" t="n">
        <v>0</v>
      </c>
      <c r="BG1167" s="105" t="n">
        <v>0</v>
      </c>
      <c r="BH1167" s="105" t="n">
        <v>0</v>
      </c>
      <c r="BI1167" s="105" t="n">
        <v>0</v>
      </c>
      <c r="BJ1167" s="105" t="n">
        <v>0</v>
      </c>
      <c r="BK1167" s="105" t="n">
        <v>0</v>
      </c>
      <c r="BL1167" s="105" t="n">
        <v>0</v>
      </c>
      <c r="BM1167" s="105" t="n">
        <v>0</v>
      </c>
      <c r="BN1167" s="105" t="n">
        <v>0</v>
      </c>
      <c r="BO1167" s="105" t="n">
        <v>0</v>
      </c>
      <c r="BP1167" s="105" t="n">
        <v>0</v>
      </c>
      <c r="BQ1167" s="105" t="n">
        <v>0</v>
      </c>
      <c r="BR1167" s="106" t="n">
        <v>2</v>
      </c>
      <c r="BS1167" s="106" t="n">
        <v>2</v>
      </c>
      <c r="BT1167" s="107"/>
      <c r="BU1167" s="107"/>
      <c r="BV1167" s="107"/>
      <c r="BW1167" s="107"/>
      <c r="BX1167" s="107"/>
      <c r="BY1167" s="107"/>
      <c r="BZ1167" s="107"/>
      <c r="CA1167" s="107"/>
      <c r="CB1167" s="107"/>
      <c r="CC1167" s="107"/>
      <c r="CD1167" s="107"/>
      <c r="CE1167" s="107"/>
      <c r="CF1167" s="107"/>
      <c r="CG1167" s="107"/>
      <c r="CH1167" s="107"/>
      <c r="CI1167" s="107"/>
      <c r="CJ1167" s="107"/>
      <c r="CK1167" s="107"/>
      <c r="CL1167" s="107"/>
      <c r="CM1167" s="107"/>
      <c r="CN1167" s="107"/>
      <c r="CO1167" s="107"/>
      <c r="CP1167" s="107"/>
      <c r="CQ1167" s="107"/>
      <c r="CR1167" s="107"/>
      <c r="CS1167" s="107"/>
      <c r="CT1167" s="107"/>
      <c r="CU1167" s="107"/>
      <c r="CV1167" s="107"/>
    </row>
    <row r="1168" customFormat="false" ht="14.9" hidden="false" customHeight="false" outlineLevel="0" collapsed="false">
      <c r="A1168" s="74" t="n">
        <f aca="false">MONTH(B1168)</f>
        <v>11</v>
      </c>
      <c r="B1168" s="135" t="n">
        <v>44510</v>
      </c>
      <c r="C1168" s="128" t="s">
        <v>51</v>
      </c>
      <c r="D1168" s="77" t="str">
        <f aca="false">IFERROR(VLOOKUP(E:E,'Item Data Support Sheet'!A:O,7,0),"")</f>
        <v>BOTTLE PRINTED</v>
      </c>
      <c r="E1168" s="80" t="s">
        <v>387</v>
      </c>
      <c r="F1168" s="122"/>
      <c r="G1168" s="137"/>
      <c r="H1168" s="79" t="str">
        <f aca="false">IFERROR(VLOOKUP(E:E,'Item Data Support Sheet'!A:O,2,0),"")</f>
        <v>KPP 240 BOTTLE PRINTED (WMG3B) W/O OZ &amp; W/BIS LOGO</v>
      </c>
      <c r="I1168" s="80" t="s">
        <v>1959</v>
      </c>
      <c r="J1168" s="80" t="s">
        <v>1960</v>
      </c>
      <c r="K1168" s="124" t="n">
        <v>8</v>
      </c>
      <c r="L1168" s="124" t="n">
        <v>5120</v>
      </c>
      <c r="M1168" s="83" t="n">
        <v>640</v>
      </c>
      <c r="N1168" s="84" t="n">
        <f aca="false">+O1168+Q1168+T1168+U1168</f>
        <v>1596</v>
      </c>
      <c r="O1168" s="85" t="n">
        <v>1566</v>
      </c>
      <c r="P1168" s="86" t="n">
        <v>0</v>
      </c>
      <c r="Q1168" s="86" t="n">
        <v>0</v>
      </c>
      <c r="R1168" s="132" t="n">
        <v>19</v>
      </c>
      <c r="S1168" s="128" t="n">
        <v>0</v>
      </c>
      <c r="T1168" s="132" t="n">
        <v>30</v>
      </c>
      <c r="U1168" s="128" t="n">
        <v>0</v>
      </c>
      <c r="V1168" s="128" t="n">
        <v>4.5</v>
      </c>
      <c r="W1168" s="90" t="n">
        <f aca="false">IFERROR(O1168/V1168,0)</f>
        <v>348</v>
      </c>
      <c r="X1168" s="91" t="n">
        <f aca="false">O1168/L1168</f>
        <v>0.305859375</v>
      </c>
      <c r="Y1168" s="92" t="str">
        <f aca="false">IFERROR(VLOOKUP(E:E,'Item Data Support Sheet'!A:J,6,0),0)</f>
        <v>FO044</v>
      </c>
      <c r="Z1168" s="93" t="n">
        <f aca="false">IFERROR(VLOOKUP(E:E,'Item Data Support Sheet'!A:O,4,0),0)</f>
        <v>0</v>
      </c>
      <c r="AA1168" s="93" t="n">
        <f aca="false">IFERROR(((N1168)*(Z1168/1000))+P1168,0)</f>
        <v>0</v>
      </c>
      <c r="AB1168" s="94" t="str">
        <f aca="false">IFERROR((O1168*(Z1168/1000)/(AA1168))," ")</f>
        <v> </v>
      </c>
      <c r="AC1168" s="95" t="n">
        <f aca="false">IFERROR((T1168)/((T1168)+O1168),0)</f>
        <v>0.018796992481203</v>
      </c>
      <c r="AD1168" s="96" t="n">
        <f aca="false">IFERROR(Q1168/(Q1168+N1168),0)</f>
        <v>0</v>
      </c>
      <c r="AE1168" s="91" t="n">
        <f aca="false">(N1168-T1168)/N1168</f>
        <v>0.981203007518797</v>
      </c>
      <c r="AF1168" s="97" t="n">
        <f aca="false">BR1168</f>
        <v>4.66666666666667</v>
      </c>
      <c r="AG1168" s="98" t="n">
        <f aca="false">K1168-AF1168</f>
        <v>3.33333333333333</v>
      </c>
      <c r="AH1168" s="99" t="n">
        <f aca="false">IFERROR(AG1168/K1168," ")</f>
        <v>0.416666666666666</v>
      </c>
      <c r="AI1168" s="100" t="n">
        <f aca="false">IFERROR(O1168/K1168,0)</f>
        <v>195.75</v>
      </c>
      <c r="AJ1168" s="101" t="n">
        <f aca="false">VLOOKUP(D1168,'Standard Cycle time'!C:D,2,0)</f>
        <v>32.4</v>
      </c>
      <c r="AK1168" s="101" t="n">
        <f aca="false">AG1168*V1168*3600/O1168</f>
        <v>34.4827586206896</v>
      </c>
      <c r="AL1168" s="102" t="n">
        <f aca="false">AJ1168/AK1168</f>
        <v>0.939600000000001</v>
      </c>
      <c r="AM1168" s="99" t="n">
        <f aca="false">AE1168*AL1168*AH1168</f>
        <v>0.384140977443609</v>
      </c>
      <c r="AN1168" s="103" t="n">
        <v>0.384140977443609</v>
      </c>
      <c r="AO1168" s="112" t="s">
        <v>1961</v>
      </c>
      <c r="AP1168" s="105" t="n">
        <v>40</v>
      </c>
      <c r="AQ1168" s="105" t="n">
        <v>60</v>
      </c>
      <c r="AR1168" s="105" t="n">
        <v>0</v>
      </c>
      <c r="AS1168" s="105" t="n">
        <v>0</v>
      </c>
      <c r="AT1168" s="105" t="n">
        <v>0</v>
      </c>
      <c r="AU1168" s="105" t="n">
        <v>0</v>
      </c>
      <c r="AV1168" s="105" t="n">
        <v>180</v>
      </c>
      <c r="AW1168" s="105" t="n">
        <v>0</v>
      </c>
      <c r="AX1168" s="105" t="n">
        <v>0</v>
      </c>
      <c r="AY1168" s="105" t="n">
        <v>0</v>
      </c>
      <c r="AZ1168" s="105" t="n">
        <v>0</v>
      </c>
      <c r="BA1168" s="105" t="n">
        <v>0</v>
      </c>
      <c r="BB1168" s="105" t="n">
        <v>0</v>
      </c>
      <c r="BC1168" s="105" t="n">
        <v>0</v>
      </c>
      <c r="BD1168" s="105" t="n">
        <v>0</v>
      </c>
      <c r="BE1168" s="105" t="n">
        <v>0</v>
      </c>
      <c r="BF1168" s="105" t="n">
        <v>0</v>
      </c>
      <c r="BG1168" s="105" t="n">
        <v>0</v>
      </c>
      <c r="BH1168" s="105" t="n">
        <v>0</v>
      </c>
      <c r="BI1168" s="105" t="n">
        <v>0</v>
      </c>
      <c r="BJ1168" s="105" t="n">
        <v>0</v>
      </c>
      <c r="BK1168" s="105" t="n">
        <v>0</v>
      </c>
      <c r="BL1168" s="105" t="n">
        <v>0</v>
      </c>
      <c r="BM1168" s="105" t="n">
        <v>0</v>
      </c>
      <c r="BN1168" s="105" t="n">
        <v>0</v>
      </c>
      <c r="BO1168" s="105" t="n">
        <v>0</v>
      </c>
      <c r="BP1168" s="105" t="n">
        <v>0</v>
      </c>
      <c r="BQ1168" s="105" t="n">
        <v>0</v>
      </c>
      <c r="BR1168" s="106" t="n">
        <v>4.66666666666667</v>
      </c>
      <c r="BS1168" s="106" t="n">
        <v>4.66666666666667</v>
      </c>
      <c r="BT1168" s="107"/>
      <c r="BU1168" s="107"/>
      <c r="BV1168" s="107"/>
      <c r="BW1168" s="107"/>
      <c r="BX1168" s="107"/>
      <c r="BY1168" s="107"/>
      <c r="BZ1168" s="107"/>
      <c r="CA1168" s="107"/>
      <c r="CB1168" s="107"/>
      <c r="CC1168" s="107"/>
      <c r="CD1168" s="107"/>
      <c r="CE1168" s="107"/>
      <c r="CF1168" s="107"/>
      <c r="CG1168" s="107"/>
      <c r="CH1168" s="107"/>
      <c r="CI1168" s="107"/>
      <c r="CJ1168" s="107"/>
      <c r="CK1168" s="107"/>
      <c r="CL1168" s="107"/>
      <c r="CM1168" s="107"/>
      <c r="CN1168" s="107"/>
      <c r="CO1168" s="107"/>
      <c r="CP1168" s="107"/>
      <c r="CQ1168" s="107"/>
      <c r="CR1168" s="107"/>
      <c r="CS1168" s="107"/>
      <c r="CT1168" s="107"/>
      <c r="CU1168" s="107"/>
      <c r="CV1168" s="107"/>
    </row>
    <row r="1169" customFormat="false" ht="14.9" hidden="false" customHeight="false" outlineLevel="0" collapsed="false">
      <c r="A1169" s="74" t="n">
        <f aca="false">MONTH(B1169)</f>
        <v>11</v>
      </c>
      <c r="B1169" s="135" t="n">
        <v>44510</v>
      </c>
      <c r="C1169" s="128" t="s">
        <v>63</v>
      </c>
      <c r="D1169" s="77" t="str">
        <f aca="false">IFERROR(VLOOKUP(E:E,'Item Data Support Sheet'!A:O,7,0),"")</f>
        <v>NIPPLE PUNCH INSPECTED</v>
      </c>
      <c r="E1169" s="80" t="s">
        <v>297</v>
      </c>
      <c r="F1169" s="122"/>
      <c r="G1169" s="137"/>
      <c r="H1169" s="79" t="str">
        <f aca="false">IFERROR(VLOOKUP(E:E,'Item Data Support Sheet'!A:O,2,0),"")</f>
        <v>NIPPLE S TYPE S SIZE PUNCHED INSPECTED</v>
      </c>
      <c r="I1169" s="80" t="s">
        <v>1949</v>
      </c>
      <c r="J1169" s="80" t="s">
        <v>1962</v>
      </c>
      <c r="K1169" s="124" t="n">
        <v>8</v>
      </c>
      <c r="L1169" s="124" t="n">
        <v>7000</v>
      </c>
      <c r="M1169" s="83" t="n">
        <v>875</v>
      </c>
      <c r="N1169" s="84" t="n">
        <f aca="false">+O1169+Q1169+T1169+U1169</f>
        <v>7310</v>
      </c>
      <c r="O1169" s="85" t="n">
        <v>7276</v>
      </c>
      <c r="P1169" s="86" t="n">
        <v>0</v>
      </c>
      <c r="Q1169" s="86" t="n">
        <v>0</v>
      </c>
      <c r="R1169" s="132" t="n">
        <v>0</v>
      </c>
      <c r="S1169" s="128" t="n">
        <v>0</v>
      </c>
      <c r="T1169" s="132" t="n">
        <v>34</v>
      </c>
      <c r="U1169" s="128" t="n">
        <v>0</v>
      </c>
      <c r="V1169" s="128" t="n">
        <v>1</v>
      </c>
      <c r="W1169" s="90" t="n">
        <f aca="false">IFERROR(O1169/V1169,0)</f>
        <v>7276</v>
      </c>
      <c r="X1169" s="91" t="n">
        <f aca="false">O1169/L1169</f>
        <v>1.03942857142857</v>
      </c>
      <c r="Y1169" s="92" t="str">
        <f aca="false">IFERROR(VLOOKUP(E:E,'Item Data Support Sheet'!A:J,6,0),0)</f>
        <v>FO104</v>
      </c>
      <c r="Z1169" s="93" t="n">
        <f aca="false">IFERROR(VLOOKUP(E:E,'Item Data Support Sheet'!A:O,4,0),0)</f>
        <v>0</v>
      </c>
      <c r="AA1169" s="93" t="n">
        <f aca="false">IFERROR(((N1169)*(Z1169/1000))+P1169,0)</f>
        <v>0</v>
      </c>
      <c r="AB1169" s="94" t="str">
        <f aca="false">IFERROR((O1169*(Z1169/1000)/(AA1169))," ")</f>
        <v> </v>
      </c>
      <c r="AC1169" s="95" t="n">
        <f aca="false">IFERROR((T1169)/((T1169)+O1169),0)</f>
        <v>0.00465116279069768</v>
      </c>
      <c r="AD1169" s="96" t="n">
        <f aca="false">IFERROR(Q1169/(Q1169+N1169),0)</f>
        <v>0</v>
      </c>
      <c r="AE1169" s="91" t="n">
        <f aca="false">(N1169-T1169)/N1169</f>
        <v>0.995348837209302</v>
      </c>
      <c r="AF1169" s="97" t="n">
        <f aca="false">BR1169</f>
        <v>0</v>
      </c>
      <c r="AG1169" s="98" t="n">
        <f aca="false">K1169-AF1169</f>
        <v>8</v>
      </c>
      <c r="AH1169" s="99" t="n">
        <f aca="false">IFERROR(AG1169/K1169," ")</f>
        <v>1</v>
      </c>
      <c r="AI1169" s="100" t="n">
        <f aca="false">IFERROR(O1169/K1169,0)</f>
        <v>909.5</v>
      </c>
      <c r="AJ1169" s="101" t="n">
        <f aca="false">VLOOKUP(D1169,'Standard Cycle time'!C:D,2,0)</f>
        <v>4</v>
      </c>
      <c r="AK1169" s="101" t="n">
        <f aca="false">AG1169*V1169*3600/O1169</f>
        <v>3.95821880153931</v>
      </c>
      <c r="AL1169" s="102" t="n">
        <f aca="false">AJ1169/AK1169</f>
        <v>1.01055555555556</v>
      </c>
      <c r="AM1169" s="99" t="n">
        <f aca="false">AE1169*AL1169*AH1169</f>
        <v>1.00585529715762</v>
      </c>
      <c r="AN1169" s="103" t="n">
        <v>1.00585529715762</v>
      </c>
      <c r="AO1169" s="112"/>
      <c r="AP1169" s="105"/>
      <c r="AQ1169" s="105"/>
      <c r="AR1169" s="105"/>
      <c r="AS1169" s="105"/>
      <c r="AT1169" s="105"/>
      <c r="AU1169" s="105"/>
      <c r="AV1169" s="105"/>
      <c r="AW1169" s="105"/>
      <c r="AX1169" s="105"/>
      <c r="AY1169" s="105"/>
      <c r="AZ1169" s="105"/>
      <c r="BA1169" s="105"/>
      <c r="BB1169" s="105"/>
      <c r="BC1169" s="105"/>
      <c r="BD1169" s="105"/>
      <c r="BE1169" s="105"/>
      <c r="BF1169" s="105"/>
      <c r="BG1169" s="105"/>
      <c r="BH1169" s="105"/>
      <c r="BI1169" s="105"/>
      <c r="BJ1169" s="105"/>
      <c r="BK1169" s="105"/>
      <c r="BL1169" s="105"/>
      <c r="BM1169" s="105"/>
      <c r="BN1169" s="105"/>
      <c r="BO1169" s="105"/>
      <c r="BP1169" s="105"/>
      <c r="BQ1169" s="105"/>
      <c r="BR1169" s="106"/>
      <c r="BS1169" s="106"/>
      <c r="BT1169" s="107"/>
      <c r="BU1169" s="107"/>
      <c r="BV1169" s="107"/>
      <c r="BW1169" s="107"/>
      <c r="BX1169" s="107"/>
      <c r="BY1169" s="107"/>
      <c r="BZ1169" s="107"/>
      <c r="CA1169" s="107"/>
      <c r="CB1169" s="107"/>
      <c r="CC1169" s="107"/>
      <c r="CD1169" s="107"/>
      <c r="CE1169" s="107"/>
      <c r="CF1169" s="107"/>
      <c r="CG1169" s="107"/>
      <c r="CH1169" s="107"/>
      <c r="CI1169" s="107"/>
      <c r="CJ1169" s="107"/>
      <c r="CK1169" s="107"/>
      <c r="CL1169" s="107"/>
      <c r="CM1169" s="107"/>
      <c r="CN1169" s="107"/>
      <c r="CO1169" s="107"/>
      <c r="CP1169" s="107"/>
      <c r="CQ1169" s="107"/>
      <c r="CR1169" s="107"/>
      <c r="CS1169" s="107"/>
      <c r="CT1169" s="107"/>
      <c r="CU1169" s="107"/>
      <c r="CV1169" s="107"/>
    </row>
    <row r="1170" customFormat="false" ht="14.9" hidden="false" customHeight="false" outlineLevel="0" collapsed="false">
      <c r="A1170" s="74" t="n">
        <f aca="false">MONTH(B1170)</f>
        <v>11</v>
      </c>
      <c r="B1170" s="135" t="n">
        <v>44510</v>
      </c>
      <c r="C1170" s="128" t="s">
        <v>70</v>
      </c>
      <c r="D1170" s="77" t="str">
        <f aca="false">IFERROR(VLOOKUP(E:E,'Item Data Support Sheet'!A:O,7,0),"")</f>
        <v>BOTTLE PRINTED</v>
      </c>
      <c r="E1170" s="80" t="s">
        <v>320</v>
      </c>
      <c r="F1170" s="122"/>
      <c r="G1170" s="137" t="s">
        <v>66</v>
      </c>
      <c r="H1170" s="79" t="str">
        <f aca="false">IFERROR(VLOOKUP(E:E,'Item Data Support Sheet'!A:O,2,0),"")</f>
        <v>KPP 200 ML BOTTLE PRINTED</v>
      </c>
      <c r="I1170" s="80" t="s">
        <v>1963</v>
      </c>
      <c r="J1170" s="80" t="s">
        <v>1962</v>
      </c>
      <c r="K1170" s="124" t="n">
        <v>8</v>
      </c>
      <c r="L1170" s="124" t="n">
        <v>5100</v>
      </c>
      <c r="M1170" s="83" t="n">
        <v>637.5</v>
      </c>
      <c r="N1170" s="84" t="n">
        <f aca="false">+O1170+Q1170+T1170+U1170</f>
        <v>5767</v>
      </c>
      <c r="O1170" s="85" t="n">
        <v>5724</v>
      </c>
      <c r="P1170" s="86" t="n">
        <v>0</v>
      </c>
      <c r="Q1170" s="86" t="n">
        <v>0</v>
      </c>
      <c r="R1170" s="132" t="n">
        <v>61</v>
      </c>
      <c r="S1170" s="128" t="n">
        <v>0</v>
      </c>
      <c r="T1170" s="132" t="n">
        <v>43</v>
      </c>
      <c r="U1170" s="128" t="n">
        <v>0</v>
      </c>
      <c r="V1170" s="128" t="n">
        <v>5</v>
      </c>
      <c r="W1170" s="90" t="n">
        <f aca="false">IFERROR(O1170/V1170,0)</f>
        <v>1144.8</v>
      </c>
      <c r="X1170" s="91" t="n">
        <f aca="false">O1170/L1170</f>
        <v>1.12235294117647</v>
      </c>
      <c r="Y1170" s="92" t="str">
        <f aca="false">IFERROR(VLOOKUP(E:E,'Item Data Support Sheet'!A:J,6,0),0)</f>
        <v>FO002</v>
      </c>
      <c r="Z1170" s="93" t="n">
        <f aca="false">IFERROR(VLOOKUP(E:E,'Item Data Support Sheet'!A:O,4,0),0)</f>
        <v>0</v>
      </c>
      <c r="AA1170" s="93" t="n">
        <f aca="false">IFERROR(((N1170)*(Z1170/1000))+P1170,0)</f>
        <v>0</v>
      </c>
      <c r="AB1170" s="94" t="str">
        <f aca="false">IFERROR((O1170*(Z1170/1000)/(AA1170))," ")</f>
        <v> </v>
      </c>
      <c r="AC1170" s="95" t="n">
        <f aca="false">IFERROR((T1170)/((T1170)+O1170),0)</f>
        <v>0.00745621640367609</v>
      </c>
      <c r="AD1170" s="96" t="n">
        <f aca="false">IFERROR(Q1170/(Q1170+N1170),0)</f>
        <v>0</v>
      </c>
      <c r="AE1170" s="91" t="n">
        <f aca="false">(N1170-T1170)/N1170</f>
        <v>0.992543783596324</v>
      </c>
      <c r="AF1170" s="97" t="n">
        <f aca="false">BR1170</f>
        <v>0</v>
      </c>
      <c r="AG1170" s="98" t="n">
        <f aca="false">K1170-AF1170</f>
        <v>8</v>
      </c>
      <c r="AH1170" s="99" t="n">
        <f aca="false">IFERROR(AG1170/K1170," ")</f>
        <v>1</v>
      </c>
      <c r="AI1170" s="100" t="n">
        <f aca="false">IFERROR(O1170/K1170,0)</f>
        <v>715.5</v>
      </c>
      <c r="AJ1170" s="101" t="n">
        <f aca="false">VLOOKUP(D1170,'Standard Cycle time'!C:D,2,0)</f>
        <v>32.4</v>
      </c>
      <c r="AK1170" s="101" t="n">
        <f aca="false">AG1170*V1170*3600/O1170</f>
        <v>25.1572327044025</v>
      </c>
      <c r="AL1170" s="102" t="n">
        <f aca="false">AJ1170/AK1170</f>
        <v>1.2879</v>
      </c>
      <c r="AM1170" s="99" t="n">
        <f aca="false">AE1170*AL1170*AH1170</f>
        <v>1.27829713889371</v>
      </c>
      <c r="AN1170" s="103" t="n">
        <v>1.27829713889371</v>
      </c>
      <c r="AO1170" s="112"/>
      <c r="AP1170" s="105" t="n">
        <v>40</v>
      </c>
      <c r="AQ1170" s="105"/>
      <c r="AR1170" s="105"/>
      <c r="AS1170" s="105"/>
      <c r="AT1170" s="105"/>
      <c r="AU1170" s="105"/>
      <c r="AV1170" s="105"/>
      <c r="AW1170" s="105"/>
      <c r="AX1170" s="105"/>
      <c r="AY1170" s="105"/>
      <c r="AZ1170" s="105"/>
      <c r="BA1170" s="105"/>
      <c r="BB1170" s="105"/>
      <c r="BC1170" s="105"/>
      <c r="BD1170" s="105"/>
      <c r="BE1170" s="105"/>
      <c r="BF1170" s="105"/>
      <c r="BG1170" s="105"/>
      <c r="BH1170" s="105"/>
      <c r="BI1170" s="105"/>
      <c r="BJ1170" s="105"/>
      <c r="BK1170" s="105"/>
      <c r="BL1170" s="105"/>
      <c r="BM1170" s="105"/>
      <c r="BN1170" s="105"/>
      <c r="BO1170" s="105"/>
      <c r="BP1170" s="105"/>
      <c r="BQ1170" s="105"/>
      <c r="BR1170" s="106"/>
      <c r="BS1170" s="106"/>
      <c r="BT1170" s="107"/>
      <c r="BU1170" s="107"/>
      <c r="BV1170" s="107"/>
      <c r="BW1170" s="107"/>
      <c r="BX1170" s="107"/>
      <c r="BY1170" s="107"/>
      <c r="BZ1170" s="107"/>
      <c r="CA1170" s="107"/>
      <c r="CB1170" s="107"/>
      <c r="CC1170" s="107"/>
      <c r="CD1170" s="107"/>
      <c r="CE1170" s="107"/>
      <c r="CF1170" s="107"/>
      <c r="CG1170" s="107"/>
      <c r="CH1170" s="107"/>
      <c r="CI1170" s="107"/>
      <c r="CJ1170" s="107"/>
      <c r="CK1170" s="107"/>
      <c r="CL1170" s="107"/>
      <c r="CM1170" s="107"/>
      <c r="CN1170" s="107"/>
      <c r="CO1170" s="107"/>
      <c r="CP1170" s="107"/>
      <c r="CQ1170" s="107"/>
      <c r="CR1170" s="107"/>
      <c r="CS1170" s="107"/>
      <c r="CT1170" s="107"/>
      <c r="CU1170" s="107"/>
      <c r="CV1170" s="107"/>
    </row>
    <row r="1171" customFormat="false" ht="14.9" hidden="false" customHeight="false" outlineLevel="0" collapsed="false">
      <c r="A1171" s="74" t="n">
        <f aca="false">MONTH(B1171)</f>
        <v>11</v>
      </c>
      <c r="B1171" s="135" t="n">
        <v>44510</v>
      </c>
      <c r="C1171" s="128" t="s">
        <v>70</v>
      </c>
      <c r="D1171" s="77" t="str">
        <f aca="false">IFERROR(VLOOKUP(E:E,'Item Data Support Sheet'!A:O,7,0),"")</f>
        <v>BOTTLE MOLDED</v>
      </c>
      <c r="E1171" s="80" t="s">
        <v>69</v>
      </c>
      <c r="F1171" s="122" t="s">
        <v>73</v>
      </c>
      <c r="G1171" s="137" t="s">
        <v>74</v>
      </c>
      <c r="H1171" s="79" t="str">
        <f aca="false">IFERROR(VLOOKUP(E:E,'Item Data Support Sheet'!A:O,2,0),"")</f>
        <v>KPP 240 ML BOTTLE MOLDED</v>
      </c>
      <c r="I1171" s="80" t="s">
        <v>1964</v>
      </c>
      <c r="J1171" s="80" t="s">
        <v>1962</v>
      </c>
      <c r="K1171" s="124" t="n">
        <v>8</v>
      </c>
      <c r="L1171" s="124" t="n">
        <v>2574</v>
      </c>
      <c r="M1171" s="83" t="n">
        <v>321.75</v>
      </c>
      <c r="N1171" s="84" t="n">
        <f aca="false">+O1171+Q1171+T1171+U1171</f>
        <v>3222</v>
      </c>
      <c r="O1171" s="85" t="n">
        <v>3132</v>
      </c>
      <c r="P1171" s="86" t="n">
        <v>0.25</v>
      </c>
      <c r="Q1171" s="86" t="n">
        <v>20</v>
      </c>
      <c r="R1171" s="132" t="n">
        <v>0</v>
      </c>
      <c r="S1171" s="128" t="n">
        <v>0</v>
      </c>
      <c r="T1171" s="132" t="n">
        <v>70</v>
      </c>
      <c r="U1171" s="128" t="n">
        <v>0</v>
      </c>
      <c r="V1171" s="128" t="n">
        <v>1</v>
      </c>
      <c r="W1171" s="90" t="n">
        <f aca="false">IFERROR(O1171/V1171,0)</f>
        <v>3132</v>
      </c>
      <c r="X1171" s="91" t="n">
        <f aca="false">O1171/L1171</f>
        <v>1.21678321678322</v>
      </c>
      <c r="Y1171" s="92" t="str">
        <f aca="false">IFERROR(VLOOKUP(E:E,'Item Data Support Sheet'!A:J,6,0),0)</f>
        <v>HMC</v>
      </c>
      <c r="Z1171" s="93" t="n">
        <f aca="false">IFERROR(VLOOKUP(E:E,'Item Data Support Sheet'!A:O,4,0),0)</f>
        <v>32.1</v>
      </c>
      <c r="AA1171" s="93" t="n">
        <f aca="false">IFERROR(((N1171)*(Z1171/1000))+P1171,0)</f>
        <v>103.6762</v>
      </c>
      <c r="AB1171" s="94" t="n">
        <f aca="false">IFERROR((O1171*(Z1171/1000)/(AA1171))," ")</f>
        <v>0.969723041546662</v>
      </c>
      <c r="AC1171" s="95" t="n">
        <f aca="false">IFERROR((T1171)/((T1171)+O1171),0)</f>
        <v>0.0218613366645846</v>
      </c>
      <c r="AD1171" s="96" t="n">
        <f aca="false">IFERROR(Q1171/(Q1171+N1171),0)</f>
        <v>0.00616903146206046</v>
      </c>
      <c r="AE1171" s="91" t="n">
        <f aca="false">(N1171-T1171)/N1171</f>
        <v>0.978274363749224</v>
      </c>
      <c r="AF1171" s="97" t="n">
        <f aca="false">BR1171</f>
        <v>0</v>
      </c>
      <c r="AG1171" s="98" t="n">
        <f aca="false">K1171-AF1171</f>
        <v>8</v>
      </c>
      <c r="AH1171" s="99" t="n">
        <f aca="false">IFERROR(AG1171/K1171," ")</f>
        <v>1</v>
      </c>
      <c r="AI1171" s="100" t="n">
        <f aca="false">IFERROR(O1171/K1171,0)</f>
        <v>391.5</v>
      </c>
      <c r="AJ1171" s="101" t="n">
        <f aca="false">VLOOKUP(D1171,'Standard Cycle time'!C:D,2,0)</f>
        <v>9</v>
      </c>
      <c r="AK1171" s="101" t="n">
        <f aca="false">AG1171*V1171*3600/O1171</f>
        <v>9.19540229885057</v>
      </c>
      <c r="AL1171" s="102" t="n">
        <f aca="false">AJ1171/AK1171</f>
        <v>0.97875</v>
      </c>
      <c r="AM1171" s="99" t="n">
        <f aca="false">AE1171*AL1171*AH1171</f>
        <v>0.957486033519553</v>
      </c>
      <c r="AN1171" s="103" t="n">
        <v>0.957486033519553</v>
      </c>
      <c r="AO1171" s="112"/>
      <c r="AP1171" s="105" t="n">
        <v>0</v>
      </c>
      <c r="AQ1171" s="105" t="n">
        <v>0</v>
      </c>
      <c r="AR1171" s="105" t="n">
        <v>0</v>
      </c>
      <c r="AS1171" s="105" t="n">
        <v>0</v>
      </c>
      <c r="AT1171" s="105" t="n">
        <v>0</v>
      </c>
      <c r="AU1171" s="105" t="n">
        <v>0</v>
      </c>
      <c r="AV1171" s="105" t="n">
        <v>0</v>
      </c>
      <c r="AW1171" s="105" t="n">
        <v>0</v>
      </c>
      <c r="AX1171" s="105" t="n">
        <v>0</v>
      </c>
      <c r="AY1171" s="105" t="n">
        <v>0</v>
      </c>
      <c r="AZ1171" s="105" t="n">
        <v>0</v>
      </c>
      <c r="BA1171" s="105" t="n">
        <v>0</v>
      </c>
      <c r="BB1171" s="105" t="n">
        <v>0</v>
      </c>
      <c r="BC1171" s="105" t="n">
        <v>0</v>
      </c>
      <c r="BD1171" s="105" t="n">
        <v>0</v>
      </c>
      <c r="BE1171" s="105" t="n">
        <v>0</v>
      </c>
      <c r="BF1171" s="105" t="n">
        <v>0</v>
      </c>
      <c r="BG1171" s="105" t="n">
        <v>0</v>
      </c>
      <c r="BH1171" s="105" t="n">
        <v>0</v>
      </c>
      <c r="BI1171" s="105" t="n">
        <v>0</v>
      </c>
      <c r="BJ1171" s="105" t="n">
        <v>0</v>
      </c>
      <c r="BK1171" s="105" t="n">
        <v>0</v>
      </c>
      <c r="BL1171" s="105" t="n">
        <v>0</v>
      </c>
      <c r="BM1171" s="105" t="n">
        <v>0</v>
      </c>
      <c r="BN1171" s="105" t="n">
        <v>0</v>
      </c>
      <c r="BO1171" s="105" t="n">
        <v>0</v>
      </c>
      <c r="BP1171" s="105" t="n">
        <v>0</v>
      </c>
      <c r="BQ1171" s="105" t="n">
        <v>0</v>
      </c>
      <c r="BR1171" s="106" t="n">
        <v>0</v>
      </c>
      <c r="BS1171" s="106" t="n">
        <v>0</v>
      </c>
      <c r="BT1171" s="107"/>
      <c r="BU1171" s="107"/>
      <c r="BV1171" s="107"/>
      <c r="BW1171" s="107"/>
      <c r="BX1171" s="107"/>
      <c r="BY1171" s="107"/>
      <c r="BZ1171" s="107"/>
      <c r="CA1171" s="107"/>
      <c r="CB1171" s="107"/>
      <c r="CC1171" s="107"/>
      <c r="CD1171" s="107"/>
      <c r="CE1171" s="107"/>
      <c r="CF1171" s="107"/>
      <c r="CG1171" s="107"/>
      <c r="CH1171" s="107"/>
      <c r="CI1171" s="107"/>
      <c r="CJ1171" s="107"/>
      <c r="CK1171" s="107"/>
      <c r="CL1171" s="107"/>
      <c r="CM1171" s="107"/>
      <c r="CN1171" s="107"/>
      <c r="CO1171" s="107"/>
      <c r="CP1171" s="107"/>
      <c r="CQ1171" s="107"/>
      <c r="CR1171" s="107"/>
      <c r="CS1171" s="107"/>
      <c r="CT1171" s="107"/>
      <c r="CU1171" s="107"/>
      <c r="CV1171" s="107"/>
    </row>
    <row r="1172" customFormat="false" ht="14.9" hidden="false" customHeight="false" outlineLevel="0" collapsed="false">
      <c r="A1172" s="74" t="n">
        <f aca="false">MONTH(B1172)</f>
        <v>11</v>
      </c>
      <c r="B1172" s="135" t="n">
        <v>44510</v>
      </c>
      <c r="C1172" s="128" t="s">
        <v>70</v>
      </c>
      <c r="D1172" s="77" t="str">
        <f aca="false">IFERROR(VLOOKUP(E:E,'Item Data Support Sheet'!A:O,7,0),"")</f>
        <v>HOOD MOLDED</v>
      </c>
      <c r="E1172" s="80" t="s">
        <v>529</v>
      </c>
      <c r="F1172" s="122"/>
      <c r="G1172" s="137" t="s">
        <v>740</v>
      </c>
      <c r="H1172" s="79" t="str">
        <f aca="false">IFERROR(VLOOKUP(E:E,'Item Data Support Sheet'!A:O,2,0),"")</f>
        <v>HOOD S TYPE MOLDED</v>
      </c>
      <c r="I1172" s="80" t="s">
        <v>1965</v>
      </c>
      <c r="J1172" s="80" t="s">
        <v>1962</v>
      </c>
      <c r="K1172" s="124" t="n">
        <v>8</v>
      </c>
      <c r="L1172" s="124" t="n">
        <v>4137</v>
      </c>
      <c r="M1172" s="83" t="n">
        <v>517.125</v>
      </c>
      <c r="N1172" s="84" t="n">
        <f aca="false">+O1172+Q1172+T1172+U1172</f>
        <v>5004</v>
      </c>
      <c r="O1172" s="85" t="n">
        <v>5000</v>
      </c>
      <c r="P1172" s="86" t="n">
        <v>0</v>
      </c>
      <c r="Q1172" s="86" t="n">
        <v>0</v>
      </c>
      <c r="R1172" s="132" t="n">
        <v>0</v>
      </c>
      <c r="S1172" s="128" t="n">
        <v>0</v>
      </c>
      <c r="T1172" s="132" t="n">
        <v>4</v>
      </c>
      <c r="U1172" s="128" t="n">
        <v>0</v>
      </c>
      <c r="V1172" s="128" t="n">
        <v>1</v>
      </c>
      <c r="W1172" s="90" t="n">
        <f aca="false">IFERROR(O1172/V1172,0)</f>
        <v>5000</v>
      </c>
      <c r="X1172" s="91" t="n">
        <f aca="false">O1172/L1172</f>
        <v>1.20860526951898</v>
      </c>
      <c r="Y1172" s="92" t="str">
        <f aca="false">IFERROR(VLOOKUP(E:E,'Item Data Support Sheet'!A:J,6,0),0)</f>
        <v>HMC</v>
      </c>
      <c r="Z1172" s="93" t="n">
        <f aca="false">IFERROR(VLOOKUP(E:E,'Item Data Support Sheet'!A:O,4,0),0)</f>
        <v>8.6</v>
      </c>
      <c r="AA1172" s="93" t="n">
        <f aca="false">IFERROR(((N1172)*(Z1172/1000))+P1172,0)</f>
        <v>43.0344</v>
      </c>
      <c r="AB1172" s="94" t="n">
        <f aca="false">IFERROR((O1172*(Z1172/1000)/(AA1172))," ")</f>
        <v>0.999200639488409</v>
      </c>
      <c r="AC1172" s="95" t="n">
        <f aca="false">IFERROR((T1172)/((T1172)+O1172),0)</f>
        <v>0.000799360511590727</v>
      </c>
      <c r="AD1172" s="96" t="n">
        <f aca="false">IFERROR(Q1172/(Q1172+N1172),0)</f>
        <v>0</v>
      </c>
      <c r="AE1172" s="91" t="n">
        <f aca="false">(N1172-T1172)/N1172</f>
        <v>0.999200639488409</v>
      </c>
      <c r="AF1172" s="97" t="n">
        <f aca="false">BR1172</f>
        <v>0</v>
      </c>
      <c r="AG1172" s="98" t="n">
        <f aca="false">K1172-AF1172</f>
        <v>8</v>
      </c>
      <c r="AH1172" s="99" t="n">
        <f aca="false">IFERROR(AG1172/K1172," ")</f>
        <v>1</v>
      </c>
      <c r="AI1172" s="100" t="n">
        <f aca="false">IFERROR(O1172/K1172,0)</f>
        <v>625</v>
      </c>
      <c r="AJ1172" s="101" t="n">
        <f aca="false">VLOOKUP(D1172,'Standard Cycle time'!C:D,2,0)</f>
        <v>6</v>
      </c>
      <c r="AK1172" s="101" t="n">
        <f aca="false">AG1172*V1172*3600/O1172</f>
        <v>5.76</v>
      </c>
      <c r="AL1172" s="102" t="n">
        <f aca="false">AJ1172/AK1172</f>
        <v>1.04166666666667</v>
      </c>
      <c r="AM1172" s="99" t="n">
        <f aca="false">AE1172*AL1172*AH1172</f>
        <v>1.04083399946709</v>
      </c>
      <c r="AN1172" s="103" t="n">
        <v>1.04083399946709</v>
      </c>
      <c r="AO1172" s="112"/>
      <c r="AP1172" s="105" t="n">
        <v>0</v>
      </c>
      <c r="AQ1172" s="105" t="n">
        <v>0</v>
      </c>
      <c r="AR1172" s="105" t="n">
        <v>0</v>
      </c>
      <c r="AS1172" s="105" t="n">
        <v>0</v>
      </c>
      <c r="AT1172" s="105" t="n">
        <v>0</v>
      </c>
      <c r="AU1172" s="105" t="n">
        <v>0</v>
      </c>
      <c r="AV1172" s="105" t="n">
        <v>0</v>
      </c>
      <c r="AW1172" s="105" t="n">
        <v>0</v>
      </c>
      <c r="AX1172" s="105" t="n">
        <v>0</v>
      </c>
      <c r="AY1172" s="105" t="n">
        <v>0</v>
      </c>
      <c r="AZ1172" s="105" t="n">
        <v>0</v>
      </c>
      <c r="BA1172" s="105" t="n">
        <v>0</v>
      </c>
      <c r="BB1172" s="105" t="n">
        <v>0</v>
      </c>
      <c r="BC1172" s="105" t="n">
        <v>0</v>
      </c>
      <c r="BD1172" s="105" t="n">
        <v>0</v>
      </c>
      <c r="BE1172" s="105" t="n">
        <v>0</v>
      </c>
      <c r="BF1172" s="105" t="n">
        <v>0</v>
      </c>
      <c r="BG1172" s="105" t="n">
        <v>0</v>
      </c>
      <c r="BH1172" s="105" t="n">
        <v>0</v>
      </c>
      <c r="BI1172" s="105" t="n">
        <v>0</v>
      </c>
      <c r="BJ1172" s="105" t="n">
        <v>0</v>
      </c>
      <c r="BK1172" s="105" t="n">
        <v>0</v>
      </c>
      <c r="BL1172" s="105" t="n">
        <v>0</v>
      </c>
      <c r="BM1172" s="105" t="n">
        <v>0</v>
      </c>
      <c r="BN1172" s="105" t="n">
        <v>0</v>
      </c>
      <c r="BO1172" s="105" t="n">
        <v>0</v>
      </c>
      <c r="BP1172" s="105" t="n">
        <v>0</v>
      </c>
      <c r="BQ1172" s="105" t="n">
        <v>0</v>
      </c>
      <c r="BR1172" s="106" t="n">
        <v>0</v>
      </c>
      <c r="BS1172" s="106" t="n">
        <v>0</v>
      </c>
      <c r="BT1172" s="107"/>
      <c r="BU1172" s="107"/>
      <c r="BV1172" s="107"/>
      <c r="BW1172" s="107"/>
      <c r="BX1172" s="107"/>
      <c r="BY1172" s="107"/>
      <c r="BZ1172" s="107"/>
      <c r="CA1172" s="107"/>
      <c r="CB1172" s="107"/>
      <c r="CC1172" s="107"/>
      <c r="CD1172" s="107"/>
      <c r="CE1172" s="107"/>
      <c r="CF1172" s="107"/>
      <c r="CG1172" s="107"/>
      <c r="CH1172" s="107"/>
      <c r="CI1172" s="107"/>
      <c r="CJ1172" s="107"/>
      <c r="CK1172" s="107"/>
      <c r="CL1172" s="107"/>
      <c r="CM1172" s="107"/>
      <c r="CN1172" s="107"/>
      <c r="CO1172" s="107"/>
      <c r="CP1172" s="107"/>
      <c r="CQ1172" s="107"/>
      <c r="CR1172" s="107"/>
      <c r="CS1172" s="107"/>
      <c r="CT1172" s="107"/>
      <c r="CU1172" s="107"/>
      <c r="CV1172" s="107"/>
    </row>
    <row r="1173" customFormat="false" ht="14.9" hidden="false" customHeight="false" outlineLevel="0" collapsed="false">
      <c r="A1173" s="74" t="n">
        <f aca="false">MONTH(B1173)</f>
        <v>11</v>
      </c>
      <c r="B1173" s="135" t="n">
        <v>44510</v>
      </c>
      <c r="C1173" s="128" t="s">
        <v>152</v>
      </c>
      <c r="D1173" s="77" t="str">
        <f aca="false">IFERROR(VLOOKUP(E:E,'Item Data Support Sheet'!A:O,7,0),"")</f>
        <v>NIPPLE MOLDED</v>
      </c>
      <c r="E1173" s="80" t="s">
        <v>809</v>
      </c>
      <c r="F1173" s="122" t="s">
        <v>137</v>
      </c>
      <c r="G1173" s="137" t="s">
        <v>138</v>
      </c>
      <c r="H1173" s="79" t="str">
        <f aca="false">IFERROR(VLOOKUP(E:E,'Item Data Support Sheet'!A:O,2,0),"")</f>
        <v>NIPPLE S TYPE Y SIZE INJECTION</v>
      </c>
      <c r="I1173" s="80" t="s">
        <v>1966</v>
      </c>
      <c r="J1173" s="80" t="s">
        <v>1913</v>
      </c>
      <c r="K1173" s="124" t="n">
        <v>8</v>
      </c>
      <c r="L1173" s="124" t="n">
        <v>4815</v>
      </c>
      <c r="M1173" s="83" t="n">
        <v>601.875</v>
      </c>
      <c r="N1173" s="84" t="n">
        <f aca="false">+O1173+Q1173+T1173+U1173</f>
        <v>6347</v>
      </c>
      <c r="O1173" s="85" t="n">
        <v>6000</v>
      </c>
      <c r="P1173" s="86" t="n">
        <v>0</v>
      </c>
      <c r="Q1173" s="86" t="n">
        <v>230</v>
      </c>
      <c r="R1173" s="132" t="n">
        <v>0</v>
      </c>
      <c r="S1173" s="128" t="n">
        <v>0</v>
      </c>
      <c r="T1173" s="132" t="n">
        <v>93</v>
      </c>
      <c r="U1173" s="128" t="n">
        <v>24</v>
      </c>
      <c r="V1173" s="128" t="n">
        <v>1</v>
      </c>
      <c r="W1173" s="90" t="n">
        <f aca="false">IFERROR(O1173/V1173,0)</f>
        <v>6000</v>
      </c>
      <c r="X1173" s="91" t="n">
        <f aca="false">O1173/L1173</f>
        <v>1.24610591900312</v>
      </c>
      <c r="Y1173" s="92" t="str">
        <f aca="false">IFERROR(VLOOKUP(E:E,'Item Data Support Sheet'!A:J,6,0),0)</f>
        <v>Silicon</v>
      </c>
      <c r="Z1173" s="93" t="n">
        <f aca="false">IFERROR(VLOOKUP(E:E,'Item Data Support Sheet'!A:O,4,0),0)</f>
        <v>6.8</v>
      </c>
      <c r="AA1173" s="93" t="n">
        <f aca="false">IFERROR(((N1173)*(Z1173/1000))+P1173,0)</f>
        <v>43.1596</v>
      </c>
      <c r="AB1173" s="94" t="n">
        <f aca="false">IFERROR((O1173*(Z1173/1000)/(AA1173))," ")</f>
        <v>0.945328501654325</v>
      </c>
      <c r="AC1173" s="95" t="n">
        <f aca="false">IFERROR((T1173)/((T1173)+O1173),0)</f>
        <v>0.0152634170359429</v>
      </c>
      <c r="AD1173" s="96" t="n">
        <f aca="false">IFERROR(Q1173/(Q1173+N1173),0)</f>
        <v>0.0349703512239623</v>
      </c>
      <c r="AE1173" s="91" t="n">
        <f aca="false">(N1173-T1173)/N1173</f>
        <v>0.985347408224358</v>
      </c>
      <c r="AF1173" s="97" t="n">
        <f aca="false">BR1173</f>
        <v>0</v>
      </c>
      <c r="AG1173" s="98" t="n">
        <f aca="false">K1173-AF1173</f>
        <v>8</v>
      </c>
      <c r="AH1173" s="99" t="n">
        <f aca="false">IFERROR(AG1173/K1173," ")</f>
        <v>1</v>
      </c>
      <c r="AI1173" s="100" t="n">
        <f aca="false">IFERROR(O1173/K1173,0)</f>
        <v>750</v>
      </c>
      <c r="AJ1173" s="101" t="n">
        <f aca="false">VLOOKUP(D1173,'Standard Cycle time'!C:D,2,0)</f>
        <v>5.25</v>
      </c>
      <c r="AK1173" s="101" t="n">
        <f aca="false">AG1173*V1173*3600/O1173</f>
        <v>4.8</v>
      </c>
      <c r="AL1173" s="102" t="n">
        <f aca="false">AJ1173/AK1173</f>
        <v>1.09375</v>
      </c>
      <c r="AM1173" s="99" t="n">
        <f aca="false">AE1173*AL1173*AH1173</f>
        <v>1.07772372774539</v>
      </c>
      <c r="AN1173" s="103" t="n">
        <v>1.07772372774539</v>
      </c>
      <c r="AO1173" s="112" t="s">
        <v>1967</v>
      </c>
      <c r="AP1173" s="105" t="n">
        <v>0</v>
      </c>
      <c r="AQ1173" s="105" t="n">
        <v>0</v>
      </c>
      <c r="AR1173" s="105" t="n">
        <v>0</v>
      </c>
      <c r="AS1173" s="105" t="n">
        <v>0</v>
      </c>
      <c r="AT1173" s="105" t="n">
        <v>0</v>
      </c>
      <c r="AU1173" s="105" t="n">
        <v>0</v>
      </c>
      <c r="AV1173" s="105"/>
      <c r="AW1173" s="105" t="n">
        <v>0</v>
      </c>
      <c r="AX1173" s="105" t="n">
        <v>0</v>
      </c>
      <c r="AY1173" s="105" t="n">
        <v>0</v>
      </c>
      <c r="AZ1173" s="105" t="n">
        <v>0</v>
      </c>
      <c r="BA1173" s="105" t="n">
        <v>0</v>
      </c>
      <c r="BB1173" s="105"/>
      <c r="BC1173" s="105" t="n">
        <v>0</v>
      </c>
      <c r="BD1173" s="105" t="n">
        <v>0</v>
      </c>
      <c r="BE1173" s="105" t="n">
        <v>0</v>
      </c>
      <c r="BF1173" s="105" t="n">
        <v>0</v>
      </c>
      <c r="BG1173" s="105" t="n">
        <v>0</v>
      </c>
      <c r="BH1173" s="105" t="n">
        <v>0</v>
      </c>
      <c r="BI1173" s="105" t="n">
        <v>0</v>
      </c>
      <c r="BJ1173" s="105" t="n">
        <v>0</v>
      </c>
      <c r="BK1173" s="105" t="n">
        <v>0</v>
      </c>
      <c r="BL1173" s="105" t="n">
        <v>0</v>
      </c>
      <c r="BM1173" s="105" t="n">
        <v>0</v>
      </c>
      <c r="BN1173" s="105" t="n">
        <v>0</v>
      </c>
      <c r="BO1173" s="105" t="n">
        <v>0</v>
      </c>
      <c r="BP1173" s="105" t="n">
        <v>0</v>
      </c>
      <c r="BQ1173" s="105" t="n">
        <v>0</v>
      </c>
      <c r="BR1173" s="106" t="n">
        <v>0</v>
      </c>
      <c r="BS1173" s="106" t="n">
        <v>0</v>
      </c>
      <c r="BT1173" s="107"/>
      <c r="BU1173" s="107"/>
      <c r="BV1173" s="107"/>
      <c r="BW1173" s="107"/>
      <c r="BX1173" s="107"/>
      <c r="BY1173" s="107"/>
      <c r="BZ1173" s="107"/>
      <c r="CA1173" s="107"/>
      <c r="CB1173" s="107"/>
      <c r="CC1173" s="107"/>
      <c r="CD1173" s="107"/>
      <c r="CE1173" s="107"/>
      <c r="CF1173" s="107"/>
      <c r="CG1173" s="107"/>
      <c r="CH1173" s="107"/>
      <c r="CI1173" s="107"/>
      <c r="CJ1173" s="107"/>
      <c r="CK1173" s="107"/>
      <c r="CL1173" s="107"/>
      <c r="CM1173" s="107"/>
      <c r="CN1173" s="107"/>
      <c r="CO1173" s="107"/>
      <c r="CP1173" s="107"/>
      <c r="CQ1173" s="107"/>
      <c r="CR1173" s="107"/>
      <c r="CS1173" s="107"/>
      <c r="CT1173" s="107"/>
      <c r="CU1173" s="107"/>
      <c r="CV1173" s="107"/>
    </row>
    <row r="1174" customFormat="false" ht="14.9" hidden="false" customHeight="false" outlineLevel="0" collapsed="false">
      <c r="A1174" s="74" t="n">
        <f aca="false">MONTH(B1174)</f>
        <v>11</v>
      </c>
      <c r="B1174" s="135" t="n">
        <v>44510</v>
      </c>
      <c r="C1174" s="128" t="s">
        <v>152</v>
      </c>
      <c r="D1174" s="77" t="str">
        <f aca="false">IFERROR(VLOOKUP(E:E,'Item Data Support Sheet'!A:O,7,0),"")</f>
        <v>HOOD MOLDED</v>
      </c>
      <c r="E1174" s="80" t="s">
        <v>529</v>
      </c>
      <c r="F1174" s="122"/>
      <c r="G1174" s="137" t="s">
        <v>740</v>
      </c>
      <c r="H1174" s="79" t="str">
        <f aca="false">IFERROR(VLOOKUP(E:E,'Item Data Support Sheet'!A:O,2,0),"")</f>
        <v>HOOD S TYPE MOLDED</v>
      </c>
      <c r="I1174" s="80" t="s">
        <v>1968</v>
      </c>
      <c r="J1174" s="80" t="s">
        <v>1913</v>
      </c>
      <c r="K1174" s="124" t="n">
        <v>8</v>
      </c>
      <c r="L1174" s="124" t="n">
        <v>4137</v>
      </c>
      <c r="M1174" s="83" t="n">
        <v>517.125</v>
      </c>
      <c r="N1174" s="84" t="n">
        <f aca="false">+O1174+Q1174+T1174+U1174</f>
        <v>5013</v>
      </c>
      <c r="O1174" s="85" t="n">
        <v>5000</v>
      </c>
      <c r="P1174" s="86" t="n">
        <v>0</v>
      </c>
      <c r="Q1174" s="86" t="n">
        <v>0</v>
      </c>
      <c r="R1174" s="132" t="n">
        <v>0</v>
      </c>
      <c r="S1174" s="128" t="n">
        <v>0</v>
      </c>
      <c r="T1174" s="132" t="n">
        <v>5</v>
      </c>
      <c r="U1174" s="128" t="n">
        <v>8</v>
      </c>
      <c r="V1174" s="128" t="n">
        <v>1</v>
      </c>
      <c r="W1174" s="90" t="n">
        <f aca="false">IFERROR(O1174/V1174,0)</f>
        <v>5000</v>
      </c>
      <c r="X1174" s="91" t="n">
        <f aca="false">O1174/L1174</f>
        <v>1.20860526951898</v>
      </c>
      <c r="Y1174" s="92" t="str">
        <f aca="false">IFERROR(VLOOKUP(E:E,'Item Data Support Sheet'!A:J,6,0),0)</f>
        <v>HMC</v>
      </c>
      <c r="Z1174" s="93" t="n">
        <f aca="false">IFERROR(VLOOKUP(E:E,'Item Data Support Sheet'!A:O,4,0),0)</f>
        <v>8.6</v>
      </c>
      <c r="AA1174" s="93" t="n">
        <f aca="false">IFERROR(((N1174)*(Z1174/1000))+P1174,0)</f>
        <v>43.1118</v>
      </c>
      <c r="AB1174" s="94" t="n">
        <f aca="false">IFERROR((O1174*(Z1174/1000)/(AA1174))," ")</f>
        <v>0.997406742469579</v>
      </c>
      <c r="AC1174" s="95" t="n">
        <f aca="false">IFERROR((T1174)/((T1174)+O1174),0)</f>
        <v>0.000999000999000999</v>
      </c>
      <c r="AD1174" s="96" t="n">
        <f aca="false">IFERROR(Q1174/(Q1174+N1174),0)</f>
        <v>0</v>
      </c>
      <c r="AE1174" s="91" t="n">
        <f aca="false">(N1174-T1174)/N1174</f>
        <v>0.99900259325753</v>
      </c>
      <c r="AF1174" s="97" t="n">
        <f aca="false">BR1174</f>
        <v>0</v>
      </c>
      <c r="AG1174" s="98" t="n">
        <f aca="false">K1174-AF1174</f>
        <v>8</v>
      </c>
      <c r="AH1174" s="99" t="n">
        <f aca="false">IFERROR(AG1174/K1174," ")</f>
        <v>1</v>
      </c>
      <c r="AI1174" s="100" t="n">
        <f aca="false">IFERROR(O1174/K1174,0)</f>
        <v>625</v>
      </c>
      <c r="AJ1174" s="101" t="n">
        <f aca="false">VLOOKUP(D1174,'Standard Cycle time'!C:D,2,0)</f>
        <v>6</v>
      </c>
      <c r="AK1174" s="101" t="n">
        <f aca="false">AG1174*V1174*3600/O1174</f>
        <v>5.76</v>
      </c>
      <c r="AL1174" s="102" t="n">
        <f aca="false">AJ1174/AK1174</f>
        <v>1.04166666666667</v>
      </c>
      <c r="AM1174" s="99" t="n">
        <f aca="false">AE1174*AL1174*AH1174</f>
        <v>1.04062770130993</v>
      </c>
      <c r="AN1174" s="103" t="n">
        <v>1.04062770130993</v>
      </c>
      <c r="AO1174" s="112"/>
      <c r="AP1174" s="105" t="n">
        <v>0</v>
      </c>
      <c r="AQ1174" s="105" t="n">
        <v>0</v>
      </c>
      <c r="AR1174" s="105" t="n">
        <v>0</v>
      </c>
      <c r="AS1174" s="105" t="n">
        <v>0</v>
      </c>
      <c r="AT1174" s="105" t="n">
        <v>0</v>
      </c>
      <c r="AU1174" s="105" t="n">
        <v>0</v>
      </c>
      <c r="AV1174" s="105" t="n">
        <v>0</v>
      </c>
      <c r="AW1174" s="105" t="n">
        <v>0</v>
      </c>
      <c r="AX1174" s="105" t="n">
        <v>0</v>
      </c>
      <c r="AY1174" s="105" t="n">
        <v>0</v>
      </c>
      <c r="AZ1174" s="105" t="n">
        <v>0</v>
      </c>
      <c r="BA1174" s="105" t="n">
        <v>0</v>
      </c>
      <c r="BB1174" s="105" t="n">
        <v>0</v>
      </c>
      <c r="BC1174" s="105" t="n">
        <v>0</v>
      </c>
      <c r="BD1174" s="105" t="n">
        <v>0</v>
      </c>
      <c r="BE1174" s="105" t="n">
        <v>0</v>
      </c>
      <c r="BF1174" s="105" t="n">
        <v>0</v>
      </c>
      <c r="BG1174" s="105" t="n">
        <v>0</v>
      </c>
      <c r="BH1174" s="105" t="n">
        <v>0</v>
      </c>
      <c r="BI1174" s="105" t="n">
        <v>0</v>
      </c>
      <c r="BJ1174" s="105" t="n">
        <v>0</v>
      </c>
      <c r="BK1174" s="105" t="n">
        <v>0</v>
      </c>
      <c r="BL1174" s="105" t="n">
        <v>0</v>
      </c>
      <c r="BM1174" s="105" t="n">
        <v>0</v>
      </c>
      <c r="BN1174" s="105" t="n">
        <v>0</v>
      </c>
      <c r="BO1174" s="105" t="n">
        <v>0</v>
      </c>
      <c r="BP1174" s="105" t="n">
        <v>0</v>
      </c>
      <c r="BQ1174" s="105" t="n">
        <v>0</v>
      </c>
      <c r="BR1174" s="106" t="n">
        <v>0</v>
      </c>
      <c r="BS1174" s="106" t="n">
        <v>0</v>
      </c>
      <c r="BT1174" s="107"/>
      <c r="BU1174" s="107"/>
      <c r="BV1174" s="107"/>
      <c r="BW1174" s="107"/>
      <c r="BX1174" s="107"/>
      <c r="BY1174" s="107"/>
      <c r="BZ1174" s="107"/>
      <c r="CA1174" s="107"/>
      <c r="CB1174" s="107"/>
      <c r="CC1174" s="107"/>
      <c r="CD1174" s="107"/>
      <c r="CE1174" s="107"/>
      <c r="CF1174" s="107"/>
      <c r="CG1174" s="107"/>
      <c r="CH1174" s="107"/>
      <c r="CI1174" s="107"/>
      <c r="CJ1174" s="107"/>
      <c r="CK1174" s="107"/>
      <c r="CL1174" s="107"/>
      <c r="CM1174" s="107"/>
      <c r="CN1174" s="107"/>
      <c r="CO1174" s="107"/>
      <c r="CP1174" s="107"/>
      <c r="CQ1174" s="107"/>
      <c r="CR1174" s="107"/>
      <c r="CS1174" s="107"/>
      <c r="CT1174" s="107"/>
      <c r="CU1174" s="107"/>
      <c r="CV1174" s="107"/>
    </row>
    <row r="1175" customFormat="false" ht="14.9" hidden="false" customHeight="false" outlineLevel="0" collapsed="false">
      <c r="A1175" s="74" t="n">
        <f aca="false">MONTH(B1175)</f>
        <v>11</v>
      </c>
      <c r="B1175" s="135" t="n">
        <v>44510</v>
      </c>
      <c r="C1175" s="128" t="s">
        <v>152</v>
      </c>
      <c r="D1175" s="77" t="str">
        <f aca="false">IFERROR(VLOOKUP(E:E,'Item Data Support Sheet'!A:O,7,0),"")</f>
        <v>BOTTLE MOLDED</v>
      </c>
      <c r="E1175" s="80" t="s">
        <v>69</v>
      </c>
      <c r="F1175" s="122" t="s">
        <v>73</v>
      </c>
      <c r="G1175" s="137" t="s">
        <v>74</v>
      </c>
      <c r="H1175" s="79" t="str">
        <f aca="false">IFERROR(VLOOKUP(E:E,'Item Data Support Sheet'!A:O,2,0),"")</f>
        <v>KPP 240 ML BOTTLE MOLDED</v>
      </c>
      <c r="I1175" s="80" t="s">
        <v>1969</v>
      </c>
      <c r="J1175" s="80" t="s">
        <v>1913</v>
      </c>
      <c r="K1175" s="124" t="n">
        <v>8</v>
      </c>
      <c r="L1175" s="124" t="n">
        <v>2574</v>
      </c>
      <c r="M1175" s="83" t="n">
        <v>321.75</v>
      </c>
      <c r="N1175" s="84" t="n">
        <f aca="false">+O1175+Q1175+T1175+U1175</f>
        <v>3335</v>
      </c>
      <c r="O1175" s="85" t="n">
        <v>3240</v>
      </c>
      <c r="P1175" s="86" t="n">
        <v>0.15</v>
      </c>
      <c r="Q1175" s="86" t="n">
        <v>23</v>
      </c>
      <c r="R1175" s="132" t="n">
        <v>0</v>
      </c>
      <c r="S1175" s="128" t="n">
        <v>0</v>
      </c>
      <c r="T1175" s="132" t="n">
        <v>64</v>
      </c>
      <c r="U1175" s="128" t="n">
        <v>8</v>
      </c>
      <c r="V1175" s="128" t="n">
        <v>1</v>
      </c>
      <c r="W1175" s="90" t="n">
        <f aca="false">IFERROR(O1175/V1175,0)</f>
        <v>3240</v>
      </c>
      <c r="X1175" s="91" t="n">
        <f aca="false">O1175/L1175</f>
        <v>1.25874125874126</v>
      </c>
      <c r="Y1175" s="92" t="str">
        <f aca="false">IFERROR(VLOOKUP(E:E,'Item Data Support Sheet'!A:J,6,0),0)</f>
        <v>HMC</v>
      </c>
      <c r="Z1175" s="93" t="n">
        <f aca="false">IFERROR(VLOOKUP(E:E,'Item Data Support Sheet'!A:O,4,0),0)</f>
        <v>32.1</v>
      </c>
      <c r="AA1175" s="93" t="n">
        <f aca="false">IFERROR(((N1175)*(Z1175/1000))+P1175,0)</f>
        <v>107.2035</v>
      </c>
      <c r="AB1175" s="94" t="n">
        <f aca="false">IFERROR((O1175*(Z1175/1000)/(AA1175))," ")</f>
        <v>0.970154892330941</v>
      </c>
      <c r="AC1175" s="95" t="n">
        <f aca="false">IFERROR((T1175)/((T1175)+O1175),0)</f>
        <v>0.0193704600484262</v>
      </c>
      <c r="AD1175" s="96" t="n">
        <f aca="false">IFERROR(Q1175/(Q1175+N1175),0)</f>
        <v>0.00684931506849315</v>
      </c>
      <c r="AE1175" s="91" t="n">
        <f aca="false">(N1175-T1175)/N1175</f>
        <v>0.980809595202399</v>
      </c>
      <c r="AF1175" s="97" t="n">
        <f aca="false">BR1175</f>
        <v>0</v>
      </c>
      <c r="AG1175" s="98" t="n">
        <f aca="false">K1175-AF1175</f>
        <v>8</v>
      </c>
      <c r="AH1175" s="99" t="n">
        <f aca="false">IFERROR(AG1175/K1175," ")</f>
        <v>1</v>
      </c>
      <c r="AI1175" s="100" t="n">
        <f aca="false">IFERROR(O1175/K1175,0)</f>
        <v>405</v>
      </c>
      <c r="AJ1175" s="101" t="n">
        <f aca="false">VLOOKUP(D1175,'Standard Cycle time'!C:D,2,0)</f>
        <v>9</v>
      </c>
      <c r="AK1175" s="101" t="n">
        <f aca="false">AG1175*V1175*3600/O1175</f>
        <v>8.88888888888889</v>
      </c>
      <c r="AL1175" s="102" t="n">
        <f aca="false">AJ1175/AK1175</f>
        <v>1.0125</v>
      </c>
      <c r="AM1175" s="99" t="n">
        <f aca="false">AE1175*AL1175*AH1175</f>
        <v>0.993069715142429</v>
      </c>
      <c r="AN1175" s="103" t="n">
        <v>0.993069715142429</v>
      </c>
      <c r="AO1175" s="112"/>
      <c r="AP1175" s="105" t="n">
        <v>0</v>
      </c>
      <c r="AQ1175" s="105" t="n">
        <v>0</v>
      </c>
      <c r="AR1175" s="105" t="n">
        <v>0</v>
      </c>
      <c r="AS1175" s="105" t="n">
        <v>0</v>
      </c>
      <c r="AT1175" s="105" t="n">
        <v>0</v>
      </c>
      <c r="AU1175" s="105" t="n">
        <v>0</v>
      </c>
      <c r="AV1175" s="105" t="n">
        <v>0</v>
      </c>
      <c r="AW1175" s="105" t="n">
        <v>0</v>
      </c>
      <c r="AX1175" s="105" t="n">
        <v>0</v>
      </c>
      <c r="AY1175" s="105" t="n">
        <v>0</v>
      </c>
      <c r="AZ1175" s="105" t="n">
        <v>0</v>
      </c>
      <c r="BA1175" s="105" t="n">
        <v>0</v>
      </c>
      <c r="BB1175" s="105" t="n">
        <v>0</v>
      </c>
      <c r="BC1175" s="105" t="n">
        <v>0</v>
      </c>
      <c r="BD1175" s="105" t="n">
        <v>0</v>
      </c>
      <c r="BE1175" s="105" t="n">
        <v>0</v>
      </c>
      <c r="BF1175" s="105" t="n">
        <v>0</v>
      </c>
      <c r="BG1175" s="105" t="n">
        <v>0</v>
      </c>
      <c r="BH1175" s="105" t="n">
        <v>0</v>
      </c>
      <c r="BI1175" s="105" t="n">
        <v>0</v>
      </c>
      <c r="BJ1175" s="105" t="n">
        <v>0</v>
      </c>
      <c r="BK1175" s="105" t="n">
        <v>0</v>
      </c>
      <c r="BL1175" s="105" t="n">
        <v>0</v>
      </c>
      <c r="BM1175" s="105" t="n">
        <v>0</v>
      </c>
      <c r="BN1175" s="105" t="n">
        <v>0</v>
      </c>
      <c r="BO1175" s="105" t="n">
        <v>0</v>
      </c>
      <c r="BP1175" s="105" t="n">
        <v>0</v>
      </c>
      <c r="BQ1175" s="105" t="n">
        <v>0</v>
      </c>
      <c r="BR1175" s="106" t="n">
        <v>0</v>
      </c>
      <c r="BS1175" s="106" t="n">
        <v>0</v>
      </c>
      <c r="BT1175" s="107"/>
      <c r="BU1175" s="107"/>
      <c r="BV1175" s="107"/>
      <c r="BW1175" s="107"/>
      <c r="BX1175" s="107"/>
      <c r="BY1175" s="107"/>
      <c r="BZ1175" s="107"/>
      <c r="CA1175" s="107"/>
      <c r="CB1175" s="107"/>
      <c r="CC1175" s="107"/>
      <c r="CD1175" s="107"/>
      <c r="CE1175" s="107"/>
      <c r="CF1175" s="107"/>
      <c r="CG1175" s="107"/>
      <c r="CH1175" s="107"/>
      <c r="CI1175" s="107"/>
      <c r="CJ1175" s="107"/>
      <c r="CK1175" s="107"/>
      <c r="CL1175" s="107"/>
      <c r="CM1175" s="107"/>
      <c r="CN1175" s="107"/>
      <c r="CO1175" s="107"/>
      <c r="CP1175" s="107"/>
      <c r="CQ1175" s="107"/>
      <c r="CR1175" s="107"/>
      <c r="CS1175" s="107"/>
      <c r="CT1175" s="107"/>
      <c r="CU1175" s="107"/>
      <c r="CV1175" s="107"/>
    </row>
    <row r="1176" customFormat="false" ht="14.9" hidden="false" customHeight="false" outlineLevel="0" collapsed="false">
      <c r="A1176" s="74" t="n">
        <f aca="false">MONTH(B1176)</f>
        <v>11</v>
      </c>
      <c r="B1176" s="135" t="n">
        <v>44511</v>
      </c>
      <c r="C1176" s="128" t="s">
        <v>51</v>
      </c>
      <c r="D1176" s="77" t="str">
        <f aca="false">IFERROR(VLOOKUP(E:E,'Item Data Support Sheet'!A:O,7,0),"")</f>
        <v>BOTTLE MOLDED</v>
      </c>
      <c r="E1176" s="80" t="s">
        <v>69</v>
      </c>
      <c r="F1176" s="122" t="s">
        <v>73</v>
      </c>
      <c r="G1176" s="137" t="s">
        <v>74</v>
      </c>
      <c r="H1176" s="79" t="str">
        <f aca="false">IFERROR(VLOOKUP(E:E,'Item Data Support Sheet'!A:O,2,0),"")</f>
        <v>KPP 240 ML BOTTLE MOLDED</v>
      </c>
      <c r="I1176" s="80" t="s">
        <v>1970</v>
      </c>
      <c r="J1176" s="80" t="s">
        <v>158</v>
      </c>
      <c r="K1176" s="124" t="n">
        <v>8</v>
      </c>
      <c r="L1176" s="124" t="n">
        <v>2574</v>
      </c>
      <c r="M1176" s="83" t="n">
        <v>321.75</v>
      </c>
      <c r="N1176" s="84" t="n">
        <f aca="false">+O1176+Q1176+T1176+U1176</f>
        <v>3154</v>
      </c>
      <c r="O1176" s="85" t="n">
        <v>3024</v>
      </c>
      <c r="P1176" s="86" t="n">
        <v>0.2</v>
      </c>
      <c r="Q1176" s="86" t="n">
        <v>47</v>
      </c>
      <c r="R1176" s="132" t="n">
        <v>0</v>
      </c>
      <c r="S1176" s="128" t="n">
        <v>0</v>
      </c>
      <c r="T1176" s="132" t="n">
        <v>75</v>
      </c>
      <c r="U1176" s="128" t="n">
        <v>8</v>
      </c>
      <c r="V1176" s="128" t="n">
        <v>1</v>
      </c>
      <c r="W1176" s="90" t="n">
        <f aca="false">IFERROR(O1176/V1176,0)</f>
        <v>3024</v>
      </c>
      <c r="X1176" s="91" t="n">
        <f aca="false">O1176/L1176</f>
        <v>1.17482517482517</v>
      </c>
      <c r="Y1176" s="92" t="str">
        <f aca="false">IFERROR(VLOOKUP(E:E,'Item Data Support Sheet'!A:J,6,0),0)</f>
        <v>HMC</v>
      </c>
      <c r="Z1176" s="93" t="n">
        <f aca="false">IFERROR(VLOOKUP(E:E,'Item Data Support Sheet'!A:O,4,0),0)</f>
        <v>32.1</v>
      </c>
      <c r="AA1176" s="93" t="n">
        <f aca="false">IFERROR(((N1176)*(Z1176/1000))+P1176,0)</f>
        <v>101.4434</v>
      </c>
      <c r="AB1176" s="94" t="n">
        <f aca="false">IFERROR((O1176*(Z1176/1000)/(AA1176))," ")</f>
        <v>0.956892217729295</v>
      </c>
      <c r="AC1176" s="95" t="n">
        <f aca="false">IFERROR((T1176)/((T1176)+O1176),0)</f>
        <v>0.0242013552758954</v>
      </c>
      <c r="AD1176" s="96" t="n">
        <f aca="false">IFERROR(Q1176/(Q1176+N1176),0)</f>
        <v>0.0146829115901281</v>
      </c>
      <c r="AE1176" s="91" t="n">
        <f aca="false">(N1176-T1176)/N1176</f>
        <v>0.976220672162333</v>
      </c>
      <c r="AF1176" s="97" t="n">
        <f aca="false">BR1176</f>
        <v>0</v>
      </c>
      <c r="AG1176" s="98" t="n">
        <f aca="false">K1176-AF1176</f>
        <v>8</v>
      </c>
      <c r="AH1176" s="99" t="n">
        <f aca="false">IFERROR(AG1176/K1176," ")</f>
        <v>1</v>
      </c>
      <c r="AI1176" s="100" t="n">
        <f aca="false">IFERROR(O1176/K1176,0)</f>
        <v>378</v>
      </c>
      <c r="AJ1176" s="101" t="n">
        <f aca="false">VLOOKUP(D1176,'Standard Cycle time'!C:D,2,0)</f>
        <v>9</v>
      </c>
      <c r="AK1176" s="101" t="n">
        <f aca="false">AG1176*V1176*3600/O1176</f>
        <v>9.52380952380952</v>
      </c>
      <c r="AL1176" s="102" t="n">
        <f aca="false">AJ1176/AK1176</f>
        <v>0.945</v>
      </c>
      <c r="AM1176" s="99" t="n">
        <f aca="false">AE1176*AL1176*AH1176</f>
        <v>0.922528535193405</v>
      </c>
      <c r="AN1176" s="103" t="n">
        <v>0.922528535193405</v>
      </c>
      <c r="AO1176" s="112" t="s">
        <v>1971</v>
      </c>
      <c r="AP1176" s="105" t="n">
        <v>0</v>
      </c>
      <c r="AQ1176" s="105" t="n">
        <v>0</v>
      </c>
      <c r="AR1176" s="105" t="n">
        <v>0</v>
      </c>
      <c r="AS1176" s="105" t="n">
        <v>0</v>
      </c>
      <c r="AT1176" s="105" t="n">
        <v>0</v>
      </c>
      <c r="AU1176" s="105" t="n">
        <v>0</v>
      </c>
      <c r="AV1176" s="105" t="n">
        <v>0</v>
      </c>
      <c r="AW1176" s="105" t="n">
        <v>0</v>
      </c>
      <c r="AX1176" s="105" t="n">
        <v>0</v>
      </c>
      <c r="AY1176" s="105" t="n">
        <v>0</v>
      </c>
      <c r="AZ1176" s="105" t="n">
        <v>0</v>
      </c>
      <c r="BA1176" s="105" t="n">
        <v>0</v>
      </c>
      <c r="BB1176" s="105" t="n">
        <v>0</v>
      </c>
      <c r="BC1176" s="105" t="n">
        <v>0</v>
      </c>
      <c r="BD1176" s="105" t="n">
        <v>0</v>
      </c>
      <c r="BE1176" s="105" t="n">
        <v>0</v>
      </c>
      <c r="BF1176" s="105" t="n">
        <v>0</v>
      </c>
      <c r="BG1176" s="105" t="n">
        <v>0</v>
      </c>
      <c r="BH1176" s="105" t="n">
        <v>0</v>
      </c>
      <c r="BI1176" s="105" t="n">
        <v>0</v>
      </c>
      <c r="BJ1176" s="105" t="n">
        <v>0</v>
      </c>
      <c r="BK1176" s="105" t="n">
        <v>0</v>
      </c>
      <c r="BL1176" s="105" t="n">
        <v>0</v>
      </c>
      <c r="BM1176" s="105" t="n">
        <v>0</v>
      </c>
      <c r="BN1176" s="105" t="n">
        <v>0</v>
      </c>
      <c r="BO1176" s="105" t="n">
        <v>0</v>
      </c>
      <c r="BP1176" s="105" t="n">
        <v>0</v>
      </c>
      <c r="BQ1176" s="105" t="n">
        <v>0</v>
      </c>
      <c r="BR1176" s="106" t="n">
        <v>0</v>
      </c>
      <c r="BS1176" s="106" t="n">
        <v>0</v>
      </c>
      <c r="BT1176" s="107"/>
      <c r="BU1176" s="107"/>
      <c r="BV1176" s="107"/>
      <c r="BW1176" s="107"/>
      <c r="BX1176" s="107"/>
      <c r="BY1176" s="107"/>
      <c r="BZ1176" s="107"/>
      <c r="CA1176" s="107"/>
      <c r="CB1176" s="107"/>
      <c r="CC1176" s="107"/>
      <c r="CD1176" s="107"/>
      <c r="CE1176" s="107"/>
      <c r="CF1176" s="107"/>
      <c r="CG1176" s="107"/>
      <c r="CH1176" s="107"/>
      <c r="CI1176" s="107"/>
      <c r="CJ1176" s="107"/>
      <c r="CK1176" s="107"/>
      <c r="CL1176" s="107"/>
      <c r="CM1176" s="107"/>
      <c r="CN1176" s="107"/>
      <c r="CO1176" s="107"/>
      <c r="CP1176" s="107"/>
      <c r="CQ1176" s="107"/>
      <c r="CR1176" s="107"/>
      <c r="CS1176" s="107"/>
      <c r="CT1176" s="107"/>
      <c r="CU1176" s="107"/>
      <c r="CV1176" s="107"/>
    </row>
    <row r="1177" customFormat="false" ht="14.9" hidden="false" customHeight="false" outlineLevel="0" collapsed="false">
      <c r="A1177" s="74" t="n">
        <f aca="false">MONTH(B1177)</f>
        <v>11</v>
      </c>
      <c r="B1177" s="135" t="n">
        <v>44511</v>
      </c>
      <c r="C1177" s="128" t="s">
        <v>51</v>
      </c>
      <c r="D1177" s="77" t="str">
        <f aca="false">IFERROR(VLOOKUP(E:E,'Item Data Support Sheet'!A:O,7,0),"")</f>
        <v>NIPPLE MOLDED</v>
      </c>
      <c r="E1177" s="80" t="s">
        <v>809</v>
      </c>
      <c r="F1177" s="122" t="s">
        <v>137</v>
      </c>
      <c r="G1177" s="137" t="s">
        <v>138</v>
      </c>
      <c r="H1177" s="79" t="str">
        <f aca="false">IFERROR(VLOOKUP(E:E,'Item Data Support Sheet'!A:O,2,0),"")</f>
        <v>NIPPLE S TYPE Y SIZE INJECTION</v>
      </c>
      <c r="I1177" s="80" t="s">
        <v>1972</v>
      </c>
      <c r="J1177" s="80" t="s">
        <v>158</v>
      </c>
      <c r="K1177" s="124" t="n">
        <v>8</v>
      </c>
      <c r="L1177" s="124" t="n">
        <v>4815</v>
      </c>
      <c r="M1177" s="83" t="n">
        <v>601.875</v>
      </c>
      <c r="N1177" s="84" t="n">
        <f aca="false">+O1177+Q1177+T1177+U1177</f>
        <v>3141</v>
      </c>
      <c r="O1177" s="85" t="n">
        <v>2630</v>
      </c>
      <c r="P1177" s="86" t="n">
        <v>0</v>
      </c>
      <c r="Q1177" s="86" t="n">
        <v>465</v>
      </c>
      <c r="R1177" s="132" t="n">
        <v>0</v>
      </c>
      <c r="S1177" s="128" t="n">
        <v>0</v>
      </c>
      <c r="T1177" s="132" t="n">
        <v>38</v>
      </c>
      <c r="U1177" s="128" t="n">
        <v>8</v>
      </c>
      <c r="V1177" s="128" t="n">
        <v>1</v>
      </c>
      <c r="W1177" s="90" t="n">
        <f aca="false">IFERROR(O1177/V1177,0)</f>
        <v>2630</v>
      </c>
      <c r="X1177" s="91" t="n">
        <f aca="false">O1177/L1177</f>
        <v>0.546209761163032</v>
      </c>
      <c r="Y1177" s="92" t="str">
        <f aca="false">IFERROR(VLOOKUP(E:E,'Item Data Support Sheet'!A:J,6,0),0)</f>
        <v>Silicon</v>
      </c>
      <c r="Z1177" s="93" t="n">
        <f aca="false">IFERROR(VLOOKUP(E:E,'Item Data Support Sheet'!A:O,4,0),0)</f>
        <v>6.8</v>
      </c>
      <c r="AA1177" s="93" t="n">
        <f aca="false">IFERROR(((N1177)*(Z1177/1000))+P1177,0)</f>
        <v>21.3588</v>
      </c>
      <c r="AB1177" s="94" t="n">
        <f aca="false">IFERROR((O1177*(Z1177/1000)/(AA1177))," ")</f>
        <v>0.837312957656797</v>
      </c>
      <c r="AC1177" s="95" t="n">
        <f aca="false">IFERROR((T1177)/((T1177)+O1177),0)</f>
        <v>0.0142428785607196</v>
      </c>
      <c r="AD1177" s="96" t="n">
        <f aca="false">IFERROR(Q1177/(Q1177+N1177),0)</f>
        <v>0.128951747088186</v>
      </c>
      <c r="AE1177" s="91" t="n">
        <f aca="false">(N1177-T1177)/N1177</f>
        <v>0.98790194205667</v>
      </c>
      <c r="AF1177" s="97" t="n">
        <f aca="false">BR1177</f>
        <v>3.5</v>
      </c>
      <c r="AG1177" s="98" t="n">
        <f aca="false">K1177-AF1177</f>
        <v>4.5</v>
      </c>
      <c r="AH1177" s="99" t="n">
        <f aca="false">IFERROR(AG1177/K1177," ")</f>
        <v>0.5625</v>
      </c>
      <c r="AI1177" s="100" t="n">
        <f aca="false">IFERROR(O1177/K1177,0)</f>
        <v>328.75</v>
      </c>
      <c r="AJ1177" s="101" t="n">
        <f aca="false">VLOOKUP(D1177,'Standard Cycle time'!C:D,2,0)</f>
        <v>5.25</v>
      </c>
      <c r="AK1177" s="101" t="n">
        <f aca="false">AG1177*V1177*3600/O1177</f>
        <v>6.15969581749049</v>
      </c>
      <c r="AL1177" s="102" t="n">
        <f aca="false">AJ1177/AK1177</f>
        <v>0.852314814814815</v>
      </c>
      <c r="AM1177" s="99" t="n">
        <f aca="false">AE1177*AL1177*AH1177</f>
        <v>0.473626946699565</v>
      </c>
      <c r="AN1177" s="103" t="n">
        <v>0.473626946699565</v>
      </c>
      <c r="AO1177" s="112" t="s">
        <v>1973</v>
      </c>
      <c r="AP1177" s="105" t="n">
        <v>0</v>
      </c>
      <c r="AQ1177" s="105" t="n">
        <v>0</v>
      </c>
      <c r="AR1177" s="105" t="n">
        <v>0</v>
      </c>
      <c r="AS1177" s="105" t="n">
        <v>0</v>
      </c>
      <c r="AT1177" s="105" t="n">
        <v>0</v>
      </c>
      <c r="AU1177" s="105" t="n">
        <v>30</v>
      </c>
      <c r="AV1177" s="105" t="n">
        <v>60</v>
      </c>
      <c r="AW1177" s="105" t="n">
        <v>0</v>
      </c>
      <c r="AX1177" s="105" t="n">
        <v>0</v>
      </c>
      <c r="AY1177" s="105" t="n">
        <v>0</v>
      </c>
      <c r="AZ1177" s="105" t="n">
        <v>0</v>
      </c>
      <c r="BA1177" s="105" t="n">
        <v>0</v>
      </c>
      <c r="BB1177" s="105" t="n">
        <v>0</v>
      </c>
      <c r="BC1177" s="105" t="n">
        <v>0</v>
      </c>
      <c r="BD1177" s="105" t="n">
        <v>0</v>
      </c>
      <c r="BE1177" s="105" t="n">
        <v>0</v>
      </c>
      <c r="BF1177" s="105" t="n">
        <v>0</v>
      </c>
      <c r="BG1177" s="105" t="n">
        <v>0</v>
      </c>
      <c r="BH1177" s="105" t="n">
        <v>0</v>
      </c>
      <c r="BI1177" s="105" t="n">
        <v>0</v>
      </c>
      <c r="BJ1177" s="105" t="n">
        <v>0</v>
      </c>
      <c r="BK1177" s="105" t="n">
        <v>120</v>
      </c>
      <c r="BL1177" s="105" t="n">
        <v>0</v>
      </c>
      <c r="BM1177" s="105" t="n">
        <v>0</v>
      </c>
      <c r="BN1177" s="105" t="n">
        <v>0</v>
      </c>
      <c r="BO1177" s="105" t="n">
        <v>0</v>
      </c>
      <c r="BP1177" s="105" t="n">
        <v>0</v>
      </c>
      <c r="BQ1177" s="105" t="n">
        <v>0</v>
      </c>
      <c r="BR1177" s="106" t="n">
        <v>3.5</v>
      </c>
      <c r="BS1177" s="106" t="n">
        <v>3.5</v>
      </c>
      <c r="BT1177" s="107"/>
      <c r="BU1177" s="107"/>
      <c r="BV1177" s="107"/>
      <c r="BW1177" s="107"/>
      <c r="BX1177" s="107"/>
      <c r="BY1177" s="107"/>
      <c r="BZ1177" s="107"/>
      <c r="CA1177" s="107"/>
      <c r="CB1177" s="107"/>
      <c r="CC1177" s="107"/>
      <c r="CD1177" s="107"/>
      <c r="CE1177" s="107"/>
      <c r="CF1177" s="107"/>
      <c r="CG1177" s="107"/>
      <c r="CH1177" s="107"/>
      <c r="CI1177" s="107"/>
      <c r="CJ1177" s="107"/>
      <c r="CK1177" s="107"/>
      <c r="CL1177" s="107"/>
      <c r="CM1177" s="107"/>
      <c r="CN1177" s="107"/>
      <c r="CO1177" s="107"/>
      <c r="CP1177" s="107"/>
      <c r="CQ1177" s="107"/>
      <c r="CR1177" s="107"/>
      <c r="CS1177" s="107"/>
      <c r="CT1177" s="107"/>
      <c r="CU1177" s="107"/>
      <c r="CV1177" s="107"/>
    </row>
    <row r="1178" customFormat="false" ht="14.9" hidden="false" customHeight="false" outlineLevel="0" collapsed="false">
      <c r="A1178" s="74" t="n">
        <f aca="false">MONTH(B1178)</f>
        <v>11</v>
      </c>
      <c r="B1178" s="135" t="n">
        <v>44511</v>
      </c>
      <c r="C1178" s="128" t="s">
        <v>51</v>
      </c>
      <c r="D1178" s="77" t="str">
        <f aca="false">IFERROR(VLOOKUP(E:E,'Item Data Support Sheet'!A:O,7,0),"")</f>
        <v>HOOD MOLDED</v>
      </c>
      <c r="E1178" s="80" t="s">
        <v>529</v>
      </c>
      <c r="F1178" s="122"/>
      <c r="G1178" s="137" t="s">
        <v>740</v>
      </c>
      <c r="H1178" s="79" t="str">
        <f aca="false">IFERROR(VLOOKUP(E:E,'Item Data Support Sheet'!A:O,2,0),"")</f>
        <v>HOOD S TYPE MOLDED</v>
      </c>
      <c r="I1178" s="80" t="s">
        <v>1974</v>
      </c>
      <c r="J1178" s="80" t="s">
        <v>158</v>
      </c>
      <c r="K1178" s="124" t="n">
        <v>8</v>
      </c>
      <c r="L1178" s="124" t="n">
        <v>4137</v>
      </c>
      <c r="M1178" s="83" t="n">
        <v>517.125</v>
      </c>
      <c r="N1178" s="84" t="n">
        <f aca="false">+O1178+Q1178+T1178+U1178</f>
        <v>5008</v>
      </c>
      <c r="O1178" s="85" t="n">
        <v>5000</v>
      </c>
      <c r="P1178" s="86" t="n">
        <v>0</v>
      </c>
      <c r="Q1178" s="86" t="n">
        <v>0</v>
      </c>
      <c r="R1178" s="132" t="n">
        <v>0</v>
      </c>
      <c r="S1178" s="128" t="n">
        <v>0</v>
      </c>
      <c r="T1178" s="132" t="n">
        <v>4</v>
      </c>
      <c r="U1178" s="128" t="n">
        <v>4</v>
      </c>
      <c r="V1178" s="128" t="n">
        <v>1</v>
      </c>
      <c r="W1178" s="90" t="n">
        <f aca="false">IFERROR(O1178/V1178,0)</f>
        <v>5000</v>
      </c>
      <c r="X1178" s="91" t="n">
        <f aca="false">O1178/L1178</f>
        <v>1.20860526951898</v>
      </c>
      <c r="Y1178" s="92" t="str">
        <f aca="false">IFERROR(VLOOKUP(E:E,'Item Data Support Sheet'!A:J,6,0),0)</f>
        <v>HMC</v>
      </c>
      <c r="Z1178" s="93" t="n">
        <f aca="false">IFERROR(VLOOKUP(E:E,'Item Data Support Sheet'!A:O,4,0),0)</f>
        <v>8.6</v>
      </c>
      <c r="AA1178" s="93" t="n">
        <f aca="false">IFERROR(((N1178)*(Z1178/1000))+P1178,0)</f>
        <v>43.0688</v>
      </c>
      <c r="AB1178" s="94" t="n">
        <f aca="false">IFERROR((O1178*(Z1178/1000)/(AA1178))," ")</f>
        <v>0.998402555910543</v>
      </c>
      <c r="AC1178" s="95" t="n">
        <f aca="false">IFERROR((T1178)/((T1178)+O1178),0)</f>
        <v>0.000799360511590727</v>
      </c>
      <c r="AD1178" s="96" t="n">
        <f aca="false">IFERROR(Q1178/(Q1178+N1178),0)</f>
        <v>0</v>
      </c>
      <c r="AE1178" s="91" t="n">
        <f aca="false">(N1178-T1178)/N1178</f>
        <v>0.999201277955272</v>
      </c>
      <c r="AF1178" s="97" t="n">
        <f aca="false">BR1178</f>
        <v>0</v>
      </c>
      <c r="AG1178" s="98" t="n">
        <f aca="false">K1178-AF1178</f>
        <v>8</v>
      </c>
      <c r="AH1178" s="99" t="n">
        <f aca="false">IFERROR(AG1178/K1178," ")</f>
        <v>1</v>
      </c>
      <c r="AI1178" s="100" t="n">
        <f aca="false">IFERROR(O1178/K1178,0)</f>
        <v>625</v>
      </c>
      <c r="AJ1178" s="101" t="n">
        <f aca="false">VLOOKUP(D1178,'Standard Cycle time'!C:D,2,0)</f>
        <v>6</v>
      </c>
      <c r="AK1178" s="101" t="n">
        <f aca="false">AG1178*V1178*3600/O1178</f>
        <v>5.76</v>
      </c>
      <c r="AL1178" s="102" t="n">
        <f aca="false">AJ1178/AK1178</f>
        <v>1.04166666666667</v>
      </c>
      <c r="AM1178" s="99" t="n">
        <f aca="false">AE1178*AL1178*AH1178</f>
        <v>1.04083466453674</v>
      </c>
      <c r="AN1178" s="103" t="n">
        <v>1.04083466453674</v>
      </c>
      <c r="AO1178" s="112"/>
      <c r="AP1178" s="105" t="n">
        <v>0</v>
      </c>
      <c r="AQ1178" s="105" t="n">
        <v>0</v>
      </c>
      <c r="AR1178" s="105" t="n">
        <v>0</v>
      </c>
      <c r="AS1178" s="105" t="n">
        <v>0</v>
      </c>
      <c r="AT1178" s="105" t="n">
        <v>0</v>
      </c>
      <c r="AU1178" s="105" t="n">
        <v>0</v>
      </c>
      <c r="AV1178" s="105" t="n">
        <v>0</v>
      </c>
      <c r="AW1178" s="105" t="n">
        <v>0</v>
      </c>
      <c r="AX1178" s="105" t="n">
        <v>0</v>
      </c>
      <c r="AY1178" s="105" t="n">
        <v>0</v>
      </c>
      <c r="AZ1178" s="105" t="n">
        <v>0</v>
      </c>
      <c r="BA1178" s="105" t="n">
        <v>0</v>
      </c>
      <c r="BB1178" s="105" t="n">
        <v>0</v>
      </c>
      <c r="BC1178" s="105" t="n">
        <v>0</v>
      </c>
      <c r="BD1178" s="105" t="n">
        <v>0</v>
      </c>
      <c r="BE1178" s="105" t="n">
        <v>0</v>
      </c>
      <c r="BF1178" s="105" t="n">
        <v>0</v>
      </c>
      <c r="BG1178" s="105" t="n">
        <v>0</v>
      </c>
      <c r="BH1178" s="105" t="n">
        <v>0</v>
      </c>
      <c r="BI1178" s="105" t="n">
        <v>0</v>
      </c>
      <c r="BJ1178" s="105" t="n">
        <v>0</v>
      </c>
      <c r="BK1178" s="105" t="n">
        <v>0</v>
      </c>
      <c r="BL1178" s="105" t="n">
        <v>0</v>
      </c>
      <c r="BM1178" s="105" t="n">
        <v>0</v>
      </c>
      <c r="BN1178" s="105" t="n">
        <v>0</v>
      </c>
      <c r="BO1178" s="105" t="n">
        <v>0</v>
      </c>
      <c r="BP1178" s="105" t="n">
        <v>0</v>
      </c>
      <c r="BQ1178" s="105" t="n">
        <v>0</v>
      </c>
      <c r="BR1178" s="106" t="n">
        <v>0</v>
      </c>
      <c r="BS1178" s="106" t="n">
        <v>0</v>
      </c>
      <c r="BT1178" s="107"/>
      <c r="BU1178" s="107"/>
      <c r="BV1178" s="107"/>
      <c r="BW1178" s="107"/>
      <c r="BX1178" s="107"/>
      <c r="BY1178" s="107"/>
      <c r="BZ1178" s="107"/>
      <c r="CA1178" s="107"/>
      <c r="CB1178" s="107"/>
      <c r="CC1178" s="107"/>
      <c r="CD1178" s="107"/>
      <c r="CE1178" s="107"/>
      <c r="CF1178" s="107"/>
      <c r="CG1178" s="107"/>
      <c r="CH1178" s="107"/>
      <c r="CI1178" s="107"/>
      <c r="CJ1178" s="107"/>
      <c r="CK1178" s="107"/>
      <c r="CL1178" s="107"/>
      <c r="CM1178" s="107"/>
      <c r="CN1178" s="107"/>
      <c r="CO1178" s="107"/>
      <c r="CP1178" s="107"/>
      <c r="CQ1178" s="107"/>
      <c r="CR1178" s="107"/>
      <c r="CS1178" s="107"/>
      <c r="CT1178" s="107"/>
      <c r="CU1178" s="107"/>
      <c r="CV1178" s="107"/>
    </row>
    <row r="1179" customFormat="false" ht="14.9" hidden="false" customHeight="false" outlineLevel="0" collapsed="false">
      <c r="A1179" s="74" t="n">
        <f aca="false">MONTH(B1179)</f>
        <v>11</v>
      </c>
      <c r="B1179" s="135" t="n">
        <v>44511</v>
      </c>
      <c r="C1179" s="128" t="s">
        <v>51</v>
      </c>
      <c r="D1179" s="77" t="str">
        <f aca="false">IFERROR(VLOOKUP(E:E,'Item Data Support Sheet'!A:O,7,0),"")</f>
        <v>NIPPLE PUNCH</v>
      </c>
      <c r="E1179" s="80" t="s">
        <v>834</v>
      </c>
      <c r="F1179" s="122"/>
      <c r="G1179" s="137" t="s">
        <v>54</v>
      </c>
      <c r="H1179" s="79" t="str">
        <f aca="false">IFERROR(VLOOKUP(E:E,'Item Data Support Sheet'!A:O,2,0),"")</f>
        <v>NIPPLE S TYPE Y SIZE PUNCHED</v>
      </c>
      <c r="I1179" s="80" t="s">
        <v>1975</v>
      </c>
      <c r="J1179" s="80" t="s">
        <v>158</v>
      </c>
      <c r="K1179" s="124" t="n">
        <v>8</v>
      </c>
      <c r="L1179" s="124" t="n">
        <v>7000</v>
      </c>
      <c r="M1179" s="83" t="n">
        <v>875</v>
      </c>
      <c r="N1179" s="84" t="n">
        <f aca="false">+O1179+Q1179+T1179+U1179</f>
        <v>6000</v>
      </c>
      <c r="O1179" s="85" t="n">
        <v>6000</v>
      </c>
      <c r="P1179" s="86" t="n">
        <v>0</v>
      </c>
      <c r="Q1179" s="86" t="n">
        <v>0</v>
      </c>
      <c r="R1179" s="132" t="n">
        <v>0</v>
      </c>
      <c r="S1179" s="128" t="n">
        <v>0</v>
      </c>
      <c r="T1179" s="132" t="n">
        <v>0</v>
      </c>
      <c r="U1179" s="128" t="n">
        <v>0</v>
      </c>
      <c r="V1179" s="128" t="n">
        <v>1</v>
      </c>
      <c r="W1179" s="90" t="n">
        <f aca="false">IFERROR(O1179/V1179,0)</f>
        <v>6000</v>
      </c>
      <c r="X1179" s="91" t="n">
        <f aca="false">O1179/L1179</f>
        <v>0.857142857142857</v>
      </c>
      <c r="Y1179" s="92" t="str">
        <f aca="false">IFERROR(VLOOKUP(E:E,'Item Data Support Sheet'!A:J,6,0),0)</f>
        <v>FO018</v>
      </c>
      <c r="Z1179" s="93" t="n">
        <f aca="false">IFERROR(VLOOKUP(E:E,'Item Data Support Sheet'!A:O,4,0),0)</f>
        <v>0</v>
      </c>
      <c r="AA1179" s="93" t="n">
        <f aca="false">IFERROR(((N1179)*(Z1179/1000))+P1179,0)</f>
        <v>0</v>
      </c>
      <c r="AB1179" s="94" t="str">
        <f aca="false">IFERROR((O1179*(Z1179/1000)/(AA1179))," ")</f>
        <v> </v>
      </c>
      <c r="AC1179" s="95" t="n">
        <f aca="false">IFERROR((T1179)/((T1179)+O1179),0)</f>
        <v>0</v>
      </c>
      <c r="AD1179" s="96" t="n">
        <f aca="false">IFERROR(Q1179/(Q1179+N1179),0)</f>
        <v>0</v>
      </c>
      <c r="AE1179" s="91" t="n">
        <f aca="false">(N1179-T1179)/N1179</f>
        <v>1</v>
      </c>
      <c r="AF1179" s="97" t="n">
        <f aca="false">BR1179</f>
        <v>1.66666666666667</v>
      </c>
      <c r="AG1179" s="98" t="n">
        <f aca="false">K1179-AF1179</f>
        <v>6.33333333333333</v>
      </c>
      <c r="AH1179" s="99" t="n">
        <f aca="false">IFERROR(AG1179/K1179," ")</f>
        <v>0.791666666666666</v>
      </c>
      <c r="AI1179" s="100" t="n">
        <f aca="false">IFERROR(O1179/K1179,0)</f>
        <v>750</v>
      </c>
      <c r="AJ1179" s="101" t="n">
        <f aca="false">VLOOKUP(D1179,'Standard Cycle time'!C:D,2,0)</f>
        <v>3.5</v>
      </c>
      <c r="AK1179" s="101" t="n">
        <f aca="false">AG1179*V1179*3600/O1179</f>
        <v>3.8</v>
      </c>
      <c r="AL1179" s="102" t="n">
        <f aca="false">AJ1179/AK1179</f>
        <v>0.921052631578948</v>
      </c>
      <c r="AM1179" s="99" t="n">
        <f aca="false">AE1179*AL1179*AH1179</f>
        <v>0.729166666666667</v>
      </c>
      <c r="AN1179" s="103" t="n">
        <v>0.729166666666667</v>
      </c>
      <c r="AO1179" s="112" t="s">
        <v>1976</v>
      </c>
      <c r="AP1179" s="105" t="n">
        <v>40</v>
      </c>
      <c r="AQ1179" s="105" t="n">
        <v>30</v>
      </c>
      <c r="AR1179" s="105" t="n">
        <v>0</v>
      </c>
      <c r="AS1179" s="105" t="n">
        <v>0</v>
      </c>
      <c r="AT1179" s="105" t="n">
        <v>0</v>
      </c>
      <c r="AU1179" s="105" t="n">
        <v>0</v>
      </c>
      <c r="AV1179" s="105" t="n">
        <v>30</v>
      </c>
      <c r="AW1179" s="105" t="n">
        <v>0</v>
      </c>
      <c r="AX1179" s="105" t="n">
        <v>0</v>
      </c>
      <c r="AY1179" s="105" t="n">
        <v>0</v>
      </c>
      <c r="AZ1179" s="105" t="n">
        <v>0</v>
      </c>
      <c r="BA1179" s="105" t="n">
        <v>0</v>
      </c>
      <c r="BB1179" s="105" t="n">
        <v>0</v>
      </c>
      <c r="BC1179" s="105" t="n">
        <v>0</v>
      </c>
      <c r="BD1179" s="105" t="n">
        <v>0</v>
      </c>
      <c r="BE1179" s="105" t="n">
        <v>0</v>
      </c>
      <c r="BF1179" s="105" t="n">
        <v>0</v>
      </c>
      <c r="BG1179" s="105" t="n">
        <v>0</v>
      </c>
      <c r="BH1179" s="105" t="n">
        <v>0</v>
      </c>
      <c r="BI1179" s="105" t="n">
        <v>0</v>
      </c>
      <c r="BJ1179" s="105" t="n">
        <v>0</v>
      </c>
      <c r="BK1179" s="105" t="n">
        <v>0</v>
      </c>
      <c r="BL1179" s="105" t="n">
        <v>0</v>
      </c>
      <c r="BM1179" s="105" t="n">
        <v>0</v>
      </c>
      <c r="BN1179" s="105" t="n">
        <v>0</v>
      </c>
      <c r="BO1179" s="105" t="n">
        <v>0</v>
      </c>
      <c r="BP1179" s="105" t="n">
        <v>0</v>
      </c>
      <c r="BQ1179" s="105" t="n">
        <v>0</v>
      </c>
      <c r="BR1179" s="106" t="n">
        <v>1.66666666666667</v>
      </c>
      <c r="BS1179" s="106" t="n">
        <v>1.66666666666667</v>
      </c>
      <c r="BT1179" s="107"/>
      <c r="BU1179" s="107"/>
      <c r="BV1179" s="107"/>
      <c r="BW1179" s="107"/>
      <c r="BX1179" s="107"/>
      <c r="BY1179" s="107"/>
      <c r="BZ1179" s="107"/>
      <c r="CA1179" s="107"/>
      <c r="CB1179" s="107"/>
      <c r="CC1179" s="107"/>
      <c r="CD1179" s="107"/>
      <c r="CE1179" s="107"/>
      <c r="CF1179" s="107"/>
      <c r="CG1179" s="107"/>
      <c r="CH1179" s="107"/>
      <c r="CI1179" s="107"/>
      <c r="CJ1179" s="107"/>
      <c r="CK1179" s="107"/>
      <c r="CL1179" s="107"/>
      <c r="CM1179" s="107"/>
      <c r="CN1179" s="107"/>
      <c r="CO1179" s="107"/>
      <c r="CP1179" s="107"/>
      <c r="CQ1179" s="107"/>
      <c r="CR1179" s="107"/>
      <c r="CS1179" s="107"/>
      <c r="CT1179" s="107"/>
      <c r="CU1179" s="107"/>
      <c r="CV1179" s="107"/>
    </row>
    <row r="1180" customFormat="false" ht="14.9" hidden="false" customHeight="false" outlineLevel="0" collapsed="false">
      <c r="A1180" s="74" t="n">
        <f aca="false">MONTH(B1180)</f>
        <v>11</v>
      </c>
      <c r="B1180" s="135" t="n">
        <v>44511</v>
      </c>
      <c r="C1180" s="128" t="s">
        <v>51</v>
      </c>
      <c r="D1180" s="77" t="str">
        <f aca="false">IFERROR(VLOOKUP(E:E,'Item Data Support Sheet'!A:O,7,0),"")</f>
        <v>NIPPLE LASER MARKING</v>
      </c>
      <c r="E1180" s="80" t="s">
        <v>885</v>
      </c>
      <c r="F1180" s="122"/>
      <c r="G1180" s="137" t="s">
        <v>517</v>
      </c>
      <c r="H1180" s="79" t="str">
        <f aca="false">IFERROR(VLOOKUP(E:E,'Item Data Support Sheet'!A:O,2,0),"")</f>
        <v>NIPPLE S TYPE Y SIZE PUNCHED LASER MARKED</v>
      </c>
      <c r="I1180" s="80" t="s">
        <v>1977</v>
      </c>
      <c r="J1180" s="80" t="s">
        <v>158</v>
      </c>
      <c r="K1180" s="124" t="n">
        <v>8</v>
      </c>
      <c r="L1180" s="124" t="n">
        <v>7000</v>
      </c>
      <c r="M1180" s="83" t="n">
        <v>875</v>
      </c>
      <c r="N1180" s="84" t="n">
        <f aca="false">+O1180+Q1180+T1180+U1180</f>
        <v>5000</v>
      </c>
      <c r="O1180" s="85" t="n">
        <v>5000</v>
      </c>
      <c r="P1180" s="86" t="n">
        <v>0</v>
      </c>
      <c r="Q1180" s="86" t="n">
        <v>0</v>
      </c>
      <c r="R1180" s="132" t="n">
        <v>0</v>
      </c>
      <c r="S1180" s="128" t="n">
        <v>0</v>
      </c>
      <c r="T1180" s="132" t="n">
        <v>0</v>
      </c>
      <c r="U1180" s="128" t="n">
        <v>0</v>
      </c>
      <c r="V1180" s="128" t="n">
        <v>1</v>
      </c>
      <c r="W1180" s="90" t="n">
        <f aca="false">IFERROR(O1180/V1180,0)</f>
        <v>5000</v>
      </c>
      <c r="X1180" s="91" t="n">
        <f aca="false">O1180/L1180</f>
        <v>0.714285714285714</v>
      </c>
      <c r="Y1180" s="92" t="str">
        <f aca="false">IFERROR(VLOOKUP(E:E,'Item Data Support Sheet'!A:J,6,0),0)</f>
        <v>FO022</v>
      </c>
      <c r="Z1180" s="93" t="n">
        <f aca="false">IFERROR(VLOOKUP(E:E,'Item Data Support Sheet'!A:O,4,0),0)</f>
        <v>0</v>
      </c>
      <c r="AA1180" s="93" t="n">
        <f aca="false">IFERROR(((N1180)*(Z1180/1000))+P1180,0)</f>
        <v>0</v>
      </c>
      <c r="AB1180" s="94" t="str">
        <f aca="false">IFERROR((O1180*(Z1180/1000)/(AA1180))," ")</f>
        <v> </v>
      </c>
      <c r="AC1180" s="95" t="n">
        <f aca="false">IFERROR((T1180)/((T1180)+O1180),0)</f>
        <v>0</v>
      </c>
      <c r="AD1180" s="96" t="n">
        <f aca="false">IFERROR(Q1180/(Q1180+N1180),0)</f>
        <v>0</v>
      </c>
      <c r="AE1180" s="91" t="n">
        <f aca="false">(N1180-T1180)/N1180</f>
        <v>1</v>
      </c>
      <c r="AF1180" s="97" t="n">
        <f aca="false">BR1180</f>
        <v>0.666666666666667</v>
      </c>
      <c r="AG1180" s="98" t="n">
        <f aca="false">K1180-AF1180</f>
        <v>7.33333333333333</v>
      </c>
      <c r="AH1180" s="99" t="n">
        <f aca="false">IFERROR(AG1180/K1180," ")</f>
        <v>0.916666666666667</v>
      </c>
      <c r="AI1180" s="100" t="n">
        <f aca="false">IFERROR(O1180/K1180,0)</f>
        <v>625</v>
      </c>
      <c r="AJ1180" s="101" t="n">
        <f aca="false">VLOOKUP(D1180,'Standard Cycle time'!C:D,2,0)</f>
        <v>3.5</v>
      </c>
      <c r="AK1180" s="101" t="n">
        <f aca="false">AG1180*V1180*3600/O1180</f>
        <v>5.28</v>
      </c>
      <c r="AL1180" s="102" t="n">
        <f aca="false">AJ1180/AK1180</f>
        <v>0.662878787878788</v>
      </c>
      <c r="AM1180" s="99" t="n">
        <f aca="false">AE1180*AL1180*AH1180</f>
        <v>0.607638888888889</v>
      </c>
      <c r="AN1180" s="103" t="n">
        <v>0.607638888888889</v>
      </c>
      <c r="AO1180" s="112" t="s">
        <v>755</v>
      </c>
      <c r="AP1180" s="105" t="n">
        <v>40</v>
      </c>
      <c r="AQ1180" s="105" t="n">
        <v>0</v>
      </c>
      <c r="AR1180" s="105" t="n">
        <v>0</v>
      </c>
      <c r="AS1180" s="105" t="n">
        <v>0</v>
      </c>
      <c r="AT1180" s="105" t="n">
        <v>0</v>
      </c>
      <c r="AU1180" s="105" t="n">
        <v>0</v>
      </c>
      <c r="AV1180" s="105" t="n">
        <v>0</v>
      </c>
      <c r="AW1180" s="105" t="n">
        <v>0</v>
      </c>
      <c r="AX1180" s="105" t="n">
        <v>0</v>
      </c>
      <c r="AY1180" s="105" t="n">
        <v>0</v>
      </c>
      <c r="AZ1180" s="105" t="n">
        <v>0</v>
      </c>
      <c r="BA1180" s="105" t="n">
        <v>0</v>
      </c>
      <c r="BB1180" s="105" t="n">
        <v>0</v>
      </c>
      <c r="BC1180" s="105" t="n">
        <v>0</v>
      </c>
      <c r="BD1180" s="105" t="n">
        <v>0</v>
      </c>
      <c r="BE1180" s="105" t="n">
        <v>0</v>
      </c>
      <c r="BF1180" s="105" t="n">
        <v>0</v>
      </c>
      <c r="BG1180" s="105" t="n">
        <v>0</v>
      </c>
      <c r="BH1180" s="105" t="n">
        <v>0</v>
      </c>
      <c r="BI1180" s="105" t="n">
        <v>0</v>
      </c>
      <c r="BJ1180" s="105" t="n">
        <v>0</v>
      </c>
      <c r="BK1180" s="105" t="n">
        <v>0</v>
      </c>
      <c r="BL1180" s="105" t="n">
        <v>0</v>
      </c>
      <c r="BM1180" s="105" t="n">
        <v>0</v>
      </c>
      <c r="BN1180" s="105" t="n">
        <v>0</v>
      </c>
      <c r="BO1180" s="105" t="n">
        <v>0</v>
      </c>
      <c r="BP1180" s="105" t="n">
        <v>0</v>
      </c>
      <c r="BQ1180" s="105" t="n">
        <v>0</v>
      </c>
      <c r="BR1180" s="106" t="n">
        <v>0.666666666666667</v>
      </c>
      <c r="BS1180" s="106" t="n">
        <v>0.666666666666667</v>
      </c>
      <c r="BT1180" s="107"/>
      <c r="BU1180" s="107"/>
      <c r="BV1180" s="107"/>
      <c r="BW1180" s="107"/>
      <c r="BX1180" s="107"/>
      <c r="BY1180" s="107"/>
      <c r="BZ1180" s="107"/>
      <c r="CA1180" s="107"/>
      <c r="CB1180" s="107"/>
      <c r="CC1180" s="107"/>
      <c r="CD1180" s="107"/>
      <c r="CE1180" s="107"/>
      <c r="CF1180" s="107"/>
      <c r="CG1180" s="107"/>
      <c r="CH1180" s="107"/>
      <c r="CI1180" s="107"/>
      <c r="CJ1180" s="107"/>
      <c r="CK1180" s="107"/>
      <c r="CL1180" s="107"/>
      <c r="CM1180" s="107"/>
      <c r="CN1180" s="107"/>
      <c r="CO1180" s="107"/>
      <c r="CP1180" s="107"/>
      <c r="CQ1180" s="107"/>
      <c r="CR1180" s="107"/>
      <c r="CS1180" s="107"/>
      <c r="CT1180" s="107"/>
      <c r="CU1180" s="107"/>
      <c r="CV1180" s="107"/>
    </row>
    <row r="1181" customFormat="false" ht="14.9" hidden="false" customHeight="false" outlineLevel="0" collapsed="false">
      <c r="A1181" s="74" t="n">
        <f aca="false">MONTH(B1181)</f>
        <v>11</v>
      </c>
      <c r="B1181" s="135" t="n">
        <v>44511</v>
      </c>
      <c r="C1181" s="128" t="s">
        <v>51</v>
      </c>
      <c r="D1181" s="77" t="str">
        <f aca="false">IFERROR(VLOOKUP(E:E,'Item Data Support Sheet'!A:O,7,0),"")</f>
        <v>BOTTLE PRINTED</v>
      </c>
      <c r="E1181" s="80" t="s">
        <v>320</v>
      </c>
      <c r="F1181" s="122"/>
      <c r="G1181" s="137"/>
      <c r="H1181" s="79" t="str">
        <f aca="false">IFERROR(VLOOKUP(E:E,'Item Data Support Sheet'!A:O,2,0),"")</f>
        <v>KPP 200 ML BOTTLE PRINTED</v>
      </c>
      <c r="I1181" s="80" t="s">
        <v>1978</v>
      </c>
      <c r="J1181" s="80" t="s">
        <v>158</v>
      </c>
      <c r="K1181" s="124" t="n">
        <v>8</v>
      </c>
      <c r="L1181" s="124" t="n">
        <v>5100</v>
      </c>
      <c r="M1181" s="83" t="n">
        <v>637.5</v>
      </c>
      <c r="N1181" s="84" t="n">
        <f aca="false">+O1181+Q1181+T1181+U1181</f>
        <v>4996</v>
      </c>
      <c r="O1181" s="85" t="n">
        <v>4968</v>
      </c>
      <c r="P1181" s="86" t="n">
        <v>0</v>
      </c>
      <c r="Q1181" s="86" t="n">
        <v>0</v>
      </c>
      <c r="R1181" s="132" t="n">
        <v>41</v>
      </c>
      <c r="S1181" s="128" t="n">
        <v>0</v>
      </c>
      <c r="T1181" s="132" t="n">
        <v>28</v>
      </c>
      <c r="U1181" s="128" t="n">
        <v>0</v>
      </c>
      <c r="V1181" s="128" t="n">
        <v>5</v>
      </c>
      <c r="W1181" s="90" t="n">
        <f aca="false">IFERROR(O1181/V1181,0)</f>
        <v>993.6</v>
      </c>
      <c r="X1181" s="91" t="n">
        <f aca="false">O1181/L1181</f>
        <v>0.974117647058823</v>
      </c>
      <c r="Y1181" s="92" t="str">
        <f aca="false">IFERROR(VLOOKUP(E:E,'Item Data Support Sheet'!A:J,6,0),0)</f>
        <v>FO002</v>
      </c>
      <c r="Z1181" s="93" t="n">
        <f aca="false">IFERROR(VLOOKUP(E:E,'Item Data Support Sheet'!A:O,4,0),0)</f>
        <v>0</v>
      </c>
      <c r="AA1181" s="93" t="n">
        <f aca="false">IFERROR(((N1181)*(Z1181/1000))+P1181,0)</f>
        <v>0</v>
      </c>
      <c r="AB1181" s="94" t="str">
        <f aca="false">IFERROR((O1181*(Z1181/1000)/(AA1181))," ")</f>
        <v> </v>
      </c>
      <c r="AC1181" s="95" t="n">
        <f aca="false">IFERROR((T1181)/((T1181)+O1181),0)</f>
        <v>0.0056044835868695</v>
      </c>
      <c r="AD1181" s="96" t="n">
        <f aca="false">IFERROR(Q1181/(Q1181+N1181),0)</f>
        <v>0</v>
      </c>
      <c r="AE1181" s="91" t="n">
        <f aca="false">(N1181-T1181)/N1181</f>
        <v>0.994395516413131</v>
      </c>
      <c r="AF1181" s="97" t="n">
        <f aca="false">BR1181</f>
        <v>0.666666666666667</v>
      </c>
      <c r="AG1181" s="98" t="n">
        <f aca="false">K1181-AF1181</f>
        <v>7.33333333333333</v>
      </c>
      <c r="AH1181" s="99" t="n">
        <f aca="false">IFERROR(AG1181/K1181," ")</f>
        <v>0.916666666666667</v>
      </c>
      <c r="AI1181" s="100" t="n">
        <f aca="false">IFERROR(O1181/K1181,0)</f>
        <v>621</v>
      </c>
      <c r="AJ1181" s="101" t="n">
        <f aca="false">VLOOKUP(D1181,'Standard Cycle time'!C:D,2,0)</f>
        <v>32.4</v>
      </c>
      <c r="AK1181" s="101" t="n">
        <f aca="false">AG1181*V1181*3600/O1181</f>
        <v>26.5700483091787</v>
      </c>
      <c r="AL1181" s="102" t="n">
        <f aca="false">AJ1181/AK1181</f>
        <v>1.21941818181818</v>
      </c>
      <c r="AM1181" s="99" t="n">
        <f aca="false">AE1181*AL1181*AH1181</f>
        <v>1.1115353082466</v>
      </c>
      <c r="AN1181" s="103" t="n">
        <v>1.1115353082466</v>
      </c>
      <c r="AO1181" s="112"/>
      <c r="AP1181" s="105" t="n">
        <v>40</v>
      </c>
      <c r="AQ1181" s="105" t="n">
        <v>0</v>
      </c>
      <c r="AR1181" s="105" t="n">
        <v>0</v>
      </c>
      <c r="AS1181" s="105" t="n">
        <v>0</v>
      </c>
      <c r="AT1181" s="105" t="n">
        <v>0</v>
      </c>
      <c r="AU1181" s="105" t="n">
        <v>0</v>
      </c>
      <c r="AV1181" s="105" t="n">
        <v>0</v>
      </c>
      <c r="AW1181" s="105" t="n">
        <v>0</v>
      </c>
      <c r="AX1181" s="105" t="n">
        <v>0</v>
      </c>
      <c r="AY1181" s="105" t="n">
        <v>0</v>
      </c>
      <c r="AZ1181" s="105" t="n">
        <v>0</v>
      </c>
      <c r="BA1181" s="105" t="n">
        <v>0</v>
      </c>
      <c r="BB1181" s="105" t="n">
        <v>0</v>
      </c>
      <c r="BC1181" s="105" t="n">
        <v>0</v>
      </c>
      <c r="BD1181" s="105" t="n">
        <v>0</v>
      </c>
      <c r="BE1181" s="105" t="n">
        <v>0</v>
      </c>
      <c r="BF1181" s="105" t="n">
        <v>0</v>
      </c>
      <c r="BG1181" s="105" t="n">
        <v>0</v>
      </c>
      <c r="BH1181" s="105" t="n">
        <v>0</v>
      </c>
      <c r="BI1181" s="105" t="n">
        <v>0</v>
      </c>
      <c r="BJ1181" s="105" t="n">
        <v>0</v>
      </c>
      <c r="BK1181" s="105" t="n">
        <v>0</v>
      </c>
      <c r="BL1181" s="105" t="n">
        <v>0</v>
      </c>
      <c r="BM1181" s="105" t="n">
        <v>0</v>
      </c>
      <c r="BN1181" s="105" t="n">
        <v>0</v>
      </c>
      <c r="BO1181" s="105" t="n">
        <v>0</v>
      </c>
      <c r="BP1181" s="105" t="n">
        <v>0</v>
      </c>
      <c r="BQ1181" s="105" t="n">
        <v>0</v>
      </c>
      <c r="BR1181" s="106" t="n">
        <v>0.666666666666667</v>
      </c>
      <c r="BS1181" s="106" t="n">
        <v>0.666666666666667</v>
      </c>
      <c r="BT1181" s="107"/>
      <c r="BU1181" s="107"/>
      <c r="BV1181" s="107"/>
      <c r="BW1181" s="107"/>
      <c r="BX1181" s="107"/>
      <c r="BY1181" s="107"/>
      <c r="BZ1181" s="107"/>
      <c r="CA1181" s="107"/>
      <c r="CB1181" s="107"/>
      <c r="CC1181" s="107"/>
      <c r="CD1181" s="107"/>
      <c r="CE1181" s="107"/>
      <c r="CF1181" s="107"/>
      <c r="CG1181" s="107"/>
      <c r="CH1181" s="107"/>
      <c r="CI1181" s="107"/>
      <c r="CJ1181" s="107"/>
      <c r="CK1181" s="107"/>
      <c r="CL1181" s="107"/>
      <c r="CM1181" s="107"/>
      <c r="CN1181" s="107"/>
      <c r="CO1181" s="107"/>
      <c r="CP1181" s="107"/>
      <c r="CQ1181" s="107"/>
      <c r="CR1181" s="107"/>
      <c r="CS1181" s="107"/>
      <c r="CT1181" s="107"/>
      <c r="CU1181" s="107"/>
      <c r="CV1181" s="107"/>
    </row>
    <row r="1182" customFormat="false" ht="14.9" hidden="false" customHeight="false" outlineLevel="0" collapsed="false">
      <c r="A1182" s="74" t="n">
        <f aca="false">MONTH(B1182)</f>
        <v>11</v>
      </c>
      <c r="B1182" s="135" t="n">
        <v>44511</v>
      </c>
      <c r="C1182" s="128" t="s">
        <v>63</v>
      </c>
      <c r="D1182" s="77" t="str">
        <f aca="false">IFERROR(VLOOKUP(E:E,'Item Data Support Sheet'!A:O,7,0),"")</f>
        <v>NIPPLE PUNCH INSPECTED</v>
      </c>
      <c r="E1182" s="80" t="s">
        <v>901</v>
      </c>
      <c r="F1182" s="122"/>
      <c r="G1182" s="137"/>
      <c r="H1182" s="79" t="str">
        <f aca="false">IFERROR(VLOOKUP(E:E,'Item Data Support Sheet'!A:O,2,0),"")</f>
        <v>NIPPLE S TYPE Y SIZE PUNCHED INSPECTED</v>
      </c>
      <c r="I1182" s="80" t="s">
        <v>1979</v>
      </c>
      <c r="J1182" s="80" t="s">
        <v>155</v>
      </c>
      <c r="K1182" s="124" t="n">
        <v>8</v>
      </c>
      <c r="L1182" s="124" t="n">
        <v>14000</v>
      </c>
      <c r="M1182" s="83" t="n">
        <v>1750</v>
      </c>
      <c r="N1182" s="84" t="n">
        <f aca="false">+O1182+Q1182+T1182+U1182</f>
        <v>7000</v>
      </c>
      <c r="O1182" s="85" t="n">
        <v>6967</v>
      </c>
      <c r="P1182" s="86" t="n">
        <v>0</v>
      </c>
      <c r="Q1182" s="86" t="n">
        <v>0</v>
      </c>
      <c r="R1182" s="132" t="n">
        <v>0</v>
      </c>
      <c r="S1182" s="128" t="n">
        <v>0</v>
      </c>
      <c r="T1182" s="132" t="n">
        <v>33</v>
      </c>
      <c r="U1182" s="128" t="n">
        <v>0</v>
      </c>
      <c r="V1182" s="128" t="n">
        <v>1</v>
      </c>
      <c r="W1182" s="90" t="n">
        <f aca="false">IFERROR(O1182/V1182,0)</f>
        <v>6967</v>
      </c>
      <c r="X1182" s="91" t="n">
        <f aca="false">O1182/L1182</f>
        <v>0.497642857142857</v>
      </c>
      <c r="Y1182" s="92" t="str">
        <f aca="false">IFERROR(VLOOKUP(E:E,'Item Data Support Sheet'!A:J,6,0),0)</f>
        <v>FO107</v>
      </c>
      <c r="Z1182" s="93" t="n">
        <f aca="false">IFERROR(VLOOKUP(E:E,'Item Data Support Sheet'!A:O,4,0),0)</f>
        <v>0</v>
      </c>
      <c r="AA1182" s="93" t="n">
        <f aca="false">IFERROR(((N1182)*(Z1182/1000))+P1182,0)</f>
        <v>0</v>
      </c>
      <c r="AB1182" s="94" t="str">
        <f aca="false">IFERROR((O1182*(Z1182/1000)/(AA1182))," ")</f>
        <v> </v>
      </c>
      <c r="AC1182" s="95" t="n">
        <f aca="false">IFERROR((T1182)/((T1182)+O1182),0)</f>
        <v>0.00471428571428571</v>
      </c>
      <c r="AD1182" s="96" t="n">
        <f aca="false">IFERROR(Q1182/(Q1182+N1182),0)</f>
        <v>0</v>
      </c>
      <c r="AE1182" s="91" t="n">
        <f aca="false">(N1182-T1182)/N1182</f>
        <v>0.995285714285714</v>
      </c>
      <c r="AF1182" s="97" t="n">
        <f aca="false">BR1182</f>
        <v>0.833333333333333</v>
      </c>
      <c r="AG1182" s="98" t="n">
        <f aca="false">K1182-AF1182</f>
        <v>7.16666666666667</v>
      </c>
      <c r="AH1182" s="99" t="n">
        <f aca="false">IFERROR(AG1182/K1182," ")</f>
        <v>0.895833333333333</v>
      </c>
      <c r="AI1182" s="100" t="n">
        <f aca="false">IFERROR(O1182/K1182,0)</f>
        <v>870.875</v>
      </c>
      <c r="AJ1182" s="101" t="n">
        <f aca="false">VLOOKUP(D1182,'Standard Cycle time'!C:D,2,0)</f>
        <v>4</v>
      </c>
      <c r="AK1182" s="101" t="n">
        <f aca="false">AG1182*V1182*3600/O1182</f>
        <v>3.70317209702885</v>
      </c>
      <c r="AL1182" s="102" t="n">
        <f aca="false">AJ1182/AK1182</f>
        <v>1.08015503875969</v>
      </c>
      <c r="AM1182" s="99" t="n">
        <f aca="false">AE1182*AL1182*AH1182</f>
        <v>0.963077162698413</v>
      </c>
      <c r="AN1182" s="103" t="n">
        <v>0.963077162698413</v>
      </c>
      <c r="AO1182" s="112"/>
      <c r="AP1182" s="105" t="n">
        <v>50</v>
      </c>
      <c r="AQ1182" s="105" t="n">
        <v>0</v>
      </c>
      <c r="AR1182" s="105" t="n">
        <v>0</v>
      </c>
      <c r="AS1182" s="105" t="n">
        <v>0</v>
      </c>
      <c r="AT1182" s="105" t="n">
        <v>0</v>
      </c>
      <c r="AU1182" s="105" t="n">
        <v>0</v>
      </c>
      <c r="AV1182" s="105" t="n">
        <v>0</v>
      </c>
      <c r="AW1182" s="105" t="n">
        <v>0</v>
      </c>
      <c r="AX1182" s="105" t="n">
        <v>0</v>
      </c>
      <c r="AY1182" s="105" t="n">
        <v>0</v>
      </c>
      <c r="AZ1182" s="105" t="n">
        <v>0</v>
      </c>
      <c r="BA1182" s="105" t="n">
        <v>0</v>
      </c>
      <c r="BB1182" s="105" t="n">
        <v>0</v>
      </c>
      <c r="BC1182" s="105" t="n">
        <v>0</v>
      </c>
      <c r="BD1182" s="105" t="n">
        <v>0</v>
      </c>
      <c r="BE1182" s="105" t="n">
        <v>0</v>
      </c>
      <c r="BF1182" s="105" t="n">
        <v>0</v>
      </c>
      <c r="BG1182" s="105" t="n">
        <v>0</v>
      </c>
      <c r="BH1182" s="105" t="n">
        <v>0</v>
      </c>
      <c r="BI1182" s="105" t="n">
        <v>0</v>
      </c>
      <c r="BJ1182" s="105" t="n">
        <v>0</v>
      </c>
      <c r="BK1182" s="105" t="n">
        <v>0</v>
      </c>
      <c r="BL1182" s="105" t="n">
        <v>0</v>
      </c>
      <c r="BM1182" s="105" t="n">
        <v>0</v>
      </c>
      <c r="BN1182" s="105" t="n">
        <v>0</v>
      </c>
      <c r="BO1182" s="105" t="n">
        <v>0</v>
      </c>
      <c r="BP1182" s="105" t="n">
        <v>0</v>
      </c>
      <c r="BQ1182" s="105" t="n">
        <v>0</v>
      </c>
      <c r="BR1182" s="106" t="n">
        <v>0.833333333333333</v>
      </c>
      <c r="BS1182" s="106" t="n">
        <v>0.833333333333333</v>
      </c>
      <c r="BT1182" s="107"/>
      <c r="BU1182" s="107"/>
      <c r="BV1182" s="107"/>
      <c r="BW1182" s="107"/>
      <c r="BX1182" s="107"/>
      <c r="BY1182" s="107"/>
      <c r="BZ1182" s="107"/>
      <c r="CA1182" s="107"/>
      <c r="CB1182" s="107"/>
      <c r="CC1182" s="107"/>
      <c r="CD1182" s="107"/>
      <c r="CE1182" s="107"/>
      <c r="CF1182" s="107"/>
      <c r="CG1182" s="107"/>
      <c r="CH1182" s="107"/>
      <c r="CI1182" s="107"/>
      <c r="CJ1182" s="107"/>
      <c r="CK1182" s="107"/>
      <c r="CL1182" s="107"/>
      <c r="CM1182" s="107"/>
      <c r="CN1182" s="107"/>
      <c r="CO1182" s="107"/>
      <c r="CP1182" s="107"/>
      <c r="CQ1182" s="107"/>
      <c r="CR1182" s="107"/>
      <c r="CS1182" s="107"/>
      <c r="CT1182" s="107"/>
      <c r="CU1182" s="107"/>
      <c r="CV1182" s="107"/>
    </row>
    <row r="1183" customFormat="false" ht="14.9" hidden="false" customHeight="false" outlineLevel="0" collapsed="false">
      <c r="A1183" s="74" t="n">
        <f aca="false">MONTH(B1183)</f>
        <v>11</v>
      </c>
      <c r="B1183" s="135" t="n">
        <v>44511</v>
      </c>
      <c r="C1183" s="128" t="s">
        <v>70</v>
      </c>
      <c r="D1183" s="77" t="str">
        <f aca="false">IFERROR(VLOOKUP(E:E,'Item Data Support Sheet'!A:O,7,0),"")</f>
        <v>HOOD MOLDED</v>
      </c>
      <c r="E1183" s="80" t="s">
        <v>529</v>
      </c>
      <c r="F1183" s="122"/>
      <c r="G1183" s="137" t="s">
        <v>740</v>
      </c>
      <c r="H1183" s="79" t="str">
        <f aca="false">IFERROR(VLOOKUP(E:E,'Item Data Support Sheet'!A:O,2,0),"")</f>
        <v>HOOD S TYPE MOLDED</v>
      </c>
      <c r="I1183" s="80" t="s">
        <v>1980</v>
      </c>
      <c r="J1183" s="80" t="s">
        <v>155</v>
      </c>
      <c r="K1183" s="124" t="n">
        <v>8</v>
      </c>
      <c r="L1183" s="124" t="n">
        <v>4137</v>
      </c>
      <c r="M1183" s="83" t="n">
        <v>517.125</v>
      </c>
      <c r="N1183" s="84" t="n">
        <f aca="false">+O1183+Q1183+T1183+U1183</f>
        <v>5008</v>
      </c>
      <c r="O1183" s="85" t="n">
        <v>5000</v>
      </c>
      <c r="P1183" s="86" t="n">
        <v>0</v>
      </c>
      <c r="Q1183" s="86" t="n">
        <v>4</v>
      </c>
      <c r="R1183" s="132" t="n">
        <v>0</v>
      </c>
      <c r="S1183" s="128" t="n">
        <v>0</v>
      </c>
      <c r="T1183" s="132" t="n">
        <v>4</v>
      </c>
      <c r="U1183" s="128" t="n">
        <v>0</v>
      </c>
      <c r="V1183" s="128" t="n">
        <v>1</v>
      </c>
      <c r="W1183" s="90" t="n">
        <f aca="false">IFERROR(O1183/V1183,0)</f>
        <v>5000</v>
      </c>
      <c r="X1183" s="91" t="n">
        <f aca="false">O1183/L1183</f>
        <v>1.20860526951898</v>
      </c>
      <c r="Y1183" s="92" t="str">
        <f aca="false">IFERROR(VLOOKUP(E:E,'Item Data Support Sheet'!A:J,6,0),0)</f>
        <v>HMC</v>
      </c>
      <c r="Z1183" s="93" t="n">
        <f aca="false">IFERROR(VLOOKUP(E:E,'Item Data Support Sheet'!A:O,4,0),0)</f>
        <v>8.6</v>
      </c>
      <c r="AA1183" s="93" t="n">
        <f aca="false">IFERROR(((N1183)*(Z1183/1000))+P1183,0)</f>
        <v>43.0688</v>
      </c>
      <c r="AB1183" s="94" t="n">
        <f aca="false">IFERROR((O1183*(Z1183/1000)/(AA1183))," ")</f>
        <v>0.998402555910543</v>
      </c>
      <c r="AC1183" s="95" t="n">
        <f aca="false">IFERROR((T1183)/((T1183)+O1183),0)</f>
        <v>0.000799360511590727</v>
      </c>
      <c r="AD1183" s="96" t="n">
        <f aca="false">IFERROR(Q1183/(Q1183+N1183),0)</f>
        <v>0.000798084596967279</v>
      </c>
      <c r="AE1183" s="91" t="n">
        <f aca="false">(N1183-T1183)/N1183</f>
        <v>0.999201277955272</v>
      </c>
      <c r="AF1183" s="97" t="n">
        <f aca="false">BR1183</f>
        <v>0</v>
      </c>
      <c r="AG1183" s="98" t="n">
        <f aca="false">K1183-AF1183</f>
        <v>8</v>
      </c>
      <c r="AH1183" s="99" t="n">
        <f aca="false">IFERROR(AG1183/K1183," ")</f>
        <v>1</v>
      </c>
      <c r="AI1183" s="100" t="n">
        <f aca="false">IFERROR(O1183/K1183,0)</f>
        <v>625</v>
      </c>
      <c r="AJ1183" s="101" t="n">
        <f aca="false">VLOOKUP(D1183,'Standard Cycle time'!C:D,2,0)</f>
        <v>6</v>
      </c>
      <c r="AK1183" s="101" t="n">
        <f aca="false">AG1183*V1183*3600/O1183</f>
        <v>5.76</v>
      </c>
      <c r="AL1183" s="102" t="n">
        <f aca="false">AJ1183/AK1183</f>
        <v>1.04166666666667</v>
      </c>
      <c r="AM1183" s="99" t="n">
        <f aca="false">AE1183*AL1183*AH1183</f>
        <v>1.04083466453674</v>
      </c>
      <c r="AN1183" s="103" t="n">
        <v>1.04083466453674</v>
      </c>
      <c r="AO1183" s="112"/>
      <c r="AP1183" s="105" t="n">
        <v>0</v>
      </c>
      <c r="AQ1183" s="105" t="n">
        <v>0</v>
      </c>
      <c r="AR1183" s="105" t="n">
        <v>0</v>
      </c>
      <c r="AS1183" s="105" t="n">
        <v>0</v>
      </c>
      <c r="AT1183" s="105" t="n">
        <v>0</v>
      </c>
      <c r="AU1183" s="105" t="n">
        <v>0</v>
      </c>
      <c r="AV1183" s="105" t="n">
        <v>0</v>
      </c>
      <c r="AW1183" s="105" t="n">
        <v>0</v>
      </c>
      <c r="AX1183" s="105" t="n">
        <v>0</v>
      </c>
      <c r="AY1183" s="105" t="n">
        <v>0</v>
      </c>
      <c r="AZ1183" s="105" t="n">
        <v>0</v>
      </c>
      <c r="BA1183" s="105" t="n">
        <v>0</v>
      </c>
      <c r="BB1183" s="105" t="n">
        <v>0</v>
      </c>
      <c r="BC1183" s="105" t="n">
        <v>0</v>
      </c>
      <c r="BD1183" s="105" t="n">
        <v>0</v>
      </c>
      <c r="BE1183" s="105" t="n">
        <v>0</v>
      </c>
      <c r="BF1183" s="105" t="n">
        <v>0</v>
      </c>
      <c r="BG1183" s="105" t="n">
        <v>0</v>
      </c>
      <c r="BH1183" s="105" t="n">
        <v>0</v>
      </c>
      <c r="BI1183" s="105" t="n">
        <v>0</v>
      </c>
      <c r="BJ1183" s="105" t="n">
        <v>0</v>
      </c>
      <c r="BK1183" s="105" t="n">
        <v>0</v>
      </c>
      <c r="BL1183" s="105" t="n">
        <v>0</v>
      </c>
      <c r="BM1183" s="105" t="n">
        <v>0</v>
      </c>
      <c r="BN1183" s="105" t="n">
        <v>0</v>
      </c>
      <c r="BO1183" s="105" t="n">
        <v>0</v>
      </c>
      <c r="BP1183" s="105" t="n">
        <v>0</v>
      </c>
      <c r="BQ1183" s="105" t="n">
        <v>0</v>
      </c>
      <c r="BR1183" s="106" t="n">
        <v>0</v>
      </c>
      <c r="BS1183" s="106" t="n">
        <v>0</v>
      </c>
      <c r="BT1183" s="107"/>
      <c r="BU1183" s="107"/>
      <c r="BV1183" s="107"/>
      <c r="BW1183" s="107"/>
      <c r="BX1183" s="107"/>
      <c r="BY1183" s="107"/>
      <c r="BZ1183" s="107"/>
      <c r="CA1183" s="107"/>
      <c r="CB1183" s="107"/>
      <c r="CC1183" s="107"/>
      <c r="CD1183" s="107"/>
      <c r="CE1183" s="107"/>
      <c r="CF1183" s="107"/>
      <c r="CG1183" s="107"/>
      <c r="CH1183" s="107"/>
      <c r="CI1183" s="107"/>
      <c r="CJ1183" s="107"/>
      <c r="CK1183" s="107"/>
      <c r="CL1183" s="107"/>
      <c r="CM1183" s="107"/>
      <c r="CN1183" s="107"/>
      <c r="CO1183" s="107"/>
      <c r="CP1183" s="107"/>
      <c r="CQ1183" s="107"/>
      <c r="CR1183" s="107"/>
      <c r="CS1183" s="107"/>
      <c r="CT1183" s="107"/>
      <c r="CU1183" s="107"/>
      <c r="CV1183" s="107"/>
    </row>
    <row r="1184" customFormat="false" ht="14.9" hidden="false" customHeight="false" outlineLevel="0" collapsed="false">
      <c r="A1184" s="74" t="n">
        <f aca="false">MONTH(B1184)</f>
        <v>11</v>
      </c>
      <c r="B1184" s="135" t="n">
        <v>44511</v>
      </c>
      <c r="C1184" s="128" t="s">
        <v>70</v>
      </c>
      <c r="D1184" s="77" t="str">
        <f aca="false">IFERROR(VLOOKUP(E:E,'Item Data Support Sheet'!A:O,7,0),"")</f>
        <v>NIPPLE MOLDED</v>
      </c>
      <c r="E1184" s="80" t="s">
        <v>809</v>
      </c>
      <c r="F1184" s="122" t="s">
        <v>137</v>
      </c>
      <c r="G1184" s="137" t="s">
        <v>138</v>
      </c>
      <c r="H1184" s="79" t="str">
        <f aca="false">IFERROR(VLOOKUP(E:E,'Item Data Support Sheet'!A:O,2,0),"")</f>
        <v>NIPPLE S TYPE Y SIZE INJECTION</v>
      </c>
      <c r="I1184" s="80" t="s">
        <v>1981</v>
      </c>
      <c r="J1184" s="80" t="s">
        <v>155</v>
      </c>
      <c r="K1184" s="124" t="n">
        <v>8</v>
      </c>
      <c r="L1184" s="124" t="n">
        <v>4815</v>
      </c>
      <c r="M1184" s="83" t="n">
        <v>601.875</v>
      </c>
      <c r="N1184" s="84" t="n">
        <f aca="false">+O1184+Q1184+T1184+U1184</f>
        <v>5110</v>
      </c>
      <c r="O1184" s="85" t="n">
        <v>5000</v>
      </c>
      <c r="P1184" s="86" t="n">
        <v>0</v>
      </c>
      <c r="Q1184" s="86" t="n">
        <v>70</v>
      </c>
      <c r="R1184" s="132" t="n">
        <v>0</v>
      </c>
      <c r="S1184" s="128" t="n">
        <v>0</v>
      </c>
      <c r="T1184" s="132" t="n">
        <v>40</v>
      </c>
      <c r="U1184" s="128" t="n">
        <v>0</v>
      </c>
      <c r="V1184" s="128" t="n">
        <v>1</v>
      </c>
      <c r="W1184" s="90" t="n">
        <f aca="false">IFERROR(O1184/V1184,0)</f>
        <v>5000</v>
      </c>
      <c r="X1184" s="91" t="n">
        <f aca="false">O1184/L1184</f>
        <v>1.03842159916926</v>
      </c>
      <c r="Y1184" s="92" t="str">
        <f aca="false">IFERROR(VLOOKUP(E:E,'Item Data Support Sheet'!A:J,6,0),0)</f>
        <v>Silicon</v>
      </c>
      <c r="Z1184" s="93" t="n">
        <f aca="false">IFERROR(VLOOKUP(E:E,'Item Data Support Sheet'!A:O,4,0),0)</f>
        <v>6.8</v>
      </c>
      <c r="AA1184" s="93" t="n">
        <f aca="false">IFERROR(((N1184)*(Z1184/1000))+P1184,0)</f>
        <v>34.748</v>
      </c>
      <c r="AB1184" s="94" t="n">
        <f aca="false">IFERROR((O1184*(Z1184/1000)/(AA1184))," ")</f>
        <v>0.978473581213307</v>
      </c>
      <c r="AC1184" s="95" t="n">
        <f aca="false">IFERROR((T1184)/((T1184)+O1184),0)</f>
        <v>0.00793650793650794</v>
      </c>
      <c r="AD1184" s="96" t="n">
        <f aca="false">IFERROR(Q1184/(Q1184+N1184),0)</f>
        <v>0.0135135135135135</v>
      </c>
      <c r="AE1184" s="91" t="n">
        <f aca="false">(N1184-T1184)/N1184</f>
        <v>0.992172211350293</v>
      </c>
      <c r="AF1184" s="97" t="n">
        <f aca="false">BR1184</f>
        <v>0</v>
      </c>
      <c r="AG1184" s="98" t="n">
        <f aca="false">K1184-AF1184</f>
        <v>8</v>
      </c>
      <c r="AH1184" s="99" t="n">
        <f aca="false">IFERROR(AG1184/K1184," ")</f>
        <v>1</v>
      </c>
      <c r="AI1184" s="100" t="n">
        <f aca="false">IFERROR(O1184/K1184,0)</f>
        <v>625</v>
      </c>
      <c r="AJ1184" s="101" t="n">
        <f aca="false">VLOOKUP(D1184,'Standard Cycle time'!C:D,2,0)</f>
        <v>5.25</v>
      </c>
      <c r="AK1184" s="101" t="n">
        <f aca="false">AG1184*V1184*3600/O1184</f>
        <v>5.76</v>
      </c>
      <c r="AL1184" s="102" t="n">
        <f aca="false">AJ1184/AK1184</f>
        <v>0.911458333333333</v>
      </c>
      <c r="AM1184" s="99" t="n">
        <f aca="false">AE1184*AL1184*AH1184</f>
        <v>0.904323630136986</v>
      </c>
      <c r="AN1184" s="103" t="n">
        <v>0.904323630136986</v>
      </c>
      <c r="AO1184" s="112"/>
      <c r="AP1184" s="105" t="n">
        <v>0</v>
      </c>
      <c r="AQ1184" s="105" t="n">
        <v>0</v>
      </c>
      <c r="AR1184" s="105" t="n">
        <v>0</v>
      </c>
      <c r="AS1184" s="105" t="n">
        <v>0</v>
      </c>
      <c r="AT1184" s="105" t="n">
        <v>0</v>
      </c>
      <c r="AU1184" s="105" t="n">
        <v>0</v>
      </c>
      <c r="AV1184" s="105" t="n">
        <v>0</v>
      </c>
      <c r="AW1184" s="105" t="n">
        <v>0</v>
      </c>
      <c r="AX1184" s="105" t="n">
        <v>0</v>
      </c>
      <c r="AY1184" s="105" t="n">
        <v>0</v>
      </c>
      <c r="AZ1184" s="105" t="n">
        <v>0</v>
      </c>
      <c r="BA1184" s="105" t="n">
        <v>0</v>
      </c>
      <c r="BB1184" s="105" t="n">
        <v>0</v>
      </c>
      <c r="BC1184" s="105" t="n">
        <v>0</v>
      </c>
      <c r="BD1184" s="105" t="n">
        <v>0</v>
      </c>
      <c r="BE1184" s="105" t="n">
        <v>0</v>
      </c>
      <c r="BF1184" s="105" t="n">
        <v>0</v>
      </c>
      <c r="BG1184" s="105" t="n">
        <v>0</v>
      </c>
      <c r="BH1184" s="105" t="n">
        <v>0</v>
      </c>
      <c r="BI1184" s="105" t="n">
        <v>0</v>
      </c>
      <c r="BJ1184" s="105" t="n">
        <v>0</v>
      </c>
      <c r="BK1184" s="105" t="n">
        <v>0</v>
      </c>
      <c r="BL1184" s="105" t="n">
        <v>0</v>
      </c>
      <c r="BM1184" s="105" t="n">
        <v>0</v>
      </c>
      <c r="BN1184" s="105" t="n">
        <v>0</v>
      </c>
      <c r="BO1184" s="105" t="n">
        <v>0</v>
      </c>
      <c r="BP1184" s="105" t="n">
        <v>0</v>
      </c>
      <c r="BQ1184" s="105" t="n">
        <v>0</v>
      </c>
      <c r="BR1184" s="106" t="n">
        <v>0</v>
      </c>
      <c r="BS1184" s="106" t="n">
        <v>0</v>
      </c>
      <c r="BT1184" s="107"/>
      <c r="BU1184" s="107"/>
      <c r="BV1184" s="107"/>
      <c r="BW1184" s="107"/>
      <c r="BX1184" s="107"/>
      <c r="BY1184" s="107"/>
      <c r="BZ1184" s="107"/>
      <c r="CA1184" s="107"/>
      <c r="CB1184" s="107"/>
      <c r="CC1184" s="107"/>
      <c r="CD1184" s="107"/>
      <c r="CE1184" s="107"/>
      <c r="CF1184" s="107"/>
      <c r="CG1184" s="107"/>
      <c r="CH1184" s="107"/>
      <c r="CI1184" s="107"/>
      <c r="CJ1184" s="107"/>
      <c r="CK1184" s="107"/>
      <c r="CL1184" s="107"/>
      <c r="CM1184" s="107"/>
      <c r="CN1184" s="107"/>
      <c r="CO1184" s="107"/>
      <c r="CP1184" s="107"/>
      <c r="CQ1184" s="107"/>
      <c r="CR1184" s="107"/>
      <c r="CS1184" s="107"/>
      <c r="CT1184" s="107"/>
      <c r="CU1184" s="107"/>
      <c r="CV1184" s="107"/>
    </row>
    <row r="1185" customFormat="false" ht="14.9" hidden="false" customHeight="false" outlineLevel="0" collapsed="false">
      <c r="A1185" s="74" t="n">
        <f aca="false">MONTH(B1185)</f>
        <v>11</v>
      </c>
      <c r="B1185" s="135" t="n">
        <v>44511</v>
      </c>
      <c r="C1185" s="128" t="s">
        <v>70</v>
      </c>
      <c r="D1185" s="77" t="str">
        <f aca="false">IFERROR(VLOOKUP(E:E,'Item Data Support Sheet'!A:O,7,0),"")</f>
        <v>BOTTLE MOLDED</v>
      </c>
      <c r="E1185" s="80" t="s">
        <v>69</v>
      </c>
      <c r="F1185" s="122" t="s">
        <v>73</v>
      </c>
      <c r="G1185" s="137" t="s">
        <v>74</v>
      </c>
      <c r="H1185" s="79" t="str">
        <f aca="false">IFERROR(VLOOKUP(E:E,'Item Data Support Sheet'!A:O,2,0),"")</f>
        <v>KPP 240 ML BOTTLE MOLDED</v>
      </c>
      <c r="I1185" s="80" t="s">
        <v>1982</v>
      </c>
      <c r="J1185" s="80" t="s">
        <v>155</v>
      </c>
      <c r="K1185" s="124" t="n">
        <v>8</v>
      </c>
      <c r="L1185" s="124" t="n">
        <v>2574</v>
      </c>
      <c r="M1185" s="83" t="n">
        <v>321.75</v>
      </c>
      <c r="N1185" s="84" t="n">
        <f aca="false">+O1185+Q1185+T1185+U1185</f>
        <v>3130</v>
      </c>
      <c r="O1185" s="85" t="n">
        <v>3024</v>
      </c>
      <c r="P1185" s="86" t="n">
        <v>0</v>
      </c>
      <c r="Q1185" s="86" t="n">
        <v>44</v>
      </c>
      <c r="R1185" s="132" t="n">
        <v>0</v>
      </c>
      <c r="S1185" s="128" t="n">
        <v>0</v>
      </c>
      <c r="T1185" s="132" t="n">
        <v>62</v>
      </c>
      <c r="U1185" s="128" t="n">
        <v>0</v>
      </c>
      <c r="V1185" s="128" t="n">
        <v>1</v>
      </c>
      <c r="W1185" s="90" t="n">
        <f aca="false">IFERROR(O1185/V1185,0)</f>
        <v>3024</v>
      </c>
      <c r="X1185" s="91" t="n">
        <f aca="false">O1185/L1185</f>
        <v>1.17482517482517</v>
      </c>
      <c r="Y1185" s="92" t="str">
        <f aca="false">IFERROR(VLOOKUP(E:E,'Item Data Support Sheet'!A:J,6,0),0)</f>
        <v>HMC</v>
      </c>
      <c r="Z1185" s="93" t="n">
        <f aca="false">IFERROR(VLOOKUP(E:E,'Item Data Support Sheet'!A:O,4,0),0)</f>
        <v>32.1</v>
      </c>
      <c r="AA1185" s="93" t="n">
        <f aca="false">IFERROR(((N1185)*(Z1185/1000))+P1185,0)</f>
        <v>100.473</v>
      </c>
      <c r="AB1185" s="94" t="n">
        <f aca="false">IFERROR((O1185*(Z1185/1000)/(AA1185))," ")</f>
        <v>0.966134185303514</v>
      </c>
      <c r="AC1185" s="95" t="n">
        <f aca="false">IFERROR((T1185)/((T1185)+O1185),0)</f>
        <v>0.0200907323395982</v>
      </c>
      <c r="AD1185" s="96" t="n">
        <f aca="false">IFERROR(Q1185/(Q1185+N1185),0)</f>
        <v>0.0138626339004411</v>
      </c>
      <c r="AE1185" s="91" t="n">
        <f aca="false">(N1185-T1185)/N1185</f>
        <v>0.980191693290735</v>
      </c>
      <c r="AF1185" s="97" t="n">
        <f aca="false">BR1185</f>
        <v>0</v>
      </c>
      <c r="AG1185" s="98" t="n">
        <f aca="false">K1185-AF1185</f>
        <v>8</v>
      </c>
      <c r="AH1185" s="99" t="n">
        <f aca="false">IFERROR(AG1185/K1185," ")</f>
        <v>1</v>
      </c>
      <c r="AI1185" s="100" t="n">
        <f aca="false">IFERROR(O1185/K1185,0)</f>
        <v>378</v>
      </c>
      <c r="AJ1185" s="101" t="n">
        <f aca="false">VLOOKUP(D1185,'Standard Cycle time'!C:D,2,0)</f>
        <v>9</v>
      </c>
      <c r="AK1185" s="101" t="n">
        <f aca="false">AG1185*V1185*3600/O1185</f>
        <v>9.52380952380952</v>
      </c>
      <c r="AL1185" s="102" t="n">
        <f aca="false">AJ1185/AK1185</f>
        <v>0.945</v>
      </c>
      <c r="AM1185" s="99" t="n">
        <f aca="false">AE1185*AL1185*AH1185</f>
        <v>0.926281150159745</v>
      </c>
      <c r="AN1185" s="103" t="n">
        <v>0.926281150159744</v>
      </c>
      <c r="AO1185" s="112"/>
      <c r="AP1185" s="105" t="n">
        <v>0</v>
      </c>
      <c r="AQ1185" s="105" t="n">
        <v>0</v>
      </c>
      <c r="AR1185" s="105" t="n">
        <v>0</v>
      </c>
      <c r="AS1185" s="105" t="n">
        <v>0</v>
      </c>
      <c r="AT1185" s="105" t="n">
        <v>0</v>
      </c>
      <c r="AU1185" s="105" t="n">
        <v>0</v>
      </c>
      <c r="AV1185" s="105" t="n">
        <v>0</v>
      </c>
      <c r="AW1185" s="105" t="n">
        <v>0</v>
      </c>
      <c r="AX1185" s="105" t="n">
        <v>0</v>
      </c>
      <c r="AY1185" s="105" t="n">
        <v>0</v>
      </c>
      <c r="AZ1185" s="105" t="n">
        <v>0</v>
      </c>
      <c r="BA1185" s="105" t="n">
        <v>0</v>
      </c>
      <c r="BB1185" s="105" t="n">
        <v>0</v>
      </c>
      <c r="BC1185" s="105" t="n">
        <v>0</v>
      </c>
      <c r="BD1185" s="105" t="n">
        <v>0</v>
      </c>
      <c r="BE1185" s="105" t="n">
        <v>0</v>
      </c>
      <c r="BF1185" s="105" t="n">
        <v>0</v>
      </c>
      <c r="BG1185" s="105" t="n">
        <v>0</v>
      </c>
      <c r="BH1185" s="105" t="n">
        <v>0</v>
      </c>
      <c r="BI1185" s="105" t="n">
        <v>0</v>
      </c>
      <c r="BJ1185" s="105" t="n">
        <v>0</v>
      </c>
      <c r="BK1185" s="105" t="n">
        <v>0</v>
      </c>
      <c r="BL1185" s="105" t="n">
        <v>0</v>
      </c>
      <c r="BM1185" s="105" t="n">
        <v>0</v>
      </c>
      <c r="BN1185" s="105" t="n">
        <v>0</v>
      </c>
      <c r="BO1185" s="105" t="n">
        <v>0</v>
      </c>
      <c r="BP1185" s="105" t="n">
        <v>0</v>
      </c>
      <c r="BQ1185" s="105" t="n">
        <v>0</v>
      </c>
      <c r="BR1185" s="106" t="n">
        <v>0</v>
      </c>
      <c r="BS1185" s="106" t="n">
        <v>0</v>
      </c>
      <c r="BT1185" s="107"/>
      <c r="BU1185" s="107"/>
      <c r="BV1185" s="107"/>
      <c r="BW1185" s="107"/>
      <c r="BX1185" s="107"/>
      <c r="BY1185" s="107"/>
      <c r="BZ1185" s="107"/>
      <c r="CA1185" s="107"/>
      <c r="CB1185" s="107"/>
      <c r="CC1185" s="107"/>
      <c r="CD1185" s="107"/>
      <c r="CE1185" s="107"/>
      <c r="CF1185" s="107"/>
      <c r="CG1185" s="107"/>
      <c r="CH1185" s="107"/>
      <c r="CI1185" s="107"/>
      <c r="CJ1185" s="107"/>
      <c r="CK1185" s="107"/>
      <c r="CL1185" s="107"/>
      <c r="CM1185" s="107"/>
      <c r="CN1185" s="107"/>
      <c r="CO1185" s="107"/>
      <c r="CP1185" s="107"/>
      <c r="CQ1185" s="107"/>
      <c r="CR1185" s="107"/>
      <c r="CS1185" s="107"/>
      <c r="CT1185" s="107"/>
      <c r="CU1185" s="107"/>
      <c r="CV1185" s="107"/>
    </row>
    <row r="1186" customFormat="false" ht="14.9" hidden="false" customHeight="false" outlineLevel="0" collapsed="false">
      <c r="A1186" s="74" t="n">
        <f aca="false">MONTH(B1186)</f>
        <v>11</v>
      </c>
      <c r="B1186" s="135" t="n">
        <v>44511</v>
      </c>
      <c r="C1186" s="128" t="s">
        <v>70</v>
      </c>
      <c r="D1186" s="77" t="str">
        <f aca="false">IFERROR(VLOOKUP(E:E,'Item Data Support Sheet'!A:O,7,0),"")</f>
        <v>NIPPLE PUNCH</v>
      </c>
      <c r="E1186" s="80" t="s">
        <v>834</v>
      </c>
      <c r="F1186" s="122"/>
      <c r="G1186" s="137" t="s">
        <v>54</v>
      </c>
      <c r="H1186" s="79" t="str">
        <f aca="false">IFERROR(VLOOKUP(E:E,'Item Data Support Sheet'!A:O,2,0),"")</f>
        <v>NIPPLE S TYPE Y SIZE PUNCHED</v>
      </c>
      <c r="I1186" s="80" t="s">
        <v>1983</v>
      </c>
      <c r="J1186" s="80" t="s">
        <v>155</v>
      </c>
      <c r="K1186" s="124" t="n">
        <v>8</v>
      </c>
      <c r="L1186" s="124" t="n">
        <v>7000</v>
      </c>
      <c r="M1186" s="83" t="n">
        <v>875</v>
      </c>
      <c r="N1186" s="84" t="n">
        <f aca="false">+O1186+Q1186+T1186+U1186</f>
        <v>5630</v>
      </c>
      <c r="O1186" s="85" t="n">
        <v>5630</v>
      </c>
      <c r="P1186" s="86" t="n">
        <v>0</v>
      </c>
      <c r="Q1186" s="86" t="n">
        <v>0</v>
      </c>
      <c r="R1186" s="132" t="n">
        <v>0</v>
      </c>
      <c r="S1186" s="128" t="n">
        <v>0</v>
      </c>
      <c r="T1186" s="132" t="n">
        <v>0</v>
      </c>
      <c r="U1186" s="128" t="n">
        <v>0</v>
      </c>
      <c r="V1186" s="128" t="n">
        <v>1</v>
      </c>
      <c r="W1186" s="90" t="n">
        <f aca="false">IFERROR(O1186/V1186,0)</f>
        <v>5630</v>
      </c>
      <c r="X1186" s="91" t="n">
        <f aca="false">O1186/L1186</f>
        <v>0.804285714285714</v>
      </c>
      <c r="Y1186" s="92" t="str">
        <f aca="false">IFERROR(VLOOKUP(E:E,'Item Data Support Sheet'!A:J,6,0),0)</f>
        <v>FO018</v>
      </c>
      <c r="Z1186" s="93" t="n">
        <f aca="false">IFERROR(VLOOKUP(E:E,'Item Data Support Sheet'!A:O,4,0),0)</f>
        <v>0</v>
      </c>
      <c r="AA1186" s="93" t="n">
        <f aca="false">IFERROR(((N1186)*(Z1186/1000))+P1186,0)</f>
        <v>0</v>
      </c>
      <c r="AB1186" s="94" t="str">
        <f aca="false">IFERROR((O1186*(Z1186/1000)/(AA1186))," ")</f>
        <v> </v>
      </c>
      <c r="AC1186" s="95" t="n">
        <f aca="false">IFERROR((T1186)/((T1186)+O1186),0)</f>
        <v>0</v>
      </c>
      <c r="AD1186" s="96" t="n">
        <f aca="false">IFERROR(Q1186/(Q1186+N1186),0)</f>
        <v>0</v>
      </c>
      <c r="AE1186" s="91" t="n">
        <f aca="false">(N1186-T1186)/N1186</f>
        <v>1</v>
      </c>
      <c r="AF1186" s="97" t="n">
        <f aca="false">BR1186</f>
        <v>1.66666666666667</v>
      </c>
      <c r="AG1186" s="98" t="n">
        <f aca="false">K1186-AF1186</f>
        <v>6.33333333333333</v>
      </c>
      <c r="AH1186" s="99" t="n">
        <f aca="false">IFERROR(AG1186/K1186," ")</f>
        <v>0.791666666666666</v>
      </c>
      <c r="AI1186" s="100" t="n">
        <f aca="false">IFERROR(O1186/K1186,0)</f>
        <v>703.75</v>
      </c>
      <c r="AJ1186" s="101" t="n">
        <f aca="false">VLOOKUP(D1186,'Standard Cycle time'!C:D,2,0)</f>
        <v>3.5</v>
      </c>
      <c r="AK1186" s="101" t="n">
        <f aca="false">AG1186*V1186*3600/O1186</f>
        <v>4.04973357015986</v>
      </c>
      <c r="AL1186" s="102" t="n">
        <f aca="false">AJ1186/AK1186</f>
        <v>0.864254385964913</v>
      </c>
      <c r="AM1186" s="99" t="n">
        <f aca="false">AE1186*AL1186*AH1186</f>
        <v>0.684201388888889</v>
      </c>
      <c r="AN1186" s="103" t="n">
        <v>0.684201388888889</v>
      </c>
      <c r="AO1186" s="112" t="s">
        <v>1984</v>
      </c>
      <c r="AP1186" s="105" t="n">
        <v>40</v>
      </c>
      <c r="AQ1186" s="105" t="n">
        <v>0</v>
      </c>
      <c r="AR1186" s="105" t="n">
        <v>0</v>
      </c>
      <c r="AS1186" s="105" t="n">
        <v>60</v>
      </c>
      <c r="AT1186" s="105" t="n">
        <v>0</v>
      </c>
      <c r="AU1186" s="105" t="n">
        <v>0</v>
      </c>
      <c r="AV1186" s="105" t="n">
        <v>0</v>
      </c>
      <c r="AW1186" s="105" t="n">
        <v>0</v>
      </c>
      <c r="AX1186" s="105" t="n">
        <v>0</v>
      </c>
      <c r="AY1186" s="105" t="n">
        <v>0</v>
      </c>
      <c r="AZ1186" s="105" t="n">
        <v>0</v>
      </c>
      <c r="BA1186" s="105" t="n">
        <v>0</v>
      </c>
      <c r="BB1186" s="105" t="n">
        <v>0</v>
      </c>
      <c r="BC1186" s="105" t="n">
        <v>0</v>
      </c>
      <c r="BD1186" s="105" t="n">
        <v>0</v>
      </c>
      <c r="BE1186" s="105" t="n">
        <v>0</v>
      </c>
      <c r="BF1186" s="105" t="n">
        <v>0</v>
      </c>
      <c r="BG1186" s="105" t="n">
        <v>0</v>
      </c>
      <c r="BH1186" s="105" t="n">
        <v>0</v>
      </c>
      <c r="BI1186" s="105" t="n">
        <v>0</v>
      </c>
      <c r="BJ1186" s="105" t="n">
        <v>0</v>
      </c>
      <c r="BK1186" s="105" t="n">
        <v>0</v>
      </c>
      <c r="BL1186" s="105" t="n">
        <v>0</v>
      </c>
      <c r="BM1186" s="105" t="n">
        <v>0</v>
      </c>
      <c r="BN1186" s="105" t="n">
        <v>0</v>
      </c>
      <c r="BO1186" s="105" t="n">
        <v>0</v>
      </c>
      <c r="BP1186" s="105" t="n">
        <v>0</v>
      </c>
      <c r="BQ1186" s="105" t="n">
        <v>0</v>
      </c>
      <c r="BR1186" s="106" t="n">
        <v>1.66666666666667</v>
      </c>
      <c r="BS1186" s="106" t="n">
        <v>1.66666666666667</v>
      </c>
      <c r="BT1186" s="107"/>
      <c r="BU1186" s="107"/>
      <c r="BV1186" s="107"/>
      <c r="BW1186" s="107"/>
      <c r="BX1186" s="107"/>
      <c r="BY1186" s="107"/>
      <c r="BZ1186" s="107"/>
      <c r="CA1186" s="107"/>
      <c r="CB1186" s="107"/>
      <c r="CC1186" s="107"/>
      <c r="CD1186" s="107"/>
      <c r="CE1186" s="107"/>
      <c r="CF1186" s="107"/>
      <c r="CG1186" s="107"/>
      <c r="CH1186" s="107"/>
      <c r="CI1186" s="107"/>
      <c r="CJ1186" s="107"/>
      <c r="CK1186" s="107"/>
      <c r="CL1186" s="107"/>
      <c r="CM1186" s="107"/>
      <c r="CN1186" s="107"/>
      <c r="CO1186" s="107"/>
      <c r="CP1186" s="107"/>
      <c r="CQ1186" s="107"/>
      <c r="CR1186" s="107"/>
      <c r="CS1186" s="107"/>
      <c r="CT1186" s="107"/>
      <c r="CU1186" s="107"/>
      <c r="CV1186" s="107"/>
    </row>
    <row r="1187" customFormat="false" ht="14.9" hidden="false" customHeight="false" outlineLevel="0" collapsed="false">
      <c r="A1187" s="74" t="n">
        <f aca="false">MONTH(B1187)</f>
        <v>11</v>
      </c>
      <c r="B1187" s="135" t="n">
        <v>44511</v>
      </c>
      <c r="C1187" s="128" t="s">
        <v>70</v>
      </c>
      <c r="D1187" s="77" t="str">
        <f aca="false">IFERROR(VLOOKUP(E:E,'Item Data Support Sheet'!A:O,7,0),"")</f>
        <v>NIPPLE LASER MARKING</v>
      </c>
      <c r="E1187" s="80" t="s">
        <v>885</v>
      </c>
      <c r="F1187" s="122"/>
      <c r="G1187" s="137" t="s">
        <v>517</v>
      </c>
      <c r="H1187" s="79" t="str">
        <f aca="false">IFERROR(VLOOKUP(E:E,'Item Data Support Sheet'!A:O,2,0),"")</f>
        <v>NIPPLE S TYPE Y SIZE PUNCHED LASER MARKED</v>
      </c>
      <c r="I1187" s="80" t="s">
        <v>1979</v>
      </c>
      <c r="J1187" s="80" t="s">
        <v>155</v>
      </c>
      <c r="K1187" s="124" t="n">
        <v>8</v>
      </c>
      <c r="L1187" s="124" t="n">
        <v>7000</v>
      </c>
      <c r="M1187" s="83" t="n">
        <v>875</v>
      </c>
      <c r="N1187" s="84" t="n">
        <f aca="false">+O1187+Q1187+T1187+U1187</f>
        <v>5630</v>
      </c>
      <c r="O1187" s="85" t="n">
        <v>5630</v>
      </c>
      <c r="P1187" s="86" t="n">
        <v>0</v>
      </c>
      <c r="Q1187" s="86" t="n">
        <v>0</v>
      </c>
      <c r="R1187" s="132" t="n">
        <v>0</v>
      </c>
      <c r="S1187" s="128" t="n">
        <v>0</v>
      </c>
      <c r="T1187" s="132" t="n">
        <v>0</v>
      </c>
      <c r="U1187" s="128" t="n">
        <v>0</v>
      </c>
      <c r="V1187" s="128" t="n">
        <v>1</v>
      </c>
      <c r="W1187" s="90" t="n">
        <f aca="false">IFERROR(O1187/V1187,0)</f>
        <v>5630</v>
      </c>
      <c r="X1187" s="91" t="n">
        <f aca="false">O1187/L1187</f>
        <v>0.804285714285714</v>
      </c>
      <c r="Y1187" s="92" t="str">
        <f aca="false">IFERROR(VLOOKUP(E:E,'Item Data Support Sheet'!A:J,6,0),0)</f>
        <v>FO022</v>
      </c>
      <c r="Z1187" s="93" t="n">
        <f aca="false">IFERROR(VLOOKUP(E:E,'Item Data Support Sheet'!A:O,4,0),0)</f>
        <v>0</v>
      </c>
      <c r="AA1187" s="93" t="n">
        <f aca="false">IFERROR(((N1187)*(Z1187/1000))+P1187,0)</f>
        <v>0</v>
      </c>
      <c r="AB1187" s="94" t="str">
        <f aca="false">IFERROR((O1187*(Z1187/1000)/(AA1187))," ")</f>
        <v> </v>
      </c>
      <c r="AC1187" s="95" t="n">
        <f aca="false">IFERROR((T1187)/((T1187)+O1187),0)</f>
        <v>0</v>
      </c>
      <c r="AD1187" s="96" t="n">
        <f aca="false">IFERROR(Q1187/(Q1187+N1187),0)</f>
        <v>0</v>
      </c>
      <c r="AE1187" s="91" t="n">
        <f aca="false">(N1187-T1187)/N1187</f>
        <v>1</v>
      </c>
      <c r="AF1187" s="97" t="n">
        <f aca="false">BR1187</f>
        <v>1.66666666666667</v>
      </c>
      <c r="AG1187" s="98" t="n">
        <f aca="false">K1187-AF1187</f>
        <v>6.33333333333333</v>
      </c>
      <c r="AH1187" s="99" t="n">
        <f aca="false">IFERROR(AG1187/K1187," ")</f>
        <v>0.791666666666666</v>
      </c>
      <c r="AI1187" s="100" t="n">
        <f aca="false">IFERROR(O1187/K1187,0)</f>
        <v>703.75</v>
      </c>
      <c r="AJ1187" s="101" t="n">
        <f aca="false">VLOOKUP(D1187,'Standard Cycle time'!C:D,2,0)</f>
        <v>3.5</v>
      </c>
      <c r="AK1187" s="101" t="n">
        <f aca="false">AG1187*V1187*3600/O1187</f>
        <v>4.04973357015986</v>
      </c>
      <c r="AL1187" s="102" t="n">
        <f aca="false">AJ1187/AK1187</f>
        <v>0.864254385964913</v>
      </c>
      <c r="AM1187" s="99" t="n">
        <f aca="false">AE1187*AL1187*AH1187</f>
        <v>0.684201388888889</v>
      </c>
      <c r="AN1187" s="103" t="n">
        <v>0.684201388888889</v>
      </c>
      <c r="AO1187" s="112" t="s">
        <v>1985</v>
      </c>
      <c r="AP1187" s="105" t="n">
        <v>40</v>
      </c>
      <c r="AQ1187" s="105" t="n">
        <v>0</v>
      </c>
      <c r="AR1187" s="105" t="n">
        <v>0</v>
      </c>
      <c r="AS1187" s="105" t="n">
        <v>60</v>
      </c>
      <c r="AT1187" s="105" t="n">
        <v>0</v>
      </c>
      <c r="AU1187" s="105" t="n">
        <v>0</v>
      </c>
      <c r="AV1187" s="105" t="n">
        <v>0</v>
      </c>
      <c r="AW1187" s="105" t="n">
        <v>0</v>
      </c>
      <c r="AX1187" s="105" t="n">
        <v>0</v>
      </c>
      <c r="AY1187" s="105" t="n">
        <v>0</v>
      </c>
      <c r="AZ1187" s="105" t="n">
        <v>0</v>
      </c>
      <c r="BA1187" s="105" t="n">
        <v>0</v>
      </c>
      <c r="BB1187" s="105" t="n">
        <v>0</v>
      </c>
      <c r="BC1187" s="105" t="n">
        <v>0</v>
      </c>
      <c r="BD1187" s="105" t="n">
        <v>0</v>
      </c>
      <c r="BE1187" s="105" t="n">
        <v>0</v>
      </c>
      <c r="BF1187" s="105" t="n">
        <v>0</v>
      </c>
      <c r="BG1187" s="105" t="n">
        <v>0</v>
      </c>
      <c r="BH1187" s="105" t="n">
        <v>0</v>
      </c>
      <c r="BI1187" s="105" t="n">
        <v>0</v>
      </c>
      <c r="BJ1187" s="105" t="n">
        <v>0</v>
      </c>
      <c r="BK1187" s="105" t="n">
        <v>0</v>
      </c>
      <c r="BL1187" s="105" t="n">
        <v>0</v>
      </c>
      <c r="BM1187" s="105" t="n">
        <v>0</v>
      </c>
      <c r="BN1187" s="105" t="n">
        <v>0</v>
      </c>
      <c r="BO1187" s="105" t="n">
        <v>0</v>
      </c>
      <c r="BP1187" s="105" t="n">
        <v>0</v>
      </c>
      <c r="BQ1187" s="105" t="n">
        <v>0</v>
      </c>
      <c r="BR1187" s="106" t="n">
        <v>1.66666666666667</v>
      </c>
      <c r="BS1187" s="106" t="n">
        <v>1.66666666666667</v>
      </c>
      <c r="BT1187" s="107"/>
      <c r="BU1187" s="107"/>
      <c r="BV1187" s="107"/>
      <c r="BW1187" s="107"/>
      <c r="BX1187" s="107"/>
      <c r="BY1187" s="107"/>
      <c r="BZ1187" s="107"/>
      <c r="CA1187" s="107"/>
      <c r="CB1187" s="107"/>
      <c r="CC1187" s="107"/>
      <c r="CD1187" s="107"/>
      <c r="CE1187" s="107"/>
      <c r="CF1187" s="107"/>
      <c r="CG1187" s="107"/>
      <c r="CH1187" s="107"/>
      <c r="CI1187" s="107"/>
      <c r="CJ1187" s="107"/>
      <c r="CK1187" s="107"/>
      <c r="CL1187" s="107"/>
      <c r="CM1187" s="107"/>
      <c r="CN1187" s="107"/>
      <c r="CO1187" s="107"/>
      <c r="CP1187" s="107"/>
      <c r="CQ1187" s="107"/>
      <c r="CR1187" s="107"/>
      <c r="CS1187" s="107"/>
      <c r="CT1187" s="107"/>
      <c r="CU1187" s="107"/>
      <c r="CV1187" s="107"/>
    </row>
    <row r="1188" customFormat="false" ht="14.9" hidden="false" customHeight="false" outlineLevel="0" collapsed="false">
      <c r="A1188" s="74" t="n">
        <f aca="false">MONTH(B1188)</f>
        <v>11</v>
      </c>
      <c r="B1188" s="135" t="n">
        <v>44511</v>
      </c>
      <c r="C1188" s="128" t="s">
        <v>70</v>
      </c>
      <c r="D1188" s="77" t="str">
        <f aca="false">IFERROR(VLOOKUP(E:E,'Item Data Support Sheet'!A:O,7,0),"")</f>
        <v>BOTTLE PRINTED</v>
      </c>
      <c r="E1188" s="80" t="s">
        <v>320</v>
      </c>
      <c r="F1188" s="122"/>
      <c r="G1188" s="137"/>
      <c r="H1188" s="79" t="str">
        <f aca="false">IFERROR(VLOOKUP(E:E,'Item Data Support Sheet'!A:O,2,0),"")</f>
        <v>KPP 200 ML BOTTLE PRINTED</v>
      </c>
      <c r="I1188" s="80" t="s">
        <v>1986</v>
      </c>
      <c r="J1188" s="80" t="s">
        <v>155</v>
      </c>
      <c r="K1188" s="124" t="n">
        <v>8</v>
      </c>
      <c r="L1188" s="124" t="n">
        <v>5100</v>
      </c>
      <c r="M1188" s="83" t="n">
        <v>637.5</v>
      </c>
      <c r="N1188" s="84" t="n">
        <f aca="false">+O1188+Q1188+T1188+U1188</f>
        <v>4783</v>
      </c>
      <c r="O1188" s="85" t="n">
        <v>4752</v>
      </c>
      <c r="P1188" s="86" t="n">
        <v>0</v>
      </c>
      <c r="Q1188" s="86" t="n">
        <v>0</v>
      </c>
      <c r="R1188" s="132" t="n">
        <v>46</v>
      </c>
      <c r="S1188" s="128" t="n">
        <v>0</v>
      </c>
      <c r="T1188" s="132" t="n">
        <v>31</v>
      </c>
      <c r="U1188" s="128" t="n">
        <v>0</v>
      </c>
      <c r="V1188" s="128" t="n">
        <v>4</v>
      </c>
      <c r="W1188" s="90" t="n">
        <f aca="false">IFERROR(O1188/V1188,0)</f>
        <v>1188</v>
      </c>
      <c r="X1188" s="91" t="n">
        <f aca="false">O1188/L1188</f>
        <v>0.931764705882353</v>
      </c>
      <c r="Y1188" s="92" t="str">
        <f aca="false">IFERROR(VLOOKUP(E:E,'Item Data Support Sheet'!A:J,6,0),0)</f>
        <v>FO002</v>
      </c>
      <c r="Z1188" s="93" t="n">
        <f aca="false">IFERROR(VLOOKUP(E:E,'Item Data Support Sheet'!A:O,4,0),0)</f>
        <v>0</v>
      </c>
      <c r="AA1188" s="93" t="n">
        <f aca="false">IFERROR(((N1188)*(Z1188/1000))+P1188,0)</f>
        <v>0</v>
      </c>
      <c r="AB1188" s="94" t="str">
        <f aca="false">IFERROR((O1188*(Z1188/1000)/(AA1188))," ")</f>
        <v> </v>
      </c>
      <c r="AC1188" s="95" t="n">
        <f aca="false">IFERROR((T1188)/((T1188)+O1188),0)</f>
        <v>0.0064812878946268</v>
      </c>
      <c r="AD1188" s="96" t="n">
        <f aca="false">IFERROR(Q1188/(Q1188+N1188),0)</f>
        <v>0</v>
      </c>
      <c r="AE1188" s="91" t="n">
        <f aca="false">(N1188-T1188)/N1188</f>
        <v>0.993518712105373</v>
      </c>
      <c r="AF1188" s="97" t="n">
        <f aca="false">BR1188</f>
        <v>0.666666666666667</v>
      </c>
      <c r="AG1188" s="98" t="n">
        <f aca="false">K1188-AF1188</f>
        <v>7.33333333333333</v>
      </c>
      <c r="AH1188" s="99" t="n">
        <f aca="false">IFERROR(AG1188/K1188," ")</f>
        <v>0.916666666666667</v>
      </c>
      <c r="AI1188" s="100" t="n">
        <f aca="false">IFERROR(O1188/K1188,0)</f>
        <v>594</v>
      </c>
      <c r="AJ1188" s="101" t="n">
        <f aca="false">VLOOKUP(D1188,'Standard Cycle time'!C:D,2,0)</f>
        <v>32.4</v>
      </c>
      <c r="AK1188" s="101" t="n">
        <f aca="false">AG1188*V1188*3600/O1188</f>
        <v>22.2222222222222</v>
      </c>
      <c r="AL1188" s="102" t="n">
        <f aca="false">AJ1188/AK1188</f>
        <v>1.458</v>
      </c>
      <c r="AM1188" s="99" t="n">
        <f aca="false">AE1188*AL1188*AH1188</f>
        <v>1.32783775872883</v>
      </c>
      <c r="AN1188" s="103" t="n">
        <v>1.32783775872883</v>
      </c>
      <c r="AO1188" s="112"/>
      <c r="AP1188" s="105" t="n">
        <v>40</v>
      </c>
      <c r="AQ1188" s="105" t="n">
        <v>0</v>
      </c>
      <c r="AR1188" s="105" t="n">
        <v>0</v>
      </c>
      <c r="AS1188" s="105" t="n">
        <v>0</v>
      </c>
      <c r="AT1188" s="105" t="n">
        <v>0</v>
      </c>
      <c r="AU1188" s="105" t="n">
        <v>0</v>
      </c>
      <c r="AV1188" s="105" t="n">
        <v>0</v>
      </c>
      <c r="AW1188" s="105" t="n">
        <v>0</v>
      </c>
      <c r="AX1188" s="105" t="n">
        <v>0</v>
      </c>
      <c r="AY1188" s="105" t="n">
        <v>0</v>
      </c>
      <c r="AZ1188" s="105" t="n">
        <v>0</v>
      </c>
      <c r="BA1188" s="105" t="n">
        <v>0</v>
      </c>
      <c r="BB1188" s="105" t="n">
        <v>0</v>
      </c>
      <c r="BC1188" s="105" t="n">
        <v>0</v>
      </c>
      <c r="BD1188" s="105" t="n">
        <v>0</v>
      </c>
      <c r="BE1188" s="105" t="n">
        <v>0</v>
      </c>
      <c r="BF1188" s="105" t="n">
        <v>0</v>
      </c>
      <c r="BG1188" s="105" t="n">
        <v>0</v>
      </c>
      <c r="BH1188" s="105" t="n">
        <v>0</v>
      </c>
      <c r="BI1188" s="105" t="n">
        <v>0</v>
      </c>
      <c r="BJ1188" s="105" t="n">
        <v>0</v>
      </c>
      <c r="BK1188" s="105" t="n">
        <v>0</v>
      </c>
      <c r="BL1188" s="105" t="n">
        <v>0</v>
      </c>
      <c r="BM1188" s="105" t="n">
        <v>0</v>
      </c>
      <c r="BN1188" s="105" t="n">
        <v>0</v>
      </c>
      <c r="BO1188" s="105" t="n">
        <v>0</v>
      </c>
      <c r="BP1188" s="105" t="n">
        <v>0</v>
      </c>
      <c r="BQ1188" s="105" t="n">
        <v>0</v>
      </c>
      <c r="BR1188" s="106" t="n">
        <v>0.666666666666667</v>
      </c>
      <c r="BS1188" s="106" t="n">
        <v>0.666666666666667</v>
      </c>
      <c r="BT1188" s="107"/>
      <c r="BU1188" s="107"/>
      <c r="BV1188" s="107"/>
      <c r="BW1188" s="107"/>
      <c r="BX1188" s="107"/>
      <c r="BY1188" s="107"/>
      <c r="BZ1188" s="107"/>
      <c r="CA1188" s="107"/>
      <c r="CB1188" s="107"/>
      <c r="CC1188" s="107"/>
      <c r="CD1188" s="107"/>
      <c r="CE1188" s="107"/>
      <c r="CF1188" s="107"/>
      <c r="CG1188" s="107"/>
      <c r="CH1188" s="107"/>
      <c r="CI1188" s="107"/>
      <c r="CJ1188" s="107"/>
      <c r="CK1188" s="107"/>
      <c r="CL1188" s="107"/>
      <c r="CM1188" s="107"/>
      <c r="CN1188" s="107"/>
      <c r="CO1188" s="107"/>
      <c r="CP1188" s="107"/>
      <c r="CQ1188" s="107"/>
      <c r="CR1188" s="107"/>
      <c r="CS1188" s="107"/>
      <c r="CT1188" s="107"/>
      <c r="CU1188" s="107"/>
      <c r="CV1188" s="107"/>
    </row>
    <row r="1189" customFormat="false" ht="14.9" hidden="false" customHeight="false" outlineLevel="0" collapsed="false">
      <c r="A1189" s="74" t="n">
        <f aca="false">MONTH(B1189)</f>
        <v>11</v>
      </c>
      <c r="B1189" s="135" t="n">
        <v>44511</v>
      </c>
      <c r="C1189" s="128" t="s">
        <v>152</v>
      </c>
      <c r="D1189" s="77" t="str">
        <f aca="false">IFERROR(VLOOKUP(E:E,'Item Data Support Sheet'!A:O,7,0),"")</f>
        <v>HOOD MOLDED</v>
      </c>
      <c r="E1189" s="80" t="s">
        <v>529</v>
      </c>
      <c r="F1189" s="122"/>
      <c r="G1189" s="137" t="s">
        <v>740</v>
      </c>
      <c r="H1189" s="79" t="str">
        <f aca="false">IFERROR(VLOOKUP(E:E,'Item Data Support Sheet'!A:O,2,0),"")</f>
        <v>HOOD S TYPE MOLDED</v>
      </c>
      <c r="I1189" s="80" t="s">
        <v>1987</v>
      </c>
      <c r="J1189" s="80" t="s">
        <v>1913</v>
      </c>
      <c r="K1189" s="124" t="n">
        <v>8</v>
      </c>
      <c r="L1189" s="124" t="n">
        <v>4137</v>
      </c>
      <c r="M1189" s="83" t="n">
        <v>517.125</v>
      </c>
      <c r="N1189" s="84" t="n">
        <f aca="false">+O1189+Q1189+T1189+U1189</f>
        <v>1563</v>
      </c>
      <c r="O1189" s="85" t="n">
        <v>1550</v>
      </c>
      <c r="P1189" s="86" t="n">
        <v>0</v>
      </c>
      <c r="Q1189" s="86" t="n">
        <v>0</v>
      </c>
      <c r="R1189" s="132" t="n">
        <v>0</v>
      </c>
      <c r="S1189" s="128" t="n">
        <v>0</v>
      </c>
      <c r="T1189" s="132" t="n">
        <v>5</v>
      </c>
      <c r="U1189" s="128" t="n">
        <v>8</v>
      </c>
      <c r="V1189" s="128" t="n">
        <v>1</v>
      </c>
      <c r="W1189" s="90" t="n">
        <f aca="false">IFERROR(O1189/V1189,0)</f>
        <v>1550</v>
      </c>
      <c r="X1189" s="91" t="n">
        <f aca="false">O1189/L1189</f>
        <v>0.374667633550882</v>
      </c>
      <c r="Y1189" s="92" t="str">
        <f aca="false">IFERROR(VLOOKUP(E:E,'Item Data Support Sheet'!A:J,6,0),0)</f>
        <v>HMC</v>
      </c>
      <c r="Z1189" s="93" t="n">
        <f aca="false">IFERROR(VLOOKUP(E:E,'Item Data Support Sheet'!A:O,4,0),0)</f>
        <v>8.6</v>
      </c>
      <c r="AA1189" s="93" t="n">
        <f aca="false">IFERROR(((N1189)*(Z1189/1000))+P1189,0)</f>
        <v>13.4418</v>
      </c>
      <c r="AB1189" s="94" t="n">
        <f aca="false">IFERROR((O1189*(Z1189/1000)/(AA1189))," ")</f>
        <v>0.991682661548304</v>
      </c>
      <c r="AC1189" s="95" t="n">
        <f aca="false">IFERROR((T1189)/((T1189)+O1189),0)</f>
        <v>0.00321543408360129</v>
      </c>
      <c r="AD1189" s="96" t="n">
        <f aca="false">IFERROR(Q1189/(Q1189+N1189),0)</f>
        <v>0</v>
      </c>
      <c r="AE1189" s="91" t="n">
        <f aca="false">(N1189-T1189)/N1189</f>
        <v>0.996801023672425</v>
      </c>
      <c r="AF1189" s="97" t="n">
        <f aca="false">BR1189</f>
        <v>5</v>
      </c>
      <c r="AG1189" s="98" t="n">
        <f aca="false">K1189-AF1189</f>
        <v>3</v>
      </c>
      <c r="AH1189" s="99" t="n">
        <f aca="false">IFERROR(AG1189/K1189," ")</f>
        <v>0.375</v>
      </c>
      <c r="AI1189" s="100" t="n">
        <f aca="false">IFERROR(O1189/K1189,0)</f>
        <v>193.75</v>
      </c>
      <c r="AJ1189" s="101" t="n">
        <f aca="false">VLOOKUP(D1189,'Standard Cycle time'!C:D,2,0)</f>
        <v>6</v>
      </c>
      <c r="AK1189" s="101" t="n">
        <f aca="false">AG1189*V1189*3600/O1189</f>
        <v>6.96774193548387</v>
      </c>
      <c r="AL1189" s="102" t="n">
        <f aca="false">AJ1189/AK1189</f>
        <v>0.861111111111111</v>
      </c>
      <c r="AM1189" s="99" t="n">
        <f aca="false">AE1189*AL1189*AH1189</f>
        <v>0.32188366389422</v>
      </c>
      <c r="AN1189" s="103" t="n">
        <v>0.32188366389422</v>
      </c>
      <c r="AO1189" s="112" t="s">
        <v>1988</v>
      </c>
      <c r="AP1189" s="105" t="n">
        <v>0</v>
      </c>
      <c r="AQ1189" s="105" t="n">
        <v>0</v>
      </c>
      <c r="AR1189" s="105" t="n">
        <v>0</v>
      </c>
      <c r="AS1189" s="105" t="n">
        <v>0</v>
      </c>
      <c r="AT1189" s="105" t="n">
        <v>0</v>
      </c>
      <c r="AU1189" s="105" t="n">
        <v>0</v>
      </c>
      <c r="AV1189" s="105" t="n">
        <v>0</v>
      </c>
      <c r="AW1189" s="105" t="n">
        <v>300</v>
      </c>
      <c r="AX1189" s="105" t="n">
        <v>0</v>
      </c>
      <c r="AY1189" s="105" t="n">
        <v>0</v>
      </c>
      <c r="AZ1189" s="105" t="n">
        <v>0</v>
      </c>
      <c r="BA1189" s="105" t="n">
        <v>0</v>
      </c>
      <c r="BB1189" s="105" t="n">
        <v>0</v>
      </c>
      <c r="BC1189" s="105" t="n">
        <v>0</v>
      </c>
      <c r="BD1189" s="105" t="n">
        <v>0</v>
      </c>
      <c r="BE1189" s="105" t="n">
        <v>0</v>
      </c>
      <c r="BF1189" s="105" t="n">
        <v>0</v>
      </c>
      <c r="BG1189" s="105" t="n">
        <v>0</v>
      </c>
      <c r="BH1189" s="105" t="n">
        <v>0</v>
      </c>
      <c r="BI1189" s="105" t="n">
        <v>0</v>
      </c>
      <c r="BJ1189" s="105" t="n">
        <v>0</v>
      </c>
      <c r="BK1189" s="105" t="n">
        <v>0</v>
      </c>
      <c r="BL1189" s="105" t="n">
        <v>0</v>
      </c>
      <c r="BM1189" s="105" t="n">
        <v>0</v>
      </c>
      <c r="BN1189" s="105" t="n">
        <v>0</v>
      </c>
      <c r="BO1189" s="105" t="n">
        <v>0</v>
      </c>
      <c r="BP1189" s="105" t="n">
        <v>0</v>
      </c>
      <c r="BQ1189" s="105" t="n">
        <v>0</v>
      </c>
      <c r="BR1189" s="106" t="n">
        <v>5</v>
      </c>
      <c r="BS1189" s="106" t="n">
        <v>5</v>
      </c>
      <c r="BT1189" s="107"/>
      <c r="BU1189" s="107"/>
      <c r="BV1189" s="107"/>
      <c r="BW1189" s="107"/>
      <c r="BX1189" s="107"/>
      <c r="BY1189" s="107"/>
      <c r="BZ1189" s="107"/>
      <c r="CA1189" s="107"/>
      <c r="CB1189" s="107"/>
      <c r="CC1189" s="107"/>
      <c r="CD1189" s="107"/>
      <c r="CE1189" s="107"/>
      <c r="CF1189" s="107"/>
      <c r="CG1189" s="107"/>
      <c r="CH1189" s="107"/>
      <c r="CI1189" s="107"/>
      <c r="CJ1189" s="107"/>
      <c r="CK1189" s="107"/>
      <c r="CL1189" s="107"/>
      <c r="CM1189" s="107"/>
      <c r="CN1189" s="107"/>
      <c r="CO1189" s="107"/>
      <c r="CP1189" s="107"/>
      <c r="CQ1189" s="107"/>
      <c r="CR1189" s="107"/>
      <c r="CS1189" s="107"/>
      <c r="CT1189" s="107"/>
      <c r="CU1189" s="107"/>
      <c r="CV1189" s="107"/>
    </row>
    <row r="1190" customFormat="false" ht="14.9" hidden="false" customHeight="false" outlineLevel="0" collapsed="false">
      <c r="A1190" s="74" t="n">
        <f aca="false">MONTH(B1190)</f>
        <v>11</v>
      </c>
      <c r="B1190" s="135" t="n">
        <v>44511</v>
      </c>
      <c r="C1190" s="128" t="s">
        <v>152</v>
      </c>
      <c r="D1190" s="77" t="str">
        <f aca="false">IFERROR(VLOOKUP(E:E,'Item Data Support Sheet'!A:O,7,0),"")</f>
        <v>BOTTLE MOLDED</v>
      </c>
      <c r="E1190" s="80" t="s">
        <v>69</v>
      </c>
      <c r="F1190" s="122" t="s">
        <v>73</v>
      </c>
      <c r="G1190" s="137" t="s">
        <v>74</v>
      </c>
      <c r="H1190" s="79" t="str">
        <f aca="false">IFERROR(VLOOKUP(E:E,'Item Data Support Sheet'!A:O,2,0),"")</f>
        <v>KPP 240 ML BOTTLE MOLDED</v>
      </c>
      <c r="I1190" s="80" t="s">
        <v>1989</v>
      </c>
      <c r="J1190" s="80" t="s">
        <v>1913</v>
      </c>
      <c r="K1190" s="124" t="n">
        <v>8</v>
      </c>
      <c r="L1190" s="124" t="n">
        <v>2574</v>
      </c>
      <c r="M1190" s="83" t="n">
        <v>321.75</v>
      </c>
      <c r="N1190" s="84" t="n">
        <f aca="false">+O1190+Q1190+T1190+U1190</f>
        <v>3338</v>
      </c>
      <c r="O1190" s="85" t="n">
        <v>3240</v>
      </c>
      <c r="P1190" s="86" t="n">
        <v>0</v>
      </c>
      <c r="Q1190" s="86" t="n">
        <v>30</v>
      </c>
      <c r="R1190" s="132" t="n">
        <v>0</v>
      </c>
      <c r="S1190" s="128" t="n">
        <v>0</v>
      </c>
      <c r="T1190" s="132" t="n">
        <v>60</v>
      </c>
      <c r="U1190" s="128" t="n">
        <v>8</v>
      </c>
      <c r="V1190" s="128" t="n">
        <v>1</v>
      </c>
      <c r="W1190" s="90" t="n">
        <f aca="false">IFERROR(O1190/V1190,0)</f>
        <v>3240</v>
      </c>
      <c r="X1190" s="91" t="n">
        <f aca="false">O1190/L1190</f>
        <v>1.25874125874126</v>
      </c>
      <c r="Y1190" s="92" t="str">
        <f aca="false">IFERROR(VLOOKUP(E:E,'Item Data Support Sheet'!A:J,6,0),0)</f>
        <v>HMC</v>
      </c>
      <c r="Z1190" s="93" t="n">
        <f aca="false">IFERROR(VLOOKUP(E:E,'Item Data Support Sheet'!A:O,4,0),0)</f>
        <v>32.1</v>
      </c>
      <c r="AA1190" s="93" t="n">
        <f aca="false">IFERROR(((N1190)*(Z1190/1000))+P1190,0)</f>
        <v>107.1498</v>
      </c>
      <c r="AB1190" s="94" t="n">
        <f aca="false">IFERROR((O1190*(Z1190/1000)/(AA1190))," ")</f>
        <v>0.970641102456561</v>
      </c>
      <c r="AC1190" s="95" t="n">
        <f aca="false">IFERROR((T1190)/((T1190)+O1190),0)</f>
        <v>0.0181818181818182</v>
      </c>
      <c r="AD1190" s="96" t="n">
        <f aca="false">IFERROR(Q1190/(Q1190+N1190),0)</f>
        <v>0.00890736342042755</v>
      </c>
      <c r="AE1190" s="91" t="n">
        <f aca="false">(N1190-T1190)/N1190</f>
        <v>0.982025164769323</v>
      </c>
      <c r="AF1190" s="97" t="n">
        <f aca="false">BR1190</f>
        <v>0</v>
      </c>
      <c r="AG1190" s="98" t="n">
        <f aca="false">K1190-AF1190</f>
        <v>8</v>
      </c>
      <c r="AH1190" s="99" t="n">
        <f aca="false">IFERROR(AG1190/K1190," ")</f>
        <v>1</v>
      </c>
      <c r="AI1190" s="100" t="n">
        <f aca="false">IFERROR(O1190/K1190,0)</f>
        <v>405</v>
      </c>
      <c r="AJ1190" s="101" t="n">
        <f aca="false">VLOOKUP(D1190,'Standard Cycle time'!C:D,2,0)</f>
        <v>9</v>
      </c>
      <c r="AK1190" s="101" t="n">
        <f aca="false">AG1190*V1190*3600/O1190</f>
        <v>8.88888888888889</v>
      </c>
      <c r="AL1190" s="102" t="n">
        <f aca="false">AJ1190/AK1190</f>
        <v>1.0125</v>
      </c>
      <c r="AM1190" s="99" t="n">
        <f aca="false">AE1190*AL1190*AH1190</f>
        <v>0.99430047932894</v>
      </c>
      <c r="AN1190" s="103" t="n">
        <v>0.99430047932894</v>
      </c>
      <c r="AO1190" s="112"/>
      <c r="AP1190" s="105" t="n">
        <v>0</v>
      </c>
      <c r="AQ1190" s="105" t="n">
        <v>0</v>
      </c>
      <c r="AR1190" s="105" t="n">
        <v>0</v>
      </c>
      <c r="AS1190" s="105" t="n">
        <v>0</v>
      </c>
      <c r="AT1190" s="105" t="n">
        <v>0</v>
      </c>
      <c r="AU1190" s="105" t="n">
        <v>0</v>
      </c>
      <c r="AV1190" s="105" t="n">
        <v>0</v>
      </c>
      <c r="AW1190" s="105" t="n">
        <v>0</v>
      </c>
      <c r="AX1190" s="105" t="n">
        <v>0</v>
      </c>
      <c r="AY1190" s="105" t="n">
        <v>0</v>
      </c>
      <c r="AZ1190" s="105" t="n">
        <v>0</v>
      </c>
      <c r="BA1190" s="105" t="n">
        <v>0</v>
      </c>
      <c r="BB1190" s="105" t="n">
        <v>0</v>
      </c>
      <c r="BC1190" s="105" t="n">
        <v>0</v>
      </c>
      <c r="BD1190" s="105" t="n">
        <v>0</v>
      </c>
      <c r="BE1190" s="105" t="n">
        <v>0</v>
      </c>
      <c r="BF1190" s="105" t="n">
        <v>0</v>
      </c>
      <c r="BG1190" s="105" t="n">
        <v>0</v>
      </c>
      <c r="BH1190" s="105" t="n">
        <v>0</v>
      </c>
      <c r="BI1190" s="105" t="n">
        <v>0</v>
      </c>
      <c r="BJ1190" s="105" t="n">
        <v>0</v>
      </c>
      <c r="BK1190" s="105" t="n">
        <v>0</v>
      </c>
      <c r="BL1190" s="105" t="n">
        <v>0</v>
      </c>
      <c r="BM1190" s="105" t="n">
        <v>0</v>
      </c>
      <c r="BN1190" s="105" t="n">
        <v>0</v>
      </c>
      <c r="BO1190" s="105" t="n">
        <v>0</v>
      </c>
      <c r="BP1190" s="105" t="n">
        <v>0</v>
      </c>
      <c r="BQ1190" s="105" t="n">
        <v>0</v>
      </c>
      <c r="BR1190" s="106" t="n">
        <v>0</v>
      </c>
      <c r="BS1190" s="106" t="n">
        <v>0</v>
      </c>
      <c r="BT1190" s="107"/>
      <c r="BU1190" s="107"/>
      <c r="BV1190" s="107"/>
      <c r="BW1190" s="107"/>
      <c r="BX1190" s="107"/>
      <c r="BY1190" s="107"/>
      <c r="BZ1190" s="107"/>
      <c r="CA1190" s="107"/>
      <c r="CB1190" s="107"/>
      <c r="CC1190" s="107"/>
      <c r="CD1190" s="107"/>
      <c r="CE1190" s="107"/>
      <c r="CF1190" s="107"/>
      <c r="CG1190" s="107"/>
      <c r="CH1190" s="107"/>
      <c r="CI1190" s="107"/>
      <c r="CJ1190" s="107"/>
      <c r="CK1190" s="107"/>
      <c r="CL1190" s="107"/>
      <c r="CM1190" s="107"/>
      <c r="CN1190" s="107"/>
      <c r="CO1190" s="107"/>
      <c r="CP1190" s="107"/>
      <c r="CQ1190" s="107"/>
      <c r="CR1190" s="107"/>
      <c r="CS1190" s="107"/>
      <c r="CT1190" s="107"/>
      <c r="CU1190" s="107"/>
      <c r="CV1190" s="107"/>
    </row>
    <row r="1191" customFormat="false" ht="14.9" hidden="false" customHeight="false" outlineLevel="0" collapsed="false">
      <c r="A1191" s="74" t="n">
        <f aca="false">MONTH(B1191)</f>
        <v>11</v>
      </c>
      <c r="B1191" s="135" t="n">
        <v>44511</v>
      </c>
      <c r="C1191" s="128" t="s">
        <v>152</v>
      </c>
      <c r="D1191" s="77" t="str">
        <f aca="false">IFERROR(VLOOKUP(E:E,'Item Data Support Sheet'!A:O,7,0),"")</f>
        <v>NIPPLE MOLDED</v>
      </c>
      <c r="E1191" s="80" t="s">
        <v>809</v>
      </c>
      <c r="F1191" s="122" t="s">
        <v>137</v>
      </c>
      <c r="G1191" s="137" t="s">
        <v>138</v>
      </c>
      <c r="H1191" s="79" t="str">
        <f aca="false">IFERROR(VLOOKUP(E:E,'Item Data Support Sheet'!A:O,2,0),"")</f>
        <v>NIPPLE S TYPE Y SIZE INJECTION</v>
      </c>
      <c r="I1191" s="80" t="s">
        <v>1990</v>
      </c>
      <c r="J1191" s="80" t="s">
        <v>1913</v>
      </c>
      <c r="K1191" s="124" t="n">
        <v>8</v>
      </c>
      <c r="L1191" s="124" t="n">
        <v>4815</v>
      </c>
      <c r="M1191" s="83" t="n">
        <v>601.875</v>
      </c>
      <c r="N1191" s="84" t="n">
        <f aca="false">+O1191+Q1191+T1191+U1191</f>
        <v>5098</v>
      </c>
      <c r="O1191" s="85" t="n">
        <v>5000</v>
      </c>
      <c r="P1191" s="86" t="n">
        <v>0</v>
      </c>
      <c r="Q1191" s="86" t="n">
        <v>24</v>
      </c>
      <c r="R1191" s="132" t="n">
        <v>0</v>
      </c>
      <c r="S1191" s="128" t="n">
        <v>0</v>
      </c>
      <c r="T1191" s="132" t="n">
        <v>58</v>
      </c>
      <c r="U1191" s="128" t="n">
        <v>16</v>
      </c>
      <c r="V1191" s="128" t="n">
        <v>1</v>
      </c>
      <c r="W1191" s="90" t="n">
        <f aca="false">IFERROR(O1191/V1191,0)</f>
        <v>5000</v>
      </c>
      <c r="X1191" s="91" t="n">
        <f aca="false">O1191/L1191</f>
        <v>1.03842159916926</v>
      </c>
      <c r="Y1191" s="92" t="str">
        <f aca="false">IFERROR(VLOOKUP(E:E,'Item Data Support Sheet'!A:J,6,0),0)</f>
        <v>Silicon</v>
      </c>
      <c r="Z1191" s="93" t="n">
        <f aca="false">IFERROR(VLOOKUP(E:E,'Item Data Support Sheet'!A:O,4,0),0)</f>
        <v>6.8</v>
      </c>
      <c r="AA1191" s="93" t="n">
        <f aca="false">IFERROR(((N1191)*(Z1191/1000))+P1191,0)</f>
        <v>34.6664</v>
      </c>
      <c r="AB1191" s="94" t="n">
        <f aca="false">IFERROR((O1191*(Z1191/1000)/(AA1191))," ")</f>
        <v>0.980776775205963</v>
      </c>
      <c r="AC1191" s="95" t="n">
        <f aca="false">IFERROR((T1191)/((T1191)+O1191),0)</f>
        <v>0.0114669829972321</v>
      </c>
      <c r="AD1191" s="96" t="n">
        <f aca="false">IFERROR(Q1191/(Q1191+N1191),0)</f>
        <v>0.00468566966028895</v>
      </c>
      <c r="AE1191" s="91" t="n">
        <f aca="false">(N1191-T1191)/N1191</f>
        <v>0.988622989407611</v>
      </c>
      <c r="AF1191" s="97" t="n">
        <f aca="false">BR1191</f>
        <v>0</v>
      </c>
      <c r="AG1191" s="98" t="n">
        <f aca="false">K1191-AF1191</f>
        <v>8</v>
      </c>
      <c r="AH1191" s="99" t="n">
        <f aca="false">IFERROR(AG1191/K1191," ")</f>
        <v>1</v>
      </c>
      <c r="AI1191" s="100" t="n">
        <f aca="false">IFERROR(O1191/K1191,0)</f>
        <v>625</v>
      </c>
      <c r="AJ1191" s="101" t="n">
        <f aca="false">VLOOKUP(D1191,'Standard Cycle time'!C:D,2,0)</f>
        <v>5.25</v>
      </c>
      <c r="AK1191" s="101" t="n">
        <f aca="false">AG1191*V1191*3600/O1191</f>
        <v>5.76</v>
      </c>
      <c r="AL1191" s="102" t="n">
        <f aca="false">AJ1191/AK1191</f>
        <v>0.911458333333333</v>
      </c>
      <c r="AM1191" s="99" t="n">
        <f aca="false">AE1191*AL1191*AH1191</f>
        <v>0.901088662220479</v>
      </c>
      <c r="AN1191" s="103" t="n">
        <v>0.901088662220479</v>
      </c>
      <c r="AO1191" s="112"/>
      <c r="AP1191" s="105" t="n">
        <v>0</v>
      </c>
      <c r="AQ1191" s="105" t="n">
        <v>0</v>
      </c>
      <c r="AR1191" s="105" t="n">
        <v>0</v>
      </c>
      <c r="AS1191" s="105" t="n">
        <v>0</v>
      </c>
      <c r="AT1191" s="105" t="n">
        <v>0</v>
      </c>
      <c r="AU1191" s="105" t="n">
        <v>0</v>
      </c>
      <c r="AV1191" s="105" t="n">
        <v>0</v>
      </c>
      <c r="AW1191" s="105" t="n">
        <v>0</v>
      </c>
      <c r="AX1191" s="105" t="n">
        <v>0</v>
      </c>
      <c r="AY1191" s="105" t="n">
        <v>0</v>
      </c>
      <c r="AZ1191" s="105" t="n">
        <v>0</v>
      </c>
      <c r="BA1191" s="105" t="n">
        <v>0</v>
      </c>
      <c r="BB1191" s="105" t="n">
        <v>0</v>
      </c>
      <c r="BC1191" s="105" t="n">
        <v>0</v>
      </c>
      <c r="BD1191" s="105" t="n">
        <v>0</v>
      </c>
      <c r="BE1191" s="105" t="n">
        <v>0</v>
      </c>
      <c r="BF1191" s="105" t="n">
        <v>0</v>
      </c>
      <c r="BG1191" s="105" t="n">
        <v>0</v>
      </c>
      <c r="BH1191" s="105" t="n">
        <v>0</v>
      </c>
      <c r="BI1191" s="105" t="n">
        <v>0</v>
      </c>
      <c r="BJ1191" s="105" t="n">
        <v>0</v>
      </c>
      <c r="BK1191" s="105" t="n">
        <v>0</v>
      </c>
      <c r="BL1191" s="105" t="n">
        <v>0</v>
      </c>
      <c r="BM1191" s="105" t="n">
        <v>0</v>
      </c>
      <c r="BN1191" s="105" t="n">
        <v>0</v>
      </c>
      <c r="BO1191" s="105" t="n">
        <v>0</v>
      </c>
      <c r="BP1191" s="105" t="n">
        <v>0</v>
      </c>
      <c r="BQ1191" s="105" t="n">
        <v>0</v>
      </c>
      <c r="BR1191" s="106" t="n">
        <v>0</v>
      </c>
      <c r="BS1191" s="106" t="n">
        <v>0</v>
      </c>
      <c r="BT1191" s="107"/>
      <c r="BU1191" s="107"/>
      <c r="BV1191" s="107"/>
      <c r="BW1191" s="107"/>
      <c r="BX1191" s="107"/>
      <c r="BY1191" s="107"/>
      <c r="BZ1191" s="107"/>
      <c r="CA1191" s="107"/>
      <c r="CB1191" s="107"/>
      <c r="CC1191" s="107"/>
      <c r="CD1191" s="107"/>
      <c r="CE1191" s="107"/>
      <c r="CF1191" s="107"/>
      <c r="CG1191" s="107"/>
      <c r="CH1191" s="107"/>
      <c r="CI1191" s="107"/>
      <c r="CJ1191" s="107"/>
      <c r="CK1191" s="107"/>
      <c r="CL1191" s="107"/>
      <c r="CM1191" s="107"/>
      <c r="CN1191" s="107"/>
      <c r="CO1191" s="107"/>
      <c r="CP1191" s="107"/>
      <c r="CQ1191" s="107"/>
      <c r="CR1191" s="107"/>
      <c r="CS1191" s="107"/>
      <c r="CT1191" s="107"/>
      <c r="CU1191" s="107"/>
      <c r="CV1191" s="107"/>
    </row>
    <row r="1192" customFormat="false" ht="14.9" hidden="false" customHeight="false" outlineLevel="0" collapsed="false">
      <c r="A1192" s="74" t="n">
        <f aca="false">MONTH(B1192)</f>
        <v>11</v>
      </c>
      <c r="B1192" s="135" t="n">
        <v>44512</v>
      </c>
      <c r="C1192" s="128" t="s">
        <v>51</v>
      </c>
      <c r="D1192" s="77" t="str">
        <f aca="false">IFERROR(VLOOKUP(E:E,'Item Data Support Sheet'!A:O,7,0),"")</f>
        <v>BOTTLE MOLDED</v>
      </c>
      <c r="E1192" s="80" t="s">
        <v>69</v>
      </c>
      <c r="F1192" s="122" t="s">
        <v>73</v>
      </c>
      <c r="G1192" s="137" t="s">
        <v>74</v>
      </c>
      <c r="H1192" s="79" t="str">
        <f aca="false">IFERROR(VLOOKUP(E:E,'Item Data Support Sheet'!A:O,2,0),"")</f>
        <v>KPP 240 ML BOTTLE MOLDED</v>
      </c>
      <c r="I1192" s="80" t="s">
        <v>1991</v>
      </c>
      <c r="J1192" s="80" t="s">
        <v>143</v>
      </c>
      <c r="K1192" s="124" t="n">
        <v>8</v>
      </c>
      <c r="L1192" s="124" t="n">
        <v>2574</v>
      </c>
      <c r="M1192" s="83" t="n">
        <v>321.75</v>
      </c>
      <c r="N1192" s="84" t="n">
        <f aca="false">+O1192+Q1192+T1192+U1192</f>
        <v>3406</v>
      </c>
      <c r="O1192" s="85" t="n">
        <v>3348</v>
      </c>
      <c r="P1192" s="86" t="n">
        <v>0</v>
      </c>
      <c r="Q1192" s="86" t="n">
        <v>0</v>
      </c>
      <c r="R1192" s="132" t="n">
        <v>0</v>
      </c>
      <c r="S1192" s="128" t="n">
        <v>0</v>
      </c>
      <c r="T1192" s="132" t="n">
        <v>50</v>
      </c>
      <c r="U1192" s="128" t="n">
        <v>8</v>
      </c>
      <c r="V1192" s="128" t="n">
        <v>1</v>
      </c>
      <c r="W1192" s="90" t="n">
        <f aca="false">IFERROR(O1192/V1192,0)</f>
        <v>3348</v>
      </c>
      <c r="X1192" s="91" t="n">
        <f aca="false">O1192/L1192</f>
        <v>1.3006993006993</v>
      </c>
      <c r="Y1192" s="92" t="str">
        <f aca="false">IFERROR(VLOOKUP(E:E,'Item Data Support Sheet'!A:J,6,0),0)</f>
        <v>HMC</v>
      </c>
      <c r="Z1192" s="93" t="n">
        <f aca="false">IFERROR(VLOOKUP(E:E,'Item Data Support Sheet'!A:O,4,0),0)</f>
        <v>32.1</v>
      </c>
      <c r="AA1192" s="93" t="n">
        <f aca="false">IFERROR(((N1192)*(Z1192/1000))+P1192,0)</f>
        <v>109.3326</v>
      </c>
      <c r="AB1192" s="94" t="n">
        <f aca="false">IFERROR((O1192*(Z1192/1000)/(AA1192))," ")</f>
        <v>0.982971227246036</v>
      </c>
      <c r="AC1192" s="95" t="n">
        <f aca="false">IFERROR((T1192)/((T1192)+O1192),0)</f>
        <v>0.0147145379635079</v>
      </c>
      <c r="AD1192" s="96" t="n">
        <f aca="false">IFERROR(Q1192/(Q1192+N1192),0)</f>
        <v>0</v>
      </c>
      <c r="AE1192" s="91" t="n">
        <f aca="false">(N1192-T1192)/N1192</f>
        <v>0.985320023487962</v>
      </c>
      <c r="AF1192" s="97" t="n">
        <f aca="false">BR1192</f>
        <v>0</v>
      </c>
      <c r="AG1192" s="98" t="n">
        <f aca="false">K1192-AF1192</f>
        <v>8</v>
      </c>
      <c r="AH1192" s="99" t="n">
        <f aca="false">IFERROR(AG1192/K1192," ")</f>
        <v>1</v>
      </c>
      <c r="AI1192" s="100" t="n">
        <f aca="false">IFERROR(O1192/K1192,0)</f>
        <v>418.5</v>
      </c>
      <c r="AJ1192" s="101" t="n">
        <f aca="false">VLOOKUP(D1192,'Standard Cycle time'!C:D,2,0)</f>
        <v>9</v>
      </c>
      <c r="AK1192" s="101" t="n">
        <f aca="false">AG1192*V1192*3600/O1192</f>
        <v>8.60215053763441</v>
      </c>
      <c r="AL1192" s="102" t="n">
        <f aca="false">AJ1192/AK1192</f>
        <v>1.04625</v>
      </c>
      <c r="AM1192" s="99" t="n">
        <f aca="false">AE1192*AL1192*AH1192</f>
        <v>1.03089107457428</v>
      </c>
      <c r="AN1192" s="103" t="n">
        <v>1.03089107457428</v>
      </c>
      <c r="AO1192" s="112"/>
      <c r="AP1192" s="105" t="n">
        <v>0</v>
      </c>
      <c r="AQ1192" s="105" t="n">
        <v>0</v>
      </c>
      <c r="AR1192" s="105" t="n">
        <v>0</v>
      </c>
      <c r="AS1192" s="105" t="n">
        <v>0</v>
      </c>
      <c r="AT1192" s="105" t="n">
        <v>0</v>
      </c>
      <c r="AU1192" s="105" t="n">
        <v>0</v>
      </c>
      <c r="AV1192" s="105" t="n">
        <v>0</v>
      </c>
      <c r="AW1192" s="105" t="n">
        <v>0</v>
      </c>
      <c r="AX1192" s="105" t="n">
        <v>0</v>
      </c>
      <c r="AY1192" s="105" t="n">
        <v>0</v>
      </c>
      <c r="AZ1192" s="105" t="n">
        <v>0</v>
      </c>
      <c r="BA1192" s="105" t="n">
        <v>0</v>
      </c>
      <c r="BB1192" s="105" t="n">
        <v>0</v>
      </c>
      <c r="BC1192" s="105" t="n">
        <v>0</v>
      </c>
      <c r="BD1192" s="105" t="n">
        <v>0</v>
      </c>
      <c r="BE1192" s="105" t="n">
        <v>0</v>
      </c>
      <c r="BF1192" s="105" t="n">
        <v>0</v>
      </c>
      <c r="BG1192" s="105" t="n">
        <v>0</v>
      </c>
      <c r="BH1192" s="105" t="n">
        <v>0</v>
      </c>
      <c r="BI1192" s="105" t="n">
        <v>0</v>
      </c>
      <c r="BJ1192" s="105" t="n">
        <v>0</v>
      </c>
      <c r="BK1192" s="105" t="n">
        <v>0</v>
      </c>
      <c r="BL1192" s="105" t="n">
        <v>0</v>
      </c>
      <c r="BM1192" s="105" t="n">
        <v>0</v>
      </c>
      <c r="BN1192" s="105" t="n">
        <v>0</v>
      </c>
      <c r="BO1192" s="105" t="n">
        <v>0</v>
      </c>
      <c r="BP1192" s="105" t="n">
        <v>0</v>
      </c>
      <c r="BQ1192" s="105" t="n">
        <v>0</v>
      </c>
      <c r="BR1192" s="106" t="n">
        <v>0</v>
      </c>
      <c r="BS1192" s="106" t="n">
        <v>0</v>
      </c>
      <c r="BT1192" s="107"/>
      <c r="BU1192" s="107"/>
      <c r="BV1192" s="107"/>
      <c r="BW1192" s="107"/>
      <c r="BX1192" s="107"/>
      <c r="BY1192" s="107"/>
      <c r="BZ1192" s="107"/>
      <c r="CA1192" s="107"/>
      <c r="CB1192" s="107"/>
      <c r="CC1192" s="107"/>
      <c r="CD1192" s="107"/>
      <c r="CE1192" s="107"/>
      <c r="CF1192" s="107"/>
      <c r="CG1192" s="107"/>
      <c r="CH1192" s="107"/>
      <c r="CI1192" s="107"/>
      <c r="CJ1192" s="107"/>
      <c r="CK1192" s="107"/>
      <c r="CL1192" s="107"/>
      <c r="CM1192" s="107"/>
      <c r="CN1192" s="107"/>
      <c r="CO1192" s="107"/>
      <c r="CP1192" s="107"/>
      <c r="CQ1192" s="107"/>
      <c r="CR1192" s="107"/>
      <c r="CS1192" s="107"/>
      <c r="CT1192" s="107"/>
      <c r="CU1192" s="107"/>
      <c r="CV1192" s="107"/>
    </row>
    <row r="1193" customFormat="false" ht="14.9" hidden="false" customHeight="false" outlineLevel="0" collapsed="false">
      <c r="A1193" s="74" t="n">
        <f aca="false">MONTH(B1193)</f>
        <v>11</v>
      </c>
      <c r="B1193" s="135" t="n">
        <v>44512</v>
      </c>
      <c r="C1193" s="128" t="s">
        <v>51</v>
      </c>
      <c r="D1193" s="77" t="str">
        <f aca="false">IFERROR(VLOOKUP(E:E,'Item Data Support Sheet'!A:O,7,0),"")</f>
        <v>NIPPLE MOLDED</v>
      </c>
      <c r="E1193" s="80" t="s">
        <v>809</v>
      </c>
      <c r="F1193" s="122" t="s">
        <v>137</v>
      </c>
      <c r="G1193" s="137" t="s">
        <v>138</v>
      </c>
      <c r="H1193" s="79" t="str">
        <f aca="false">IFERROR(VLOOKUP(E:E,'Item Data Support Sheet'!A:O,2,0),"")</f>
        <v>NIPPLE S TYPE Y SIZE INJECTION</v>
      </c>
      <c r="I1193" s="80" t="s">
        <v>1992</v>
      </c>
      <c r="J1193" s="80" t="s">
        <v>143</v>
      </c>
      <c r="K1193" s="124" t="n">
        <v>8</v>
      </c>
      <c r="L1193" s="124" t="n">
        <v>4815</v>
      </c>
      <c r="M1193" s="83" t="n">
        <v>601.875</v>
      </c>
      <c r="N1193" s="84" t="n">
        <f aca="false">+O1193+Q1193+T1193+U1193</f>
        <v>5128</v>
      </c>
      <c r="O1193" s="85" t="n">
        <v>5000</v>
      </c>
      <c r="P1193" s="86" t="n">
        <v>0</v>
      </c>
      <c r="Q1193" s="86" t="n">
        <v>72</v>
      </c>
      <c r="R1193" s="132" t="n">
        <v>0</v>
      </c>
      <c r="S1193" s="128" t="n">
        <v>0</v>
      </c>
      <c r="T1193" s="132" t="n">
        <v>48</v>
      </c>
      <c r="U1193" s="128" t="n">
        <v>8</v>
      </c>
      <c r="V1193" s="128" t="n">
        <v>1</v>
      </c>
      <c r="W1193" s="90" t="n">
        <f aca="false">IFERROR(O1193/V1193,0)</f>
        <v>5000</v>
      </c>
      <c r="X1193" s="91" t="n">
        <f aca="false">O1193/L1193</f>
        <v>1.03842159916926</v>
      </c>
      <c r="Y1193" s="92" t="str">
        <f aca="false">IFERROR(VLOOKUP(E:E,'Item Data Support Sheet'!A:J,6,0),0)</f>
        <v>Silicon</v>
      </c>
      <c r="Z1193" s="93" t="n">
        <f aca="false">IFERROR(VLOOKUP(E:E,'Item Data Support Sheet'!A:O,4,0),0)</f>
        <v>6.8</v>
      </c>
      <c r="AA1193" s="93" t="n">
        <f aca="false">IFERROR(((N1193)*(Z1193/1000))+P1193,0)</f>
        <v>34.8704</v>
      </c>
      <c r="AB1193" s="94" t="n">
        <f aca="false">IFERROR((O1193*(Z1193/1000)/(AA1193))," ")</f>
        <v>0.975039001560062</v>
      </c>
      <c r="AC1193" s="95" t="n">
        <f aca="false">IFERROR((T1193)/((T1193)+O1193),0)</f>
        <v>0.00950871632329636</v>
      </c>
      <c r="AD1193" s="96" t="n">
        <f aca="false">IFERROR(Q1193/(Q1193+N1193),0)</f>
        <v>0.0138461538461538</v>
      </c>
      <c r="AE1193" s="91" t="n">
        <f aca="false">(N1193-T1193)/N1193</f>
        <v>0.990639625585023</v>
      </c>
      <c r="AF1193" s="97" t="n">
        <f aca="false">BR1193</f>
        <v>0</v>
      </c>
      <c r="AG1193" s="98" t="n">
        <f aca="false">K1193-AF1193</f>
        <v>8</v>
      </c>
      <c r="AH1193" s="99" t="n">
        <f aca="false">IFERROR(AG1193/K1193," ")</f>
        <v>1</v>
      </c>
      <c r="AI1193" s="100" t="n">
        <f aca="false">IFERROR(O1193/K1193,0)</f>
        <v>625</v>
      </c>
      <c r="AJ1193" s="101" t="n">
        <f aca="false">VLOOKUP(D1193,'Standard Cycle time'!C:D,2,0)</f>
        <v>5.25</v>
      </c>
      <c r="AK1193" s="101" t="n">
        <f aca="false">AG1193*V1193*3600/O1193</f>
        <v>5.76</v>
      </c>
      <c r="AL1193" s="102" t="n">
        <f aca="false">AJ1193/AK1193</f>
        <v>0.911458333333333</v>
      </c>
      <c r="AM1193" s="99" t="n">
        <f aca="false">AE1193*AL1193*AH1193</f>
        <v>0.902926742069683</v>
      </c>
      <c r="AN1193" s="103" t="n">
        <v>0.902926742069683</v>
      </c>
      <c r="AO1193" s="112" t="s">
        <v>1993</v>
      </c>
      <c r="AP1193" s="105" t="n">
        <v>0</v>
      </c>
      <c r="AQ1193" s="105" t="n">
        <v>0</v>
      </c>
      <c r="AR1193" s="105" t="n">
        <v>0</v>
      </c>
      <c r="AS1193" s="105" t="n">
        <v>0</v>
      </c>
      <c r="AT1193" s="105" t="n">
        <v>0</v>
      </c>
      <c r="AU1193" s="105" t="n">
        <v>0</v>
      </c>
      <c r="AV1193" s="105" t="n">
        <v>0</v>
      </c>
      <c r="AW1193" s="105" t="n">
        <v>0</v>
      </c>
      <c r="AX1193" s="105" t="n">
        <v>0</v>
      </c>
      <c r="AY1193" s="105" t="n">
        <v>0</v>
      </c>
      <c r="AZ1193" s="105" t="n">
        <v>0</v>
      </c>
      <c r="BA1193" s="105" t="n">
        <v>0</v>
      </c>
      <c r="BB1193" s="105" t="n">
        <v>0</v>
      </c>
      <c r="BC1193" s="105" t="n">
        <v>0</v>
      </c>
      <c r="BD1193" s="105" t="n">
        <v>0</v>
      </c>
      <c r="BE1193" s="105" t="n">
        <v>0</v>
      </c>
      <c r="BF1193" s="105" t="n">
        <v>0</v>
      </c>
      <c r="BG1193" s="105" t="n">
        <v>0</v>
      </c>
      <c r="BH1193" s="105" t="n">
        <v>0</v>
      </c>
      <c r="BI1193" s="105" t="n">
        <v>0</v>
      </c>
      <c r="BJ1193" s="105" t="n">
        <v>0</v>
      </c>
      <c r="BK1193" s="105" t="n">
        <v>0</v>
      </c>
      <c r="BL1193" s="105" t="n">
        <v>0</v>
      </c>
      <c r="BM1193" s="105" t="n">
        <v>0</v>
      </c>
      <c r="BN1193" s="105" t="n">
        <v>0</v>
      </c>
      <c r="BO1193" s="105" t="n">
        <v>0</v>
      </c>
      <c r="BP1193" s="105" t="n">
        <v>0</v>
      </c>
      <c r="BQ1193" s="105" t="n">
        <v>0</v>
      </c>
      <c r="BR1193" s="106" t="n">
        <v>0</v>
      </c>
      <c r="BS1193" s="106" t="n">
        <v>0</v>
      </c>
      <c r="BT1193" s="107"/>
      <c r="BU1193" s="107"/>
      <c r="BV1193" s="107"/>
      <c r="BW1193" s="107"/>
      <c r="BX1193" s="107"/>
      <c r="BY1193" s="107"/>
      <c r="BZ1193" s="107"/>
      <c r="CA1193" s="107"/>
      <c r="CB1193" s="107"/>
      <c r="CC1193" s="107"/>
      <c r="CD1193" s="107"/>
      <c r="CE1193" s="107"/>
      <c r="CF1193" s="107"/>
      <c r="CG1193" s="107"/>
      <c r="CH1193" s="107"/>
      <c r="CI1193" s="107"/>
      <c r="CJ1193" s="107"/>
      <c r="CK1193" s="107"/>
      <c r="CL1193" s="107"/>
      <c r="CM1193" s="107"/>
      <c r="CN1193" s="107"/>
      <c r="CO1193" s="107"/>
      <c r="CP1193" s="107"/>
      <c r="CQ1193" s="107"/>
      <c r="CR1193" s="107"/>
      <c r="CS1193" s="107"/>
      <c r="CT1193" s="107"/>
      <c r="CU1193" s="107"/>
      <c r="CV1193" s="107"/>
    </row>
    <row r="1194" customFormat="false" ht="14.9" hidden="false" customHeight="false" outlineLevel="0" collapsed="false">
      <c r="A1194" s="74" t="n">
        <f aca="false">MONTH(B1194)</f>
        <v>11</v>
      </c>
      <c r="B1194" s="135" t="n">
        <v>44512</v>
      </c>
      <c r="C1194" s="128" t="s">
        <v>51</v>
      </c>
      <c r="D1194" s="77" t="str">
        <f aca="false">IFERROR(VLOOKUP(E:E,'Item Data Support Sheet'!A:O,7,0),"")</f>
        <v>NIPPLE PUNCH</v>
      </c>
      <c r="E1194" s="80" t="s">
        <v>834</v>
      </c>
      <c r="F1194" s="122"/>
      <c r="G1194" s="137" t="s">
        <v>54</v>
      </c>
      <c r="H1194" s="79" t="str">
        <f aca="false">IFERROR(VLOOKUP(E:E,'Item Data Support Sheet'!A:O,2,0),"")</f>
        <v>NIPPLE S TYPE Y SIZE PUNCHED</v>
      </c>
      <c r="I1194" s="80" t="s">
        <v>1994</v>
      </c>
      <c r="J1194" s="80" t="s">
        <v>143</v>
      </c>
      <c r="K1194" s="124" t="n">
        <v>8</v>
      </c>
      <c r="L1194" s="124" t="n">
        <v>7000</v>
      </c>
      <c r="M1194" s="83" t="n">
        <v>875</v>
      </c>
      <c r="N1194" s="84" t="n">
        <f aca="false">+O1194+Q1194+T1194+U1194</f>
        <v>7000</v>
      </c>
      <c r="O1194" s="85" t="n">
        <v>7000</v>
      </c>
      <c r="P1194" s="86" t="n">
        <v>0</v>
      </c>
      <c r="Q1194" s="86" t="n">
        <v>0</v>
      </c>
      <c r="R1194" s="132" t="n">
        <v>0</v>
      </c>
      <c r="S1194" s="128" t="n">
        <v>0</v>
      </c>
      <c r="T1194" s="132" t="n">
        <v>0</v>
      </c>
      <c r="U1194" s="128" t="n">
        <v>0</v>
      </c>
      <c r="V1194" s="128" t="n">
        <v>1</v>
      </c>
      <c r="W1194" s="90" t="n">
        <f aca="false">IFERROR(O1194/V1194,0)</f>
        <v>7000</v>
      </c>
      <c r="X1194" s="91" t="n">
        <f aca="false">O1194/L1194</f>
        <v>1</v>
      </c>
      <c r="Y1194" s="92" t="str">
        <f aca="false">IFERROR(VLOOKUP(E:E,'Item Data Support Sheet'!A:J,6,0),0)</f>
        <v>FO018</v>
      </c>
      <c r="Z1194" s="93" t="n">
        <f aca="false">IFERROR(VLOOKUP(E:E,'Item Data Support Sheet'!A:O,4,0),0)</f>
        <v>0</v>
      </c>
      <c r="AA1194" s="93" t="n">
        <f aca="false">IFERROR(((N1194)*(Z1194/1000))+P1194,0)</f>
        <v>0</v>
      </c>
      <c r="AB1194" s="94" t="str">
        <f aca="false">IFERROR((O1194*(Z1194/1000)/(AA1194))," ")</f>
        <v> </v>
      </c>
      <c r="AC1194" s="95" t="n">
        <f aca="false">IFERROR((T1194)/((T1194)+O1194),0)</f>
        <v>0</v>
      </c>
      <c r="AD1194" s="96" t="n">
        <f aca="false">IFERROR(Q1194/(Q1194+N1194),0)</f>
        <v>0</v>
      </c>
      <c r="AE1194" s="91" t="n">
        <f aca="false">(N1194-T1194)/N1194</f>
        <v>1</v>
      </c>
      <c r="AF1194" s="97" t="n">
        <f aca="false">BR1194</f>
        <v>0.666666666666667</v>
      </c>
      <c r="AG1194" s="98" t="n">
        <f aca="false">K1194-AF1194</f>
        <v>7.33333333333333</v>
      </c>
      <c r="AH1194" s="99" t="n">
        <f aca="false">IFERROR(AG1194/K1194," ")</f>
        <v>0.916666666666667</v>
      </c>
      <c r="AI1194" s="100" t="n">
        <f aca="false">IFERROR(O1194/K1194,0)</f>
        <v>875</v>
      </c>
      <c r="AJ1194" s="101" t="n">
        <f aca="false">VLOOKUP(D1194,'Standard Cycle time'!C:D,2,0)</f>
        <v>3.5</v>
      </c>
      <c r="AK1194" s="101" t="n">
        <f aca="false">AG1194*V1194*3600/O1194</f>
        <v>3.77142857142857</v>
      </c>
      <c r="AL1194" s="102" t="n">
        <f aca="false">AJ1194/AK1194</f>
        <v>0.928030303030303</v>
      </c>
      <c r="AM1194" s="99" t="n">
        <f aca="false">AE1194*AL1194*AH1194</f>
        <v>0.850694444444444</v>
      </c>
      <c r="AN1194" s="103" t="n">
        <v>0.850694444444444</v>
      </c>
      <c r="AO1194" s="112"/>
      <c r="AP1194" s="105" t="n">
        <v>40</v>
      </c>
      <c r="AQ1194" s="105" t="n">
        <v>0</v>
      </c>
      <c r="AR1194" s="105" t="n">
        <v>0</v>
      </c>
      <c r="AS1194" s="105" t="n">
        <v>0</v>
      </c>
      <c r="AT1194" s="105" t="n">
        <v>0</v>
      </c>
      <c r="AU1194" s="105" t="n">
        <v>0</v>
      </c>
      <c r="AV1194" s="105" t="n">
        <v>0</v>
      </c>
      <c r="AW1194" s="105" t="n">
        <v>0</v>
      </c>
      <c r="AX1194" s="105" t="n">
        <v>0</v>
      </c>
      <c r="AY1194" s="105" t="n">
        <v>0</v>
      </c>
      <c r="AZ1194" s="105" t="n">
        <v>0</v>
      </c>
      <c r="BA1194" s="105" t="n">
        <v>0</v>
      </c>
      <c r="BB1194" s="105" t="n">
        <v>0</v>
      </c>
      <c r="BC1194" s="105" t="n">
        <v>0</v>
      </c>
      <c r="BD1194" s="105" t="n">
        <v>0</v>
      </c>
      <c r="BE1194" s="105" t="n">
        <v>0</v>
      </c>
      <c r="BF1194" s="105" t="n">
        <v>0</v>
      </c>
      <c r="BG1194" s="105" t="n">
        <v>0</v>
      </c>
      <c r="BH1194" s="105" t="n">
        <v>0</v>
      </c>
      <c r="BI1194" s="105" t="n">
        <v>0</v>
      </c>
      <c r="BJ1194" s="105" t="n">
        <v>0</v>
      </c>
      <c r="BK1194" s="105" t="n">
        <v>0</v>
      </c>
      <c r="BL1194" s="105" t="n">
        <v>0</v>
      </c>
      <c r="BM1194" s="105" t="n">
        <v>0</v>
      </c>
      <c r="BN1194" s="105" t="n">
        <v>0</v>
      </c>
      <c r="BO1194" s="105" t="n">
        <v>0</v>
      </c>
      <c r="BP1194" s="105" t="n">
        <v>0</v>
      </c>
      <c r="BQ1194" s="105" t="n">
        <v>0</v>
      </c>
      <c r="BR1194" s="106" t="n">
        <v>0.666666666666667</v>
      </c>
      <c r="BS1194" s="106" t="n">
        <v>0.666666666666667</v>
      </c>
      <c r="BT1194" s="107"/>
      <c r="BU1194" s="107"/>
      <c r="BV1194" s="107"/>
      <c r="BW1194" s="107"/>
      <c r="BX1194" s="107"/>
      <c r="BY1194" s="107"/>
      <c r="BZ1194" s="107"/>
      <c r="CA1194" s="107"/>
      <c r="CB1194" s="107"/>
      <c r="CC1194" s="107"/>
      <c r="CD1194" s="107"/>
      <c r="CE1194" s="107"/>
      <c r="CF1194" s="107"/>
      <c r="CG1194" s="107"/>
      <c r="CH1194" s="107"/>
      <c r="CI1194" s="107"/>
      <c r="CJ1194" s="107"/>
      <c r="CK1194" s="107"/>
      <c r="CL1194" s="107"/>
      <c r="CM1194" s="107"/>
      <c r="CN1194" s="107"/>
      <c r="CO1194" s="107"/>
      <c r="CP1194" s="107"/>
      <c r="CQ1194" s="107"/>
      <c r="CR1194" s="107"/>
      <c r="CS1194" s="107"/>
      <c r="CT1194" s="107"/>
      <c r="CU1194" s="107"/>
      <c r="CV1194" s="107"/>
    </row>
    <row r="1195" customFormat="false" ht="14.9" hidden="false" customHeight="false" outlineLevel="0" collapsed="false">
      <c r="A1195" s="74" t="n">
        <f aca="false">MONTH(B1195)</f>
        <v>11</v>
      </c>
      <c r="B1195" s="135" t="n">
        <v>44512</v>
      </c>
      <c r="C1195" s="128" t="s">
        <v>51</v>
      </c>
      <c r="D1195" s="77" t="str">
        <f aca="false">IFERROR(VLOOKUP(E:E,'Item Data Support Sheet'!A:O,7,0),"")</f>
        <v>NIPPLE LASER MARKING</v>
      </c>
      <c r="E1195" s="80" t="s">
        <v>885</v>
      </c>
      <c r="F1195" s="122"/>
      <c r="G1195" s="137" t="s">
        <v>517</v>
      </c>
      <c r="H1195" s="79" t="str">
        <f aca="false">IFERROR(VLOOKUP(E:E,'Item Data Support Sheet'!A:O,2,0),"")</f>
        <v>NIPPLE S TYPE Y SIZE PUNCHED LASER MARKED</v>
      </c>
      <c r="I1195" s="80" t="s">
        <v>1995</v>
      </c>
      <c r="J1195" s="80" t="s">
        <v>143</v>
      </c>
      <c r="K1195" s="124" t="n">
        <v>8</v>
      </c>
      <c r="L1195" s="124" t="n">
        <v>7000</v>
      </c>
      <c r="M1195" s="83" t="n">
        <v>875</v>
      </c>
      <c r="N1195" s="84" t="n">
        <f aca="false">+O1195+Q1195+T1195+U1195</f>
        <v>7000</v>
      </c>
      <c r="O1195" s="85" t="n">
        <v>7000</v>
      </c>
      <c r="P1195" s="86" t="n">
        <v>0</v>
      </c>
      <c r="Q1195" s="86" t="n">
        <v>0</v>
      </c>
      <c r="R1195" s="132" t="n">
        <v>0</v>
      </c>
      <c r="S1195" s="128" t="n">
        <v>0</v>
      </c>
      <c r="T1195" s="132" t="n">
        <v>0</v>
      </c>
      <c r="U1195" s="128" t="n">
        <v>0</v>
      </c>
      <c r="V1195" s="128" t="n">
        <v>1</v>
      </c>
      <c r="W1195" s="90" t="n">
        <f aca="false">IFERROR(O1195/V1195,0)</f>
        <v>7000</v>
      </c>
      <c r="X1195" s="91" t="n">
        <f aca="false">O1195/L1195</f>
        <v>1</v>
      </c>
      <c r="Y1195" s="92" t="str">
        <f aca="false">IFERROR(VLOOKUP(E:E,'Item Data Support Sheet'!A:J,6,0),0)</f>
        <v>FO022</v>
      </c>
      <c r="Z1195" s="93" t="n">
        <f aca="false">IFERROR(VLOOKUP(E:E,'Item Data Support Sheet'!A:O,4,0),0)</f>
        <v>0</v>
      </c>
      <c r="AA1195" s="93" t="n">
        <f aca="false">IFERROR(((N1195)*(Z1195/1000))+P1195,0)</f>
        <v>0</v>
      </c>
      <c r="AB1195" s="94" t="str">
        <f aca="false">IFERROR((O1195*(Z1195/1000)/(AA1195))," ")</f>
        <v> </v>
      </c>
      <c r="AC1195" s="95" t="n">
        <f aca="false">IFERROR((T1195)/((T1195)+O1195),0)</f>
        <v>0</v>
      </c>
      <c r="AD1195" s="96" t="n">
        <f aca="false">IFERROR(Q1195/(Q1195+N1195),0)</f>
        <v>0</v>
      </c>
      <c r="AE1195" s="91" t="n">
        <f aca="false">(N1195-T1195)/N1195</f>
        <v>1</v>
      </c>
      <c r="AF1195" s="97" t="n">
        <f aca="false">BR1195</f>
        <v>0.666666666666667</v>
      </c>
      <c r="AG1195" s="98" t="n">
        <f aca="false">K1195-AF1195</f>
        <v>7.33333333333333</v>
      </c>
      <c r="AH1195" s="99" t="n">
        <f aca="false">IFERROR(AG1195/K1195," ")</f>
        <v>0.916666666666667</v>
      </c>
      <c r="AI1195" s="100" t="n">
        <f aca="false">IFERROR(O1195/K1195,0)</f>
        <v>875</v>
      </c>
      <c r="AJ1195" s="101" t="n">
        <f aca="false">VLOOKUP(D1195,'Standard Cycle time'!C:D,2,0)</f>
        <v>3.5</v>
      </c>
      <c r="AK1195" s="101" t="n">
        <f aca="false">AG1195*V1195*3600/O1195</f>
        <v>3.77142857142857</v>
      </c>
      <c r="AL1195" s="102" t="n">
        <f aca="false">AJ1195/AK1195</f>
        <v>0.928030303030303</v>
      </c>
      <c r="AM1195" s="99" t="n">
        <f aca="false">AE1195*AL1195*AH1195</f>
        <v>0.850694444444444</v>
      </c>
      <c r="AN1195" s="103" t="n">
        <v>0.850694444444444</v>
      </c>
      <c r="AO1195" s="112"/>
      <c r="AP1195" s="105" t="n">
        <v>40</v>
      </c>
      <c r="AQ1195" s="105" t="n">
        <v>0</v>
      </c>
      <c r="AR1195" s="105" t="n">
        <v>0</v>
      </c>
      <c r="AS1195" s="105" t="n">
        <v>0</v>
      </c>
      <c r="AT1195" s="105" t="n">
        <v>0</v>
      </c>
      <c r="AU1195" s="105" t="n">
        <v>0</v>
      </c>
      <c r="AV1195" s="105" t="n">
        <v>0</v>
      </c>
      <c r="AW1195" s="105" t="n">
        <v>0</v>
      </c>
      <c r="AX1195" s="105" t="n">
        <v>0</v>
      </c>
      <c r="AY1195" s="105" t="n">
        <v>0</v>
      </c>
      <c r="AZ1195" s="105" t="n">
        <v>0</v>
      </c>
      <c r="BA1195" s="105" t="n">
        <v>0</v>
      </c>
      <c r="BB1195" s="105" t="n">
        <v>0</v>
      </c>
      <c r="BC1195" s="105" t="n">
        <v>0</v>
      </c>
      <c r="BD1195" s="105" t="n">
        <v>0</v>
      </c>
      <c r="BE1195" s="105" t="n">
        <v>0</v>
      </c>
      <c r="BF1195" s="105" t="n">
        <v>0</v>
      </c>
      <c r="BG1195" s="105" t="n">
        <v>0</v>
      </c>
      <c r="BH1195" s="105" t="n">
        <v>0</v>
      </c>
      <c r="BI1195" s="105" t="n">
        <v>0</v>
      </c>
      <c r="BJ1195" s="105" t="n">
        <v>0</v>
      </c>
      <c r="BK1195" s="105" t="n">
        <v>0</v>
      </c>
      <c r="BL1195" s="105" t="n">
        <v>0</v>
      </c>
      <c r="BM1195" s="105" t="n">
        <v>0</v>
      </c>
      <c r="BN1195" s="105" t="n">
        <v>0</v>
      </c>
      <c r="BO1195" s="105" t="n">
        <v>0</v>
      </c>
      <c r="BP1195" s="105" t="n">
        <v>0</v>
      </c>
      <c r="BQ1195" s="105" t="n">
        <v>0</v>
      </c>
      <c r="BR1195" s="106" t="n">
        <v>0.666666666666667</v>
      </c>
      <c r="BS1195" s="106" t="n">
        <v>0.666666666666667</v>
      </c>
      <c r="BT1195" s="107"/>
      <c r="BU1195" s="107"/>
      <c r="BV1195" s="107"/>
      <c r="BW1195" s="107"/>
      <c r="BX1195" s="107"/>
      <c r="BY1195" s="107"/>
      <c r="BZ1195" s="107"/>
      <c r="CA1195" s="107"/>
      <c r="CB1195" s="107"/>
      <c r="CC1195" s="107"/>
      <c r="CD1195" s="107"/>
      <c r="CE1195" s="107"/>
      <c r="CF1195" s="107"/>
      <c r="CG1195" s="107"/>
      <c r="CH1195" s="107"/>
      <c r="CI1195" s="107"/>
      <c r="CJ1195" s="107"/>
      <c r="CK1195" s="107"/>
      <c r="CL1195" s="107"/>
      <c r="CM1195" s="107"/>
      <c r="CN1195" s="107"/>
      <c r="CO1195" s="107"/>
      <c r="CP1195" s="107"/>
      <c r="CQ1195" s="107"/>
      <c r="CR1195" s="107"/>
      <c r="CS1195" s="107"/>
      <c r="CT1195" s="107"/>
      <c r="CU1195" s="107"/>
      <c r="CV1195" s="107"/>
    </row>
    <row r="1196" customFormat="false" ht="14.9" hidden="false" customHeight="false" outlineLevel="0" collapsed="false">
      <c r="A1196" s="74" t="n">
        <f aca="false">MONTH(B1196)</f>
        <v>11</v>
      </c>
      <c r="B1196" s="135" t="n">
        <v>44512</v>
      </c>
      <c r="C1196" s="128" t="s">
        <v>51</v>
      </c>
      <c r="D1196" s="77" t="str">
        <f aca="false">IFERROR(VLOOKUP(E:E,'Item Data Support Sheet'!A:O,7,0),"")</f>
        <v>BOTTLE PRINTED</v>
      </c>
      <c r="E1196" s="80" t="s">
        <v>320</v>
      </c>
      <c r="F1196" s="122"/>
      <c r="G1196" s="137"/>
      <c r="H1196" s="79" t="str">
        <f aca="false">IFERROR(VLOOKUP(E:E,'Item Data Support Sheet'!A:O,2,0),"")</f>
        <v>KPP 200 ML BOTTLE PRINTED</v>
      </c>
      <c r="I1196" s="80" t="s">
        <v>1986</v>
      </c>
      <c r="J1196" s="80" t="s">
        <v>1947</v>
      </c>
      <c r="K1196" s="124" t="n">
        <v>2</v>
      </c>
      <c r="L1196" s="124" t="n">
        <v>1280</v>
      </c>
      <c r="M1196" s="83" t="n">
        <v>640</v>
      </c>
      <c r="N1196" s="84" t="n">
        <f aca="false">+O1196+Q1196+T1196+U1196</f>
        <v>863</v>
      </c>
      <c r="O1196" s="85" t="n">
        <v>854</v>
      </c>
      <c r="P1196" s="86" t="n">
        <v>0</v>
      </c>
      <c r="Q1196" s="86" t="n">
        <v>0</v>
      </c>
      <c r="R1196" s="132" t="n">
        <v>9</v>
      </c>
      <c r="S1196" s="128" t="n">
        <v>0</v>
      </c>
      <c r="T1196" s="132" t="n">
        <v>9</v>
      </c>
      <c r="U1196" s="128" t="n">
        <v>0</v>
      </c>
      <c r="V1196" s="128" t="n">
        <v>4</v>
      </c>
      <c r="W1196" s="90" t="n">
        <f aca="false">IFERROR(O1196/V1196,0)</f>
        <v>213.5</v>
      </c>
      <c r="X1196" s="91" t="n">
        <f aca="false">O1196/L1196</f>
        <v>0.6671875</v>
      </c>
      <c r="Y1196" s="92" t="str">
        <f aca="false">IFERROR(VLOOKUP(E:E,'Item Data Support Sheet'!A:J,6,0),0)</f>
        <v>FO002</v>
      </c>
      <c r="Z1196" s="93" t="n">
        <f aca="false">IFERROR(VLOOKUP(E:E,'Item Data Support Sheet'!A:O,4,0),0)</f>
        <v>0</v>
      </c>
      <c r="AA1196" s="93" t="n">
        <f aca="false">IFERROR(((N1196)*(Z1196/1000))+P1196,0)</f>
        <v>0</v>
      </c>
      <c r="AB1196" s="94" t="str">
        <f aca="false">IFERROR((O1196*(Z1196/1000)/(AA1196))," ")</f>
        <v> </v>
      </c>
      <c r="AC1196" s="95" t="n">
        <f aca="false">IFERROR((T1196)/((T1196)+O1196),0)</f>
        <v>0.0104287369640788</v>
      </c>
      <c r="AD1196" s="96" t="n">
        <f aca="false">IFERROR(Q1196/(Q1196+N1196),0)</f>
        <v>0</v>
      </c>
      <c r="AE1196" s="91" t="n">
        <f aca="false">(N1196-T1196)/N1196</f>
        <v>0.989571263035921</v>
      </c>
      <c r="AF1196" s="97" t="n">
        <f aca="false">BR1196</f>
        <v>0</v>
      </c>
      <c r="AG1196" s="98" t="n">
        <f aca="false">K1196-AF1196</f>
        <v>2</v>
      </c>
      <c r="AH1196" s="99" t="n">
        <f aca="false">IFERROR(AG1196/K1196," ")</f>
        <v>1</v>
      </c>
      <c r="AI1196" s="100" t="n">
        <f aca="false">IFERROR(O1196/K1196,0)</f>
        <v>427</v>
      </c>
      <c r="AJ1196" s="101" t="n">
        <f aca="false">VLOOKUP(D1196,'Standard Cycle time'!C:D,2,0)</f>
        <v>32.4</v>
      </c>
      <c r="AK1196" s="101" t="n">
        <f aca="false">AG1196*V1196*3600/O1196</f>
        <v>33.7236533957845</v>
      </c>
      <c r="AL1196" s="102" t="n">
        <f aca="false">AJ1196/AK1196</f>
        <v>0.96075</v>
      </c>
      <c r="AM1196" s="99" t="n">
        <f aca="false">AE1196*AL1196*AH1196</f>
        <v>0.950730590961761</v>
      </c>
      <c r="AN1196" s="103" t="n">
        <v>0.950730590961761</v>
      </c>
      <c r="AO1196" s="112" t="s">
        <v>1599</v>
      </c>
      <c r="AP1196" s="105" t="n">
        <v>0</v>
      </c>
      <c r="AQ1196" s="105" t="n">
        <v>0</v>
      </c>
      <c r="AR1196" s="105" t="n">
        <v>0</v>
      </c>
      <c r="AS1196" s="105" t="n">
        <v>0</v>
      </c>
      <c r="AT1196" s="105" t="n">
        <v>0</v>
      </c>
      <c r="AU1196" s="105" t="n">
        <v>0</v>
      </c>
      <c r="AV1196" s="105" t="n">
        <v>0</v>
      </c>
      <c r="AW1196" s="105" t="n">
        <v>0</v>
      </c>
      <c r="AX1196" s="105" t="n">
        <v>0</v>
      </c>
      <c r="AY1196" s="105" t="n">
        <v>0</v>
      </c>
      <c r="AZ1196" s="105" t="n">
        <v>0</v>
      </c>
      <c r="BA1196" s="105" t="n">
        <v>0</v>
      </c>
      <c r="BB1196" s="105" t="n">
        <v>0</v>
      </c>
      <c r="BC1196" s="105" t="n">
        <v>0</v>
      </c>
      <c r="BD1196" s="105" t="n">
        <v>0</v>
      </c>
      <c r="BE1196" s="105" t="n">
        <v>0</v>
      </c>
      <c r="BF1196" s="105" t="n">
        <v>0</v>
      </c>
      <c r="BG1196" s="105" t="n">
        <v>0</v>
      </c>
      <c r="BH1196" s="105" t="n">
        <v>0</v>
      </c>
      <c r="BI1196" s="105" t="n">
        <v>0</v>
      </c>
      <c r="BJ1196" s="105" t="n">
        <v>0</v>
      </c>
      <c r="BK1196" s="105" t="n">
        <v>0</v>
      </c>
      <c r="BL1196" s="105" t="n">
        <v>0</v>
      </c>
      <c r="BM1196" s="105" t="n">
        <v>0</v>
      </c>
      <c r="BN1196" s="105" t="n">
        <v>0</v>
      </c>
      <c r="BO1196" s="105" t="n">
        <v>0</v>
      </c>
      <c r="BP1196" s="105" t="n">
        <v>0</v>
      </c>
      <c r="BQ1196" s="105" t="n">
        <v>0</v>
      </c>
      <c r="BR1196" s="106" t="n">
        <v>0</v>
      </c>
      <c r="BS1196" s="106" t="n">
        <v>0</v>
      </c>
      <c r="BT1196" s="107"/>
      <c r="BU1196" s="107"/>
      <c r="BV1196" s="107"/>
      <c r="BW1196" s="107"/>
      <c r="BX1196" s="107"/>
      <c r="BY1196" s="107"/>
      <c r="BZ1196" s="107"/>
      <c r="CA1196" s="107"/>
      <c r="CB1196" s="107"/>
      <c r="CC1196" s="107"/>
      <c r="CD1196" s="107"/>
      <c r="CE1196" s="107"/>
      <c r="CF1196" s="107"/>
      <c r="CG1196" s="107"/>
      <c r="CH1196" s="107"/>
      <c r="CI1196" s="107"/>
      <c r="CJ1196" s="107"/>
      <c r="CK1196" s="107"/>
      <c r="CL1196" s="107"/>
      <c r="CM1196" s="107"/>
      <c r="CN1196" s="107"/>
      <c r="CO1196" s="107"/>
      <c r="CP1196" s="107"/>
      <c r="CQ1196" s="107"/>
      <c r="CR1196" s="107"/>
      <c r="CS1196" s="107"/>
      <c r="CT1196" s="107"/>
      <c r="CU1196" s="107"/>
      <c r="CV1196" s="107"/>
    </row>
    <row r="1197" customFormat="false" ht="14.9" hidden="false" customHeight="false" outlineLevel="0" collapsed="false">
      <c r="A1197" s="74" t="n">
        <f aca="false">MONTH(B1197)</f>
        <v>11</v>
      </c>
      <c r="B1197" s="135" t="n">
        <v>44512</v>
      </c>
      <c r="C1197" s="128" t="s">
        <v>51</v>
      </c>
      <c r="D1197" s="77" t="str">
        <f aca="false">IFERROR(VLOOKUP(E:E,'Item Data Support Sheet'!A:O,7,0),"")</f>
        <v>BOTTLE PRINTED</v>
      </c>
      <c r="E1197" s="80" t="s">
        <v>65</v>
      </c>
      <c r="F1197" s="122"/>
      <c r="G1197" s="137"/>
      <c r="H1197" s="79" t="str">
        <f aca="false">IFERROR(VLOOKUP(E:E,'Item Data Support Sheet'!A:O,2,0),"")</f>
        <v>KPP 240 ML BOTTLE PRINTED</v>
      </c>
      <c r="I1197" s="80" t="s">
        <v>1996</v>
      </c>
      <c r="J1197" s="80" t="s">
        <v>1947</v>
      </c>
      <c r="K1197" s="124" t="n">
        <v>6</v>
      </c>
      <c r="L1197" s="124" t="n">
        <v>3840</v>
      </c>
      <c r="M1197" s="83" t="n">
        <v>640</v>
      </c>
      <c r="N1197" s="84" t="n">
        <f aca="false">+O1197+Q1197+T1197+U1197</f>
        <v>3386</v>
      </c>
      <c r="O1197" s="85" t="n">
        <v>3348</v>
      </c>
      <c r="P1197" s="86" t="n">
        <v>0</v>
      </c>
      <c r="Q1197" s="86" t="n">
        <v>0</v>
      </c>
      <c r="R1197" s="132" t="n">
        <v>31</v>
      </c>
      <c r="S1197" s="128" t="n">
        <v>0</v>
      </c>
      <c r="T1197" s="132" t="n">
        <v>38</v>
      </c>
      <c r="U1197" s="128" t="n">
        <v>0</v>
      </c>
      <c r="V1197" s="128" t="n">
        <v>5</v>
      </c>
      <c r="W1197" s="90" t="n">
        <f aca="false">IFERROR(O1197/V1197,0)</f>
        <v>669.6</v>
      </c>
      <c r="X1197" s="91" t="n">
        <f aca="false">O1197/L1197</f>
        <v>0.871875</v>
      </c>
      <c r="Y1197" s="92" t="str">
        <f aca="false">IFERROR(VLOOKUP(E:E,'Item Data Support Sheet'!A:J,6,0),0)</f>
        <v>FO003</v>
      </c>
      <c r="Z1197" s="93" t="n">
        <f aca="false">IFERROR(VLOOKUP(E:E,'Item Data Support Sheet'!A:O,4,0),0)</f>
        <v>0</v>
      </c>
      <c r="AA1197" s="93" t="n">
        <f aca="false">IFERROR(((N1197)*(Z1197/1000))+P1197,0)</f>
        <v>0</v>
      </c>
      <c r="AB1197" s="94" t="str">
        <f aca="false">IFERROR((O1197*(Z1197/1000)/(AA1197))," ")</f>
        <v> </v>
      </c>
      <c r="AC1197" s="95" t="n">
        <f aca="false">IFERROR((T1197)/((T1197)+O1197),0)</f>
        <v>0.0112226816302422</v>
      </c>
      <c r="AD1197" s="96" t="n">
        <f aca="false">IFERROR(Q1197/(Q1197+N1197),0)</f>
        <v>0</v>
      </c>
      <c r="AE1197" s="91" t="n">
        <f aca="false">(N1197-T1197)/N1197</f>
        <v>0.988777318369758</v>
      </c>
      <c r="AF1197" s="97" t="n">
        <f aca="false">BR1197</f>
        <v>1</v>
      </c>
      <c r="AG1197" s="98" t="n">
        <f aca="false">K1197-AF1197</f>
        <v>5</v>
      </c>
      <c r="AH1197" s="99" t="n">
        <f aca="false">IFERROR(AG1197/K1197," ")</f>
        <v>0.833333333333333</v>
      </c>
      <c r="AI1197" s="100" t="n">
        <f aca="false">IFERROR(O1197/K1197,0)</f>
        <v>558</v>
      </c>
      <c r="AJ1197" s="101" t="n">
        <f aca="false">VLOOKUP(D1197,'Standard Cycle time'!C:D,2,0)</f>
        <v>32.4</v>
      </c>
      <c r="AK1197" s="101" t="n">
        <f aca="false">AG1197*V1197*3600/O1197</f>
        <v>26.8817204301075</v>
      </c>
      <c r="AL1197" s="102" t="n">
        <f aca="false">AJ1197/AK1197</f>
        <v>1.20528</v>
      </c>
      <c r="AM1197" s="99" t="n">
        <f aca="false">AE1197*AL1197*AH1197</f>
        <v>0.993127938570585</v>
      </c>
      <c r="AN1197" s="103" t="n">
        <v>0.993127938570585</v>
      </c>
      <c r="AO1197" s="112" t="s">
        <v>1997</v>
      </c>
      <c r="AP1197" s="105" t="n">
        <v>0</v>
      </c>
      <c r="AQ1197" s="105" t="n">
        <v>60</v>
      </c>
      <c r="AR1197" s="105" t="n">
        <v>0</v>
      </c>
      <c r="AS1197" s="105" t="n">
        <v>0</v>
      </c>
      <c r="AT1197" s="105" t="n">
        <v>0</v>
      </c>
      <c r="AU1197" s="105" t="n">
        <v>0</v>
      </c>
      <c r="AV1197" s="105" t="n">
        <v>0</v>
      </c>
      <c r="AW1197" s="105" t="n">
        <v>0</v>
      </c>
      <c r="AX1197" s="105" t="n">
        <v>0</v>
      </c>
      <c r="AY1197" s="105" t="n">
        <v>0</v>
      </c>
      <c r="AZ1197" s="105" t="n">
        <v>0</v>
      </c>
      <c r="BA1197" s="105" t="n">
        <v>0</v>
      </c>
      <c r="BB1197" s="105" t="n">
        <v>0</v>
      </c>
      <c r="BC1197" s="105" t="n">
        <v>0</v>
      </c>
      <c r="BD1197" s="105" t="n">
        <v>0</v>
      </c>
      <c r="BE1197" s="105" t="n">
        <v>0</v>
      </c>
      <c r="BF1197" s="105" t="n">
        <v>0</v>
      </c>
      <c r="BG1197" s="105" t="n">
        <v>0</v>
      </c>
      <c r="BH1197" s="105" t="n">
        <v>0</v>
      </c>
      <c r="BI1197" s="105" t="n">
        <v>0</v>
      </c>
      <c r="BJ1197" s="105" t="n">
        <v>0</v>
      </c>
      <c r="BK1197" s="105" t="n">
        <v>0</v>
      </c>
      <c r="BL1197" s="105" t="n">
        <v>0</v>
      </c>
      <c r="BM1197" s="105" t="n">
        <v>0</v>
      </c>
      <c r="BN1197" s="105" t="n">
        <v>0</v>
      </c>
      <c r="BO1197" s="105" t="n">
        <v>0</v>
      </c>
      <c r="BP1197" s="105" t="n">
        <v>0</v>
      </c>
      <c r="BQ1197" s="105" t="n">
        <v>0</v>
      </c>
      <c r="BR1197" s="106" t="n">
        <v>1</v>
      </c>
      <c r="BS1197" s="106" t="n">
        <v>1</v>
      </c>
      <c r="BT1197" s="107"/>
      <c r="BU1197" s="107"/>
      <c r="BV1197" s="107"/>
      <c r="BW1197" s="107"/>
      <c r="BX1197" s="107"/>
      <c r="BY1197" s="107"/>
      <c r="BZ1197" s="107"/>
      <c r="CA1197" s="107"/>
      <c r="CB1197" s="107"/>
      <c r="CC1197" s="107"/>
      <c r="CD1197" s="107"/>
      <c r="CE1197" s="107"/>
      <c r="CF1197" s="107"/>
      <c r="CG1197" s="107"/>
      <c r="CH1197" s="107"/>
      <c r="CI1197" s="107"/>
      <c r="CJ1197" s="107"/>
      <c r="CK1197" s="107"/>
      <c r="CL1197" s="107"/>
      <c r="CM1197" s="107"/>
      <c r="CN1197" s="107"/>
      <c r="CO1197" s="107"/>
      <c r="CP1197" s="107"/>
      <c r="CQ1197" s="107"/>
      <c r="CR1197" s="107"/>
      <c r="CS1197" s="107"/>
      <c r="CT1197" s="107"/>
      <c r="CU1197" s="107"/>
      <c r="CV1197" s="107"/>
    </row>
    <row r="1198" customFormat="false" ht="14.9" hidden="false" customHeight="false" outlineLevel="0" collapsed="false">
      <c r="A1198" s="74" t="n">
        <f aca="false">MONTH(B1198)</f>
        <v>11</v>
      </c>
      <c r="B1198" s="135" t="n">
        <v>44512</v>
      </c>
      <c r="C1198" s="128" t="s">
        <v>63</v>
      </c>
      <c r="D1198" s="77" t="str">
        <f aca="false">IFERROR(VLOOKUP(E:E,'Item Data Support Sheet'!A:O,7,0),"")</f>
        <v>NIPPLE PUNCH INSPECTED</v>
      </c>
      <c r="E1198" s="80" t="s">
        <v>901</v>
      </c>
      <c r="F1198" s="122"/>
      <c r="G1198" s="137"/>
      <c r="H1198" s="79" t="str">
        <f aca="false">IFERROR(VLOOKUP(E:E,'Item Data Support Sheet'!A:O,2,0),"")</f>
        <v>NIPPLE S TYPE Y SIZE PUNCHED INSPECTED</v>
      </c>
      <c r="I1198" s="80" t="s">
        <v>1979</v>
      </c>
      <c r="J1198" s="80" t="s">
        <v>155</v>
      </c>
      <c r="K1198" s="124" t="n">
        <v>8</v>
      </c>
      <c r="L1198" s="124" t="n">
        <v>12000</v>
      </c>
      <c r="M1198" s="83" t="n">
        <v>1500</v>
      </c>
      <c r="N1198" s="84" t="n">
        <f aca="false">+O1198+Q1198+T1198+U1198</f>
        <v>13630</v>
      </c>
      <c r="O1198" s="85" t="n">
        <v>13551</v>
      </c>
      <c r="P1198" s="86" t="n">
        <v>0</v>
      </c>
      <c r="Q1198" s="86" t="n">
        <v>0</v>
      </c>
      <c r="R1198" s="132" t="n">
        <v>0</v>
      </c>
      <c r="S1198" s="128" t="n">
        <v>0</v>
      </c>
      <c r="T1198" s="132" t="n">
        <v>79</v>
      </c>
      <c r="U1198" s="128" t="n">
        <v>0</v>
      </c>
      <c r="V1198" s="128" t="n">
        <v>1</v>
      </c>
      <c r="W1198" s="90" t="n">
        <f aca="false">IFERROR(O1198/V1198,0)</f>
        <v>13551</v>
      </c>
      <c r="X1198" s="91" t="n">
        <f aca="false">O1198/L1198</f>
        <v>1.12925</v>
      </c>
      <c r="Y1198" s="92" t="str">
        <f aca="false">IFERROR(VLOOKUP(E:E,'Item Data Support Sheet'!A:J,6,0),0)</f>
        <v>FO107</v>
      </c>
      <c r="Z1198" s="93" t="n">
        <f aca="false">IFERROR(VLOOKUP(E:E,'Item Data Support Sheet'!A:O,4,0),0)</f>
        <v>0</v>
      </c>
      <c r="AA1198" s="93" t="n">
        <f aca="false">IFERROR(((N1198)*(Z1198/1000))+P1198,0)</f>
        <v>0</v>
      </c>
      <c r="AB1198" s="94" t="str">
        <f aca="false">IFERROR((O1198*(Z1198/1000)/(AA1198))," ")</f>
        <v> </v>
      </c>
      <c r="AC1198" s="95" t="n">
        <f aca="false">IFERROR((T1198)/((T1198)+O1198),0)</f>
        <v>0.0057960381511372</v>
      </c>
      <c r="AD1198" s="96" t="n">
        <f aca="false">IFERROR(Q1198/(Q1198+N1198),0)</f>
        <v>0</v>
      </c>
      <c r="AE1198" s="91" t="n">
        <f aca="false">(N1198-T1198)/N1198</f>
        <v>0.994203961848863</v>
      </c>
      <c r="AF1198" s="97" t="n">
        <f aca="false">BR1198</f>
        <v>0.833333333333333</v>
      </c>
      <c r="AG1198" s="98" t="n">
        <f aca="false">K1198-AF1198</f>
        <v>7.16666666666667</v>
      </c>
      <c r="AH1198" s="99" t="n">
        <f aca="false">IFERROR(AG1198/K1198," ")</f>
        <v>0.895833333333333</v>
      </c>
      <c r="AI1198" s="100" t="n">
        <f aca="false">IFERROR(O1198/K1198,0)</f>
        <v>1693.875</v>
      </c>
      <c r="AJ1198" s="101" t="n">
        <f aca="false">VLOOKUP(D1198,'Standard Cycle time'!C:D,2,0)</f>
        <v>4</v>
      </c>
      <c r="AK1198" s="101" t="n">
        <f aca="false">AG1198*V1198*3600/O1198</f>
        <v>1.90391852999779</v>
      </c>
      <c r="AL1198" s="102" t="n">
        <f aca="false">AJ1198/AK1198</f>
        <v>2.10093023255814</v>
      </c>
      <c r="AM1198" s="99" t="n">
        <f aca="false">AE1198*AL1198*AH1198</f>
        <v>1.87117470652971</v>
      </c>
      <c r="AN1198" s="103" t="n">
        <v>1.87117470652971</v>
      </c>
      <c r="AO1198" s="112"/>
      <c r="AP1198" s="105" t="n">
        <v>50</v>
      </c>
      <c r="AQ1198" s="105" t="n">
        <v>0</v>
      </c>
      <c r="AR1198" s="105" t="n">
        <v>0</v>
      </c>
      <c r="AS1198" s="105" t="n">
        <v>0</v>
      </c>
      <c r="AT1198" s="105" t="n">
        <v>0</v>
      </c>
      <c r="AU1198" s="105" t="n">
        <v>0</v>
      </c>
      <c r="AV1198" s="105" t="n">
        <v>0</v>
      </c>
      <c r="AW1198" s="105" t="n">
        <v>0</v>
      </c>
      <c r="AX1198" s="105" t="n">
        <v>0</v>
      </c>
      <c r="AY1198" s="105" t="n">
        <v>0</v>
      </c>
      <c r="AZ1198" s="105" t="n">
        <v>0</v>
      </c>
      <c r="BA1198" s="105" t="n">
        <v>0</v>
      </c>
      <c r="BB1198" s="105" t="n">
        <v>0</v>
      </c>
      <c r="BC1198" s="105" t="n">
        <v>0</v>
      </c>
      <c r="BD1198" s="105" t="n">
        <v>0</v>
      </c>
      <c r="BE1198" s="105" t="n">
        <v>0</v>
      </c>
      <c r="BF1198" s="105" t="n">
        <v>0</v>
      </c>
      <c r="BG1198" s="105" t="n">
        <v>0</v>
      </c>
      <c r="BH1198" s="105" t="n">
        <v>0</v>
      </c>
      <c r="BI1198" s="105" t="n">
        <v>0</v>
      </c>
      <c r="BJ1198" s="105" t="n">
        <v>0</v>
      </c>
      <c r="BK1198" s="105" t="n">
        <v>0</v>
      </c>
      <c r="BL1198" s="105" t="n">
        <v>0</v>
      </c>
      <c r="BM1198" s="105" t="n">
        <v>0</v>
      </c>
      <c r="BN1198" s="105" t="n">
        <v>0</v>
      </c>
      <c r="BO1198" s="105" t="n">
        <v>0</v>
      </c>
      <c r="BP1198" s="105" t="n">
        <v>0</v>
      </c>
      <c r="BQ1198" s="105" t="n">
        <v>0</v>
      </c>
      <c r="BR1198" s="106" t="n">
        <v>0.833333333333333</v>
      </c>
      <c r="BS1198" s="106" t="n">
        <v>0.833333333333333</v>
      </c>
      <c r="BT1198" s="107"/>
      <c r="BU1198" s="107"/>
      <c r="BV1198" s="107"/>
      <c r="BW1198" s="107"/>
      <c r="BX1198" s="107"/>
      <c r="BY1198" s="107"/>
      <c r="BZ1198" s="107"/>
      <c r="CA1198" s="107"/>
      <c r="CB1198" s="107"/>
      <c r="CC1198" s="107"/>
      <c r="CD1198" s="107"/>
      <c r="CE1198" s="107"/>
      <c r="CF1198" s="107"/>
      <c r="CG1198" s="107"/>
      <c r="CH1198" s="107"/>
      <c r="CI1198" s="107"/>
      <c r="CJ1198" s="107"/>
      <c r="CK1198" s="107"/>
      <c r="CL1198" s="107"/>
      <c r="CM1198" s="107"/>
      <c r="CN1198" s="107"/>
      <c r="CO1198" s="107"/>
      <c r="CP1198" s="107"/>
      <c r="CQ1198" s="107"/>
      <c r="CR1198" s="107"/>
      <c r="CS1198" s="107"/>
      <c r="CT1198" s="107"/>
      <c r="CU1198" s="107"/>
      <c r="CV1198" s="107"/>
    </row>
    <row r="1199" customFormat="false" ht="14.9" hidden="false" customHeight="false" outlineLevel="0" collapsed="false">
      <c r="A1199" s="74" t="n">
        <f aca="false">MONTH(B1199)</f>
        <v>11</v>
      </c>
      <c r="B1199" s="135" t="n">
        <v>44512</v>
      </c>
      <c r="C1199" s="128" t="s">
        <v>63</v>
      </c>
      <c r="D1199" s="77" t="str">
        <f aca="false">IFERROR(VLOOKUP(E:E,'Item Data Support Sheet'!A:O,7,0),"")</f>
        <v>NIPPLE WRAP PRINTED</v>
      </c>
      <c r="E1199" s="80" t="s">
        <v>937</v>
      </c>
      <c r="F1199" s="122"/>
      <c r="G1199" s="137" t="s">
        <v>432</v>
      </c>
      <c r="H1199" s="79" t="str">
        <f aca="false">IFERROR(VLOOKUP(E:E,'Item Data Support Sheet'!A:O,2,0),"")</f>
        <v>NIPPLE S TYPE Y SIZE WITH PRINTED WRAP</v>
      </c>
      <c r="I1199" s="80" t="s">
        <v>1979</v>
      </c>
      <c r="J1199" s="80" t="s">
        <v>155</v>
      </c>
      <c r="K1199" s="124" t="n">
        <v>8</v>
      </c>
      <c r="L1199" s="124" t="n">
        <v>9000</v>
      </c>
      <c r="M1199" s="83" t="n">
        <v>1125</v>
      </c>
      <c r="N1199" s="84" t="n">
        <f aca="false">+O1199+Q1199+T1199+U1199</f>
        <v>13563</v>
      </c>
      <c r="O1199" s="85" t="n">
        <v>13552</v>
      </c>
      <c r="P1199" s="86" t="n">
        <v>0</v>
      </c>
      <c r="Q1199" s="86" t="n">
        <v>0</v>
      </c>
      <c r="R1199" s="132" t="n">
        <v>0</v>
      </c>
      <c r="S1199" s="128" t="n">
        <v>0</v>
      </c>
      <c r="T1199" s="132" t="n">
        <v>11</v>
      </c>
      <c r="U1199" s="128" t="n">
        <v>0</v>
      </c>
      <c r="V1199" s="128" t="n">
        <v>2</v>
      </c>
      <c r="W1199" s="90" t="n">
        <f aca="false">IFERROR(O1199/V1199,0)</f>
        <v>6776</v>
      </c>
      <c r="X1199" s="91" t="n">
        <f aca="false">O1199/L1199</f>
        <v>1.50577777777778</v>
      </c>
      <c r="Y1199" s="92" t="str">
        <f aca="false">IFERROR(VLOOKUP(E:E,'Item Data Support Sheet'!A:J,6,0),0)</f>
        <v>FO022</v>
      </c>
      <c r="Z1199" s="93" t="n">
        <f aca="false">IFERROR(VLOOKUP(E:E,'Item Data Support Sheet'!A:O,4,0),0)</f>
        <v>0</v>
      </c>
      <c r="AA1199" s="93" t="n">
        <f aca="false">IFERROR(((N1199)*(Z1199/1000))+P1199,0)</f>
        <v>0</v>
      </c>
      <c r="AB1199" s="94" t="str">
        <f aca="false">IFERROR((O1199*(Z1199/1000)/(AA1199))," ")</f>
        <v> </v>
      </c>
      <c r="AC1199" s="95" t="n">
        <f aca="false">IFERROR((T1199)/((T1199)+O1199),0)</f>
        <v>0.0008110300081103</v>
      </c>
      <c r="AD1199" s="96" t="n">
        <f aca="false">IFERROR(Q1199/(Q1199+N1199),0)</f>
        <v>0</v>
      </c>
      <c r="AE1199" s="91" t="n">
        <f aca="false">(N1199-T1199)/N1199</f>
        <v>0.99918896999189</v>
      </c>
      <c r="AF1199" s="97" t="n">
        <f aca="false">BR1199</f>
        <v>0.833333333333333</v>
      </c>
      <c r="AG1199" s="98" t="n">
        <f aca="false">K1199-AF1199</f>
        <v>7.16666666666667</v>
      </c>
      <c r="AH1199" s="99" t="n">
        <f aca="false">IFERROR(AG1199/K1199," ")</f>
        <v>0.895833333333333</v>
      </c>
      <c r="AI1199" s="100" t="n">
        <f aca="false">IFERROR(O1199/K1199,0)</f>
        <v>1694</v>
      </c>
      <c r="AJ1199" s="101" t="n">
        <f aca="false">VLOOKUP(D1199,'Standard Cycle time'!C:D,2,0)</f>
        <v>2.5</v>
      </c>
      <c r="AK1199" s="101" t="n">
        <f aca="false">AG1199*V1199*3600/O1199</f>
        <v>3.80755608028335</v>
      </c>
      <c r="AL1199" s="102" t="n">
        <f aca="false">AJ1199/AK1199</f>
        <v>0.656589147286822</v>
      </c>
      <c r="AM1199" s="99" t="n">
        <f aca="false">AE1199*AL1199*AH1199</f>
        <v>0.587717401099396</v>
      </c>
      <c r="AN1199" s="103" t="n">
        <v>0.587717401099396</v>
      </c>
      <c r="AO1199" s="112"/>
      <c r="AP1199" s="105" t="n">
        <v>50</v>
      </c>
      <c r="AQ1199" s="105" t="n">
        <v>0</v>
      </c>
      <c r="AR1199" s="105" t="n">
        <v>0</v>
      </c>
      <c r="AS1199" s="105" t="n">
        <v>0</v>
      </c>
      <c r="AT1199" s="105" t="n">
        <v>0</v>
      </c>
      <c r="AU1199" s="105" t="n">
        <v>0</v>
      </c>
      <c r="AV1199" s="105" t="n">
        <v>0</v>
      </c>
      <c r="AW1199" s="105" t="n">
        <v>0</v>
      </c>
      <c r="AX1199" s="105" t="n">
        <v>0</v>
      </c>
      <c r="AY1199" s="105" t="n">
        <v>0</v>
      </c>
      <c r="AZ1199" s="105" t="n">
        <v>0</v>
      </c>
      <c r="BA1199" s="105" t="n">
        <v>0</v>
      </c>
      <c r="BB1199" s="105" t="n">
        <v>0</v>
      </c>
      <c r="BC1199" s="105" t="n">
        <v>0</v>
      </c>
      <c r="BD1199" s="105" t="n">
        <v>0</v>
      </c>
      <c r="BE1199" s="105" t="n">
        <v>0</v>
      </c>
      <c r="BF1199" s="105" t="n">
        <v>0</v>
      </c>
      <c r="BG1199" s="105" t="n">
        <v>0</v>
      </c>
      <c r="BH1199" s="105" t="n">
        <v>0</v>
      </c>
      <c r="BI1199" s="105" t="n">
        <v>0</v>
      </c>
      <c r="BJ1199" s="105" t="n">
        <v>0</v>
      </c>
      <c r="BK1199" s="105" t="n">
        <v>0</v>
      </c>
      <c r="BL1199" s="105" t="n">
        <v>0</v>
      </c>
      <c r="BM1199" s="105" t="n">
        <v>0</v>
      </c>
      <c r="BN1199" s="105" t="n">
        <v>0</v>
      </c>
      <c r="BO1199" s="105" t="n">
        <v>0</v>
      </c>
      <c r="BP1199" s="105" t="n">
        <v>0</v>
      </c>
      <c r="BQ1199" s="105" t="n">
        <v>0</v>
      </c>
      <c r="BR1199" s="106" t="n">
        <v>0.833333333333333</v>
      </c>
      <c r="BS1199" s="106" t="n">
        <v>0.833333333333333</v>
      </c>
      <c r="BT1199" s="107"/>
      <c r="BU1199" s="107"/>
      <c r="BV1199" s="107"/>
      <c r="BW1199" s="107"/>
      <c r="BX1199" s="107"/>
      <c r="BY1199" s="107"/>
      <c r="BZ1199" s="107"/>
      <c r="CA1199" s="107"/>
      <c r="CB1199" s="107"/>
      <c r="CC1199" s="107"/>
      <c r="CD1199" s="107"/>
      <c r="CE1199" s="107"/>
      <c r="CF1199" s="107"/>
      <c r="CG1199" s="107"/>
      <c r="CH1199" s="107"/>
      <c r="CI1199" s="107"/>
      <c r="CJ1199" s="107"/>
      <c r="CK1199" s="107"/>
      <c r="CL1199" s="107"/>
      <c r="CM1199" s="107"/>
      <c r="CN1199" s="107"/>
      <c r="CO1199" s="107"/>
      <c r="CP1199" s="107"/>
      <c r="CQ1199" s="107"/>
      <c r="CR1199" s="107"/>
      <c r="CS1199" s="107"/>
      <c r="CT1199" s="107"/>
      <c r="CU1199" s="107"/>
      <c r="CV1199" s="107"/>
    </row>
    <row r="1200" customFormat="false" ht="14.9" hidden="false" customHeight="false" outlineLevel="0" collapsed="false">
      <c r="A1200" s="74" t="n">
        <f aca="false">MONTH(B1200)</f>
        <v>11</v>
      </c>
      <c r="B1200" s="135" t="n">
        <v>44512</v>
      </c>
      <c r="C1200" s="128" t="s">
        <v>70</v>
      </c>
      <c r="D1200" s="77" t="str">
        <f aca="false">IFERROR(VLOOKUP(E:E,'Item Data Support Sheet'!A:O,7,0),"")</f>
        <v>NIPPLE MOLDED</v>
      </c>
      <c r="E1200" s="80" t="s">
        <v>809</v>
      </c>
      <c r="F1200" s="122" t="s">
        <v>137</v>
      </c>
      <c r="G1200" s="137" t="s">
        <v>138</v>
      </c>
      <c r="H1200" s="79" t="str">
        <f aca="false">IFERROR(VLOOKUP(E:E,'Item Data Support Sheet'!A:O,2,0),"")</f>
        <v>NIPPLE S TYPE Y SIZE INJECTION</v>
      </c>
      <c r="I1200" s="80" t="s">
        <v>1998</v>
      </c>
      <c r="J1200" s="80" t="s">
        <v>155</v>
      </c>
      <c r="K1200" s="124" t="n">
        <v>8</v>
      </c>
      <c r="L1200" s="124" t="n">
        <v>4815</v>
      </c>
      <c r="M1200" s="83" t="n">
        <v>601.875</v>
      </c>
      <c r="N1200" s="84" t="n">
        <f aca="false">+O1200+Q1200+T1200+U1200</f>
        <v>5290</v>
      </c>
      <c r="O1200" s="85" t="n">
        <v>5200</v>
      </c>
      <c r="P1200" s="86" t="n">
        <v>0</v>
      </c>
      <c r="Q1200" s="86" t="n">
        <v>40</v>
      </c>
      <c r="R1200" s="132" t="n">
        <v>0</v>
      </c>
      <c r="S1200" s="128" t="n">
        <v>0</v>
      </c>
      <c r="T1200" s="132" t="n">
        <v>50</v>
      </c>
      <c r="U1200" s="128" t="n">
        <v>0</v>
      </c>
      <c r="V1200" s="128" t="n">
        <v>1</v>
      </c>
      <c r="W1200" s="90" t="n">
        <f aca="false">IFERROR(O1200/V1200,0)</f>
        <v>5200</v>
      </c>
      <c r="X1200" s="91" t="n">
        <f aca="false">O1200/L1200</f>
        <v>1.07995846313603</v>
      </c>
      <c r="Y1200" s="92" t="str">
        <f aca="false">IFERROR(VLOOKUP(E:E,'Item Data Support Sheet'!A:J,6,0),0)</f>
        <v>Silicon</v>
      </c>
      <c r="Z1200" s="93" t="n">
        <f aca="false">IFERROR(VLOOKUP(E:E,'Item Data Support Sheet'!A:O,4,0),0)</f>
        <v>6.8</v>
      </c>
      <c r="AA1200" s="93" t="n">
        <f aca="false">IFERROR(((N1200)*(Z1200/1000))+P1200,0)</f>
        <v>35.972</v>
      </c>
      <c r="AB1200" s="94" t="n">
        <f aca="false">IFERROR((O1200*(Z1200/1000)/(AA1200))," ")</f>
        <v>0.982986767485822</v>
      </c>
      <c r="AC1200" s="95" t="n">
        <f aca="false">IFERROR((T1200)/((T1200)+O1200),0)</f>
        <v>0.00952380952380952</v>
      </c>
      <c r="AD1200" s="96" t="n">
        <f aca="false">IFERROR(Q1200/(Q1200+N1200),0)</f>
        <v>0.0075046904315197</v>
      </c>
      <c r="AE1200" s="91" t="n">
        <f aca="false">(N1200-T1200)/N1200</f>
        <v>0.99054820415879</v>
      </c>
      <c r="AF1200" s="97" t="n">
        <f aca="false">BR1200</f>
        <v>0</v>
      </c>
      <c r="AG1200" s="98" t="n">
        <f aca="false">K1200-AF1200</f>
        <v>8</v>
      </c>
      <c r="AH1200" s="99" t="n">
        <f aca="false">IFERROR(AG1200/K1200," ")</f>
        <v>1</v>
      </c>
      <c r="AI1200" s="100" t="n">
        <f aca="false">IFERROR(O1200/K1200,0)</f>
        <v>650</v>
      </c>
      <c r="AJ1200" s="101" t="n">
        <f aca="false">VLOOKUP(D1200,'Standard Cycle time'!C:D,2,0)</f>
        <v>5.25</v>
      </c>
      <c r="AK1200" s="101" t="n">
        <f aca="false">AG1200*V1200*3600/O1200</f>
        <v>5.53846153846154</v>
      </c>
      <c r="AL1200" s="102" t="n">
        <f aca="false">AJ1200/AK1200</f>
        <v>0.947916666666667</v>
      </c>
      <c r="AM1200" s="99" t="n">
        <f aca="false">AE1200*AL1200*AH1200</f>
        <v>0.938957151858853</v>
      </c>
      <c r="AN1200" s="103" t="n">
        <v>0.938957151858853</v>
      </c>
      <c r="AO1200" s="112"/>
      <c r="AP1200" s="105" t="n">
        <v>0</v>
      </c>
      <c r="AQ1200" s="105" t="n">
        <v>0</v>
      </c>
      <c r="AR1200" s="105" t="n">
        <v>0</v>
      </c>
      <c r="AS1200" s="105" t="n">
        <v>0</v>
      </c>
      <c r="AT1200" s="105" t="n">
        <v>0</v>
      </c>
      <c r="AU1200" s="105" t="n">
        <v>0</v>
      </c>
      <c r="AV1200" s="105" t="n">
        <v>0</v>
      </c>
      <c r="AW1200" s="105" t="n">
        <v>0</v>
      </c>
      <c r="AX1200" s="105" t="n">
        <v>0</v>
      </c>
      <c r="AY1200" s="105" t="n">
        <v>0</v>
      </c>
      <c r="AZ1200" s="105" t="n">
        <v>0</v>
      </c>
      <c r="BA1200" s="105" t="n">
        <v>0</v>
      </c>
      <c r="BB1200" s="105" t="n">
        <v>0</v>
      </c>
      <c r="BC1200" s="105" t="n">
        <v>0</v>
      </c>
      <c r="BD1200" s="105" t="n">
        <v>0</v>
      </c>
      <c r="BE1200" s="105" t="n">
        <v>0</v>
      </c>
      <c r="BF1200" s="105" t="n">
        <v>0</v>
      </c>
      <c r="BG1200" s="105" t="n">
        <v>0</v>
      </c>
      <c r="BH1200" s="105" t="n">
        <v>0</v>
      </c>
      <c r="BI1200" s="105" t="n">
        <v>0</v>
      </c>
      <c r="BJ1200" s="105" t="n">
        <v>0</v>
      </c>
      <c r="BK1200" s="105" t="n">
        <v>0</v>
      </c>
      <c r="BL1200" s="105" t="n">
        <v>0</v>
      </c>
      <c r="BM1200" s="105" t="n">
        <v>0</v>
      </c>
      <c r="BN1200" s="105" t="n">
        <v>0</v>
      </c>
      <c r="BO1200" s="105" t="n">
        <v>0</v>
      </c>
      <c r="BP1200" s="105" t="n">
        <v>0</v>
      </c>
      <c r="BQ1200" s="105" t="n">
        <v>0</v>
      </c>
      <c r="BR1200" s="106" t="n">
        <v>0</v>
      </c>
      <c r="BS1200" s="106" t="n">
        <v>0</v>
      </c>
      <c r="BT1200" s="107"/>
      <c r="BU1200" s="107"/>
      <c r="BV1200" s="107"/>
      <c r="BW1200" s="107"/>
      <c r="BX1200" s="107"/>
      <c r="BY1200" s="107"/>
      <c r="BZ1200" s="107"/>
      <c r="CA1200" s="107"/>
      <c r="CB1200" s="107"/>
      <c r="CC1200" s="107"/>
      <c r="CD1200" s="107"/>
      <c r="CE1200" s="107"/>
      <c r="CF1200" s="107"/>
      <c r="CG1200" s="107"/>
      <c r="CH1200" s="107"/>
      <c r="CI1200" s="107"/>
      <c r="CJ1200" s="107"/>
      <c r="CK1200" s="107"/>
      <c r="CL1200" s="107"/>
      <c r="CM1200" s="107"/>
      <c r="CN1200" s="107"/>
      <c r="CO1200" s="107"/>
      <c r="CP1200" s="107"/>
      <c r="CQ1200" s="107"/>
      <c r="CR1200" s="107"/>
      <c r="CS1200" s="107"/>
      <c r="CT1200" s="107"/>
      <c r="CU1200" s="107"/>
      <c r="CV1200" s="107"/>
    </row>
    <row r="1201" customFormat="false" ht="14.9" hidden="false" customHeight="false" outlineLevel="0" collapsed="false">
      <c r="A1201" s="74" t="n">
        <f aca="false">MONTH(B1201)</f>
        <v>11</v>
      </c>
      <c r="B1201" s="135" t="n">
        <v>44512</v>
      </c>
      <c r="C1201" s="128" t="s">
        <v>70</v>
      </c>
      <c r="D1201" s="77" t="str">
        <f aca="false">IFERROR(VLOOKUP(E:E,'Item Data Support Sheet'!A:O,7,0),"")</f>
        <v>HOOD MOLDED</v>
      </c>
      <c r="E1201" s="80" t="s">
        <v>529</v>
      </c>
      <c r="F1201" s="122"/>
      <c r="G1201" s="137" t="s">
        <v>740</v>
      </c>
      <c r="H1201" s="79" t="str">
        <f aca="false">IFERROR(VLOOKUP(E:E,'Item Data Support Sheet'!A:O,2,0),"")</f>
        <v>HOOD S TYPE MOLDED</v>
      </c>
      <c r="I1201" s="80" t="s">
        <v>1999</v>
      </c>
      <c r="J1201" s="80" t="s">
        <v>155</v>
      </c>
      <c r="K1201" s="124" t="n">
        <v>8</v>
      </c>
      <c r="L1201" s="124" t="n">
        <v>4137</v>
      </c>
      <c r="M1201" s="83" t="n">
        <v>517.125</v>
      </c>
      <c r="N1201" s="84" t="n">
        <f aca="false">+O1201+Q1201+T1201+U1201</f>
        <v>5016</v>
      </c>
      <c r="O1201" s="85" t="n">
        <v>5000</v>
      </c>
      <c r="P1201" s="86" t="n">
        <v>0</v>
      </c>
      <c r="Q1201" s="86" t="n">
        <v>4</v>
      </c>
      <c r="R1201" s="132" t="n">
        <v>0</v>
      </c>
      <c r="S1201" s="128" t="n">
        <v>0</v>
      </c>
      <c r="T1201" s="132" t="n">
        <v>4</v>
      </c>
      <c r="U1201" s="128" t="n">
        <v>8</v>
      </c>
      <c r="V1201" s="128" t="n">
        <v>1</v>
      </c>
      <c r="W1201" s="90" t="n">
        <f aca="false">IFERROR(O1201/V1201,0)</f>
        <v>5000</v>
      </c>
      <c r="X1201" s="91" t="n">
        <f aca="false">O1201/L1201</f>
        <v>1.20860526951898</v>
      </c>
      <c r="Y1201" s="92" t="str">
        <f aca="false">IFERROR(VLOOKUP(E:E,'Item Data Support Sheet'!A:J,6,0),0)</f>
        <v>HMC</v>
      </c>
      <c r="Z1201" s="93" t="n">
        <f aca="false">IFERROR(VLOOKUP(E:E,'Item Data Support Sheet'!A:O,4,0),0)</f>
        <v>8.6</v>
      </c>
      <c r="AA1201" s="93" t="n">
        <f aca="false">IFERROR(((N1201)*(Z1201/1000))+P1201,0)</f>
        <v>43.1376</v>
      </c>
      <c r="AB1201" s="94" t="n">
        <f aca="false">IFERROR((O1201*(Z1201/1000)/(AA1201))," ")</f>
        <v>0.996810207336523</v>
      </c>
      <c r="AC1201" s="95" t="n">
        <f aca="false">IFERROR((T1201)/((T1201)+O1201),0)</f>
        <v>0.000799360511590727</v>
      </c>
      <c r="AD1201" s="96" t="n">
        <f aca="false">IFERROR(Q1201/(Q1201+N1201),0)</f>
        <v>0.000796812749003984</v>
      </c>
      <c r="AE1201" s="91" t="n">
        <f aca="false">(N1201-T1201)/N1201</f>
        <v>0.999202551834131</v>
      </c>
      <c r="AF1201" s="97" t="n">
        <f aca="false">BR1201</f>
        <v>0</v>
      </c>
      <c r="AG1201" s="98" t="n">
        <f aca="false">K1201-AF1201</f>
        <v>8</v>
      </c>
      <c r="AH1201" s="99" t="n">
        <f aca="false">IFERROR(AG1201/K1201," ")</f>
        <v>1</v>
      </c>
      <c r="AI1201" s="100" t="n">
        <f aca="false">IFERROR(O1201/K1201,0)</f>
        <v>625</v>
      </c>
      <c r="AJ1201" s="101" t="n">
        <f aca="false">VLOOKUP(D1201,'Standard Cycle time'!C:D,2,0)</f>
        <v>6</v>
      </c>
      <c r="AK1201" s="101" t="n">
        <f aca="false">AG1201*V1201*3600/O1201</f>
        <v>5.76</v>
      </c>
      <c r="AL1201" s="102" t="n">
        <f aca="false">AJ1201/AK1201</f>
        <v>1.04166666666667</v>
      </c>
      <c r="AM1201" s="99" t="n">
        <f aca="false">AE1201*AL1201*AH1201</f>
        <v>1.04083599149389</v>
      </c>
      <c r="AN1201" s="103" t="n">
        <v>1.04083599149389</v>
      </c>
      <c r="AO1201" s="112"/>
      <c r="AP1201" s="105" t="n">
        <v>0</v>
      </c>
      <c r="AQ1201" s="105" t="n">
        <v>0</v>
      </c>
      <c r="AR1201" s="105" t="n">
        <v>0</v>
      </c>
      <c r="AS1201" s="105" t="n">
        <v>0</v>
      </c>
      <c r="AT1201" s="105" t="n">
        <v>0</v>
      </c>
      <c r="AU1201" s="105" t="n">
        <v>0</v>
      </c>
      <c r="AV1201" s="105" t="n">
        <v>0</v>
      </c>
      <c r="AW1201" s="105" t="n">
        <v>0</v>
      </c>
      <c r="AX1201" s="105" t="n">
        <v>0</v>
      </c>
      <c r="AY1201" s="105" t="n">
        <v>0</v>
      </c>
      <c r="AZ1201" s="105" t="n">
        <v>0</v>
      </c>
      <c r="BA1201" s="105" t="n">
        <v>0</v>
      </c>
      <c r="BB1201" s="105" t="n">
        <v>0</v>
      </c>
      <c r="BC1201" s="105" t="n">
        <v>0</v>
      </c>
      <c r="BD1201" s="105" t="n">
        <v>0</v>
      </c>
      <c r="BE1201" s="105" t="n">
        <v>0</v>
      </c>
      <c r="BF1201" s="105" t="n">
        <v>0</v>
      </c>
      <c r="BG1201" s="105" t="n">
        <v>0</v>
      </c>
      <c r="BH1201" s="105" t="n">
        <v>0</v>
      </c>
      <c r="BI1201" s="105" t="n">
        <v>0</v>
      </c>
      <c r="BJ1201" s="105" t="n">
        <v>0</v>
      </c>
      <c r="BK1201" s="105" t="n">
        <v>0</v>
      </c>
      <c r="BL1201" s="105" t="n">
        <v>0</v>
      </c>
      <c r="BM1201" s="105" t="n">
        <v>0</v>
      </c>
      <c r="BN1201" s="105" t="n">
        <v>0</v>
      </c>
      <c r="BO1201" s="105" t="n">
        <v>0</v>
      </c>
      <c r="BP1201" s="105" t="n">
        <v>0</v>
      </c>
      <c r="BQ1201" s="105" t="n">
        <v>0</v>
      </c>
      <c r="BR1201" s="106" t="n">
        <v>0</v>
      </c>
      <c r="BS1201" s="106" t="n">
        <v>0</v>
      </c>
      <c r="BT1201" s="107"/>
      <c r="BU1201" s="107"/>
      <c r="BV1201" s="107"/>
      <c r="BW1201" s="107"/>
      <c r="BX1201" s="107"/>
      <c r="BY1201" s="107"/>
      <c r="BZ1201" s="107"/>
      <c r="CA1201" s="107"/>
      <c r="CB1201" s="107"/>
      <c r="CC1201" s="107"/>
      <c r="CD1201" s="107"/>
      <c r="CE1201" s="107"/>
      <c r="CF1201" s="107"/>
      <c r="CG1201" s="107"/>
      <c r="CH1201" s="107"/>
      <c r="CI1201" s="107"/>
      <c r="CJ1201" s="107"/>
      <c r="CK1201" s="107"/>
      <c r="CL1201" s="107"/>
      <c r="CM1201" s="107"/>
      <c r="CN1201" s="107"/>
      <c r="CO1201" s="107"/>
      <c r="CP1201" s="107"/>
      <c r="CQ1201" s="107"/>
      <c r="CR1201" s="107"/>
      <c r="CS1201" s="107"/>
      <c r="CT1201" s="107"/>
      <c r="CU1201" s="107"/>
      <c r="CV1201" s="107"/>
    </row>
    <row r="1202" customFormat="false" ht="14.9" hidden="false" customHeight="false" outlineLevel="0" collapsed="false">
      <c r="A1202" s="74" t="n">
        <f aca="false">MONTH(B1202)</f>
        <v>11</v>
      </c>
      <c r="B1202" s="135" t="n">
        <v>44512</v>
      </c>
      <c r="C1202" s="128" t="s">
        <v>70</v>
      </c>
      <c r="D1202" s="77" t="str">
        <f aca="false">IFERROR(VLOOKUP(E:E,'Item Data Support Sheet'!A:O,7,0),"")</f>
        <v>BOTTLE MOLDED</v>
      </c>
      <c r="E1202" s="80" t="s">
        <v>69</v>
      </c>
      <c r="F1202" s="122" t="s">
        <v>73</v>
      </c>
      <c r="G1202" s="137" t="s">
        <v>74</v>
      </c>
      <c r="H1202" s="79" t="str">
        <f aca="false">IFERROR(VLOOKUP(E:E,'Item Data Support Sheet'!A:O,2,0),"")</f>
        <v>KPP 240 ML BOTTLE MOLDED</v>
      </c>
      <c r="I1202" s="80" t="s">
        <v>2000</v>
      </c>
      <c r="J1202" s="80" t="s">
        <v>155</v>
      </c>
      <c r="K1202" s="124" t="n">
        <v>8</v>
      </c>
      <c r="L1202" s="124" t="n">
        <v>2574</v>
      </c>
      <c r="M1202" s="83" t="n">
        <v>321.75</v>
      </c>
      <c r="N1202" s="84" t="n">
        <f aca="false">+O1202+Q1202+T1202+U1202</f>
        <v>3129</v>
      </c>
      <c r="O1202" s="85" t="n">
        <v>3024</v>
      </c>
      <c r="P1202" s="86" t="n">
        <v>0</v>
      </c>
      <c r="Q1202" s="86" t="n">
        <v>45</v>
      </c>
      <c r="R1202" s="132" t="n">
        <v>0</v>
      </c>
      <c r="S1202" s="128" t="n">
        <v>0</v>
      </c>
      <c r="T1202" s="132" t="n">
        <v>60</v>
      </c>
      <c r="U1202" s="128" t="n">
        <v>0</v>
      </c>
      <c r="V1202" s="128" t="n">
        <v>1</v>
      </c>
      <c r="W1202" s="90" t="n">
        <f aca="false">IFERROR(O1202/V1202,0)</f>
        <v>3024</v>
      </c>
      <c r="X1202" s="91" t="n">
        <f aca="false">O1202/L1202</f>
        <v>1.17482517482517</v>
      </c>
      <c r="Y1202" s="92" t="str">
        <f aca="false">IFERROR(VLOOKUP(E:E,'Item Data Support Sheet'!A:J,6,0),0)</f>
        <v>HMC</v>
      </c>
      <c r="Z1202" s="93" t="n">
        <f aca="false">IFERROR(VLOOKUP(E:E,'Item Data Support Sheet'!A:O,4,0),0)</f>
        <v>32.1</v>
      </c>
      <c r="AA1202" s="93" t="n">
        <f aca="false">IFERROR(((N1202)*(Z1202/1000))+P1202,0)</f>
        <v>100.4409</v>
      </c>
      <c r="AB1202" s="94" t="n">
        <f aca="false">IFERROR((O1202*(Z1202/1000)/(AA1202))," ")</f>
        <v>0.966442953020134</v>
      </c>
      <c r="AC1202" s="95" t="n">
        <f aca="false">IFERROR((T1202)/((T1202)+O1202),0)</f>
        <v>0.0194552529182879</v>
      </c>
      <c r="AD1202" s="96" t="n">
        <f aca="false">IFERROR(Q1202/(Q1202+N1202),0)</f>
        <v>0.0141776937618147</v>
      </c>
      <c r="AE1202" s="91" t="n">
        <f aca="false">(N1202-T1202)/N1202</f>
        <v>0.980824544582934</v>
      </c>
      <c r="AF1202" s="97" t="n">
        <f aca="false">BR1202</f>
        <v>0</v>
      </c>
      <c r="AG1202" s="98" t="n">
        <f aca="false">K1202-AF1202</f>
        <v>8</v>
      </c>
      <c r="AH1202" s="99" t="n">
        <f aca="false">IFERROR(AG1202/K1202," ")</f>
        <v>1</v>
      </c>
      <c r="AI1202" s="100" t="n">
        <f aca="false">IFERROR(O1202/K1202,0)</f>
        <v>378</v>
      </c>
      <c r="AJ1202" s="101" t="n">
        <f aca="false">VLOOKUP(D1202,'Standard Cycle time'!C:D,2,0)</f>
        <v>9</v>
      </c>
      <c r="AK1202" s="101" t="n">
        <f aca="false">AG1202*V1202*3600/O1202</f>
        <v>9.52380952380952</v>
      </c>
      <c r="AL1202" s="102" t="n">
        <f aca="false">AJ1202/AK1202</f>
        <v>0.945</v>
      </c>
      <c r="AM1202" s="99" t="n">
        <f aca="false">AE1202*AL1202*AH1202</f>
        <v>0.926879194630872</v>
      </c>
      <c r="AN1202" s="103" t="n">
        <v>0.926879194630872</v>
      </c>
      <c r="AO1202" s="112"/>
      <c r="AP1202" s="105" t="n">
        <v>0</v>
      </c>
      <c r="AQ1202" s="105" t="n">
        <v>0</v>
      </c>
      <c r="AR1202" s="105" t="n">
        <v>0</v>
      </c>
      <c r="AS1202" s="105" t="n">
        <v>0</v>
      </c>
      <c r="AT1202" s="105" t="n">
        <v>0</v>
      </c>
      <c r="AU1202" s="105" t="n">
        <v>0</v>
      </c>
      <c r="AV1202" s="105" t="n">
        <v>0</v>
      </c>
      <c r="AW1202" s="105" t="n">
        <v>0</v>
      </c>
      <c r="AX1202" s="105" t="n">
        <v>0</v>
      </c>
      <c r="AY1202" s="105" t="n">
        <v>0</v>
      </c>
      <c r="AZ1202" s="105" t="n">
        <v>0</v>
      </c>
      <c r="BA1202" s="105" t="n">
        <v>0</v>
      </c>
      <c r="BB1202" s="105" t="n">
        <v>0</v>
      </c>
      <c r="BC1202" s="105" t="n">
        <v>0</v>
      </c>
      <c r="BD1202" s="105" t="n">
        <v>0</v>
      </c>
      <c r="BE1202" s="105" t="n">
        <v>0</v>
      </c>
      <c r="BF1202" s="105" t="n">
        <v>0</v>
      </c>
      <c r="BG1202" s="105" t="n">
        <v>0</v>
      </c>
      <c r="BH1202" s="105" t="n">
        <v>0</v>
      </c>
      <c r="BI1202" s="105" t="n">
        <v>0</v>
      </c>
      <c r="BJ1202" s="105" t="n">
        <v>0</v>
      </c>
      <c r="BK1202" s="105" t="n">
        <v>0</v>
      </c>
      <c r="BL1202" s="105" t="n">
        <v>0</v>
      </c>
      <c r="BM1202" s="105" t="n">
        <v>0</v>
      </c>
      <c r="BN1202" s="105" t="n">
        <v>0</v>
      </c>
      <c r="BO1202" s="105" t="n">
        <v>0</v>
      </c>
      <c r="BP1202" s="105" t="n">
        <v>0</v>
      </c>
      <c r="BQ1202" s="105" t="n">
        <v>0</v>
      </c>
      <c r="BR1202" s="106"/>
      <c r="BS1202" s="106"/>
      <c r="BT1202" s="107"/>
      <c r="BU1202" s="107"/>
      <c r="BV1202" s="107"/>
      <c r="BW1202" s="107"/>
      <c r="BX1202" s="107"/>
      <c r="BY1202" s="107"/>
      <c r="BZ1202" s="107"/>
      <c r="CA1202" s="107"/>
      <c r="CB1202" s="107"/>
      <c r="CC1202" s="107"/>
      <c r="CD1202" s="107"/>
      <c r="CE1202" s="107"/>
      <c r="CF1202" s="107"/>
      <c r="CG1202" s="107"/>
      <c r="CH1202" s="107"/>
      <c r="CI1202" s="107"/>
      <c r="CJ1202" s="107"/>
      <c r="CK1202" s="107"/>
      <c r="CL1202" s="107"/>
      <c r="CM1202" s="107"/>
      <c r="CN1202" s="107"/>
      <c r="CO1202" s="107"/>
      <c r="CP1202" s="107"/>
      <c r="CQ1202" s="107"/>
      <c r="CR1202" s="107"/>
      <c r="CS1202" s="107"/>
      <c r="CT1202" s="107"/>
      <c r="CU1202" s="107"/>
      <c r="CV1202" s="107"/>
    </row>
    <row r="1203" customFormat="false" ht="14.9" hidden="false" customHeight="false" outlineLevel="0" collapsed="false">
      <c r="A1203" s="74" t="n">
        <f aca="false">MONTH(B1203)</f>
        <v>11</v>
      </c>
      <c r="B1203" s="135" t="n">
        <v>44512</v>
      </c>
      <c r="C1203" s="128" t="s">
        <v>63</v>
      </c>
      <c r="D1203" s="77" t="str">
        <f aca="false">IFERROR(VLOOKUP(E:E,'Item Data Support Sheet'!A:O,7,0),"")</f>
        <v>BOTTLE MOLDED</v>
      </c>
      <c r="E1203" s="80" t="s">
        <v>2001</v>
      </c>
      <c r="F1203" s="122"/>
      <c r="G1203" s="137" t="s">
        <v>80</v>
      </c>
      <c r="H1203" s="79" t="str">
        <f aca="false">IFERROR(VLOOKUP(E:E,'Item Data Support Sheet'!A:O,2,0),"")</f>
        <v>50 ML JUICE BOTTLE MOLDED</v>
      </c>
      <c r="I1203" s="80" t="s">
        <v>2002</v>
      </c>
      <c r="J1203" s="80" t="s">
        <v>155</v>
      </c>
      <c r="K1203" s="124" t="n">
        <v>8</v>
      </c>
      <c r="L1203" s="124" t="n">
        <v>4597</v>
      </c>
      <c r="M1203" s="83" t="n">
        <v>574.625</v>
      </c>
      <c r="N1203" s="84" t="n">
        <f aca="false">+O1203+Q1203+T1203+U1203</f>
        <v>4018</v>
      </c>
      <c r="O1203" s="85" t="n">
        <v>3840</v>
      </c>
      <c r="P1203" s="86" t="n">
        <v>0.3</v>
      </c>
      <c r="Q1203" s="86" t="n">
        <v>78</v>
      </c>
      <c r="R1203" s="132" t="n">
        <v>0</v>
      </c>
      <c r="S1203" s="128" t="n">
        <v>0</v>
      </c>
      <c r="T1203" s="132" t="n">
        <v>100</v>
      </c>
      <c r="U1203" s="128" t="n">
        <v>0</v>
      </c>
      <c r="V1203" s="128" t="n">
        <v>1</v>
      </c>
      <c r="W1203" s="90" t="n">
        <f aca="false">IFERROR(O1203/V1203,0)</f>
        <v>3840</v>
      </c>
      <c r="X1203" s="91" t="n">
        <f aca="false">O1203/L1203</f>
        <v>0.835327387426582</v>
      </c>
      <c r="Y1203" s="92" t="str">
        <f aca="false">IFERROR(VLOOKUP(E:E,'Item Data Support Sheet'!A:J,6,0),0)</f>
        <v>HMC</v>
      </c>
      <c r="Z1203" s="93" t="n">
        <f aca="false">IFERROR(VLOOKUP(E:E,'Item Data Support Sheet'!A:O,4,0),0)</f>
        <v>17.015</v>
      </c>
      <c r="AA1203" s="93" t="n">
        <f aca="false">IFERROR(((N1203)*(Z1203/1000))+P1203,0)</f>
        <v>68.66627</v>
      </c>
      <c r="AB1203" s="94" t="n">
        <f aca="false">IFERROR((O1203*(Z1203/1000)/(AA1203))," ")</f>
        <v>0.951523943269381</v>
      </c>
      <c r="AC1203" s="95" t="n">
        <f aca="false">IFERROR((T1203)/((T1203)+O1203),0)</f>
        <v>0.0253807106598985</v>
      </c>
      <c r="AD1203" s="96" t="n">
        <f aca="false">IFERROR(Q1203/(Q1203+N1203),0)</f>
        <v>0.01904296875</v>
      </c>
      <c r="AE1203" s="91" t="n">
        <f aca="false">(N1203-T1203)/N1203</f>
        <v>0.975111996017919</v>
      </c>
      <c r="AF1203" s="97" t="n">
        <f aca="false">BR1203</f>
        <v>0</v>
      </c>
      <c r="AG1203" s="98" t="n">
        <f aca="false">K1203-AF1203</f>
        <v>8</v>
      </c>
      <c r="AH1203" s="99" t="n">
        <f aca="false">IFERROR(AG1203/K1203," ")</f>
        <v>1</v>
      </c>
      <c r="AI1203" s="100" t="n">
        <f aca="false">IFERROR(O1203/K1203,0)</f>
        <v>480</v>
      </c>
      <c r="AJ1203" s="101" t="n">
        <f aca="false">VLOOKUP(D1203,'Standard Cycle time'!C:D,2,0)</f>
        <v>9</v>
      </c>
      <c r="AK1203" s="101" t="n">
        <f aca="false">AG1203*V1203*3600/O1203</f>
        <v>7.5</v>
      </c>
      <c r="AL1203" s="102" t="n">
        <f aca="false">AJ1203/AK1203</f>
        <v>1.2</v>
      </c>
      <c r="AM1203" s="99" t="n">
        <f aca="false">AE1203*AL1203*AH1203</f>
        <v>1.1701343952215</v>
      </c>
      <c r="AN1203" s="103" t="n">
        <v>1.1701343952215</v>
      </c>
      <c r="AO1203" s="112"/>
      <c r="AP1203" s="105" t="n">
        <v>0</v>
      </c>
      <c r="AQ1203" s="105" t="n">
        <v>0</v>
      </c>
      <c r="AR1203" s="105" t="n">
        <v>0</v>
      </c>
      <c r="AS1203" s="105" t="n">
        <v>0</v>
      </c>
      <c r="AT1203" s="105" t="n">
        <v>0</v>
      </c>
      <c r="AU1203" s="105" t="n">
        <v>0</v>
      </c>
      <c r="AV1203" s="105" t="n">
        <v>0</v>
      </c>
      <c r="AW1203" s="105" t="n">
        <v>0</v>
      </c>
      <c r="AX1203" s="105" t="n">
        <v>0</v>
      </c>
      <c r="AY1203" s="105" t="n">
        <v>0</v>
      </c>
      <c r="AZ1203" s="105" t="n">
        <v>0</v>
      </c>
      <c r="BA1203" s="105" t="n">
        <v>0</v>
      </c>
      <c r="BB1203" s="105" t="n">
        <v>0</v>
      </c>
      <c r="BC1203" s="105" t="n">
        <v>0</v>
      </c>
      <c r="BD1203" s="105" t="n">
        <v>0</v>
      </c>
      <c r="BE1203" s="105" t="n">
        <v>0</v>
      </c>
      <c r="BF1203" s="105" t="n">
        <v>0</v>
      </c>
      <c r="BG1203" s="105" t="n">
        <v>0</v>
      </c>
      <c r="BH1203" s="105" t="n">
        <v>0</v>
      </c>
      <c r="BI1203" s="105" t="n">
        <v>0</v>
      </c>
      <c r="BJ1203" s="105" t="n">
        <v>0</v>
      </c>
      <c r="BK1203" s="105" t="n">
        <v>0</v>
      </c>
      <c r="BL1203" s="105" t="n">
        <v>0</v>
      </c>
      <c r="BM1203" s="105" t="n">
        <v>0</v>
      </c>
      <c r="BN1203" s="105" t="n">
        <v>0</v>
      </c>
      <c r="BO1203" s="105" t="n">
        <v>0</v>
      </c>
      <c r="BP1203" s="105" t="n">
        <v>0</v>
      </c>
      <c r="BQ1203" s="105" t="n">
        <v>0</v>
      </c>
      <c r="BR1203" s="106" t="n">
        <v>0</v>
      </c>
      <c r="BS1203" s="106" t="n">
        <v>0</v>
      </c>
      <c r="BT1203" s="107"/>
      <c r="BU1203" s="107"/>
      <c r="BV1203" s="107"/>
      <c r="BW1203" s="107"/>
      <c r="BX1203" s="107"/>
      <c r="BY1203" s="107"/>
      <c r="BZ1203" s="107"/>
      <c r="CA1203" s="107"/>
      <c r="CB1203" s="107"/>
      <c r="CC1203" s="107"/>
      <c r="CD1203" s="107"/>
      <c r="CE1203" s="107"/>
      <c r="CF1203" s="107"/>
      <c r="CG1203" s="107"/>
      <c r="CH1203" s="107"/>
      <c r="CI1203" s="107"/>
      <c r="CJ1203" s="107"/>
      <c r="CK1203" s="107"/>
      <c r="CL1203" s="107"/>
      <c r="CM1203" s="107"/>
      <c r="CN1203" s="107"/>
      <c r="CO1203" s="107"/>
      <c r="CP1203" s="107"/>
      <c r="CQ1203" s="107"/>
      <c r="CR1203" s="107"/>
      <c r="CS1203" s="107"/>
      <c r="CT1203" s="107"/>
      <c r="CU1203" s="107"/>
      <c r="CV1203" s="107"/>
    </row>
    <row r="1204" customFormat="false" ht="14.9" hidden="false" customHeight="false" outlineLevel="0" collapsed="false">
      <c r="A1204" s="74" t="n">
        <f aca="false">MONTH(B1204)</f>
        <v>11</v>
      </c>
      <c r="B1204" s="135" t="n">
        <v>44512</v>
      </c>
      <c r="C1204" s="128" t="s">
        <v>70</v>
      </c>
      <c r="D1204" s="77" t="str">
        <f aca="false">IFERROR(VLOOKUP(E:E,'Item Data Support Sheet'!A:O,7,0),"")</f>
        <v>NIPPLE PUNCH</v>
      </c>
      <c r="E1204" s="80" t="s">
        <v>834</v>
      </c>
      <c r="F1204" s="122"/>
      <c r="G1204" s="137" t="s">
        <v>54</v>
      </c>
      <c r="H1204" s="79" t="str">
        <f aca="false">IFERROR(VLOOKUP(E:E,'Item Data Support Sheet'!A:O,2,0),"")</f>
        <v>NIPPLE S TYPE Y SIZE PUNCHED</v>
      </c>
      <c r="I1204" s="80" t="s">
        <v>2003</v>
      </c>
      <c r="J1204" s="80" t="s">
        <v>155</v>
      </c>
      <c r="K1204" s="124" t="n">
        <v>8</v>
      </c>
      <c r="L1204" s="124" t="n">
        <v>7000</v>
      </c>
      <c r="M1204" s="83" t="n">
        <v>875</v>
      </c>
      <c r="N1204" s="84" t="n">
        <f aca="false">+O1204+Q1204+T1204+U1204</f>
        <v>7000</v>
      </c>
      <c r="O1204" s="85" t="n">
        <v>7000</v>
      </c>
      <c r="P1204" s="86" t="n">
        <v>0</v>
      </c>
      <c r="Q1204" s="86" t="n">
        <v>0</v>
      </c>
      <c r="R1204" s="132" t="n">
        <v>0</v>
      </c>
      <c r="S1204" s="128" t="n">
        <v>0</v>
      </c>
      <c r="T1204" s="132" t="n">
        <v>0</v>
      </c>
      <c r="U1204" s="128" t="n">
        <v>0</v>
      </c>
      <c r="V1204" s="128" t="n">
        <v>1</v>
      </c>
      <c r="W1204" s="90" t="n">
        <f aca="false">IFERROR(O1204/V1204,0)</f>
        <v>7000</v>
      </c>
      <c r="X1204" s="91" t="n">
        <f aca="false">O1204/L1204</f>
        <v>1</v>
      </c>
      <c r="Y1204" s="92" t="str">
        <f aca="false">IFERROR(VLOOKUP(E:E,'Item Data Support Sheet'!A:J,6,0),0)</f>
        <v>FO018</v>
      </c>
      <c r="Z1204" s="93" t="n">
        <f aca="false">IFERROR(VLOOKUP(E:E,'Item Data Support Sheet'!A:O,4,0),0)</f>
        <v>0</v>
      </c>
      <c r="AA1204" s="93" t="n">
        <f aca="false">IFERROR(((N1204)*(Z1204/1000))+P1204,0)</f>
        <v>0</v>
      </c>
      <c r="AB1204" s="94" t="str">
        <f aca="false">IFERROR((O1204*(Z1204/1000)/(AA1204))," ")</f>
        <v> </v>
      </c>
      <c r="AC1204" s="95" t="n">
        <f aca="false">IFERROR((T1204)/((T1204)+O1204),0)</f>
        <v>0</v>
      </c>
      <c r="AD1204" s="96" t="n">
        <f aca="false">IFERROR(Q1204/(Q1204+N1204),0)</f>
        <v>0</v>
      </c>
      <c r="AE1204" s="91" t="n">
        <f aca="false">(N1204-T1204)/N1204</f>
        <v>1</v>
      </c>
      <c r="AF1204" s="97" t="n">
        <f aca="false">BR1204</f>
        <v>0.666666666666667</v>
      </c>
      <c r="AG1204" s="98" t="n">
        <f aca="false">K1204-AF1204</f>
        <v>7.33333333333333</v>
      </c>
      <c r="AH1204" s="99" t="n">
        <f aca="false">IFERROR(AG1204/K1204," ")</f>
        <v>0.916666666666667</v>
      </c>
      <c r="AI1204" s="100" t="n">
        <f aca="false">IFERROR(O1204/K1204,0)</f>
        <v>875</v>
      </c>
      <c r="AJ1204" s="101" t="n">
        <f aca="false">VLOOKUP(D1204,'Standard Cycle time'!C:D,2,0)</f>
        <v>3.5</v>
      </c>
      <c r="AK1204" s="101" t="n">
        <f aca="false">AG1204*V1204*3600/O1204</f>
        <v>3.77142857142857</v>
      </c>
      <c r="AL1204" s="102" t="n">
        <f aca="false">AJ1204/AK1204</f>
        <v>0.928030303030303</v>
      </c>
      <c r="AM1204" s="99" t="n">
        <f aca="false">AE1204*AL1204*AH1204</f>
        <v>0.850694444444444</v>
      </c>
      <c r="AN1204" s="103" t="n">
        <v>0.850694444444444</v>
      </c>
      <c r="AO1204" s="112"/>
      <c r="AP1204" s="105" t="n">
        <v>40</v>
      </c>
      <c r="AQ1204" s="105" t="n">
        <v>0</v>
      </c>
      <c r="AR1204" s="105" t="n">
        <v>0</v>
      </c>
      <c r="AS1204" s="105" t="n">
        <v>0</v>
      </c>
      <c r="AT1204" s="105" t="n">
        <v>0</v>
      </c>
      <c r="AU1204" s="105" t="n">
        <v>0</v>
      </c>
      <c r="AV1204" s="105" t="n">
        <v>0</v>
      </c>
      <c r="AW1204" s="105" t="n">
        <v>0</v>
      </c>
      <c r="AX1204" s="105" t="n">
        <v>0</v>
      </c>
      <c r="AY1204" s="105" t="n">
        <v>0</v>
      </c>
      <c r="AZ1204" s="105" t="n">
        <v>0</v>
      </c>
      <c r="BA1204" s="105" t="n">
        <v>0</v>
      </c>
      <c r="BB1204" s="105" t="n">
        <v>0</v>
      </c>
      <c r="BC1204" s="105" t="n">
        <v>0</v>
      </c>
      <c r="BD1204" s="105" t="n">
        <v>0</v>
      </c>
      <c r="BE1204" s="105" t="n">
        <v>0</v>
      </c>
      <c r="BF1204" s="105" t="n">
        <v>0</v>
      </c>
      <c r="BG1204" s="105" t="n">
        <v>0</v>
      </c>
      <c r="BH1204" s="105" t="n">
        <v>0</v>
      </c>
      <c r="BI1204" s="105" t="n">
        <v>0</v>
      </c>
      <c r="BJ1204" s="105" t="n">
        <v>0</v>
      </c>
      <c r="BK1204" s="105" t="n">
        <v>0</v>
      </c>
      <c r="BL1204" s="105" t="n">
        <v>0</v>
      </c>
      <c r="BM1204" s="105" t="n">
        <v>0</v>
      </c>
      <c r="BN1204" s="105" t="n">
        <v>0</v>
      </c>
      <c r="BO1204" s="105" t="n">
        <v>0</v>
      </c>
      <c r="BP1204" s="105" t="n">
        <v>0</v>
      </c>
      <c r="BQ1204" s="105" t="n">
        <v>0</v>
      </c>
      <c r="BR1204" s="106" t="n">
        <v>0.666666666666667</v>
      </c>
      <c r="BS1204" s="106" t="n">
        <v>0.666666666666667</v>
      </c>
      <c r="BT1204" s="107"/>
      <c r="BU1204" s="107"/>
      <c r="BV1204" s="107"/>
      <c r="BW1204" s="107"/>
      <c r="BX1204" s="107"/>
      <c r="BY1204" s="107"/>
      <c r="BZ1204" s="107"/>
      <c r="CA1204" s="107"/>
      <c r="CB1204" s="107"/>
      <c r="CC1204" s="107"/>
      <c r="CD1204" s="107"/>
      <c r="CE1204" s="107"/>
      <c r="CF1204" s="107"/>
      <c r="CG1204" s="107"/>
      <c r="CH1204" s="107"/>
      <c r="CI1204" s="107"/>
      <c r="CJ1204" s="107"/>
      <c r="CK1204" s="107"/>
      <c r="CL1204" s="107"/>
      <c r="CM1204" s="107"/>
      <c r="CN1204" s="107"/>
      <c r="CO1204" s="107"/>
      <c r="CP1204" s="107"/>
      <c r="CQ1204" s="107"/>
      <c r="CR1204" s="107"/>
      <c r="CS1204" s="107"/>
      <c r="CT1204" s="107"/>
      <c r="CU1204" s="107"/>
      <c r="CV1204" s="107"/>
    </row>
    <row r="1205" customFormat="false" ht="14.9" hidden="false" customHeight="false" outlineLevel="0" collapsed="false">
      <c r="A1205" s="74" t="n">
        <f aca="false">MONTH(B1205)</f>
        <v>11</v>
      </c>
      <c r="B1205" s="135" t="n">
        <v>44512</v>
      </c>
      <c r="C1205" s="128" t="s">
        <v>70</v>
      </c>
      <c r="D1205" s="77" t="str">
        <f aca="false">IFERROR(VLOOKUP(E:E,'Item Data Support Sheet'!A:O,7,0),"")</f>
        <v>NIPPLE LASER MARKING</v>
      </c>
      <c r="E1205" s="80" t="s">
        <v>885</v>
      </c>
      <c r="F1205" s="122"/>
      <c r="G1205" s="137" t="s">
        <v>517</v>
      </c>
      <c r="H1205" s="79" t="str">
        <f aca="false">IFERROR(VLOOKUP(E:E,'Item Data Support Sheet'!A:O,2,0),"")</f>
        <v>NIPPLE S TYPE Y SIZE PUNCHED LASER MARKED</v>
      </c>
      <c r="I1205" s="80" t="s">
        <v>1995</v>
      </c>
      <c r="J1205" s="80" t="s">
        <v>155</v>
      </c>
      <c r="K1205" s="124" t="n">
        <v>8</v>
      </c>
      <c r="L1205" s="124" t="n">
        <v>7000</v>
      </c>
      <c r="M1205" s="83" t="n">
        <v>875</v>
      </c>
      <c r="N1205" s="84" t="n">
        <f aca="false">+O1205+Q1205+T1205+U1205</f>
        <v>7000</v>
      </c>
      <c r="O1205" s="85" t="n">
        <v>7000</v>
      </c>
      <c r="P1205" s="86" t="n">
        <v>0</v>
      </c>
      <c r="Q1205" s="86" t="n">
        <v>0</v>
      </c>
      <c r="R1205" s="132" t="n">
        <v>0</v>
      </c>
      <c r="S1205" s="128" t="n">
        <v>0</v>
      </c>
      <c r="T1205" s="132" t="n">
        <v>0</v>
      </c>
      <c r="U1205" s="128" t="n">
        <v>0</v>
      </c>
      <c r="V1205" s="128" t="n">
        <v>1</v>
      </c>
      <c r="W1205" s="90" t="n">
        <f aca="false">IFERROR(O1205/V1205,0)</f>
        <v>7000</v>
      </c>
      <c r="X1205" s="91" t="n">
        <f aca="false">O1205/L1205</f>
        <v>1</v>
      </c>
      <c r="Y1205" s="92" t="str">
        <f aca="false">IFERROR(VLOOKUP(E:E,'Item Data Support Sheet'!A:J,6,0),0)</f>
        <v>FO022</v>
      </c>
      <c r="Z1205" s="93" t="n">
        <f aca="false">IFERROR(VLOOKUP(E:E,'Item Data Support Sheet'!A:O,4,0),0)</f>
        <v>0</v>
      </c>
      <c r="AA1205" s="93" t="n">
        <f aca="false">IFERROR(((N1205)*(Z1205/1000))+P1205,0)</f>
        <v>0</v>
      </c>
      <c r="AB1205" s="94" t="str">
        <f aca="false">IFERROR((O1205*(Z1205/1000)/(AA1205))," ")</f>
        <v> </v>
      </c>
      <c r="AC1205" s="95" t="n">
        <f aca="false">IFERROR((T1205)/((T1205)+O1205),0)</f>
        <v>0</v>
      </c>
      <c r="AD1205" s="96" t="n">
        <f aca="false">IFERROR(Q1205/(Q1205+N1205),0)</f>
        <v>0</v>
      </c>
      <c r="AE1205" s="91" t="n">
        <f aca="false">(N1205-T1205)/N1205</f>
        <v>1</v>
      </c>
      <c r="AF1205" s="97" t="n">
        <f aca="false">BR1205</f>
        <v>0.666666666666667</v>
      </c>
      <c r="AG1205" s="98" t="n">
        <f aca="false">K1205-AF1205</f>
        <v>7.33333333333333</v>
      </c>
      <c r="AH1205" s="99" t="n">
        <f aca="false">IFERROR(AG1205/K1205," ")</f>
        <v>0.916666666666667</v>
      </c>
      <c r="AI1205" s="100" t="n">
        <f aca="false">IFERROR(O1205/K1205,0)</f>
        <v>875</v>
      </c>
      <c r="AJ1205" s="101" t="n">
        <f aca="false">VLOOKUP(D1205,'Standard Cycle time'!C:D,2,0)</f>
        <v>3.5</v>
      </c>
      <c r="AK1205" s="101" t="n">
        <f aca="false">AG1205*V1205*3600/O1205</f>
        <v>3.77142857142857</v>
      </c>
      <c r="AL1205" s="102" t="n">
        <f aca="false">AJ1205/AK1205</f>
        <v>0.928030303030303</v>
      </c>
      <c r="AM1205" s="99" t="n">
        <f aca="false">AE1205*AL1205*AH1205</f>
        <v>0.850694444444444</v>
      </c>
      <c r="AN1205" s="103" t="n">
        <v>0.850694444444444</v>
      </c>
      <c r="AO1205" s="112"/>
      <c r="AP1205" s="105" t="n">
        <v>40</v>
      </c>
      <c r="AQ1205" s="105" t="n">
        <v>0</v>
      </c>
      <c r="AR1205" s="105" t="n">
        <v>0</v>
      </c>
      <c r="AS1205" s="105" t="n">
        <v>0</v>
      </c>
      <c r="AT1205" s="105" t="n">
        <v>0</v>
      </c>
      <c r="AU1205" s="105" t="n">
        <v>0</v>
      </c>
      <c r="AV1205" s="105" t="n">
        <v>0</v>
      </c>
      <c r="AW1205" s="105" t="n">
        <v>0</v>
      </c>
      <c r="AX1205" s="105" t="n">
        <v>0</v>
      </c>
      <c r="AY1205" s="105" t="n">
        <v>0</v>
      </c>
      <c r="AZ1205" s="105" t="n">
        <v>0</v>
      </c>
      <c r="BA1205" s="105" t="n">
        <v>0</v>
      </c>
      <c r="BB1205" s="105" t="n">
        <v>0</v>
      </c>
      <c r="BC1205" s="105" t="n">
        <v>0</v>
      </c>
      <c r="BD1205" s="105" t="n">
        <v>0</v>
      </c>
      <c r="BE1205" s="105" t="n">
        <v>0</v>
      </c>
      <c r="BF1205" s="105" t="n">
        <v>0</v>
      </c>
      <c r="BG1205" s="105" t="n">
        <v>0</v>
      </c>
      <c r="BH1205" s="105" t="n">
        <v>0</v>
      </c>
      <c r="BI1205" s="105" t="n">
        <v>0</v>
      </c>
      <c r="BJ1205" s="105" t="n">
        <v>0</v>
      </c>
      <c r="BK1205" s="105" t="n">
        <v>0</v>
      </c>
      <c r="BL1205" s="105" t="n">
        <v>0</v>
      </c>
      <c r="BM1205" s="105" t="n">
        <v>0</v>
      </c>
      <c r="BN1205" s="105" t="n">
        <v>0</v>
      </c>
      <c r="BO1205" s="105" t="n">
        <v>0</v>
      </c>
      <c r="BP1205" s="105" t="n">
        <v>0</v>
      </c>
      <c r="BQ1205" s="105" t="n">
        <v>0</v>
      </c>
      <c r="BR1205" s="106" t="n">
        <v>0.666666666666667</v>
      </c>
      <c r="BS1205" s="106" t="n">
        <v>0.666666666666667</v>
      </c>
      <c r="BT1205" s="107"/>
      <c r="BU1205" s="107"/>
      <c r="BV1205" s="107"/>
      <c r="BW1205" s="107"/>
      <c r="BX1205" s="107"/>
      <c r="BY1205" s="107"/>
      <c r="BZ1205" s="107"/>
      <c r="CA1205" s="107"/>
      <c r="CB1205" s="107"/>
      <c r="CC1205" s="107"/>
      <c r="CD1205" s="107"/>
      <c r="CE1205" s="107"/>
      <c r="CF1205" s="107"/>
      <c r="CG1205" s="107"/>
      <c r="CH1205" s="107"/>
      <c r="CI1205" s="107"/>
      <c r="CJ1205" s="107"/>
      <c r="CK1205" s="107"/>
      <c r="CL1205" s="107"/>
      <c r="CM1205" s="107"/>
      <c r="CN1205" s="107"/>
      <c r="CO1205" s="107"/>
      <c r="CP1205" s="107"/>
      <c r="CQ1205" s="107"/>
      <c r="CR1205" s="107"/>
      <c r="CS1205" s="107"/>
      <c r="CT1205" s="107"/>
      <c r="CU1205" s="107"/>
      <c r="CV1205" s="107"/>
    </row>
    <row r="1206" customFormat="false" ht="14.9" hidden="false" customHeight="false" outlineLevel="0" collapsed="false">
      <c r="A1206" s="74" t="n">
        <f aca="false">MONTH(B1206)</f>
        <v>11</v>
      </c>
      <c r="B1206" s="135" t="n">
        <v>44512</v>
      </c>
      <c r="C1206" s="128" t="s">
        <v>70</v>
      </c>
      <c r="D1206" s="77" t="str">
        <f aca="false">IFERROR(VLOOKUP(E:E,'Item Data Support Sheet'!A:O,7,0),"")</f>
        <v>BOTTLE PRINTED</v>
      </c>
      <c r="E1206" s="80" t="s">
        <v>65</v>
      </c>
      <c r="F1206" s="122"/>
      <c r="G1206" s="137"/>
      <c r="H1206" s="79" t="str">
        <f aca="false">IFERROR(VLOOKUP(E:E,'Item Data Support Sheet'!A:O,2,0),"")</f>
        <v>KPP 240 ML BOTTLE PRINTED</v>
      </c>
      <c r="I1206" s="80" t="s">
        <v>2004</v>
      </c>
      <c r="J1206" s="80" t="s">
        <v>155</v>
      </c>
      <c r="K1206" s="124" t="n">
        <v>8</v>
      </c>
      <c r="L1206" s="124" t="n">
        <v>5100</v>
      </c>
      <c r="M1206" s="83" t="n">
        <v>637.5</v>
      </c>
      <c r="N1206" s="84" t="n">
        <f aca="false">+O1206+Q1206+T1206+U1206</f>
        <v>4366</v>
      </c>
      <c r="O1206" s="85" t="n">
        <v>4320</v>
      </c>
      <c r="P1206" s="86" t="n">
        <v>0</v>
      </c>
      <c r="Q1206" s="86" t="n">
        <v>0</v>
      </c>
      <c r="R1206" s="132" t="n">
        <v>51</v>
      </c>
      <c r="S1206" s="128" t="n">
        <v>0</v>
      </c>
      <c r="T1206" s="132" t="n">
        <v>46</v>
      </c>
      <c r="U1206" s="128" t="n">
        <v>0</v>
      </c>
      <c r="V1206" s="128" t="n">
        <v>4</v>
      </c>
      <c r="W1206" s="90" t="n">
        <f aca="false">IFERROR(O1206/V1206,0)</f>
        <v>1080</v>
      </c>
      <c r="X1206" s="91" t="n">
        <f aca="false">O1206/L1206</f>
        <v>0.847058823529412</v>
      </c>
      <c r="Y1206" s="92" t="str">
        <f aca="false">IFERROR(VLOOKUP(E:E,'Item Data Support Sheet'!A:J,6,0),0)</f>
        <v>FO003</v>
      </c>
      <c r="Z1206" s="93" t="n">
        <f aca="false">IFERROR(VLOOKUP(E:E,'Item Data Support Sheet'!A:O,4,0),0)</f>
        <v>0</v>
      </c>
      <c r="AA1206" s="93" t="n">
        <f aca="false">IFERROR(((N1206)*(Z1206/1000))+P1206,0)</f>
        <v>0</v>
      </c>
      <c r="AB1206" s="94" t="str">
        <f aca="false">IFERROR((O1206*(Z1206/1000)/(AA1206))," ")</f>
        <v> </v>
      </c>
      <c r="AC1206" s="95" t="n">
        <f aca="false">IFERROR((T1206)/((T1206)+O1206),0)</f>
        <v>0.0105359596885021</v>
      </c>
      <c r="AD1206" s="96" t="n">
        <f aca="false">IFERROR(Q1206/(Q1206+N1206),0)</f>
        <v>0</v>
      </c>
      <c r="AE1206" s="91" t="n">
        <f aca="false">(N1206-T1206)/N1206</f>
        <v>0.989464040311498</v>
      </c>
      <c r="AF1206" s="97" t="n">
        <f aca="false">BR1206</f>
        <v>1.33333333333333</v>
      </c>
      <c r="AG1206" s="98" t="n">
        <f aca="false">K1206-AF1206</f>
        <v>6.66666666666667</v>
      </c>
      <c r="AH1206" s="99" t="n">
        <f aca="false">IFERROR(AG1206/K1206," ")</f>
        <v>0.833333333333334</v>
      </c>
      <c r="AI1206" s="100" t="n">
        <f aca="false">IFERROR(O1206/K1206,0)</f>
        <v>540</v>
      </c>
      <c r="AJ1206" s="101" t="n">
        <f aca="false">VLOOKUP(D1206,'Standard Cycle time'!C:D,2,0)</f>
        <v>32.4</v>
      </c>
      <c r="AK1206" s="101" t="n">
        <f aca="false">AG1206*V1206*3600/O1206</f>
        <v>22.2222222222222</v>
      </c>
      <c r="AL1206" s="102" t="n">
        <f aca="false">AJ1206/AK1206</f>
        <v>1.458</v>
      </c>
      <c r="AM1206" s="99" t="n">
        <f aca="false">AE1206*AL1206*AH1206</f>
        <v>1.20219880897847</v>
      </c>
      <c r="AN1206" s="103" t="n">
        <v>1.20219880897847</v>
      </c>
      <c r="AO1206" s="112" t="s">
        <v>1659</v>
      </c>
      <c r="AP1206" s="105" t="n">
        <v>0</v>
      </c>
      <c r="AQ1206" s="105" t="n">
        <v>0</v>
      </c>
      <c r="AR1206" s="105" t="n">
        <v>0</v>
      </c>
      <c r="AS1206" s="105" t="n">
        <v>0</v>
      </c>
      <c r="AT1206" s="105" t="n">
        <v>80</v>
      </c>
      <c r="AU1206" s="105" t="n">
        <v>0</v>
      </c>
      <c r="AV1206" s="105" t="n">
        <v>0</v>
      </c>
      <c r="AW1206" s="105" t="n">
        <v>0</v>
      </c>
      <c r="AX1206" s="105" t="n">
        <v>0</v>
      </c>
      <c r="AY1206" s="105" t="n">
        <v>0</v>
      </c>
      <c r="AZ1206" s="105" t="n">
        <v>0</v>
      </c>
      <c r="BA1206" s="105" t="n">
        <v>0</v>
      </c>
      <c r="BB1206" s="105" t="n">
        <v>0</v>
      </c>
      <c r="BC1206" s="105" t="n">
        <v>0</v>
      </c>
      <c r="BD1206" s="105" t="n">
        <v>0</v>
      </c>
      <c r="BE1206" s="105" t="n">
        <v>0</v>
      </c>
      <c r="BF1206" s="105" t="n">
        <v>0</v>
      </c>
      <c r="BG1206" s="105" t="n">
        <v>0</v>
      </c>
      <c r="BH1206" s="105" t="n">
        <v>0</v>
      </c>
      <c r="BI1206" s="105" t="n">
        <v>0</v>
      </c>
      <c r="BJ1206" s="105" t="n">
        <v>0</v>
      </c>
      <c r="BK1206" s="105" t="n">
        <v>0</v>
      </c>
      <c r="BL1206" s="105" t="n">
        <v>0</v>
      </c>
      <c r="BM1206" s="105" t="n">
        <v>0</v>
      </c>
      <c r="BN1206" s="105" t="n">
        <v>0</v>
      </c>
      <c r="BO1206" s="105" t="n">
        <v>0</v>
      </c>
      <c r="BP1206" s="105" t="n">
        <v>0</v>
      </c>
      <c r="BQ1206" s="105" t="n">
        <v>0</v>
      </c>
      <c r="BR1206" s="106" t="n">
        <v>1.33333333333333</v>
      </c>
      <c r="BS1206" s="106" t="n">
        <v>1.33333333333333</v>
      </c>
      <c r="BT1206" s="107"/>
      <c r="BU1206" s="107"/>
      <c r="BV1206" s="107"/>
      <c r="BW1206" s="107"/>
      <c r="BX1206" s="107"/>
      <c r="BY1206" s="107"/>
      <c r="BZ1206" s="107"/>
      <c r="CA1206" s="107"/>
      <c r="CB1206" s="107"/>
      <c r="CC1206" s="107"/>
      <c r="CD1206" s="107"/>
      <c r="CE1206" s="107"/>
      <c r="CF1206" s="107"/>
      <c r="CG1206" s="107"/>
      <c r="CH1206" s="107"/>
      <c r="CI1206" s="107"/>
      <c r="CJ1206" s="107"/>
      <c r="CK1206" s="107"/>
      <c r="CL1206" s="107"/>
      <c r="CM1206" s="107"/>
      <c r="CN1206" s="107"/>
      <c r="CO1206" s="107"/>
      <c r="CP1206" s="107"/>
      <c r="CQ1206" s="107"/>
      <c r="CR1206" s="107"/>
      <c r="CS1206" s="107"/>
      <c r="CT1206" s="107"/>
      <c r="CU1206" s="107"/>
      <c r="CV1206" s="107"/>
    </row>
    <row r="1207" customFormat="false" ht="14.9" hidden="false" customHeight="false" outlineLevel="0" collapsed="false">
      <c r="A1207" s="74" t="n">
        <f aca="false">MONTH(B1207)</f>
        <v>11</v>
      </c>
      <c r="B1207" s="135" t="n">
        <v>44512</v>
      </c>
      <c r="C1207" s="128" t="s">
        <v>152</v>
      </c>
      <c r="D1207" s="77" t="str">
        <f aca="false">IFERROR(VLOOKUP(E:E,'Item Data Support Sheet'!A:O,7,0),"")</f>
        <v>BOTTLE MOLDED</v>
      </c>
      <c r="E1207" s="80" t="s">
        <v>69</v>
      </c>
      <c r="F1207" s="122" t="s">
        <v>73</v>
      </c>
      <c r="G1207" s="137" t="s">
        <v>2005</v>
      </c>
      <c r="H1207" s="79" t="str">
        <f aca="false">IFERROR(VLOOKUP(E:E,'Item Data Support Sheet'!A:O,2,0),"")</f>
        <v>KPP 240 ML BOTTLE MOLDED</v>
      </c>
      <c r="I1207" s="80" t="s">
        <v>2006</v>
      </c>
      <c r="J1207" s="80" t="s">
        <v>1913</v>
      </c>
      <c r="K1207" s="124" t="n">
        <v>8</v>
      </c>
      <c r="L1207" s="124" t="n">
        <v>2574</v>
      </c>
      <c r="M1207" s="83" t="n">
        <v>321.75</v>
      </c>
      <c r="N1207" s="84" t="n">
        <f aca="false">+O1207+Q1207+T1207+U1207</f>
        <v>1014</v>
      </c>
      <c r="O1207" s="85" t="n">
        <v>972</v>
      </c>
      <c r="P1207" s="86" t="n">
        <v>0.15</v>
      </c>
      <c r="Q1207" s="86" t="n">
        <v>14</v>
      </c>
      <c r="R1207" s="132" t="n">
        <v>0</v>
      </c>
      <c r="S1207" s="128" t="n">
        <v>0</v>
      </c>
      <c r="T1207" s="132" t="n">
        <v>20</v>
      </c>
      <c r="U1207" s="128" t="n">
        <v>8</v>
      </c>
      <c r="V1207" s="128" t="n">
        <v>1</v>
      </c>
      <c r="W1207" s="90" t="n">
        <f aca="false">IFERROR(O1207/V1207,0)</f>
        <v>972</v>
      </c>
      <c r="X1207" s="91" t="n">
        <f aca="false">O1207/L1207</f>
        <v>0.377622377622378</v>
      </c>
      <c r="Y1207" s="92" t="str">
        <f aca="false">IFERROR(VLOOKUP(E:E,'Item Data Support Sheet'!A:J,6,0),0)</f>
        <v>HMC</v>
      </c>
      <c r="Z1207" s="93" t="n">
        <f aca="false">IFERROR(VLOOKUP(E:E,'Item Data Support Sheet'!A:O,4,0),0)</f>
        <v>32.1</v>
      </c>
      <c r="AA1207" s="93" t="n">
        <f aca="false">IFERROR(((N1207)*(Z1207/1000))+P1207,0)</f>
        <v>32.6994</v>
      </c>
      <c r="AB1207" s="94" t="n">
        <f aca="false">IFERROR((O1207*(Z1207/1000)/(AA1207))," ")</f>
        <v>0.954182645553129</v>
      </c>
      <c r="AC1207" s="95" t="n">
        <f aca="false">IFERROR((T1207)/((T1207)+O1207),0)</f>
        <v>0.0201612903225806</v>
      </c>
      <c r="AD1207" s="96" t="n">
        <f aca="false">IFERROR(Q1207/(Q1207+N1207),0)</f>
        <v>0.0136186770428016</v>
      </c>
      <c r="AE1207" s="91" t="n">
        <f aca="false">(N1207-T1207)/N1207</f>
        <v>0.980276134122288</v>
      </c>
      <c r="AF1207" s="97" t="n">
        <f aca="false">BR1207</f>
        <v>5</v>
      </c>
      <c r="AG1207" s="98" t="n">
        <f aca="false">K1207-AF1207</f>
        <v>3</v>
      </c>
      <c r="AH1207" s="99" t="n">
        <f aca="false">IFERROR(AG1207/K1207," ")</f>
        <v>0.375</v>
      </c>
      <c r="AI1207" s="100" t="n">
        <f aca="false">IFERROR(O1207/K1207,0)</f>
        <v>121.5</v>
      </c>
      <c r="AJ1207" s="101" t="n">
        <f aca="false">VLOOKUP(D1207,'Standard Cycle time'!C:D,2,0)</f>
        <v>9</v>
      </c>
      <c r="AK1207" s="101" t="n">
        <f aca="false">AG1207*V1207*3600/O1207</f>
        <v>11.1111111111111</v>
      </c>
      <c r="AL1207" s="102" t="n">
        <f aca="false">AJ1207/AK1207</f>
        <v>0.81</v>
      </c>
      <c r="AM1207" s="99" t="n">
        <f aca="false">AE1207*AL1207*AH1207</f>
        <v>0.297758875739645</v>
      </c>
      <c r="AN1207" s="103" t="n">
        <v>0.297758875739645</v>
      </c>
      <c r="AO1207" s="112" t="s">
        <v>2007</v>
      </c>
      <c r="AP1207" s="105" t="n">
        <v>0</v>
      </c>
      <c r="AQ1207" s="105" t="n">
        <v>300</v>
      </c>
      <c r="AR1207" s="105" t="n">
        <v>0</v>
      </c>
      <c r="AS1207" s="105" t="n">
        <v>0</v>
      </c>
      <c r="AT1207" s="105" t="n">
        <v>0</v>
      </c>
      <c r="AU1207" s="105" t="n">
        <v>0</v>
      </c>
      <c r="AV1207" s="105" t="n">
        <v>0</v>
      </c>
      <c r="AW1207" s="105" t="n">
        <v>0</v>
      </c>
      <c r="AX1207" s="105" t="n">
        <v>0</v>
      </c>
      <c r="AY1207" s="105" t="n">
        <v>0</v>
      </c>
      <c r="AZ1207" s="105" t="n">
        <v>0</v>
      </c>
      <c r="BA1207" s="105" t="n">
        <v>0</v>
      </c>
      <c r="BB1207" s="105" t="n">
        <v>0</v>
      </c>
      <c r="BC1207" s="105" t="n">
        <v>0</v>
      </c>
      <c r="BD1207" s="105" t="n">
        <v>0</v>
      </c>
      <c r="BE1207" s="105" t="n">
        <v>0</v>
      </c>
      <c r="BF1207" s="105" t="n">
        <v>0</v>
      </c>
      <c r="BG1207" s="105" t="n">
        <v>0</v>
      </c>
      <c r="BH1207" s="105" t="n">
        <v>0</v>
      </c>
      <c r="BI1207" s="105" t="n">
        <v>0</v>
      </c>
      <c r="BJ1207" s="105" t="n">
        <v>0</v>
      </c>
      <c r="BK1207" s="105" t="n">
        <v>0</v>
      </c>
      <c r="BL1207" s="105" t="n">
        <v>0</v>
      </c>
      <c r="BM1207" s="105" t="n">
        <v>0</v>
      </c>
      <c r="BN1207" s="105" t="n">
        <v>0</v>
      </c>
      <c r="BO1207" s="105" t="n">
        <v>0</v>
      </c>
      <c r="BP1207" s="105" t="n">
        <v>0</v>
      </c>
      <c r="BQ1207" s="105" t="n">
        <v>0</v>
      </c>
      <c r="BR1207" s="106" t="n">
        <v>5</v>
      </c>
      <c r="BS1207" s="106" t="n">
        <v>5</v>
      </c>
      <c r="BT1207" s="107"/>
      <c r="BU1207" s="107"/>
      <c r="BV1207" s="107"/>
      <c r="BW1207" s="107"/>
      <c r="BX1207" s="107"/>
      <c r="BY1207" s="107"/>
      <c r="BZ1207" s="107"/>
      <c r="CA1207" s="107"/>
      <c r="CB1207" s="107"/>
      <c r="CC1207" s="107"/>
      <c r="CD1207" s="107"/>
      <c r="CE1207" s="107"/>
      <c r="CF1207" s="107"/>
      <c r="CG1207" s="107"/>
      <c r="CH1207" s="107"/>
      <c r="CI1207" s="107"/>
      <c r="CJ1207" s="107"/>
      <c r="CK1207" s="107"/>
      <c r="CL1207" s="107"/>
      <c r="CM1207" s="107"/>
      <c r="CN1207" s="107"/>
      <c r="CO1207" s="107"/>
      <c r="CP1207" s="107"/>
      <c r="CQ1207" s="107"/>
      <c r="CR1207" s="107"/>
      <c r="CS1207" s="107"/>
      <c r="CT1207" s="107"/>
      <c r="CU1207" s="107"/>
      <c r="CV1207" s="107"/>
    </row>
    <row r="1208" customFormat="false" ht="14.9" hidden="false" customHeight="false" outlineLevel="0" collapsed="false">
      <c r="A1208" s="74" t="n">
        <f aca="false">MONTH(B1208)</f>
        <v>11</v>
      </c>
      <c r="B1208" s="135" t="n">
        <v>44512</v>
      </c>
      <c r="C1208" s="128" t="s">
        <v>152</v>
      </c>
      <c r="D1208" s="77" t="str">
        <f aca="false">IFERROR(VLOOKUP(E:E,'Item Data Support Sheet'!A:O,7,0),"")</f>
        <v>NIPPLE MOLDED</v>
      </c>
      <c r="E1208" s="80" t="s">
        <v>809</v>
      </c>
      <c r="F1208" s="122" t="s">
        <v>137</v>
      </c>
      <c r="G1208" s="137" t="s">
        <v>138</v>
      </c>
      <c r="H1208" s="79" t="str">
        <f aca="false">IFERROR(VLOOKUP(E:E,'Item Data Support Sheet'!A:O,2,0),"")</f>
        <v>NIPPLE S TYPE Y SIZE INJECTION</v>
      </c>
      <c r="I1208" s="80" t="s">
        <v>2008</v>
      </c>
      <c r="J1208" s="80" t="s">
        <v>1913</v>
      </c>
      <c r="K1208" s="124" t="n">
        <v>8</v>
      </c>
      <c r="L1208" s="124" t="n">
        <v>4815</v>
      </c>
      <c r="M1208" s="83" t="n">
        <v>601.875</v>
      </c>
      <c r="N1208" s="84" t="n">
        <f aca="false">+O1208+Q1208+T1208+U1208</f>
        <v>5124</v>
      </c>
      <c r="O1208" s="85" t="n">
        <v>5000</v>
      </c>
      <c r="P1208" s="86" t="n">
        <v>0</v>
      </c>
      <c r="Q1208" s="86" t="n">
        <v>42</v>
      </c>
      <c r="R1208" s="132" t="n">
        <v>0</v>
      </c>
      <c r="S1208" s="128" t="n">
        <v>0</v>
      </c>
      <c r="T1208" s="132" t="n">
        <v>66</v>
      </c>
      <c r="U1208" s="128" t="n">
        <v>16</v>
      </c>
      <c r="V1208" s="128" t="n">
        <v>1</v>
      </c>
      <c r="W1208" s="90" t="n">
        <f aca="false">IFERROR(O1208/V1208,0)</f>
        <v>5000</v>
      </c>
      <c r="X1208" s="91" t="n">
        <f aca="false">O1208/L1208</f>
        <v>1.03842159916926</v>
      </c>
      <c r="Y1208" s="92" t="str">
        <f aca="false">IFERROR(VLOOKUP(E:E,'Item Data Support Sheet'!A:J,6,0),0)</f>
        <v>Silicon</v>
      </c>
      <c r="Z1208" s="93" t="n">
        <f aca="false">IFERROR(VLOOKUP(E:E,'Item Data Support Sheet'!A:O,4,0),0)</f>
        <v>6.8</v>
      </c>
      <c r="AA1208" s="93" t="n">
        <f aca="false">IFERROR(((N1208)*(Z1208/1000))+P1208,0)</f>
        <v>34.8432</v>
      </c>
      <c r="AB1208" s="94" t="n">
        <f aca="false">IFERROR((O1208*(Z1208/1000)/(AA1208))," ")</f>
        <v>0.975800156128025</v>
      </c>
      <c r="AC1208" s="95" t="n">
        <f aca="false">IFERROR((T1208)/((T1208)+O1208),0)</f>
        <v>0.0130280300039479</v>
      </c>
      <c r="AD1208" s="96" t="n">
        <f aca="false">IFERROR(Q1208/(Q1208+N1208),0)</f>
        <v>0.00813008130081301</v>
      </c>
      <c r="AE1208" s="91" t="n">
        <f aca="false">(N1208-T1208)/N1208</f>
        <v>0.98711943793911</v>
      </c>
      <c r="AF1208" s="97" t="n">
        <f aca="false">BR1208</f>
        <v>0</v>
      </c>
      <c r="AG1208" s="98" t="n">
        <f aca="false">K1208-AF1208</f>
        <v>8</v>
      </c>
      <c r="AH1208" s="99" t="n">
        <f aca="false">IFERROR(AG1208/K1208," ")</f>
        <v>1</v>
      </c>
      <c r="AI1208" s="100" t="n">
        <f aca="false">IFERROR(O1208/K1208,0)</f>
        <v>625</v>
      </c>
      <c r="AJ1208" s="101" t="n">
        <f aca="false">VLOOKUP(D1208,'Standard Cycle time'!C:D,2,0)</f>
        <v>5.25</v>
      </c>
      <c r="AK1208" s="101" t="n">
        <f aca="false">AG1208*V1208*3600/O1208</f>
        <v>5.76</v>
      </c>
      <c r="AL1208" s="102" t="n">
        <f aca="false">AJ1208/AK1208</f>
        <v>0.911458333333333</v>
      </c>
      <c r="AM1208" s="99" t="n">
        <f aca="false">AE1208*AL1208*AH1208</f>
        <v>0.899718237704918</v>
      </c>
      <c r="AN1208" s="103" t="n">
        <v>0.899718237704918</v>
      </c>
      <c r="AO1208" s="112"/>
      <c r="AP1208" s="105" t="n">
        <v>0</v>
      </c>
      <c r="AQ1208" s="105" t="n">
        <v>0</v>
      </c>
      <c r="AR1208" s="105" t="n">
        <v>0</v>
      </c>
      <c r="AS1208" s="105" t="n">
        <v>0</v>
      </c>
      <c r="AT1208" s="105" t="n">
        <v>0</v>
      </c>
      <c r="AU1208" s="105" t="n">
        <v>0</v>
      </c>
      <c r="AV1208" s="105" t="n">
        <v>0</v>
      </c>
      <c r="AW1208" s="105" t="n">
        <v>0</v>
      </c>
      <c r="AX1208" s="105" t="n">
        <v>0</v>
      </c>
      <c r="AY1208" s="105" t="n">
        <v>0</v>
      </c>
      <c r="AZ1208" s="105" t="n">
        <v>0</v>
      </c>
      <c r="BA1208" s="105" t="n">
        <v>0</v>
      </c>
      <c r="BB1208" s="105" t="n">
        <v>0</v>
      </c>
      <c r="BC1208" s="105" t="n">
        <v>0</v>
      </c>
      <c r="BD1208" s="105" t="n">
        <v>0</v>
      </c>
      <c r="BE1208" s="105" t="n">
        <v>0</v>
      </c>
      <c r="BF1208" s="105" t="n">
        <v>0</v>
      </c>
      <c r="BG1208" s="105" t="n">
        <v>0</v>
      </c>
      <c r="BH1208" s="105" t="n">
        <v>0</v>
      </c>
      <c r="BI1208" s="105" t="n">
        <v>0</v>
      </c>
      <c r="BJ1208" s="105" t="n">
        <v>0</v>
      </c>
      <c r="BK1208" s="105" t="n">
        <v>0</v>
      </c>
      <c r="BL1208" s="105" t="n">
        <v>0</v>
      </c>
      <c r="BM1208" s="105" t="n">
        <v>0</v>
      </c>
      <c r="BN1208" s="105" t="n">
        <v>0</v>
      </c>
      <c r="BO1208" s="105" t="n">
        <v>0</v>
      </c>
      <c r="BP1208" s="105" t="n">
        <v>0</v>
      </c>
      <c r="BQ1208" s="105" t="n">
        <v>0</v>
      </c>
      <c r="BR1208" s="106" t="n">
        <v>0</v>
      </c>
      <c r="BS1208" s="106" t="n">
        <v>0</v>
      </c>
      <c r="BT1208" s="107"/>
      <c r="BU1208" s="107"/>
      <c r="BV1208" s="107"/>
      <c r="BW1208" s="107"/>
      <c r="BX1208" s="107"/>
      <c r="BY1208" s="107"/>
      <c r="BZ1208" s="107"/>
      <c r="CA1208" s="107"/>
      <c r="CB1208" s="107"/>
      <c r="CC1208" s="107"/>
      <c r="CD1208" s="107"/>
      <c r="CE1208" s="107"/>
      <c r="CF1208" s="107"/>
      <c r="CG1208" s="107"/>
      <c r="CH1208" s="107"/>
      <c r="CI1208" s="107"/>
      <c r="CJ1208" s="107"/>
      <c r="CK1208" s="107"/>
      <c r="CL1208" s="107"/>
      <c r="CM1208" s="107"/>
      <c r="CN1208" s="107"/>
      <c r="CO1208" s="107"/>
      <c r="CP1208" s="107"/>
      <c r="CQ1208" s="107"/>
      <c r="CR1208" s="107"/>
      <c r="CS1208" s="107"/>
      <c r="CT1208" s="107"/>
      <c r="CU1208" s="107"/>
      <c r="CV1208" s="107"/>
    </row>
    <row r="1209" customFormat="false" ht="14.9" hidden="false" customHeight="false" outlineLevel="0" collapsed="false">
      <c r="A1209" s="74" t="n">
        <f aca="false">MONTH(B1209)</f>
        <v>11</v>
      </c>
      <c r="B1209" s="135" t="n">
        <v>44512</v>
      </c>
      <c r="C1209" s="128" t="s">
        <v>152</v>
      </c>
      <c r="D1209" s="77" t="str">
        <f aca="false">IFERROR(VLOOKUP(E:E,'Item Data Support Sheet'!A:O,7,0),"")</f>
        <v>HOOD MOLDED</v>
      </c>
      <c r="E1209" s="80" t="s">
        <v>529</v>
      </c>
      <c r="F1209" s="122"/>
      <c r="G1209" s="137" t="s">
        <v>740</v>
      </c>
      <c r="H1209" s="79" t="str">
        <f aca="false">IFERROR(VLOOKUP(E:E,'Item Data Support Sheet'!A:O,2,0),"")</f>
        <v>HOOD S TYPE MOLDED</v>
      </c>
      <c r="I1209" s="80" t="s">
        <v>2009</v>
      </c>
      <c r="J1209" s="80" t="s">
        <v>1913</v>
      </c>
      <c r="K1209" s="124" t="n">
        <v>8</v>
      </c>
      <c r="L1209" s="124" t="n">
        <v>4137</v>
      </c>
      <c r="M1209" s="83" t="n">
        <v>517.125</v>
      </c>
      <c r="N1209" s="84" t="n">
        <f aca="false">+O1209+Q1209+T1209+U1209</f>
        <v>4833</v>
      </c>
      <c r="O1209" s="85" t="n">
        <v>4800</v>
      </c>
      <c r="P1209" s="86" t="n">
        <v>0</v>
      </c>
      <c r="Q1209" s="86" t="n">
        <v>21</v>
      </c>
      <c r="R1209" s="132" t="n">
        <v>0</v>
      </c>
      <c r="S1209" s="128" t="n">
        <v>0</v>
      </c>
      <c r="T1209" s="132" t="n">
        <v>12</v>
      </c>
      <c r="U1209" s="128" t="n">
        <v>0</v>
      </c>
      <c r="V1209" s="128" t="n">
        <v>1</v>
      </c>
      <c r="W1209" s="90" t="n">
        <f aca="false">IFERROR(O1209/V1209,0)</f>
        <v>4800</v>
      </c>
      <c r="X1209" s="91" t="n">
        <f aca="false">O1209/L1209</f>
        <v>1.16026105873822</v>
      </c>
      <c r="Y1209" s="92" t="str">
        <f aca="false">IFERROR(VLOOKUP(E:E,'Item Data Support Sheet'!A:J,6,0),0)</f>
        <v>HMC</v>
      </c>
      <c r="Z1209" s="93" t="n">
        <f aca="false">IFERROR(VLOOKUP(E:E,'Item Data Support Sheet'!A:O,4,0),0)</f>
        <v>8.6</v>
      </c>
      <c r="AA1209" s="93" t="n">
        <f aca="false">IFERROR(((N1209)*(Z1209/1000))+P1209,0)</f>
        <v>41.5638</v>
      </c>
      <c r="AB1209" s="94" t="n">
        <f aca="false">IFERROR((O1209*(Z1209/1000)/(AA1209))," ")</f>
        <v>0.993171942892613</v>
      </c>
      <c r="AC1209" s="95" t="n">
        <f aca="false">IFERROR((T1209)/((T1209)+O1209),0)</f>
        <v>0.00249376558603491</v>
      </c>
      <c r="AD1209" s="96" t="n">
        <f aca="false">IFERROR(Q1209/(Q1209+N1209),0)</f>
        <v>0.00432632880098887</v>
      </c>
      <c r="AE1209" s="91" t="n">
        <f aca="false">(N1209-T1209)/N1209</f>
        <v>0.997517070142768</v>
      </c>
      <c r="AF1209" s="97" t="n">
        <f aca="false">BR1209</f>
        <v>0</v>
      </c>
      <c r="AG1209" s="98" t="n">
        <f aca="false">K1209-AF1209</f>
        <v>8</v>
      </c>
      <c r="AH1209" s="99" t="n">
        <f aca="false">IFERROR(AG1209/K1209," ")</f>
        <v>1</v>
      </c>
      <c r="AI1209" s="100" t="n">
        <f aca="false">IFERROR(O1209/K1209,0)</f>
        <v>600</v>
      </c>
      <c r="AJ1209" s="101" t="n">
        <f aca="false">VLOOKUP(D1209,'Standard Cycle time'!C:D,2,0)</f>
        <v>6</v>
      </c>
      <c r="AK1209" s="101" t="n">
        <f aca="false">AG1209*V1209*3600/O1209</f>
        <v>6</v>
      </c>
      <c r="AL1209" s="102" t="n">
        <f aca="false">AJ1209/AK1209</f>
        <v>1</v>
      </c>
      <c r="AM1209" s="99" t="n">
        <f aca="false">AE1209*AL1209*AH1209</f>
        <v>0.997517070142768</v>
      </c>
      <c r="AN1209" s="103" t="n">
        <v>0.997517070142768</v>
      </c>
      <c r="AO1209" s="112"/>
      <c r="AP1209" s="105" t="n">
        <v>0</v>
      </c>
      <c r="AQ1209" s="105" t="n">
        <v>0</v>
      </c>
      <c r="AR1209" s="105" t="n">
        <v>0</v>
      </c>
      <c r="AS1209" s="105" t="n">
        <v>0</v>
      </c>
      <c r="AT1209" s="105" t="n">
        <v>0</v>
      </c>
      <c r="AU1209" s="105" t="n">
        <v>0</v>
      </c>
      <c r="AV1209" s="105" t="n">
        <v>0</v>
      </c>
      <c r="AW1209" s="105" t="n">
        <v>0</v>
      </c>
      <c r="AX1209" s="105" t="n">
        <v>0</v>
      </c>
      <c r="AY1209" s="105" t="n">
        <v>0</v>
      </c>
      <c r="AZ1209" s="105" t="n">
        <v>0</v>
      </c>
      <c r="BA1209" s="105" t="n">
        <v>0</v>
      </c>
      <c r="BB1209" s="105" t="n">
        <v>0</v>
      </c>
      <c r="BC1209" s="105" t="n">
        <v>0</v>
      </c>
      <c r="BD1209" s="105" t="n">
        <v>0</v>
      </c>
      <c r="BE1209" s="105" t="n">
        <v>0</v>
      </c>
      <c r="BF1209" s="105" t="n">
        <v>0</v>
      </c>
      <c r="BG1209" s="105" t="n">
        <v>0</v>
      </c>
      <c r="BH1209" s="105" t="n">
        <v>0</v>
      </c>
      <c r="BI1209" s="105" t="n">
        <v>0</v>
      </c>
      <c r="BJ1209" s="105" t="n">
        <v>0</v>
      </c>
      <c r="BK1209" s="105" t="n">
        <v>0</v>
      </c>
      <c r="BL1209" s="105" t="n">
        <v>0</v>
      </c>
      <c r="BM1209" s="105" t="n">
        <v>0</v>
      </c>
      <c r="BN1209" s="105" t="n">
        <v>0</v>
      </c>
      <c r="BO1209" s="105" t="n">
        <v>0</v>
      </c>
      <c r="BP1209" s="105" t="n">
        <v>0</v>
      </c>
      <c r="BQ1209" s="105" t="n">
        <v>0</v>
      </c>
      <c r="BR1209" s="106" t="n">
        <v>0</v>
      </c>
      <c r="BS1209" s="106" t="n">
        <v>0</v>
      </c>
      <c r="BT1209" s="107"/>
      <c r="BU1209" s="107"/>
      <c r="BV1209" s="107"/>
      <c r="BW1209" s="107"/>
      <c r="BX1209" s="107"/>
      <c r="BY1209" s="107"/>
      <c r="BZ1209" s="107"/>
      <c r="CA1209" s="107"/>
      <c r="CB1209" s="107"/>
      <c r="CC1209" s="107"/>
      <c r="CD1209" s="107"/>
      <c r="CE1209" s="107"/>
      <c r="CF1209" s="107"/>
      <c r="CG1209" s="107"/>
      <c r="CH1209" s="107"/>
      <c r="CI1209" s="107"/>
      <c r="CJ1209" s="107"/>
      <c r="CK1209" s="107"/>
      <c r="CL1209" s="107"/>
      <c r="CM1209" s="107"/>
      <c r="CN1209" s="107"/>
      <c r="CO1209" s="107"/>
      <c r="CP1209" s="107"/>
      <c r="CQ1209" s="107"/>
      <c r="CR1209" s="107"/>
      <c r="CS1209" s="107"/>
      <c r="CT1209" s="107"/>
      <c r="CU1209" s="107"/>
      <c r="CV1209" s="107"/>
    </row>
    <row r="1210" customFormat="false" ht="14.9" hidden="false" customHeight="false" outlineLevel="0" collapsed="false">
      <c r="A1210" s="74" t="n">
        <f aca="false">MONTH(B1210)</f>
        <v>11</v>
      </c>
      <c r="B1210" s="135" t="n">
        <v>44513</v>
      </c>
      <c r="C1210" s="128" t="s">
        <v>51</v>
      </c>
      <c r="D1210" s="77" t="str">
        <f aca="false">IFERROR(VLOOKUP(E:E,'Item Data Support Sheet'!A:O,7,0),"")</f>
        <v>BOTTLE MOLDED</v>
      </c>
      <c r="E1210" s="80" t="s">
        <v>572</v>
      </c>
      <c r="F1210" s="122" t="s">
        <v>73</v>
      </c>
      <c r="G1210" s="137" t="s">
        <v>74</v>
      </c>
      <c r="H1210" s="79" t="str">
        <f aca="false">IFERROR(VLOOKUP(E:E,'Item Data Support Sheet'!A:O,2,0),"")</f>
        <v>RPP 240 ML BOTTLE MOLDED</v>
      </c>
      <c r="I1210" s="80" t="s">
        <v>2010</v>
      </c>
      <c r="J1210" s="80" t="s">
        <v>143</v>
      </c>
      <c r="K1210" s="124" t="n">
        <v>4.5</v>
      </c>
      <c r="L1210" s="124" t="n">
        <v>1200</v>
      </c>
      <c r="M1210" s="83" t="n">
        <v>266.666666666667</v>
      </c>
      <c r="N1210" s="84" t="n">
        <f aca="false">+O1210+Q1210+T1210+U1210</f>
        <v>1376</v>
      </c>
      <c r="O1210" s="85" t="n">
        <v>1296</v>
      </c>
      <c r="P1210" s="86" t="n">
        <v>0</v>
      </c>
      <c r="Q1210" s="86" t="n">
        <v>45</v>
      </c>
      <c r="R1210" s="132" t="n">
        <v>0</v>
      </c>
      <c r="S1210" s="128" t="n">
        <v>0</v>
      </c>
      <c r="T1210" s="132" t="n">
        <v>27</v>
      </c>
      <c r="U1210" s="128" t="n">
        <v>8</v>
      </c>
      <c r="V1210" s="128" t="n">
        <v>1</v>
      </c>
      <c r="W1210" s="90" t="n">
        <f aca="false">IFERROR(O1210/V1210,0)</f>
        <v>1296</v>
      </c>
      <c r="X1210" s="91" t="n">
        <f aca="false">O1210/L1210</f>
        <v>1.08</v>
      </c>
      <c r="Y1210" s="92" t="str">
        <f aca="false">IFERROR(VLOOKUP(E:E,'Item Data Support Sheet'!A:J,6,0),0)</f>
        <v>HMC</v>
      </c>
      <c r="Z1210" s="93" t="n">
        <f aca="false">IFERROR(VLOOKUP(E:E,'Item Data Support Sheet'!A:O,4,0),0)</f>
        <v>32.1</v>
      </c>
      <c r="AA1210" s="93" t="n">
        <f aca="false">IFERROR(((N1210)*(Z1210/1000))+P1210,0)</f>
        <v>44.1696</v>
      </c>
      <c r="AB1210" s="94" t="n">
        <f aca="false">IFERROR((O1210*(Z1210/1000)/(AA1210))," ")</f>
        <v>0.941860465116279</v>
      </c>
      <c r="AC1210" s="95" t="n">
        <f aca="false">IFERROR((T1210)/((T1210)+O1210),0)</f>
        <v>0.0204081632653061</v>
      </c>
      <c r="AD1210" s="96" t="n">
        <f aca="false">IFERROR(Q1210/(Q1210+N1210),0)</f>
        <v>0.0316678395496129</v>
      </c>
      <c r="AE1210" s="91" t="n">
        <f aca="false">(N1210-T1210)/N1210</f>
        <v>0.980377906976744</v>
      </c>
      <c r="AF1210" s="97" t="n">
        <f aca="false">BR1210</f>
        <v>1.16666666666667</v>
      </c>
      <c r="AG1210" s="98" t="n">
        <f aca="false">K1210-AF1210</f>
        <v>3.33333333333333</v>
      </c>
      <c r="AH1210" s="99" t="n">
        <f aca="false">IFERROR(AG1210/K1210," ")</f>
        <v>0.74074074074074</v>
      </c>
      <c r="AI1210" s="100" t="n">
        <f aca="false">IFERROR(O1210/K1210,0)</f>
        <v>288</v>
      </c>
      <c r="AJ1210" s="101" t="n">
        <f aca="false">VLOOKUP(D1210,'Standard Cycle time'!C:D,2,0)</f>
        <v>9</v>
      </c>
      <c r="AK1210" s="101" t="n">
        <f aca="false">AG1210*V1210*3600/O1210</f>
        <v>9.25925925925925</v>
      </c>
      <c r="AL1210" s="102" t="n">
        <f aca="false">AJ1210/AK1210</f>
        <v>0.972000000000001</v>
      </c>
      <c r="AM1210" s="99" t="n">
        <f aca="false">AE1210*AL1210*AH1210</f>
        <v>0.705872093023256</v>
      </c>
      <c r="AN1210" s="103" t="n">
        <v>0.705872093023256</v>
      </c>
      <c r="AO1210" s="112" t="s">
        <v>2011</v>
      </c>
      <c r="AP1210" s="105" t="n">
        <v>0</v>
      </c>
      <c r="AQ1210" s="105" t="n">
        <v>0</v>
      </c>
      <c r="AR1210" s="105" t="n">
        <v>70</v>
      </c>
      <c r="AS1210" s="105" t="n">
        <v>0</v>
      </c>
      <c r="AT1210" s="105" t="n">
        <v>0</v>
      </c>
      <c r="AU1210" s="105" t="n">
        <v>0</v>
      </c>
      <c r="AV1210" s="105" t="n">
        <v>0</v>
      </c>
      <c r="AW1210" s="105" t="n">
        <v>0</v>
      </c>
      <c r="AX1210" s="105" t="n">
        <v>0</v>
      </c>
      <c r="AY1210" s="105" t="n">
        <v>0</v>
      </c>
      <c r="AZ1210" s="105" t="n">
        <v>0</v>
      </c>
      <c r="BA1210" s="105" t="n">
        <v>0</v>
      </c>
      <c r="BB1210" s="105" t="n">
        <v>0</v>
      </c>
      <c r="BC1210" s="105" t="n">
        <v>0</v>
      </c>
      <c r="BD1210" s="105" t="n">
        <v>0</v>
      </c>
      <c r="BE1210" s="105" t="n">
        <v>0</v>
      </c>
      <c r="BF1210" s="105" t="n">
        <v>0</v>
      </c>
      <c r="BG1210" s="105" t="n">
        <v>0</v>
      </c>
      <c r="BH1210" s="105" t="n">
        <v>0</v>
      </c>
      <c r="BI1210" s="105" t="n">
        <v>0</v>
      </c>
      <c r="BJ1210" s="105" t="n">
        <v>0</v>
      </c>
      <c r="BK1210" s="105" t="n">
        <v>0</v>
      </c>
      <c r="BL1210" s="105" t="n">
        <v>0</v>
      </c>
      <c r="BM1210" s="105" t="n">
        <v>0</v>
      </c>
      <c r="BN1210" s="105" t="n">
        <v>0</v>
      </c>
      <c r="BO1210" s="105" t="n">
        <v>0</v>
      </c>
      <c r="BP1210" s="105" t="n">
        <v>0</v>
      </c>
      <c r="BQ1210" s="105" t="n">
        <v>0</v>
      </c>
      <c r="BR1210" s="106" t="n">
        <v>1.16666666666667</v>
      </c>
      <c r="BS1210" s="106" t="n">
        <v>1.16666666666667</v>
      </c>
      <c r="BT1210" s="107"/>
      <c r="BU1210" s="107"/>
      <c r="BV1210" s="107"/>
      <c r="BW1210" s="107"/>
      <c r="BX1210" s="107"/>
      <c r="BY1210" s="107"/>
      <c r="BZ1210" s="107"/>
      <c r="CA1210" s="107"/>
      <c r="CB1210" s="107"/>
      <c r="CC1210" s="107"/>
      <c r="CD1210" s="107"/>
      <c r="CE1210" s="107"/>
      <c r="CF1210" s="107"/>
      <c r="CG1210" s="107"/>
      <c r="CH1210" s="107"/>
      <c r="CI1210" s="107"/>
      <c r="CJ1210" s="107"/>
      <c r="CK1210" s="107"/>
      <c r="CL1210" s="107"/>
      <c r="CM1210" s="107"/>
      <c r="CN1210" s="107"/>
      <c r="CO1210" s="107"/>
      <c r="CP1210" s="107"/>
      <c r="CQ1210" s="107"/>
      <c r="CR1210" s="107"/>
      <c r="CS1210" s="107"/>
      <c r="CT1210" s="107"/>
      <c r="CU1210" s="107"/>
      <c r="CV1210" s="107"/>
    </row>
    <row r="1211" customFormat="false" ht="14.9" hidden="false" customHeight="false" outlineLevel="0" collapsed="false">
      <c r="A1211" s="74" t="n">
        <f aca="false">MONTH(B1211)</f>
        <v>11</v>
      </c>
      <c r="B1211" s="135" t="n">
        <v>44513</v>
      </c>
      <c r="C1211" s="128" t="s">
        <v>51</v>
      </c>
      <c r="D1211" s="77" t="str">
        <f aca="false">IFERROR(VLOOKUP(E:E,'Item Data Support Sheet'!A:O,7,0),"")</f>
        <v>HOOD MOLDED</v>
      </c>
      <c r="E1211" s="80" t="s">
        <v>529</v>
      </c>
      <c r="F1211" s="122"/>
      <c r="G1211" s="137" t="s">
        <v>740</v>
      </c>
      <c r="H1211" s="79" t="str">
        <f aca="false">IFERROR(VLOOKUP(E:E,'Item Data Support Sheet'!A:O,2,0),"")</f>
        <v>HOOD S TYPE MOLDED</v>
      </c>
      <c r="I1211" s="80" t="s">
        <v>2012</v>
      </c>
      <c r="J1211" s="80" t="s">
        <v>143</v>
      </c>
      <c r="K1211" s="124" t="n">
        <v>8</v>
      </c>
      <c r="L1211" s="124" t="n">
        <v>4137</v>
      </c>
      <c r="M1211" s="83" t="n">
        <v>517.125</v>
      </c>
      <c r="N1211" s="84" t="n">
        <f aca="false">+O1211+Q1211+T1211+U1211</f>
        <v>4616</v>
      </c>
      <c r="O1211" s="85" t="n">
        <v>4600</v>
      </c>
      <c r="P1211" s="86" t="n">
        <v>0</v>
      </c>
      <c r="Q1211" s="86" t="n">
        <v>0</v>
      </c>
      <c r="R1211" s="132" t="n">
        <v>0</v>
      </c>
      <c r="S1211" s="128" t="n">
        <v>0</v>
      </c>
      <c r="T1211" s="132" t="n">
        <v>8</v>
      </c>
      <c r="U1211" s="128" t="n">
        <v>8</v>
      </c>
      <c r="V1211" s="128" t="n">
        <v>1</v>
      </c>
      <c r="W1211" s="90" t="n">
        <f aca="false">IFERROR(O1211/V1211,0)</f>
        <v>4600</v>
      </c>
      <c r="X1211" s="91" t="n">
        <f aca="false">O1211/L1211</f>
        <v>1.11191684795746</v>
      </c>
      <c r="Y1211" s="92" t="str">
        <f aca="false">IFERROR(VLOOKUP(E:E,'Item Data Support Sheet'!A:J,6,0),0)</f>
        <v>HMC</v>
      </c>
      <c r="Z1211" s="93" t="n">
        <f aca="false">IFERROR(VLOOKUP(E:E,'Item Data Support Sheet'!A:O,4,0),0)</f>
        <v>8.6</v>
      </c>
      <c r="AA1211" s="93" t="n">
        <f aca="false">IFERROR(((N1211)*(Z1211/1000))+P1211,0)</f>
        <v>39.6976</v>
      </c>
      <c r="AB1211" s="94" t="n">
        <f aca="false">IFERROR((O1211*(Z1211/1000)/(AA1211))," ")</f>
        <v>0.996533795493934</v>
      </c>
      <c r="AC1211" s="95" t="n">
        <f aca="false">IFERROR((T1211)/((T1211)+O1211),0)</f>
        <v>0.00173611111111111</v>
      </c>
      <c r="AD1211" s="96" t="n">
        <f aca="false">IFERROR(Q1211/(Q1211+N1211),0)</f>
        <v>0</v>
      </c>
      <c r="AE1211" s="91" t="n">
        <f aca="false">(N1211-T1211)/N1211</f>
        <v>0.998266897746967</v>
      </c>
      <c r="AF1211" s="97" t="n">
        <f aca="false">BR1211</f>
        <v>0</v>
      </c>
      <c r="AG1211" s="98" t="n">
        <f aca="false">K1211-AF1211</f>
        <v>8</v>
      </c>
      <c r="AH1211" s="99" t="n">
        <f aca="false">IFERROR(AG1211/K1211," ")</f>
        <v>1</v>
      </c>
      <c r="AI1211" s="100" t="n">
        <f aca="false">IFERROR(O1211/K1211,0)</f>
        <v>575</v>
      </c>
      <c r="AJ1211" s="101" t="n">
        <f aca="false">VLOOKUP(D1211,'Standard Cycle time'!C:D,2,0)</f>
        <v>6</v>
      </c>
      <c r="AK1211" s="101" t="n">
        <f aca="false">AG1211*V1211*3600/O1211</f>
        <v>6.26086956521739</v>
      </c>
      <c r="AL1211" s="102" t="n">
        <f aca="false">AJ1211/AK1211</f>
        <v>0.958333333333333</v>
      </c>
      <c r="AM1211" s="99" t="n">
        <f aca="false">AE1211*AL1211*AH1211</f>
        <v>0.956672443674177</v>
      </c>
      <c r="AN1211" s="103" t="n">
        <v>0.956672443674177</v>
      </c>
      <c r="AO1211" s="112"/>
      <c r="AP1211" s="105" t="n">
        <v>0</v>
      </c>
      <c r="AQ1211" s="105" t="n">
        <v>0</v>
      </c>
      <c r="AR1211" s="105" t="n">
        <v>0</v>
      </c>
      <c r="AS1211" s="105" t="n">
        <v>0</v>
      </c>
      <c r="AT1211" s="105" t="n">
        <v>0</v>
      </c>
      <c r="AU1211" s="105" t="n">
        <v>0</v>
      </c>
      <c r="AV1211" s="105" t="n">
        <v>0</v>
      </c>
      <c r="AW1211" s="105" t="n">
        <v>0</v>
      </c>
      <c r="AX1211" s="105" t="n">
        <v>0</v>
      </c>
      <c r="AY1211" s="105" t="n">
        <v>0</v>
      </c>
      <c r="AZ1211" s="105" t="n">
        <v>0</v>
      </c>
      <c r="BA1211" s="105" t="n">
        <v>0</v>
      </c>
      <c r="BB1211" s="105" t="n">
        <v>0</v>
      </c>
      <c r="BC1211" s="105" t="n">
        <v>0</v>
      </c>
      <c r="BD1211" s="105" t="n">
        <v>0</v>
      </c>
      <c r="BE1211" s="105" t="n">
        <v>0</v>
      </c>
      <c r="BF1211" s="105" t="n">
        <v>0</v>
      </c>
      <c r="BG1211" s="105" t="n">
        <v>0</v>
      </c>
      <c r="BH1211" s="105" t="n">
        <v>0</v>
      </c>
      <c r="BI1211" s="105" t="n">
        <v>0</v>
      </c>
      <c r="BJ1211" s="105" t="n">
        <v>0</v>
      </c>
      <c r="BK1211" s="105" t="n">
        <v>0</v>
      </c>
      <c r="BL1211" s="105" t="n">
        <v>0</v>
      </c>
      <c r="BM1211" s="105" t="n">
        <v>0</v>
      </c>
      <c r="BN1211" s="105" t="n">
        <v>0</v>
      </c>
      <c r="BO1211" s="105" t="n">
        <v>0</v>
      </c>
      <c r="BP1211" s="105" t="n">
        <v>0</v>
      </c>
      <c r="BQ1211" s="105" t="n">
        <v>0</v>
      </c>
      <c r="BR1211" s="106" t="n">
        <v>0</v>
      </c>
      <c r="BS1211" s="106" t="n">
        <v>0</v>
      </c>
      <c r="BT1211" s="107"/>
      <c r="BU1211" s="107"/>
      <c r="BV1211" s="107"/>
      <c r="BW1211" s="107"/>
      <c r="BX1211" s="107"/>
      <c r="BY1211" s="107"/>
      <c r="BZ1211" s="107"/>
      <c r="CA1211" s="107"/>
      <c r="CB1211" s="107"/>
      <c r="CC1211" s="107"/>
      <c r="CD1211" s="107"/>
      <c r="CE1211" s="107"/>
      <c r="CF1211" s="107"/>
      <c r="CG1211" s="107"/>
      <c r="CH1211" s="107"/>
      <c r="CI1211" s="107"/>
      <c r="CJ1211" s="107"/>
      <c r="CK1211" s="107"/>
      <c r="CL1211" s="107"/>
      <c r="CM1211" s="107"/>
      <c r="CN1211" s="107"/>
      <c r="CO1211" s="107"/>
      <c r="CP1211" s="107"/>
      <c r="CQ1211" s="107"/>
      <c r="CR1211" s="107"/>
      <c r="CS1211" s="107"/>
      <c r="CT1211" s="107"/>
      <c r="CU1211" s="107"/>
      <c r="CV1211" s="107"/>
    </row>
    <row r="1212" customFormat="false" ht="14.9" hidden="false" customHeight="false" outlineLevel="0" collapsed="false">
      <c r="A1212" s="74" t="n">
        <f aca="false">MONTH(B1212)</f>
        <v>11</v>
      </c>
      <c r="B1212" s="135" t="n">
        <v>44513</v>
      </c>
      <c r="C1212" s="128" t="s">
        <v>51</v>
      </c>
      <c r="D1212" s="77" t="str">
        <f aca="false">IFERROR(VLOOKUP(E:E,'Item Data Support Sheet'!A:O,7,0),"")</f>
        <v>NIPPLE PUNCH</v>
      </c>
      <c r="E1212" s="80" t="s">
        <v>834</v>
      </c>
      <c r="F1212" s="122"/>
      <c r="G1212" s="137" t="s">
        <v>54</v>
      </c>
      <c r="H1212" s="79" t="str">
        <f aca="false">IFERROR(VLOOKUP(E:E,'Item Data Support Sheet'!A:O,2,0),"")</f>
        <v>NIPPLE S TYPE Y SIZE PUNCHED</v>
      </c>
      <c r="I1212" s="80" t="s">
        <v>2013</v>
      </c>
      <c r="J1212" s="80" t="s">
        <v>143</v>
      </c>
      <c r="K1212" s="124" t="n">
        <v>8</v>
      </c>
      <c r="L1212" s="124" t="n">
        <v>7000</v>
      </c>
      <c r="M1212" s="83" t="n">
        <v>875</v>
      </c>
      <c r="N1212" s="84" t="n">
        <f aca="false">+O1212+Q1212+T1212+U1212</f>
        <v>7200</v>
      </c>
      <c r="O1212" s="85" t="n">
        <v>7200</v>
      </c>
      <c r="P1212" s="86" t="n">
        <v>0</v>
      </c>
      <c r="Q1212" s="86" t="n">
        <v>0</v>
      </c>
      <c r="R1212" s="132" t="n">
        <v>0</v>
      </c>
      <c r="S1212" s="128" t="n">
        <v>0</v>
      </c>
      <c r="T1212" s="132" t="n">
        <v>0</v>
      </c>
      <c r="U1212" s="128" t="n">
        <v>0</v>
      </c>
      <c r="V1212" s="128" t="n">
        <v>1</v>
      </c>
      <c r="W1212" s="90" t="n">
        <f aca="false">IFERROR(O1212/V1212,0)</f>
        <v>7200</v>
      </c>
      <c r="X1212" s="91" t="n">
        <f aca="false">O1212/L1212</f>
        <v>1.02857142857143</v>
      </c>
      <c r="Y1212" s="92" t="str">
        <f aca="false">IFERROR(VLOOKUP(E:E,'Item Data Support Sheet'!A:J,6,0),0)</f>
        <v>FO018</v>
      </c>
      <c r="Z1212" s="93" t="n">
        <f aca="false">IFERROR(VLOOKUP(E:E,'Item Data Support Sheet'!A:O,4,0),0)</f>
        <v>0</v>
      </c>
      <c r="AA1212" s="93" t="n">
        <f aca="false">IFERROR(((N1212)*(Z1212/1000))+P1212,0)</f>
        <v>0</v>
      </c>
      <c r="AB1212" s="94" t="str">
        <f aca="false">IFERROR((O1212*(Z1212/1000)/(AA1212))," ")</f>
        <v> </v>
      </c>
      <c r="AC1212" s="95" t="n">
        <f aca="false">IFERROR((T1212)/((T1212)+O1212),0)</f>
        <v>0</v>
      </c>
      <c r="AD1212" s="96" t="n">
        <f aca="false">IFERROR(Q1212/(Q1212+N1212),0)</f>
        <v>0</v>
      </c>
      <c r="AE1212" s="91" t="n">
        <f aca="false">(N1212-T1212)/N1212</f>
        <v>1</v>
      </c>
      <c r="AF1212" s="97" t="n">
        <f aca="false">BR1212</f>
        <v>0.666666666666667</v>
      </c>
      <c r="AG1212" s="98" t="n">
        <f aca="false">K1212-AF1212</f>
        <v>7.33333333333333</v>
      </c>
      <c r="AH1212" s="99" t="n">
        <f aca="false">IFERROR(AG1212/K1212," ")</f>
        <v>0.916666666666667</v>
      </c>
      <c r="AI1212" s="100" t="n">
        <f aca="false">IFERROR(O1212/K1212,0)</f>
        <v>900</v>
      </c>
      <c r="AJ1212" s="101" t="n">
        <f aca="false">VLOOKUP(D1212,'Standard Cycle time'!C:D,2,0)</f>
        <v>3.5</v>
      </c>
      <c r="AK1212" s="101" t="n">
        <f aca="false">AG1212*V1212*3600/O1212</f>
        <v>3.66666666666667</v>
      </c>
      <c r="AL1212" s="102" t="n">
        <f aca="false">AJ1212/AK1212</f>
        <v>0.954545454545455</v>
      </c>
      <c r="AM1212" s="99" t="n">
        <f aca="false">AE1212*AL1212*AH1212</f>
        <v>0.875</v>
      </c>
      <c r="AN1212" s="103" t="n">
        <v>0.875</v>
      </c>
      <c r="AO1212" s="112"/>
      <c r="AP1212" s="105" t="n">
        <v>40</v>
      </c>
      <c r="AQ1212" s="105" t="n">
        <v>0</v>
      </c>
      <c r="AR1212" s="105" t="n">
        <v>0</v>
      </c>
      <c r="AS1212" s="105" t="n">
        <v>0</v>
      </c>
      <c r="AT1212" s="105" t="n">
        <v>0</v>
      </c>
      <c r="AU1212" s="105" t="n">
        <v>0</v>
      </c>
      <c r="AV1212" s="105" t="n">
        <v>0</v>
      </c>
      <c r="AW1212" s="105" t="n">
        <v>0</v>
      </c>
      <c r="AX1212" s="105" t="n">
        <v>0</v>
      </c>
      <c r="AY1212" s="105" t="n">
        <v>0</v>
      </c>
      <c r="AZ1212" s="105" t="n">
        <v>0</v>
      </c>
      <c r="BA1212" s="105" t="n">
        <v>0</v>
      </c>
      <c r="BB1212" s="105" t="n">
        <v>0</v>
      </c>
      <c r="BC1212" s="105" t="n">
        <v>0</v>
      </c>
      <c r="BD1212" s="105" t="n">
        <v>0</v>
      </c>
      <c r="BE1212" s="105" t="n">
        <v>0</v>
      </c>
      <c r="BF1212" s="105" t="n">
        <v>0</v>
      </c>
      <c r="BG1212" s="105" t="n">
        <v>0</v>
      </c>
      <c r="BH1212" s="105" t="n">
        <v>0</v>
      </c>
      <c r="BI1212" s="105" t="n">
        <v>0</v>
      </c>
      <c r="BJ1212" s="105" t="n">
        <v>0</v>
      </c>
      <c r="BK1212" s="105" t="n">
        <v>0</v>
      </c>
      <c r="BL1212" s="105" t="n">
        <v>0</v>
      </c>
      <c r="BM1212" s="105" t="n">
        <v>0</v>
      </c>
      <c r="BN1212" s="105" t="n">
        <v>0</v>
      </c>
      <c r="BO1212" s="105" t="n">
        <v>0</v>
      </c>
      <c r="BP1212" s="105" t="n">
        <v>0</v>
      </c>
      <c r="BQ1212" s="105" t="n">
        <v>0</v>
      </c>
      <c r="BR1212" s="106" t="n">
        <v>0.666666666666667</v>
      </c>
      <c r="BS1212" s="106" t="n">
        <v>0.666666666666667</v>
      </c>
      <c r="BT1212" s="107"/>
      <c r="BU1212" s="107"/>
      <c r="BV1212" s="107"/>
      <c r="BW1212" s="107"/>
      <c r="BX1212" s="107"/>
      <c r="BY1212" s="107"/>
      <c r="BZ1212" s="107"/>
      <c r="CA1212" s="107"/>
      <c r="CB1212" s="107"/>
      <c r="CC1212" s="107"/>
      <c r="CD1212" s="107"/>
      <c r="CE1212" s="107"/>
      <c r="CF1212" s="107"/>
      <c r="CG1212" s="107"/>
      <c r="CH1212" s="107"/>
      <c r="CI1212" s="107"/>
      <c r="CJ1212" s="107"/>
      <c r="CK1212" s="107"/>
      <c r="CL1212" s="107"/>
      <c r="CM1212" s="107"/>
      <c r="CN1212" s="107"/>
      <c r="CO1212" s="107"/>
      <c r="CP1212" s="107"/>
      <c r="CQ1212" s="107"/>
      <c r="CR1212" s="107"/>
      <c r="CS1212" s="107"/>
      <c r="CT1212" s="107"/>
      <c r="CU1212" s="107"/>
      <c r="CV1212" s="107"/>
    </row>
    <row r="1213" customFormat="false" ht="14.9" hidden="false" customHeight="false" outlineLevel="0" collapsed="false">
      <c r="A1213" s="74" t="n">
        <f aca="false">MONTH(B1213)</f>
        <v>11</v>
      </c>
      <c r="B1213" s="135" t="n">
        <v>44513</v>
      </c>
      <c r="C1213" s="128" t="s">
        <v>51</v>
      </c>
      <c r="D1213" s="77" t="str">
        <f aca="false">IFERROR(VLOOKUP(E:E,'Item Data Support Sheet'!A:O,7,0),"")</f>
        <v>NIPPLE LASER MARKING</v>
      </c>
      <c r="E1213" s="80" t="s">
        <v>885</v>
      </c>
      <c r="F1213" s="122"/>
      <c r="G1213" s="137" t="s">
        <v>517</v>
      </c>
      <c r="H1213" s="79" t="str">
        <f aca="false">IFERROR(VLOOKUP(E:E,'Item Data Support Sheet'!A:O,2,0),"")</f>
        <v>NIPPLE S TYPE Y SIZE PUNCHED LASER MARKED</v>
      </c>
      <c r="I1213" s="80" t="s">
        <v>2014</v>
      </c>
      <c r="J1213" s="80" t="s">
        <v>143</v>
      </c>
      <c r="K1213" s="124" t="n">
        <v>8</v>
      </c>
      <c r="L1213" s="124" t="n">
        <v>7000</v>
      </c>
      <c r="M1213" s="83" t="n">
        <v>875</v>
      </c>
      <c r="N1213" s="84" t="n">
        <f aca="false">+O1213+Q1213+T1213+U1213</f>
        <v>7200</v>
      </c>
      <c r="O1213" s="85" t="n">
        <v>7200</v>
      </c>
      <c r="P1213" s="86" t="n">
        <v>0</v>
      </c>
      <c r="Q1213" s="86" t="n">
        <v>0</v>
      </c>
      <c r="R1213" s="132" t="n">
        <v>0</v>
      </c>
      <c r="S1213" s="128" t="n">
        <v>0</v>
      </c>
      <c r="T1213" s="132" t="n">
        <v>0</v>
      </c>
      <c r="U1213" s="128" t="n">
        <v>0</v>
      </c>
      <c r="V1213" s="128" t="n">
        <v>1</v>
      </c>
      <c r="W1213" s="90" t="n">
        <f aca="false">IFERROR(O1213/V1213,0)</f>
        <v>7200</v>
      </c>
      <c r="X1213" s="91" t="n">
        <f aca="false">O1213/L1213</f>
        <v>1.02857142857143</v>
      </c>
      <c r="Y1213" s="92" t="str">
        <f aca="false">IFERROR(VLOOKUP(E:E,'Item Data Support Sheet'!A:J,6,0),0)</f>
        <v>FO022</v>
      </c>
      <c r="Z1213" s="93" t="n">
        <f aca="false">IFERROR(VLOOKUP(E:E,'Item Data Support Sheet'!A:O,4,0),0)</f>
        <v>0</v>
      </c>
      <c r="AA1213" s="93" t="n">
        <f aca="false">IFERROR(((N1213)*(Z1213/1000))+P1213,0)</f>
        <v>0</v>
      </c>
      <c r="AB1213" s="94" t="str">
        <f aca="false">IFERROR((O1213*(Z1213/1000)/(AA1213))," ")</f>
        <v> </v>
      </c>
      <c r="AC1213" s="95" t="n">
        <f aca="false">IFERROR((T1213)/((T1213)+O1213),0)</f>
        <v>0</v>
      </c>
      <c r="AD1213" s="96" t="n">
        <f aca="false">IFERROR(Q1213/(Q1213+N1213),0)</f>
        <v>0</v>
      </c>
      <c r="AE1213" s="91" t="n">
        <f aca="false">(N1213-T1213)/N1213</f>
        <v>1</v>
      </c>
      <c r="AF1213" s="97" t="n">
        <f aca="false">BR1213</f>
        <v>0.666666666666667</v>
      </c>
      <c r="AG1213" s="98" t="n">
        <f aca="false">K1213-AF1213</f>
        <v>7.33333333333333</v>
      </c>
      <c r="AH1213" s="99" t="n">
        <f aca="false">IFERROR(AG1213/K1213," ")</f>
        <v>0.916666666666667</v>
      </c>
      <c r="AI1213" s="100" t="n">
        <f aca="false">IFERROR(O1213/K1213,0)</f>
        <v>900</v>
      </c>
      <c r="AJ1213" s="101" t="n">
        <f aca="false">VLOOKUP(D1213,'Standard Cycle time'!C:D,2,0)</f>
        <v>3.5</v>
      </c>
      <c r="AK1213" s="101" t="n">
        <f aca="false">AG1213*V1213*3600/O1213</f>
        <v>3.66666666666667</v>
      </c>
      <c r="AL1213" s="102" t="n">
        <f aca="false">AJ1213/AK1213</f>
        <v>0.954545454545455</v>
      </c>
      <c r="AM1213" s="99" t="n">
        <f aca="false">AE1213*AL1213*AH1213</f>
        <v>0.875</v>
      </c>
      <c r="AN1213" s="103" t="n">
        <v>0.875</v>
      </c>
      <c r="AO1213" s="112"/>
      <c r="AP1213" s="105" t="n">
        <v>40</v>
      </c>
      <c r="AQ1213" s="105" t="n">
        <v>0</v>
      </c>
      <c r="AR1213" s="105" t="n">
        <v>0</v>
      </c>
      <c r="AS1213" s="105" t="n">
        <v>0</v>
      </c>
      <c r="AT1213" s="105" t="n">
        <v>0</v>
      </c>
      <c r="AU1213" s="105" t="n">
        <v>0</v>
      </c>
      <c r="AV1213" s="105" t="n">
        <v>0</v>
      </c>
      <c r="AW1213" s="105" t="n">
        <v>0</v>
      </c>
      <c r="AX1213" s="105" t="n">
        <v>0</v>
      </c>
      <c r="AY1213" s="105" t="n">
        <v>0</v>
      </c>
      <c r="AZ1213" s="105" t="n">
        <v>0</v>
      </c>
      <c r="BA1213" s="105" t="n">
        <v>0</v>
      </c>
      <c r="BB1213" s="105" t="n">
        <v>0</v>
      </c>
      <c r="BC1213" s="105" t="n">
        <v>0</v>
      </c>
      <c r="BD1213" s="105" t="n">
        <v>0</v>
      </c>
      <c r="BE1213" s="105" t="n">
        <v>0</v>
      </c>
      <c r="BF1213" s="105" t="n">
        <v>0</v>
      </c>
      <c r="BG1213" s="105" t="n">
        <v>0</v>
      </c>
      <c r="BH1213" s="105" t="n">
        <v>0</v>
      </c>
      <c r="BI1213" s="105" t="n">
        <v>0</v>
      </c>
      <c r="BJ1213" s="105" t="n">
        <v>0</v>
      </c>
      <c r="BK1213" s="105" t="n">
        <v>0</v>
      </c>
      <c r="BL1213" s="105" t="n">
        <v>0</v>
      </c>
      <c r="BM1213" s="105" t="n">
        <v>0</v>
      </c>
      <c r="BN1213" s="105" t="n">
        <v>0</v>
      </c>
      <c r="BO1213" s="105" t="n">
        <v>0</v>
      </c>
      <c r="BP1213" s="105" t="n">
        <v>0</v>
      </c>
      <c r="BQ1213" s="105" t="n">
        <v>0</v>
      </c>
      <c r="BR1213" s="106" t="n">
        <v>0.666666666666667</v>
      </c>
      <c r="BS1213" s="106" t="n">
        <v>0.666666666666667</v>
      </c>
      <c r="BT1213" s="107"/>
      <c r="BU1213" s="107"/>
      <c r="BV1213" s="107"/>
      <c r="BW1213" s="107"/>
      <c r="BX1213" s="107"/>
      <c r="BY1213" s="107"/>
      <c r="BZ1213" s="107"/>
      <c r="CA1213" s="107"/>
      <c r="CB1213" s="107"/>
      <c r="CC1213" s="107"/>
      <c r="CD1213" s="107"/>
      <c r="CE1213" s="107"/>
      <c r="CF1213" s="107"/>
      <c r="CG1213" s="107"/>
      <c r="CH1213" s="107"/>
      <c r="CI1213" s="107"/>
      <c r="CJ1213" s="107"/>
      <c r="CK1213" s="107"/>
      <c r="CL1213" s="107"/>
      <c r="CM1213" s="107"/>
      <c r="CN1213" s="107"/>
      <c r="CO1213" s="107"/>
      <c r="CP1213" s="107"/>
      <c r="CQ1213" s="107"/>
      <c r="CR1213" s="107"/>
      <c r="CS1213" s="107"/>
      <c r="CT1213" s="107"/>
      <c r="CU1213" s="107"/>
      <c r="CV1213" s="107"/>
    </row>
    <row r="1214" customFormat="false" ht="14.9" hidden="false" customHeight="false" outlineLevel="0" collapsed="false">
      <c r="A1214" s="74" t="n">
        <f aca="false">MONTH(B1214)</f>
        <v>11</v>
      </c>
      <c r="B1214" s="135" t="n">
        <v>44513</v>
      </c>
      <c r="C1214" s="128" t="s">
        <v>51</v>
      </c>
      <c r="D1214" s="77" t="str">
        <f aca="false">IFERROR(VLOOKUP(E:E,'Item Data Support Sheet'!A:O,7,0),"")</f>
        <v>NIPPLE MOLDED</v>
      </c>
      <c r="E1214" s="80" t="s">
        <v>809</v>
      </c>
      <c r="F1214" s="122" t="s">
        <v>137</v>
      </c>
      <c r="G1214" s="137" t="s">
        <v>138</v>
      </c>
      <c r="H1214" s="79" t="str">
        <f aca="false">IFERROR(VLOOKUP(E:E,'Item Data Support Sheet'!A:O,2,0),"")</f>
        <v>NIPPLE S TYPE Y SIZE INJECTION</v>
      </c>
      <c r="I1214" s="80" t="s">
        <v>2015</v>
      </c>
      <c r="J1214" s="80" t="s">
        <v>143</v>
      </c>
      <c r="K1214" s="124" t="n">
        <v>8</v>
      </c>
      <c r="L1214" s="124" t="n">
        <v>4815</v>
      </c>
      <c r="M1214" s="83" t="n">
        <v>601.875</v>
      </c>
      <c r="N1214" s="84" t="n">
        <f aca="false">+O1214+Q1214+T1214+U1214</f>
        <v>2120</v>
      </c>
      <c r="O1214" s="85" t="n">
        <v>2050</v>
      </c>
      <c r="P1214" s="86" t="n">
        <v>7</v>
      </c>
      <c r="Q1214" s="86" t="n">
        <v>27</v>
      </c>
      <c r="R1214" s="132" t="n">
        <v>0</v>
      </c>
      <c r="S1214" s="128" t="n">
        <v>0</v>
      </c>
      <c r="T1214" s="132" t="n">
        <v>35</v>
      </c>
      <c r="U1214" s="128" t="n">
        <v>8</v>
      </c>
      <c r="V1214" s="128" t="n">
        <v>1</v>
      </c>
      <c r="W1214" s="90" t="n">
        <f aca="false">IFERROR(O1214/V1214,0)</f>
        <v>2050</v>
      </c>
      <c r="X1214" s="91" t="n">
        <f aca="false">O1214/L1214</f>
        <v>0.425752855659398</v>
      </c>
      <c r="Y1214" s="92" t="str">
        <f aca="false">IFERROR(VLOOKUP(E:E,'Item Data Support Sheet'!A:J,6,0),0)</f>
        <v>Silicon</v>
      </c>
      <c r="Z1214" s="93" t="n">
        <f aca="false">IFERROR(VLOOKUP(E:E,'Item Data Support Sheet'!A:O,4,0),0)</f>
        <v>6.8</v>
      </c>
      <c r="AA1214" s="93" t="n">
        <f aca="false">IFERROR(((N1214)*(Z1214/1000))+P1214,0)</f>
        <v>21.416</v>
      </c>
      <c r="AB1214" s="94" t="n">
        <f aca="false">IFERROR((O1214*(Z1214/1000)/(AA1214))," ")</f>
        <v>0.650915203586104</v>
      </c>
      <c r="AC1214" s="95" t="n">
        <f aca="false">IFERROR((T1214)/((T1214)+O1214),0)</f>
        <v>0.0167865707434053</v>
      </c>
      <c r="AD1214" s="96" t="n">
        <f aca="false">IFERROR(Q1214/(Q1214+N1214),0)</f>
        <v>0.0125756870051234</v>
      </c>
      <c r="AE1214" s="91" t="n">
        <f aca="false">(N1214-T1214)/N1214</f>
        <v>0.983490566037736</v>
      </c>
      <c r="AF1214" s="97" t="n">
        <f aca="false">BR1214</f>
        <v>5</v>
      </c>
      <c r="AG1214" s="98" t="n">
        <f aca="false">K1214-AF1214</f>
        <v>3</v>
      </c>
      <c r="AH1214" s="99" t="n">
        <f aca="false">IFERROR(AG1214/K1214," ")</f>
        <v>0.375</v>
      </c>
      <c r="AI1214" s="100" t="n">
        <f aca="false">IFERROR(O1214/K1214,0)</f>
        <v>256.25</v>
      </c>
      <c r="AJ1214" s="101" t="n">
        <f aca="false">VLOOKUP(D1214,'Standard Cycle time'!C:D,2,0)</f>
        <v>5.25</v>
      </c>
      <c r="AK1214" s="101" t="n">
        <f aca="false">AG1214*V1214*3600/O1214</f>
        <v>5.26829268292683</v>
      </c>
      <c r="AL1214" s="102" t="n">
        <f aca="false">AJ1214/AK1214</f>
        <v>0.996527777777778</v>
      </c>
      <c r="AM1214" s="99" t="n">
        <f aca="false">AE1214*AL1214*AH1214</f>
        <v>0.367528375589623</v>
      </c>
      <c r="AN1214" s="103" t="n">
        <v>0.367528375589623</v>
      </c>
      <c r="AO1214" s="112" t="s">
        <v>2016</v>
      </c>
      <c r="AP1214" s="105" t="n">
        <v>0</v>
      </c>
      <c r="AQ1214" s="105" t="n">
        <v>110</v>
      </c>
      <c r="AR1214" s="105" t="n">
        <v>0</v>
      </c>
      <c r="AS1214" s="105" t="n">
        <v>0</v>
      </c>
      <c r="AT1214" s="105" t="n">
        <v>0</v>
      </c>
      <c r="AU1214" s="105" t="n">
        <v>30</v>
      </c>
      <c r="AV1214" s="105" t="n">
        <v>0</v>
      </c>
      <c r="AW1214" s="105" t="n">
        <v>0</v>
      </c>
      <c r="AX1214" s="105" t="n">
        <v>0</v>
      </c>
      <c r="AY1214" s="105" t="n">
        <v>0</v>
      </c>
      <c r="AZ1214" s="105" t="n">
        <v>0</v>
      </c>
      <c r="BA1214" s="105" t="n">
        <v>0</v>
      </c>
      <c r="BB1214" s="105" t="n">
        <v>130</v>
      </c>
      <c r="BC1214" s="105" t="n">
        <v>0</v>
      </c>
      <c r="BD1214" s="105" t="n">
        <v>0</v>
      </c>
      <c r="BE1214" s="105" t="n">
        <v>0</v>
      </c>
      <c r="BF1214" s="105" t="n">
        <v>0</v>
      </c>
      <c r="BG1214" s="105" t="n">
        <v>0</v>
      </c>
      <c r="BH1214" s="105" t="n">
        <v>0</v>
      </c>
      <c r="BI1214" s="105" t="n">
        <v>0</v>
      </c>
      <c r="BJ1214" s="105" t="n">
        <v>0</v>
      </c>
      <c r="BK1214" s="105" t="n">
        <v>0</v>
      </c>
      <c r="BL1214" s="105" t="n">
        <v>0</v>
      </c>
      <c r="BM1214" s="105" t="n">
        <v>30</v>
      </c>
      <c r="BN1214" s="105" t="n">
        <v>0</v>
      </c>
      <c r="BO1214" s="105" t="n">
        <v>0</v>
      </c>
      <c r="BP1214" s="105" t="n">
        <v>0</v>
      </c>
      <c r="BQ1214" s="105" t="n">
        <v>0</v>
      </c>
      <c r="BR1214" s="106" t="n">
        <v>5</v>
      </c>
      <c r="BS1214" s="106" t="n">
        <v>5</v>
      </c>
      <c r="BT1214" s="107"/>
      <c r="BU1214" s="107"/>
      <c r="BV1214" s="107"/>
      <c r="BW1214" s="107"/>
      <c r="BX1214" s="107"/>
      <c r="BY1214" s="107"/>
      <c r="BZ1214" s="107"/>
      <c r="CA1214" s="107"/>
      <c r="CB1214" s="107"/>
      <c r="CC1214" s="107"/>
      <c r="CD1214" s="107"/>
      <c r="CE1214" s="107"/>
      <c r="CF1214" s="107"/>
      <c r="CG1214" s="107"/>
      <c r="CH1214" s="107"/>
      <c r="CI1214" s="107"/>
      <c r="CJ1214" s="107"/>
      <c r="CK1214" s="107"/>
      <c r="CL1214" s="107"/>
      <c r="CM1214" s="107"/>
      <c r="CN1214" s="107"/>
      <c r="CO1214" s="107"/>
      <c r="CP1214" s="107"/>
      <c r="CQ1214" s="107"/>
      <c r="CR1214" s="107"/>
      <c r="CS1214" s="107"/>
      <c r="CT1214" s="107"/>
      <c r="CU1214" s="107"/>
      <c r="CV1214" s="107"/>
    </row>
    <row r="1215" customFormat="false" ht="14.9" hidden="false" customHeight="false" outlineLevel="0" collapsed="false">
      <c r="A1215" s="74" t="n">
        <f aca="false">MONTH(B1215)</f>
        <v>11</v>
      </c>
      <c r="B1215" s="135" t="n">
        <v>44513</v>
      </c>
      <c r="C1215" s="128" t="s">
        <v>51</v>
      </c>
      <c r="D1215" s="77" t="str">
        <f aca="false">IFERROR(VLOOKUP(E:E,'Item Data Support Sheet'!A:O,7,0),"")</f>
        <v>BOTTLE PRINTED</v>
      </c>
      <c r="E1215" s="80" t="s">
        <v>65</v>
      </c>
      <c r="F1215" s="122"/>
      <c r="G1215" s="137"/>
      <c r="H1215" s="79" t="str">
        <f aca="false">IFERROR(VLOOKUP(E:E,'Item Data Support Sheet'!A:O,2,0),"")</f>
        <v>KPP 240 ML BOTTLE PRINTED</v>
      </c>
      <c r="I1215" s="80" t="s">
        <v>2017</v>
      </c>
      <c r="J1215" s="80" t="s">
        <v>1960</v>
      </c>
      <c r="K1215" s="124" t="n">
        <v>8</v>
      </c>
      <c r="L1215" s="124" t="n">
        <v>5120</v>
      </c>
      <c r="M1215" s="83" t="n">
        <v>640</v>
      </c>
      <c r="N1215" s="84" t="n">
        <f aca="false">+O1215+Q1215+T1215+U1215</f>
        <v>4143</v>
      </c>
      <c r="O1215" s="85" t="n">
        <v>4104</v>
      </c>
      <c r="P1215" s="86" t="n">
        <v>0</v>
      </c>
      <c r="Q1215" s="86" t="n">
        <v>0</v>
      </c>
      <c r="R1215" s="132" t="n">
        <v>48</v>
      </c>
      <c r="S1215" s="128" t="n">
        <v>0</v>
      </c>
      <c r="T1215" s="132" t="n">
        <v>39</v>
      </c>
      <c r="U1215" s="128" t="n">
        <v>0</v>
      </c>
      <c r="V1215" s="128" t="n">
        <v>4.5</v>
      </c>
      <c r="W1215" s="90" t="n">
        <f aca="false">IFERROR(O1215/V1215,0)</f>
        <v>912</v>
      </c>
      <c r="X1215" s="91" t="n">
        <f aca="false">O1215/L1215</f>
        <v>0.8015625</v>
      </c>
      <c r="Y1215" s="92" t="str">
        <f aca="false">IFERROR(VLOOKUP(E:E,'Item Data Support Sheet'!A:J,6,0),0)</f>
        <v>FO003</v>
      </c>
      <c r="Z1215" s="93" t="n">
        <f aca="false">IFERROR(VLOOKUP(E:E,'Item Data Support Sheet'!A:O,4,0),0)</f>
        <v>0</v>
      </c>
      <c r="AA1215" s="93" t="n">
        <f aca="false">IFERROR(((N1215)*(Z1215/1000))+P1215,0)</f>
        <v>0</v>
      </c>
      <c r="AB1215" s="94" t="str">
        <f aca="false">IFERROR((O1215*(Z1215/1000)/(AA1215))," ")</f>
        <v> </v>
      </c>
      <c r="AC1215" s="95" t="n">
        <f aca="false">IFERROR((T1215)/((T1215)+O1215),0)</f>
        <v>0.00941346850108617</v>
      </c>
      <c r="AD1215" s="96" t="n">
        <f aca="false">IFERROR(Q1215/(Q1215+N1215),0)</f>
        <v>0</v>
      </c>
      <c r="AE1215" s="91" t="n">
        <f aca="false">(N1215-T1215)/N1215</f>
        <v>0.990586531498914</v>
      </c>
      <c r="AF1215" s="97" t="n">
        <f aca="false">BR1215</f>
        <v>0</v>
      </c>
      <c r="AG1215" s="98" t="n">
        <f aca="false">K1215-AF1215</f>
        <v>8</v>
      </c>
      <c r="AH1215" s="99" t="n">
        <f aca="false">IFERROR(AG1215/K1215," ")</f>
        <v>1</v>
      </c>
      <c r="AI1215" s="100" t="n">
        <f aca="false">IFERROR(O1215/K1215,0)</f>
        <v>513</v>
      </c>
      <c r="AJ1215" s="101" t="n">
        <f aca="false">VLOOKUP(D1215,'Standard Cycle time'!C:D,2,0)</f>
        <v>32.4</v>
      </c>
      <c r="AK1215" s="101" t="n">
        <f aca="false">AG1215*V1215*3600/O1215</f>
        <v>31.5789473684211</v>
      </c>
      <c r="AL1215" s="102" t="n">
        <f aca="false">AJ1215/AK1215</f>
        <v>1.026</v>
      </c>
      <c r="AM1215" s="99" t="n">
        <f aca="false">AE1215*AL1215*AH1215</f>
        <v>1.01634178131789</v>
      </c>
      <c r="AN1215" s="103" t="n">
        <v>1.01634178131789</v>
      </c>
      <c r="AO1215" s="112" t="s">
        <v>1599</v>
      </c>
      <c r="AP1215" s="105" t="n">
        <v>0</v>
      </c>
      <c r="AQ1215" s="105" t="n">
        <v>0</v>
      </c>
      <c r="AR1215" s="105" t="n">
        <v>0</v>
      </c>
      <c r="AS1215" s="105" t="n">
        <v>0</v>
      </c>
      <c r="AT1215" s="105" t="n">
        <v>0</v>
      </c>
      <c r="AU1215" s="105" t="n">
        <v>0</v>
      </c>
      <c r="AV1215" s="105" t="n">
        <v>0</v>
      </c>
      <c r="AW1215" s="105" t="n">
        <v>0</v>
      </c>
      <c r="AX1215" s="105" t="n">
        <v>0</v>
      </c>
      <c r="AY1215" s="105" t="n">
        <v>0</v>
      </c>
      <c r="AZ1215" s="105" t="n">
        <v>0</v>
      </c>
      <c r="BA1215" s="105" t="n">
        <v>0</v>
      </c>
      <c r="BB1215" s="105" t="n">
        <v>0</v>
      </c>
      <c r="BC1215" s="105" t="n">
        <v>0</v>
      </c>
      <c r="BD1215" s="105" t="n">
        <v>0</v>
      </c>
      <c r="BE1215" s="105" t="n">
        <v>0</v>
      </c>
      <c r="BF1215" s="105" t="n">
        <v>0</v>
      </c>
      <c r="BG1215" s="105" t="n">
        <v>0</v>
      </c>
      <c r="BH1215" s="105" t="n">
        <v>0</v>
      </c>
      <c r="BI1215" s="105" t="n">
        <v>0</v>
      </c>
      <c r="BJ1215" s="105" t="n">
        <v>0</v>
      </c>
      <c r="BK1215" s="105" t="n">
        <v>0</v>
      </c>
      <c r="BL1215" s="105" t="n">
        <v>0</v>
      </c>
      <c r="BM1215" s="105" t="n">
        <v>0</v>
      </c>
      <c r="BN1215" s="105" t="n">
        <v>0</v>
      </c>
      <c r="BO1215" s="105" t="n">
        <v>0</v>
      </c>
      <c r="BP1215" s="105" t="n">
        <v>0</v>
      </c>
      <c r="BQ1215" s="105" t="n">
        <v>0</v>
      </c>
      <c r="BR1215" s="106" t="n">
        <v>0</v>
      </c>
      <c r="BS1215" s="106" t="n">
        <v>0</v>
      </c>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c r="CO1215" s="107"/>
      <c r="CP1215" s="107"/>
      <c r="CQ1215" s="107"/>
      <c r="CR1215" s="107"/>
      <c r="CS1215" s="107"/>
      <c r="CT1215" s="107"/>
      <c r="CU1215" s="107"/>
      <c r="CV1215" s="107"/>
    </row>
    <row r="1216" customFormat="false" ht="14.9" hidden="false" customHeight="false" outlineLevel="0" collapsed="false">
      <c r="A1216" s="74" t="n">
        <f aca="false">MONTH(B1216)</f>
        <v>11</v>
      </c>
      <c r="B1216" s="135" t="n">
        <v>44513</v>
      </c>
      <c r="C1216" s="128" t="s">
        <v>63</v>
      </c>
      <c r="D1216" s="77" t="str">
        <f aca="false">IFERROR(VLOOKUP(E:E,'Item Data Support Sheet'!A:O,7,0),"")</f>
        <v>NIPPLE PUNCH INSPECTED</v>
      </c>
      <c r="E1216" s="80" t="s">
        <v>901</v>
      </c>
      <c r="F1216" s="122"/>
      <c r="G1216" s="137"/>
      <c r="H1216" s="79" t="str">
        <f aca="false">IFERROR(VLOOKUP(E:E,'Item Data Support Sheet'!A:O,2,0),"")</f>
        <v>NIPPLE S TYPE Y SIZE PUNCHED INSPECTED</v>
      </c>
      <c r="I1216" s="80" t="s">
        <v>2014</v>
      </c>
      <c r="J1216" s="80" t="s">
        <v>155</v>
      </c>
      <c r="K1216" s="124" t="n">
        <v>8</v>
      </c>
      <c r="L1216" s="124" t="n">
        <v>14000</v>
      </c>
      <c r="M1216" s="83" t="n">
        <v>1750</v>
      </c>
      <c r="N1216" s="84" t="n">
        <f aca="false">+O1216+Q1216+T1216+U1216</f>
        <v>12200</v>
      </c>
      <c r="O1216" s="85" t="n">
        <v>12081</v>
      </c>
      <c r="P1216" s="86" t="n">
        <v>0</v>
      </c>
      <c r="Q1216" s="86" t="n">
        <v>0</v>
      </c>
      <c r="R1216" s="132" t="n">
        <v>0</v>
      </c>
      <c r="S1216" s="128" t="n">
        <v>0</v>
      </c>
      <c r="T1216" s="132" t="n">
        <v>119</v>
      </c>
      <c r="U1216" s="128" t="n">
        <v>0</v>
      </c>
      <c r="V1216" s="128" t="n">
        <v>2</v>
      </c>
      <c r="W1216" s="90" t="n">
        <f aca="false">IFERROR(O1216/V1216,0)</f>
        <v>6040.5</v>
      </c>
      <c r="X1216" s="91" t="n">
        <f aca="false">O1216/L1216</f>
        <v>0.862928571428571</v>
      </c>
      <c r="Y1216" s="92" t="str">
        <f aca="false">IFERROR(VLOOKUP(E:E,'Item Data Support Sheet'!A:J,6,0),0)</f>
        <v>FO107</v>
      </c>
      <c r="Z1216" s="93" t="n">
        <f aca="false">IFERROR(VLOOKUP(E:E,'Item Data Support Sheet'!A:O,4,0),0)</f>
        <v>0</v>
      </c>
      <c r="AA1216" s="93" t="n">
        <f aca="false">IFERROR(((N1216)*(Z1216/1000))+P1216,0)</f>
        <v>0</v>
      </c>
      <c r="AB1216" s="94" t="str">
        <f aca="false">IFERROR((O1216*(Z1216/1000)/(AA1216))," ")</f>
        <v> </v>
      </c>
      <c r="AC1216" s="95" t="n">
        <f aca="false">IFERROR((T1216)/((T1216)+O1216),0)</f>
        <v>0.00975409836065574</v>
      </c>
      <c r="AD1216" s="96" t="n">
        <f aca="false">IFERROR(Q1216/(Q1216+N1216),0)</f>
        <v>0</v>
      </c>
      <c r="AE1216" s="91" t="n">
        <f aca="false">(N1216-T1216)/N1216</f>
        <v>0.990245901639344</v>
      </c>
      <c r="AF1216" s="97" t="n">
        <f aca="false">BR1216</f>
        <v>0.833333333333333</v>
      </c>
      <c r="AG1216" s="98" t="n">
        <f aca="false">K1216-AF1216</f>
        <v>7.16666666666667</v>
      </c>
      <c r="AH1216" s="99" t="n">
        <f aca="false">IFERROR(AG1216/K1216," ")</f>
        <v>0.895833333333333</v>
      </c>
      <c r="AI1216" s="100" t="n">
        <f aca="false">IFERROR(O1216/K1216,0)</f>
        <v>1510.125</v>
      </c>
      <c r="AJ1216" s="101" t="n">
        <f aca="false">VLOOKUP(D1216,'Standard Cycle time'!C:D,2,0)</f>
        <v>4</v>
      </c>
      <c r="AK1216" s="101" t="n">
        <f aca="false">AG1216*V1216*3600/O1216</f>
        <v>4.27116960516514</v>
      </c>
      <c r="AL1216" s="102" t="n">
        <f aca="false">AJ1216/AK1216</f>
        <v>0.936511627906977</v>
      </c>
      <c r="AM1216" s="99" t="n">
        <f aca="false">AE1216*AL1216*AH1216</f>
        <v>0.830775051229508</v>
      </c>
      <c r="AN1216" s="103" t="n">
        <v>0.830775051229508</v>
      </c>
      <c r="AO1216" s="112"/>
      <c r="AP1216" s="105" t="n">
        <v>50</v>
      </c>
      <c r="AQ1216" s="105" t="n">
        <v>0</v>
      </c>
      <c r="AR1216" s="105" t="n">
        <v>0</v>
      </c>
      <c r="AS1216" s="105" t="n">
        <v>0</v>
      </c>
      <c r="AT1216" s="105" t="n">
        <v>0</v>
      </c>
      <c r="AU1216" s="105" t="n">
        <v>0</v>
      </c>
      <c r="AV1216" s="105" t="n">
        <v>0</v>
      </c>
      <c r="AW1216" s="105" t="n">
        <v>0</v>
      </c>
      <c r="AX1216" s="105" t="n">
        <v>0</v>
      </c>
      <c r="AY1216" s="105" t="n">
        <v>0</v>
      </c>
      <c r="AZ1216" s="105" t="n">
        <v>0</v>
      </c>
      <c r="BA1216" s="105" t="n">
        <v>0</v>
      </c>
      <c r="BB1216" s="105" t="n">
        <v>0</v>
      </c>
      <c r="BC1216" s="105" t="n">
        <v>0</v>
      </c>
      <c r="BD1216" s="105" t="n">
        <v>0</v>
      </c>
      <c r="BE1216" s="105" t="n">
        <v>0</v>
      </c>
      <c r="BF1216" s="105" t="n">
        <v>0</v>
      </c>
      <c r="BG1216" s="105" t="n">
        <v>0</v>
      </c>
      <c r="BH1216" s="105" t="n">
        <v>0</v>
      </c>
      <c r="BI1216" s="105" t="n">
        <v>0</v>
      </c>
      <c r="BJ1216" s="105" t="n">
        <v>0</v>
      </c>
      <c r="BK1216" s="105" t="n">
        <v>0</v>
      </c>
      <c r="BL1216" s="105" t="n">
        <v>0</v>
      </c>
      <c r="BM1216" s="105" t="n">
        <v>0</v>
      </c>
      <c r="BN1216" s="105" t="n">
        <v>0</v>
      </c>
      <c r="BO1216" s="105" t="n">
        <v>0</v>
      </c>
      <c r="BP1216" s="105" t="n">
        <v>0</v>
      </c>
      <c r="BQ1216" s="105" t="n">
        <v>0</v>
      </c>
      <c r="BR1216" s="106" t="n">
        <v>0.833333333333333</v>
      </c>
      <c r="BS1216" s="106" t="n">
        <v>0.833333333333333</v>
      </c>
      <c r="BT1216" s="107"/>
      <c r="BU1216" s="107"/>
      <c r="BV1216" s="107"/>
      <c r="BW1216" s="107"/>
      <c r="BX1216" s="107"/>
      <c r="BY1216" s="107"/>
      <c r="BZ1216" s="107"/>
      <c r="CA1216" s="107"/>
      <c r="CB1216" s="107"/>
      <c r="CC1216" s="107"/>
      <c r="CD1216" s="107"/>
      <c r="CE1216" s="107"/>
      <c r="CF1216" s="107"/>
      <c r="CG1216" s="107"/>
      <c r="CH1216" s="107"/>
      <c r="CI1216" s="107"/>
      <c r="CJ1216" s="107"/>
      <c r="CK1216" s="107"/>
      <c r="CL1216" s="107"/>
      <c r="CM1216" s="107"/>
      <c r="CN1216" s="107"/>
      <c r="CO1216" s="107"/>
      <c r="CP1216" s="107"/>
      <c r="CQ1216" s="107"/>
      <c r="CR1216" s="107"/>
      <c r="CS1216" s="107"/>
      <c r="CT1216" s="107"/>
      <c r="CU1216" s="107"/>
      <c r="CV1216" s="107"/>
    </row>
    <row r="1217" customFormat="false" ht="14.9" hidden="false" customHeight="false" outlineLevel="0" collapsed="false">
      <c r="A1217" s="74" t="n">
        <f aca="false">MONTH(B1217)</f>
        <v>11</v>
      </c>
      <c r="B1217" s="135" t="n">
        <v>44513</v>
      </c>
      <c r="C1217" s="128" t="s">
        <v>63</v>
      </c>
      <c r="D1217" s="77" t="str">
        <f aca="false">IFERROR(VLOOKUP(E:E,'Item Data Support Sheet'!A:O,7,0),"")</f>
        <v>NIPPLE WRAP PRINTED</v>
      </c>
      <c r="E1217" s="80" t="s">
        <v>937</v>
      </c>
      <c r="F1217" s="122"/>
      <c r="G1217" s="137" t="s">
        <v>432</v>
      </c>
      <c r="H1217" s="79" t="str">
        <f aca="false">IFERROR(VLOOKUP(E:E,'Item Data Support Sheet'!A:O,2,0),"")</f>
        <v>NIPPLE S TYPE Y SIZE WITH PRINTED WRAP</v>
      </c>
      <c r="I1217" s="80" t="s">
        <v>2014</v>
      </c>
      <c r="J1217" s="80" t="s">
        <v>155</v>
      </c>
      <c r="K1217" s="124" t="n">
        <v>8</v>
      </c>
      <c r="L1217" s="124" t="n">
        <v>16171</v>
      </c>
      <c r="M1217" s="83" t="n">
        <v>2021.375</v>
      </c>
      <c r="N1217" s="84" t="n">
        <f aca="false">+O1217+Q1217+T1217+U1217</f>
        <v>18036</v>
      </c>
      <c r="O1217" s="85" t="n">
        <v>18026</v>
      </c>
      <c r="P1217" s="86" t="n">
        <v>0</v>
      </c>
      <c r="Q1217" s="86" t="n">
        <v>0</v>
      </c>
      <c r="R1217" s="132" t="n">
        <v>0</v>
      </c>
      <c r="S1217" s="128" t="n">
        <v>0</v>
      </c>
      <c r="T1217" s="132" t="n">
        <v>10</v>
      </c>
      <c r="U1217" s="128" t="n">
        <v>0</v>
      </c>
      <c r="V1217" s="128" t="n">
        <v>2</v>
      </c>
      <c r="W1217" s="90" t="n">
        <f aca="false">IFERROR(O1217/V1217,0)</f>
        <v>9013</v>
      </c>
      <c r="X1217" s="91" t="n">
        <f aca="false">O1217/L1217</f>
        <v>1.11471152062334</v>
      </c>
      <c r="Y1217" s="92" t="str">
        <f aca="false">IFERROR(VLOOKUP(E:E,'Item Data Support Sheet'!A:J,6,0),0)</f>
        <v>FO022</v>
      </c>
      <c r="Z1217" s="93" t="n">
        <f aca="false">IFERROR(VLOOKUP(E:E,'Item Data Support Sheet'!A:O,4,0),0)</f>
        <v>0</v>
      </c>
      <c r="AA1217" s="93" t="n">
        <f aca="false">IFERROR(((N1217)*(Z1217/1000))+P1217,0)</f>
        <v>0</v>
      </c>
      <c r="AB1217" s="94" t="str">
        <f aca="false">IFERROR((O1217*(Z1217/1000)/(AA1217))," ")</f>
        <v> </v>
      </c>
      <c r="AC1217" s="95" t="n">
        <f aca="false">IFERROR((T1217)/((T1217)+O1217),0)</f>
        <v>0.000554446662231093</v>
      </c>
      <c r="AD1217" s="96" t="n">
        <f aca="false">IFERROR(Q1217/(Q1217+N1217),0)</f>
        <v>0</v>
      </c>
      <c r="AE1217" s="91" t="n">
        <f aca="false">(N1217-T1217)/N1217</f>
        <v>0.999445553337769</v>
      </c>
      <c r="AF1217" s="97" t="n">
        <f aca="false">BR1217</f>
        <v>0.833333333333333</v>
      </c>
      <c r="AG1217" s="98" t="n">
        <f aca="false">K1217-AF1217</f>
        <v>7.16666666666667</v>
      </c>
      <c r="AH1217" s="99" t="n">
        <f aca="false">IFERROR(AG1217/K1217," ")</f>
        <v>0.895833333333333</v>
      </c>
      <c r="AI1217" s="100" t="n">
        <f aca="false">IFERROR(O1217/K1217,0)</f>
        <v>2253.25</v>
      </c>
      <c r="AJ1217" s="101" t="n">
        <f aca="false">VLOOKUP(D1217,'Standard Cycle time'!C:D,2,0)</f>
        <v>2.5</v>
      </c>
      <c r="AK1217" s="101" t="n">
        <f aca="false">AG1217*V1217*3600/O1217</f>
        <v>2.86253189836902</v>
      </c>
      <c r="AL1217" s="102" t="n">
        <f aca="false">AJ1217/AK1217</f>
        <v>0.873352713178294</v>
      </c>
      <c r="AM1217" s="99" t="n">
        <f aca="false">AE1217*AL1217*AH1217</f>
        <v>0.781944685089697</v>
      </c>
      <c r="AN1217" s="103" t="n">
        <v>0.781944685089697</v>
      </c>
      <c r="AO1217" s="112"/>
      <c r="AP1217" s="105" t="n">
        <v>50</v>
      </c>
      <c r="AQ1217" s="105" t="n">
        <v>0</v>
      </c>
      <c r="AR1217" s="105" t="n">
        <v>0</v>
      </c>
      <c r="AS1217" s="105" t="n">
        <v>0</v>
      </c>
      <c r="AT1217" s="105" t="n">
        <v>0</v>
      </c>
      <c r="AU1217" s="105" t="n">
        <v>0</v>
      </c>
      <c r="AV1217" s="105" t="n">
        <v>0</v>
      </c>
      <c r="AW1217" s="105" t="n">
        <v>0</v>
      </c>
      <c r="AX1217" s="105" t="n">
        <v>0</v>
      </c>
      <c r="AY1217" s="105" t="n">
        <v>0</v>
      </c>
      <c r="AZ1217" s="105" t="n">
        <v>0</v>
      </c>
      <c r="BA1217" s="105" t="n">
        <v>0</v>
      </c>
      <c r="BB1217" s="105" t="n">
        <v>0</v>
      </c>
      <c r="BC1217" s="105" t="n">
        <v>0</v>
      </c>
      <c r="BD1217" s="105" t="n">
        <v>0</v>
      </c>
      <c r="BE1217" s="105" t="n">
        <v>0</v>
      </c>
      <c r="BF1217" s="105" t="n">
        <v>0</v>
      </c>
      <c r="BG1217" s="105" t="n">
        <v>0</v>
      </c>
      <c r="BH1217" s="105" t="n">
        <v>0</v>
      </c>
      <c r="BI1217" s="105" t="n">
        <v>0</v>
      </c>
      <c r="BJ1217" s="105" t="n">
        <v>0</v>
      </c>
      <c r="BK1217" s="105" t="n">
        <v>0</v>
      </c>
      <c r="BL1217" s="105" t="n">
        <v>0</v>
      </c>
      <c r="BM1217" s="105" t="n">
        <v>0</v>
      </c>
      <c r="BN1217" s="105" t="n">
        <v>0</v>
      </c>
      <c r="BO1217" s="105" t="n">
        <v>0</v>
      </c>
      <c r="BP1217" s="105" t="n">
        <v>0</v>
      </c>
      <c r="BQ1217" s="105" t="n">
        <v>0</v>
      </c>
      <c r="BR1217" s="106" t="n">
        <v>0.833333333333333</v>
      </c>
      <c r="BS1217" s="106" t="n">
        <v>0.833333333333333</v>
      </c>
      <c r="BT1217" s="107"/>
      <c r="BU1217" s="107"/>
      <c r="BV1217" s="107"/>
      <c r="BW1217" s="107"/>
      <c r="BX1217" s="107"/>
      <c r="BY1217" s="107"/>
      <c r="BZ1217" s="107"/>
      <c r="CA1217" s="107"/>
      <c r="CB1217" s="107"/>
      <c r="CC1217" s="107"/>
      <c r="CD1217" s="107"/>
      <c r="CE1217" s="107"/>
      <c r="CF1217" s="107"/>
      <c r="CG1217" s="107"/>
      <c r="CH1217" s="107"/>
      <c r="CI1217" s="107"/>
      <c r="CJ1217" s="107"/>
      <c r="CK1217" s="107"/>
      <c r="CL1217" s="107"/>
      <c r="CM1217" s="107"/>
      <c r="CN1217" s="107"/>
      <c r="CO1217" s="107"/>
      <c r="CP1217" s="107"/>
      <c r="CQ1217" s="107"/>
      <c r="CR1217" s="107"/>
      <c r="CS1217" s="107"/>
      <c r="CT1217" s="107"/>
      <c r="CU1217" s="107"/>
      <c r="CV1217" s="107"/>
    </row>
    <row r="1218" customFormat="false" ht="14.9" hidden="false" customHeight="false" outlineLevel="0" collapsed="false">
      <c r="A1218" s="74" t="n">
        <f aca="false">MONTH(B1218)</f>
        <v>11</v>
      </c>
      <c r="B1218" s="135" t="n">
        <v>44513</v>
      </c>
      <c r="C1218" s="128" t="s">
        <v>63</v>
      </c>
      <c r="D1218" s="77" t="str">
        <f aca="false">IFERROR(VLOOKUP(E:E,'Item Data Support Sheet'!A:O,7,0),"")</f>
        <v>BOTTLE MOLDED</v>
      </c>
      <c r="E1218" s="80" t="s">
        <v>2001</v>
      </c>
      <c r="F1218" s="122"/>
      <c r="G1218" s="137" t="s">
        <v>80</v>
      </c>
      <c r="H1218" s="79" t="str">
        <f aca="false">IFERROR(VLOOKUP(E:E,'Item Data Support Sheet'!A:O,2,0),"")</f>
        <v>50 ML JUICE BOTTLE MOLDED</v>
      </c>
      <c r="I1218" s="80" t="s">
        <v>2018</v>
      </c>
      <c r="J1218" s="80" t="s">
        <v>155</v>
      </c>
      <c r="K1218" s="124" t="n">
        <v>7</v>
      </c>
      <c r="L1218" s="124" t="n">
        <v>2252</v>
      </c>
      <c r="M1218" s="83" t="n">
        <v>321.714285714286</v>
      </c>
      <c r="N1218" s="84" t="n">
        <f aca="false">+O1218+Q1218+T1218+U1218</f>
        <v>2537</v>
      </c>
      <c r="O1218" s="85" t="n">
        <v>2455</v>
      </c>
      <c r="P1218" s="86" t="n">
        <v>0.15</v>
      </c>
      <c r="Q1218" s="86" t="n">
        <v>30</v>
      </c>
      <c r="R1218" s="132" t="n">
        <v>0</v>
      </c>
      <c r="S1218" s="128" t="n">
        <v>0</v>
      </c>
      <c r="T1218" s="132" t="n">
        <v>52</v>
      </c>
      <c r="U1218" s="128" t="n">
        <v>0</v>
      </c>
      <c r="V1218" s="128" t="n">
        <v>1</v>
      </c>
      <c r="W1218" s="90" t="n">
        <f aca="false">IFERROR(O1218/V1218,0)</f>
        <v>2455</v>
      </c>
      <c r="X1218" s="91" t="n">
        <f aca="false">O1218/L1218</f>
        <v>1.09014209591474</v>
      </c>
      <c r="Y1218" s="92" t="str">
        <f aca="false">IFERROR(VLOOKUP(E:E,'Item Data Support Sheet'!A:J,6,0),0)</f>
        <v>HMC</v>
      </c>
      <c r="Z1218" s="93" t="n">
        <f aca="false">IFERROR(VLOOKUP(E:E,'Item Data Support Sheet'!A:O,4,0),0)</f>
        <v>17.015</v>
      </c>
      <c r="AA1218" s="93" t="n">
        <f aca="false">IFERROR(((N1218)*(Z1218/1000))+P1218,0)</f>
        <v>43.317055</v>
      </c>
      <c r="AB1218" s="94" t="n">
        <f aca="false">IFERROR((O1218*(Z1218/1000)/(AA1218))," ")</f>
        <v>0.964327445621592</v>
      </c>
      <c r="AC1218" s="95" t="n">
        <f aca="false">IFERROR((T1218)/((T1218)+O1218),0)</f>
        <v>0.0207419226166733</v>
      </c>
      <c r="AD1218" s="96" t="n">
        <f aca="false">IFERROR(Q1218/(Q1218+N1218),0)</f>
        <v>0.0116867939228672</v>
      </c>
      <c r="AE1218" s="91" t="n">
        <f aca="false">(N1218-T1218)/N1218</f>
        <v>0.979503350413875</v>
      </c>
      <c r="AF1218" s="97" t="n">
        <f aca="false">BR1218</f>
        <v>0</v>
      </c>
      <c r="AG1218" s="98" t="n">
        <f aca="false">K1218-AF1218</f>
        <v>7</v>
      </c>
      <c r="AH1218" s="99" t="n">
        <f aca="false">IFERROR(AG1218/K1218," ")</f>
        <v>1</v>
      </c>
      <c r="AI1218" s="100" t="n">
        <f aca="false">IFERROR(O1218/K1218,0)</f>
        <v>350.714285714286</v>
      </c>
      <c r="AJ1218" s="101" t="n">
        <f aca="false">VLOOKUP(D1218,'Standard Cycle time'!C:D,2,0)</f>
        <v>9</v>
      </c>
      <c r="AK1218" s="101" t="n">
        <f aca="false">AG1218*V1218*3600/O1218</f>
        <v>10.2647657841141</v>
      </c>
      <c r="AL1218" s="102" t="n">
        <f aca="false">AJ1218/AK1218</f>
        <v>0.876785714285714</v>
      </c>
      <c r="AM1218" s="99" t="n">
        <f aca="false">AE1218*AL1218*AH1218</f>
        <v>0.858814544737879</v>
      </c>
      <c r="AN1218" s="103" t="n">
        <v>0.858814544737879</v>
      </c>
      <c r="AO1218" s="112"/>
      <c r="AP1218" s="105" t="n">
        <v>0</v>
      </c>
      <c r="AQ1218" s="105" t="n">
        <v>0</v>
      </c>
      <c r="AR1218" s="105" t="n">
        <v>0</v>
      </c>
      <c r="AS1218" s="105" t="n">
        <v>0</v>
      </c>
      <c r="AT1218" s="105" t="n">
        <v>0</v>
      </c>
      <c r="AU1218" s="105" t="n">
        <v>0</v>
      </c>
      <c r="AV1218" s="105" t="n">
        <v>0</v>
      </c>
      <c r="AW1218" s="105" t="n">
        <v>0</v>
      </c>
      <c r="AX1218" s="105" t="n">
        <v>0</v>
      </c>
      <c r="AY1218" s="105" t="n">
        <v>0</v>
      </c>
      <c r="AZ1218" s="105" t="n">
        <v>0</v>
      </c>
      <c r="BA1218" s="105" t="n">
        <v>0</v>
      </c>
      <c r="BB1218" s="105" t="n">
        <v>0</v>
      </c>
      <c r="BC1218" s="105" t="n">
        <v>0</v>
      </c>
      <c r="BD1218" s="105" t="n">
        <v>0</v>
      </c>
      <c r="BE1218" s="105" t="n">
        <v>0</v>
      </c>
      <c r="BF1218" s="105" t="n">
        <v>0</v>
      </c>
      <c r="BG1218" s="105" t="n">
        <v>0</v>
      </c>
      <c r="BH1218" s="105" t="n">
        <v>0</v>
      </c>
      <c r="BI1218" s="105" t="n">
        <v>0</v>
      </c>
      <c r="BJ1218" s="105" t="n">
        <v>0</v>
      </c>
      <c r="BK1218" s="105" t="n">
        <v>0</v>
      </c>
      <c r="BL1218" s="105" t="n">
        <v>0</v>
      </c>
      <c r="BM1218" s="105" t="n">
        <v>0</v>
      </c>
      <c r="BN1218" s="105" t="n">
        <v>0</v>
      </c>
      <c r="BO1218" s="105" t="n">
        <v>0</v>
      </c>
      <c r="BP1218" s="105" t="n">
        <v>0</v>
      </c>
      <c r="BQ1218" s="105" t="n">
        <v>0</v>
      </c>
      <c r="BR1218" s="106" t="n">
        <v>0</v>
      </c>
      <c r="BS1218" s="106" t="n">
        <v>0</v>
      </c>
      <c r="BT1218" s="107"/>
      <c r="BU1218" s="107"/>
      <c r="BV1218" s="107"/>
      <c r="BW1218" s="107"/>
      <c r="BX1218" s="107"/>
      <c r="BY1218" s="107"/>
      <c r="BZ1218" s="107"/>
      <c r="CA1218" s="107"/>
      <c r="CB1218" s="107"/>
      <c r="CC1218" s="107"/>
      <c r="CD1218" s="107"/>
      <c r="CE1218" s="107"/>
      <c r="CF1218" s="107"/>
      <c r="CG1218" s="107"/>
      <c r="CH1218" s="107"/>
      <c r="CI1218" s="107"/>
      <c r="CJ1218" s="107"/>
      <c r="CK1218" s="107"/>
      <c r="CL1218" s="107"/>
      <c r="CM1218" s="107"/>
      <c r="CN1218" s="107"/>
      <c r="CO1218" s="107"/>
      <c r="CP1218" s="107"/>
      <c r="CQ1218" s="107"/>
      <c r="CR1218" s="107"/>
      <c r="CS1218" s="107"/>
      <c r="CT1218" s="107"/>
      <c r="CU1218" s="107"/>
      <c r="CV1218" s="107"/>
    </row>
    <row r="1219" customFormat="false" ht="14.9" hidden="false" customHeight="false" outlineLevel="0" collapsed="false">
      <c r="A1219" s="74" t="n">
        <f aca="false">MONTH(B1219)</f>
        <v>11</v>
      </c>
      <c r="B1219" s="135" t="n">
        <v>44513</v>
      </c>
      <c r="C1219" s="128" t="s">
        <v>70</v>
      </c>
      <c r="D1219" s="77" t="str">
        <f aca="false">IFERROR(VLOOKUP(E:E,'Item Data Support Sheet'!A:O,7,0),"")</f>
        <v>NIPPLE PUNCH</v>
      </c>
      <c r="E1219" s="80" t="s">
        <v>834</v>
      </c>
      <c r="F1219" s="122"/>
      <c r="G1219" s="137" t="s">
        <v>54</v>
      </c>
      <c r="H1219" s="79" t="str">
        <f aca="false">IFERROR(VLOOKUP(E:E,'Item Data Support Sheet'!A:O,2,0),"")</f>
        <v>NIPPLE S TYPE Y SIZE PUNCHED</v>
      </c>
      <c r="I1219" s="80" t="s">
        <v>2019</v>
      </c>
      <c r="J1219" s="80" t="s">
        <v>155</v>
      </c>
      <c r="K1219" s="124" t="n">
        <v>4</v>
      </c>
      <c r="L1219" s="124" t="n">
        <v>3500</v>
      </c>
      <c r="M1219" s="83" t="n">
        <v>875</v>
      </c>
      <c r="N1219" s="84" t="n">
        <f aca="false">+O1219+Q1219+T1219+U1219</f>
        <v>3050</v>
      </c>
      <c r="O1219" s="85" t="n">
        <v>3050</v>
      </c>
      <c r="P1219" s="86" t="n">
        <v>0</v>
      </c>
      <c r="Q1219" s="86" t="n">
        <v>0</v>
      </c>
      <c r="R1219" s="132" t="n">
        <v>0</v>
      </c>
      <c r="S1219" s="128" t="n">
        <v>0</v>
      </c>
      <c r="T1219" s="132" t="n">
        <v>0</v>
      </c>
      <c r="U1219" s="128" t="n">
        <v>0</v>
      </c>
      <c r="V1219" s="128" t="n">
        <v>1</v>
      </c>
      <c r="W1219" s="90" t="n">
        <f aca="false">IFERROR(O1219/V1219,0)</f>
        <v>3050</v>
      </c>
      <c r="X1219" s="91" t="n">
        <f aca="false">O1219/L1219</f>
        <v>0.871428571428571</v>
      </c>
      <c r="Y1219" s="92" t="str">
        <f aca="false">IFERROR(VLOOKUP(E:E,'Item Data Support Sheet'!A:J,6,0),0)</f>
        <v>FO018</v>
      </c>
      <c r="Z1219" s="93" t="n">
        <f aca="false">IFERROR(VLOOKUP(E:E,'Item Data Support Sheet'!A:O,4,0),0)</f>
        <v>0</v>
      </c>
      <c r="AA1219" s="93" t="n">
        <f aca="false">IFERROR(((N1219)*(Z1219/1000))+P1219,0)</f>
        <v>0</v>
      </c>
      <c r="AB1219" s="94" t="str">
        <f aca="false">IFERROR((O1219*(Z1219/1000)/(AA1219))," ")</f>
        <v> </v>
      </c>
      <c r="AC1219" s="95" t="n">
        <f aca="false">IFERROR((T1219)/((T1219)+O1219),0)</f>
        <v>0</v>
      </c>
      <c r="AD1219" s="96" t="n">
        <f aca="false">IFERROR(Q1219/(Q1219+N1219),0)</f>
        <v>0</v>
      </c>
      <c r="AE1219" s="91" t="n">
        <f aca="false">(N1219-T1219)/N1219</f>
        <v>1</v>
      </c>
      <c r="AF1219" s="97" t="n">
        <f aca="false">BR1219</f>
        <v>0.666666666666667</v>
      </c>
      <c r="AG1219" s="98" t="n">
        <f aca="false">K1219-AF1219</f>
        <v>3.33333333333333</v>
      </c>
      <c r="AH1219" s="99" t="n">
        <f aca="false">IFERROR(AG1219/K1219," ")</f>
        <v>0.833333333333333</v>
      </c>
      <c r="AI1219" s="100" t="n">
        <f aca="false">IFERROR(O1219/K1219,0)</f>
        <v>762.5</v>
      </c>
      <c r="AJ1219" s="101" t="n">
        <f aca="false">VLOOKUP(D1219,'Standard Cycle time'!C:D,2,0)</f>
        <v>3.5</v>
      </c>
      <c r="AK1219" s="101" t="n">
        <f aca="false">AG1219*V1219*3600/O1219</f>
        <v>3.9344262295082</v>
      </c>
      <c r="AL1219" s="102" t="n">
        <f aca="false">AJ1219/AK1219</f>
        <v>0.889583333333333</v>
      </c>
      <c r="AM1219" s="99" t="n">
        <f aca="false">AE1219*AL1219*AH1219</f>
        <v>0.741319444444444</v>
      </c>
      <c r="AN1219" s="103" t="n">
        <v>0.741319444444444</v>
      </c>
      <c r="AO1219" s="112"/>
      <c r="AP1219" s="105" t="n">
        <v>40</v>
      </c>
      <c r="AQ1219" s="105" t="n">
        <v>0</v>
      </c>
      <c r="AR1219" s="105" t="n">
        <v>0</v>
      </c>
      <c r="AS1219" s="105" t="n">
        <v>0</v>
      </c>
      <c r="AT1219" s="105" t="n">
        <v>0</v>
      </c>
      <c r="AU1219" s="105" t="n">
        <v>0</v>
      </c>
      <c r="AV1219" s="105" t="n">
        <v>0</v>
      </c>
      <c r="AW1219" s="105" t="n">
        <v>0</v>
      </c>
      <c r="AX1219" s="105" t="n">
        <v>0</v>
      </c>
      <c r="AY1219" s="105" t="n">
        <v>0</v>
      </c>
      <c r="AZ1219" s="105" t="n">
        <v>0</v>
      </c>
      <c r="BA1219" s="105" t="n">
        <v>0</v>
      </c>
      <c r="BB1219" s="105" t="n">
        <v>0</v>
      </c>
      <c r="BC1219" s="105" t="n">
        <v>0</v>
      </c>
      <c r="BD1219" s="105" t="n">
        <v>0</v>
      </c>
      <c r="BE1219" s="105" t="n">
        <v>0</v>
      </c>
      <c r="BF1219" s="105" t="n">
        <v>0</v>
      </c>
      <c r="BG1219" s="105" t="n">
        <v>0</v>
      </c>
      <c r="BH1219" s="105" t="n">
        <v>0</v>
      </c>
      <c r="BI1219" s="105" t="n">
        <v>0</v>
      </c>
      <c r="BJ1219" s="105" t="n">
        <v>0</v>
      </c>
      <c r="BK1219" s="105" t="n">
        <v>0</v>
      </c>
      <c r="BL1219" s="105" t="n">
        <v>0</v>
      </c>
      <c r="BM1219" s="105" t="n">
        <v>0</v>
      </c>
      <c r="BN1219" s="105" t="n">
        <v>0</v>
      </c>
      <c r="BO1219" s="105" t="n">
        <v>0</v>
      </c>
      <c r="BP1219" s="105" t="n">
        <v>0</v>
      </c>
      <c r="BQ1219" s="105" t="n">
        <v>0</v>
      </c>
      <c r="BR1219" s="106" t="n">
        <v>0.666666666666667</v>
      </c>
      <c r="BS1219" s="106" t="n">
        <v>0.666666666666667</v>
      </c>
      <c r="BT1219" s="107"/>
      <c r="BU1219" s="107"/>
      <c r="BV1219" s="107"/>
      <c r="BW1219" s="107"/>
      <c r="BX1219" s="107"/>
      <c r="BY1219" s="107"/>
      <c r="BZ1219" s="107"/>
      <c r="CA1219" s="107"/>
      <c r="CB1219" s="107"/>
      <c r="CC1219" s="107"/>
      <c r="CD1219" s="107"/>
      <c r="CE1219" s="107"/>
      <c r="CF1219" s="107"/>
      <c r="CG1219" s="107"/>
      <c r="CH1219" s="107"/>
      <c r="CI1219" s="107"/>
      <c r="CJ1219" s="107"/>
      <c r="CK1219" s="107"/>
      <c r="CL1219" s="107"/>
      <c r="CM1219" s="107"/>
      <c r="CN1219" s="107"/>
      <c r="CO1219" s="107"/>
      <c r="CP1219" s="107"/>
      <c r="CQ1219" s="107"/>
      <c r="CR1219" s="107"/>
      <c r="CS1219" s="107"/>
      <c r="CT1219" s="107"/>
      <c r="CU1219" s="107"/>
      <c r="CV1219" s="107"/>
    </row>
    <row r="1220" customFormat="false" ht="14.9" hidden="false" customHeight="false" outlineLevel="0" collapsed="false">
      <c r="A1220" s="74" t="n">
        <f aca="false">MONTH(B1220)</f>
        <v>11</v>
      </c>
      <c r="B1220" s="135" t="n">
        <v>44513</v>
      </c>
      <c r="C1220" s="128" t="s">
        <v>70</v>
      </c>
      <c r="D1220" s="77" t="str">
        <f aca="false">IFERROR(VLOOKUP(E:E,'Item Data Support Sheet'!A:O,7,0),"")</f>
        <v>NIPPLE LASER MARKING</v>
      </c>
      <c r="E1220" s="80" t="s">
        <v>885</v>
      </c>
      <c r="F1220" s="122"/>
      <c r="G1220" s="137" t="s">
        <v>517</v>
      </c>
      <c r="H1220" s="79" t="str">
        <f aca="false">IFERROR(VLOOKUP(E:E,'Item Data Support Sheet'!A:O,2,0),"")</f>
        <v>NIPPLE S TYPE Y SIZE PUNCHED LASER MARKED</v>
      </c>
      <c r="I1220" s="80" t="s">
        <v>2014</v>
      </c>
      <c r="J1220" s="80" t="s">
        <v>155</v>
      </c>
      <c r="K1220" s="124" t="n">
        <v>5</v>
      </c>
      <c r="L1220" s="124" t="n">
        <v>4375</v>
      </c>
      <c r="M1220" s="83" t="n">
        <v>875</v>
      </c>
      <c r="N1220" s="84" t="n">
        <f aca="false">+O1220+Q1220+T1220+U1220</f>
        <v>4050</v>
      </c>
      <c r="O1220" s="85" t="n">
        <v>4050</v>
      </c>
      <c r="P1220" s="86" t="n">
        <v>0</v>
      </c>
      <c r="Q1220" s="86" t="n">
        <v>0</v>
      </c>
      <c r="R1220" s="132" t="n">
        <v>0</v>
      </c>
      <c r="S1220" s="128" t="n">
        <v>0</v>
      </c>
      <c r="T1220" s="132" t="n">
        <v>0</v>
      </c>
      <c r="U1220" s="128" t="n">
        <v>0</v>
      </c>
      <c r="V1220" s="128" t="n">
        <v>1</v>
      </c>
      <c r="W1220" s="90" t="n">
        <f aca="false">IFERROR(O1220/V1220,0)</f>
        <v>4050</v>
      </c>
      <c r="X1220" s="91" t="n">
        <f aca="false">O1220/L1220</f>
        <v>0.925714285714286</v>
      </c>
      <c r="Y1220" s="92" t="str">
        <f aca="false">IFERROR(VLOOKUP(E:E,'Item Data Support Sheet'!A:J,6,0),0)</f>
        <v>FO022</v>
      </c>
      <c r="Z1220" s="93" t="n">
        <f aca="false">IFERROR(VLOOKUP(E:E,'Item Data Support Sheet'!A:O,4,0),0)</f>
        <v>0</v>
      </c>
      <c r="AA1220" s="93" t="n">
        <f aca="false">IFERROR(((N1220)*(Z1220/1000))+P1220,0)</f>
        <v>0</v>
      </c>
      <c r="AB1220" s="94" t="str">
        <f aca="false">IFERROR((O1220*(Z1220/1000)/(AA1220))," ")</f>
        <v> </v>
      </c>
      <c r="AC1220" s="95" t="n">
        <f aca="false">IFERROR((T1220)/((T1220)+O1220),0)</f>
        <v>0</v>
      </c>
      <c r="AD1220" s="96" t="n">
        <f aca="false">IFERROR(Q1220/(Q1220+N1220),0)</f>
        <v>0</v>
      </c>
      <c r="AE1220" s="91" t="n">
        <f aca="false">(N1220-T1220)/N1220</f>
        <v>1</v>
      </c>
      <c r="AF1220" s="97" t="n">
        <f aca="false">BR1220</f>
        <v>0.666666666666667</v>
      </c>
      <c r="AG1220" s="98" t="n">
        <f aca="false">K1220-AF1220</f>
        <v>4.33333333333333</v>
      </c>
      <c r="AH1220" s="99" t="n">
        <f aca="false">IFERROR(AG1220/K1220," ")</f>
        <v>0.866666666666667</v>
      </c>
      <c r="AI1220" s="100" t="n">
        <f aca="false">IFERROR(O1220/K1220,0)</f>
        <v>810</v>
      </c>
      <c r="AJ1220" s="101" t="n">
        <f aca="false">VLOOKUP(D1220,'Standard Cycle time'!C:D,2,0)</f>
        <v>3.5</v>
      </c>
      <c r="AK1220" s="101" t="n">
        <f aca="false">AG1220*V1220*3600/O1220</f>
        <v>3.85185185185185</v>
      </c>
      <c r="AL1220" s="102" t="n">
        <f aca="false">AJ1220/AK1220</f>
        <v>0.908653846153846</v>
      </c>
      <c r="AM1220" s="99" t="n">
        <f aca="false">AE1220*AL1220*AH1220</f>
        <v>0.7875</v>
      </c>
      <c r="AN1220" s="103" t="n">
        <v>0.7875</v>
      </c>
      <c r="AO1220" s="112"/>
      <c r="AP1220" s="105" t="n">
        <v>40</v>
      </c>
      <c r="AQ1220" s="105" t="n">
        <v>0</v>
      </c>
      <c r="AR1220" s="105" t="n">
        <v>0</v>
      </c>
      <c r="AS1220" s="105" t="n">
        <v>0</v>
      </c>
      <c r="AT1220" s="105" t="n">
        <v>0</v>
      </c>
      <c r="AU1220" s="105" t="n">
        <v>0</v>
      </c>
      <c r="AV1220" s="105" t="n">
        <v>0</v>
      </c>
      <c r="AW1220" s="105" t="n">
        <v>0</v>
      </c>
      <c r="AX1220" s="105" t="n">
        <v>0</v>
      </c>
      <c r="AY1220" s="105" t="n">
        <v>0</v>
      </c>
      <c r="AZ1220" s="105" t="n">
        <v>0</v>
      </c>
      <c r="BA1220" s="105" t="n">
        <v>0</v>
      </c>
      <c r="BB1220" s="105" t="n">
        <v>0</v>
      </c>
      <c r="BC1220" s="105" t="n">
        <v>0</v>
      </c>
      <c r="BD1220" s="105" t="n">
        <v>0</v>
      </c>
      <c r="BE1220" s="105" t="n">
        <v>0</v>
      </c>
      <c r="BF1220" s="105" t="n">
        <v>0</v>
      </c>
      <c r="BG1220" s="105" t="n">
        <v>0</v>
      </c>
      <c r="BH1220" s="105" t="n">
        <v>0</v>
      </c>
      <c r="BI1220" s="105" t="n">
        <v>0</v>
      </c>
      <c r="BJ1220" s="105" t="n">
        <v>0</v>
      </c>
      <c r="BK1220" s="105" t="n">
        <v>0</v>
      </c>
      <c r="BL1220" s="105" t="n">
        <v>0</v>
      </c>
      <c r="BM1220" s="105" t="n">
        <v>0</v>
      </c>
      <c r="BN1220" s="105" t="n">
        <v>0</v>
      </c>
      <c r="BO1220" s="105" t="n">
        <v>0</v>
      </c>
      <c r="BP1220" s="105" t="n">
        <v>0</v>
      </c>
      <c r="BQ1220" s="105" t="n">
        <v>0</v>
      </c>
      <c r="BR1220" s="106" t="n">
        <v>0.666666666666667</v>
      </c>
      <c r="BS1220" s="106" t="n">
        <v>0.666666666666667</v>
      </c>
      <c r="BT1220" s="107"/>
      <c r="BU1220" s="107"/>
      <c r="BV1220" s="107"/>
      <c r="BW1220" s="107"/>
      <c r="BX1220" s="107"/>
      <c r="BY1220" s="107"/>
      <c r="BZ1220" s="107"/>
      <c r="CA1220" s="107"/>
      <c r="CB1220" s="107"/>
      <c r="CC1220" s="107"/>
      <c r="CD1220" s="107"/>
      <c r="CE1220" s="107"/>
      <c r="CF1220" s="107"/>
      <c r="CG1220" s="107"/>
      <c r="CH1220" s="107"/>
      <c r="CI1220" s="107"/>
      <c r="CJ1220" s="107"/>
      <c r="CK1220" s="107"/>
      <c r="CL1220" s="107"/>
      <c r="CM1220" s="107"/>
      <c r="CN1220" s="107"/>
      <c r="CO1220" s="107"/>
      <c r="CP1220" s="107"/>
      <c r="CQ1220" s="107"/>
      <c r="CR1220" s="107"/>
      <c r="CS1220" s="107"/>
      <c r="CT1220" s="107"/>
      <c r="CU1220" s="107"/>
      <c r="CV1220" s="107"/>
    </row>
    <row r="1221" customFormat="false" ht="14.9" hidden="false" customHeight="false" outlineLevel="0" collapsed="false">
      <c r="A1221" s="74" t="n">
        <f aca="false">MONTH(B1221)</f>
        <v>11</v>
      </c>
      <c r="B1221" s="135" t="n">
        <v>44513</v>
      </c>
      <c r="C1221" s="128" t="s">
        <v>70</v>
      </c>
      <c r="D1221" s="77" t="str">
        <f aca="false">IFERROR(VLOOKUP(E:E,'Item Data Support Sheet'!A:O,7,0),"")</f>
        <v>BOTTLE MOLDED</v>
      </c>
      <c r="E1221" s="80" t="s">
        <v>572</v>
      </c>
      <c r="F1221" s="122" t="s">
        <v>73</v>
      </c>
      <c r="G1221" s="137" t="s">
        <v>74</v>
      </c>
      <c r="H1221" s="79" t="str">
        <f aca="false">IFERROR(VLOOKUP(E:E,'Item Data Support Sheet'!A:O,2,0),"")</f>
        <v>RPP 240 ML BOTTLE MOLDED</v>
      </c>
      <c r="I1221" s="80" t="s">
        <v>2020</v>
      </c>
      <c r="J1221" s="80" t="s">
        <v>155</v>
      </c>
      <c r="K1221" s="124" t="n">
        <v>8</v>
      </c>
      <c r="L1221" s="124" t="n">
        <v>2574</v>
      </c>
      <c r="M1221" s="83" t="n">
        <v>321.75</v>
      </c>
      <c r="N1221" s="84" t="n">
        <f aca="false">+O1221+Q1221+T1221+U1221</f>
        <v>2025</v>
      </c>
      <c r="O1221" s="85" t="n">
        <v>1920</v>
      </c>
      <c r="P1221" s="86" t="n">
        <v>0</v>
      </c>
      <c r="Q1221" s="86" t="n">
        <v>45</v>
      </c>
      <c r="R1221" s="132" t="n">
        <v>0</v>
      </c>
      <c r="S1221" s="128" t="n">
        <v>0</v>
      </c>
      <c r="T1221" s="132" t="n">
        <v>60</v>
      </c>
      <c r="U1221" s="128" t="n">
        <v>0</v>
      </c>
      <c r="V1221" s="128" t="n">
        <v>1</v>
      </c>
      <c r="W1221" s="90" t="n">
        <f aca="false">IFERROR(O1221/V1221,0)</f>
        <v>1920</v>
      </c>
      <c r="X1221" s="91" t="n">
        <f aca="false">O1221/L1221</f>
        <v>0.745920745920746</v>
      </c>
      <c r="Y1221" s="92" t="str">
        <f aca="false">IFERROR(VLOOKUP(E:E,'Item Data Support Sheet'!A:J,6,0),0)</f>
        <v>HMC</v>
      </c>
      <c r="Z1221" s="93" t="n">
        <f aca="false">IFERROR(VLOOKUP(E:E,'Item Data Support Sheet'!A:O,4,0),0)</f>
        <v>32.1</v>
      </c>
      <c r="AA1221" s="93" t="n">
        <f aca="false">IFERROR(((N1221)*(Z1221/1000))+P1221,0)</f>
        <v>65.0025</v>
      </c>
      <c r="AB1221" s="94" t="n">
        <f aca="false">IFERROR((O1221*(Z1221/1000)/(AA1221))," ")</f>
        <v>0.948148148148148</v>
      </c>
      <c r="AC1221" s="95" t="n">
        <f aca="false">IFERROR((T1221)/((T1221)+O1221),0)</f>
        <v>0.0303030303030303</v>
      </c>
      <c r="AD1221" s="96" t="n">
        <f aca="false">IFERROR(Q1221/(Q1221+N1221),0)</f>
        <v>0.0217391304347826</v>
      </c>
      <c r="AE1221" s="91" t="n">
        <f aca="false">(N1221-T1221)/N1221</f>
        <v>0.97037037037037</v>
      </c>
      <c r="AF1221" s="97" t="n">
        <f aca="false">BR1221</f>
        <v>0</v>
      </c>
      <c r="AG1221" s="98" t="n">
        <f aca="false">K1221-AF1221</f>
        <v>8</v>
      </c>
      <c r="AH1221" s="99" t="n">
        <f aca="false">IFERROR(AG1221/K1221," ")</f>
        <v>1</v>
      </c>
      <c r="AI1221" s="100" t="n">
        <f aca="false">IFERROR(O1221/K1221,0)</f>
        <v>240</v>
      </c>
      <c r="AJ1221" s="101" t="n">
        <f aca="false">VLOOKUP(D1221,'Standard Cycle time'!C:D,2,0)</f>
        <v>9</v>
      </c>
      <c r="AK1221" s="101" t="n">
        <f aca="false">AG1221*V1221*3600/O1221</f>
        <v>15</v>
      </c>
      <c r="AL1221" s="102" t="n">
        <f aca="false">AJ1221/AK1221</f>
        <v>0.6</v>
      </c>
      <c r="AM1221" s="99" t="n">
        <f aca="false">AE1221*AL1221*AH1221</f>
        <v>0.582222222222222</v>
      </c>
      <c r="AN1221" s="103" t="n">
        <v>0.582222222222222</v>
      </c>
      <c r="AO1221" s="112"/>
      <c r="AP1221" s="105" t="n">
        <v>0</v>
      </c>
      <c r="AQ1221" s="105" t="n">
        <v>0</v>
      </c>
      <c r="AR1221" s="105" t="n">
        <v>0</v>
      </c>
      <c r="AS1221" s="105" t="n">
        <v>0</v>
      </c>
      <c r="AT1221" s="105" t="n">
        <v>0</v>
      </c>
      <c r="AU1221" s="105" t="n">
        <v>0</v>
      </c>
      <c r="AV1221" s="105" t="n">
        <v>0</v>
      </c>
      <c r="AW1221" s="105" t="n">
        <v>0</v>
      </c>
      <c r="AX1221" s="105" t="n">
        <v>0</v>
      </c>
      <c r="AY1221" s="105" t="n">
        <v>0</v>
      </c>
      <c r="AZ1221" s="105" t="n">
        <v>0</v>
      </c>
      <c r="BA1221" s="105" t="n">
        <v>0</v>
      </c>
      <c r="BB1221" s="105" t="n">
        <v>0</v>
      </c>
      <c r="BC1221" s="105" t="n">
        <v>0</v>
      </c>
      <c r="BD1221" s="105" t="n">
        <v>0</v>
      </c>
      <c r="BE1221" s="105" t="n">
        <v>0</v>
      </c>
      <c r="BF1221" s="105" t="n">
        <v>0</v>
      </c>
      <c r="BG1221" s="105" t="n">
        <v>0</v>
      </c>
      <c r="BH1221" s="105" t="n">
        <v>0</v>
      </c>
      <c r="BI1221" s="105" t="n">
        <v>0</v>
      </c>
      <c r="BJ1221" s="105" t="n">
        <v>0</v>
      </c>
      <c r="BK1221" s="105" t="n">
        <v>0</v>
      </c>
      <c r="BL1221" s="105" t="n">
        <v>0</v>
      </c>
      <c r="BM1221" s="105" t="n">
        <v>0</v>
      </c>
      <c r="BN1221" s="105" t="n">
        <v>0</v>
      </c>
      <c r="BO1221" s="105" t="n">
        <v>0</v>
      </c>
      <c r="BP1221" s="105" t="n">
        <v>0</v>
      </c>
      <c r="BQ1221" s="105" t="n">
        <v>0</v>
      </c>
      <c r="BR1221" s="106" t="n">
        <v>0</v>
      </c>
      <c r="BS1221" s="106" t="n">
        <v>0</v>
      </c>
      <c r="BT1221" s="107"/>
      <c r="BU1221" s="107"/>
      <c r="BV1221" s="107"/>
      <c r="BW1221" s="107"/>
      <c r="BX1221" s="107"/>
      <c r="BY1221" s="107"/>
      <c r="BZ1221" s="107"/>
      <c r="CA1221" s="107"/>
      <c r="CB1221" s="107"/>
      <c r="CC1221" s="107"/>
      <c r="CD1221" s="107"/>
      <c r="CE1221" s="107"/>
      <c r="CF1221" s="107"/>
      <c r="CG1221" s="107"/>
      <c r="CH1221" s="107"/>
      <c r="CI1221" s="107"/>
      <c r="CJ1221" s="107"/>
      <c r="CK1221" s="107"/>
      <c r="CL1221" s="107"/>
      <c r="CM1221" s="107"/>
      <c r="CN1221" s="107"/>
      <c r="CO1221" s="107"/>
      <c r="CP1221" s="107"/>
      <c r="CQ1221" s="107"/>
      <c r="CR1221" s="107"/>
      <c r="CS1221" s="107"/>
      <c r="CT1221" s="107"/>
      <c r="CU1221" s="107"/>
      <c r="CV1221" s="107"/>
    </row>
    <row r="1222" customFormat="false" ht="14.9" hidden="false" customHeight="false" outlineLevel="0" collapsed="false">
      <c r="A1222" s="74" t="n">
        <f aca="false">MONTH(B1222)</f>
        <v>11</v>
      </c>
      <c r="B1222" s="135" t="n">
        <v>44513</v>
      </c>
      <c r="C1222" s="128" t="s">
        <v>70</v>
      </c>
      <c r="D1222" s="77" t="str">
        <f aca="false">IFERROR(VLOOKUP(E:E,'Item Data Support Sheet'!A:O,7,0),"")</f>
        <v>NIPPLE MOLDED</v>
      </c>
      <c r="E1222" s="80" t="s">
        <v>661</v>
      </c>
      <c r="F1222" s="122" t="s">
        <v>137</v>
      </c>
      <c r="G1222" s="137" t="s">
        <v>138</v>
      </c>
      <c r="H1222" s="79" t="str">
        <f aca="false">IFERROR(VLOOKUP(E:E,'Item Data Support Sheet'!A:O,2,0),"")</f>
        <v>NIPPLE S TYPE L SIZE INJECTION</v>
      </c>
      <c r="I1222" s="80" t="s">
        <v>2021</v>
      </c>
      <c r="J1222" s="80" t="s">
        <v>155</v>
      </c>
      <c r="K1222" s="124" t="n">
        <v>8</v>
      </c>
      <c r="L1222" s="124" t="n">
        <v>4815</v>
      </c>
      <c r="M1222" s="83" t="n">
        <v>601.875</v>
      </c>
      <c r="N1222" s="84" t="n">
        <f aca="false">+O1222+Q1222+T1222+U1222</f>
        <v>5375</v>
      </c>
      <c r="O1222" s="85" t="n">
        <v>4900</v>
      </c>
      <c r="P1222" s="86" t="n">
        <v>0</v>
      </c>
      <c r="Q1222" s="86" t="n">
        <v>300</v>
      </c>
      <c r="R1222" s="132" t="n">
        <v>0</v>
      </c>
      <c r="S1222" s="128" t="n">
        <v>0</v>
      </c>
      <c r="T1222" s="132" t="n">
        <v>175</v>
      </c>
      <c r="U1222" s="128" t="n">
        <v>0</v>
      </c>
      <c r="V1222" s="128" t="n">
        <v>1</v>
      </c>
      <c r="W1222" s="90" t="n">
        <f aca="false">IFERROR(O1222/V1222,0)</f>
        <v>4900</v>
      </c>
      <c r="X1222" s="91" t="n">
        <f aca="false">O1222/L1222</f>
        <v>1.01765316718588</v>
      </c>
      <c r="Y1222" s="92" t="str">
        <f aca="false">IFERROR(VLOOKUP(E:E,'Item Data Support Sheet'!A:J,6,0),0)</f>
        <v>Silicon</v>
      </c>
      <c r="Z1222" s="93" t="n">
        <f aca="false">IFERROR(VLOOKUP(E:E,'Item Data Support Sheet'!A:O,4,0),0)</f>
        <v>6.8</v>
      </c>
      <c r="AA1222" s="93" t="n">
        <f aca="false">IFERROR(((N1222)*(Z1222/1000))+P1222,0)</f>
        <v>36.55</v>
      </c>
      <c r="AB1222" s="94" t="n">
        <f aca="false">IFERROR((O1222*(Z1222/1000)/(AA1222))," ")</f>
        <v>0.911627906976744</v>
      </c>
      <c r="AC1222" s="95" t="n">
        <f aca="false">IFERROR((T1222)/((T1222)+O1222),0)</f>
        <v>0.0344827586206897</v>
      </c>
      <c r="AD1222" s="96" t="n">
        <f aca="false">IFERROR(Q1222/(Q1222+N1222),0)</f>
        <v>0.052863436123348</v>
      </c>
      <c r="AE1222" s="91" t="n">
        <f aca="false">(N1222-T1222)/N1222</f>
        <v>0.967441860465116</v>
      </c>
      <c r="AF1222" s="97" t="n">
        <f aca="false">BR1222</f>
        <v>0</v>
      </c>
      <c r="AG1222" s="98" t="n">
        <f aca="false">K1222-AF1222</f>
        <v>8</v>
      </c>
      <c r="AH1222" s="99" t="n">
        <f aca="false">IFERROR(AG1222/K1222," ")</f>
        <v>1</v>
      </c>
      <c r="AI1222" s="100" t="n">
        <f aca="false">IFERROR(O1222/K1222,0)</f>
        <v>612.5</v>
      </c>
      <c r="AJ1222" s="101" t="n">
        <f aca="false">VLOOKUP(D1222,'Standard Cycle time'!C:D,2,0)</f>
        <v>5.25</v>
      </c>
      <c r="AK1222" s="101" t="n">
        <f aca="false">AG1222*V1222*3600/O1222</f>
        <v>5.87755102040816</v>
      </c>
      <c r="AL1222" s="102" t="n">
        <f aca="false">AJ1222/AK1222</f>
        <v>0.893229166666667</v>
      </c>
      <c r="AM1222" s="99" t="n">
        <f aca="false">AE1222*AL1222*AH1222</f>
        <v>0.864147286821705</v>
      </c>
      <c r="AN1222" s="103" t="n">
        <v>0.864147286821705</v>
      </c>
      <c r="AO1222" s="112"/>
      <c r="AP1222" s="105" t="n">
        <v>0</v>
      </c>
      <c r="AQ1222" s="105" t="n">
        <v>0</v>
      </c>
      <c r="AR1222" s="105" t="n">
        <v>0</v>
      </c>
      <c r="AS1222" s="105" t="n">
        <v>0</v>
      </c>
      <c r="AT1222" s="105" t="n">
        <v>0</v>
      </c>
      <c r="AU1222" s="105" t="n">
        <v>0</v>
      </c>
      <c r="AV1222" s="105" t="n">
        <v>0</v>
      </c>
      <c r="AW1222" s="105" t="n">
        <v>0</v>
      </c>
      <c r="AX1222" s="105" t="n">
        <v>0</v>
      </c>
      <c r="AY1222" s="105" t="n">
        <v>0</v>
      </c>
      <c r="AZ1222" s="105" t="n">
        <v>0</v>
      </c>
      <c r="BA1222" s="105" t="n">
        <v>0</v>
      </c>
      <c r="BB1222" s="105" t="n">
        <v>0</v>
      </c>
      <c r="BC1222" s="105" t="n">
        <v>0</v>
      </c>
      <c r="BD1222" s="105" t="n">
        <v>0</v>
      </c>
      <c r="BE1222" s="105" t="n">
        <v>0</v>
      </c>
      <c r="BF1222" s="105" t="n">
        <v>0</v>
      </c>
      <c r="BG1222" s="105" t="n">
        <v>0</v>
      </c>
      <c r="BH1222" s="105" t="n">
        <v>0</v>
      </c>
      <c r="BI1222" s="105" t="n">
        <v>0</v>
      </c>
      <c r="BJ1222" s="105" t="n">
        <v>0</v>
      </c>
      <c r="BK1222" s="105" t="n">
        <v>0</v>
      </c>
      <c r="BL1222" s="105" t="n">
        <v>0</v>
      </c>
      <c r="BM1222" s="105" t="n">
        <v>0</v>
      </c>
      <c r="BN1222" s="105" t="n">
        <v>0</v>
      </c>
      <c r="BO1222" s="105" t="n">
        <v>0</v>
      </c>
      <c r="BP1222" s="105" t="n">
        <v>0</v>
      </c>
      <c r="BQ1222" s="105" t="n">
        <v>0</v>
      </c>
      <c r="BR1222" s="106" t="n">
        <v>0</v>
      </c>
      <c r="BS1222" s="106" t="n">
        <v>0</v>
      </c>
      <c r="BT1222" s="107"/>
      <c r="BU1222" s="107"/>
      <c r="BV1222" s="107"/>
      <c r="BW1222" s="107"/>
      <c r="BX1222" s="107"/>
      <c r="BY1222" s="107"/>
      <c r="BZ1222" s="107"/>
      <c r="CA1222" s="107"/>
      <c r="CB1222" s="107"/>
      <c r="CC1222" s="107"/>
      <c r="CD1222" s="107"/>
      <c r="CE1222" s="107"/>
      <c r="CF1222" s="107"/>
      <c r="CG1222" s="107"/>
      <c r="CH1222" s="107"/>
      <c r="CI1222" s="107"/>
      <c r="CJ1222" s="107"/>
      <c r="CK1222" s="107"/>
      <c r="CL1222" s="107"/>
      <c r="CM1222" s="107"/>
      <c r="CN1222" s="107"/>
      <c r="CO1222" s="107"/>
      <c r="CP1222" s="107"/>
      <c r="CQ1222" s="107"/>
      <c r="CR1222" s="107"/>
      <c r="CS1222" s="107"/>
      <c r="CT1222" s="107"/>
      <c r="CU1222" s="107"/>
      <c r="CV1222" s="107"/>
    </row>
    <row r="1223" customFormat="false" ht="14.9" hidden="false" customHeight="false" outlineLevel="0" collapsed="false">
      <c r="A1223" s="74" t="n">
        <f aca="false">MONTH(B1223)</f>
        <v>11</v>
      </c>
      <c r="B1223" s="135" t="n">
        <v>44513</v>
      </c>
      <c r="C1223" s="128" t="s">
        <v>70</v>
      </c>
      <c r="D1223" s="77" t="str">
        <f aca="false">IFERROR(VLOOKUP(E:E,'Item Data Support Sheet'!A:O,7,0),"")</f>
        <v>HOOD MOLDED</v>
      </c>
      <c r="E1223" s="80" t="s">
        <v>529</v>
      </c>
      <c r="F1223" s="122"/>
      <c r="G1223" s="137" t="s">
        <v>740</v>
      </c>
      <c r="H1223" s="79" t="str">
        <f aca="false">IFERROR(VLOOKUP(E:E,'Item Data Support Sheet'!A:O,2,0),"")</f>
        <v>HOOD S TYPE MOLDED</v>
      </c>
      <c r="I1223" s="80" t="s">
        <v>2022</v>
      </c>
      <c r="J1223" s="80" t="s">
        <v>155</v>
      </c>
      <c r="K1223" s="124" t="n">
        <v>8</v>
      </c>
      <c r="L1223" s="124" t="n">
        <v>4137</v>
      </c>
      <c r="M1223" s="83" t="n">
        <v>517.125</v>
      </c>
      <c r="N1223" s="84" t="n">
        <f aca="false">+O1223+Q1223+T1223+U1223</f>
        <v>5002</v>
      </c>
      <c r="O1223" s="85" t="n">
        <v>5000</v>
      </c>
      <c r="P1223" s="86" t="n">
        <v>0</v>
      </c>
      <c r="Q1223" s="86" t="n">
        <v>0</v>
      </c>
      <c r="R1223" s="132" t="n">
        <v>0</v>
      </c>
      <c r="S1223" s="128" t="n">
        <v>0</v>
      </c>
      <c r="T1223" s="132" t="n">
        <v>2</v>
      </c>
      <c r="U1223" s="128" t="n">
        <v>0</v>
      </c>
      <c r="V1223" s="128" t="n">
        <v>1</v>
      </c>
      <c r="W1223" s="90" t="n">
        <f aca="false">IFERROR(O1223/V1223,0)</f>
        <v>5000</v>
      </c>
      <c r="X1223" s="91" t="n">
        <f aca="false">O1223/L1223</f>
        <v>1.20860526951898</v>
      </c>
      <c r="Y1223" s="92" t="str">
        <f aca="false">IFERROR(VLOOKUP(E:E,'Item Data Support Sheet'!A:J,6,0),0)</f>
        <v>HMC</v>
      </c>
      <c r="Z1223" s="93" t="n">
        <f aca="false">IFERROR(VLOOKUP(E:E,'Item Data Support Sheet'!A:O,4,0),0)</f>
        <v>8.6</v>
      </c>
      <c r="AA1223" s="93" t="n">
        <f aca="false">IFERROR(((N1223)*(Z1223/1000))+P1223,0)</f>
        <v>43.0172</v>
      </c>
      <c r="AB1223" s="94" t="n">
        <f aca="false">IFERROR((O1223*(Z1223/1000)/(AA1223))," ")</f>
        <v>0.999600159936026</v>
      </c>
      <c r="AC1223" s="95" t="n">
        <f aca="false">IFERROR((T1223)/((T1223)+O1223),0)</f>
        <v>0.00039984006397441</v>
      </c>
      <c r="AD1223" s="96" t="n">
        <f aca="false">IFERROR(Q1223/(Q1223+N1223),0)</f>
        <v>0</v>
      </c>
      <c r="AE1223" s="91" t="n">
        <f aca="false">(N1223-T1223)/N1223</f>
        <v>0.999600159936026</v>
      </c>
      <c r="AF1223" s="97" t="n">
        <f aca="false">BR1223</f>
        <v>0</v>
      </c>
      <c r="AG1223" s="98" t="n">
        <f aca="false">K1223-AF1223</f>
        <v>8</v>
      </c>
      <c r="AH1223" s="99" t="n">
        <f aca="false">IFERROR(AG1223/K1223," ")</f>
        <v>1</v>
      </c>
      <c r="AI1223" s="100" t="n">
        <f aca="false">IFERROR(O1223/K1223,0)</f>
        <v>625</v>
      </c>
      <c r="AJ1223" s="101" t="n">
        <f aca="false">VLOOKUP(D1223,'Standard Cycle time'!C:D,2,0)</f>
        <v>6</v>
      </c>
      <c r="AK1223" s="101" t="n">
        <f aca="false">AG1223*V1223*3600/O1223</f>
        <v>5.76</v>
      </c>
      <c r="AL1223" s="102" t="n">
        <f aca="false">AJ1223/AK1223</f>
        <v>1.04166666666667</v>
      </c>
      <c r="AM1223" s="99" t="n">
        <f aca="false">AE1223*AL1223*AH1223</f>
        <v>1.04125016660003</v>
      </c>
      <c r="AN1223" s="103" t="n">
        <v>1.04125016660003</v>
      </c>
      <c r="AO1223" s="112"/>
      <c r="AP1223" s="105" t="n">
        <v>0</v>
      </c>
      <c r="AQ1223" s="105" t="n">
        <v>0</v>
      </c>
      <c r="AR1223" s="105" t="n">
        <v>0</v>
      </c>
      <c r="AS1223" s="105" t="n">
        <v>0</v>
      </c>
      <c r="AT1223" s="105" t="n">
        <v>0</v>
      </c>
      <c r="AU1223" s="105" t="n">
        <v>0</v>
      </c>
      <c r="AV1223" s="105" t="n">
        <v>0</v>
      </c>
      <c r="AW1223" s="105" t="n">
        <v>0</v>
      </c>
      <c r="AX1223" s="105" t="n">
        <v>0</v>
      </c>
      <c r="AY1223" s="105" t="n">
        <v>0</v>
      </c>
      <c r="AZ1223" s="105" t="n">
        <v>0</v>
      </c>
      <c r="BA1223" s="105" t="n">
        <v>0</v>
      </c>
      <c r="BB1223" s="105" t="n">
        <v>0</v>
      </c>
      <c r="BC1223" s="105" t="n">
        <v>0</v>
      </c>
      <c r="BD1223" s="105" t="n">
        <v>0</v>
      </c>
      <c r="BE1223" s="105" t="n">
        <v>0</v>
      </c>
      <c r="BF1223" s="105" t="n">
        <v>0</v>
      </c>
      <c r="BG1223" s="105" t="n">
        <v>0</v>
      </c>
      <c r="BH1223" s="105" t="n">
        <v>0</v>
      </c>
      <c r="BI1223" s="105" t="n">
        <v>0</v>
      </c>
      <c r="BJ1223" s="105" t="n">
        <v>0</v>
      </c>
      <c r="BK1223" s="105" t="n">
        <v>0</v>
      </c>
      <c r="BL1223" s="105" t="n">
        <v>0</v>
      </c>
      <c r="BM1223" s="105" t="n">
        <v>0</v>
      </c>
      <c r="BN1223" s="105" t="n">
        <v>0</v>
      </c>
      <c r="BO1223" s="105" t="n">
        <v>0</v>
      </c>
      <c r="BP1223" s="105" t="n">
        <v>0</v>
      </c>
      <c r="BQ1223" s="105" t="n">
        <v>0</v>
      </c>
      <c r="BR1223" s="106" t="n">
        <v>0</v>
      </c>
      <c r="BS1223" s="106" t="n">
        <v>0</v>
      </c>
      <c r="BT1223" s="107"/>
      <c r="BU1223" s="107"/>
      <c r="BV1223" s="107"/>
      <c r="BW1223" s="107"/>
      <c r="BX1223" s="107"/>
      <c r="BY1223" s="107"/>
      <c r="BZ1223" s="107"/>
      <c r="CA1223" s="107"/>
      <c r="CB1223" s="107"/>
      <c r="CC1223" s="107"/>
      <c r="CD1223" s="107"/>
      <c r="CE1223" s="107"/>
      <c r="CF1223" s="107"/>
      <c r="CG1223" s="107"/>
      <c r="CH1223" s="107"/>
      <c r="CI1223" s="107"/>
      <c r="CJ1223" s="107"/>
      <c r="CK1223" s="107"/>
      <c r="CL1223" s="107"/>
      <c r="CM1223" s="107"/>
      <c r="CN1223" s="107"/>
      <c r="CO1223" s="107"/>
      <c r="CP1223" s="107"/>
      <c r="CQ1223" s="107"/>
      <c r="CR1223" s="107"/>
      <c r="CS1223" s="107"/>
      <c r="CT1223" s="107"/>
      <c r="CU1223" s="107"/>
      <c r="CV1223" s="107"/>
    </row>
    <row r="1224" customFormat="false" ht="14.9" hidden="false" customHeight="false" outlineLevel="0" collapsed="false">
      <c r="A1224" s="74" t="n">
        <f aca="false">MONTH(B1224)</f>
        <v>11</v>
      </c>
      <c r="B1224" s="135" t="n">
        <v>44513</v>
      </c>
      <c r="C1224" s="128" t="s">
        <v>70</v>
      </c>
      <c r="D1224" s="77" t="str">
        <f aca="false">IFERROR(VLOOKUP(E:E,'Item Data Support Sheet'!A:O,7,0),"")</f>
        <v>BOTTLE PRINTED</v>
      </c>
      <c r="E1224" s="80" t="s">
        <v>65</v>
      </c>
      <c r="F1224" s="122"/>
      <c r="G1224" s="137"/>
      <c r="H1224" s="79" t="str">
        <f aca="false">IFERROR(VLOOKUP(E:E,'Item Data Support Sheet'!A:O,2,0),"")</f>
        <v>KPP 240 ML BOTTLE PRINTED</v>
      </c>
      <c r="I1224" s="80" t="s">
        <v>2023</v>
      </c>
      <c r="J1224" s="80" t="s">
        <v>155</v>
      </c>
      <c r="K1224" s="124" t="n">
        <v>8</v>
      </c>
      <c r="L1224" s="124" t="n">
        <v>5100</v>
      </c>
      <c r="M1224" s="83" t="n">
        <v>637.5</v>
      </c>
      <c r="N1224" s="84" t="n">
        <f aca="false">+O1224+Q1224+T1224+U1224</f>
        <v>4924</v>
      </c>
      <c r="O1224" s="85" t="n">
        <v>4860</v>
      </c>
      <c r="P1224" s="86" t="n">
        <v>0</v>
      </c>
      <c r="Q1224" s="86" t="n">
        <v>0</v>
      </c>
      <c r="R1224" s="132" t="n">
        <v>36</v>
      </c>
      <c r="S1224" s="128" t="n">
        <v>0</v>
      </c>
      <c r="T1224" s="132" t="n">
        <v>64</v>
      </c>
      <c r="U1224" s="128" t="n">
        <v>0</v>
      </c>
      <c r="V1224" s="128" t="n">
        <v>5</v>
      </c>
      <c r="W1224" s="90" t="n">
        <f aca="false">IFERROR(O1224/V1224,0)</f>
        <v>972</v>
      </c>
      <c r="X1224" s="91" t="n">
        <f aca="false">O1224/L1224</f>
        <v>0.952941176470588</v>
      </c>
      <c r="Y1224" s="92" t="str">
        <f aca="false">IFERROR(VLOOKUP(E:E,'Item Data Support Sheet'!A:J,6,0),0)</f>
        <v>FO003</v>
      </c>
      <c r="Z1224" s="93" t="n">
        <f aca="false">IFERROR(VLOOKUP(E:E,'Item Data Support Sheet'!A:O,4,0),0)</f>
        <v>0</v>
      </c>
      <c r="AA1224" s="93" t="n">
        <f aca="false">IFERROR(((N1224)*(Z1224/1000))+P1224,0)</f>
        <v>0</v>
      </c>
      <c r="AB1224" s="94" t="str">
        <f aca="false">IFERROR((O1224*(Z1224/1000)/(AA1224))," ")</f>
        <v> </v>
      </c>
      <c r="AC1224" s="95" t="n">
        <f aca="false">IFERROR((T1224)/((T1224)+O1224),0)</f>
        <v>0.0129975629569456</v>
      </c>
      <c r="AD1224" s="96" t="n">
        <f aca="false">IFERROR(Q1224/(Q1224+N1224),0)</f>
        <v>0</v>
      </c>
      <c r="AE1224" s="91" t="n">
        <f aca="false">(N1224-T1224)/N1224</f>
        <v>0.987002437043054</v>
      </c>
      <c r="AF1224" s="97" t="n">
        <f aca="false">BR1224</f>
        <v>0.666666666666667</v>
      </c>
      <c r="AG1224" s="98" t="n">
        <f aca="false">K1224-AF1224</f>
        <v>7.33333333333333</v>
      </c>
      <c r="AH1224" s="99" t="n">
        <f aca="false">IFERROR(AG1224/K1224," ")</f>
        <v>0.916666666666667</v>
      </c>
      <c r="AI1224" s="100" t="n">
        <f aca="false">IFERROR(O1224/K1224,0)</f>
        <v>607.5</v>
      </c>
      <c r="AJ1224" s="101" t="n">
        <f aca="false">VLOOKUP(D1224,'Standard Cycle time'!C:D,2,0)</f>
        <v>32.4</v>
      </c>
      <c r="AK1224" s="101" t="n">
        <f aca="false">AG1224*V1224*3600/O1224</f>
        <v>27.1604938271605</v>
      </c>
      <c r="AL1224" s="102" t="n">
        <f aca="false">AJ1224/AK1224</f>
        <v>1.19290909090909</v>
      </c>
      <c r="AM1224" s="99" t="n">
        <f aca="false">AE1224*AL1224*AH1224</f>
        <v>1.07928716490658</v>
      </c>
      <c r="AN1224" s="103" t="n">
        <v>1.07928716490658</v>
      </c>
      <c r="AO1224" s="112"/>
      <c r="AP1224" s="105" t="n">
        <v>40</v>
      </c>
      <c r="AQ1224" s="105" t="n">
        <v>0</v>
      </c>
      <c r="AR1224" s="105" t="n">
        <v>0</v>
      </c>
      <c r="AS1224" s="105" t="n">
        <v>0</v>
      </c>
      <c r="AT1224" s="105" t="n">
        <v>0</v>
      </c>
      <c r="AU1224" s="105" t="n">
        <v>0</v>
      </c>
      <c r="AV1224" s="105" t="n">
        <v>0</v>
      </c>
      <c r="AW1224" s="105" t="n">
        <v>0</v>
      </c>
      <c r="AX1224" s="105" t="n">
        <v>0</v>
      </c>
      <c r="AY1224" s="105" t="n">
        <v>0</v>
      </c>
      <c r="AZ1224" s="105" t="n">
        <v>0</v>
      </c>
      <c r="BA1224" s="105" t="n">
        <v>0</v>
      </c>
      <c r="BB1224" s="105" t="n">
        <v>0</v>
      </c>
      <c r="BC1224" s="105" t="n">
        <v>0</v>
      </c>
      <c r="BD1224" s="105" t="n">
        <v>0</v>
      </c>
      <c r="BE1224" s="105" t="n">
        <v>0</v>
      </c>
      <c r="BF1224" s="105" t="n">
        <v>0</v>
      </c>
      <c r="BG1224" s="105" t="n">
        <v>0</v>
      </c>
      <c r="BH1224" s="105" t="n">
        <v>0</v>
      </c>
      <c r="BI1224" s="105" t="n">
        <v>0</v>
      </c>
      <c r="BJ1224" s="105" t="n">
        <v>0</v>
      </c>
      <c r="BK1224" s="105" t="n">
        <v>0</v>
      </c>
      <c r="BL1224" s="105" t="n">
        <v>0</v>
      </c>
      <c r="BM1224" s="105" t="n">
        <v>0</v>
      </c>
      <c r="BN1224" s="105" t="n">
        <v>0</v>
      </c>
      <c r="BO1224" s="105" t="n">
        <v>0</v>
      </c>
      <c r="BP1224" s="105" t="n">
        <v>0</v>
      </c>
      <c r="BQ1224" s="105" t="n">
        <v>0</v>
      </c>
      <c r="BR1224" s="106" t="n">
        <v>0.666666666666667</v>
      </c>
      <c r="BS1224" s="106" t="n">
        <v>0.666666666666667</v>
      </c>
      <c r="BT1224" s="107"/>
      <c r="BU1224" s="107"/>
      <c r="BV1224" s="107"/>
      <c r="BW1224" s="107"/>
      <c r="BX1224" s="107"/>
      <c r="BY1224" s="107"/>
      <c r="BZ1224" s="107"/>
      <c r="CA1224" s="107"/>
      <c r="CB1224" s="107"/>
      <c r="CC1224" s="107"/>
      <c r="CD1224" s="107"/>
      <c r="CE1224" s="107"/>
      <c r="CF1224" s="107"/>
      <c r="CG1224" s="107"/>
      <c r="CH1224" s="107"/>
      <c r="CI1224" s="107"/>
      <c r="CJ1224" s="107"/>
      <c r="CK1224" s="107"/>
      <c r="CL1224" s="107"/>
      <c r="CM1224" s="107"/>
      <c r="CN1224" s="107"/>
      <c r="CO1224" s="107"/>
      <c r="CP1224" s="107"/>
      <c r="CQ1224" s="107"/>
      <c r="CR1224" s="107"/>
      <c r="CS1224" s="107"/>
      <c r="CT1224" s="107"/>
      <c r="CU1224" s="107"/>
      <c r="CV1224" s="107"/>
    </row>
    <row r="1225" customFormat="false" ht="14.9" hidden="false" customHeight="false" outlineLevel="0" collapsed="false">
      <c r="A1225" s="74" t="n">
        <f aca="false">MONTH(B1225)</f>
        <v>11</v>
      </c>
      <c r="B1225" s="135" t="n">
        <v>44513</v>
      </c>
      <c r="C1225" s="128" t="s">
        <v>152</v>
      </c>
      <c r="D1225" s="77" t="str">
        <f aca="false">IFERROR(VLOOKUP(E:E,'Item Data Support Sheet'!A:O,7,0),"")</f>
        <v>NIPPLE MOLDED</v>
      </c>
      <c r="E1225" s="80" t="s">
        <v>661</v>
      </c>
      <c r="F1225" s="122" t="s">
        <v>137</v>
      </c>
      <c r="G1225" s="137" t="s">
        <v>138</v>
      </c>
      <c r="H1225" s="79" t="str">
        <f aca="false">IFERROR(VLOOKUP(E:E,'Item Data Support Sheet'!A:O,2,0),"")</f>
        <v>NIPPLE S TYPE L SIZE INJECTION</v>
      </c>
      <c r="I1225" s="80" t="s">
        <v>2024</v>
      </c>
      <c r="J1225" s="80" t="s">
        <v>1913</v>
      </c>
      <c r="K1225" s="124" t="n">
        <v>8</v>
      </c>
      <c r="L1225" s="124" t="n">
        <v>4815</v>
      </c>
      <c r="M1225" s="83" t="n">
        <v>601.875</v>
      </c>
      <c r="N1225" s="84" t="n">
        <f aca="false">+O1225+Q1225+T1225+U1225</f>
        <v>4082</v>
      </c>
      <c r="O1225" s="85" t="n">
        <v>4000</v>
      </c>
      <c r="P1225" s="86" t="n">
        <v>0.4</v>
      </c>
      <c r="Q1225" s="86" t="n">
        <v>22</v>
      </c>
      <c r="R1225" s="132" t="n">
        <v>0</v>
      </c>
      <c r="S1225" s="128" t="n">
        <v>0</v>
      </c>
      <c r="T1225" s="132" t="n">
        <v>60</v>
      </c>
      <c r="U1225" s="128" t="n">
        <v>0</v>
      </c>
      <c r="V1225" s="128" t="n">
        <v>1</v>
      </c>
      <c r="W1225" s="90" t="n">
        <f aca="false">IFERROR(O1225/V1225,0)</f>
        <v>4000</v>
      </c>
      <c r="X1225" s="91" t="n">
        <f aca="false">O1225/L1225</f>
        <v>0.83073727933541</v>
      </c>
      <c r="Y1225" s="92" t="str">
        <f aca="false">IFERROR(VLOOKUP(E:E,'Item Data Support Sheet'!A:J,6,0),0)</f>
        <v>Silicon</v>
      </c>
      <c r="Z1225" s="93" t="n">
        <f aca="false">IFERROR(VLOOKUP(E:E,'Item Data Support Sheet'!A:O,4,0),0)</f>
        <v>6.8</v>
      </c>
      <c r="AA1225" s="93" t="n">
        <f aca="false">IFERROR(((N1225)*(Z1225/1000))+P1225,0)</f>
        <v>28.1576</v>
      </c>
      <c r="AB1225" s="94" t="n">
        <f aca="false">IFERROR((O1225*(Z1225/1000)/(AA1225))," ")</f>
        <v>0.965991419723272</v>
      </c>
      <c r="AC1225" s="95" t="n">
        <f aca="false">IFERROR((T1225)/((T1225)+O1225),0)</f>
        <v>0.0147783251231527</v>
      </c>
      <c r="AD1225" s="96" t="n">
        <f aca="false">IFERROR(Q1225/(Q1225+N1225),0)</f>
        <v>0.00536062378167641</v>
      </c>
      <c r="AE1225" s="91" t="n">
        <f aca="false">(N1225-T1225)/N1225</f>
        <v>0.985301322880941</v>
      </c>
      <c r="AF1225" s="97" t="n">
        <f aca="false">BR1225</f>
        <v>0</v>
      </c>
      <c r="AG1225" s="98" t="n">
        <f aca="false">K1225-AF1225</f>
        <v>8</v>
      </c>
      <c r="AH1225" s="99" t="n">
        <f aca="false">IFERROR(AG1225/K1225," ")</f>
        <v>1</v>
      </c>
      <c r="AI1225" s="100" t="n">
        <f aca="false">IFERROR(O1225/K1225,0)</f>
        <v>500</v>
      </c>
      <c r="AJ1225" s="101" t="n">
        <f aca="false">VLOOKUP(D1225,'Standard Cycle time'!C:D,2,0)</f>
        <v>5.25</v>
      </c>
      <c r="AK1225" s="101" t="n">
        <f aca="false">AG1225*V1225*3600/O1225</f>
        <v>7.2</v>
      </c>
      <c r="AL1225" s="102" t="n">
        <f aca="false">AJ1225/AK1225</f>
        <v>0.729166666666667</v>
      </c>
      <c r="AM1225" s="99" t="n">
        <f aca="false">AE1225*AL1225*AH1225</f>
        <v>0.718448881267353</v>
      </c>
      <c r="AN1225" s="103" t="n">
        <v>0.718448881267353</v>
      </c>
      <c r="AO1225" s="112"/>
      <c r="AP1225" s="105" t="n">
        <v>0</v>
      </c>
      <c r="AQ1225" s="105" t="n">
        <v>0</v>
      </c>
      <c r="AR1225" s="105" t="n">
        <v>0</v>
      </c>
      <c r="AS1225" s="105" t="n">
        <v>0</v>
      </c>
      <c r="AT1225" s="105" t="n">
        <v>0</v>
      </c>
      <c r="AU1225" s="105" t="n">
        <v>0</v>
      </c>
      <c r="AV1225" s="105" t="n">
        <v>0</v>
      </c>
      <c r="AW1225" s="105" t="n">
        <v>0</v>
      </c>
      <c r="AX1225" s="105" t="n">
        <v>0</v>
      </c>
      <c r="AY1225" s="105" t="n">
        <v>0</v>
      </c>
      <c r="AZ1225" s="105" t="n">
        <v>0</v>
      </c>
      <c r="BA1225" s="105" t="n">
        <v>0</v>
      </c>
      <c r="BB1225" s="105" t="n">
        <v>0</v>
      </c>
      <c r="BC1225" s="105" t="n">
        <v>0</v>
      </c>
      <c r="BD1225" s="105" t="n">
        <v>0</v>
      </c>
      <c r="BE1225" s="105" t="n">
        <v>0</v>
      </c>
      <c r="BF1225" s="105" t="n">
        <v>0</v>
      </c>
      <c r="BG1225" s="105" t="n">
        <v>0</v>
      </c>
      <c r="BH1225" s="105" t="n">
        <v>0</v>
      </c>
      <c r="BI1225" s="105" t="n">
        <v>0</v>
      </c>
      <c r="BJ1225" s="105" t="n">
        <v>0</v>
      </c>
      <c r="BK1225" s="105" t="n">
        <v>0</v>
      </c>
      <c r="BL1225" s="105" t="n">
        <v>0</v>
      </c>
      <c r="BM1225" s="105" t="n">
        <v>0</v>
      </c>
      <c r="BN1225" s="105" t="n">
        <v>0</v>
      </c>
      <c r="BO1225" s="105" t="n">
        <v>0</v>
      </c>
      <c r="BP1225" s="105" t="n">
        <v>0</v>
      </c>
      <c r="BQ1225" s="105" t="n">
        <v>0</v>
      </c>
      <c r="BR1225" s="106" t="n">
        <v>0</v>
      </c>
      <c r="BS1225" s="106" t="n">
        <v>0</v>
      </c>
      <c r="BT1225" s="107"/>
      <c r="BU1225" s="107"/>
      <c r="BV1225" s="107"/>
      <c r="BW1225" s="107"/>
      <c r="BX1225" s="107"/>
      <c r="BY1225" s="107"/>
      <c r="BZ1225" s="107"/>
      <c r="CA1225" s="107"/>
      <c r="CB1225" s="107"/>
      <c r="CC1225" s="107"/>
      <c r="CD1225" s="107"/>
      <c r="CE1225" s="107"/>
      <c r="CF1225" s="107"/>
      <c r="CG1225" s="107"/>
      <c r="CH1225" s="107"/>
      <c r="CI1225" s="107"/>
      <c r="CJ1225" s="107"/>
      <c r="CK1225" s="107"/>
      <c r="CL1225" s="107"/>
      <c r="CM1225" s="107"/>
      <c r="CN1225" s="107"/>
      <c r="CO1225" s="107"/>
      <c r="CP1225" s="107"/>
      <c r="CQ1225" s="107"/>
      <c r="CR1225" s="107"/>
      <c r="CS1225" s="107"/>
      <c r="CT1225" s="107"/>
      <c r="CU1225" s="107"/>
      <c r="CV1225" s="107"/>
    </row>
    <row r="1226" customFormat="false" ht="14.9" hidden="false" customHeight="false" outlineLevel="0" collapsed="false">
      <c r="A1226" s="74" t="n">
        <f aca="false">MONTH(B1226)</f>
        <v>11</v>
      </c>
      <c r="B1226" s="135" t="n">
        <v>44513</v>
      </c>
      <c r="C1226" s="128" t="s">
        <v>152</v>
      </c>
      <c r="D1226" s="77" t="str">
        <f aca="false">IFERROR(VLOOKUP(E:E,'Item Data Support Sheet'!A:O,7,0),"")</f>
        <v>HOOD MOLDED</v>
      </c>
      <c r="E1226" s="80" t="s">
        <v>529</v>
      </c>
      <c r="F1226" s="122"/>
      <c r="G1226" s="137" t="s">
        <v>740</v>
      </c>
      <c r="H1226" s="79" t="str">
        <f aca="false">IFERROR(VLOOKUP(E:E,'Item Data Support Sheet'!A:O,2,0),"")</f>
        <v>HOOD S TYPE MOLDED</v>
      </c>
      <c r="I1226" s="80" t="s">
        <v>2025</v>
      </c>
      <c r="J1226" s="80" t="s">
        <v>1913</v>
      </c>
      <c r="K1226" s="124" t="n">
        <v>8</v>
      </c>
      <c r="L1226" s="124" t="n">
        <v>4137</v>
      </c>
      <c r="M1226" s="83" t="n">
        <v>517.125</v>
      </c>
      <c r="N1226" s="84" t="n">
        <f aca="false">+O1226+Q1226+T1226+U1226</f>
        <v>4813</v>
      </c>
      <c r="O1226" s="85" t="n">
        <v>4800</v>
      </c>
      <c r="P1226" s="86" t="n">
        <v>0</v>
      </c>
      <c r="Q1226" s="86" t="n">
        <v>0</v>
      </c>
      <c r="R1226" s="132" t="n">
        <v>0</v>
      </c>
      <c r="S1226" s="128" t="n">
        <v>0</v>
      </c>
      <c r="T1226" s="132" t="n">
        <v>5</v>
      </c>
      <c r="U1226" s="128" t="n">
        <v>8</v>
      </c>
      <c r="V1226" s="128" t="n">
        <v>1</v>
      </c>
      <c r="W1226" s="90" t="n">
        <f aca="false">IFERROR(O1226/V1226,0)</f>
        <v>4800</v>
      </c>
      <c r="X1226" s="91" t="n">
        <f aca="false">O1226/L1226</f>
        <v>1.16026105873822</v>
      </c>
      <c r="Y1226" s="92" t="str">
        <f aca="false">IFERROR(VLOOKUP(E:E,'Item Data Support Sheet'!A:J,6,0),0)</f>
        <v>HMC</v>
      </c>
      <c r="Z1226" s="93" t="n">
        <f aca="false">IFERROR(VLOOKUP(E:E,'Item Data Support Sheet'!A:O,4,0),0)</f>
        <v>8.6</v>
      </c>
      <c r="AA1226" s="93" t="n">
        <f aca="false">IFERROR(((N1226)*(Z1226/1000))+P1226,0)</f>
        <v>41.3918</v>
      </c>
      <c r="AB1226" s="94" t="n">
        <f aca="false">IFERROR((O1226*(Z1226/1000)/(AA1226))," ")</f>
        <v>0.997298981923956</v>
      </c>
      <c r="AC1226" s="95" t="n">
        <f aca="false">IFERROR((T1226)/((T1226)+O1226),0)</f>
        <v>0.00104058272632674</v>
      </c>
      <c r="AD1226" s="96" t="n">
        <f aca="false">IFERROR(Q1226/(Q1226+N1226),0)</f>
        <v>0</v>
      </c>
      <c r="AE1226" s="91" t="n">
        <f aca="false">(N1226-T1226)/N1226</f>
        <v>0.998961146893829</v>
      </c>
      <c r="AF1226" s="97" t="n">
        <f aca="false">BR1226</f>
        <v>0</v>
      </c>
      <c r="AG1226" s="98" t="n">
        <f aca="false">K1226-AF1226</f>
        <v>8</v>
      </c>
      <c r="AH1226" s="99" t="n">
        <f aca="false">IFERROR(AG1226/K1226," ")</f>
        <v>1</v>
      </c>
      <c r="AI1226" s="100" t="n">
        <f aca="false">IFERROR(O1226/K1226,0)</f>
        <v>600</v>
      </c>
      <c r="AJ1226" s="101" t="n">
        <f aca="false">VLOOKUP(D1226,'Standard Cycle time'!C:D,2,0)</f>
        <v>6</v>
      </c>
      <c r="AK1226" s="101" t="n">
        <f aca="false">AG1226*V1226*3600/O1226</f>
        <v>6</v>
      </c>
      <c r="AL1226" s="102" t="n">
        <f aca="false">AJ1226/AK1226</f>
        <v>1</v>
      </c>
      <c r="AM1226" s="99" t="n">
        <f aca="false">AE1226*AL1226*AH1226</f>
        <v>0.998961146893829</v>
      </c>
      <c r="AN1226" s="103" t="n">
        <v>0.998961146893829</v>
      </c>
      <c r="AO1226" s="112"/>
      <c r="AP1226" s="105" t="n">
        <v>0</v>
      </c>
      <c r="AQ1226" s="105" t="n">
        <v>0</v>
      </c>
      <c r="AR1226" s="105" t="n">
        <v>0</v>
      </c>
      <c r="AS1226" s="105" t="n">
        <v>0</v>
      </c>
      <c r="AT1226" s="105" t="n">
        <v>0</v>
      </c>
      <c r="AU1226" s="105" t="n">
        <v>0</v>
      </c>
      <c r="AV1226" s="105" t="n">
        <v>0</v>
      </c>
      <c r="AW1226" s="105" t="n">
        <v>0</v>
      </c>
      <c r="AX1226" s="105" t="n">
        <v>0</v>
      </c>
      <c r="AY1226" s="105" t="n">
        <v>0</v>
      </c>
      <c r="AZ1226" s="105" t="n">
        <v>0</v>
      </c>
      <c r="BA1226" s="105" t="n">
        <v>0</v>
      </c>
      <c r="BB1226" s="105" t="n">
        <v>0</v>
      </c>
      <c r="BC1226" s="105" t="n">
        <v>0</v>
      </c>
      <c r="BD1226" s="105" t="n">
        <v>0</v>
      </c>
      <c r="BE1226" s="105" t="n">
        <v>0</v>
      </c>
      <c r="BF1226" s="105" t="n">
        <v>0</v>
      </c>
      <c r="BG1226" s="105" t="n">
        <v>0</v>
      </c>
      <c r="BH1226" s="105" t="n">
        <v>0</v>
      </c>
      <c r="BI1226" s="105" t="n">
        <v>0</v>
      </c>
      <c r="BJ1226" s="105" t="n">
        <v>0</v>
      </c>
      <c r="BK1226" s="105" t="n">
        <v>0</v>
      </c>
      <c r="BL1226" s="105" t="n">
        <v>0</v>
      </c>
      <c r="BM1226" s="105" t="n">
        <v>0</v>
      </c>
      <c r="BN1226" s="105" t="n">
        <v>0</v>
      </c>
      <c r="BO1226" s="105" t="n">
        <v>0</v>
      </c>
      <c r="BP1226" s="105" t="n">
        <v>0</v>
      </c>
      <c r="BQ1226" s="105" t="n">
        <v>0</v>
      </c>
      <c r="BR1226" s="106" t="n">
        <v>0</v>
      </c>
      <c r="BS1226" s="106" t="n">
        <v>0</v>
      </c>
      <c r="BT1226" s="107"/>
      <c r="BU1226" s="107"/>
      <c r="BV1226" s="107"/>
      <c r="BW1226" s="107"/>
      <c r="BX1226" s="107"/>
      <c r="BY1226" s="107"/>
      <c r="BZ1226" s="107"/>
      <c r="CA1226" s="107"/>
      <c r="CB1226" s="107"/>
      <c r="CC1226" s="107"/>
      <c r="CD1226" s="107"/>
      <c r="CE1226" s="107"/>
      <c r="CF1226" s="107"/>
      <c r="CG1226" s="107"/>
      <c r="CH1226" s="107"/>
      <c r="CI1226" s="107"/>
      <c r="CJ1226" s="107"/>
      <c r="CK1226" s="107"/>
      <c r="CL1226" s="107"/>
      <c r="CM1226" s="107"/>
      <c r="CN1226" s="107"/>
      <c r="CO1226" s="107"/>
      <c r="CP1226" s="107"/>
      <c r="CQ1226" s="107"/>
      <c r="CR1226" s="107"/>
      <c r="CS1226" s="107"/>
      <c r="CT1226" s="107"/>
      <c r="CU1226" s="107"/>
      <c r="CV1226" s="107"/>
    </row>
    <row r="1227" customFormat="false" ht="14.9" hidden="false" customHeight="false" outlineLevel="0" collapsed="false">
      <c r="A1227" s="74" t="n">
        <f aca="false">MONTH(B1227)</f>
        <v>11</v>
      </c>
      <c r="B1227" s="135" t="n">
        <v>44515</v>
      </c>
      <c r="C1227" s="128" t="s">
        <v>51</v>
      </c>
      <c r="D1227" s="77" t="str">
        <f aca="false">IFERROR(VLOOKUP(E:E,'Item Data Support Sheet'!A:O,7,0),"")</f>
        <v>NIPPLE MOLDED</v>
      </c>
      <c r="E1227" s="80" t="s">
        <v>661</v>
      </c>
      <c r="F1227" s="122"/>
      <c r="G1227" s="137"/>
      <c r="H1227" s="79" t="str">
        <f aca="false">IFERROR(VLOOKUP(E:E,'Item Data Support Sheet'!A:O,2,0),"")</f>
        <v>NIPPLE S TYPE L SIZE INJECTION</v>
      </c>
      <c r="I1227" s="80" t="s">
        <v>2026</v>
      </c>
      <c r="J1227" s="80" t="s">
        <v>143</v>
      </c>
      <c r="K1227" s="124" t="n">
        <v>8</v>
      </c>
      <c r="L1227" s="124" t="n">
        <v>3600</v>
      </c>
      <c r="M1227" s="83" t="n">
        <v>450</v>
      </c>
      <c r="N1227" s="84" t="n">
        <f aca="false">+O1227+Q1227+T1227+U1227</f>
        <v>4110</v>
      </c>
      <c r="O1227" s="85" t="n">
        <v>4000</v>
      </c>
      <c r="P1227" s="86" t="n">
        <v>0.7</v>
      </c>
      <c r="Q1227" s="86" t="n">
        <v>52</v>
      </c>
      <c r="R1227" s="132" t="n">
        <v>0</v>
      </c>
      <c r="S1227" s="128" t="n">
        <v>0</v>
      </c>
      <c r="T1227" s="132" t="n">
        <v>42</v>
      </c>
      <c r="U1227" s="128" t="n">
        <v>16</v>
      </c>
      <c r="V1227" s="128" t="n">
        <v>1</v>
      </c>
      <c r="W1227" s="90" t="n">
        <f aca="false">IFERROR(O1227/V1227,0)</f>
        <v>4000</v>
      </c>
      <c r="X1227" s="91" t="n">
        <f aca="false">O1227/L1227</f>
        <v>1.11111111111111</v>
      </c>
      <c r="Y1227" s="92" t="str">
        <f aca="false">IFERROR(VLOOKUP(E:E,'Item Data Support Sheet'!A:J,6,0),0)</f>
        <v>Silicon</v>
      </c>
      <c r="Z1227" s="93" t="n">
        <f aca="false">IFERROR(VLOOKUP(E:E,'Item Data Support Sheet'!A:O,4,0),0)</f>
        <v>6.8</v>
      </c>
      <c r="AA1227" s="93" t="n">
        <f aca="false">IFERROR(((N1227)*(Z1227/1000))+P1227,0)</f>
        <v>28.648</v>
      </c>
      <c r="AB1227" s="94" t="n">
        <f aca="false">IFERROR((O1227*(Z1227/1000)/(AA1227))," ")</f>
        <v>0.949455459368891</v>
      </c>
      <c r="AC1227" s="95" t="n">
        <f aca="false">IFERROR((T1227)/((T1227)+O1227),0)</f>
        <v>0.0103908955962395</v>
      </c>
      <c r="AD1227" s="96" t="n">
        <f aca="false">IFERROR(Q1227/(Q1227+N1227),0)</f>
        <v>0.0124939932724652</v>
      </c>
      <c r="AE1227" s="91" t="n">
        <f aca="false">(N1227-T1227)/N1227</f>
        <v>0.98978102189781</v>
      </c>
      <c r="AF1227" s="97" t="n">
        <f aca="false">BR1227</f>
        <v>2.5</v>
      </c>
      <c r="AG1227" s="98" t="n">
        <f aca="false">K1227-AF1227</f>
        <v>5.5</v>
      </c>
      <c r="AH1227" s="99" t="n">
        <f aca="false">IFERROR(AG1227/K1227," ")</f>
        <v>0.6875</v>
      </c>
      <c r="AI1227" s="100" t="n">
        <f aca="false">IFERROR(O1227/K1227,0)</f>
        <v>500</v>
      </c>
      <c r="AJ1227" s="101" t="n">
        <f aca="false">VLOOKUP(D1227,'Standard Cycle time'!C:D,2,0)</f>
        <v>5.25</v>
      </c>
      <c r="AK1227" s="101" t="n">
        <f aca="false">AG1227*V1227*3600/O1227</f>
        <v>4.95</v>
      </c>
      <c r="AL1227" s="102" t="n">
        <f aca="false">AJ1227/AK1227</f>
        <v>1.06060606060606</v>
      </c>
      <c r="AM1227" s="99" t="n">
        <f aca="false">AE1227*AL1227*AH1227</f>
        <v>0.721715328467153</v>
      </c>
      <c r="AN1227" s="103" t="n">
        <v>0.721715328467153</v>
      </c>
      <c r="AO1227" s="112" t="s">
        <v>2027</v>
      </c>
      <c r="AP1227" s="105" t="n">
        <v>0</v>
      </c>
      <c r="AQ1227" s="105" t="n">
        <v>0</v>
      </c>
      <c r="AR1227" s="105" t="n">
        <v>0</v>
      </c>
      <c r="AS1227" s="105" t="n">
        <v>0</v>
      </c>
      <c r="AT1227" s="105" t="n">
        <v>0</v>
      </c>
      <c r="AU1227" s="105" t="n">
        <v>30</v>
      </c>
      <c r="AV1227" s="105" t="n">
        <v>0</v>
      </c>
      <c r="AW1227" s="105" t="n">
        <v>0</v>
      </c>
      <c r="AX1227" s="105" t="n">
        <v>0</v>
      </c>
      <c r="AY1227" s="105" t="n">
        <v>0</v>
      </c>
      <c r="AZ1227" s="105" t="n">
        <v>0</v>
      </c>
      <c r="BA1227" s="105" t="n">
        <v>0</v>
      </c>
      <c r="BB1227" s="105" t="n">
        <v>120</v>
      </c>
      <c r="BC1227" s="105" t="n">
        <v>0</v>
      </c>
      <c r="BD1227" s="105" t="n">
        <v>0</v>
      </c>
      <c r="BE1227" s="105" t="n">
        <v>0</v>
      </c>
      <c r="BF1227" s="105" t="n">
        <v>0</v>
      </c>
      <c r="BG1227" s="105" t="n">
        <v>0</v>
      </c>
      <c r="BH1227" s="105" t="n">
        <v>0</v>
      </c>
      <c r="BI1227" s="105" t="n">
        <v>0</v>
      </c>
      <c r="BJ1227" s="105" t="n">
        <v>0</v>
      </c>
      <c r="BK1227" s="105" t="n">
        <v>0</v>
      </c>
      <c r="BL1227" s="105" t="n">
        <v>0</v>
      </c>
      <c r="BM1227" s="105" t="n">
        <v>0</v>
      </c>
      <c r="BN1227" s="105" t="n">
        <v>0</v>
      </c>
      <c r="BO1227" s="105" t="n">
        <v>0</v>
      </c>
      <c r="BP1227" s="105" t="n">
        <v>0</v>
      </c>
      <c r="BQ1227" s="105" t="n">
        <v>0</v>
      </c>
      <c r="BR1227" s="106" t="n">
        <v>2.5</v>
      </c>
      <c r="BS1227" s="106" t="n">
        <v>2.5</v>
      </c>
      <c r="BT1227" s="107"/>
      <c r="BU1227" s="107"/>
      <c r="BV1227" s="107"/>
      <c r="BW1227" s="107"/>
      <c r="BX1227" s="107"/>
      <c r="BY1227" s="107"/>
      <c r="BZ1227" s="107"/>
      <c r="CA1227" s="107"/>
      <c r="CB1227" s="107"/>
      <c r="CC1227" s="107"/>
      <c r="CD1227" s="107"/>
      <c r="CE1227" s="107"/>
      <c r="CF1227" s="107"/>
      <c r="CG1227" s="107"/>
      <c r="CH1227" s="107"/>
      <c r="CI1227" s="107"/>
      <c r="CJ1227" s="107"/>
      <c r="CK1227" s="107"/>
      <c r="CL1227" s="107"/>
      <c r="CM1227" s="107"/>
      <c r="CN1227" s="107"/>
      <c r="CO1227" s="107"/>
      <c r="CP1227" s="107"/>
      <c r="CQ1227" s="107"/>
      <c r="CR1227" s="107"/>
      <c r="CS1227" s="107"/>
      <c r="CT1227" s="107"/>
      <c r="CU1227" s="107"/>
      <c r="CV1227" s="107"/>
    </row>
    <row r="1228" customFormat="false" ht="14.9" hidden="false" customHeight="false" outlineLevel="0" collapsed="false">
      <c r="A1228" s="74" t="n">
        <f aca="false">MONTH(B1228)</f>
        <v>11</v>
      </c>
      <c r="B1228" s="135" t="n">
        <v>44515</v>
      </c>
      <c r="C1228" s="128" t="s">
        <v>51</v>
      </c>
      <c r="D1228" s="77" t="str">
        <f aca="false">IFERROR(VLOOKUP(E:E,'Item Data Support Sheet'!A:O,7,0),"")</f>
        <v>HOOD MOLDED</v>
      </c>
      <c r="E1228" s="80" t="s">
        <v>529</v>
      </c>
      <c r="F1228" s="122"/>
      <c r="G1228" s="137"/>
      <c r="H1228" s="79" t="str">
        <f aca="false">IFERROR(VLOOKUP(E:E,'Item Data Support Sheet'!A:O,2,0),"")</f>
        <v>HOOD S TYPE MOLDED</v>
      </c>
      <c r="I1228" s="80" t="s">
        <v>2028</v>
      </c>
      <c r="J1228" s="80" t="s">
        <v>143</v>
      </c>
      <c r="K1228" s="124" t="n">
        <v>8</v>
      </c>
      <c r="L1228" s="124" t="n">
        <v>4137</v>
      </c>
      <c r="M1228" s="83" t="n">
        <v>517.125</v>
      </c>
      <c r="N1228" s="84" t="n">
        <f aca="false">+O1228+Q1228+T1228+U1228</f>
        <v>4513</v>
      </c>
      <c r="O1228" s="85" t="n">
        <v>4500</v>
      </c>
      <c r="P1228" s="86" t="n">
        <v>0</v>
      </c>
      <c r="Q1228" s="86" t="n">
        <v>0</v>
      </c>
      <c r="R1228" s="132" t="n">
        <v>0</v>
      </c>
      <c r="S1228" s="128" t="n">
        <v>0</v>
      </c>
      <c r="T1228" s="132" t="n">
        <v>5</v>
      </c>
      <c r="U1228" s="128" t="n">
        <v>8</v>
      </c>
      <c r="V1228" s="128" t="n">
        <v>1</v>
      </c>
      <c r="W1228" s="90" t="n">
        <f aca="false">IFERROR(O1228/V1228,0)</f>
        <v>4500</v>
      </c>
      <c r="X1228" s="91" t="n">
        <f aca="false">O1228/L1228</f>
        <v>1.08774474256708</v>
      </c>
      <c r="Y1228" s="92" t="str">
        <f aca="false">IFERROR(VLOOKUP(E:E,'Item Data Support Sheet'!A:J,6,0),0)</f>
        <v>HMC</v>
      </c>
      <c r="Z1228" s="93" t="n">
        <f aca="false">IFERROR(VLOOKUP(E:E,'Item Data Support Sheet'!A:O,4,0),0)</f>
        <v>8.6</v>
      </c>
      <c r="AA1228" s="93" t="n">
        <f aca="false">IFERROR(((N1228)*(Z1228/1000))+P1228,0)</f>
        <v>38.8118</v>
      </c>
      <c r="AB1228" s="94" t="n">
        <f aca="false">IFERROR((O1228*(Z1228/1000)/(AA1228))," ")</f>
        <v>0.997119432749834</v>
      </c>
      <c r="AC1228" s="95" t="n">
        <f aca="false">IFERROR((T1228)/((T1228)+O1228),0)</f>
        <v>0.00110987791342952</v>
      </c>
      <c r="AD1228" s="96" t="n">
        <f aca="false">IFERROR(Q1228/(Q1228+N1228),0)</f>
        <v>0</v>
      </c>
      <c r="AE1228" s="91" t="n">
        <f aca="false">(N1228-T1228)/N1228</f>
        <v>0.998892089519167</v>
      </c>
      <c r="AF1228" s="97" t="n">
        <f aca="false">BR1228</f>
        <v>1</v>
      </c>
      <c r="AG1228" s="98" t="n">
        <f aca="false">K1228-AF1228</f>
        <v>7</v>
      </c>
      <c r="AH1228" s="99" t="n">
        <f aca="false">IFERROR(AG1228/K1228," ")</f>
        <v>0.875</v>
      </c>
      <c r="AI1228" s="100" t="n">
        <f aca="false">IFERROR(O1228/K1228,0)</f>
        <v>562.5</v>
      </c>
      <c r="AJ1228" s="101" t="n">
        <f aca="false">VLOOKUP(D1228,'Standard Cycle time'!C:D,2,0)</f>
        <v>6</v>
      </c>
      <c r="AK1228" s="101" t="n">
        <f aca="false">AG1228*V1228*3600/O1228</f>
        <v>5.6</v>
      </c>
      <c r="AL1228" s="102" t="n">
        <f aca="false">AJ1228/AK1228</f>
        <v>1.07142857142857</v>
      </c>
      <c r="AM1228" s="99" t="n">
        <f aca="false">AE1228*AL1228*AH1228</f>
        <v>0.936461333924219</v>
      </c>
      <c r="AN1228" s="103" t="n">
        <v>0.936461333924219</v>
      </c>
      <c r="AO1228" s="112" t="s">
        <v>2027</v>
      </c>
      <c r="AP1228" s="105" t="n">
        <v>0</v>
      </c>
      <c r="AQ1228" s="105" t="n">
        <v>0</v>
      </c>
      <c r="AR1228" s="105" t="n">
        <v>0</v>
      </c>
      <c r="AS1228" s="105" t="n">
        <v>0</v>
      </c>
      <c r="AT1228" s="105" t="n">
        <v>0</v>
      </c>
      <c r="AU1228" s="105" t="n">
        <v>0</v>
      </c>
      <c r="AV1228" s="105" t="n">
        <v>0</v>
      </c>
      <c r="AW1228" s="105" t="n">
        <v>0</v>
      </c>
      <c r="AX1228" s="105" t="n">
        <v>0</v>
      </c>
      <c r="AY1228" s="105" t="n">
        <v>0</v>
      </c>
      <c r="AZ1228" s="105" t="n">
        <v>30</v>
      </c>
      <c r="BA1228" s="105" t="n">
        <v>0</v>
      </c>
      <c r="BB1228" s="105" t="n">
        <v>30</v>
      </c>
      <c r="BC1228" s="105" t="n">
        <v>0</v>
      </c>
      <c r="BD1228" s="105" t="n">
        <v>0</v>
      </c>
      <c r="BE1228" s="105" t="n">
        <v>0</v>
      </c>
      <c r="BF1228" s="105" t="n">
        <v>0</v>
      </c>
      <c r="BG1228" s="105" t="n">
        <v>0</v>
      </c>
      <c r="BH1228" s="105" t="n">
        <v>0</v>
      </c>
      <c r="BI1228" s="105" t="n">
        <v>0</v>
      </c>
      <c r="BJ1228" s="105" t="n">
        <v>0</v>
      </c>
      <c r="BK1228" s="105" t="n">
        <v>0</v>
      </c>
      <c r="BL1228" s="105" t="n">
        <v>0</v>
      </c>
      <c r="BM1228" s="105" t="n">
        <v>0</v>
      </c>
      <c r="BN1228" s="105" t="n">
        <v>0</v>
      </c>
      <c r="BO1228" s="105" t="n">
        <v>0</v>
      </c>
      <c r="BP1228" s="105" t="n">
        <v>0</v>
      </c>
      <c r="BQ1228" s="105" t="n">
        <v>0</v>
      </c>
      <c r="BR1228" s="106" t="n">
        <v>1</v>
      </c>
      <c r="BS1228" s="106" t="n">
        <v>1</v>
      </c>
      <c r="BT1228" s="107"/>
      <c r="BU1228" s="107"/>
      <c r="BV1228" s="107"/>
      <c r="BW1228" s="107"/>
      <c r="BX1228" s="107"/>
      <c r="BY1228" s="107"/>
      <c r="BZ1228" s="107"/>
      <c r="CA1228" s="107"/>
      <c r="CB1228" s="107"/>
      <c r="CC1228" s="107"/>
      <c r="CD1228" s="107"/>
      <c r="CE1228" s="107"/>
      <c r="CF1228" s="107"/>
      <c r="CG1228" s="107"/>
      <c r="CH1228" s="107"/>
      <c r="CI1228" s="107"/>
      <c r="CJ1228" s="107"/>
      <c r="CK1228" s="107"/>
      <c r="CL1228" s="107"/>
      <c r="CM1228" s="107"/>
      <c r="CN1228" s="107"/>
      <c r="CO1228" s="107"/>
      <c r="CP1228" s="107"/>
      <c r="CQ1228" s="107"/>
      <c r="CR1228" s="107"/>
      <c r="CS1228" s="107"/>
      <c r="CT1228" s="107"/>
      <c r="CU1228" s="107"/>
      <c r="CV1228" s="107"/>
    </row>
    <row r="1229" customFormat="false" ht="14.9" hidden="false" customHeight="false" outlineLevel="0" collapsed="false">
      <c r="A1229" s="74" t="n">
        <f aca="false">MONTH(B1229)</f>
        <v>11</v>
      </c>
      <c r="B1229" s="135" t="n">
        <v>44515</v>
      </c>
      <c r="C1229" s="128" t="s">
        <v>51</v>
      </c>
      <c r="D1229" s="77" t="str">
        <f aca="false">IFERROR(VLOOKUP(E:E,'Item Data Support Sheet'!A:O,7,0),"")</f>
        <v>NIPPLE PUNCH</v>
      </c>
      <c r="E1229" s="80" t="s">
        <v>666</v>
      </c>
      <c r="F1229" s="122"/>
      <c r="G1229" s="137" t="s">
        <v>54</v>
      </c>
      <c r="H1229" s="79" t="str">
        <f aca="false">IFERROR(VLOOKUP(E:E,'Item Data Support Sheet'!A:O,2,0),"")</f>
        <v>NIPPLE S TYPE L SIZE PUNCHED</v>
      </c>
      <c r="I1229" s="80" t="s">
        <v>2029</v>
      </c>
      <c r="J1229" s="80" t="s">
        <v>143</v>
      </c>
      <c r="K1229" s="124" t="n">
        <v>8</v>
      </c>
      <c r="L1229" s="124" t="n">
        <v>7000</v>
      </c>
      <c r="M1229" s="83" t="n">
        <v>875</v>
      </c>
      <c r="N1229" s="84" t="n">
        <f aca="false">+O1229+Q1229+T1229+U1229</f>
        <v>6900</v>
      </c>
      <c r="O1229" s="85" t="n">
        <v>6900</v>
      </c>
      <c r="P1229" s="86" t="n">
        <v>0</v>
      </c>
      <c r="Q1229" s="86" t="n">
        <v>0</v>
      </c>
      <c r="R1229" s="132" t="n">
        <v>0</v>
      </c>
      <c r="S1229" s="128" t="n">
        <v>0</v>
      </c>
      <c r="T1229" s="132" t="n">
        <v>0</v>
      </c>
      <c r="U1229" s="128" t="n">
        <v>0</v>
      </c>
      <c r="V1229" s="128" t="n">
        <v>1</v>
      </c>
      <c r="W1229" s="90" t="n">
        <f aca="false">IFERROR(O1229/V1229,0)</f>
        <v>6900</v>
      </c>
      <c r="X1229" s="91" t="n">
        <f aca="false">O1229/L1229</f>
        <v>0.985714285714286</v>
      </c>
      <c r="Y1229" s="92" t="str">
        <f aca="false">IFERROR(VLOOKUP(E:E,'Item Data Support Sheet'!A:J,6,0),0)</f>
        <v>FO017</v>
      </c>
      <c r="Z1229" s="93" t="n">
        <f aca="false">IFERROR(VLOOKUP(E:E,'Item Data Support Sheet'!A:O,4,0),0)</f>
        <v>0</v>
      </c>
      <c r="AA1229" s="93" t="n">
        <f aca="false">IFERROR(((N1229)*(Z1229/1000))+P1229,0)</f>
        <v>0</v>
      </c>
      <c r="AB1229" s="94" t="str">
        <f aca="false">IFERROR((O1229*(Z1229/1000)/(AA1229))," ")</f>
        <v> </v>
      </c>
      <c r="AC1229" s="95" t="n">
        <f aca="false">IFERROR((T1229)/((T1229)+O1229),0)</f>
        <v>0</v>
      </c>
      <c r="AD1229" s="96" t="n">
        <f aca="false">IFERROR(Q1229/(Q1229+N1229),0)</f>
        <v>0</v>
      </c>
      <c r="AE1229" s="91" t="n">
        <f aca="false">(N1229-T1229)/N1229</f>
        <v>1</v>
      </c>
      <c r="AF1229" s="97" t="n">
        <f aca="false">BR1229</f>
        <v>1.16666666666667</v>
      </c>
      <c r="AG1229" s="98" t="n">
        <f aca="false">K1229-AF1229</f>
        <v>6.83333333333333</v>
      </c>
      <c r="AH1229" s="99" t="n">
        <f aca="false">IFERROR(AG1229/K1229," ")</f>
        <v>0.854166666666666</v>
      </c>
      <c r="AI1229" s="100" t="n">
        <f aca="false">IFERROR(O1229/K1229,0)</f>
        <v>862.5</v>
      </c>
      <c r="AJ1229" s="101" t="n">
        <f aca="false">VLOOKUP(D1229,'Standard Cycle time'!C:D,2,0)</f>
        <v>3.5</v>
      </c>
      <c r="AK1229" s="101" t="n">
        <f aca="false">AG1229*V1229*3600/O1229</f>
        <v>3.56521739130435</v>
      </c>
      <c r="AL1229" s="102" t="n">
        <f aca="false">AJ1229/AK1229</f>
        <v>0.981707317073171</v>
      </c>
      <c r="AM1229" s="99" t="n">
        <f aca="false">AE1229*AL1229*AH1229</f>
        <v>0.838541666666667</v>
      </c>
      <c r="AN1229" s="103" t="n">
        <v>0.838541666666667</v>
      </c>
      <c r="AO1229" s="112" t="s">
        <v>2030</v>
      </c>
      <c r="AP1229" s="105" t="n">
        <v>40</v>
      </c>
      <c r="AQ1229" s="105" t="n">
        <v>0</v>
      </c>
      <c r="AR1229" s="105" t="n">
        <v>0</v>
      </c>
      <c r="AS1229" s="105" t="n">
        <v>0</v>
      </c>
      <c r="AT1229" s="105" t="n">
        <v>0</v>
      </c>
      <c r="AU1229" s="105" t="n">
        <v>0</v>
      </c>
      <c r="AV1229" s="105" t="n">
        <v>0</v>
      </c>
      <c r="AW1229" s="105" t="n">
        <v>0</v>
      </c>
      <c r="AX1229" s="105" t="n">
        <v>0</v>
      </c>
      <c r="AY1229" s="105" t="n">
        <v>0</v>
      </c>
      <c r="AZ1229" s="105" t="n">
        <v>0</v>
      </c>
      <c r="BA1229" s="105" t="n">
        <v>0</v>
      </c>
      <c r="BB1229" s="105" t="n">
        <v>0</v>
      </c>
      <c r="BC1229" s="105" t="n">
        <v>0</v>
      </c>
      <c r="BD1229" s="105" t="n">
        <v>0</v>
      </c>
      <c r="BE1229" s="105" t="n">
        <v>0</v>
      </c>
      <c r="BF1229" s="105" t="n">
        <v>0</v>
      </c>
      <c r="BG1229" s="105" t="n">
        <v>0</v>
      </c>
      <c r="BH1229" s="105" t="n">
        <v>0</v>
      </c>
      <c r="BI1229" s="105" t="n">
        <v>0</v>
      </c>
      <c r="BJ1229" s="105" t="n">
        <v>0</v>
      </c>
      <c r="BK1229" s="105" t="n">
        <v>0</v>
      </c>
      <c r="BL1229" s="105" t="n">
        <v>0</v>
      </c>
      <c r="BM1229" s="105" t="n">
        <v>0</v>
      </c>
      <c r="BN1229" s="105" t="n">
        <v>0</v>
      </c>
      <c r="BO1229" s="105" t="n">
        <v>0</v>
      </c>
      <c r="BP1229" s="105" t="n">
        <v>0</v>
      </c>
      <c r="BQ1229" s="105" t="n">
        <v>30</v>
      </c>
      <c r="BR1229" s="106" t="n">
        <v>1.16666666666667</v>
      </c>
      <c r="BS1229" s="106" t="n">
        <v>1.16666666666667</v>
      </c>
      <c r="BT1229" s="107"/>
      <c r="BU1229" s="107"/>
      <c r="BV1229" s="107"/>
      <c r="BW1229" s="107"/>
      <c r="BX1229" s="107"/>
      <c r="BY1229" s="107"/>
      <c r="BZ1229" s="107"/>
      <c r="CA1229" s="107"/>
      <c r="CB1229" s="107"/>
      <c r="CC1229" s="107"/>
      <c r="CD1229" s="107"/>
      <c r="CE1229" s="107"/>
      <c r="CF1229" s="107"/>
      <c r="CG1229" s="107"/>
      <c r="CH1229" s="107"/>
      <c r="CI1229" s="107"/>
      <c r="CJ1229" s="107"/>
      <c r="CK1229" s="107"/>
      <c r="CL1229" s="107"/>
      <c r="CM1229" s="107"/>
      <c r="CN1229" s="107"/>
      <c r="CO1229" s="107"/>
      <c r="CP1229" s="107"/>
      <c r="CQ1229" s="107"/>
      <c r="CR1229" s="107"/>
      <c r="CS1229" s="107"/>
      <c r="CT1229" s="107"/>
      <c r="CU1229" s="107"/>
      <c r="CV1229" s="107"/>
    </row>
    <row r="1230" customFormat="false" ht="14.9" hidden="false" customHeight="false" outlineLevel="0" collapsed="false">
      <c r="A1230" s="74" t="n">
        <f aca="false">MONTH(B1230)</f>
        <v>11</v>
      </c>
      <c r="B1230" s="135" t="n">
        <v>44515</v>
      </c>
      <c r="C1230" s="128" t="s">
        <v>51</v>
      </c>
      <c r="D1230" s="77" t="str">
        <f aca="false">IFERROR(VLOOKUP(E:E,'Item Data Support Sheet'!A:O,7,0),"")</f>
        <v>NIPPLE LASER MARKING</v>
      </c>
      <c r="E1230" s="80" t="s">
        <v>681</v>
      </c>
      <c r="F1230" s="122"/>
      <c r="G1230" s="137" t="s">
        <v>517</v>
      </c>
      <c r="H1230" s="79" t="str">
        <f aca="false">IFERROR(VLOOKUP(E:E,'Item Data Support Sheet'!A:O,2,0),"")</f>
        <v>NIPPLE S TYPE L SIZE PUNCHED LASER MARKED</v>
      </c>
      <c r="I1230" s="80" t="s">
        <v>2031</v>
      </c>
      <c r="J1230" s="80" t="s">
        <v>143</v>
      </c>
      <c r="K1230" s="124" t="n">
        <v>8</v>
      </c>
      <c r="L1230" s="124" t="n">
        <v>7000</v>
      </c>
      <c r="M1230" s="83" t="n">
        <v>875</v>
      </c>
      <c r="N1230" s="84" t="n">
        <f aca="false">+O1230+Q1230+T1230+U1230</f>
        <v>5900</v>
      </c>
      <c r="O1230" s="85" t="n">
        <v>5900</v>
      </c>
      <c r="P1230" s="86" t="n">
        <v>0</v>
      </c>
      <c r="Q1230" s="86" t="n">
        <v>0</v>
      </c>
      <c r="R1230" s="132" t="n">
        <v>0</v>
      </c>
      <c r="S1230" s="128" t="n">
        <v>0</v>
      </c>
      <c r="T1230" s="132" t="n">
        <v>0</v>
      </c>
      <c r="U1230" s="128" t="n">
        <v>0</v>
      </c>
      <c r="V1230" s="128" t="n">
        <v>1</v>
      </c>
      <c r="W1230" s="90" t="n">
        <f aca="false">IFERROR(O1230/V1230,0)</f>
        <v>5900</v>
      </c>
      <c r="X1230" s="91" t="n">
        <f aca="false">O1230/L1230</f>
        <v>0.842857142857143</v>
      </c>
      <c r="Y1230" s="92" t="str">
        <f aca="false">IFERROR(VLOOKUP(E:E,'Item Data Support Sheet'!A:J,6,0),0)</f>
        <v>FO021</v>
      </c>
      <c r="Z1230" s="93" t="n">
        <f aca="false">IFERROR(VLOOKUP(E:E,'Item Data Support Sheet'!A:O,4,0),0)</f>
        <v>0</v>
      </c>
      <c r="AA1230" s="93" t="n">
        <f aca="false">IFERROR(((N1230)*(Z1230/1000))+P1230,0)</f>
        <v>0</v>
      </c>
      <c r="AB1230" s="94" t="str">
        <f aca="false">IFERROR((O1230*(Z1230/1000)/(AA1230))," ")</f>
        <v> </v>
      </c>
      <c r="AC1230" s="95" t="n">
        <f aca="false">IFERROR((T1230)/((T1230)+O1230),0)</f>
        <v>0</v>
      </c>
      <c r="AD1230" s="96" t="n">
        <f aca="false">IFERROR(Q1230/(Q1230+N1230),0)</f>
        <v>0</v>
      </c>
      <c r="AE1230" s="91" t="n">
        <f aca="false">(N1230-T1230)/N1230</f>
        <v>1</v>
      </c>
      <c r="AF1230" s="97" t="n">
        <f aca="false">BR1230</f>
        <v>1</v>
      </c>
      <c r="AG1230" s="98" t="n">
        <f aca="false">K1230-AF1230</f>
        <v>7</v>
      </c>
      <c r="AH1230" s="99" t="n">
        <f aca="false">IFERROR(AG1230/K1230," ")</f>
        <v>0.875</v>
      </c>
      <c r="AI1230" s="100" t="n">
        <f aca="false">IFERROR(O1230/K1230,0)</f>
        <v>737.5</v>
      </c>
      <c r="AJ1230" s="101" t="n">
        <f aca="false">VLOOKUP(D1230,'Standard Cycle time'!C:D,2,0)</f>
        <v>3.5</v>
      </c>
      <c r="AK1230" s="101" t="n">
        <f aca="false">AG1230*V1230*3600/O1230</f>
        <v>4.27118644067797</v>
      </c>
      <c r="AL1230" s="102" t="n">
        <f aca="false">AJ1230/AK1230</f>
        <v>0.819444444444444</v>
      </c>
      <c r="AM1230" s="99" t="n">
        <f aca="false">AE1230*AL1230*AH1230</f>
        <v>0.717013888888889</v>
      </c>
      <c r="AN1230" s="103" t="n">
        <v>0.717013888888889</v>
      </c>
      <c r="AO1230" s="112" t="s">
        <v>2032</v>
      </c>
      <c r="AP1230" s="105" t="n">
        <v>40</v>
      </c>
      <c r="AQ1230" s="105" t="n">
        <v>0</v>
      </c>
      <c r="AR1230" s="105" t="n">
        <v>0</v>
      </c>
      <c r="AS1230" s="105" t="n">
        <v>0</v>
      </c>
      <c r="AT1230" s="105" t="n">
        <v>0</v>
      </c>
      <c r="AU1230" s="105" t="n">
        <v>0</v>
      </c>
      <c r="AV1230" s="105" t="n">
        <v>0</v>
      </c>
      <c r="AW1230" s="105" t="n">
        <v>0</v>
      </c>
      <c r="AX1230" s="105" t="n">
        <v>0</v>
      </c>
      <c r="AY1230" s="105" t="n">
        <v>0</v>
      </c>
      <c r="AZ1230" s="105" t="n">
        <v>20</v>
      </c>
      <c r="BA1230" s="105" t="n">
        <v>0</v>
      </c>
      <c r="BB1230" s="105" t="n">
        <v>0</v>
      </c>
      <c r="BC1230" s="105" t="n">
        <v>0</v>
      </c>
      <c r="BD1230" s="105" t="n">
        <v>0</v>
      </c>
      <c r="BE1230" s="105" t="n">
        <v>0</v>
      </c>
      <c r="BF1230" s="105" t="n">
        <v>0</v>
      </c>
      <c r="BG1230" s="105" t="n">
        <v>0</v>
      </c>
      <c r="BH1230" s="105" t="n">
        <v>0</v>
      </c>
      <c r="BI1230" s="105" t="n">
        <v>0</v>
      </c>
      <c r="BJ1230" s="105" t="n">
        <v>0</v>
      </c>
      <c r="BK1230" s="105" t="n">
        <v>0</v>
      </c>
      <c r="BL1230" s="105" t="n">
        <v>0</v>
      </c>
      <c r="BM1230" s="105" t="n">
        <v>0</v>
      </c>
      <c r="BN1230" s="105" t="n">
        <v>0</v>
      </c>
      <c r="BO1230" s="105" t="n">
        <v>0</v>
      </c>
      <c r="BP1230" s="105" t="n">
        <v>0</v>
      </c>
      <c r="BQ1230" s="105" t="n">
        <v>0</v>
      </c>
      <c r="BR1230" s="106" t="n">
        <v>1</v>
      </c>
      <c r="BS1230" s="106" t="n">
        <v>1</v>
      </c>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c r="CO1230" s="107"/>
      <c r="CP1230" s="107"/>
      <c r="CQ1230" s="107"/>
      <c r="CR1230" s="107"/>
      <c r="CS1230" s="107"/>
      <c r="CT1230" s="107"/>
      <c r="CU1230" s="107"/>
      <c r="CV1230" s="107"/>
    </row>
    <row r="1231" customFormat="false" ht="14.9" hidden="false" customHeight="false" outlineLevel="0" collapsed="false">
      <c r="A1231" s="74" t="n">
        <f aca="false">MONTH(B1231)</f>
        <v>11</v>
      </c>
      <c r="B1231" s="135" t="n">
        <v>44515</v>
      </c>
      <c r="C1231" s="128" t="s">
        <v>51</v>
      </c>
      <c r="D1231" s="77" t="str">
        <f aca="false">IFERROR(VLOOKUP(E:E,'Item Data Support Sheet'!A:O,7,0),"")</f>
        <v>BOTTLE PRINTED</v>
      </c>
      <c r="E1231" s="80" t="s">
        <v>65</v>
      </c>
      <c r="F1231" s="122"/>
      <c r="G1231" s="137"/>
      <c r="H1231" s="79" t="str">
        <f aca="false">IFERROR(VLOOKUP(E:E,'Item Data Support Sheet'!A:O,2,0),"")</f>
        <v>KPP 240 ML BOTTLE PRINTED</v>
      </c>
      <c r="I1231" s="80" t="s">
        <v>2033</v>
      </c>
      <c r="J1231" s="80" t="s">
        <v>1947</v>
      </c>
      <c r="K1231" s="124" t="n">
        <v>8</v>
      </c>
      <c r="L1231" s="124" t="n">
        <v>5120</v>
      </c>
      <c r="M1231" s="83" t="n">
        <v>640</v>
      </c>
      <c r="N1231" s="84" t="n">
        <f aca="false">+O1231+Q1231+T1231+U1231</f>
        <v>3058</v>
      </c>
      <c r="O1231" s="85" t="n">
        <v>3024</v>
      </c>
      <c r="P1231" s="86" t="n">
        <v>0</v>
      </c>
      <c r="Q1231" s="86" t="n">
        <v>0</v>
      </c>
      <c r="R1231" s="132" t="n">
        <v>33</v>
      </c>
      <c r="S1231" s="128" t="n">
        <v>0</v>
      </c>
      <c r="T1231" s="132" t="n">
        <v>34</v>
      </c>
      <c r="U1231" s="128" t="n">
        <v>0</v>
      </c>
      <c r="V1231" s="128" t="n">
        <v>4</v>
      </c>
      <c r="W1231" s="90" t="n">
        <f aca="false">IFERROR(O1231/V1231,0)</f>
        <v>756</v>
      </c>
      <c r="X1231" s="91" t="n">
        <f aca="false">O1231/L1231</f>
        <v>0.590625</v>
      </c>
      <c r="Y1231" s="92" t="str">
        <f aca="false">IFERROR(VLOOKUP(E:E,'Item Data Support Sheet'!A:J,6,0),0)</f>
        <v>FO003</v>
      </c>
      <c r="Z1231" s="93" t="n">
        <f aca="false">IFERROR(VLOOKUP(E:E,'Item Data Support Sheet'!A:O,4,0),0)</f>
        <v>0</v>
      </c>
      <c r="AA1231" s="93" t="n">
        <f aca="false">IFERROR(((N1231)*(Z1231/1000))+P1231,0)</f>
        <v>0</v>
      </c>
      <c r="AB1231" s="94" t="str">
        <f aca="false">IFERROR((O1231*(Z1231/1000)/(AA1231))," ")</f>
        <v> </v>
      </c>
      <c r="AC1231" s="95" t="n">
        <f aca="false">IFERROR((T1231)/((T1231)+O1231),0)</f>
        <v>0.0111183780248528</v>
      </c>
      <c r="AD1231" s="96" t="n">
        <f aca="false">IFERROR(Q1231/(Q1231+N1231),0)</f>
        <v>0</v>
      </c>
      <c r="AE1231" s="91" t="n">
        <f aca="false">(N1231-T1231)/N1231</f>
        <v>0.988881621975147</v>
      </c>
      <c r="AF1231" s="97" t="n">
        <f aca="false">BR1231</f>
        <v>0.666666666666667</v>
      </c>
      <c r="AG1231" s="98" t="n">
        <f aca="false">K1231-AF1231</f>
        <v>7.33333333333333</v>
      </c>
      <c r="AH1231" s="99" t="n">
        <f aca="false">IFERROR(AG1231/K1231," ")</f>
        <v>0.916666666666667</v>
      </c>
      <c r="AI1231" s="100" t="n">
        <f aca="false">IFERROR(O1231/K1231,0)</f>
        <v>378</v>
      </c>
      <c r="AJ1231" s="101" t="n">
        <f aca="false">VLOOKUP(D1231,'Standard Cycle time'!C:D,2,0)</f>
        <v>32.4</v>
      </c>
      <c r="AK1231" s="101" t="n">
        <f aca="false">AG1231*V1231*3600/O1231</f>
        <v>34.9206349206349</v>
      </c>
      <c r="AL1231" s="102" t="n">
        <f aca="false">AJ1231/AK1231</f>
        <v>0.927818181818182</v>
      </c>
      <c r="AM1231" s="99" t="n">
        <f aca="false">AE1231*AL1231*AH1231</f>
        <v>0.841043819489863</v>
      </c>
      <c r="AN1231" s="103" t="n">
        <v>0.841043819489863</v>
      </c>
      <c r="AO1231" s="112" t="s">
        <v>1599</v>
      </c>
      <c r="AP1231" s="105" t="n">
        <v>40</v>
      </c>
      <c r="AQ1231" s="105" t="n">
        <v>0</v>
      </c>
      <c r="AR1231" s="105" t="n">
        <v>0</v>
      </c>
      <c r="AS1231" s="105" t="n">
        <v>0</v>
      </c>
      <c r="AT1231" s="105" t="n">
        <v>0</v>
      </c>
      <c r="AU1231" s="105" t="n">
        <v>0</v>
      </c>
      <c r="AV1231" s="105" t="n">
        <v>0</v>
      </c>
      <c r="AW1231" s="105" t="n">
        <v>0</v>
      </c>
      <c r="AX1231" s="105" t="n">
        <v>0</v>
      </c>
      <c r="AY1231" s="105" t="n">
        <v>0</v>
      </c>
      <c r="AZ1231" s="105" t="n">
        <v>0</v>
      </c>
      <c r="BA1231" s="105" t="n">
        <v>0</v>
      </c>
      <c r="BB1231" s="105" t="n">
        <v>0</v>
      </c>
      <c r="BC1231" s="105" t="n">
        <v>0</v>
      </c>
      <c r="BD1231" s="105" t="n">
        <v>0</v>
      </c>
      <c r="BE1231" s="105" t="n">
        <v>0</v>
      </c>
      <c r="BF1231" s="105" t="n">
        <v>0</v>
      </c>
      <c r="BG1231" s="105" t="n">
        <v>0</v>
      </c>
      <c r="BH1231" s="105" t="n">
        <v>0</v>
      </c>
      <c r="BI1231" s="105" t="n">
        <v>0</v>
      </c>
      <c r="BJ1231" s="105" t="n">
        <v>0</v>
      </c>
      <c r="BK1231" s="105" t="n">
        <v>0</v>
      </c>
      <c r="BL1231" s="105" t="n">
        <v>0</v>
      </c>
      <c r="BM1231" s="105" t="n">
        <v>0</v>
      </c>
      <c r="BN1231" s="105" t="n">
        <v>0</v>
      </c>
      <c r="BO1231" s="105" t="n">
        <v>0</v>
      </c>
      <c r="BP1231" s="105" t="n">
        <v>0</v>
      </c>
      <c r="BQ1231" s="105" t="n">
        <v>0</v>
      </c>
      <c r="BR1231" s="106" t="n">
        <v>0.666666666666667</v>
      </c>
      <c r="BS1231" s="106" t="n">
        <v>0.666666666666667</v>
      </c>
      <c r="BT1231" s="107"/>
      <c r="BU1231" s="107"/>
      <c r="BV1231" s="107"/>
      <c r="BW1231" s="107"/>
      <c r="BX1231" s="107"/>
      <c r="BY1231" s="107"/>
      <c r="BZ1231" s="107"/>
      <c r="CA1231" s="107"/>
      <c r="CB1231" s="107"/>
      <c r="CC1231" s="107"/>
      <c r="CD1231" s="107"/>
      <c r="CE1231" s="107"/>
      <c r="CF1231" s="107"/>
      <c r="CG1231" s="107"/>
      <c r="CH1231" s="107"/>
      <c r="CI1231" s="107"/>
      <c r="CJ1231" s="107"/>
      <c r="CK1231" s="107"/>
      <c r="CL1231" s="107"/>
      <c r="CM1231" s="107"/>
      <c r="CN1231" s="107"/>
      <c r="CO1231" s="107"/>
      <c r="CP1231" s="107"/>
      <c r="CQ1231" s="107"/>
      <c r="CR1231" s="107"/>
      <c r="CS1231" s="107"/>
      <c r="CT1231" s="107"/>
      <c r="CU1231" s="107"/>
      <c r="CV1231" s="107"/>
    </row>
    <row r="1232" customFormat="false" ht="14.9" hidden="false" customHeight="false" outlineLevel="0" collapsed="false">
      <c r="A1232" s="74" t="n">
        <f aca="false">MONTH(B1232)</f>
        <v>11</v>
      </c>
      <c r="B1232" s="135" t="n">
        <v>44515</v>
      </c>
      <c r="C1232" s="128" t="s">
        <v>63</v>
      </c>
      <c r="D1232" s="77" t="str">
        <f aca="false">IFERROR(VLOOKUP(E:E,'Item Data Support Sheet'!A:O,7,0),"")</f>
        <v>NIPPLE PUNCH INSPECTED</v>
      </c>
      <c r="E1232" s="80" t="s">
        <v>901</v>
      </c>
      <c r="F1232" s="122"/>
      <c r="G1232" s="137"/>
      <c r="H1232" s="79" t="str">
        <f aca="false">IFERROR(VLOOKUP(E:E,'Item Data Support Sheet'!A:O,2,0),"")</f>
        <v>NIPPLE S TYPE Y SIZE PUNCHED INSPECTED</v>
      </c>
      <c r="I1232" s="80" t="s">
        <v>2014</v>
      </c>
      <c r="J1232" s="80" t="s">
        <v>155</v>
      </c>
      <c r="K1232" s="124" t="n">
        <v>3</v>
      </c>
      <c r="L1232" s="124" t="n">
        <v>5250</v>
      </c>
      <c r="M1232" s="83" t="n">
        <v>1750</v>
      </c>
      <c r="N1232" s="84" t="n">
        <f aca="false">+O1232+Q1232+T1232+U1232</f>
        <v>3050</v>
      </c>
      <c r="O1232" s="85" t="n">
        <v>3021</v>
      </c>
      <c r="P1232" s="86" t="n">
        <v>0</v>
      </c>
      <c r="Q1232" s="86" t="n">
        <v>0</v>
      </c>
      <c r="R1232" s="132" t="n">
        <v>0</v>
      </c>
      <c r="S1232" s="128" t="n">
        <v>0</v>
      </c>
      <c r="T1232" s="132" t="n">
        <v>29</v>
      </c>
      <c r="U1232" s="128" t="n">
        <v>0</v>
      </c>
      <c r="V1232" s="128" t="n">
        <v>2</v>
      </c>
      <c r="W1232" s="90" t="n">
        <f aca="false">IFERROR(O1232/V1232,0)</f>
        <v>1510.5</v>
      </c>
      <c r="X1232" s="91" t="n">
        <f aca="false">O1232/L1232</f>
        <v>0.575428571428571</v>
      </c>
      <c r="Y1232" s="92" t="str">
        <f aca="false">IFERROR(VLOOKUP(E:E,'Item Data Support Sheet'!A:J,6,0),0)</f>
        <v>FO107</v>
      </c>
      <c r="Z1232" s="93" t="n">
        <f aca="false">IFERROR(VLOOKUP(E:E,'Item Data Support Sheet'!A:O,4,0),0)</f>
        <v>0</v>
      </c>
      <c r="AA1232" s="93" t="n">
        <f aca="false">IFERROR(((N1232)*(Z1232/1000))+P1232,0)</f>
        <v>0</v>
      </c>
      <c r="AB1232" s="94" t="str">
        <f aca="false">IFERROR((O1232*(Z1232/1000)/(AA1232))," ")</f>
        <v> </v>
      </c>
      <c r="AC1232" s="95" t="n">
        <f aca="false">IFERROR((T1232)/((T1232)+O1232),0)</f>
        <v>0.00950819672131148</v>
      </c>
      <c r="AD1232" s="96" t="n">
        <f aca="false">IFERROR(Q1232/(Q1232+N1232),0)</f>
        <v>0</v>
      </c>
      <c r="AE1232" s="91" t="n">
        <f aca="false">(N1232-T1232)/N1232</f>
        <v>0.990491803278688</v>
      </c>
      <c r="AF1232" s="97" t="n">
        <f aca="false">BR1232</f>
        <v>0.833333333333333</v>
      </c>
      <c r="AG1232" s="98" t="n">
        <f aca="false">K1232-AF1232</f>
        <v>2.16666666666667</v>
      </c>
      <c r="AH1232" s="99" t="n">
        <f aca="false">IFERROR(AG1232/K1232," ")</f>
        <v>0.722222222222222</v>
      </c>
      <c r="AI1232" s="100" t="n">
        <f aca="false">IFERROR(O1232/K1232,0)</f>
        <v>1007</v>
      </c>
      <c r="AJ1232" s="101" t="n">
        <f aca="false">VLOOKUP(D1232,'Standard Cycle time'!C:D,2,0)</f>
        <v>4</v>
      </c>
      <c r="AK1232" s="101" t="n">
        <f aca="false">AG1232*V1232*3600/O1232</f>
        <v>5.16385302879841</v>
      </c>
      <c r="AL1232" s="102" t="n">
        <f aca="false">AJ1232/AK1232</f>
        <v>0.774615384615384</v>
      </c>
      <c r="AM1232" s="99" t="n">
        <f aca="false">AE1232*AL1232*AH1232</f>
        <v>0.554125136612022</v>
      </c>
      <c r="AN1232" s="103" t="n">
        <v>0.554125136612022</v>
      </c>
      <c r="AO1232" s="112"/>
      <c r="AP1232" s="105" t="n">
        <v>50</v>
      </c>
      <c r="AQ1232" s="105" t="n">
        <v>0</v>
      </c>
      <c r="AR1232" s="105" t="n">
        <v>0</v>
      </c>
      <c r="AS1232" s="105" t="n">
        <v>0</v>
      </c>
      <c r="AT1232" s="105" t="n">
        <v>0</v>
      </c>
      <c r="AU1232" s="105" t="n">
        <v>0</v>
      </c>
      <c r="AV1232" s="105" t="n">
        <v>0</v>
      </c>
      <c r="AW1232" s="105" t="n">
        <v>0</v>
      </c>
      <c r="AX1232" s="105" t="n">
        <v>0</v>
      </c>
      <c r="AY1232" s="105" t="n">
        <v>0</v>
      </c>
      <c r="AZ1232" s="105" t="n">
        <v>0</v>
      </c>
      <c r="BA1232" s="105" t="n">
        <v>0</v>
      </c>
      <c r="BB1232" s="105" t="n">
        <v>0</v>
      </c>
      <c r="BC1232" s="105" t="n">
        <v>0</v>
      </c>
      <c r="BD1232" s="105" t="n">
        <v>0</v>
      </c>
      <c r="BE1232" s="105" t="n">
        <v>0</v>
      </c>
      <c r="BF1232" s="105" t="n">
        <v>0</v>
      </c>
      <c r="BG1232" s="105" t="n">
        <v>0</v>
      </c>
      <c r="BH1232" s="105" t="n">
        <v>0</v>
      </c>
      <c r="BI1232" s="105" t="n">
        <v>0</v>
      </c>
      <c r="BJ1232" s="105" t="n">
        <v>0</v>
      </c>
      <c r="BK1232" s="105" t="n">
        <v>0</v>
      </c>
      <c r="BL1232" s="105" t="n">
        <v>0</v>
      </c>
      <c r="BM1232" s="105" t="n">
        <v>0</v>
      </c>
      <c r="BN1232" s="105" t="n">
        <v>0</v>
      </c>
      <c r="BO1232" s="105" t="n">
        <v>0</v>
      </c>
      <c r="BP1232" s="105" t="n">
        <v>0</v>
      </c>
      <c r="BQ1232" s="105" t="n">
        <v>0</v>
      </c>
      <c r="BR1232" s="106" t="n">
        <v>0.833333333333333</v>
      </c>
      <c r="BS1232" s="106" t="n">
        <v>0.833333333333333</v>
      </c>
      <c r="BT1232" s="107"/>
      <c r="BU1232" s="107"/>
      <c r="BV1232" s="107"/>
      <c r="BW1232" s="107"/>
      <c r="BX1232" s="107"/>
      <c r="BY1232" s="107"/>
      <c r="BZ1232" s="107"/>
      <c r="CA1232" s="107"/>
      <c r="CB1232" s="107"/>
      <c r="CC1232" s="107"/>
      <c r="CD1232" s="107"/>
      <c r="CE1232" s="107"/>
      <c r="CF1232" s="107"/>
      <c r="CG1232" s="107"/>
      <c r="CH1232" s="107"/>
      <c r="CI1232" s="107"/>
      <c r="CJ1232" s="107"/>
      <c r="CK1232" s="107"/>
      <c r="CL1232" s="107"/>
      <c r="CM1232" s="107"/>
      <c r="CN1232" s="107"/>
      <c r="CO1232" s="107"/>
      <c r="CP1232" s="107"/>
      <c r="CQ1232" s="107"/>
      <c r="CR1232" s="107"/>
      <c r="CS1232" s="107"/>
      <c r="CT1232" s="107"/>
      <c r="CU1232" s="107"/>
      <c r="CV1232" s="107"/>
    </row>
    <row r="1233" customFormat="false" ht="14.9" hidden="false" customHeight="false" outlineLevel="0" collapsed="false">
      <c r="A1233" s="74" t="n">
        <f aca="false">MONTH(B1233)</f>
        <v>11</v>
      </c>
      <c r="B1233" s="135" t="n">
        <v>44515</v>
      </c>
      <c r="C1233" s="128" t="s">
        <v>63</v>
      </c>
      <c r="D1233" s="77" t="str">
        <f aca="false">IFERROR(VLOOKUP(E:E,'Item Data Support Sheet'!A:O,7,0),"")</f>
        <v>NIPPLE PUNCH INSPECTED</v>
      </c>
      <c r="E1233" s="80" t="s">
        <v>688</v>
      </c>
      <c r="F1233" s="122"/>
      <c r="G1233" s="137"/>
      <c r="H1233" s="79" t="str">
        <f aca="false">IFERROR(VLOOKUP(E:E,'Item Data Support Sheet'!A:O,2,0),"")</f>
        <v>NIPPLE S TYPE L SIZE PUNCHED INSPECTED</v>
      </c>
      <c r="I1233" s="80" t="s">
        <v>2031</v>
      </c>
      <c r="J1233" s="80" t="s">
        <v>155</v>
      </c>
      <c r="K1233" s="124" t="n">
        <v>5</v>
      </c>
      <c r="L1233" s="124" t="n">
        <v>8750</v>
      </c>
      <c r="M1233" s="83" t="n">
        <v>1750</v>
      </c>
      <c r="N1233" s="84" t="n">
        <f aca="false">+O1233+Q1233+T1233+U1233</f>
        <v>7900</v>
      </c>
      <c r="O1233" s="85" t="n">
        <v>7838</v>
      </c>
      <c r="P1233" s="86" t="n">
        <v>0</v>
      </c>
      <c r="Q1233" s="86" t="n">
        <v>0</v>
      </c>
      <c r="R1233" s="132" t="n">
        <v>0</v>
      </c>
      <c r="S1233" s="128" t="n">
        <v>0</v>
      </c>
      <c r="T1233" s="132" t="n">
        <v>62</v>
      </c>
      <c r="U1233" s="128" t="n">
        <v>0</v>
      </c>
      <c r="V1233" s="128" t="n">
        <v>2</v>
      </c>
      <c r="W1233" s="90" t="n">
        <f aca="false">IFERROR(O1233/V1233,0)</f>
        <v>3919</v>
      </c>
      <c r="X1233" s="91" t="n">
        <f aca="false">O1233/L1233</f>
        <v>0.895771428571429</v>
      </c>
      <c r="Y1233" s="92" t="str">
        <f aca="false">IFERROR(VLOOKUP(E:E,'Item Data Support Sheet'!A:J,6,0),0)</f>
        <v>FO106</v>
      </c>
      <c r="Z1233" s="93" t="n">
        <f aca="false">IFERROR(VLOOKUP(E:E,'Item Data Support Sheet'!A:O,4,0),0)</f>
        <v>0</v>
      </c>
      <c r="AA1233" s="93" t="n">
        <f aca="false">IFERROR(((N1233)*(Z1233/1000))+P1233,0)</f>
        <v>0</v>
      </c>
      <c r="AB1233" s="94" t="str">
        <f aca="false">IFERROR((O1233*(Z1233/1000)/(AA1233))," ")</f>
        <v> </v>
      </c>
      <c r="AC1233" s="95" t="n">
        <f aca="false">IFERROR((T1233)/((T1233)+O1233),0)</f>
        <v>0.00784810126582279</v>
      </c>
      <c r="AD1233" s="96" t="n">
        <f aca="false">IFERROR(Q1233/(Q1233+N1233),0)</f>
        <v>0</v>
      </c>
      <c r="AE1233" s="91" t="n">
        <f aca="false">(N1233-T1233)/N1233</f>
        <v>0.992151898734177</v>
      </c>
      <c r="AF1233" s="97" t="n">
        <f aca="false">BR1233</f>
        <v>0</v>
      </c>
      <c r="AG1233" s="98" t="n">
        <f aca="false">K1233-AF1233</f>
        <v>5</v>
      </c>
      <c r="AH1233" s="99" t="n">
        <f aca="false">IFERROR(AG1233/K1233," ")</f>
        <v>1</v>
      </c>
      <c r="AI1233" s="100" t="n">
        <f aca="false">IFERROR(O1233/K1233,0)</f>
        <v>1567.6</v>
      </c>
      <c r="AJ1233" s="101" t="n">
        <f aca="false">VLOOKUP(D1233,'Standard Cycle time'!C:D,2,0)</f>
        <v>4</v>
      </c>
      <c r="AK1233" s="101" t="n">
        <f aca="false">AG1233*V1233*3600/O1233</f>
        <v>4.59300842051544</v>
      </c>
      <c r="AL1233" s="102" t="n">
        <f aca="false">AJ1233/AK1233</f>
        <v>0.870888888888889</v>
      </c>
      <c r="AM1233" s="99" t="n">
        <f aca="false">AE1233*AL1233*AH1233</f>
        <v>0.864054064697609</v>
      </c>
      <c r="AN1233" s="103" t="n">
        <v>0.864054064697609</v>
      </c>
      <c r="AO1233" s="112"/>
      <c r="AP1233" s="105" t="n">
        <v>0</v>
      </c>
      <c r="AQ1233" s="105" t="n">
        <v>0</v>
      </c>
      <c r="AR1233" s="105" t="n">
        <v>0</v>
      </c>
      <c r="AS1233" s="105" t="n">
        <v>0</v>
      </c>
      <c r="AT1233" s="105" t="n">
        <v>0</v>
      </c>
      <c r="AU1233" s="105" t="n">
        <v>0</v>
      </c>
      <c r="AV1233" s="105" t="n">
        <v>0</v>
      </c>
      <c r="AW1233" s="105" t="n">
        <v>0</v>
      </c>
      <c r="AX1233" s="105" t="n">
        <v>0</v>
      </c>
      <c r="AY1233" s="105" t="n">
        <v>0</v>
      </c>
      <c r="AZ1233" s="105" t="n">
        <v>0</v>
      </c>
      <c r="BA1233" s="105" t="n">
        <v>0</v>
      </c>
      <c r="BB1233" s="105" t="n">
        <v>0</v>
      </c>
      <c r="BC1233" s="105" t="n">
        <v>0</v>
      </c>
      <c r="BD1233" s="105" t="n">
        <v>0</v>
      </c>
      <c r="BE1233" s="105" t="n">
        <v>0</v>
      </c>
      <c r="BF1233" s="105" t="n">
        <v>0</v>
      </c>
      <c r="BG1233" s="105" t="n">
        <v>0</v>
      </c>
      <c r="BH1233" s="105" t="n">
        <v>0</v>
      </c>
      <c r="BI1233" s="105" t="n">
        <v>0</v>
      </c>
      <c r="BJ1233" s="105" t="n">
        <v>0</v>
      </c>
      <c r="BK1233" s="105" t="n">
        <v>0</v>
      </c>
      <c r="BL1233" s="105" t="n">
        <v>0</v>
      </c>
      <c r="BM1233" s="105" t="n">
        <v>0</v>
      </c>
      <c r="BN1233" s="105" t="n">
        <v>0</v>
      </c>
      <c r="BO1233" s="105" t="n">
        <v>0</v>
      </c>
      <c r="BP1233" s="105" t="n">
        <v>0</v>
      </c>
      <c r="BQ1233" s="105" t="n">
        <v>0</v>
      </c>
      <c r="BR1233" s="106" t="n">
        <v>0</v>
      </c>
      <c r="BS1233" s="106" t="n">
        <v>0</v>
      </c>
      <c r="BT1233" s="107"/>
      <c r="BU1233" s="107"/>
      <c r="BV1233" s="107"/>
      <c r="BW1233" s="107"/>
      <c r="BX1233" s="107"/>
      <c r="BY1233" s="107"/>
      <c r="BZ1233" s="107"/>
      <c r="CA1233" s="107"/>
      <c r="CB1233" s="107"/>
      <c r="CC1233" s="107"/>
      <c r="CD1233" s="107"/>
      <c r="CE1233" s="107"/>
      <c r="CF1233" s="107"/>
      <c r="CG1233" s="107"/>
      <c r="CH1233" s="107"/>
      <c r="CI1233" s="107"/>
      <c r="CJ1233" s="107"/>
      <c r="CK1233" s="107"/>
      <c r="CL1233" s="107"/>
      <c r="CM1233" s="107"/>
      <c r="CN1233" s="107"/>
      <c r="CO1233" s="107"/>
      <c r="CP1233" s="107"/>
      <c r="CQ1233" s="107"/>
      <c r="CR1233" s="107"/>
      <c r="CS1233" s="107"/>
      <c r="CT1233" s="107"/>
      <c r="CU1233" s="107"/>
      <c r="CV1233" s="107"/>
    </row>
    <row r="1234" customFormat="false" ht="14.9" hidden="false" customHeight="false" outlineLevel="0" collapsed="false">
      <c r="A1234" s="74" t="n">
        <f aca="false">MONTH(B1234)</f>
        <v>11</v>
      </c>
      <c r="B1234" s="135" t="n">
        <v>44515</v>
      </c>
      <c r="C1234" s="128" t="s">
        <v>70</v>
      </c>
      <c r="D1234" s="77" t="str">
        <f aca="false">IFERROR(VLOOKUP(E:E,'Item Data Support Sheet'!A:O,7,0),"")</f>
        <v>NIPPLE MOLDED</v>
      </c>
      <c r="E1234" s="80" t="s">
        <v>661</v>
      </c>
      <c r="F1234" s="122" t="s">
        <v>137</v>
      </c>
      <c r="G1234" s="137" t="s">
        <v>138</v>
      </c>
      <c r="H1234" s="79" t="str">
        <f aca="false">IFERROR(VLOOKUP(E:E,'Item Data Support Sheet'!A:O,2,0),"")</f>
        <v>NIPPLE S TYPE L SIZE INJECTION</v>
      </c>
      <c r="I1234" s="80" t="s">
        <v>2034</v>
      </c>
      <c r="J1234" s="80" t="s">
        <v>155</v>
      </c>
      <c r="K1234" s="124" t="n">
        <v>8</v>
      </c>
      <c r="L1234" s="124" t="n">
        <v>4815</v>
      </c>
      <c r="M1234" s="83" t="n">
        <v>601.875</v>
      </c>
      <c r="N1234" s="84" t="n">
        <f aca="false">+O1234+Q1234+T1234+U1234</f>
        <v>3652</v>
      </c>
      <c r="O1234" s="85" t="n">
        <v>3500</v>
      </c>
      <c r="P1234" s="86" t="n">
        <v>0</v>
      </c>
      <c r="Q1234" s="86" t="n">
        <v>82</v>
      </c>
      <c r="R1234" s="132" t="n">
        <v>0</v>
      </c>
      <c r="S1234" s="128" t="n">
        <v>0</v>
      </c>
      <c r="T1234" s="132" t="n">
        <v>70</v>
      </c>
      <c r="U1234" s="128" t="n">
        <v>0</v>
      </c>
      <c r="V1234" s="128" t="n">
        <v>1</v>
      </c>
      <c r="W1234" s="90" t="n">
        <f aca="false">IFERROR(O1234/V1234,0)</f>
        <v>3500</v>
      </c>
      <c r="X1234" s="91" t="n">
        <f aca="false">O1234/L1234</f>
        <v>0.726895119418484</v>
      </c>
      <c r="Y1234" s="92" t="str">
        <f aca="false">IFERROR(VLOOKUP(E:E,'Item Data Support Sheet'!A:J,6,0),0)</f>
        <v>Silicon</v>
      </c>
      <c r="Z1234" s="93" t="n">
        <f aca="false">IFERROR(VLOOKUP(E:E,'Item Data Support Sheet'!A:O,4,0),0)</f>
        <v>6.8</v>
      </c>
      <c r="AA1234" s="93" t="n">
        <f aca="false">IFERROR(((N1234)*(Z1234/1000))+P1234,0)</f>
        <v>24.8336</v>
      </c>
      <c r="AB1234" s="94" t="n">
        <f aca="false">IFERROR((O1234*(Z1234/1000)/(AA1234))," ")</f>
        <v>0.958378970427163</v>
      </c>
      <c r="AC1234" s="95" t="n">
        <f aca="false">IFERROR((T1234)/((T1234)+O1234),0)</f>
        <v>0.0196078431372549</v>
      </c>
      <c r="AD1234" s="96" t="n">
        <f aca="false">IFERROR(Q1234/(Q1234+N1234),0)</f>
        <v>0.0219603642206749</v>
      </c>
      <c r="AE1234" s="91" t="n">
        <f aca="false">(N1234-T1234)/N1234</f>
        <v>0.980832420591457</v>
      </c>
      <c r="AF1234" s="97" t="n">
        <f aca="false">BR1234</f>
        <v>0</v>
      </c>
      <c r="AG1234" s="98" t="n">
        <f aca="false">K1234-AF1234</f>
        <v>8</v>
      </c>
      <c r="AH1234" s="99" t="n">
        <f aca="false">IFERROR(AG1234/K1234," ")</f>
        <v>1</v>
      </c>
      <c r="AI1234" s="100" t="n">
        <f aca="false">IFERROR(O1234/K1234,0)</f>
        <v>437.5</v>
      </c>
      <c r="AJ1234" s="101" t="n">
        <f aca="false">VLOOKUP(D1234,'Standard Cycle time'!C:D,2,0)</f>
        <v>5.25</v>
      </c>
      <c r="AK1234" s="101" t="n">
        <f aca="false">AG1234*V1234*3600/O1234</f>
        <v>8.22857142857143</v>
      </c>
      <c r="AL1234" s="102" t="n">
        <f aca="false">AJ1234/AK1234</f>
        <v>0.638020833333333</v>
      </c>
      <c r="AM1234" s="99" t="n">
        <f aca="false">AE1234*AL1234*AH1234</f>
        <v>0.625791518346112</v>
      </c>
      <c r="AN1234" s="103" t="n">
        <v>0.625791518346112</v>
      </c>
      <c r="AO1234" s="112" t="s">
        <v>2035</v>
      </c>
      <c r="AP1234" s="105" t="n">
        <v>0</v>
      </c>
      <c r="AQ1234" s="105" t="n">
        <v>0</v>
      </c>
      <c r="AR1234" s="105" t="n">
        <v>0</v>
      </c>
      <c r="AS1234" s="105" t="n">
        <v>0</v>
      </c>
      <c r="AT1234" s="105" t="n">
        <v>0</v>
      </c>
      <c r="AU1234" s="105" t="n">
        <v>0</v>
      </c>
      <c r="AV1234" s="105" t="n">
        <v>0</v>
      </c>
      <c r="AW1234" s="105" t="n">
        <v>0</v>
      </c>
      <c r="AX1234" s="105" t="n">
        <v>0</v>
      </c>
      <c r="AY1234" s="105" t="n">
        <v>0</v>
      </c>
      <c r="AZ1234" s="105" t="n">
        <v>0</v>
      </c>
      <c r="BA1234" s="105" t="n">
        <v>0</v>
      </c>
      <c r="BB1234" s="105" t="n">
        <v>0</v>
      </c>
      <c r="BC1234" s="105" t="n">
        <v>0</v>
      </c>
      <c r="BD1234" s="105" t="n">
        <v>0</v>
      </c>
      <c r="BE1234" s="105" t="n">
        <v>0</v>
      </c>
      <c r="BF1234" s="105" t="n">
        <v>0</v>
      </c>
      <c r="BG1234" s="105" t="n">
        <v>0</v>
      </c>
      <c r="BH1234" s="105" t="n">
        <v>0</v>
      </c>
      <c r="BI1234" s="105" t="n">
        <v>0</v>
      </c>
      <c r="BJ1234" s="105" t="n">
        <v>0</v>
      </c>
      <c r="BK1234" s="105" t="n">
        <v>0</v>
      </c>
      <c r="BL1234" s="105" t="n">
        <v>0</v>
      </c>
      <c r="BM1234" s="105" t="n">
        <v>0</v>
      </c>
      <c r="BN1234" s="105" t="n">
        <v>0</v>
      </c>
      <c r="BO1234" s="105" t="n">
        <v>0</v>
      </c>
      <c r="BP1234" s="105" t="n">
        <v>0</v>
      </c>
      <c r="BQ1234" s="105" t="n">
        <v>0</v>
      </c>
      <c r="BR1234" s="106" t="n">
        <v>0</v>
      </c>
      <c r="BS1234" s="106" t="n">
        <v>0</v>
      </c>
      <c r="BT1234" s="107"/>
      <c r="BU1234" s="107"/>
      <c r="BV1234" s="107"/>
      <c r="BW1234" s="107"/>
      <c r="BX1234" s="107"/>
      <c r="BY1234" s="107"/>
      <c r="BZ1234" s="107"/>
      <c r="CA1234" s="107"/>
      <c r="CB1234" s="107"/>
      <c r="CC1234" s="107"/>
      <c r="CD1234" s="107"/>
      <c r="CE1234" s="107"/>
      <c r="CF1234" s="107"/>
      <c r="CG1234" s="107"/>
      <c r="CH1234" s="107"/>
      <c r="CI1234" s="107"/>
      <c r="CJ1234" s="107"/>
      <c r="CK1234" s="107"/>
      <c r="CL1234" s="107"/>
      <c r="CM1234" s="107"/>
      <c r="CN1234" s="107"/>
      <c r="CO1234" s="107"/>
      <c r="CP1234" s="107"/>
      <c r="CQ1234" s="107"/>
      <c r="CR1234" s="107"/>
      <c r="CS1234" s="107"/>
      <c r="CT1234" s="107"/>
      <c r="CU1234" s="107"/>
      <c r="CV1234" s="107"/>
    </row>
    <row r="1235" customFormat="false" ht="14.9" hidden="false" customHeight="false" outlineLevel="0" collapsed="false">
      <c r="A1235" s="74" t="n">
        <f aca="false">MONTH(B1235)</f>
        <v>11</v>
      </c>
      <c r="B1235" s="135" t="n">
        <v>44515</v>
      </c>
      <c r="C1235" s="128" t="s">
        <v>70</v>
      </c>
      <c r="D1235" s="77" t="str">
        <f aca="false">IFERROR(VLOOKUP(E:E,'Item Data Support Sheet'!A:O,7,0),"")</f>
        <v>HOOD MOLDED</v>
      </c>
      <c r="E1235" s="80" t="s">
        <v>529</v>
      </c>
      <c r="F1235" s="122"/>
      <c r="G1235" s="137" t="s">
        <v>740</v>
      </c>
      <c r="H1235" s="79" t="str">
        <f aca="false">IFERROR(VLOOKUP(E:E,'Item Data Support Sheet'!A:O,2,0),"")</f>
        <v>HOOD S TYPE MOLDED</v>
      </c>
      <c r="I1235" s="80" t="s">
        <v>2036</v>
      </c>
      <c r="J1235" s="80" t="s">
        <v>155</v>
      </c>
      <c r="K1235" s="124" t="n">
        <v>8</v>
      </c>
      <c r="L1235" s="124" t="n">
        <v>4137</v>
      </c>
      <c r="M1235" s="83" t="n">
        <v>517.125</v>
      </c>
      <c r="N1235" s="84" t="n">
        <f aca="false">+O1235+Q1235+T1235+U1235</f>
        <v>3250</v>
      </c>
      <c r="O1235" s="85" t="n">
        <v>3200</v>
      </c>
      <c r="P1235" s="86" t="n">
        <v>0</v>
      </c>
      <c r="Q1235" s="86" t="n">
        <v>30</v>
      </c>
      <c r="R1235" s="132" t="n">
        <v>0</v>
      </c>
      <c r="S1235" s="128" t="n">
        <v>0</v>
      </c>
      <c r="T1235" s="132" t="n">
        <v>20</v>
      </c>
      <c r="U1235" s="128" t="n">
        <v>0</v>
      </c>
      <c r="V1235" s="128" t="n">
        <v>1</v>
      </c>
      <c r="W1235" s="90" t="n">
        <f aca="false">IFERROR(O1235/V1235,0)</f>
        <v>3200</v>
      </c>
      <c r="X1235" s="91" t="n">
        <f aca="false">O1235/L1235</f>
        <v>0.773507372492144</v>
      </c>
      <c r="Y1235" s="92" t="str">
        <f aca="false">IFERROR(VLOOKUP(E:E,'Item Data Support Sheet'!A:J,6,0),0)</f>
        <v>HMC</v>
      </c>
      <c r="Z1235" s="93" t="n">
        <f aca="false">IFERROR(VLOOKUP(E:E,'Item Data Support Sheet'!A:O,4,0),0)</f>
        <v>8.6</v>
      </c>
      <c r="AA1235" s="93" t="n">
        <f aca="false">IFERROR(((N1235)*(Z1235/1000))+P1235,0)</f>
        <v>27.95</v>
      </c>
      <c r="AB1235" s="94" t="n">
        <f aca="false">IFERROR((O1235*(Z1235/1000)/(AA1235))," ")</f>
        <v>0.984615384615385</v>
      </c>
      <c r="AC1235" s="95" t="n">
        <f aca="false">IFERROR((T1235)/((T1235)+O1235),0)</f>
        <v>0.0062111801242236</v>
      </c>
      <c r="AD1235" s="96" t="n">
        <f aca="false">IFERROR(Q1235/(Q1235+N1235),0)</f>
        <v>0.00914634146341463</v>
      </c>
      <c r="AE1235" s="91" t="n">
        <f aca="false">(N1235-T1235)/N1235</f>
        <v>0.993846153846154</v>
      </c>
      <c r="AF1235" s="97" t="n">
        <f aca="false">BR1235</f>
        <v>0</v>
      </c>
      <c r="AG1235" s="98" t="n">
        <f aca="false">K1235-AF1235</f>
        <v>8</v>
      </c>
      <c r="AH1235" s="99" t="n">
        <f aca="false">IFERROR(AG1235/K1235," ")</f>
        <v>1</v>
      </c>
      <c r="AI1235" s="100" t="n">
        <f aca="false">IFERROR(O1235/K1235,0)</f>
        <v>400</v>
      </c>
      <c r="AJ1235" s="101" t="n">
        <f aca="false">VLOOKUP(D1235,'Standard Cycle time'!C:D,2,0)</f>
        <v>6</v>
      </c>
      <c r="AK1235" s="101" t="n">
        <f aca="false">AG1235*V1235*3600/O1235</f>
        <v>9</v>
      </c>
      <c r="AL1235" s="102" t="n">
        <f aca="false">AJ1235/AK1235</f>
        <v>0.666666666666667</v>
      </c>
      <c r="AM1235" s="99" t="n">
        <f aca="false">AE1235*AL1235*AH1235</f>
        <v>0.662564102564102</v>
      </c>
      <c r="AN1235" s="103" t="n">
        <v>0.662564102564102</v>
      </c>
      <c r="AO1235" s="112" t="s">
        <v>2037</v>
      </c>
      <c r="AP1235" s="105" t="n">
        <v>0</v>
      </c>
      <c r="AQ1235" s="105" t="n">
        <v>0</v>
      </c>
      <c r="AR1235" s="105" t="n">
        <v>0</v>
      </c>
      <c r="AS1235" s="105" t="n">
        <v>0</v>
      </c>
      <c r="AT1235" s="105" t="n">
        <v>0</v>
      </c>
      <c r="AU1235" s="105" t="n">
        <v>0</v>
      </c>
      <c r="AV1235" s="105" t="n">
        <v>0</v>
      </c>
      <c r="AW1235" s="105" t="n">
        <v>0</v>
      </c>
      <c r="AX1235" s="105" t="n">
        <v>0</v>
      </c>
      <c r="AY1235" s="105" t="n">
        <v>0</v>
      </c>
      <c r="AZ1235" s="105" t="n">
        <v>0</v>
      </c>
      <c r="BA1235" s="105" t="n">
        <v>0</v>
      </c>
      <c r="BB1235" s="105" t="n">
        <v>0</v>
      </c>
      <c r="BC1235" s="105" t="n">
        <v>0</v>
      </c>
      <c r="BD1235" s="105" t="n">
        <v>0</v>
      </c>
      <c r="BE1235" s="105" t="n">
        <v>0</v>
      </c>
      <c r="BF1235" s="105" t="n">
        <v>0</v>
      </c>
      <c r="BG1235" s="105" t="n">
        <v>0</v>
      </c>
      <c r="BH1235" s="105" t="n">
        <v>0</v>
      </c>
      <c r="BI1235" s="105" t="n">
        <v>0</v>
      </c>
      <c r="BJ1235" s="105" t="n">
        <v>0</v>
      </c>
      <c r="BK1235" s="105" t="n">
        <v>0</v>
      </c>
      <c r="BL1235" s="105" t="n">
        <v>0</v>
      </c>
      <c r="BM1235" s="105" t="n">
        <v>0</v>
      </c>
      <c r="BN1235" s="105" t="n">
        <v>0</v>
      </c>
      <c r="BO1235" s="105" t="n">
        <v>0</v>
      </c>
      <c r="BP1235" s="105" t="n">
        <v>0</v>
      </c>
      <c r="BQ1235" s="105" t="n">
        <v>0</v>
      </c>
      <c r="BR1235" s="106" t="n">
        <v>0</v>
      </c>
      <c r="BS1235" s="106" t="n">
        <v>0</v>
      </c>
      <c r="BT1235" s="107"/>
      <c r="BU1235" s="107"/>
      <c r="BV1235" s="107"/>
      <c r="BW1235" s="107"/>
      <c r="BX1235" s="107"/>
      <c r="BY1235" s="107"/>
      <c r="BZ1235" s="107"/>
      <c r="CA1235" s="107"/>
      <c r="CB1235" s="107"/>
      <c r="CC1235" s="107"/>
      <c r="CD1235" s="107"/>
      <c r="CE1235" s="107"/>
      <c r="CF1235" s="107"/>
      <c r="CG1235" s="107"/>
      <c r="CH1235" s="107"/>
      <c r="CI1235" s="107"/>
      <c r="CJ1235" s="107"/>
      <c r="CK1235" s="107"/>
      <c r="CL1235" s="107"/>
      <c r="CM1235" s="107"/>
      <c r="CN1235" s="107"/>
      <c r="CO1235" s="107"/>
      <c r="CP1235" s="107"/>
      <c r="CQ1235" s="107"/>
      <c r="CR1235" s="107"/>
      <c r="CS1235" s="107"/>
      <c r="CT1235" s="107"/>
      <c r="CU1235" s="107"/>
      <c r="CV1235" s="107"/>
    </row>
    <row r="1236" customFormat="false" ht="14.9" hidden="false" customHeight="false" outlineLevel="0" collapsed="false">
      <c r="A1236" s="74" t="n">
        <f aca="false">MONTH(B1236)</f>
        <v>11</v>
      </c>
      <c r="B1236" s="135" t="n">
        <v>44515</v>
      </c>
      <c r="C1236" s="128" t="s">
        <v>70</v>
      </c>
      <c r="D1236" s="77" t="str">
        <f aca="false">IFERROR(VLOOKUP(E:E,'Item Data Support Sheet'!A:O,7,0),"")</f>
        <v>BOTTLE MOLDED</v>
      </c>
      <c r="E1236" s="80" t="s">
        <v>572</v>
      </c>
      <c r="F1236" s="122" t="s">
        <v>73</v>
      </c>
      <c r="G1236" s="137" t="s">
        <v>74</v>
      </c>
      <c r="H1236" s="79" t="str">
        <f aca="false">IFERROR(VLOOKUP(E:E,'Item Data Support Sheet'!A:O,2,0),"")</f>
        <v>RPP 240 ML BOTTLE MOLDED</v>
      </c>
      <c r="I1236" s="80" t="s">
        <v>2038</v>
      </c>
      <c r="J1236" s="80" t="s">
        <v>155</v>
      </c>
      <c r="K1236" s="124" t="n">
        <v>8</v>
      </c>
      <c r="L1236" s="124" t="n">
        <v>2574</v>
      </c>
      <c r="M1236" s="83" t="n">
        <v>321.75</v>
      </c>
      <c r="N1236" s="84" t="n">
        <f aca="false">+O1236+Q1236+T1236+U1236</f>
        <v>3585</v>
      </c>
      <c r="O1236" s="85" t="n">
        <v>3480</v>
      </c>
      <c r="P1236" s="86" t="n">
        <v>0.915</v>
      </c>
      <c r="Q1236" s="86" t="n">
        <v>45</v>
      </c>
      <c r="R1236" s="132" t="n">
        <v>0</v>
      </c>
      <c r="S1236" s="128" t="n">
        <v>0</v>
      </c>
      <c r="T1236" s="132" t="n">
        <v>60</v>
      </c>
      <c r="U1236" s="128" t="n">
        <v>0</v>
      </c>
      <c r="V1236" s="128" t="n">
        <v>1</v>
      </c>
      <c r="W1236" s="90" t="n">
        <f aca="false">IFERROR(O1236/V1236,0)</f>
        <v>3480</v>
      </c>
      <c r="X1236" s="91" t="n">
        <f aca="false">O1236/L1236</f>
        <v>1.35198135198135</v>
      </c>
      <c r="Y1236" s="92" t="str">
        <f aca="false">IFERROR(VLOOKUP(E:E,'Item Data Support Sheet'!A:J,6,0),0)</f>
        <v>HMC</v>
      </c>
      <c r="Z1236" s="93" t="n">
        <f aca="false">IFERROR(VLOOKUP(E:E,'Item Data Support Sheet'!A:O,4,0),0)</f>
        <v>32.1</v>
      </c>
      <c r="AA1236" s="93" t="n">
        <f aca="false">IFERROR(((N1236)*(Z1236/1000))+P1236,0)</f>
        <v>115.9935</v>
      </c>
      <c r="AB1236" s="94" t="n">
        <f aca="false">IFERROR((O1236*(Z1236/1000)/(AA1236))," ")</f>
        <v>0.963053964230754</v>
      </c>
      <c r="AC1236" s="95" t="n">
        <f aca="false">IFERROR((T1236)/((T1236)+O1236),0)</f>
        <v>0.0169491525423729</v>
      </c>
      <c r="AD1236" s="96" t="n">
        <f aca="false">IFERROR(Q1236/(Q1236+N1236),0)</f>
        <v>0.012396694214876</v>
      </c>
      <c r="AE1236" s="91" t="n">
        <f aca="false">(N1236-T1236)/N1236</f>
        <v>0.98326359832636</v>
      </c>
      <c r="AF1236" s="97" t="n">
        <f aca="false">BR1236</f>
        <v>0</v>
      </c>
      <c r="AG1236" s="98" t="n">
        <f aca="false">K1236-AF1236</f>
        <v>8</v>
      </c>
      <c r="AH1236" s="99" t="n">
        <f aca="false">IFERROR(AG1236/K1236," ")</f>
        <v>1</v>
      </c>
      <c r="AI1236" s="100" t="n">
        <f aca="false">IFERROR(O1236/K1236,0)</f>
        <v>435</v>
      </c>
      <c r="AJ1236" s="101" t="n">
        <f aca="false">VLOOKUP(D1236,'Standard Cycle time'!C:D,2,0)</f>
        <v>9</v>
      </c>
      <c r="AK1236" s="101" t="n">
        <f aca="false">AG1236*V1236*3600/O1236</f>
        <v>8.27586206896552</v>
      </c>
      <c r="AL1236" s="102" t="n">
        <f aca="false">AJ1236/AK1236</f>
        <v>1.0875</v>
      </c>
      <c r="AM1236" s="99" t="n">
        <f aca="false">AE1236*AL1236*AH1236</f>
        <v>1.06929916317992</v>
      </c>
      <c r="AN1236" s="103" t="n">
        <v>1.06929916317992</v>
      </c>
      <c r="AO1236" s="112"/>
      <c r="AP1236" s="105" t="n">
        <v>0</v>
      </c>
      <c r="AQ1236" s="105" t="n">
        <v>0</v>
      </c>
      <c r="AR1236" s="105" t="n">
        <v>0</v>
      </c>
      <c r="AS1236" s="105" t="n">
        <v>0</v>
      </c>
      <c r="AT1236" s="105" t="n">
        <v>0</v>
      </c>
      <c r="AU1236" s="105" t="n">
        <v>0</v>
      </c>
      <c r="AV1236" s="105" t="n">
        <v>0</v>
      </c>
      <c r="AW1236" s="105" t="n">
        <v>0</v>
      </c>
      <c r="AX1236" s="105" t="n">
        <v>0</v>
      </c>
      <c r="AY1236" s="105" t="n">
        <v>0</v>
      </c>
      <c r="AZ1236" s="105" t="n">
        <v>0</v>
      </c>
      <c r="BA1236" s="105" t="n">
        <v>0</v>
      </c>
      <c r="BB1236" s="105" t="n">
        <v>0</v>
      </c>
      <c r="BC1236" s="105" t="n">
        <v>0</v>
      </c>
      <c r="BD1236" s="105" t="n">
        <v>0</v>
      </c>
      <c r="BE1236" s="105" t="n">
        <v>0</v>
      </c>
      <c r="BF1236" s="105" t="n">
        <v>0</v>
      </c>
      <c r="BG1236" s="105" t="n">
        <v>0</v>
      </c>
      <c r="BH1236" s="105" t="n">
        <v>0</v>
      </c>
      <c r="BI1236" s="105" t="n">
        <v>0</v>
      </c>
      <c r="BJ1236" s="105" t="n">
        <v>0</v>
      </c>
      <c r="BK1236" s="105" t="n">
        <v>0</v>
      </c>
      <c r="BL1236" s="105" t="n">
        <v>0</v>
      </c>
      <c r="BM1236" s="105" t="n">
        <v>0</v>
      </c>
      <c r="BN1236" s="105" t="n">
        <v>0</v>
      </c>
      <c r="BO1236" s="105" t="n">
        <v>0</v>
      </c>
      <c r="BP1236" s="105" t="n">
        <v>0</v>
      </c>
      <c r="BQ1236" s="105" t="n">
        <v>0</v>
      </c>
      <c r="BR1236" s="106" t="n">
        <v>0</v>
      </c>
      <c r="BS1236" s="106" t="n">
        <v>0</v>
      </c>
      <c r="BT1236" s="107"/>
      <c r="BU1236" s="107"/>
      <c r="BV1236" s="107"/>
      <c r="BW1236" s="107"/>
      <c r="BX1236" s="107"/>
      <c r="BY1236" s="107"/>
      <c r="BZ1236" s="107"/>
      <c r="CA1236" s="107"/>
      <c r="CB1236" s="107"/>
      <c r="CC1236" s="107"/>
      <c r="CD1236" s="107"/>
      <c r="CE1236" s="107"/>
      <c r="CF1236" s="107"/>
      <c r="CG1236" s="107"/>
      <c r="CH1236" s="107"/>
      <c r="CI1236" s="107"/>
      <c r="CJ1236" s="107"/>
      <c r="CK1236" s="107"/>
      <c r="CL1236" s="107"/>
      <c r="CM1236" s="107"/>
      <c r="CN1236" s="107"/>
      <c r="CO1236" s="107"/>
      <c r="CP1236" s="107"/>
      <c r="CQ1236" s="107"/>
      <c r="CR1236" s="107"/>
      <c r="CS1236" s="107"/>
      <c r="CT1236" s="107"/>
      <c r="CU1236" s="107"/>
      <c r="CV1236" s="107"/>
    </row>
    <row r="1237" customFormat="false" ht="14.9" hidden="false" customHeight="false" outlineLevel="0" collapsed="false">
      <c r="A1237" s="74" t="n">
        <f aca="false">MONTH(B1237)</f>
        <v>11</v>
      </c>
      <c r="B1237" s="135" t="n">
        <v>44515</v>
      </c>
      <c r="C1237" s="128" t="s">
        <v>70</v>
      </c>
      <c r="D1237" s="77" t="str">
        <f aca="false">IFERROR(VLOOKUP(E:E,'Item Data Support Sheet'!A:O,7,0),"")</f>
        <v>NIPPLE PUNCH</v>
      </c>
      <c r="E1237" s="80" t="s">
        <v>666</v>
      </c>
      <c r="F1237" s="122"/>
      <c r="G1237" s="137" t="s">
        <v>54</v>
      </c>
      <c r="H1237" s="79" t="str">
        <f aca="false">IFERROR(VLOOKUP(E:E,'Item Data Support Sheet'!A:O,2,0),"")</f>
        <v>NIPPLE S TYPE L SIZE PUNCHED</v>
      </c>
      <c r="I1237" s="80" t="s">
        <v>2039</v>
      </c>
      <c r="J1237" s="80" t="s">
        <v>155</v>
      </c>
      <c r="K1237" s="124" t="n">
        <v>8</v>
      </c>
      <c r="L1237" s="124" t="n">
        <v>7000</v>
      </c>
      <c r="M1237" s="83" t="n">
        <v>875</v>
      </c>
      <c r="N1237" s="84" t="n">
        <f aca="false">+O1237+Q1237+T1237+U1237</f>
        <v>7000</v>
      </c>
      <c r="O1237" s="85" t="n">
        <v>7000</v>
      </c>
      <c r="P1237" s="86" t="n">
        <v>0</v>
      </c>
      <c r="Q1237" s="86" t="n">
        <v>0</v>
      </c>
      <c r="R1237" s="132" t="n">
        <v>0</v>
      </c>
      <c r="S1237" s="128" t="n">
        <v>0</v>
      </c>
      <c r="T1237" s="132" t="n">
        <v>0</v>
      </c>
      <c r="U1237" s="128" t="n">
        <v>0</v>
      </c>
      <c r="V1237" s="128" t="n">
        <v>1</v>
      </c>
      <c r="W1237" s="90" t="n">
        <f aca="false">IFERROR(O1237/V1237,0)</f>
        <v>7000</v>
      </c>
      <c r="X1237" s="91" t="n">
        <f aca="false">O1237/L1237</f>
        <v>1</v>
      </c>
      <c r="Y1237" s="92" t="str">
        <f aca="false">IFERROR(VLOOKUP(E:E,'Item Data Support Sheet'!A:J,6,0),0)</f>
        <v>FO017</v>
      </c>
      <c r="Z1237" s="93" t="n">
        <f aca="false">IFERROR(VLOOKUP(E:E,'Item Data Support Sheet'!A:O,4,0),0)</f>
        <v>0</v>
      </c>
      <c r="AA1237" s="93" t="n">
        <f aca="false">IFERROR(((N1237)*(Z1237/1000))+P1237,0)</f>
        <v>0</v>
      </c>
      <c r="AB1237" s="94" t="str">
        <f aca="false">IFERROR((O1237*(Z1237/1000)/(AA1237))," ")</f>
        <v> </v>
      </c>
      <c r="AC1237" s="95" t="n">
        <f aca="false">IFERROR((T1237)/((T1237)+O1237),0)</f>
        <v>0</v>
      </c>
      <c r="AD1237" s="96" t="n">
        <f aca="false">IFERROR(Q1237/(Q1237+N1237),0)</f>
        <v>0</v>
      </c>
      <c r="AE1237" s="91" t="n">
        <f aca="false">(N1237-T1237)/N1237</f>
        <v>1</v>
      </c>
      <c r="AF1237" s="97" t="n">
        <f aca="false">BR1237</f>
        <v>0.666666666666667</v>
      </c>
      <c r="AG1237" s="98" t="n">
        <f aca="false">K1237-AF1237</f>
        <v>7.33333333333333</v>
      </c>
      <c r="AH1237" s="99" t="n">
        <f aca="false">IFERROR(AG1237/K1237," ")</f>
        <v>0.916666666666667</v>
      </c>
      <c r="AI1237" s="100" t="n">
        <f aca="false">IFERROR(O1237/K1237,0)</f>
        <v>875</v>
      </c>
      <c r="AJ1237" s="101" t="n">
        <f aca="false">VLOOKUP(D1237,'Standard Cycle time'!C:D,2,0)</f>
        <v>3.5</v>
      </c>
      <c r="AK1237" s="101" t="n">
        <f aca="false">AG1237*V1237*3600/O1237</f>
        <v>3.77142857142857</v>
      </c>
      <c r="AL1237" s="102" t="n">
        <f aca="false">AJ1237/AK1237</f>
        <v>0.928030303030303</v>
      </c>
      <c r="AM1237" s="99" t="n">
        <f aca="false">AE1237*AL1237*AH1237</f>
        <v>0.850694444444444</v>
      </c>
      <c r="AN1237" s="103" t="n">
        <v>0.850694444444444</v>
      </c>
      <c r="AO1237" s="112"/>
      <c r="AP1237" s="105" t="n">
        <v>40</v>
      </c>
      <c r="AQ1237" s="105" t="n">
        <v>0</v>
      </c>
      <c r="AR1237" s="105" t="n">
        <v>0</v>
      </c>
      <c r="AS1237" s="105" t="n">
        <v>0</v>
      </c>
      <c r="AT1237" s="105" t="n">
        <v>0</v>
      </c>
      <c r="AU1237" s="105" t="n">
        <v>0</v>
      </c>
      <c r="AV1237" s="105" t="n">
        <v>0</v>
      </c>
      <c r="AW1237" s="105" t="n">
        <v>0</v>
      </c>
      <c r="AX1237" s="105" t="n">
        <v>0</v>
      </c>
      <c r="AY1237" s="105" t="n">
        <v>0</v>
      </c>
      <c r="AZ1237" s="105" t="n">
        <v>0</v>
      </c>
      <c r="BA1237" s="105" t="n">
        <v>0</v>
      </c>
      <c r="BB1237" s="105" t="n">
        <v>0</v>
      </c>
      <c r="BC1237" s="105" t="n">
        <v>0</v>
      </c>
      <c r="BD1237" s="105" t="n">
        <v>0</v>
      </c>
      <c r="BE1237" s="105" t="n">
        <v>0</v>
      </c>
      <c r="BF1237" s="105" t="n">
        <v>0</v>
      </c>
      <c r="BG1237" s="105" t="n">
        <v>0</v>
      </c>
      <c r="BH1237" s="105" t="n">
        <v>0</v>
      </c>
      <c r="BI1237" s="105" t="n">
        <v>0</v>
      </c>
      <c r="BJ1237" s="105" t="n">
        <v>0</v>
      </c>
      <c r="BK1237" s="105" t="n">
        <v>0</v>
      </c>
      <c r="BL1237" s="105" t="n">
        <v>0</v>
      </c>
      <c r="BM1237" s="105" t="n">
        <v>0</v>
      </c>
      <c r="BN1237" s="105" t="n">
        <v>0</v>
      </c>
      <c r="BO1237" s="105" t="n">
        <v>0</v>
      </c>
      <c r="BP1237" s="105" t="n">
        <v>0</v>
      </c>
      <c r="BQ1237" s="105" t="n">
        <v>0</v>
      </c>
      <c r="BR1237" s="106" t="n">
        <v>0.666666666666667</v>
      </c>
      <c r="BS1237" s="106" t="n">
        <v>0.666666666666667</v>
      </c>
      <c r="BT1237" s="107"/>
      <c r="BU1237" s="107"/>
      <c r="BV1237" s="107"/>
      <c r="BW1237" s="107"/>
      <c r="BX1237" s="107"/>
      <c r="BY1237" s="107"/>
      <c r="BZ1237" s="107"/>
      <c r="CA1237" s="107"/>
      <c r="CB1237" s="107"/>
      <c r="CC1237" s="107"/>
      <c r="CD1237" s="107"/>
      <c r="CE1237" s="107"/>
      <c r="CF1237" s="107"/>
      <c r="CG1237" s="107"/>
      <c r="CH1237" s="107"/>
      <c r="CI1237" s="107"/>
      <c r="CJ1237" s="107"/>
      <c r="CK1237" s="107"/>
      <c r="CL1237" s="107"/>
      <c r="CM1237" s="107"/>
      <c r="CN1237" s="107"/>
      <c r="CO1237" s="107"/>
      <c r="CP1237" s="107"/>
      <c r="CQ1237" s="107"/>
      <c r="CR1237" s="107"/>
      <c r="CS1237" s="107"/>
      <c r="CT1237" s="107"/>
      <c r="CU1237" s="107"/>
      <c r="CV1237" s="107"/>
    </row>
    <row r="1238" customFormat="false" ht="14.9" hidden="false" customHeight="false" outlineLevel="0" collapsed="false">
      <c r="A1238" s="74" t="n">
        <f aca="false">MONTH(B1238)</f>
        <v>11</v>
      </c>
      <c r="B1238" s="135" t="n">
        <v>44515</v>
      </c>
      <c r="C1238" s="128" t="s">
        <v>70</v>
      </c>
      <c r="D1238" s="77" t="str">
        <f aca="false">IFERROR(VLOOKUP(E:E,'Item Data Support Sheet'!A:O,7,0),"")</f>
        <v>NIPPLE LASER MARKING</v>
      </c>
      <c r="E1238" s="80" t="s">
        <v>681</v>
      </c>
      <c r="F1238" s="122"/>
      <c r="G1238" s="137" t="s">
        <v>517</v>
      </c>
      <c r="H1238" s="79" t="str">
        <f aca="false">IFERROR(VLOOKUP(E:E,'Item Data Support Sheet'!A:O,2,0),"")</f>
        <v>NIPPLE S TYPE L SIZE PUNCHED LASER MARKED</v>
      </c>
      <c r="I1238" s="80" t="s">
        <v>2040</v>
      </c>
      <c r="J1238" s="80" t="s">
        <v>155</v>
      </c>
      <c r="K1238" s="124" t="n">
        <v>8</v>
      </c>
      <c r="L1238" s="124" t="n">
        <v>7000</v>
      </c>
      <c r="M1238" s="83" t="n">
        <v>875</v>
      </c>
      <c r="N1238" s="84" t="n">
        <f aca="false">+O1238+Q1238+T1238+U1238</f>
        <v>6000</v>
      </c>
      <c r="O1238" s="85" t="n">
        <v>6000</v>
      </c>
      <c r="P1238" s="86" t="n">
        <v>0</v>
      </c>
      <c r="Q1238" s="86" t="n">
        <v>0</v>
      </c>
      <c r="R1238" s="132" t="n">
        <v>0</v>
      </c>
      <c r="S1238" s="128" t="n">
        <v>0</v>
      </c>
      <c r="T1238" s="132" t="n">
        <v>0</v>
      </c>
      <c r="U1238" s="128" t="n">
        <v>0</v>
      </c>
      <c r="V1238" s="128" t="n">
        <v>1</v>
      </c>
      <c r="W1238" s="90" t="n">
        <f aca="false">IFERROR(O1238/V1238,0)</f>
        <v>6000</v>
      </c>
      <c r="X1238" s="91" t="n">
        <f aca="false">O1238/L1238</f>
        <v>0.857142857142857</v>
      </c>
      <c r="Y1238" s="92" t="str">
        <f aca="false">IFERROR(VLOOKUP(E:E,'Item Data Support Sheet'!A:J,6,0),0)</f>
        <v>FO021</v>
      </c>
      <c r="Z1238" s="93" t="n">
        <f aca="false">IFERROR(VLOOKUP(E:E,'Item Data Support Sheet'!A:O,4,0),0)</f>
        <v>0</v>
      </c>
      <c r="AA1238" s="93" t="n">
        <f aca="false">IFERROR(((N1238)*(Z1238/1000))+P1238,0)</f>
        <v>0</v>
      </c>
      <c r="AB1238" s="94" t="str">
        <f aca="false">IFERROR((O1238*(Z1238/1000)/(AA1238))," ")</f>
        <v> </v>
      </c>
      <c r="AC1238" s="95" t="n">
        <f aca="false">IFERROR((T1238)/((T1238)+O1238),0)</f>
        <v>0</v>
      </c>
      <c r="AD1238" s="96" t="n">
        <f aca="false">IFERROR(Q1238/(Q1238+N1238),0)</f>
        <v>0</v>
      </c>
      <c r="AE1238" s="91" t="n">
        <f aca="false">(N1238-T1238)/N1238</f>
        <v>1</v>
      </c>
      <c r="AF1238" s="97" t="n">
        <f aca="false">BR1238</f>
        <v>0.666666666666667</v>
      </c>
      <c r="AG1238" s="98" t="n">
        <f aca="false">K1238-AF1238</f>
        <v>7.33333333333333</v>
      </c>
      <c r="AH1238" s="99" t="n">
        <f aca="false">IFERROR(AG1238/K1238," ")</f>
        <v>0.916666666666667</v>
      </c>
      <c r="AI1238" s="100" t="n">
        <f aca="false">IFERROR(O1238/K1238,0)</f>
        <v>750</v>
      </c>
      <c r="AJ1238" s="101" t="n">
        <f aca="false">VLOOKUP(D1238,'Standard Cycle time'!C:D,2,0)</f>
        <v>3.5</v>
      </c>
      <c r="AK1238" s="101" t="n">
        <f aca="false">AG1238*V1238*3600/O1238</f>
        <v>4.4</v>
      </c>
      <c r="AL1238" s="102" t="n">
        <f aca="false">AJ1238/AK1238</f>
        <v>0.795454545454545</v>
      </c>
      <c r="AM1238" s="99" t="n">
        <f aca="false">AE1238*AL1238*AH1238</f>
        <v>0.729166666666667</v>
      </c>
      <c r="AN1238" s="103" t="n">
        <v>0.729166666666667</v>
      </c>
      <c r="AO1238" s="112"/>
      <c r="AP1238" s="105" t="n">
        <v>40</v>
      </c>
      <c r="AQ1238" s="105" t="n">
        <v>0</v>
      </c>
      <c r="AR1238" s="105" t="n">
        <v>0</v>
      </c>
      <c r="AS1238" s="105" t="n">
        <v>0</v>
      </c>
      <c r="AT1238" s="105" t="n">
        <v>0</v>
      </c>
      <c r="AU1238" s="105" t="n">
        <v>0</v>
      </c>
      <c r="AV1238" s="105" t="n">
        <v>0</v>
      </c>
      <c r="AW1238" s="105" t="n">
        <v>0</v>
      </c>
      <c r="AX1238" s="105" t="n">
        <v>0</v>
      </c>
      <c r="AY1238" s="105" t="n">
        <v>0</v>
      </c>
      <c r="AZ1238" s="105" t="n">
        <v>0</v>
      </c>
      <c r="BA1238" s="105" t="n">
        <v>0</v>
      </c>
      <c r="BB1238" s="105" t="n">
        <v>0</v>
      </c>
      <c r="BC1238" s="105" t="n">
        <v>0</v>
      </c>
      <c r="BD1238" s="105" t="n">
        <v>0</v>
      </c>
      <c r="BE1238" s="105" t="n">
        <v>0</v>
      </c>
      <c r="BF1238" s="105" t="n">
        <v>0</v>
      </c>
      <c r="BG1238" s="105" t="n">
        <v>0</v>
      </c>
      <c r="BH1238" s="105" t="n">
        <v>0</v>
      </c>
      <c r="BI1238" s="105" t="n">
        <v>0</v>
      </c>
      <c r="BJ1238" s="105" t="n">
        <v>0</v>
      </c>
      <c r="BK1238" s="105" t="n">
        <v>0</v>
      </c>
      <c r="BL1238" s="105" t="n">
        <v>0</v>
      </c>
      <c r="BM1238" s="105" t="n">
        <v>0</v>
      </c>
      <c r="BN1238" s="105" t="n">
        <v>0</v>
      </c>
      <c r="BO1238" s="105" t="n">
        <v>0</v>
      </c>
      <c r="BP1238" s="105" t="n">
        <v>0</v>
      </c>
      <c r="BQ1238" s="105" t="n">
        <v>0</v>
      </c>
      <c r="BR1238" s="106" t="n">
        <v>0.666666666666667</v>
      </c>
      <c r="BS1238" s="106" t="n">
        <v>0.666666666666667</v>
      </c>
      <c r="BT1238" s="107"/>
      <c r="BU1238" s="107"/>
      <c r="BV1238" s="107"/>
      <c r="BW1238" s="107"/>
      <c r="BX1238" s="107"/>
      <c r="BY1238" s="107"/>
      <c r="BZ1238" s="107"/>
      <c r="CA1238" s="107"/>
      <c r="CB1238" s="107"/>
      <c r="CC1238" s="107"/>
      <c r="CD1238" s="107"/>
      <c r="CE1238" s="107"/>
      <c r="CF1238" s="107"/>
      <c r="CG1238" s="107"/>
      <c r="CH1238" s="107"/>
      <c r="CI1238" s="107"/>
      <c r="CJ1238" s="107"/>
      <c r="CK1238" s="107"/>
      <c r="CL1238" s="107"/>
      <c r="CM1238" s="107"/>
      <c r="CN1238" s="107"/>
      <c r="CO1238" s="107"/>
      <c r="CP1238" s="107"/>
      <c r="CQ1238" s="107"/>
      <c r="CR1238" s="107"/>
      <c r="CS1238" s="107"/>
      <c r="CT1238" s="107"/>
      <c r="CU1238" s="107"/>
      <c r="CV1238" s="107"/>
    </row>
    <row r="1239" customFormat="false" ht="14.9" hidden="false" customHeight="false" outlineLevel="0" collapsed="false">
      <c r="A1239" s="74" t="n">
        <f aca="false">MONTH(B1239)</f>
        <v>11</v>
      </c>
      <c r="B1239" s="135" t="n">
        <v>44515</v>
      </c>
      <c r="C1239" s="128" t="s">
        <v>70</v>
      </c>
      <c r="D1239" s="77" t="str">
        <f aca="false">IFERROR(VLOOKUP(E:E,'Item Data Support Sheet'!A:O,7,0),"")</f>
        <v>BOTTLE PRINTED</v>
      </c>
      <c r="E1239" s="80" t="s">
        <v>65</v>
      </c>
      <c r="F1239" s="122"/>
      <c r="G1239" s="137"/>
      <c r="H1239" s="79" t="str">
        <f aca="false">IFERROR(VLOOKUP(E:E,'Item Data Support Sheet'!A:O,2,0),"")</f>
        <v>KPP 240 ML BOTTLE PRINTED</v>
      </c>
      <c r="I1239" s="80" t="s">
        <v>2041</v>
      </c>
      <c r="J1239" s="80" t="s">
        <v>155</v>
      </c>
      <c r="K1239" s="124" t="n">
        <v>8</v>
      </c>
      <c r="L1239" s="124" t="n">
        <v>5100</v>
      </c>
      <c r="M1239" s="83" t="n">
        <v>637.5</v>
      </c>
      <c r="N1239" s="84" t="n">
        <f aca="false">+O1239+Q1239+T1239+U1239</f>
        <v>4479</v>
      </c>
      <c r="O1239" s="85" t="n">
        <v>4428</v>
      </c>
      <c r="P1239" s="86" t="n">
        <v>0</v>
      </c>
      <c r="Q1239" s="86" t="n">
        <v>0</v>
      </c>
      <c r="R1239" s="132" t="n">
        <v>61</v>
      </c>
      <c r="S1239" s="128" t="n">
        <v>0</v>
      </c>
      <c r="T1239" s="132" t="n">
        <v>51</v>
      </c>
      <c r="U1239" s="128" t="n">
        <v>0</v>
      </c>
      <c r="V1239" s="128" t="n">
        <v>5</v>
      </c>
      <c r="W1239" s="90" t="n">
        <f aca="false">IFERROR(O1239/V1239,0)</f>
        <v>885.6</v>
      </c>
      <c r="X1239" s="91" t="n">
        <f aca="false">O1239/L1239</f>
        <v>0.868235294117647</v>
      </c>
      <c r="Y1239" s="92" t="str">
        <f aca="false">IFERROR(VLOOKUP(E:E,'Item Data Support Sheet'!A:J,6,0),0)</f>
        <v>FO003</v>
      </c>
      <c r="Z1239" s="93" t="n">
        <f aca="false">IFERROR(VLOOKUP(E:E,'Item Data Support Sheet'!A:O,4,0),0)</f>
        <v>0</v>
      </c>
      <c r="AA1239" s="93" t="n">
        <f aca="false">IFERROR(((N1239)*(Z1239/1000))+P1239,0)</f>
        <v>0</v>
      </c>
      <c r="AB1239" s="94" t="str">
        <f aca="false">IFERROR((O1239*(Z1239/1000)/(AA1239))," ")</f>
        <v> </v>
      </c>
      <c r="AC1239" s="95" t="n">
        <f aca="false">IFERROR((T1239)/((T1239)+O1239),0)</f>
        <v>0.0113864701942398</v>
      </c>
      <c r="AD1239" s="96" t="n">
        <f aca="false">IFERROR(Q1239/(Q1239+N1239),0)</f>
        <v>0</v>
      </c>
      <c r="AE1239" s="91" t="n">
        <f aca="false">(N1239-T1239)/N1239</f>
        <v>0.98861352980576</v>
      </c>
      <c r="AF1239" s="97" t="n">
        <f aca="false">BR1239</f>
        <v>0</v>
      </c>
      <c r="AG1239" s="98" t="n">
        <f aca="false">K1239-AF1239</f>
        <v>8</v>
      </c>
      <c r="AH1239" s="99" t="n">
        <f aca="false">IFERROR(AG1239/K1239," ")</f>
        <v>1</v>
      </c>
      <c r="AI1239" s="100" t="n">
        <f aca="false">IFERROR(O1239/K1239,0)</f>
        <v>553.5</v>
      </c>
      <c r="AJ1239" s="101" t="n">
        <f aca="false">VLOOKUP(D1239,'Standard Cycle time'!C:D,2,0)</f>
        <v>32.4</v>
      </c>
      <c r="AK1239" s="101" t="n">
        <f aca="false">AG1239*V1239*3600/O1239</f>
        <v>32.520325203252</v>
      </c>
      <c r="AL1239" s="102" t="n">
        <f aca="false">AJ1239/AK1239</f>
        <v>0.9963</v>
      </c>
      <c r="AM1239" s="99" t="n">
        <f aca="false">AE1239*AL1239*AH1239</f>
        <v>0.984955659745479</v>
      </c>
      <c r="AN1239" s="103" t="n">
        <v>0.984955659745479</v>
      </c>
      <c r="AO1239" s="112"/>
      <c r="AP1239" s="105" t="n">
        <v>0</v>
      </c>
      <c r="AQ1239" s="105" t="n">
        <v>0</v>
      </c>
      <c r="AR1239" s="105" t="n">
        <v>0</v>
      </c>
      <c r="AS1239" s="105" t="n">
        <v>0</v>
      </c>
      <c r="AT1239" s="105" t="n">
        <v>0</v>
      </c>
      <c r="AU1239" s="105" t="n">
        <v>0</v>
      </c>
      <c r="AV1239" s="105" t="n">
        <v>0</v>
      </c>
      <c r="AW1239" s="105" t="n">
        <v>0</v>
      </c>
      <c r="AX1239" s="105" t="n">
        <v>0</v>
      </c>
      <c r="AY1239" s="105" t="n">
        <v>0</v>
      </c>
      <c r="AZ1239" s="105" t="n">
        <v>0</v>
      </c>
      <c r="BA1239" s="105" t="n">
        <v>0</v>
      </c>
      <c r="BB1239" s="105" t="n">
        <v>0</v>
      </c>
      <c r="BC1239" s="105" t="n">
        <v>0</v>
      </c>
      <c r="BD1239" s="105" t="n">
        <v>0</v>
      </c>
      <c r="BE1239" s="105" t="n">
        <v>0</v>
      </c>
      <c r="BF1239" s="105" t="n">
        <v>0</v>
      </c>
      <c r="BG1239" s="105" t="n">
        <v>0</v>
      </c>
      <c r="BH1239" s="105" t="n">
        <v>0</v>
      </c>
      <c r="BI1239" s="105" t="n">
        <v>0</v>
      </c>
      <c r="BJ1239" s="105" t="n">
        <v>0</v>
      </c>
      <c r="BK1239" s="105" t="n">
        <v>0</v>
      </c>
      <c r="BL1239" s="105" t="n">
        <v>0</v>
      </c>
      <c r="BM1239" s="105" t="n">
        <v>0</v>
      </c>
      <c r="BN1239" s="105" t="n">
        <v>0</v>
      </c>
      <c r="BO1239" s="105" t="n">
        <v>0</v>
      </c>
      <c r="BP1239" s="105" t="n">
        <v>0</v>
      </c>
      <c r="BQ1239" s="105" t="n">
        <v>0</v>
      </c>
      <c r="BR1239" s="106" t="n">
        <v>0</v>
      </c>
      <c r="BS1239" s="106" t="n">
        <v>0</v>
      </c>
      <c r="BT1239" s="107"/>
      <c r="BU1239" s="107"/>
      <c r="BV1239" s="107"/>
      <c r="BW1239" s="107"/>
      <c r="BX1239" s="107"/>
      <c r="BY1239" s="107"/>
      <c r="BZ1239" s="107"/>
      <c r="CA1239" s="107"/>
      <c r="CB1239" s="107"/>
      <c r="CC1239" s="107"/>
      <c r="CD1239" s="107"/>
      <c r="CE1239" s="107"/>
      <c r="CF1239" s="107"/>
      <c r="CG1239" s="107"/>
      <c r="CH1239" s="107"/>
      <c r="CI1239" s="107"/>
      <c r="CJ1239" s="107"/>
      <c r="CK1239" s="107"/>
      <c r="CL1239" s="107"/>
      <c r="CM1239" s="107"/>
      <c r="CN1239" s="107"/>
      <c r="CO1239" s="107"/>
      <c r="CP1239" s="107"/>
      <c r="CQ1239" s="107"/>
      <c r="CR1239" s="107"/>
      <c r="CS1239" s="107"/>
      <c r="CT1239" s="107"/>
      <c r="CU1239" s="107"/>
      <c r="CV1239" s="107"/>
    </row>
    <row r="1240" customFormat="false" ht="14.9" hidden="false" customHeight="false" outlineLevel="0" collapsed="false">
      <c r="A1240" s="74" t="n">
        <f aca="false">MONTH(B1240)</f>
        <v>11</v>
      </c>
      <c r="B1240" s="135" t="n">
        <v>44515</v>
      </c>
      <c r="C1240" s="128" t="s">
        <v>152</v>
      </c>
      <c r="D1240" s="77" t="str">
        <f aca="false">IFERROR(VLOOKUP(E:E,'Item Data Support Sheet'!A:O,7,0),"")</f>
        <v>BOTTLE MOLDED</v>
      </c>
      <c r="E1240" s="80" t="s">
        <v>572</v>
      </c>
      <c r="F1240" s="122" t="s">
        <v>589</v>
      </c>
      <c r="G1240" s="137" t="s">
        <v>74</v>
      </c>
      <c r="H1240" s="79" t="str">
        <f aca="false">IFERROR(VLOOKUP(E:E,'Item Data Support Sheet'!A:O,2,0),"")</f>
        <v>RPP 240 ML BOTTLE MOLDED</v>
      </c>
      <c r="I1240" s="80" t="s">
        <v>2042</v>
      </c>
      <c r="J1240" s="80" t="s">
        <v>1913</v>
      </c>
      <c r="K1240" s="124" t="n">
        <v>8</v>
      </c>
      <c r="L1240" s="124" t="n">
        <v>2574</v>
      </c>
      <c r="M1240" s="83" t="n">
        <v>321.75</v>
      </c>
      <c r="N1240" s="84" t="n">
        <f aca="false">+O1240+Q1240+T1240+U1240</f>
        <v>3239</v>
      </c>
      <c r="O1240" s="85" t="n">
        <v>3120</v>
      </c>
      <c r="P1240" s="86" t="n">
        <v>0.4</v>
      </c>
      <c r="Q1240" s="86" t="n">
        <v>48</v>
      </c>
      <c r="R1240" s="132" t="n">
        <v>0</v>
      </c>
      <c r="S1240" s="128" t="n">
        <v>0</v>
      </c>
      <c r="T1240" s="132" t="n">
        <v>63</v>
      </c>
      <c r="U1240" s="128" t="n">
        <v>8</v>
      </c>
      <c r="V1240" s="128" t="n">
        <v>1</v>
      </c>
      <c r="W1240" s="90" t="n">
        <f aca="false">IFERROR(O1240/V1240,0)</f>
        <v>3120</v>
      </c>
      <c r="X1240" s="91" t="n">
        <f aca="false">O1240/L1240</f>
        <v>1.21212121212121</v>
      </c>
      <c r="Y1240" s="92" t="str">
        <f aca="false">IFERROR(VLOOKUP(E:E,'Item Data Support Sheet'!A:J,6,0),0)</f>
        <v>HMC</v>
      </c>
      <c r="Z1240" s="93" t="n">
        <f aca="false">IFERROR(VLOOKUP(E:E,'Item Data Support Sheet'!A:O,4,0),0)</f>
        <v>32.1</v>
      </c>
      <c r="AA1240" s="93" t="n">
        <f aca="false">IFERROR(((N1240)*(Z1240/1000))+P1240,0)</f>
        <v>104.3719</v>
      </c>
      <c r="AB1240" s="94" t="n">
        <f aca="false">IFERROR((O1240*(Z1240/1000)/(AA1240))," ")</f>
        <v>0.959568619523071</v>
      </c>
      <c r="AC1240" s="95" t="n">
        <f aca="false">IFERROR((T1240)/((T1240)+O1240),0)</f>
        <v>0.0197926484448633</v>
      </c>
      <c r="AD1240" s="96" t="n">
        <f aca="false">IFERROR(Q1240/(Q1240+N1240),0)</f>
        <v>0.0146029814420444</v>
      </c>
      <c r="AE1240" s="91" t="n">
        <f aca="false">(N1240-T1240)/N1240</f>
        <v>0.980549552330966</v>
      </c>
      <c r="AF1240" s="97" t="n">
        <f aca="false">BR1240</f>
        <v>0</v>
      </c>
      <c r="AG1240" s="98" t="n">
        <f aca="false">K1240-AF1240</f>
        <v>8</v>
      </c>
      <c r="AH1240" s="99" t="n">
        <f aca="false">IFERROR(AG1240/K1240," ")</f>
        <v>1</v>
      </c>
      <c r="AI1240" s="100" t="n">
        <f aca="false">IFERROR(O1240/K1240,0)</f>
        <v>390</v>
      </c>
      <c r="AJ1240" s="101" t="n">
        <f aca="false">VLOOKUP(D1240,'Standard Cycle time'!C:D,2,0)</f>
        <v>9</v>
      </c>
      <c r="AK1240" s="101" t="n">
        <f aca="false">AG1240*V1240*3600/O1240</f>
        <v>9.23076923076923</v>
      </c>
      <c r="AL1240" s="102" t="n">
        <f aca="false">AJ1240/AK1240</f>
        <v>0.975</v>
      </c>
      <c r="AM1240" s="99" t="n">
        <f aca="false">AE1240*AL1240*AH1240</f>
        <v>0.956035813522692</v>
      </c>
      <c r="AN1240" s="103" t="n">
        <v>0.956035813522692</v>
      </c>
      <c r="AO1240" s="112"/>
      <c r="AP1240" s="105" t="n">
        <v>0</v>
      </c>
      <c r="AQ1240" s="105" t="n">
        <v>0</v>
      </c>
      <c r="AR1240" s="105" t="n">
        <v>0</v>
      </c>
      <c r="AS1240" s="105" t="n">
        <v>0</v>
      </c>
      <c r="AT1240" s="105" t="n">
        <v>0</v>
      </c>
      <c r="AU1240" s="105" t="n">
        <v>0</v>
      </c>
      <c r="AV1240" s="105" t="n">
        <v>0</v>
      </c>
      <c r="AW1240" s="105" t="n">
        <v>0</v>
      </c>
      <c r="AX1240" s="105" t="n">
        <v>0</v>
      </c>
      <c r="AY1240" s="105" t="n">
        <v>0</v>
      </c>
      <c r="AZ1240" s="105" t="n">
        <v>0</v>
      </c>
      <c r="BA1240" s="105" t="n">
        <v>0</v>
      </c>
      <c r="BB1240" s="105" t="n">
        <v>0</v>
      </c>
      <c r="BC1240" s="105" t="n">
        <v>0</v>
      </c>
      <c r="BD1240" s="105" t="n">
        <v>0</v>
      </c>
      <c r="BE1240" s="105" t="n">
        <v>0</v>
      </c>
      <c r="BF1240" s="105" t="n">
        <v>0</v>
      </c>
      <c r="BG1240" s="105" t="n">
        <v>0</v>
      </c>
      <c r="BH1240" s="105" t="n">
        <v>0</v>
      </c>
      <c r="BI1240" s="105" t="n">
        <v>0</v>
      </c>
      <c r="BJ1240" s="105" t="n">
        <v>0</v>
      </c>
      <c r="BK1240" s="105" t="n">
        <v>0</v>
      </c>
      <c r="BL1240" s="105" t="n">
        <v>0</v>
      </c>
      <c r="BM1240" s="105" t="n">
        <v>0</v>
      </c>
      <c r="BN1240" s="105" t="n">
        <v>0</v>
      </c>
      <c r="BO1240" s="105" t="n">
        <v>0</v>
      </c>
      <c r="BP1240" s="105" t="n">
        <v>0</v>
      </c>
      <c r="BQ1240" s="105" t="n">
        <v>0</v>
      </c>
      <c r="BR1240" s="106" t="n">
        <v>0</v>
      </c>
      <c r="BS1240" s="106" t="n">
        <v>0</v>
      </c>
      <c r="BT1240" s="107"/>
      <c r="BU1240" s="107"/>
      <c r="BV1240" s="107"/>
      <c r="BW1240" s="107"/>
      <c r="BX1240" s="107"/>
      <c r="BY1240" s="107"/>
      <c r="BZ1240" s="107"/>
      <c r="CA1240" s="107"/>
      <c r="CB1240" s="107"/>
      <c r="CC1240" s="107"/>
      <c r="CD1240" s="107"/>
      <c r="CE1240" s="107"/>
      <c r="CF1240" s="107"/>
      <c r="CG1240" s="107"/>
      <c r="CH1240" s="107"/>
      <c r="CI1240" s="107"/>
      <c r="CJ1240" s="107"/>
      <c r="CK1240" s="107"/>
      <c r="CL1240" s="107"/>
      <c r="CM1240" s="107"/>
      <c r="CN1240" s="107"/>
      <c r="CO1240" s="107"/>
      <c r="CP1240" s="107"/>
      <c r="CQ1240" s="107"/>
      <c r="CR1240" s="107"/>
      <c r="CS1240" s="107"/>
      <c r="CT1240" s="107"/>
      <c r="CU1240" s="107"/>
      <c r="CV1240" s="107"/>
    </row>
    <row r="1241" customFormat="false" ht="14.9" hidden="false" customHeight="false" outlineLevel="0" collapsed="false">
      <c r="A1241" s="74" t="n">
        <f aca="false">MONTH(B1241)</f>
        <v>11</v>
      </c>
      <c r="B1241" s="135" t="n">
        <v>44515</v>
      </c>
      <c r="C1241" s="128" t="s">
        <v>152</v>
      </c>
      <c r="D1241" s="77" t="str">
        <f aca="false">IFERROR(VLOOKUP(E:E,'Item Data Support Sheet'!A:O,7,0),"")</f>
        <v>NIPPLE MOLDED</v>
      </c>
      <c r="E1241" s="80" t="s">
        <v>661</v>
      </c>
      <c r="F1241" s="122" t="s">
        <v>137</v>
      </c>
      <c r="G1241" s="137" t="s">
        <v>138</v>
      </c>
      <c r="H1241" s="79" t="str">
        <f aca="false">IFERROR(VLOOKUP(E:E,'Item Data Support Sheet'!A:O,2,0),"")</f>
        <v>NIPPLE S TYPE L SIZE INJECTION</v>
      </c>
      <c r="I1241" s="80" t="s">
        <v>2043</v>
      </c>
      <c r="J1241" s="80" t="s">
        <v>1913</v>
      </c>
      <c r="K1241" s="124" t="n">
        <v>8</v>
      </c>
      <c r="L1241" s="124" t="n">
        <v>4815</v>
      </c>
      <c r="M1241" s="83" t="n">
        <v>601.875</v>
      </c>
      <c r="N1241" s="84" t="n">
        <f aca="false">+O1241+Q1241+T1241+U1241</f>
        <v>4376</v>
      </c>
      <c r="O1241" s="85" t="n">
        <v>4200</v>
      </c>
      <c r="P1241" s="86" t="n">
        <v>0</v>
      </c>
      <c r="Q1241" s="86" t="n">
        <v>107</v>
      </c>
      <c r="R1241" s="132" t="n">
        <v>0</v>
      </c>
      <c r="S1241" s="128" t="n">
        <v>0</v>
      </c>
      <c r="T1241" s="132" t="n">
        <v>53</v>
      </c>
      <c r="U1241" s="128" t="n">
        <v>16</v>
      </c>
      <c r="V1241" s="128" t="n">
        <v>1</v>
      </c>
      <c r="W1241" s="90" t="n">
        <f aca="false">IFERROR(O1241/V1241,0)</f>
        <v>4200</v>
      </c>
      <c r="X1241" s="91" t="n">
        <f aca="false">O1241/L1241</f>
        <v>0.872274143302181</v>
      </c>
      <c r="Y1241" s="92" t="str">
        <f aca="false">IFERROR(VLOOKUP(E:E,'Item Data Support Sheet'!A:J,6,0),0)</f>
        <v>Silicon</v>
      </c>
      <c r="Z1241" s="93" t="n">
        <f aca="false">IFERROR(VLOOKUP(E:E,'Item Data Support Sheet'!A:O,4,0),0)</f>
        <v>6.8</v>
      </c>
      <c r="AA1241" s="93" t="n">
        <f aca="false">IFERROR(((N1241)*(Z1241/1000))+P1241,0)</f>
        <v>29.7568</v>
      </c>
      <c r="AB1241" s="94" t="n">
        <f aca="false">IFERROR((O1241*(Z1241/1000)/(AA1241))," ")</f>
        <v>0.959780621572212</v>
      </c>
      <c r="AC1241" s="95" t="n">
        <f aca="false">IFERROR((T1241)/((T1241)+O1241),0)</f>
        <v>0.0124617916764637</v>
      </c>
      <c r="AD1241" s="96" t="n">
        <f aca="false">IFERROR(Q1241/(Q1241+N1241),0)</f>
        <v>0.0238679455721615</v>
      </c>
      <c r="AE1241" s="91" t="n">
        <f aca="false">(N1241-T1241)/N1241</f>
        <v>0.987888482632541</v>
      </c>
      <c r="AF1241" s="97" t="n">
        <f aca="false">BR1241</f>
        <v>1</v>
      </c>
      <c r="AG1241" s="98" t="n">
        <f aca="false">K1241-AF1241</f>
        <v>7</v>
      </c>
      <c r="AH1241" s="99" t="n">
        <f aca="false">IFERROR(AG1241/K1241," ")</f>
        <v>0.875</v>
      </c>
      <c r="AI1241" s="100" t="n">
        <f aca="false">IFERROR(O1241/K1241,0)</f>
        <v>525</v>
      </c>
      <c r="AJ1241" s="101" t="n">
        <f aca="false">VLOOKUP(D1241,'Standard Cycle time'!C:D,2,0)</f>
        <v>5.25</v>
      </c>
      <c r="AK1241" s="101" t="n">
        <f aca="false">AG1241*V1241*3600/O1241</f>
        <v>6</v>
      </c>
      <c r="AL1241" s="102" t="n">
        <f aca="false">AJ1241/AK1241</f>
        <v>0.875</v>
      </c>
      <c r="AM1241" s="99" t="n">
        <f aca="false">AE1241*AL1241*AH1241</f>
        <v>0.756352119515539</v>
      </c>
      <c r="AN1241" s="103" t="n">
        <v>0.75635211951554</v>
      </c>
      <c r="AO1241" s="112" t="s">
        <v>2044</v>
      </c>
      <c r="AP1241" s="105" t="n">
        <v>0</v>
      </c>
      <c r="AQ1241" s="105" t="n">
        <v>0</v>
      </c>
      <c r="AR1241" s="105" t="n">
        <v>0</v>
      </c>
      <c r="AS1241" s="105" t="n">
        <v>0</v>
      </c>
      <c r="AT1241" s="105" t="n">
        <v>0</v>
      </c>
      <c r="AU1241" s="105" t="n">
        <v>60</v>
      </c>
      <c r="AV1241" s="105" t="n">
        <v>0</v>
      </c>
      <c r="AW1241" s="105" t="n">
        <v>0</v>
      </c>
      <c r="AX1241" s="105" t="n">
        <v>0</v>
      </c>
      <c r="AY1241" s="105" t="n">
        <v>0</v>
      </c>
      <c r="AZ1241" s="105" t="n">
        <v>0</v>
      </c>
      <c r="BA1241" s="105" t="n">
        <v>0</v>
      </c>
      <c r="BB1241" s="105" t="n">
        <v>0</v>
      </c>
      <c r="BC1241" s="105" t="n">
        <v>0</v>
      </c>
      <c r="BD1241" s="105" t="n">
        <v>0</v>
      </c>
      <c r="BE1241" s="105" t="n">
        <v>0</v>
      </c>
      <c r="BF1241" s="105" t="n">
        <v>0</v>
      </c>
      <c r="BG1241" s="105" t="n">
        <v>0</v>
      </c>
      <c r="BH1241" s="105" t="n">
        <v>0</v>
      </c>
      <c r="BI1241" s="105" t="n">
        <v>0</v>
      </c>
      <c r="BJ1241" s="105" t="n">
        <v>0</v>
      </c>
      <c r="BK1241" s="105" t="n">
        <v>0</v>
      </c>
      <c r="BL1241" s="105" t="n">
        <v>0</v>
      </c>
      <c r="BM1241" s="105" t="n">
        <v>0</v>
      </c>
      <c r="BN1241" s="105" t="n">
        <v>0</v>
      </c>
      <c r="BO1241" s="105" t="n">
        <v>0</v>
      </c>
      <c r="BP1241" s="105" t="n">
        <v>0</v>
      </c>
      <c r="BQ1241" s="105" t="n">
        <v>0</v>
      </c>
      <c r="BR1241" s="106" t="n">
        <v>1</v>
      </c>
      <c r="BS1241" s="106" t="n">
        <v>1</v>
      </c>
      <c r="BT1241" s="107"/>
      <c r="BU1241" s="107"/>
      <c r="BV1241" s="107"/>
      <c r="BW1241" s="107"/>
      <c r="BX1241" s="107"/>
      <c r="BY1241" s="107"/>
      <c r="BZ1241" s="107"/>
      <c r="CA1241" s="107"/>
      <c r="CB1241" s="107"/>
      <c r="CC1241" s="107"/>
      <c r="CD1241" s="107"/>
      <c r="CE1241" s="107"/>
      <c r="CF1241" s="107"/>
      <c r="CG1241" s="107"/>
      <c r="CH1241" s="107"/>
      <c r="CI1241" s="107"/>
      <c r="CJ1241" s="107"/>
      <c r="CK1241" s="107"/>
      <c r="CL1241" s="107"/>
      <c r="CM1241" s="107"/>
      <c r="CN1241" s="107"/>
      <c r="CO1241" s="107"/>
      <c r="CP1241" s="107"/>
      <c r="CQ1241" s="107"/>
      <c r="CR1241" s="107"/>
      <c r="CS1241" s="107"/>
      <c r="CT1241" s="107"/>
      <c r="CU1241" s="107"/>
      <c r="CV1241" s="107"/>
    </row>
    <row r="1242" customFormat="false" ht="14.9" hidden="false" customHeight="false" outlineLevel="0" collapsed="false">
      <c r="A1242" s="74" t="n">
        <f aca="false">MONTH(B1242)</f>
        <v>11</v>
      </c>
      <c r="B1242" s="135" t="n">
        <v>44515</v>
      </c>
      <c r="C1242" s="128" t="s">
        <v>152</v>
      </c>
      <c r="D1242" s="77" t="str">
        <f aca="false">IFERROR(VLOOKUP(E:E,'Item Data Support Sheet'!A:O,7,0),"")</f>
        <v>HOOD MOLDED</v>
      </c>
      <c r="E1242" s="80" t="s">
        <v>529</v>
      </c>
      <c r="F1242" s="122"/>
      <c r="G1242" s="137" t="s">
        <v>740</v>
      </c>
      <c r="H1242" s="79" t="str">
        <f aca="false">IFERROR(VLOOKUP(E:E,'Item Data Support Sheet'!A:O,2,0),"")</f>
        <v>HOOD S TYPE MOLDED</v>
      </c>
      <c r="I1242" s="80" t="s">
        <v>2045</v>
      </c>
      <c r="J1242" s="80" t="s">
        <v>1913</v>
      </c>
      <c r="K1242" s="124" t="n">
        <v>8</v>
      </c>
      <c r="L1242" s="124" t="n">
        <v>4137</v>
      </c>
      <c r="M1242" s="83" t="n">
        <v>517.125</v>
      </c>
      <c r="N1242" s="84" t="n">
        <f aca="false">+O1242+Q1242+T1242+U1242</f>
        <v>4833</v>
      </c>
      <c r="O1242" s="85" t="n">
        <v>4800</v>
      </c>
      <c r="P1242" s="86" t="n">
        <v>0</v>
      </c>
      <c r="Q1242" s="86" t="n">
        <v>0</v>
      </c>
      <c r="R1242" s="132" t="n">
        <v>0</v>
      </c>
      <c r="S1242" s="128" t="n">
        <v>0</v>
      </c>
      <c r="T1242" s="132" t="n">
        <v>25</v>
      </c>
      <c r="U1242" s="128" t="n">
        <v>8</v>
      </c>
      <c r="V1242" s="128" t="n">
        <v>1</v>
      </c>
      <c r="W1242" s="90" t="n">
        <f aca="false">IFERROR(O1242/V1242,0)</f>
        <v>4800</v>
      </c>
      <c r="X1242" s="91" t="n">
        <f aca="false">O1242/L1242</f>
        <v>1.16026105873822</v>
      </c>
      <c r="Y1242" s="92" t="str">
        <f aca="false">IFERROR(VLOOKUP(E:E,'Item Data Support Sheet'!A:J,6,0),0)</f>
        <v>HMC</v>
      </c>
      <c r="Z1242" s="93" t="n">
        <f aca="false">IFERROR(VLOOKUP(E:E,'Item Data Support Sheet'!A:O,4,0),0)</f>
        <v>8.6</v>
      </c>
      <c r="AA1242" s="93" t="n">
        <f aca="false">IFERROR(((N1242)*(Z1242/1000))+P1242,0)</f>
        <v>41.5638</v>
      </c>
      <c r="AB1242" s="94" t="n">
        <f aca="false">IFERROR((O1242*(Z1242/1000)/(AA1242))," ")</f>
        <v>0.993171942892613</v>
      </c>
      <c r="AC1242" s="95" t="n">
        <f aca="false">IFERROR((T1242)/((T1242)+O1242),0)</f>
        <v>0.00518134715025907</v>
      </c>
      <c r="AD1242" s="96" t="n">
        <f aca="false">IFERROR(Q1242/(Q1242+N1242),0)</f>
        <v>0</v>
      </c>
      <c r="AE1242" s="91" t="n">
        <f aca="false">(N1242-T1242)/N1242</f>
        <v>0.994827229464101</v>
      </c>
      <c r="AF1242" s="97" t="n">
        <f aca="false">BR1242</f>
        <v>0</v>
      </c>
      <c r="AG1242" s="98" t="n">
        <f aca="false">K1242-AF1242</f>
        <v>8</v>
      </c>
      <c r="AH1242" s="99" t="n">
        <f aca="false">IFERROR(AG1242/K1242," ")</f>
        <v>1</v>
      </c>
      <c r="AI1242" s="100" t="n">
        <f aca="false">IFERROR(O1242/K1242,0)</f>
        <v>600</v>
      </c>
      <c r="AJ1242" s="101" t="n">
        <f aca="false">VLOOKUP(D1242,'Standard Cycle time'!C:D,2,0)</f>
        <v>6</v>
      </c>
      <c r="AK1242" s="101" t="n">
        <f aca="false">AG1242*V1242*3600/O1242</f>
        <v>6</v>
      </c>
      <c r="AL1242" s="102" t="n">
        <f aca="false">AJ1242/AK1242</f>
        <v>1</v>
      </c>
      <c r="AM1242" s="99" t="n">
        <f aca="false">AE1242*AL1242*AH1242</f>
        <v>0.994827229464101</v>
      </c>
      <c r="AN1242" s="103" t="n">
        <v>0.994827229464101</v>
      </c>
      <c r="AO1242" s="112"/>
      <c r="AP1242" s="105" t="n">
        <v>0</v>
      </c>
      <c r="AQ1242" s="105" t="n">
        <v>0</v>
      </c>
      <c r="AR1242" s="105" t="n">
        <v>0</v>
      </c>
      <c r="AS1242" s="105" t="n">
        <v>0</v>
      </c>
      <c r="AT1242" s="105" t="n">
        <v>0</v>
      </c>
      <c r="AU1242" s="105" t="n">
        <v>0</v>
      </c>
      <c r="AV1242" s="105" t="n">
        <v>0</v>
      </c>
      <c r="AW1242" s="105" t="n">
        <v>0</v>
      </c>
      <c r="AX1242" s="105" t="n">
        <v>0</v>
      </c>
      <c r="AY1242" s="105" t="n">
        <v>0</v>
      </c>
      <c r="AZ1242" s="105" t="n">
        <v>0</v>
      </c>
      <c r="BA1242" s="105" t="n">
        <v>0</v>
      </c>
      <c r="BB1242" s="105" t="n">
        <v>0</v>
      </c>
      <c r="BC1242" s="105" t="n">
        <v>0</v>
      </c>
      <c r="BD1242" s="105" t="n">
        <v>0</v>
      </c>
      <c r="BE1242" s="105" t="n">
        <v>0</v>
      </c>
      <c r="BF1242" s="105" t="n">
        <v>0</v>
      </c>
      <c r="BG1242" s="105" t="n">
        <v>0</v>
      </c>
      <c r="BH1242" s="105" t="n">
        <v>0</v>
      </c>
      <c r="BI1242" s="105" t="n">
        <v>0</v>
      </c>
      <c r="BJ1242" s="105" t="n">
        <v>0</v>
      </c>
      <c r="BK1242" s="105" t="n">
        <v>0</v>
      </c>
      <c r="BL1242" s="105" t="n">
        <v>0</v>
      </c>
      <c r="BM1242" s="105" t="n">
        <v>0</v>
      </c>
      <c r="BN1242" s="105" t="n">
        <v>0</v>
      </c>
      <c r="BO1242" s="105" t="n">
        <v>0</v>
      </c>
      <c r="BP1242" s="105" t="n">
        <v>0</v>
      </c>
      <c r="BQ1242" s="105" t="n">
        <v>0</v>
      </c>
      <c r="BR1242" s="106" t="n">
        <v>0</v>
      </c>
      <c r="BS1242" s="106" t="n">
        <v>0</v>
      </c>
      <c r="BT1242" s="107"/>
      <c r="BU1242" s="107"/>
      <c r="BV1242" s="107"/>
      <c r="BW1242" s="107"/>
      <c r="BX1242" s="107"/>
      <c r="BY1242" s="107"/>
      <c r="BZ1242" s="107"/>
      <c r="CA1242" s="107"/>
      <c r="CB1242" s="107"/>
      <c r="CC1242" s="107"/>
      <c r="CD1242" s="107"/>
      <c r="CE1242" s="107"/>
      <c r="CF1242" s="107"/>
      <c r="CG1242" s="107"/>
      <c r="CH1242" s="107"/>
      <c r="CI1242" s="107"/>
      <c r="CJ1242" s="107"/>
      <c r="CK1242" s="107"/>
      <c r="CL1242" s="107"/>
      <c r="CM1242" s="107"/>
      <c r="CN1242" s="107"/>
      <c r="CO1242" s="107"/>
      <c r="CP1242" s="107"/>
      <c r="CQ1242" s="107"/>
      <c r="CR1242" s="107"/>
      <c r="CS1242" s="107"/>
      <c r="CT1242" s="107"/>
      <c r="CU1242" s="107"/>
      <c r="CV1242" s="107"/>
    </row>
    <row r="1243" customFormat="false" ht="14.9" hidden="false" customHeight="false" outlineLevel="0" collapsed="false">
      <c r="A1243" s="74" t="n">
        <f aca="false">MONTH(B1243)</f>
        <v>11</v>
      </c>
      <c r="B1243" s="135" t="n">
        <v>44516</v>
      </c>
      <c r="C1243" s="128" t="s">
        <v>51</v>
      </c>
      <c r="D1243" s="77" t="str">
        <f aca="false">IFERROR(VLOOKUP(E:E,'Item Data Support Sheet'!A:O,7,0),"")</f>
        <v>NIPPLE MOLDED</v>
      </c>
      <c r="E1243" s="80" t="s">
        <v>661</v>
      </c>
      <c r="F1243" s="122" t="s">
        <v>137</v>
      </c>
      <c r="G1243" s="137" t="s">
        <v>138</v>
      </c>
      <c r="H1243" s="79" t="str">
        <f aca="false">IFERROR(VLOOKUP(E:E,'Item Data Support Sheet'!A:O,2,0),"")</f>
        <v>NIPPLE S TYPE L SIZE INJECTION</v>
      </c>
      <c r="I1243" s="80" t="s">
        <v>2046</v>
      </c>
      <c r="J1243" s="80" t="s">
        <v>143</v>
      </c>
      <c r="K1243" s="124" t="n">
        <v>8</v>
      </c>
      <c r="L1243" s="124" t="n">
        <v>4815</v>
      </c>
      <c r="M1243" s="83" t="n">
        <v>601.875</v>
      </c>
      <c r="N1243" s="84" t="n">
        <f aca="false">+O1243+Q1243+T1243+U1243</f>
        <v>5488</v>
      </c>
      <c r="O1243" s="85" t="n">
        <v>5400</v>
      </c>
      <c r="P1243" s="86" t="n">
        <v>0</v>
      </c>
      <c r="Q1243" s="86" t="n">
        <v>30</v>
      </c>
      <c r="R1243" s="132" t="n">
        <v>0</v>
      </c>
      <c r="S1243" s="128" t="n">
        <v>0</v>
      </c>
      <c r="T1243" s="132" t="n">
        <v>50</v>
      </c>
      <c r="U1243" s="128" t="n">
        <v>8</v>
      </c>
      <c r="V1243" s="128" t="n">
        <v>1</v>
      </c>
      <c r="W1243" s="90" t="n">
        <f aca="false">IFERROR(O1243/V1243,0)</f>
        <v>5400</v>
      </c>
      <c r="X1243" s="91" t="n">
        <f aca="false">O1243/L1243</f>
        <v>1.1214953271028</v>
      </c>
      <c r="Y1243" s="92" t="str">
        <f aca="false">IFERROR(VLOOKUP(E:E,'Item Data Support Sheet'!A:J,6,0),0)</f>
        <v>Silicon</v>
      </c>
      <c r="Z1243" s="93" t="n">
        <f aca="false">IFERROR(VLOOKUP(E:E,'Item Data Support Sheet'!A:O,4,0),0)</f>
        <v>6.8</v>
      </c>
      <c r="AA1243" s="93" t="n">
        <f aca="false">IFERROR(((N1243)*(Z1243/1000))+P1243,0)</f>
        <v>37.3184</v>
      </c>
      <c r="AB1243" s="94" t="n">
        <f aca="false">IFERROR((O1243*(Z1243/1000)/(AA1243))," ")</f>
        <v>0.983965014577259</v>
      </c>
      <c r="AC1243" s="95" t="n">
        <f aca="false">IFERROR((T1243)/((T1243)+O1243),0)</f>
        <v>0.0091743119266055</v>
      </c>
      <c r="AD1243" s="96" t="n">
        <f aca="false">IFERROR(Q1243/(Q1243+N1243),0)</f>
        <v>0.0054367524465386</v>
      </c>
      <c r="AE1243" s="91" t="n">
        <f aca="false">(N1243-T1243)/N1243</f>
        <v>0.990889212827988</v>
      </c>
      <c r="AF1243" s="97" t="n">
        <f aca="false">BR1243</f>
        <v>0</v>
      </c>
      <c r="AG1243" s="98" t="n">
        <f aca="false">K1243-AF1243</f>
        <v>8</v>
      </c>
      <c r="AH1243" s="99" t="n">
        <f aca="false">IFERROR(AG1243/K1243," ")</f>
        <v>1</v>
      </c>
      <c r="AI1243" s="100" t="n">
        <f aca="false">IFERROR(O1243/K1243,0)</f>
        <v>675</v>
      </c>
      <c r="AJ1243" s="101" t="n">
        <f aca="false">VLOOKUP(D1243,'Standard Cycle time'!C:D,2,0)</f>
        <v>5.25</v>
      </c>
      <c r="AK1243" s="101" t="n">
        <f aca="false">AG1243*V1243*3600/O1243</f>
        <v>5.33333333333333</v>
      </c>
      <c r="AL1243" s="102" t="n">
        <f aca="false">AJ1243/AK1243</f>
        <v>0.984375</v>
      </c>
      <c r="AM1243" s="99" t="n">
        <f aca="false">AE1243*AL1243*AH1243</f>
        <v>0.975406568877551</v>
      </c>
      <c r="AN1243" s="103" t="n">
        <v>0.975406568877551</v>
      </c>
      <c r="AO1243" s="112"/>
      <c r="AP1243" s="105" t="n">
        <v>0</v>
      </c>
      <c r="AQ1243" s="105" t="n">
        <v>0</v>
      </c>
      <c r="AR1243" s="105" t="n">
        <v>0</v>
      </c>
      <c r="AS1243" s="105" t="n">
        <v>0</v>
      </c>
      <c r="AT1243" s="105" t="n">
        <v>0</v>
      </c>
      <c r="AU1243" s="105" t="n">
        <v>0</v>
      </c>
      <c r="AV1243" s="105" t="n">
        <v>0</v>
      </c>
      <c r="AW1243" s="105" t="n">
        <v>0</v>
      </c>
      <c r="AX1243" s="105" t="n">
        <v>0</v>
      </c>
      <c r="AY1243" s="105" t="n">
        <v>0</v>
      </c>
      <c r="AZ1243" s="105" t="n">
        <v>0</v>
      </c>
      <c r="BA1243" s="105" t="n">
        <v>0</v>
      </c>
      <c r="BB1243" s="105" t="n">
        <v>0</v>
      </c>
      <c r="BC1243" s="105" t="n">
        <v>0</v>
      </c>
      <c r="BD1243" s="105" t="n">
        <v>0</v>
      </c>
      <c r="BE1243" s="105" t="n">
        <v>0</v>
      </c>
      <c r="BF1243" s="105" t="n">
        <v>0</v>
      </c>
      <c r="BG1243" s="105" t="n">
        <v>0</v>
      </c>
      <c r="BH1243" s="105" t="n">
        <v>0</v>
      </c>
      <c r="BI1243" s="105" t="n">
        <v>0</v>
      </c>
      <c r="BJ1243" s="105" t="n">
        <v>0</v>
      </c>
      <c r="BK1243" s="105" t="n">
        <v>0</v>
      </c>
      <c r="BL1243" s="105" t="n">
        <v>0</v>
      </c>
      <c r="BM1243" s="105" t="n">
        <v>0</v>
      </c>
      <c r="BN1243" s="105" t="n">
        <v>0</v>
      </c>
      <c r="BO1243" s="105" t="n">
        <v>0</v>
      </c>
      <c r="BP1243" s="105" t="n">
        <v>0</v>
      </c>
      <c r="BQ1243" s="105" t="n">
        <v>0</v>
      </c>
      <c r="BR1243" s="106" t="n">
        <v>0</v>
      </c>
      <c r="BS1243" s="106" t="n">
        <v>0</v>
      </c>
      <c r="BT1243" s="107"/>
      <c r="BU1243" s="107"/>
      <c r="BV1243" s="107"/>
      <c r="BW1243" s="107"/>
      <c r="BX1243" s="107"/>
      <c r="BY1243" s="107"/>
      <c r="BZ1243" s="107"/>
      <c r="CA1243" s="107"/>
      <c r="CB1243" s="107"/>
      <c r="CC1243" s="107"/>
      <c r="CD1243" s="107"/>
      <c r="CE1243" s="107"/>
      <c r="CF1243" s="107"/>
      <c r="CG1243" s="107"/>
      <c r="CH1243" s="107"/>
      <c r="CI1243" s="107"/>
      <c r="CJ1243" s="107"/>
      <c r="CK1243" s="107"/>
      <c r="CL1243" s="107"/>
      <c r="CM1243" s="107"/>
      <c r="CN1243" s="107"/>
      <c r="CO1243" s="107"/>
      <c r="CP1243" s="107"/>
      <c r="CQ1243" s="107"/>
      <c r="CR1243" s="107"/>
      <c r="CS1243" s="107"/>
      <c r="CT1243" s="107"/>
      <c r="CU1243" s="107"/>
      <c r="CV1243" s="107"/>
    </row>
    <row r="1244" customFormat="false" ht="14.9" hidden="false" customHeight="false" outlineLevel="0" collapsed="false">
      <c r="A1244" s="74" t="n">
        <f aca="false">MONTH(B1244)</f>
        <v>11</v>
      </c>
      <c r="B1244" s="135" t="n">
        <v>44516</v>
      </c>
      <c r="C1244" s="128" t="s">
        <v>51</v>
      </c>
      <c r="D1244" s="77" t="str">
        <f aca="false">IFERROR(VLOOKUP(E:E,'Item Data Support Sheet'!A:O,7,0),"")</f>
        <v>HOOD MOLDED</v>
      </c>
      <c r="E1244" s="80" t="s">
        <v>529</v>
      </c>
      <c r="F1244" s="122"/>
      <c r="G1244" s="137" t="s">
        <v>740</v>
      </c>
      <c r="H1244" s="79" t="str">
        <f aca="false">IFERROR(VLOOKUP(E:E,'Item Data Support Sheet'!A:O,2,0),"")</f>
        <v>HOOD S TYPE MOLDED</v>
      </c>
      <c r="I1244" s="80" t="s">
        <v>2047</v>
      </c>
      <c r="J1244" s="80" t="s">
        <v>143</v>
      </c>
      <c r="K1244" s="124" t="n">
        <v>8</v>
      </c>
      <c r="L1244" s="124" t="n">
        <v>4137</v>
      </c>
      <c r="M1244" s="83" t="n">
        <v>517.125</v>
      </c>
      <c r="N1244" s="84" t="n">
        <f aca="false">+O1244+Q1244+T1244+U1244</f>
        <v>4148</v>
      </c>
      <c r="O1244" s="85" t="n">
        <v>4100</v>
      </c>
      <c r="P1244" s="86" t="n">
        <v>0</v>
      </c>
      <c r="Q1244" s="86" t="n">
        <v>32</v>
      </c>
      <c r="R1244" s="132" t="n">
        <v>0</v>
      </c>
      <c r="S1244" s="128" t="n">
        <v>0</v>
      </c>
      <c r="T1244" s="132" t="n">
        <v>8</v>
      </c>
      <c r="U1244" s="128" t="n">
        <v>8</v>
      </c>
      <c r="V1244" s="128" t="n">
        <v>1</v>
      </c>
      <c r="W1244" s="90" t="n">
        <f aca="false">IFERROR(O1244/V1244,0)</f>
        <v>4100</v>
      </c>
      <c r="X1244" s="91" t="n">
        <f aca="false">O1244/L1244</f>
        <v>0.99105632100556</v>
      </c>
      <c r="Y1244" s="92" t="str">
        <f aca="false">IFERROR(VLOOKUP(E:E,'Item Data Support Sheet'!A:J,6,0),0)</f>
        <v>HMC</v>
      </c>
      <c r="Z1244" s="93" t="n">
        <f aca="false">IFERROR(VLOOKUP(E:E,'Item Data Support Sheet'!A:O,4,0),0)</f>
        <v>8.6</v>
      </c>
      <c r="AA1244" s="93" t="n">
        <f aca="false">IFERROR(((N1244)*(Z1244/1000))+P1244,0)</f>
        <v>35.6728</v>
      </c>
      <c r="AB1244" s="94" t="n">
        <f aca="false">IFERROR((O1244*(Z1244/1000)/(AA1244))," ")</f>
        <v>0.988428158148505</v>
      </c>
      <c r="AC1244" s="95" t="n">
        <f aca="false">IFERROR((T1244)/((T1244)+O1244),0)</f>
        <v>0.00194741966893866</v>
      </c>
      <c r="AD1244" s="96" t="n">
        <f aca="false">IFERROR(Q1244/(Q1244+N1244),0)</f>
        <v>0.0076555023923445</v>
      </c>
      <c r="AE1244" s="91" t="n">
        <f aca="false">(N1244-T1244)/N1244</f>
        <v>0.998071359691418</v>
      </c>
      <c r="AF1244" s="97" t="n">
        <f aca="false">BR1244</f>
        <v>0</v>
      </c>
      <c r="AG1244" s="98" t="n">
        <f aca="false">K1244-AF1244</f>
        <v>8</v>
      </c>
      <c r="AH1244" s="99" t="n">
        <f aca="false">IFERROR(AG1244/K1244," ")</f>
        <v>1</v>
      </c>
      <c r="AI1244" s="100" t="n">
        <f aca="false">IFERROR(O1244/K1244,0)</f>
        <v>512.5</v>
      </c>
      <c r="AJ1244" s="101" t="n">
        <f aca="false">VLOOKUP(D1244,'Standard Cycle time'!C:D,2,0)</f>
        <v>6</v>
      </c>
      <c r="AK1244" s="101" t="n">
        <f aca="false">AG1244*V1244*3600/O1244</f>
        <v>7.02439024390244</v>
      </c>
      <c r="AL1244" s="102" t="n">
        <f aca="false">AJ1244/AK1244</f>
        <v>0.854166666666667</v>
      </c>
      <c r="AM1244" s="99" t="n">
        <f aca="false">AE1244*AL1244*AH1244</f>
        <v>0.852519286403086</v>
      </c>
      <c r="AN1244" s="103" t="n">
        <v>0.852519286403086</v>
      </c>
      <c r="AO1244" s="112"/>
      <c r="AP1244" s="105" t="n">
        <v>0</v>
      </c>
      <c r="AQ1244" s="105" t="n">
        <v>0</v>
      </c>
      <c r="AR1244" s="105" t="n">
        <v>0</v>
      </c>
      <c r="AS1244" s="105" t="n">
        <v>0</v>
      </c>
      <c r="AT1244" s="105" t="n">
        <v>0</v>
      </c>
      <c r="AU1244" s="105" t="n">
        <v>0</v>
      </c>
      <c r="AV1244" s="105" t="n">
        <v>0</v>
      </c>
      <c r="AW1244" s="105" t="n">
        <v>0</v>
      </c>
      <c r="AX1244" s="105" t="n">
        <v>0</v>
      </c>
      <c r="AY1244" s="105" t="n">
        <v>0</v>
      </c>
      <c r="AZ1244" s="105" t="n">
        <v>0</v>
      </c>
      <c r="BA1244" s="105" t="n">
        <v>0</v>
      </c>
      <c r="BB1244" s="105" t="n">
        <v>0</v>
      </c>
      <c r="BC1244" s="105" t="n">
        <v>0</v>
      </c>
      <c r="BD1244" s="105" t="n">
        <v>0</v>
      </c>
      <c r="BE1244" s="105" t="n">
        <v>0</v>
      </c>
      <c r="BF1244" s="105" t="n">
        <v>0</v>
      </c>
      <c r="BG1244" s="105" t="n">
        <v>0</v>
      </c>
      <c r="BH1244" s="105" t="n">
        <v>0</v>
      </c>
      <c r="BI1244" s="105" t="n">
        <v>0</v>
      </c>
      <c r="BJ1244" s="105" t="n">
        <v>0</v>
      </c>
      <c r="BK1244" s="105" t="n">
        <v>0</v>
      </c>
      <c r="BL1244" s="105" t="n">
        <v>0</v>
      </c>
      <c r="BM1244" s="105" t="n">
        <v>0</v>
      </c>
      <c r="BN1244" s="105" t="n">
        <v>0</v>
      </c>
      <c r="BO1244" s="105" t="n">
        <v>0</v>
      </c>
      <c r="BP1244" s="105" t="n">
        <v>0</v>
      </c>
      <c r="BQ1244" s="105" t="n">
        <v>0</v>
      </c>
      <c r="BR1244" s="106" t="n">
        <v>0</v>
      </c>
      <c r="BS1244" s="106" t="n">
        <v>0</v>
      </c>
      <c r="BT1244" s="107"/>
      <c r="BU1244" s="107"/>
      <c r="BV1244" s="107"/>
      <c r="BW1244" s="107"/>
      <c r="BX1244" s="107"/>
      <c r="BY1244" s="107"/>
      <c r="BZ1244" s="107"/>
      <c r="CA1244" s="107"/>
      <c r="CB1244" s="107"/>
      <c r="CC1244" s="107"/>
      <c r="CD1244" s="107"/>
      <c r="CE1244" s="107"/>
      <c r="CF1244" s="107"/>
      <c r="CG1244" s="107"/>
      <c r="CH1244" s="107"/>
      <c r="CI1244" s="107"/>
      <c r="CJ1244" s="107"/>
      <c r="CK1244" s="107"/>
      <c r="CL1244" s="107"/>
      <c r="CM1244" s="107"/>
      <c r="CN1244" s="107"/>
      <c r="CO1244" s="107"/>
      <c r="CP1244" s="107"/>
      <c r="CQ1244" s="107"/>
      <c r="CR1244" s="107"/>
      <c r="CS1244" s="107"/>
      <c r="CT1244" s="107"/>
      <c r="CU1244" s="107"/>
      <c r="CV1244" s="107"/>
    </row>
    <row r="1245" customFormat="false" ht="14.9" hidden="false" customHeight="false" outlineLevel="0" collapsed="false">
      <c r="A1245" s="74" t="n">
        <f aca="false">MONTH(B1245)</f>
        <v>11</v>
      </c>
      <c r="B1245" s="135" t="n">
        <v>44516</v>
      </c>
      <c r="C1245" s="128" t="s">
        <v>51</v>
      </c>
      <c r="D1245" s="77" t="str">
        <f aca="false">IFERROR(VLOOKUP(E:E,'Item Data Support Sheet'!A:O,7,0),"")</f>
        <v>NIPPLE PUNCH</v>
      </c>
      <c r="E1245" s="80" t="s">
        <v>666</v>
      </c>
      <c r="F1245" s="122"/>
      <c r="G1245" s="137" t="s">
        <v>54</v>
      </c>
      <c r="H1245" s="79" t="str">
        <f aca="false">IFERROR(VLOOKUP(E:E,'Item Data Support Sheet'!A:O,2,0),"")</f>
        <v>NIPPLE S TYPE L SIZE PUNCHED</v>
      </c>
      <c r="I1245" s="80" t="s">
        <v>2048</v>
      </c>
      <c r="J1245" s="80" t="s">
        <v>143</v>
      </c>
      <c r="K1245" s="124" t="n">
        <v>8</v>
      </c>
      <c r="L1245" s="124" t="n">
        <v>7000</v>
      </c>
      <c r="M1245" s="83" t="n">
        <v>875</v>
      </c>
      <c r="N1245" s="84" t="n">
        <f aca="false">+O1245+Q1245+T1245+U1245</f>
        <v>6700</v>
      </c>
      <c r="O1245" s="85" t="n">
        <v>6700</v>
      </c>
      <c r="P1245" s="86" t="n">
        <v>0</v>
      </c>
      <c r="Q1245" s="86" t="n">
        <v>0</v>
      </c>
      <c r="R1245" s="132" t="n">
        <v>0</v>
      </c>
      <c r="S1245" s="128" t="n">
        <v>0</v>
      </c>
      <c r="T1245" s="132" t="n">
        <v>0</v>
      </c>
      <c r="U1245" s="128" t="n">
        <v>0</v>
      </c>
      <c r="V1245" s="128" t="n">
        <v>1</v>
      </c>
      <c r="W1245" s="90" t="n">
        <f aca="false">IFERROR(O1245/V1245,0)</f>
        <v>6700</v>
      </c>
      <c r="X1245" s="91" t="n">
        <f aca="false">O1245/L1245</f>
        <v>0.957142857142857</v>
      </c>
      <c r="Y1245" s="92" t="str">
        <f aca="false">IFERROR(VLOOKUP(E:E,'Item Data Support Sheet'!A:J,6,0),0)</f>
        <v>FO017</v>
      </c>
      <c r="Z1245" s="93" t="n">
        <f aca="false">IFERROR(VLOOKUP(E:E,'Item Data Support Sheet'!A:O,4,0),0)</f>
        <v>0</v>
      </c>
      <c r="AA1245" s="93" t="n">
        <f aca="false">IFERROR(((N1245)*(Z1245/1000))+P1245,0)</f>
        <v>0</v>
      </c>
      <c r="AB1245" s="94" t="str">
        <f aca="false">IFERROR((O1245*(Z1245/1000)/(AA1245))," ")</f>
        <v> </v>
      </c>
      <c r="AC1245" s="95" t="n">
        <f aca="false">IFERROR((T1245)/((T1245)+O1245),0)</f>
        <v>0</v>
      </c>
      <c r="AD1245" s="96" t="n">
        <f aca="false">IFERROR(Q1245/(Q1245+N1245),0)</f>
        <v>0</v>
      </c>
      <c r="AE1245" s="91" t="n">
        <f aca="false">(N1245-T1245)/N1245</f>
        <v>1</v>
      </c>
      <c r="AF1245" s="97" t="n">
        <f aca="false">BR1245</f>
        <v>0.666666666666667</v>
      </c>
      <c r="AG1245" s="98" t="n">
        <f aca="false">K1245-AF1245</f>
        <v>7.33333333333333</v>
      </c>
      <c r="AH1245" s="99" t="n">
        <f aca="false">IFERROR(AG1245/K1245," ")</f>
        <v>0.916666666666667</v>
      </c>
      <c r="AI1245" s="100" t="n">
        <f aca="false">IFERROR(O1245/K1245,0)</f>
        <v>837.5</v>
      </c>
      <c r="AJ1245" s="101" t="n">
        <f aca="false">VLOOKUP(D1245,'Standard Cycle time'!C:D,2,0)</f>
        <v>3.5</v>
      </c>
      <c r="AK1245" s="101" t="n">
        <f aca="false">AG1245*V1245*3600/O1245</f>
        <v>3.94029850746269</v>
      </c>
      <c r="AL1245" s="102" t="n">
        <f aca="false">AJ1245/AK1245</f>
        <v>0.888257575757576</v>
      </c>
      <c r="AM1245" s="99" t="n">
        <f aca="false">AE1245*AL1245*AH1245</f>
        <v>0.814236111111111</v>
      </c>
      <c r="AN1245" s="103" t="n">
        <v>0.814236111111111</v>
      </c>
      <c r="AO1245" s="112"/>
      <c r="AP1245" s="105" t="n">
        <v>40</v>
      </c>
      <c r="AQ1245" s="105" t="n">
        <v>0</v>
      </c>
      <c r="AR1245" s="105" t="n">
        <v>0</v>
      </c>
      <c r="AS1245" s="105" t="n">
        <v>0</v>
      </c>
      <c r="AT1245" s="105" t="n">
        <v>0</v>
      </c>
      <c r="AU1245" s="105" t="n">
        <v>0</v>
      </c>
      <c r="AV1245" s="105" t="n">
        <v>0</v>
      </c>
      <c r="AW1245" s="105" t="n">
        <v>0</v>
      </c>
      <c r="AX1245" s="105" t="n">
        <v>0</v>
      </c>
      <c r="AY1245" s="105" t="n">
        <v>0</v>
      </c>
      <c r="AZ1245" s="105" t="n">
        <v>0</v>
      </c>
      <c r="BA1245" s="105" t="n">
        <v>0</v>
      </c>
      <c r="BB1245" s="105" t="n">
        <v>0</v>
      </c>
      <c r="BC1245" s="105" t="n">
        <v>0</v>
      </c>
      <c r="BD1245" s="105" t="n">
        <v>0</v>
      </c>
      <c r="BE1245" s="105" t="n">
        <v>0</v>
      </c>
      <c r="BF1245" s="105" t="n">
        <v>0</v>
      </c>
      <c r="BG1245" s="105" t="n">
        <v>0</v>
      </c>
      <c r="BH1245" s="105" t="n">
        <v>0</v>
      </c>
      <c r="BI1245" s="105" t="n">
        <v>0</v>
      </c>
      <c r="BJ1245" s="105" t="n">
        <v>0</v>
      </c>
      <c r="BK1245" s="105" t="n">
        <v>0</v>
      </c>
      <c r="BL1245" s="105" t="n">
        <v>0</v>
      </c>
      <c r="BM1245" s="105" t="n">
        <v>0</v>
      </c>
      <c r="BN1245" s="105" t="n">
        <v>0</v>
      </c>
      <c r="BO1245" s="105" t="n">
        <v>0</v>
      </c>
      <c r="BP1245" s="105" t="n">
        <v>0</v>
      </c>
      <c r="BQ1245" s="105" t="n">
        <v>0</v>
      </c>
      <c r="BR1245" s="106" t="n">
        <v>0.666666666666667</v>
      </c>
      <c r="BS1245" s="106" t="n">
        <v>0.666666666666667</v>
      </c>
      <c r="BT1245" s="107"/>
      <c r="BU1245" s="107"/>
      <c r="BV1245" s="107"/>
      <c r="BW1245" s="107"/>
      <c r="BX1245" s="107"/>
      <c r="BY1245" s="107"/>
      <c r="BZ1245" s="107"/>
      <c r="CA1245" s="107"/>
      <c r="CB1245" s="107"/>
      <c r="CC1245" s="107"/>
      <c r="CD1245" s="107"/>
      <c r="CE1245" s="107"/>
      <c r="CF1245" s="107"/>
      <c r="CG1245" s="107"/>
      <c r="CH1245" s="107"/>
      <c r="CI1245" s="107"/>
      <c r="CJ1245" s="107"/>
      <c r="CK1245" s="107"/>
      <c r="CL1245" s="107"/>
      <c r="CM1245" s="107"/>
      <c r="CN1245" s="107"/>
      <c r="CO1245" s="107"/>
      <c r="CP1245" s="107"/>
      <c r="CQ1245" s="107"/>
      <c r="CR1245" s="107"/>
      <c r="CS1245" s="107"/>
      <c r="CT1245" s="107"/>
      <c r="CU1245" s="107"/>
      <c r="CV1245" s="107"/>
    </row>
    <row r="1246" customFormat="false" ht="14.9" hidden="false" customHeight="false" outlineLevel="0" collapsed="false">
      <c r="A1246" s="74" t="n">
        <f aca="false">MONTH(B1246)</f>
        <v>11</v>
      </c>
      <c r="B1246" s="135" t="n">
        <v>44516</v>
      </c>
      <c r="C1246" s="128" t="s">
        <v>51</v>
      </c>
      <c r="D1246" s="77" t="str">
        <f aca="false">IFERROR(VLOOKUP(E:E,'Item Data Support Sheet'!A:O,7,0),"")</f>
        <v>NIPPLE LASER MARKING</v>
      </c>
      <c r="E1246" s="80" t="s">
        <v>681</v>
      </c>
      <c r="F1246" s="122"/>
      <c r="G1246" s="137" t="s">
        <v>517</v>
      </c>
      <c r="H1246" s="79" t="str">
        <f aca="false">IFERROR(VLOOKUP(E:E,'Item Data Support Sheet'!A:O,2,0),"")</f>
        <v>NIPPLE S TYPE L SIZE PUNCHED LASER MARKED</v>
      </c>
      <c r="I1246" s="80" t="s">
        <v>2049</v>
      </c>
      <c r="J1246" s="80" t="s">
        <v>143</v>
      </c>
      <c r="K1246" s="124" t="n">
        <v>8</v>
      </c>
      <c r="L1246" s="124" t="n">
        <v>7000</v>
      </c>
      <c r="M1246" s="83" t="n">
        <v>875</v>
      </c>
      <c r="N1246" s="84" t="n">
        <f aca="false">+O1246+Q1246+T1246+U1246</f>
        <v>6700</v>
      </c>
      <c r="O1246" s="85" t="n">
        <v>6700</v>
      </c>
      <c r="P1246" s="86" t="n">
        <v>0</v>
      </c>
      <c r="Q1246" s="86" t="n">
        <v>0</v>
      </c>
      <c r="R1246" s="132" t="n">
        <v>0</v>
      </c>
      <c r="S1246" s="128" t="n">
        <v>0</v>
      </c>
      <c r="T1246" s="132" t="n">
        <v>0</v>
      </c>
      <c r="U1246" s="128" t="n">
        <v>0</v>
      </c>
      <c r="V1246" s="128" t="n">
        <v>1</v>
      </c>
      <c r="W1246" s="90" t="n">
        <f aca="false">IFERROR(O1246/V1246,0)</f>
        <v>6700</v>
      </c>
      <c r="X1246" s="91" t="n">
        <f aca="false">O1246/L1246</f>
        <v>0.957142857142857</v>
      </c>
      <c r="Y1246" s="92" t="str">
        <f aca="false">IFERROR(VLOOKUP(E:E,'Item Data Support Sheet'!A:J,6,0),0)</f>
        <v>FO021</v>
      </c>
      <c r="Z1246" s="93" t="n">
        <f aca="false">IFERROR(VLOOKUP(E:E,'Item Data Support Sheet'!A:O,4,0),0)</f>
        <v>0</v>
      </c>
      <c r="AA1246" s="93" t="n">
        <f aca="false">IFERROR(((N1246)*(Z1246/1000))+P1246,0)</f>
        <v>0</v>
      </c>
      <c r="AB1246" s="94" t="str">
        <f aca="false">IFERROR((O1246*(Z1246/1000)/(AA1246))," ")</f>
        <v> </v>
      </c>
      <c r="AC1246" s="95" t="n">
        <f aca="false">IFERROR((T1246)/((T1246)+O1246),0)</f>
        <v>0</v>
      </c>
      <c r="AD1246" s="96" t="n">
        <f aca="false">IFERROR(Q1246/(Q1246+N1246),0)</f>
        <v>0</v>
      </c>
      <c r="AE1246" s="91" t="n">
        <f aca="false">(N1246-T1246)/N1246</f>
        <v>1</v>
      </c>
      <c r="AF1246" s="97" t="n">
        <f aca="false">BR1246</f>
        <v>0.666666666666667</v>
      </c>
      <c r="AG1246" s="98" t="n">
        <f aca="false">K1246-AF1246</f>
        <v>7.33333333333333</v>
      </c>
      <c r="AH1246" s="99" t="n">
        <f aca="false">IFERROR(AG1246/K1246," ")</f>
        <v>0.916666666666667</v>
      </c>
      <c r="AI1246" s="100" t="n">
        <f aca="false">IFERROR(O1246/K1246,0)</f>
        <v>837.5</v>
      </c>
      <c r="AJ1246" s="101" t="n">
        <f aca="false">VLOOKUP(D1246,'Standard Cycle time'!C:D,2,0)</f>
        <v>3.5</v>
      </c>
      <c r="AK1246" s="101" t="n">
        <f aca="false">AG1246*V1246*3600/O1246</f>
        <v>3.94029850746269</v>
      </c>
      <c r="AL1246" s="102" t="n">
        <f aca="false">AJ1246/AK1246</f>
        <v>0.888257575757576</v>
      </c>
      <c r="AM1246" s="99" t="n">
        <f aca="false">AE1246*AL1246*AH1246</f>
        <v>0.814236111111111</v>
      </c>
      <c r="AN1246" s="103" t="n">
        <v>0.814236111111111</v>
      </c>
      <c r="AO1246" s="112"/>
      <c r="AP1246" s="105" t="n">
        <v>40</v>
      </c>
      <c r="AQ1246" s="105" t="n">
        <v>0</v>
      </c>
      <c r="AR1246" s="105" t="n">
        <v>0</v>
      </c>
      <c r="AS1246" s="105" t="n">
        <v>0</v>
      </c>
      <c r="AT1246" s="105" t="n">
        <v>0</v>
      </c>
      <c r="AU1246" s="105" t="n">
        <v>0</v>
      </c>
      <c r="AV1246" s="105" t="n">
        <v>0</v>
      </c>
      <c r="AW1246" s="105" t="n">
        <v>0</v>
      </c>
      <c r="AX1246" s="105" t="n">
        <v>0</v>
      </c>
      <c r="AY1246" s="105" t="n">
        <v>0</v>
      </c>
      <c r="AZ1246" s="105" t="n">
        <v>0</v>
      </c>
      <c r="BA1246" s="105" t="n">
        <v>0</v>
      </c>
      <c r="BB1246" s="105" t="n">
        <v>0</v>
      </c>
      <c r="BC1246" s="105" t="n">
        <v>0</v>
      </c>
      <c r="BD1246" s="105" t="n">
        <v>0</v>
      </c>
      <c r="BE1246" s="105" t="n">
        <v>0</v>
      </c>
      <c r="BF1246" s="105" t="n">
        <v>0</v>
      </c>
      <c r="BG1246" s="105" t="n">
        <v>0</v>
      </c>
      <c r="BH1246" s="105" t="n">
        <v>0</v>
      </c>
      <c r="BI1246" s="105" t="n">
        <v>0</v>
      </c>
      <c r="BJ1246" s="105" t="n">
        <v>0</v>
      </c>
      <c r="BK1246" s="105" t="n">
        <v>0</v>
      </c>
      <c r="BL1246" s="105" t="n">
        <v>0</v>
      </c>
      <c r="BM1246" s="105" t="n">
        <v>0</v>
      </c>
      <c r="BN1246" s="105" t="n">
        <v>0</v>
      </c>
      <c r="BO1246" s="105" t="n">
        <v>0</v>
      </c>
      <c r="BP1246" s="105" t="n">
        <v>0</v>
      </c>
      <c r="BQ1246" s="105" t="n">
        <v>0</v>
      </c>
      <c r="BR1246" s="106" t="n">
        <v>0.666666666666667</v>
      </c>
      <c r="BS1246" s="106" t="n">
        <v>0.666666666666667</v>
      </c>
      <c r="BT1246" s="107"/>
      <c r="BU1246" s="107"/>
      <c r="BV1246" s="107"/>
      <c r="BW1246" s="107"/>
      <c r="BX1246" s="107"/>
      <c r="BY1246" s="107"/>
      <c r="BZ1246" s="107"/>
      <c r="CA1246" s="107"/>
      <c r="CB1246" s="107"/>
      <c r="CC1246" s="107"/>
      <c r="CD1246" s="107"/>
      <c r="CE1246" s="107"/>
      <c r="CF1246" s="107"/>
      <c r="CG1246" s="107"/>
      <c r="CH1246" s="107"/>
      <c r="CI1246" s="107"/>
      <c r="CJ1246" s="107"/>
      <c r="CK1246" s="107"/>
      <c r="CL1246" s="107"/>
      <c r="CM1246" s="107"/>
      <c r="CN1246" s="107"/>
      <c r="CO1246" s="107"/>
      <c r="CP1246" s="107"/>
      <c r="CQ1246" s="107"/>
      <c r="CR1246" s="107"/>
      <c r="CS1246" s="107"/>
      <c r="CT1246" s="107"/>
      <c r="CU1246" s="107"/>
      <c r="CV1246" s="107"/>
    </row>
    <row r="1247" customFormat="false" ht="14.9" hidden="false" customHeight="false" outlineLevel="0" collapsed="false">
      <c r="A1247" s="74" t="n">
        <f aca="false">MONTH(B1247)</f>
        <v>11</v>
      </c>
      <c r="B1247" s="135" t="n">
        <v>44516</v>
      </c>
      <c r="C1247" s="128" t="s">
        <v>51</v>
      </c>
      <c r="D1247" s="77" t="str">
        <f aca="false">IFERROR(VLOOKUP(E:E,'Item Data Support Sheet'!A:O,7,0),"")</f>
        <v>BOTTLE MOLDED</v>
      </c>
      <c r="E1247" s="80" t="s">
        <v>572</v>
      </c>
      <c r="F1247" s="122" t="s">
        <v>589</v>
      </c>
      <c r="G1247" s="137" t="s">
        <v>74</v>
      </c>
      <c r="H1247" s="79" t="str">
        <f aca="false">IFERROR(VLOOKUP(E:E,'Item Data Support Sheet'!A:O,2,0),"")</f>
        <v>RPP 240 ML BOTTLE MOLDED</v>
      </c>
      <c r="I1247" s="80" t="s">
        <v>2050</v>
      </c>
      <c r="J1247" s="80" t="s">
        <v>143</v>
      </c>
      <c r="K1247" s="124" t="n">
        <v>8</v>
      </c>
      <c r="L1247" s="124" t="n">
        <v>2574</v>
      </c>
      <c r="M1247" s="83" t="n">
        <v>321.75</v>
      </c>
      <c r="N1247" s="84" t="n">
        <f aca="false">+O1247+Q1247+T1247+U1247</f>
        <v>3224</v>
      </c>
      <c r="O1247" s="85" t="n">
        <v>3120</v>
      </c>
      <c r="P1247" s="86" t="n">
        <v>0.25</v>
      </c>
      <c r="Q1247" s="86" t="n">
        <v>30</v>
      </c>
      <c r="R1247" s="132" t="n">
        <v>0</v>
      </c>
      <c r="S1247" s="128" t="n">
        <v>0</v>
      </c>
      <c r="T1247" s="132" t="n">
        <v>50</v>
      </c>
      <c r="U1247" s="128" t="n">
        <v>24</v>
      </c>
      <c r="V1247" s="128" t="n">
        <v>1</v>
      </c>
      <c r="W1247" s="90" t="n">
        <f aca="false">IFERROR(O1247/V1247,0)</f>
        <v>3120</v>
      </c>
      <c r="X1247" s="91" t="n">
        <f aca="false">O1247/L1247</f>
        <v>1.21212121212121</v>
      </c>
      <c r="Y1247" s="92" t="str">
        <f aca="false">IFERROR(VLOOKUP(E:E,'Item Data Support Sheet'!A:J,6,0),0)</f>
        <v>HMC</v>
      </c>
      <c r="Z1247" s="93" t="n">
        <f aca="false">IFERROR(VLOOKUP(E:E,'Item Data Support Sheet'!A:O,4,0),0)</f>
        <v>32.1</v>
      </c>
      <c r="AA1247" s="93" t="n">
        <f aca="false">IFERROR(((N1247)*(Z1247/1000))+P1247,0)</f>
        <v>103.7404</v>
      </c>
      <c r="AB1247" s="94" t="n">
        <f aca="false">IFERROR((O1247*(Z1247/1000)/(AA1247))," ")</f>
        <v>0.965409811413876</v>
      </c>
      <c r="AC1247" s="95" t="n">
        <f aca="false">IFERROR((T1247)/((T1247)+O1247),0)</f>
        <v>0.0157728706624606</v>
      </c>
      <c r="AD1247" s="96" t="n">
        <f aca="false">IFERROR(Q1247/(Q1247+N1247),0)</f>
        <v>0.00921942224953903</v>
      </c>
      <c r="AE1247" s="91" t="n">
        <f aca="false">(N1247-T1247)/N1247</f>
        <v>0.984491315136476</v>
      </c>
      <c r="AF1247" s="97" t="n">
        <f aca="false">BR1247</f>
        <v>0</v>
      </c>
      <c r="AG1247" s="98" t="n">
        <f aca="false">K1247-AF1247</f>
        <v>8</v>
      </c>
      <c r="AH1247" s="99" t="n">
        <f aca="false">IFERROR(AG1247/K1247," ")</f>
        <v>1</v>
      </c>
      <c r="AI1247" s="100" t="n">
        <f aca="false">IFERROR(O1247/K1247,0)</f>
        <v>390</v>
      </c>
      <c r="AJ1247" s="101" t="n">
        <f aca="false">VLOOKUP(D1247,'Standard Cycle time'!C:D,2,0)</f>
        <v>9</v>
      </c>
      <c r="AK1247" s="101" t="n">
        <f aca="false">AG1247*V1247*3600/O1247</f>
        <v>9.23076923076923</v>
      </c>
      <c r="AL1247" s="102" t="n">
        <f aca="false">AJ1247/AK1247</f>
        <v>0.975</v>
      </c>
      <c r="AM1247" s="99" t="n">
        <f aca="false">AE1247*AL1247*AH1247</f>
        <v>0.959879032258065</v>
      </c>
      <c r="AN1247" s="103" t="n">
        <v>0.959879032258065</v>
      </c>
      <c r="AO1247" s="112"/>
      <c r="AP1247" s="105" t="n">
        <v>0</v>
      </c>
      <c r="AQ1247" s="105" t="n">
        <v>0</v>
      </c>
      <c r="AR1247" s="105" t="n">
        <v>0</v>
      </c>
      <c r="AS1247" s="105" t="n">
        <v>0</v>
      </c>
      <c r="AT1247" s="105" t="n">
        <v>0</v>
      </c>
      <c r="AU1247" s="105" t="n">
        <v>0</v>
      </c>
      <c r="AV1247" s="105" t="n">
        <v>0</v>
      </c>
      <c r="AW1247" s="105" t="n">
        <v>0</v>
      </c>
      <c r="AX1247" s="105" t="n">
        <v>0</v>
      </c>
      <c r="AY1247" s="105" t="n">
        <v>0</v>
      </c>
      <c r="AZ1247" s="105" t="n">
        <v>0</v>
      </c>
      <c r="BA1247" s="105" t="n">
        <v>0</v>
      </c>
      <c r="BB1247" s="105" t="n">
        <v>0</v>
      </c>
      <c r="BC1247" s="105" t="n">
        <v>0</v>
      </c>
      <c r="BD1247" s="105" t="n">
        <v>0</v>
      </c>
      <c r="BE1247" s="105" t="n">
        <v>0</v>
      </c>
      <c r="BF1247" s="105" t="n">
        <v>0</v>
      </c>
      <c r="BG1247" s="105" t="n">
        <v>0</v>
      </c>
      <c r="BH1247" s="105" t="n">
        <v>0</v>
      </c>
      <c r="BI1247" s="105" t="n">
        <v>0</v>
      </c>
      <c r="BJ1247" s="105" t="n">
        <v>0</v>
      </c>
      <c r="BK1247" s="105" t="n">
        <v>0</v>
      </c>
      <c r="BL1247" s="105" t="n">
        <v>0</v>
      </c>
      <c r="BM1247" s="105" t="n">
        <v>0</v>
      </c>
      <c r="BN1247" s="105" t="n">
        <v>0</v>
      </c>
      <c r="BO1247" s="105" t="n">
        <v>0</v>
      </c>
      <c r="BP1247" s="105" t="n">
        <v>0</v>
      </c>
      <c r="BQ1247" s="105" t="n">
        <v>0</v>
      </c>
      <c r="BR1247" s="106" t="n">
        <v>0</v>
      </c>
      <c r="BS1247" s="106" t="n">
        <v>0</v>
      </c>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c r="CO1247" s="107"/>
      <c r="CP1247" s="107"/>
      <c r="CQ1247" s="107"/>
      <c r="CR1247" s="107"/>
      <c r="CS1247" s="107"/>
      <c r="CT1247" s="107"/>
      <c r="CU1247" s="107"/>
      <c r="CV1247" s="107"/>
    </row>
    <row r="1248" customFormat="false" ht="14.9" hidden="false" customHeight="false" outlineLevel="0" collapsed="false">
      <c r="A1248" s="74" t="n">
        <f aca="false">MONTH(B1248)</f>
        <v>11</v>
      </c>
      <c r="B1248" s="135" t="n">
        <v>44516</v>
      </c>
      <c r="C1248" s="128" t="s">
        <v>51</v>
      </c>
      <c r="D1248" s="77" t="str">
        <f aca="false">IFERROR(VLOOKUP(E:E,'Item Data Support Sheet'!A:O,7,0),"")</f>
        <v>BOTTLE PRINTED</v>
      </c>
      <c r="E1248" s="80" t="s">
        <v>65</v>
      </c>
      <c r="F1248" s="122"/>
      <c r="G1248" s="137" t="s">
        <v>54</v>
      </c>
      <c r="H1248" s="79" t="str">
        <f aca="false">IFERROR(VLOOKUP(E:E,'Item Data Support Sheet'!A:O,2,0),"")</f>
        <v>KPP 240 ML BOTTLE PRINTED</v>
      </c>
      <c r="I1248" s="80" t="s">
        <v>2051</v>
      </c>
      <c r="J1248" s="80" t="s">
        <v>1960</v>
      </c>
      <c r="K1248" s="124" t="n">
        <v>8</v>
      </c>
      <c r="L1248" s="124" t="n">
        <v>5120</v>
      </c>
      <c r="M1248" s="83" t="n">
        <v>640</v>
      </c>
      <c r="N1248" s="84" t="n">
        <f aca="false">+O1248+Q1248+T1248+U1248</f>
        <v>3931</v>
      </c>
      <c r="O1248" s="85" t="n">
        <v>3888</v>
      </c>
      <c r="P1248" s="86" t="n">
        <v>0</v>
      </c>
      <c r="Q1248" s="86" t="n">
        <v>0</v>
      </c>
      <c r="R1248" s="132" t="n">
        <v>27</v>
      </c>
      <c r="S1248" s="128" t="n">
        <v>0</v>
      </c>
      <c r="T1248" s="132" t="n">
        <v>43</v>
      </c>
      <c r="U1248" s="128" t="n">
        <v>0</v>
      </c>
      <c r="V1248" s="128" t="n">
        <v>4.5</v>
      </c>
      <c r="W1248" s="90" t="n">
        <f aca="false">IFERROR(O1248/V1248,0)</f>
        <v>864</v>
      </c>
      <c r="X1248" s="91" t="n">
        <f aca="false">O1248/L1248</f>
        <v>0.759375</v>
      </c>
      <c r="Y1248" s="92" t="str">
        <f aca="false">IFERROR(VLOOKUP(E:E,'Item Data Support Sheet'!A:J,6,0),0)</f>
        <v>FO003</v>
      </c>
      <c r="Z1248" s="93" t="n">
        <f aca="false">IFERROR(VLOOKUP(E:E,'Item Data Support Sheet'!A:O,4,0),0)</f>
        <v>0</v>
      </c>
      <c r="AA1248" s="93" t="n">
        <f aca="false">IFERROR(((N1248)*(Z1248/1000))+P1248,0)</f>
        <v>0</v>
      </c>
      <c r="AB1248" s="94" t="str">
        <f aca="false">IFERROR((O1248*(Z1248/1000)/(AA1248))," ")</f>
        <v> </v>
      </c>
      <c r="AC1248" s="95" t="n">
        <f aca="false">IFERROR((T1248)/((T1248)+O1248),0)</f>
        <v>0.0109386924446706</v>
      </c>
      <c r="AD1248" s="96" t="n">
        <f aca="false">IFERROR(Q1248/(Q1248+N1248),0)</f>
        <v>0</v>
      </c>
      <c r="AE1248" s="91" t="n">
        <f aca="false">(N1248-T1248)/N1248</f>
        <v>0.989061307555329</v>
      </c>
      <c r="AF1248" s="97" t="n">
        <f aca="false">BR1248</f>
        <v>0.666666666666667</v>
      </c>
      <c r="AG1248" s="98" t="n">
        <f aca="false">K1248-AF1248</f>
        <v>7.33333333333333</v>
      </c>
      <c r="AH1248" s="99" t="n">
        <f aca="false">IFERROR(AG1248/K1248," ")</f>
        <v>0.916666666666667</v>
      </c>
      <c r="AI1248" s="100" t="n">
        <f aca="false">IFERROR(O1248/K1248,0)</f>
        <v>486</v>
      </c>
      <c r="AJ1248" s="101" t="n">
        <f aca="false">VLOOKUP(D1248,'Standard Cycle time'!C:D,2,0)</f>
        <v>32.4</v>
      </c>
      <c r="AK1248" s="101" t="n">
        <f aca="false">AG1248*V1248*3600/O1248</f>
        <v>30.5555555555556</v>
      </c>
      <c r="AL1248" s="102" t="n">
        <f aca="false">AJ1248/AK1248</f>
        <v>1.06036363636364</v>
      </c>
      <c r="AM1248" s="99" t="n">
        <f aca="false">AE1248*AL1248*AH1248</f>
        <v>0.96136759094378</v>
      </c>
      <c r="AN1248" s="103" t="n">
        <v>0.96136759094378</v>
      </c>
      <c r="AO1248" s="112" t="s">
        <v>1599</v>
      </c>
      <c r="AP1248" s="105" t="n">
        <v>40</v>
      </c>
      <c r="AQ1248" s="105" t="n">
        <v>0</v>
      </c>
      <c r="AR1248" s="105" t="n">
        <v>0</v>
      </c>
      <c r="AS1248" s="105" t="n">
        <v>0</v>
      </c>
      <c r="AT1248" s="105" t="n">
        <v>0</v>
      </c>
      <c r="AU1248" s="105" t="n">
        <v>0</v>
      </c>
      <c r="AV1248" s="105" t="n">
        <v>0</v>
      </c>
      <c r="AW1248" s="105" t="n">
        <v>0</v>
      </c>
      <c r="AX1248" s="105" t="n">
        <v>0</v>
      </c>
      <c r="AY1248" s="105" t="n">
        <v>0</v>
      </c>
      <c r="AZ1248" s="105" t="n">
        <v>0</v>
      </c>
      <c r="BA1248" s="105" t="n">
        <v>0</v>
      </c>
      <c r="BB1248" s="105" t="n">
        <v>0</v>
      </c>
      <c r="BC1248" s="105" t="n">
        <v>0</v>
      </c>
      <c r="BD1248" s="105" t="n">
        <v>0</v>
      </c>
      <c r="BE1248" s="105" t="n">
        <v>0</v>
      </c>
      <c r="BF1248" s="105" t="n">
        <v>0</v>
      </c>
      <c r="BG1248" s="105" t="n">
        <v>0</v>
      </c>
      <c r="BH1248" s="105" t="n">
        <v>0</v>
      </c>
      <c r="BI1248" s="105" t="n">
        <v>0</v>
      </c>
      <c r="BJ1248" s="105" t="n">
        <v>0</v>
      </c>
      <c r="BK1248" s="105" t="n">
        <v>0</v>
      </c>
      <c r="BL1248" s="105" t="n">
        <v>0</v>
      </c>
      <c r="BM1248" s="105" t="n">
        <v>0</v>
      </c>
      <c r="BN1248" s="105" t="n">
        <v>0</v>
      </c>
      <c r="BO1248" s="105" t="n">
        <v>0</v>
      </c>
      <c r="BP1248" s="105" t="n">
        <v>0</v>
      </c>
      <c r="BQ1248" s="105" t="n">
        <v>0</v>
      </c>
      <c r="BR1248" s="106" t="n">
        <v>0.666666666666667</v>
      </c>
      <c r="BS1248" s="106" t="n">
        <v>0.666666666666667</v>
      </c>
      <c r="BT1248" s="107"/>
      <c r="BU1248" s="107"/>
      <c r="BV1248" s="107"/>
      <c r="BW1248" s="107"/>
      <c r="BX1248" s="107"/>
      <c r="BY1248" s="107"/>
      <c r="BZ1248" s="107"/>
      <c r="CA1248" s="107"/>
      <c r="CB1248" s="107"/>
      <c r="CC1248" s="107"/>
      <c r="CD1248" s="107"/>
      <c r="CE1248" s="107"/>
      <c r="CF1248" s="107"/>
      <c r="CG1248" s="107"/>
      <c r="CH1248" s="107"/>
      <c r="CI1248" s="107"/>
      <c r="CJ1248" s="107"/>
      <c r="CK1248" s="107"/>
      <c r="CL1248" s="107"/>
      <c r="CM1248" s="107"/>
      <c r="CN1248" s="107"/>
      <c r="CO1248" s="107"/>
      <c r="CP1248" s="107"/>
      <c r="CQ1248" s="107"/>
      <c r="CR1248" s="107"/>
      <c r="CS1248" s="107"/>
      <c r="CT1248" s="107"/>
      <c r="CU1248" s="107"/>
      <c r="CV1248" s="107"/>
    </row>
    <row r="1249" customFormat="false" ht="14.9" hidden="false" customHeight="false" outlineLevel="0" collapsed="false">
      <c r="A1249" s="74" t="n">
        <f aca="false">MONTH(B1249)</f>
        <v>11</v>
      </c>
      <c r="B1249" s="135" t="n">
        <v>44516</v>
      </c>
      <c r="C1249" s="128" t="s">
        <v>63</v>
      </c>
      <c r="D1249" s="77" t="str">
        <f aca="false">IFERROR(VLOOKUP(E:E,'Item Data Support Sheet'!A:O,7,0),"")</f>
        <v>NIPPLE PUNCH INSPECTED</v>
      </c>
      <c r="E1249" s="80" t="s">
        <v>688</v>
      </c>
      <c r="F1249" s="122"/>
      <c r="G1249" s="137"/>
      <c r="H1249" s="79" t="str">
        <f aca="false">IFERROR(VLOOKUP(E:E,'Item Data Support Sheet'!A:O,2,0),"")</f>
        <v>NIPPLE S TYPE L SIZE PUNCHED INSPECTED</v>
      </c>
      <c r="I1249" s="80" t="s">
        <v>2040</v>
      </c>
      <c r="J1249" s="80" t="s">
        <v>155</v>
      </c>
      <c r="K1249" s="124" t="n">
        <v>8</v>
      </c>
      <c r="L1249" s="124" t="n">
        <v>14000</v>
      </c>
      <c r="M1249" s="83" t="n">
        <v>1750</v>
      </c>
      <c r="N1249" s="84" t="n">
        <f aca="false">+O1249+Q1249+T1249+U1249</f>
        <v>12700</v>
      </c>
      <c r="O1249" s="85" t="n">
        <v>12633</v>
      </c>
      <c r="P1249" s="86" t="n">
        <v>0</v>
      </c>
      <c r="Q1249" s="86" t="n">
        <v>0</v>
      </c>
      <c r="R1249" s="132" t="n">
        <v>0</v>
      </c>
      <c r="S1249" s="128" t="n">
        <v>0</v>
      </c>
      <c r="T1249" s="132" t="n">
        <v>67</v>
      </c>
      <c r="U1249" s="128" t="n">
        <v>0</v>
      </c>
      <c r="V1249" s="128" t="n">
        <v>1</v>
      </c>
      <c r="W1249" s="90" t="n">
        <f aca="false">IFERROR(O1249/V1249,0)</f>
        <v>12633</v>
      </c>
      <c r="X1249" s="91" t="n">
        <f aca="false">O1249/L1249</f>
        <v>0.902357142857143</v>
      </c>
      <c r="Y1249" s="92" t="str">
        <f aca="false">IFERROR(VLOOKUP(E:E,'Item Data Support Sheet'!A:J,6,0),0)</f>
        <v>FO106</v>
      </c>
      <c r="Z1249" s="93" t="n">
        <f aca="false">IFERROR(VLOOKUP(E:E,'Item Data Support Sheet'!A:O,4,0),0)</f>
        <v>0</v>
      </c>
      <c r="AA1249" s="93" t="n">
        <f aca="false">IFERROR(((N1249)*(Z1249/1000))+P1249,0)</f>
        <v>0</v>
      </c>
      <c r="AB1249" s="94" t="str">
        <f aca="false">IFERROR((O1249*(Z1249/1000)/(AA1249))," ")</f>
        <v> </v>
      </c>
      <c r="AC1249" s="95" t="n">
        <f aca="false">IFERROR((T1249)/((T1249)+O1249),0)</f>
        <v>0.0052755905511811</v>
      </c>
      <c r="AD1249" s="96" t="n">
        <f aca="false">IFERROR(Q1249/(Q1249+N1249),0)</f>
        <v>0</v>
      </c>
      <c r="AE1249" s="91" t="n">
        <f aca="false">(N1249-T1249)/N1249</f>
        <v>0.994724409448819</v>
      </c>
      <c r="AF1249" s="97" t="n">
        <f aca="false">BR1249</f>
        <v>0.833333333333333</v>
      </c>
      <c r="AG1249" s="98" t="n">
        <f aca="false">K1249-AF1249</f>
        <v>7.16666666666667</v>
      </c>
      <c r="AH1249" s="99" t="n">
        <f aca="false">IFERROR(AG1249/K1249," ")</f>
        <v>0.895833333333333</v>
      </c>
      <c r="AI1249" s="100" t="n">
        <f aca="false">IFERROR(O1249/K1249,0)</f>
        <v>1579.125</v>
      </c>
      <c r="AJ1249" s="101" t="n">
        <f aca="false">VLOOKUP(D1249,'Standard Cycle time'!C:D,2,0)</f>
        <v>4</v>
      </c>
      <c r="AK1249" s="101" t="n">
        <f aca="false">AG1249*V1249*3600/O1249</f>
        <v>2.04227024459748</v>
      </c>
      <c r="AL1249" s="102" t="n">
        <f aca="false">AJ1249/AK1249</f>
        <v>1.95860465116279</v>
      </c>
      <c r="AM1249" s="99" t="n">
        <f aca="false">AE1249*AL1249*AH1249</f>
        <v>1.74532687007874</v>
      </c>
      <c r="AN1249" s="103" t="n">
        <v>1.74532687007874</v>
      </c>
      <c r="AO1249" s="112"/>
      <c r="AP1249" s="105" t="n">
        <v>50</v>
      </c>
      <c r="AQ1249" s="105" t="n">
        <v>0</v>
      </c>
      <c r="AR1249" s="105" t="n">
        <v>0</v>
      </c>
      <c r="AS1249" s="105" t="n">
        <v>0</v>
      </c>
      <c r="AT1249" s="105" t="n">
        <v>0</v>
      </c>
      <c r="AU1249" s="105" t="n">
        <v>0</v>
      </c>
      <c r="AV1249" s="105" t="n">
        <v>0</v>
      </c>
      <c r="AW1249" s="105" t="n">
        <v>0</v>
      </c>
      <c r="AX1249" s="105" t="n">
        <v>0</v>
      </c>
      <c r="AY1249" s="105" t="n">
        <v>0</v>
      </c>
      <c r="AZ1249" s="105" t="n">
        <v>0</v>
      </c>
      <c r="BA1249" s="105" t="n">
        <v>0</v>
      </c>
      <c r="BB1249" s="105" t="n">
        <v>0</v>
      </c>
      <c r="BC1249" s="105" t="n">
        <v>0</v>
      </c>
      <c r="BD1249" s="105" t="n">
        <v>0</v>
      </c>
      <c r="BE1249" s="105" t="n">
        <v>0</v>
      </c>
      <c r="BF1249" s="105" t="n">
        <v>0</v>
      </c>
      <c r="BG1249" s="105" t="n">
        <v>0</v>
      </c>
      <c r="BH1249" s="105" t="n">
        <v>0</v>
      </c>
      <c r="BI1249" s="105" t="n">
        <v>0</v>
      </c>
      <c r="BJ1249" s="105" t="n">
        <v>0</v>
      </c>
      <c r="BK1249" s="105" t="n">
        <v>0</v>
      </c>
      <c r="BL1249" s="105" t="n">
        <v>0</v>
      </c>
      <c r="BM1249" s="105" t="n">
        <v>0</v>
      </c>
      <c r="BN1249" s="105" t="n">
        <v>0</v>
      </c>
      <c r="BO1249" s="105" t="n">
        <v>0</v>
      </c>
      <c r="BP1249" s="105" t="n">
        <v>0</v>
      </c>
      <c r="BQ1249" s="105" t="n">
        <v>0</v>
      </c>
      <c r="BR1249" s="106" t="n">
        <v>0.833333333333333</v>
      </c>
      <c r="BS1249" s="106" t="n">
        <v>0.833333333333333</v>
      </c>
      <c r="BT1249" s="107"/>
      <c r="BU1249" s="107"/>
      <c r="BV1249" s="107"/>
      <c r="BW1249" s="107"/>
      <c r="BX1249" s="107"/>
      <c r="BY1249" s="107"/>
      <c r="BZ1249" s="107"/>
      <c r="CA1249" s="107"/>
      <c r="CB1249" s="107"/>
      <c r="CC1249" s="107"/>
      <c r="CD1249" s="107"/>
      <c r="CE1249" s="107"/>
      <c r="CF1249" s="107"/>
      <c r="CG1249" s="107"/>
      <c r="CH1249" s="107"/>
      <c r="CI1249" s="107"/>
      <c r="CJ1249" s="107"/>
      <c r="CK1249" s="107"/>
      <c r="CL1249" s="107"/>
      <c r="CM1249" s="107"/>
      <c r="CN1249" s="107"/>
      <c r="CO1249" s="107"/>
      <c r="CP1249" s="107"/>
      <c r="CQ1249" s="107"/>
      <c r="CR1249" s="107"/>
      <c r="CS1249" s="107"/>
      <c r="CT1249" s="107"/>
      <c r="CU1249" s="107"/>
      <c r="CV1249" s="107"/>
    </row>
    <row r="1250" customFormat="false" ht="14.9" hidden="false" customHeight="false" outlineLevel="0" collapsed="false">
      <c r="A1250" s="74" t="n">
        <f aca="false">MONTH(B1250)</f>
        <v>11</v>
      </c>
      <c r="B1250" s="135" t="n">
        <v>44516</v>
      </c>
      <c r="C1250" s="128" t="s">
        <v>63</v>
      </c>
      <c r="D1250" s="77" t="str">
        <f aca="false">IFERROR(VLOOKUP(E:E,'Item Data Support Sheet'!A:O,7,0),"")</f>
        <v>NIPPLE WRAP PRINTED</v>
      </c>
      <c r="E1250" s="80" t="s">
        <v>937</v>
      </c>
      <c r="F1250" s="122"/>
      <c r="G1250" s="137" t="s">
        <v>432</v>
      </c>
      <c r="H1250" s="79" t="str">
        <f aca="false">IFERROR(VLOOKUP(E:E,'Item Data Support Sheet'!A:O,2,0),"")</f>
        <v>NIPPLE S TYPE Y SIZE WITH PRINTED WRAP</v>
      </c>
      <c r="I1250" s="80" t="s">
        <v>2052</v>
      </c>
      <c r="J1250" s="80" t="s">
        <v>155</v>
      </c>
      <c r="K1250" s="124" t="n">
        <v>2</v>
      </c>
      <c r="L1250" s="124" t="n">
        <v>4042</v>
      </c>
      <c r="M1250" s="83" t="n">
        <v>2021</v>
      </c>
      <c r="N1250" s="84" t="n">
        <f aca="false">+O1250+Q1250+T1250+U1250</f>
        <v>4029</v>
      </c>
      <c r="O1250" s="85" t="n">
        <v>4025</v>
      </c>
      <c r="P1250" s="86" t="n">
        <v>0</v>
      </c>
      <c r="Q1250" s="86" t="n">
        <v>0</v>
      </c>
      <c r="R1250" s="132" t="n">
        <v>0</v>
      </c>
      <c r="S1250" s="128" t="n">
        <v>0</v>
      </c>
      <c r="T1250" s="132" t="n">
        <v>4</v>
      </c>
      <c r="U1250" s="128" t="n">
        <v>0</v>
      </c>
      <c r="V1250" s="128" t="n">
        <v>1</v>
      </c>
      <c r="W1250" s="90" t="n">
        <f aca="false">IFERROR(O1250/V1250,0)</f>
        <v>4025</v>
      </c>
      <c r="X1250" s="91" t="n">
        <f aca="false">O1250/L1250</f>
        <v>0.995794161306284</v>
      </c>
      <c r="Y1250" s="92" t="str">
        <f aca="false">IFERROR(VLOOKUP(E:E,'Item Data Support Sheet'!A:J,6,0),0)</f>
        <v>FO022</v>
      </c>
      <c r="Z1250" s="93" t="n">
        <f aca="false">IFERROR(VLOOKUP(E:E,'Item Data Support Sheet'!A:O,4,0),0)</f>
        <v>0</v>
      </c>
      <c r="AA1250" s="93" t="n">
        <f aca="false">IFERROR(((N1250)*(Z1250/1000))+P1250,0)</f>
        <v>0</v>
      </c>
      <c r="AB1250" s="94" t="str">
        <f aca="false">IFERROR((O1250*(Z1250/1000)/(AA1250))," ")</f>
        <v> </v>
      </c>
      <c r="AC1250" s="95" t="n">
        <f aca="false">IFERROR((T1250)/((T1250)+O1250),0)</f>
        <v>0.000992802184164805</v>
      </c>
      <c r="AD1250" s="96" t="n">
        <f aca="false">IFERROR(Q1250/(Q1250+N1250),0)</f>
        <v>0</v>
      </c>
      <c r="AE1250" s="91" t="n">
        <f aca="false">(N1250-T1250)/N1250</f>
        <v>0.999007197815835</v>
      </c>
      <c r="AF1250" s="97" t="n">
        <f aca="false">BR1250</f>
        <v>0.833333333333333</v>
      </c>
      <c r="AG1250" s="98" t="n">
        <f aca="false">K1250-AF1250</f>
        <v>1.16666666666667</v>
      </c>
      <c r="AH1250" s="99" t="n">
        <f aca="false">IFERROR(AG1250/K1250," ")</f>
        <v>0.583333333333334</v>
      </c>
      <c r="AI1250" s="100" t="n">
        <f aca="false">IFERROR(O1250/K1250,0)</f>
        <v>2012.5</v>
      </c>
      <c r="AJ1250" s="101" t="n">
        <f aca="false">VLOOKUP(D1250,'Standard Cycle time'!C:D,2,0)</f>
        <v>2.5</v>
      </c>
      <c r="AK1250" s="101" t="n">
        <f aca="false">AG1250*V1250*3600/O1250</f>
        <v>1.04347826086957</v>
      </c>
      <c r="AL1250" s="102" t="n">
        <f aca="false">AJ1250/AK1250</f>
        <v>2.39583333333333</v>
      </c>
      <c r="AM1250" s="99" t="n">
        <f aca="false">AE1250*AL1250*AH1250</f>
        <v>1.39618193444748</v>
      </c>
      <c r="AN1250" s="103" t="n">
        <v>1.39618193444748</v>
      </c>
      <c r="AO1250" s="112"/>
      <c r="AP1250" s="105" t="n">
        <v>50</v>
      </c>
      <c r="AQ1250" s="105" t="n">
        <v>0</v>
      </c>
      <c r="AR1250" s="105" t="n">
        <v>0</v>
      </c>
      <c r="AS1250" s="105" t="n">
        <v>0</v>
      </c>
      <c r="AT1250" s="105" t="n">
        <v>0</v>
      </c>
      <c r="AU1250" s="105" t="n">
        <v>0</v>
      </c>
      <c r="AV1250" s="105" t="n">
        <v>0</v>
      </c>
      <c r="AW1250" s="105" t="n">
        <v>0</v>
      </c>
      <c r="AX1250" s="105" t="n">
        <v>0</v>
      </c>
      <c r="AY1250" s="105" t="n">
        <v>0</v>
      </c>
      <c r="AZ1250" s="105" t="n">
        <v>0</v>
      </c>
      <c r="BA1250" s="105" t="n">
        <v>0</v>
      </c>
      <c r="BB1250" s="105" t="n">
        <v>0</v>
      </c>
      <c r="BC1250" s="105" t="n">
        <v>0</v>
      </c>
      <c r="BD1250" s="105" t="n">
        <v>0</v>
      </c>
      <c r="BE1250" s="105" t="n">
        <v>0</v>
      </c>
      <c r="BF1250" s="105" t="n">
        <v>0</v>
      </c>
      <c r="BG1250" s="105" t="n">
        <v>0</v>
      </c>
      <c r="BH1250" s="105" t="n">
        <v>0</v>
      </c>
      <c r="BI1250" s="105" t="n">
        <v>0</v>
      </c>
      <c r="BJ1250" s="105" t="n">
        <v>0</v>
      </c>
      <c r="BK1250" s="105" t="n">
        <v>0</v>
      </c>
      <c r="BL1250" s="105" t="n">
        <v>0</v>
      </c>
      <c r="BM1250" s="105" t="n">
        <v>0</v>
      </c>
      <c r="BN1250" s="105" t="n">
        <v>0</v>
      </c>
      <c r="BO1250" s="105" t="n">
        <v>0</v>
      </c>
      <c r="BP1250" s="105" t="n">
        <v>0</v>
      </c>
      <c r="BQ1250" s="105" t="n">
        <v>0</v>
      </c>
      <c r="BR1250" s="106" t="n">
        <v>0.833333333333333</v>
      </c>
      <c r="BS1250" s="106" t="n">
        <v>0.833333333333333</v>
      </c>
      <c r="BT1250" s="107"/>
      <c r="BU1250" s="107"/>
      <c r="BV1250" s="107"/>
      <c r="BW1250" s="107"/>
      <c r="BX1250" s="107"/>
      <c r="BY1250" s="107"/>
      <c r="BZ1250" s="107"/>
      <c r="CA1250" s="107"/>
      <c r="CB1250" s="107"/>
      <c r="CC1250" s="107"/>
      <c r="CD1250" s="107"/>
      <c r="CE1250" s="107"/>
      <c r="CF1250" s="107"/>
      <c r="CG1250" s="107"/>
      <c r="CH1250" s="107"/>
      <c r="CI1250" s="107"/>
      <c r="CJ1250" s="107"/>
      <c r="CK1250" s="107"/>
      <c r="CL1250" s="107"/>
      <c r="CM1250" s="107"/>
      <c r="CN1250" s="107"/>
      <c r="CO1250" s="107"/>
      <c r="CP1250" s="107"/>
      <c r="CQ1250" s="107"/>
      <c r="CR1250" s="107"/>
      <c r="CS1250" s="107"/>
      <c r="CT1250" s="107"/>
      <c r="CU1250" s="107"/>
      <c r="CV1250" s="107"/>
    </row>
    <row r="1251" customFormat="false" ht="14.9" hidden="false" customHeight="false" outlineLevel="0" collapsed="false">
      <c r="A1251" s="74" t="n">
        <f aca="false">MONTH(B1251)</f>
        <v>11</v>
      </c>
      <c r="B1251" s="135" t="n">
        <v>44516</v>
      </c>
      <c r="C1251" s="128" t="s">
        <v>63</v>
      </c>
      <c r="D1251" s="77" t="str">
        <f aca="false">IFERROR(VLOOKUP(E:E,'Item Data Support Sheet'!A:O,7,0),"")</f>
        <v>NIPPLE WRAP PRINTED</v>
      </c>
      <c r="E1251" s="80" t="s">
        <v>474</v>
      </c>
      <c r="F1251" s="122"/>
      <c r="G1251" s="137" t="s">
        <v>432</v>
      </c>
      <c r="H1251" s="79" t="str">
        <f aca="false">IFERROR(VLOOKUP(E:E,'Item Data Support Sheet'!A:O,2,0),"")</f>
        <v>NIPPLE S TYPE L SIZE WITH PRINTED WRAP</v>
      </c>
      <c r="I1251" s="80" t="s">
        <v>2053</v>
      </c>
      <c r="J1251" s="80" t="s">
        <v>155</v>
      </c>
      <c r="K1251" s="124" t="n">
        <v>6</v>
      </c>
      <c r="L1251" s="124" t="n">
        <v>12126</v>
      </c>
      <c r="M1251" s="83" t="n">
        <v>2021</v>
      </c>
      <c r="N1251" s="84" t="n">
        <f aca="false">+O1251+Q1251+T1251+U1251</f>
        <v>12254</v>
      </c>
      <c r="O1251" s="85" t="n">
        <v>12254</v>
      </c>
      <c r="P1251" s="86" t="n">
        <v>0</v>
      </c>
      <c r="Q1251" s="86" t="n">
        <v>0</v>
      </c>
      <c r="R1251" s="132" t="n">
        <v>0</v>
      </c>
      <c r="S1251" s="128" t="n">
        <v>0</v>
      </c>
      <c r="T1251" s="132" t="n">
        <v>0</v>
      </c>
      <c r="U1251" s="128" t="n">
        <v>0</v>
      </c>
      <c r="V1251" s="128" t="n">
        <v>1</v>
      </c>
      <c r="W1251" s="90" t="n">
        <f aca="false">IFERROR(O1251/V1251,0)</f>
        <v>12254</v>
      </c>
      <c r="X1251" s="91" t="n">
        <f aca="false">O1251/L1251</f>
        <v>1.01055583044697</v>
      </c>
      <c r="Y1251" s="92" t="str">
        <f aca="false">IFERROR(VLOOKUP(E:E,'Item Data Support Sheet'!A:J,6,0),0)</f>
        <v>FO021</v>
      </c>
      <c r="Z1251" s="93" t="n">
        <f aca="false">IFERROR(VLOOKUP(E:E,'Item Data Support Sheet'!A:O,4,0),0)</f>
        <v>0</v>
      </c>
      <c r="AA1251" s="93" t="n">
        <f aca="false">IFERROR(((N1251)*(Z1251/1000))+P1251,0)</f>
        <v>0</v>
      </c>
      <c r="AB1251" s="94" t="str">
        <f aca="false">IFERROR((O1251*(Z1251/1000)/(AA1251))," ")</f>
        <v> </v>
      </c>
      <c r="AC1251" s="95" t="n">
        <f aca="false">IFERROR((T1251)/((T1251)+O1251),0)</f>
        <v>0</v>
      </c>
      <c r="AD1251" s="96" t="n">
        <f aca="false">IFERROR(Q1251/(Q1251+N1251),0)</f>
        <v>0</v>
      </c>
      <c r="AE1251" s="91" t="n">
        <f aca="false">(N1251-T1251)/N1251</f>
        <v>1</v>
      </c>
      <c r="AF1251" s="97" t="n">
        <f aca="false">BR1251</f>
        <v>0</v>
      </c>
      <c r="AG1251" s="98" t="n">
        <f aca="false">K1251-AF1251</f>
        <v>6</v>
      </c>
      <c r="AH1251" s="99" t="n">
        <f aca="false">IFERROR(AG1251/K1251," ")</f>
        <v>1</v>
      </c>
      <c r="AI1251" s="100" t="n">
        <f aca="false">IFERROR(O1251/K1251,0)</f>
        <v>2042.33333333333</v>
      </c>
      <c r="AJ1251" s="101" t="n">
        <f aca="false">VLOOKUP(D1251,'Standard Cycle time'!C:D,2,0)</f>
        <v>2.5</v>
      </c>
      <c r="AK1251" s="101" t="n">
        <f aca="false">AG1251*V1251*3600/O1251</f>
        <v>1.76268973396442</v>
      </c>
      <c r="AL1251" s="102" t="n">
        <f aca="false">AJ1251/AK1251</f>
        <v>1.41828703703704</v>
      </c>
      <c r="AM1251" s="99" t="n">
        <f aca="false">AE1251*AL1251*AH1251</f>
        <v>1.41828703703704</v>
      </c>
      <c r="AN1251" s="103" t="n">
        <v>1.41828703703704</v>
      </c>
      <c r="AO1251" s="112"/>
      <c r="AP1251" s="105" t="n">
        <v>0</v>
      </c>
      <c r="AQ1251" s="105" t="n">
        <v>0</v>
      </c>
      <c r="AR1251" s="105" t="n">
        <v>0</v>
      </c>
      <c r="AS1251" s="105" t="n">
        <v>0</v>
      </c>
      <c r="AT1251" s="105" t="n">
        <v>0</v>
      </c>
      <c r="AU1251" s="105" t="n">
        <v>0</v>
      </c>
      <c r="AV1251" s="105" t="n">
        <v>0</v>
      </c>
      <c r="AW1251" s="105" t="n">
        <v>0</v>
      </c>
      <c r="AX1251" s="105" t="n">
        <v>0</v>
      </c>
      <c r="AY1251" s="105" t="n">
        <v>0</v>
      </c>
      <c r="AZ1251" s="105" t="n">
        <v>0</v>
      </c>
      <c r="BA1251" s="105" t="n">
        <v>0</v>
      </c>
      <c r="BB1251" s="105" t="n">
        <v>0</v>
      </c>
      <c r="BC1251" s="105" t="n">
        <v>0</v>
      </c>
      <c r="BD1251" s="105" t="n">
        <v>0</v>
      </c>
      <c r="BE1251" s="105" t="n">
        <v>0</v>
      </c>
      <c r="BF1251" s="105" t="n">
        <v>0</v>
      </c>
      <c r="BG1251" s="105" t="n">
        <v>0</v>
      </c>
      <c r="BH1251" s="105" t="n">
        <v>0</v>
      </c>
      <c r="BI1251" s="105" t="n">
        <v>0</v>
      </c>
      <c r="BJ1251" s="105" t="n">
        <v>0</v>
      </c>
      <c r="BK1251" s="105" t="n">
        <v>0</v>
      </c>
      <c r="BL1251" s="105" t="n">
        <v>0</v>
      </c>
      <c r="BM1251" s="105" t="n">
        <v>0</v>
      </c>
      <c r="BN1251" s="105" t="n">
        <v>0</v>
      </c>
      <c r="BO1251" s="105" t="n">
        <v>0</v>
      </c>
      <c r="BP1251" s="105" t="n">
        <v>0</v>
      </c>
      <c r="BQ1251" s="105" t="n">
        <v>0</v>
      </c>
      <c r="BR1251" s="106" t="n">
        <v>0</v>
      </c>
      <c r="BS1251" s="106" t="n">
        <v>0</v>
      </c>
      <c r="BT1251" s="107"/>
      <c r="BU1251" s="107"/>
      <c r="BV1251" s="107"/>
      <c r="BW1251" s="107"/>
      <c r="BX1251" s="107"/>
      <c r="BY1251" s="107"/>
      <c r="BZ1251" s="107"/>
      <c r="CA1251" s="107"/>
      <c r="CB1251" s="107"/>
      <c r="CC1251" s="107"/>
      <c r="CD1251" s="107"/>
      <c r="CE1251" s="107"/>
      <c r="CF1251" s="107"/>
      <c r="CG1251" s="107"/>
      <c r="CH1251" s="107"/>
      <c r="CI1251" s="107"/>
      <c r="CJ1251" s="107"/>
      <c r="CK1251" s="107"/>
      <c r="CL1251" s="107"/>
      <c r="CM1251" s="107"/>
      <c r="CN1251" s="107"/>
      <c r="CO1251" s="107"/>
      <c r="CP1251" s="107"/>
      <c r="CQ1251" s="107"/>
      <c r="CR1251" s="107"/>
      <c r="CS1251" s="107"/>
      <c r="CT1251" s="107"/>
      <c r="CU1251" s="107"/>
      <c r="CV1251" s="107"/>
    </row>
    <row r="1252" customFormat="false" ht="14.9" hidden="false" customHeight="false" outlineLevel="0" collapsed="false">
      <c r="A1252" s="74" t="n">
        <f aca="false">MONTH(B1252)</f>
        <v>11</v>
      </c>
      <c r="B1252" s="135" t="n">
        <v>44516</v>
      </c>
      <c r="C1252" s="128" t="s">
        <v>70</v>
      </c>
      <c r="D1252" s="77" t="str">
        <f aca="false">IFERROR(VLOOKUP(E:E,'Item Data Support Sheet'!A:O,7,0),"")</f>
        <v>NIPPLE MOLDED</v>
      </c>
      <c r="E1252" s="80" t="s">
        <v>661</v>
      </c>
      <c r="F1252" s="122" t="s">
        <v>137</v>
      </c>
      <c r="G1252" s="137" t="s">
        <v>138</v>
      </c>
      <c r="H1252" s="79" t="str">
        <f aca="false">IFERROR(VLOOKUP(E:E,'Item Data Support Sheet'!A:O,2,0),"")</f>
        <v>NIPPLE S TYPE L SIZE INJECTION</v>
      </c>
      <c r="I1252" s="80" t="s">
        <v>2054</v>
      </c>
      <c r="J1252" s="80" t="s">
        <v>155</v>
      </c>
      <c r="K1252" s="124" t="n">
        <v>8</v>
      </c>
      <c r="L1252" s="124" t="n">
        <v>4815</v>
      </c>
      <c r="M1252" s="83" t="n">
        <v>601.875</v>
      </c>
      <c r="N1252" s="84" t="n">
        <f aca="false">+O1252+Q1252+T1252+U1252</f>
        <v>5590</v>
      </c>
      <c r="O1252" s="85" t="n">
        <v>5500</v>
      </c>
      <c r="P1252" s="86" t="n">
        <v>0</v>
      </c>
      <c r="Q1252" s="86" t="n">
        <v>40</v>
      </c>
      <c r="R1252" s="132" t="n">
        <v>0</v>
      </c>
      <c r="S1252" s="128" t="n">
        <v>0</v>
      </c>
      <c r="T1252" s="132" t="n">
        <v>50</v>
      </c>
      <c r="U1252" s="128" t="n">
        <v>0</v>
      </c>
      <c r="V1252" s="128" t="n">
        <v>1</v>
      </c>
      <c r="W1252" s="90" t="n">
        <f aca="false">IFERROR(O1252/V1252,0)</f>
        <v>5500</v>
      </c>
      <c r="X1252" s="91" t="n">
        <f aca="false">O1252/L1252</f>
        <v>1.14226375908619</v>
      </c>
      <c r="Y1252" s="92" t="str">
        <f aca="false">IFERROR(VLOOKUP(E:E,'Item Data Support Sheet'!A:J,6,0),0)</f>
        <v>Silicon</v>
      </c>
      <c r="Z1252" s="93" t="n">
        <f aca="false">IFERROR(VLOOKUP(E:E,'Item Data Support Sheet'!A:O,4,0),0)</f>
        <v>6.8</v>
      </c>
      <c r="AA1252" s="93" t="n">
        <f aca="false">IFERROR(((N1252)*(Z1252/1000))+P1252,0)</f>
        <v>38.012</v>
      </c>
      <c r="AB1252" s="94" t="n">
        <f aca="false">IFERROR((O1252*(Z1252/1000)/(AA1252))," ")</f>
        <v>0.983899821109123</v>
      </c>
      <c r="AC1252" s="95" t="n">
        <f aca="false">IFERROR((T1252)/((T1252)+O1252),0)</f>
        <v>0.00900900900900901</v>
      </c>
      <c r="AD1252" s="96" t="n">
        <f aca="false">IFERROR(Q1252/(Q1252+N1252),0)</f>
        <v>0.00710479573712256</v>
      </c>
      <c r="AE1252" s="91" t="n">
        <f aca="false">(N1252-T1252)/N1252</f>
        <v>0.991055456171735</v>
      </c>
      <c r="AF1252" s="97" t="n">
        <f aca="false">BR1252</f>
        <v>0</v>
      </c>
      <c r="AG1252" s="98" t="n">
        <f aca="false">K1252-AF1252</f>
        <v>8</v>
      </c>
      <c r="AH1252" s="99" t="n">
        <f aca="false">IFERROR(AG1252/K1252," ")</f>
        <v>1</v>
      </c>
      <c r="AI1252" s="100" t="n">
        <f aca="false">IFERROR(O1252/K1252,0)</f>
        <v>687.5</v>
      </c>
      <c r="AJ1252" s="101" t="n">
        <f aca="false">VLOOKUP(D1252,'Standard Cycle time'!C:D,2,0)</f>
        <v>5.25</v>
      </c>
      <c r="AK1252" s="101" t="n">
        <f aca="false">AG1252*V1252*3600/O1252</f>
        <v>5.23636363636364</v>
      </c>
      <c r="AL1252" s="102" t="n">
        <f aca="false">AJ1252/AK1252</f>
        <v>1.00260416666667</v>
      </c>
      <c r="AM1252" s="99" t="n">
        <f aca="false">AE1252*AL1252*AH1252</f>
        <v>0.993636329755516</v>
      </c>
      <c r="AN1252" s="103" t="n">
        <v>0.993636329755516</v>
      </c>
      <c r="AO1252" s="112"/>
      <c r="AP1252" s="105" t="n">
        <v>0</v>
      </c>
      <c r="AQ1252" s="105" t="n">
        <v>0</v>
      </c>
      <c r="AR1252" s="105" t="n">
        <v>0</v>
      </c>
      <c r="AS1252" s="105" t="n">
        <v>0</v>
      </c>
      <c r="AT1252" s="105" t="n">
        <v>0</v>
      </c>
      <c r="AU1252" s="105" t="n">
        <v>0</v>
      </c>
      <c r="AV1252" s="105" t="n">
        <v>0</v>
      </c>
      <c r="AW1252" s="105" t="n">
        <v>0</v>
      </c>
      <c r="AX1252" s="105" t="n">
        <v>0</v>
      </c>
      <c r="AY1252" s="105" t="n">
        <v>0</v>
      </c>
      <c r="AZ1252" s="105" t="n">
        <v>0</v>
      </c>
      <c r="BA1252" s="105" t="n">
        <v>0</v>
      </c>
      <c r="BB1252" s="105" t="n">
        <v>0</v>
      </c>
      <c r="BC1252" s="105" t="n">
        <v>0</v>
      </c>
      <c r="BD1252" s="105" t="n">
        <v>0</v>
      </c>
      <c r="BE1252" s="105" t="n">
        <v>0</v>
      </c>
      <c r="BF1252" s="105" t="n">
        <v>0</v>
      </c>
      <c r="BG1252" s="105" t="n">
        <v>0</v>
      </c>
      <c r="BH1252" s="105" t="n">
        <v>0</v>
      </c>
      <c r="BI1252" s="105" t="n">
        <v>0</v>
      </c>
      <c r="BJ1252" s="105" t="n">
        <v>0</v>
      </c>
      <c r="BK1252" s="105" t="n">
        <v>0</v>
      </c>
      <c r="BL1252" s="105" t="n">
        <v>0</v>
      </c>
      <c r="BM1252" s="105" t="n">
        <v>0</v>
      </c>
      <c r="BN1252" s="105" t="n">
        <v>0</v>
      </c>
      <c r="BO1252" s="105" t="n">
        <v>0</v>
      </c>
      <c r="BP1252" s="105" t="n">
        <v>0</v>
      </c>
      <c r="BQ1252" s="105" t="n">
        <v>0</v>
      </c>
      <c r="BR1252" s="106" t="n">
        <v>0</v>
      </c>
      <c r="BS1252" s="106" t="n">
        <v>0</v>
      </c>
      <c r="BT1252" s="107"/>
      <c r="BU1252" s="107"/>
      <c r="BV1252" s="107"/>
      <c r="BW1252" s="107"/>
      <c r="BX1252" s="107"/>
      <c r="BY1252" s="107"/>
      <c r="BZ1252" s="107"/>
      <c r="CA1252" s="107"/>
      <c r="CB1252" s="107"/>
      <c r="CC1252" s="107"/>
      <c r="CD1252" s="107"/>
      <c r="CE1252" s="107"/>
      <c r="CF1252" s="107"/>
      <c r="CG1252" s="107"/>
      <c r="CH1252" s="107"/>
      <c r="CI1252" s="107"/>
      <c r="CJ1252" s="107"/>
      <c r="CK1252" s="107"/>
      <c r="CL1252" s="107"/>
      <c r="CM1252" s="107"/>
      <c r="CN1252" s="107"/>
      <c r="CO1252" s="107"/>
      <c r="CP1252" s="107"/>
      <c r="CQ1252" s="107"/>
      <c r="CR1252" s="107"/>
      <c r="CS1252" s="107"/>
      <c r="CT1252" s="107"/>
      <c r="CU1252" s="107"/>
      <c r="CV1252" s="107"/>
    </row>
    <row r="1253" customFormat="false" ht="14.9" hidden="false" customHeight="false" outlineLevel="0" collapsed="false">
      <c r="A1253" s="74" t="n">
        <f aca="false">MONTH(B1253)</f>
        <v>11</v>
      </c>
      <c r="B1253" s="135" t="n">
        <v>44516</v>
      </c>
      <c r="C1253" s="128" t="s">
        <v>70</v>
      </c>
      <c r="D1253" s="77" t="str">
        <f aca="false">IFERROR(VLOOKUP(E:E,'Item Data Support Sheet'!A:O,7,0),"")</f>
        <v>BOTTLE MOLDED</v>
      </c>
      <c r="E1253" s="80" t="s">
        <v>572</v>
      </c>
      <c r="F1253" s="122" t="s">
        <v>589</v>
      </c>
      <c r="G1253" s="137" t="s">
        <v>74</v>
      </c>
      <c r="H1253" s="79" t="str">
        <f aca="false">IFERROR(VLOOKUP(E:E,'Item Data Support Sheet'!A:O,2,0),"")</f>
        <v>RPP 240 ML BOTTLE MOLDED</v>
      </c>
      <c r="I1253" s="80" t="s">
        <v>2055</v>
      </c>
      <c r="J1253" s="80" t="s">
        <v>155</v>
      </c>
      <c r="K1253" s="124" t="n">
        <v>8</v>
      </c>
      <c r="L1253" s="124" t="n">
        <v>2574</v>
      </c>
      <c r="M1253" s="83" t="n">
        <v>321.75</v>
      </c>
      <c r="N1253" s="84" t="n">
        <f aca="false">+O1253+Q1253+T1253+U1253</f>
        <v>3315</v>
      </c>
      <c r="O1253" s="85" t="n">
        <v>3240</v>
      </c>
      <c r="P1253" s="86" t="n">
        <v>0.4</v>
      </c>
      <c r="Q1253" s="86" t="n">
        <v>30</v>
      </c>
      <c r="R1253" s="132" t="n">
        <v>0</v>
      </c>
      <c r="S1253" s="128" t="n">
        <v>0</v>
      </c>
      <c r="T1253" s="132" t="n">
        <v>45</v>
      </c>
      <c r="U1253" s="128" t="n">
        <v>0</v>
      </c>
      <c r="V1253" s="128" t="n">
        <v>1</v>
      </c>
      <c r="W1253" s="90" t="n">
        <f aca="false">IFERROR(O1253/V1253,0)</f>
        <v>3240</v>
      </c>
      <c r="X1253" s="91" t="n">
        <f aca="false">O1253/L1253</f>
        <v>1.25874125874126</v>
      </c>
      <c r="Y1253" s="92" t="str">
        <f aca="false">IFERROR(VLOOKUP(E:E,'Item Data Support Sheet'!A:J,6,0),0)</f>
        <v>HMC</v>
      </c>
      <c r="Z1253" s="93" t="n">
        <f aca="false">IFERROR(VLOOKUP(E:E,'Item Data Support Sheet'!A:O,4,0),0)</f>
        <v>32.1</v>
      </c>
      <c r="AA1253" s="93" t="n">
        <f aca="false">IFERROR(((N1253)*(Z1253/1000))+P1253,0)</f>
        <v>106.8115</v>
      </c>
      <c r="AB1253" s="94" t="n">
        <f aca="false">IFERROR((O1253*(Z1253/1000)/(AA1253))," ")</f>
        <v>0.973715377089545</v>
      </c>
      <c r="AC1253" s="95" t="n">
        <f aca="false">IFERROR((T1253)/((T1253)+O1253),0)</f>
        <v>0.0136986301369863</v>
      </c>
      <c r="AD1253" s="96" t="n">
        <f aca="false">IFERROR(Q1253/(Q1253+N1253),0)</f>
        <v>0.00896860986547085</v>
      </c>
      <c r="AE1253" s="91" t="n">
        <f aca="false">(N1253-T1253)/N1253</f>
        <v>0.986425339366516</v>
      </c>
      <c r="AF1253" s="97" t="n">
        <f aca="false">BR1253</f>
        <v>0</v>
      </c>
      <c r="AG1253" s="98" t="n">
        <f aca="false">K1253-AF1253</f>
        <v>8</v>
      </c>
      <c r="AH1253" s="99" t="n">
        <f aca="false">IFERROR(AG1253/K1253," ")</f>
        <v>1</v>
      </c>
      <c r="AI1253" s="100" t="n">
        <f aca="false">IFERROR(O1253/K1253,0)</f>
        <v>405</v>
      </c>
      <c r="AJ1253" s="101" t="n">
        <f aca="false">VLOOKUP(D1253,'Standard Cycle time'!C:D,2,0)</f>
        <v>9</v>
      </c>
      <c r="AK1253" s="101" t="n">
        <f aca="false">AG1253*V1253*3600/O1253</f>
        <v>8.88888888888889</v>
      </c>
      <c r="AL1253" s="102" t="n">
        <f aca="false">AJ1253/AK1253</f>
        <v>1.0125</v>
      </c>
      <c r="AM1253" s="99" t="n">
        <f aca="false">AE1253*AL1253*AH1253</f>
        <v>0.998755656108597</v>
      </c>
      <c r="AN1253" s="103" t="n">
        <v>0.998755656108597</v>
      </c>
      <c r="AO1253" s="112"/>
      <c r="AP1253" s="105" t="n">
        <v>0</v>
      </c>
      <c r="AQ1253" s="105" t="n">
        <v>0</v>
      </c>
      <c r="AR1253" s="105" t="n">
        <v>0</v>
      </c>
      <c r="AS1253" s="105" t="n">
        <v>0</v>
      </c>
      <c r="AT1253" s="105" t="n">
        <v>0</v>
      </c>
      <c r="AU1253" s="105" t="n">
        <v>0</v>
      </c>
      <c r="AV1253" s="105" t="n">
        <v>0</v>
      </c>
      <c r="AW1253" s="105" t="n">
        <v>0</v>
      </c>
      <c r="AX1253" s="105" t="n">
        <v>0</v>
      </c>
      <c r="AY1253" s="105" t="n">
        <v>0</v>
      </c>
      <c r="AZ1253" s="105" t="n">
        <v>0</v>
      </c>
      <c r="BA1253" s="105" t="n">
        <v>0</v>
      </c>
      <c r="BB1253" s="105" t="n">
        <v>0</v>
      </c>
      <c r="BC1253" s="105" t="n">
        <v>0</v>
      </c>
      <c r="BD1253" s="105" t="n">
        <v>0</v>
      </c>
      <c r="BE1253" s="105" t="n">
        <v>0</v>
      </c>
      <c r="BF1253" s="105" t="n">
        <v>0</v>
      </c>
      <c r="BG1253" s="105" t="n">
        <v>0</v>
      </c>
      <c r="BH1253" s="105" t="n">
        <v>0</v>
      </c>
      <c r="BI1253" s="105" t="n">
        <v>0</v>
      </c>
      <c r="BJ1253" s="105" t="n">
        <v>0</v>
      </c>
      <c r="BK1253" s="105" t="n">
        <v>0</v>
      </c>
      <c r="BL1253" s="105" t="n">
        <v>0</v>
      </c>
      <c r="BM1253" s="105" t="n">
        <v>0</v>
      </c>
      <c r="BN1253" s="105" t="n">
        <v>0</v>
      </c>
      <c r="BO1253" s="105" t="n">
        <v>0</v>
      </c>
      <c r="BP1253" s="105" t="n">
        <v>0</v>
      </c>
      <c r="BQ1253" s="105" t="n">
        <v>0</v>
      </c>
      <c r="BR1253" s="106" t="n">
        <v>0</v>
      </c>
      <c r="BS1253" s="106" t="n">
        <v>0</v>
      </c>
      <c r="BT1253" s="107"/>
      <c r="BU1253" s="107"/>
      <c r="BV1253" s="107"/>
      <c r="BW1253" s="107"/>
      <c r="BX1253" s="107"/>
      <c r="BY1253" s="107"/>
      <c r="BZ1253" s="107"/>
      <c r="CA1253" s="107"/>
      <c r="CB1253" s="107"/>
      <c r="CC1253" s="107"/>
      <c r="CD1253" s="107"/>
      <c r="CE1253" s="107"/>
      <c r="CF1253" s="107"/>
      <c r="CG1253" s="107"/>
      <c r="CH1253" s="107"/>
      <c r="CI1253" s="107"/>
      <c r="CJ1253" s="107"/>
      <c r="CK1253" s="107"/>
      <c r="CL1253" s="107"/>
      <c r="CM1253" s="107"/>
      <c r="CN1253" s="107"/>
      <c r="CO1253" s="107"/>
      <c r="CP1253" s="107"/>
      <c r="CQ1253" s="107"/>
      <c r="CR1253" s="107"/>
      <c r="CS1253" s="107"/>
      <c r="CT1253" s="107"/>
      <c r="CU1253" s="107"/>
      <c r="CV1253" s="107"/>
    </row>
    <row r="1254" customFormat="false" ht="14.9" hidden="false" customHeight="false" outlineLevel="0" collapsed="false">
      <c r="A1254" s="74" t="n">
        <f aca="false">MONTH(B1254)</f>
        <v>11</v>
      </c>
      <c r="B1254" s="135" t="n">
        <v>44516</v>
      </c>
      <c r="C1254" s="128" t="s">
        <v>70</v>
      </c>
      <c r="D1254" s="77" t="str">
        <f aca="false">IFERROR(VLOOKUP(E:E,'Item Data Support Sheet'!A:O,7,0),"")</f>
        <v>HOOD MOLDED</v>
      </c>
      <c r="E1254" s="80" t="s">
        <v>529</v>
      </c>
      <c r="F1254" s="122"/>
      <c r="G1254" s="137" t="s">
        <v>740</v>
      </c>
      <c r="H1254" s="79" t="str">
        <f aca="false">IFERROR(VLOOKUP(E:E,'Item Data Support Sheet'!A:O,2,0),"")</f>
        <v>HOOD S TYPE MOLDED</v>
      </c>
      <c r="I1254" s="80" t="s">
        <v>2056</v>
      </c>
      <c r="J1254" s="80" t="s">
        <v>155</v>
      </c>
      <c r="K1254" s="124" t="n">
        <v>8</v>
      </c>
      <c r="L1254" s="124" t="n">
        <v>4137</v>
      </c>
      <c r="M1254" s="83" t="n">
        <v>517.125</v>
      </c>
      <c r="N1254" s="84" t="n">
        <f aca="false">+O1254+Q1254+T1254+U1254</f>
        <v>4432</v>
      </c>
      <c r="O1254" s="85" t="n">
        <v>4400</v>
      </c>
      <c r="P1254" s="86" t="n">
        <v>0</v>
      </c>
      <c r="Q1254" s="86" t="n">
        <v>12</v>
      </c>
      <c r="R1254" s="132" t="n">
        <v>0</v>
      </c>
      <c r="S1254" s="128" t="n">
        <v>0</v>
      </c>
      <c r="T1254" s="132" t="n">
        <v>20</v>
      </c>
      <c r="U1254" s="128" t="n">
        <v>0</v>
      </c>
      <c r="V1254" s="128" t="n">
        <v>1</v>
      </c>
      <c r="W1254" s="90" t="n">
        <f aca="false">IFERROR(O1254/V1254,0)</f>
        <v>4400</v>
      </c>
      <c r="X1254" s="91" t="n">
        <f aca="false">O1254/L1254</f>
        <v>1.0635726371767</v>
      </c>
      <c r="Y1254" s="92" t="str">
        <f aca="false">IFERROR(VLOOKUP(E:E,'Item Data Support Sheet'!A:J,6,0),0)</f>
        <v>HMC</v>
      </c>
      <c r="Z1254" s="93" t="n">
        <f aca="false">IFERROR(VLOOKUP(E:E,'Item Data Support Sheet'!A:O,4,0),0)</f>
        <v>8.6</v>
      </c>
      <c r="AA1254" s="93" t="n">
        <f aca="false">IFERROR(((N1254)*(Z1254/1000))+P1254,0)</f>
        <v>38.1152</v>
      </c>
      <c r="AB1254" s="94" t="n">
        <f aca="false">IFERROR((O1254*(Z1254/1000)/(AA1254))," ")</f>
        <v>0.992779783393502</v>
      </c>
      <c r="AC1254" s="95" t="n">
        <f aca="false">IFERROR((T1254)/((T1254)+O1254),0)</f>
        <v>0.00452488687782805</v>
      </c>
      <c r="AD1254" s="96" t="n">
        <f aca="false">IFERROR(Q1254/(Q1254+N1254),0)</f>
        <v>0.0027002700270027</v>
      </c>
      <c r="AE1254" s="91" t="n">
        <f aca="false">(N1254-T1254)/N1254</f>
        <v>0.995487364620939</v>
      </c>
      <c r="AF1254" s="97" t="n">
        <f aca="false">BR1254</f>
        <v>0</v>
      </c>
      <c r="AG1254" s="98" t="n">
        <f aca="false">K1254-AF1254</f>
        <v>8</v>
      </c>
      <c r="AH1254" s="99" t="n">
        <f aca="false">IFERROR(AG1254/K1254," ")</f>
        <v>1</v>
      </c>
      <c r="AI1254" s="100" t="n">
        <f aca="false">IFERROR(O1254/K1254,0)</f>
        <v>550</v>
      </c>
      <c r="AJ1254" s="101" t="n">
        <f aca="false">VLOOKUP(D1254,'Standard Cycle time'!C:D,2,0)</f>
        <v>6</v>
      </c>
      <c r="AK1254" s="101" t="n">
        <f aca="false">AG1254*V1254*3600/O1254</f>
        <v>6.54545454545455</v>
      </c>
      <c r="AL1254" s="102" t="n">
        <f aca="false">AJ1254/AK1254</f>
        <v>0.916666666666667</v>
      </c>
      <c r="AM1254" s="99" t="n">
        <f aca="false">AE1254*AL1254*AH1254</f>
        <v>0.91253008423586</v>
      </c>
      <c r="AN1254" s="103" t="n">
        <v>0.912530084235861</v>
      </c>
      <c r="AO1254" s="112"/>
      <c r="AP1254" s="105" t="n">
        <v>0</v>
      </c>
      <c r="AQ1254" s="105" t="n">
        <v>0</v>
      </c>
      <c r="AR1254" s="105" t="n">
        <v>0</v>
      </c>
      <c r="AS1254" s="105" t="n">
        <v>0</v>
      </c>
      <c r="AT1254" s="105" t="n">
        <v>0</v>
      </c>
      <c r="AU1254" s="105" t="n">
        <v>0</v>
      </c>
      <c r="AV1254" s="105" t="n">
        <v>0</v>
      </c>
      <c r="AW1254" s="105" t="n">
        <v>0</v>
      </c>
      <c r="AX1254" s="105" t="n">
        <v>0</v>
      </c>
      <c r="AY1254" s="105" t="n">
        <v>0</v>
      </c>
      <c r="AZ1254" s="105" t="n">
        <v>0</v>
      </c>
      <c r="BA1254" s="105" t="n">
        <v>0</v>
      </c>
      <c r="BB1254" s="105" t="n">
        <v>0</v>
      </c>
      <c r="BC1254" s="105" t="n">
        <v>0</v>
      </c>
      <c r="BD1254" s="105" t="n">
        <v>0</v>
      </c>
      <c r="BE1254" s="105" t="n">
        <v>0</v>
      </c>
      <c r="BF1254" s="105" t="n">
        <v>0</v>
      </c>
      <c r="BG1254" s="105" t="n">
        <v>0</v>
      </c>
      <c r="BH1254" s="105" t="n">
        <v>0</v>
      </c>
      <c r="BI1254" s="105" t="n">
        <v>0</v>
      </c>
      <c r="BJ1254" s="105" t="n">
        <v>0</v>
      </c>
      <c r="BK1254" s="105" t="n">
        <v>0</v>
      </c>
      <c r="BL1254" s="105" t="n">
        <v>0</v>
      </c>
      <c r="BM1254" s="105" t="n">
        <v>0</v>
      </c>
      <c r="BN1254" s="105" t="n">
        <v>0</v>
      </c>
      <c r="BO1254" s="105" t="n">
        <v>0</v>
      </c>
      <c r="BP1254" s="105" t="n">
        <v>0</v>
      </c>
      <c r="BQ1254" s="105" t="n">
        <v>0</v>
      </c>
      <c r="BR1254" s="106" t="n">
        <v>0</v>
      </c>
      <c r="BS1254" s="106" t="n">
        <v>0</v>
      </c>
      <c r="BT1254" s="107"/>
      <c r="BU1254" s="107"/>
      <c r="BV1254" s="107"/>
      <c r="BW1254" s="107"/>
      <c r="BX1254" s="107"/>
      <c r="BY1254" s="107"/>
      <c r="BZ1254" s="107"/>
      <c r="CA1254" s="107"/>
      <c r="CB1254" s="107"/>
      <c r="CC1254" s="107"/>
      <c r="CD1254" s="107"/>
      <c r="CE1254" s="107"/>
      <c r="CF1254" s="107"/>
      <c r="CG1254" s="107"/>
      <c r="CH1254" s="107"/>
      <c r="CI1254" s="107"/>
      <c r="CJ1254" s="107"/>
      <c r="CK1254" s="107"/>
      <c r="CL1254" s="107"/>
      <c r="CM1254" s="107"/>
      <c r="CN1254" s="107"/>
      <c r="CO1254" s="107"/>
      <c r="CP1254" s="107"/>
      <c r="CQ1254" s="107"/>
      <c r="CR1254" s="107"/>
      <c r="CS1254" s="107"/>
      <c r="CT1254" s="107"/>
      <c r="CU1254" s="107"/>
      <c r="CV1254" s="107"/>
    </row>
    <row r="1255" customFormat="false" ht="14.9" hidden="false" customHeight="false" outlineLevel="0" collapsed="false">
      <c r="A1255" s="74" t="n">
        <f aca="false">MONTH(B1255)</f>
        <v>11</v>
      </c>
      <c r="B1255" s="135" t="n">
        <v>44516</v>
      </c>
      <c r="C1255" s="128" t="s">
        <v>70</v>
      </c>
      <c r="D1255" s="77" t="str">
        <f aca="false">IFERROR(VLOOKUP(E:E,'Item Data Support Sheet'!A:O,7,0),"")</f>
        <v>NIPPLE PUNCH</v>
      </c>
      <c r="E1255" s="80" t="s">
        <v>666</v>
      </c>
      <c r="F1255" s="122"/>
      <c r="G1255" s="137" t="s">
        <v>54</v>
      </c>
      <c r="H1255" s="79" t="str">
        <f aca="false">IFERROR(VLOOKUP(E:E,'Item Data Support Sheet'!A:O,2,0),"")</f>
        <v>NIPPLE S TYPE L SIZE PUNCHED</v>
      </c>
      <c r="I1255" s="80" t="s">
        <v>2057</v>
      </c>
      <c r="J1255" s="80" t="s">
        <v>155</v>
      </c>
      <c r="K1255" s="124" t="n">
        <v>8</v>
      </c>
      <c r="L1255" s="124" t="n">
        <v>7000</v>
      </c>
      <c r="M1255" s="83" t="n">
        <v>875</v>
      </c>
      <c r="N1255" s="84" t="n">
        <f aca="false">+O1255+Q1255+T1255+U1255</f>
        <v>6400</v>
      </c>
      <c r="O1255" s="85" t="n">
        <v>6400</v>
      </c>
      <c r="P1255" s="86" t="n">
        <v>0</v>
      </c>
      <c r="Q1255" s="86" t="n">
        <v>0</v>
      </c>
      <c r="R1255" s="132" t="n">
        <v>0</v>
      </c>
      <c r="S1255" s="128" t="n">
        <v>0</v>
      </c>
      <c r="T1255" s="132" t="n">
        <v>0</v>
      </c>
      <c r="U1255" s="128" t="n">
        <v>0</v>
      </c>
      <c r="V1255" s="128" t="n">
        <v>1</v>
      </c>
      <c r="W1255" s="90" t="n">
        <f aca="false">IFERROR(O1255/V1255,0)</f>
        <v>6400</v>
      </c>
      <c r="X1255" s="91" t="n">
        <f aca="false">O1255/L1255</f>
        <v>0.914285714285714</v>
      </c>
      <c r="Y1255" s="92" t="str">
        <f aca="false">IFERROR(VLOOKUP(E:E,'Item Data Support Sheet'!A:J,6,0),0)</f>
        <v>FO017</v>
      </c>
      <c r="Z1255" s="93" t="n">
        <f aca="false">IFERROR(VLOOKUP(E:E,'Item Data Support Sheet'!A:O,4,0),0)</f>
        <v>0</v>
      </c>
      <c r="AA1255" s="93" t="n">
        <f aca="false">IFERROR(((N1255)*(Z1255/1000))+P1255,0)</f>
        <v>0</v>
      </c>
      <c r="AB1255" s="94" t="str">
        <f aca="false">IFERROR((O1255*(Z1255/1000)/(AA1255))," ")</f>
        <v> </v>
      </c>
      <c r="AC1255" s="95" t="n">
        <f aca="false">IFERROR((T1255)/((T1255)+O1255),0)</f>
        <v>0</v>
      </c>
      <c r="AD1255" s="96" t="n">
        <f aca="false">IFERROR(Q1255/(Q1255+N1255),0)</f>
        <v>0</v>
      </c>
      <c r="AE1255" s="91" t="n">
        <f aca="false">(N1255-T1255)/N1255</f>
        <v>1</v>
      </c>
      <c r="AF1255" s="97" t="n">
        <f aca="false">BR1255</f>
        <v>0.666666666666667</v>
      </c>
      <c r="AG1255" s="98" t="n">
        <f aca="false">K1255-AF1255</f>
        <v>7.33333333333333</v>
      </c>
      <c r="AH1255" s="99" t="n">
        <f aca="false">IFERROR(AG1255/K1255," ")</f>
        <v>0.916666666666667</v>
      </c>
      <c r="AI1255" s="100" t="n">
        <f aca="false">IFERROR(O1255/K1255,0)</f>
        <v>800</v>
      </c>
      <c r="AJ1255" s="101" t="n">
        <f aca="false">VLOOKUP(D1255,'Standard Cycle time'!C:D,2,0)</f>
        <v>3.5</v>
      </c>
      <c r="AK1255" s="101" t="n">
        <f aca="false">AG1255*V1255*3600/O1255</f>
        <v>4.125</v>
      </c>
      <c r="AL1255" s="102" t="n">
        <f aca="false">AJ1255/AK1255</f>
        <v>0.848484848484848</v>
      </c>
      <c r="AM1255" s="99" t="n">
        <f aca="false">AE1255*AL1255*AH1255</f>
        <v>0.777777777777778</v>
      </c>
      <c r="AN1255" s="103" t="n">
        <v>0.777777777777778</v>
      </c>
      <c r="AO1255" s="112"/>
      <c r="AP1255" s="105" t="n">
        <v>40</v>
      </c>
      <c r="AQ1255" s="105" t="n">
        <v>0</v>
      </c>
      <c r="AR1255" s="105" t="n">
        <v>0</v>
      </c>
      <c r="AS1255" s="105" t="n">
        <v>0</v>
      </c>
      <c r="AT1255" s="105" t="n">
        <v>0</v>
      </c>
      <c r="AU1255" s="105" t="n">
        <v>0</v>
      </c>
      <c r="AV1255" s="105" t="n">
        <v>0</v>
      </c>
      <c r="AW1255" s="105" t="n">
        <v>0</v>
      </c>
      <c r="AX1255" s="105" t="n">
        <v>0</v>
      </c>
      <c r="AY1255" s="105" t="n">
        <v>0</v>
      </c>
      <c r="AZ1255" s="105" t="n">
        <v>0</v>
      </c>
      <c r="BA1255" s="105" t="n">
        <v>0</v>
      </c>
      <c r="BB1255" s="105" t="n">
        <v>0</v>
      </c>
      <c r="BC1255" s="105" t="n">
        <v>0</v>
      </c>
      <c r="BD1255" s="105" t="n">
        <v>0</v>
      </c>
      <c r="BE1255" s="105" t="n">
        <v>0</v>
      </c>
      <c r="BF1255" s="105" t="n">
        <v>0</v>
      </c>
      <c r="BG1255" s="105" t="n">
        <v>0</v>
      </c>
      <c r="BH1255" s="105" t="n">
        <v>0</v>
      </c>
      <c r="BI1255" s="105" t="n">
        <v>0</v>
      </c>
      <c r="BJ1255" s="105" t="n">
        <v>0</v>
      </c>
      <c r="BK1255" s="105" t="n">
        <v>0</v>
      </c>
      <c r="BL1255" s="105" t="n">
        <v>0</v>
      </c>
      <c r="BM1255" s="105" t="n">
        <v>0</v>
      </c>
      <c r="BN1255" s="105" t="n">
        <v>0</v>
      </c>
      <c r="BO1255" s="105" t="n">
        <v>0</v>
      </c>
      <c r="BP1255" s="105" t="n">
        <v>0</v>
      </c>
      <c r="BQ1255" s="105" t="n">
        <v>0</v>
      </c>
      <c r="BR1255" s="106" t="n">
        <v>0.666666666666667</v>
      </c>
      <c r="BS1255" s="106" t="n">
        <v>0.666666666666667</v>
      </c>
      <c r="BT1255" s="107"/>
      <c r="BU1255" s="107"/>
      <c r="BV1255" s="107"/>
      <c r="BW1255" s="107"/>
      <c r="BX1255" s="107"/>
      <c r="BY1255" s="107"/>
      <c r="BZ1255" s="107"/>
      <c r="CA1255" s="107"/>
      <c r="CB1255" s="107"/>
      <c r="CC1255" s="107"/>
      <c r="CD1255" s="107"/>
      <c r="CE1255" s="107"/>
      <c r="CF1255" s="107"/>
      <c r="CG1255" s="107"/>
      <c r="CH1255" s="107"/>
      <c r="CI1255" s="107"/>
      <c r="CJ1255" s="107"/>
      <c r="CK1255" s="107"/>
      <c r="CL1255" s="107"/>
      <c r="CM1255" s="107"/>
      <c r="CN1255" s="107"/>
      <c r="CO1255" s="107"/>
      <c r="CP1255" s="107"/>
      <c r="CQ1255" s="107"/>
      <c r="CR1255" s="107"/>
      <c r="CS1255" s="107"/>
      <c r="CT1255" s="107"/>
      <c r="CU1255" s="107"/>
      <c r="CV1255" s="107"/>
    </row>
    <row r="1256" customFormat="false" ht="14.9" hidden="false" customHeight="false" outlineLevel="0" collapsed="false">
      <c r="A1256" s="74" t="n">
        <f aca="false">MONTH(B1256)</f>
        <v>11</v>
      </c>
      <c r="B1256" s="135" t="n">
        <v>44516</v>
      </c>
      <c r="C1256" s="128" t="s">
        <v>70</v>
      </c>
      <c r="D1256" s="77" t="str">
        <f aca="false">IFERROR(VLOOKUP(E:E,'Item Data Support Sheet'!A:O,7,0),"")</f>
        <v>NIPPLE LASER MARKING</v>
      </c>
      <c r="E1256" s="80" t="s">
        <v>681</v>
      </c>
      <c r="F1256" s="122"/>
      <c r="G1256" s="137" t="s">
        <v>517</v>
      </c>
      <c r="H1256" s="79" t="str">
        <f aca="false">IFERROR(VLOOKUP(E:E,'Item Data Support Sheet'!A:O,2,0),"")</f>
        <v>NIPPLE S TYPE L SIZE PUNCHED LASER MARKED</v>
      </c>
      <c r="I1256" s="80" t="s">
        <v>2049</v>
      </c>
      <c r="J1256" s="80" t="s">
        <v>155</v>
      </c>
      <c r="K1256" s="124" t="n">
        <v>8</v>
      </c>
      <c r="L1256" s="124" t="n">
        <v>7000</v>
      </c>
      <c r="M1256" s="83" t="n">
        <v>875</v>
      </c>
      <c r="N1256" s="84" t="n">
        <f aca="false">+O1256+Q1256+T1256+U1256</f>
        <v>6400</v>
      </c>
      <c r="O1256" s="85" t="n">
        <v>6400</v>
      </c>
      <c r="P1256" s="86" t="n">
        <v>0</v>
      </c>
      <c r="Q1256" s="86" t="n">
        <v>0</v>
      </c>
      <c r="R1256" s="132" t="n">
        <v>0</v>
      </c>
      <c r="S1256" s="128" t="n">
        <v>0</v>
      </c>
      <c r="T1256" s="132" t="n">
        <v>0</v>
      </c>
      <c r="U1256" s="128" t="n">
        <v>0</v>
      </c>
      <c r="V1256" s="128" t="n">
        <v>1</v>
      </c>
      <c r="W1256" s="90" t="n">
        <f aca="false">IFERROR(O1256/V1256,0)</f>
        <v>6400</v>
      </c>
      <c r="X1256" s="91" t="n">
        <f aca="false">O1256/L1256</f>
        <v>0.914285714285714</v>
      </c>
      <c r="Y1256" s="92" t="str">
        <f aca="false">IFERROR(VLOOKUP(E:E,'Item Data Support Sheet'!A:J,6,0),0)</f>
        <v>FO021</v>
      </c>
      <c r="Z1256" s="93" t="n">
        <f aca="false">IFERROR(VLOOKUP(E:E,'Item Data Support Sheet'!A:O,4,0),0)</f>
        <v>0</v>
      </c>
      <c r="AA1256" s="93" t="n">
        <f aca="false">IFERROR(((N1256)*(Z1256/1000))+P1256,0)</f>
        <v>0</v>
      </c>
      <c r="AB1256" s="94" t="str">
        <f aca="false">IFERROR((O1256*(Z1256/1000)/(AA1256))," ")</f>
        <v> </v>
      </c>
      <c r="AC1256" s="95" t="n">
        <f aca="false">IFERROR((T1256)/((T1256)+O1256),0)</f>
        <v>0</v>
      </c>
      <c r="AD1256" s="96" t="n">
        <f aca="false">IFERROR(Q1256/(Q1256+N1256),0)</f>
        <v>0</v>
      </c>
      <c r="AE1256" s="91" t="n">
        <f aca="false">(N1256-T1256)/N1256</f>
        <v>1</v>
      </c>
      <c r="AF1256" s="97" t="n">
        <f aca="false">BR1256</f>
        <v>0.666666666666667</v>
      </c>
      <c r="AG1256" s="98" t="n">
        <f aca="false">K1256-AF1256</f>
        <v>7.33333333333333</v>
      </c>
      <c r="AH1256" s="99" t="n">
        <f aca="false">IFERROR(AG1256/K1256," ")</f>
        <v>0.916666666666667</v>
      </c>
      <c r="AI1256" s="100" t="n">
        <f aca="false">IFERROR(O1256/K1256,0)</f>
        <v>800</v>
      </c>
      <c r="AJ1256" s="101" t="n">
        <f aca="false">VLOOKUP(D1256,'Standard Cycle time'!C:D,2,0)</f>
        <v>3.5</v>
      </c>
      <c r="AK1256" s="101" t="n">
        <f aca="false">AG1256*V1256*3600/O1256</f>
        <v>4.125</v>
      </c>
      <c r="AL1256" s="102" t="n">
        <f aca="false">AJ1256/AK1256</f>
        <v>0.848484848484848</v>
      </c>
      <c r="AM1256" s="99" t="n">
        <f aca="false">AE1256*AL1256*AH1256</f>
        <v>0.777777777777778</v>
      </c>
      <c r="AN1256" s="103" t="n">
        <v>0.777777777777778</v>
      </c>
      <c r="AO1256" s="112"/>
      <c r="AP1256" s="105" t="n">
        <v>40</v>
      </c>
      <c r="AQ1256" s="105" t="n">
        <v>0</v>
      </c>
      <c r="AR1256" s="105" t="n">
        <v>0</v>
      </c>
      <c r="AS1256" s="105" t="n">
        <v>0</v>
      </c>
      <c r="AT1256" s="105" t="n">
        <v>0</v>
      </c>
      <c r="AU1256" s="105" t="n">
        <v>0</v>
      </c>
      <c r="AV1256" s="105" t="n">
        <v>0</v>
      </c>
      <c r="AW1256" s="105" t="n">
        <v>0</v>
      </c>
      <c r="AX1256" s="105" t="n">
        <v>0</v>
      </c>
      <c r="AY1256" s="105" t="n">
        <v>0</v>
      </c>
      <c r="AZ1256" s="105" t="n">
        <v>0</v>
      </c>
      <c r="BA1256" s="105" t="n">
        <v>0</v>
      </c>
      <c r="BB1256" s="105" t="n">
        <v>0</v>
      </c>
      <c r="BC1256" s="105" t="n">
        <v>0</v>
      </c>
      <c r="BD1256" s="105" t="n">
        <v>0</v>
      </c>
      <c r="BE1256" s="105" t="n">
        <v>0</v>
      </c>
      <c r="BF1256" s="105" t="n">
        <v>0</v>
      </c>
      <c r="BG1256" s="105" t="n">
        <v>0</v>
      </c>
      <c r="BH1256" s="105" t="n">
        <v>0</v>
      </c>
      <c r="BI1256" s="105" t="n">
        <v>0</v>
      </c>
      <c r="BJ1256" s="105" t="n">
        <v>0</v>
      </c>
      <c r="BK1256" s="105" t="n">
        <v>0</v>
      </c>
      <c r="BL1256" s="105" t="n">
        <v>0</v>
      </c>
      <c r="BM1256" s="105" t="n">
        <v>0</v>
      </c>
      <c r="BN1256" s="105" t="n">
        <v>0</v>
      </c>
      <c r="BO1256" s="105" t="n">
        <v>0</v>
      </c>
      <c r="BP1256" s="105" t="n">
        <v>0</v>
      </c>
      <c r="BQ1256" s="105" t="n">
        <v>0</v>
      </c>
      <c r="BR1256" s="106" t="n">
        <v>0.666666666666667</v>
      </c>
      <c r="BS1256" s="106" t="n">
        <v>0.666666666666667</v>
      </c>
      <c r="BT1256" s="107"/>
      <c r="BU1256" s="107"/>
      <c r="BV1256" s="107"/>
      <c r="BW1256" s="107"/>
      <c r="BX1256" s="107"/>
      <c r="BY1256" s="107"/>
      <c r="BZ1256" s="107"/>
      <c r="CA1256" s="107"/>
      <c r="CB1256" s="107"/>
      <c r="CC1256" s="107"/>
      <c r="CD1256" s="107"/>
      <c r="CE1256" s="107"/>
      <c r="CF1256" s="107"/>
      <c r="CG1256" s="107"/>
      <c r="CH1256" s="107"/>
      <c r="CI1256" s="107"/>
      <c r="CJ1256" s="107"/>
      <c r="CK1256" s="107"/>
      <c r="CL1256" s="107"/>
      <c r="CM1256" s="107"/>
      <c r="CN1256" s="107"/>
      <c r="CO1256" s="107"/>
      <c r="CP1256" s="107"/>
      <c r="CQ1256" s="107"/>
      <c r="CR1256" s="107"/>
      <c r="CS1256" s="107"/>
      <c r="CT1256" s="107"/>
      <c r="CU1256" s="107"/>
      <c r="CV1256" s="107"/>
    </row>
    <row r="1257" customFormat="false" ht="14.9" hidden="false" customHeight="false" outlineLevel="0" collapsed="false">
      <c r="A1257" s="74" t="n">
        <f aca="false">MONTH(B1257)</f>
        <v>11</v>
      </c>
      <c r="B1257" s="135" t="n">
        <v>44516</v>
      </c>
      <c r="C1257" s="128" t="s">
        <v>70</v>
      </c>
      <c r="D1257" s="77" t="str">
        <f aca="false">IFERROR(VLOOKUP(E:E,'Item Data Support Sheet'!A:O,7,0),"")</f>
        <v>BOTTLE PRINTED</v>
      </c>
      <c r="E1257" s="80" t="s">
        <v>65</v>
      </c>
      <c r="F1257" s="122"/>
      <c r="G1257" s="137"/>
      <c r="H1257" s="79" t="str">
        <f aca="false">IFERROR(VLOOKUP(E:E,'Item Data Support Sheet'!A:O,2,0),"")</f>
        <v>KPP 240 ML BOTTLE PRINTED</v>
      </c>
      <c r="I1257" s="80" t="s">
        <v>2058</v>
      </c>
      <c r="J1257" s="80" t="s">
        <v>155</v>
      </c>
      <c r="K1257" s="124" t="n">
        <v>8</v>
      </c>
      <c r="L1257" s="124" t="n">
        <v>5100</v>
      </c>
      <c r="M1257" s="83" t="n">
        <v>637.5</v>
      </c>
      <c r="N1257" s="84" t="n">
        <f aca="false">+O1257+Q1257+T1257+U1257</f>
        <v>5442</v>
      </c>
      <c r="O1257" s="85" t="n">
        <v>5400</v>
      </c>
      <c r="P1257" s="86" t="n">
        <v>0</v>
      </c>
      <c r="Q1257" s="86" t="n">
        <v>0</v>
      </c>
      <c r="R1257" s="132" t="n">
        <v>47</v>
      </c>
      <c r="S1257" s="128" t="n">
        <v>0</v>
      </c>
      <c r="T1257" s="132" t="n">
        <v>42</v>
      </c>
      <c r="U1257" s="128" t="n">
        <v>0</v>
      </c>
      <c r="V1257" s="128" t="n">
        <v>5</v>
      </c>
      <c r="W1257" s="90" t="n">
        <f aca="false">IFERROR(O1257/V1257,0)</f>
        <v>1080</v>
      </c>
      <c r="X1257" s="91" t="n">
        <f aca="false">O1257/L1257</f>
        <v>1.05882352941176</v>
      </c>
      <c r="Y1257" s="92" t="str">
        <f aca="false">IFERROR(VLOOKUP(E:E,'Item Data Support Sheet'!A:J,6,0),0)</f>
        <v>FO003</v>
      </c>
      <c r="Z1257" s="93" t="n">
        <f aca="false">IFERROR(VLOOKUP(E:E,'Item Data Support Sheet'!A:O,4,0),0)</f>
        <v>0</v>
      </c>
      <c r="AA1257" s="93" t="n">
        <f aca="false">IFERROR(((N1257)*(Z1257/1000))+P1257,0)</f>
        <v>0</v>
      </c>
      <c r="AB1257" s="94" t="str">
        <f aca="false">IFERROR((O1257*(Z1257/1000)/(AA1257))," ")</f>
        <v> </v>
      </c>
      <c r="AC1257" s="95" t="n">
        <f aca="false">IFERROR((T1257)/((T1257)+O1257),0)</f>
        <v>0.00771775082690187</v>
      </c>
      <c r="AD1257" s="96" t="n">
        <f aca="false">IFERROR(Q1257/(Q1257+N1257),0)</f>
        <v>0</v>
      </c>
      <c r="AE1257" s="91" t="n">
        <f aca="false">(N1257-T1257)/N1257</f>
        <v>0.992282249173098</v>
      </c>
      <c r="AF1257" s="97" t="n">
        <f aca="false">BR1257</f>
        <v>0.666666666666667</v>
      </c>
      <c r="AG1257" s="98" t="n">
        <f aca="false">K1257-AF1257</f>
        <v>7.33333333333333</v>
      </c>
      <c r="AH1257" s="99" t="n">
        <f aca="false">IFERROR(AG1257/K1257," ")</f>
        <v>0.916666666666667</v>
      </c>
      <c r="AI1257" s="100" t="n">
        <f aca="false">IFERROR(O1257/K1257,0)</f>
        <v>675</v>
      </c>
      <c r="AJ1257" s="101" t="n">
        <f aca="false">VLOOKUP(D1257,'Standard Cycle time'!C:D,2,0)</f>
        <v>32.4</v>
      </c>
      <c r="AK1257" s="101" t="n">
        <f aca="false">AG1257*V1257*3600/O1257</f>
        <v>24.4444444444444</v>
      </c>
      <c r="AL1257" s="102" t="n">
        <f aca="false">AJ1257/AK1257</f>
        <v>1.32545454545455</v>
      </c>
      <c r="AM1257" s="99" t="n">
        <f aca="false">AE1257*AL1257*AH1257</f>
        <v>1.20562293274531</v>
      </c>
      <c r="AN1257" s="103" t="n">
        <v>1.20562293274531</v>
      </c>
      <c r="AO1257" s="112"/>
      <c r="AP1257" s="105" t="n">
        <v>40</v>
      </c>
      <c r="AQ1257" s="105" t="n">
        <v>0</v>
      </c>
      <c r="AR1257" s="105" t="n">
        <v>0</v>
      </c>
      <c r="AS1257" s="105" t="n">
        <v>0</v>
      </c>
      <c r="AT1257" s="105" t="n">
        <v>0</v>
      </c>
      <c r="AU1257" s="105" t="n">
        <v>0</v>
      </c>
      <c r="AV1257" s="105" t="n">
        <v>0</v>
      </c>
      <c r="AW1257" s="105" t="n">
        <v>0</v>
      </c>
      <c r="AX1257" s="105" t="n">
        <v>0</v>
      </c>
      <c r="AY1257" s="105" t="n">
        <v>0</v>
      </c>
      <c r="AZ1257" s="105" t="n">
        <v>0</v>
      </c>
      <c r="BA1257" s="105" t="n">
        <v>0</v>
      </c>
      <c r="BB1257" s="105" t="n">
        <v>0</v>
      </c>
      <c r="BC1257" s="105" t="n">
        <v>0</v>
      </c>
      <c r="BD1257" s="105" t="n">
        <v>0</v>
      </c>
      <c r="BE1257" s="105" t="n">
        <v>0</v>
      </c>
      <c r="BF1257" s="105" t="n">
        <v>0</v>
      </c>
      <c r="BG1257" s="105" t="n">
        <v>0</v>
      </c>
      <c r="BH1257" s="105" t="n">
        <v>0</v>
      </c>
      <c r="BI1257" s="105" t="n">
        <v>0</v>
      </c>
      <c r="BJ1257" s="105" t="n">
        <v>0</v>
      </c>
      <c r="BK1257" s="105" t="n">
        <v>0</v>
      </c>
      <c r="BL1257" s="105" t="n">
        <v>0</v>
      </c>
      <c r="BM1257" s="105" t="n">
        <v>0</v>
      </c>
      <c r="BN1257" s="105" t="n">
        <v>0</v>
      </c>
      <c r="BO1257" s="105" t="n">
        <v>0</v>
      </c>
      <c r="BP1257" s="105" t="n">
        <v>0</v>
      </c>
      <c r="BQ1257" s="105" t="n">
        <v>0</v>
      </c>
      <c r="BR1257" s="106" t="n">
        <v>0.666666666666667</v>
      </c>
      <c r="BS1257" s="106" t="n">
        <v>0.666666666666667</v>
      </c>
      <c r="BT1257" s="107"/>
      <c r="BU1257" s="107"/>
      <c r="BV1257" s="107"/>
      <c r="BW1257" s="107"/>
      <c r="BX1257" s="107"/>
      <c r="BY1257" s="107"/>
      <c r="BZ1257" s="107"/>
      <c r="CA1257" s="107"/>
      <c r="CB1257" s="107"/>
      <c r="CC1257" s="107"/>
      <c r="CD1257" s="107"/>
      <c r="CE1257" s="107"/>
      <c r="CF1257" s="107"/>
      <c r="CG1257" s="107"/>
      <c r="CH1257" s="107"/>
      <c r="CI1257" s="107"/>
      <c r="CJ1257" s="107"/>
      <c r="CK1257" s="107"/>
      <c r="CL1257" s="107"/>
      <c r="CM1257" s="107"/>
      <c r="CN1257" s="107"/>
      <c r="CO1257" s="107"/>
      <c r="CP1257" s="107"/>
      <c r="CQ1257" s="107"/>
      <c r="CR1257" s="107"/>
      <c r="CS1257" s="107"/>
      <c r="CT1257" s="107"/>
      <c r="CU1257" s="107"/>
      <c r="CV1257" s="107"/>
    </row>
    <row r="1258" customFormat="false" ht="14.9" hidden="false" customHeight="false" outlineLevel="0" collapsed="false">
      <c r="A1258" s="74" t="n">
        <f aca="false">MONTH(B1258)</f>
        <v>11</v>
      </c>
      <c r="B1258" s="135" t="n">
        <v>44516</v>
      </c>
      <c r="C1258" s="128" t="s">
        <v>152</v>
      </c>
      <c r="D1258" s="77" t="str">
        <f aca="false">IFERROR(VLOOKUP(E:E,'Item Data Support Sheet'!A:O,7,0),"")</f>
        <v>BOTTLE MOLDED</v>
      </c>
      <c r="E1258" s="80" t="s">
        <v>572</v>
      </c>
      <c r="F1258" s="122" t="s">
        <v>589</v>
      </c>
      <c r="G1258" s="137" t="s">
        <v>74</v>
      </c>
      <c r="H1258" s="79" t="str">
        <f aca="false">IFERROR(VLOOKUP(E:E,'Item Data Support Sheet'!A:O,2,0),"")</f>
        <v>RPP 240 ML BOTTLE MOLDED</v>
      </c>
      <c r="I1258" s="80" t="s">
        <v>2059</v>
      </c>
      <c r="J1258" s="80" t="s">
        <v>1913</v>
      </c>
      <c r="K1258" s="124" t="n">
        <v>8</v>
      </c>
      <c r="L1258" s="124" t="n">
        <v>2574</v>
      </c>
      <c r="M1258" s="83" t="n">
        <v>321.75</v>
      </c>
      <c r="N1258" s="84" t="n">
        <f aca="false">+O1258+Q1258+T1258+U1258</f>
        <v>3203</v>
      </c>
      <c r="O1258" s="85" t="n">
        <v>3120</v>
      </c>
      <c r="P1258" s="86" t="n">
        <v>0.4</v>
      </c>
      <c r="Q1258" s="86" t="n">
        <v>16</v>
      </c>
      <c r="R1258" s="132" t="n">
        <v>0</v>
      </c>
      <c r="S1258" s="128" t="n">
        <v>0</v>
      </c>
      <c r="T1258" s="132" t="n">
        <v>59</v>
      </c>
      <c r="U1258" s="128" t="n">
        <v>8</v>
      </c>
      <c r="V1258" s="128" t="n">
        <v>1</v>
      </c>
      <c r="W1258" s="90" t="n">
        <f aca="false">IFERROR(O1258/V1258,0)</f>
        <v>3120</v>
      </c>
      <c r="X1258" s="91" t="n">
        <f aca="false">O1258/L1258</f>
        <v>1.21212121212121</v>
      </c>
      <c r="Y1258" s="92" t="str">
        <f aca="false">IFERROR(VLOOKUP(E:E,'Item Data Support Sheet'!A:J,6,0),0)</f>
        <v>HMC</v>
      </c>
      <c r="Z1258" s="93" t="n">
        <f aca="false">IFERROR(VLOOKUP(E:E,'Item Data Support Sheet'!A:O,4,0),0)</f>
        <v>32.1</v>
      </c>
      <c r="AA1258" s="93" t="n">
        <f aca="false">IFERROR(((N1258)*(Z1258/1000))+P1258,0)</f>
        <v>103.2163</v>
      </c>
      <c r="AB1258" s="94" t="n">
        <f aca="false">IFERROR((O1258*(Z1258/1000)/(AA1258))," ")</f>
        <v>0.970311859657825</v>
      </c>
      <c r="AC1258" s="95" t="n">
        <f aca="false">IFERROR((T1258)/((T1258)+O1258),0)</f>
        <v>0.0185592953759044</v>
      </c>
      <c r="AD1258" s="96" t="n">
        <f aca="false">IFERROR(Q1258/(Q1258+N1258),0)</f>
        <v>0.00497048772910842</v>
      </c>
      <c r="AE1258" s="91" t="n">
        <f aca="false">(N1258-T1258)/N1258</f>
        <v>0.981579768966594</v>
      </c>
      <c r="AF1258" s="97" t="n">
        <f aca="false">BR1258</f>
        <v>0</v>
      </c>
      <c r="AG1258" s="98" t="n">
        <f aca="false">K1258-AF1258</f>
        <v>8</v>
      </c>
      <c r="AH1258" s="99" t="n">
        <f aca="false">IFERROR(AG1258/K1258," ")</f>
        <v>1</v>
      </c>
      <c r="AI1258" s="100" t="n">
        <f aca="false">IFERROR(O1258/K1258,0)</f>
        <v>390</v>
      </c>
      <c r="AJ1258" s="101" t="n">
        <f aca="false">VLOOKUP(D1258,'Standard Cycle time'!C:D,2,0)</f>
        <v>9</v>
      </c>
      <c r="AK1258" s="101" t="n">
        <f aca="false">AG1258*V1258*3600/O1258</f>
        <v>9.23076923076923</v>
      </c>
      <c r="AL1258" s="102" t="n">
        <f aca="false">AJ1258/AK1258</f>
        <v>0.975</v>
      </c>
      <c r="AM1258" s="99" t="n">
        <f aca="false">AE1258*AL1258*AH1258</f>
        <v>0.957040274742429</v>
      </c>
      <c r="AN1258" s="103" t="n">
        <v>0.957040274742429</v>
      </c>
      <c r="AO1258" s="112"/>
      <c r="AP1258" s="105" t="n">
        <v>0</v>
      </c>
      <c r="AQ1258" s="105" t="n">
        <v>0</v>
      </c>
      <c r="AR1258" s="105" t="n">
        <v>0</v>
      </c>
      <c r="AS1258" s="105" t="n">
        <v>0</v>
      </c>
      <c r="AT1258" s="105" t="n">
        <v>0</v>
      </c>
      <c r="AU1258" s="105" t="n">
        <v>0</v>
      </c>
      <c r="AV1258" s="105" t="n">
        <v>0</v>
      </c>
      <c r="AW1258" s="105" t="n">
        <v>0</v>
      </c>
      <c r="AX1258" s="105" t="n">
        <v>0</v>
      </c>
      <c r="AY1258" s="105" t="n">
        <v>0</v>
      </c>
      <c r="AZ1258" s="105" t="n">
        <v>0</v>
      </c>
      <c r="BA1258" s="105" t="n">
        <v>0</v>
      </c>
      <c r="BB1258" s="105" t="n">
        <v>0</v>
      </c>
      <c r="BC1258" s="105" t="n">
        <v>0</v>
      </c>
      <c r="BD1258" s="105" t="n">
        <v>0</v>
      </c>
      <c r="BE1258" s="105" t="n">
        <v>0</v>
      </c>
      <c r="BF1258" s="105" t="n">
        <v>0</v>
      </c>
      <c r="BG1258" s="105" t="n">
        <v>0</v>
      </c>
      <c r="BH1258" s="105" t="n">
        <v>0</v>
      </c>
      <c r="BI1258" s="105" t="n">
        <v>0</v>
      </c>
      <c r="BJ1258" s="105" t="n">
        <v>0</v>
      </c>
      <c r="BK1258" s="105" t="n">
        <v>0</v>
      </c>
      <c r="BL1258" s="105" t="n">
        <v>0</v>
      </c>
      <c r="BM1258" s="105" t="n">
        <v>0</v>
      </c>
      <c r="BN1258" s="105" t="n">
        <v>0</v>
      </c>
      <c r="BO1258" s="105" t="n">
        <v>0</v>
      </c>
      <c r="BP1258" s="105" t="n">
        <v>0</v>
      </c>
      <c r="BQ1258" s="105" t="n">
        <v>0</v>
      </c>
      <c r="BR1258" s="106" t="n">
        <v>0</v>
      </c>
      <c r="BS1258" s="106" t="n">
        <v>0</v>
      </c>
      <c r="BT1258" s="107"/>
      <c r="BU1258" s="107"/>
      <c r="BV1258" s="107"/>
      <c r="BW1258" s="107"/>
      <c r="BX1258" s="107"/>
      <c r="BY1258" s="107"/>
      <c r="BZ1258" s="107"/>
      <c r="CA1258" s="107"/>
      <c r="CB1258" s="107"/>
      <c r="CC1258" s="107"/>
      <c r="CD1258" s="107"/>
      <c r="CE1258" s="107"/>
      <c r="CF1258" s="107"/>
      <c r="CG1258" s="107"/>
      <c r="CH1258" s="107"/>
      <c r="CI1258" s="107"/>
      <c r="CJ1258" s="107"/>
      <c r="CK1258" s="107"/>
      <c r="CL1258" s="107"/>
      <c r="CM1258" s="107"/>
      <c r="CN1258" s="107"/>
      <c r="CO1258" s="107"/>
      <c r="CP1258" s="107"/>
      <c r="CQ1258" s="107"/>
      <c r="CR1258" s="107"/>
      <c r="CS1258" s="107"/>
      <c r="CT1258" s="107"/>
      <c r="CU1258" s="107"/>
      <c r="CV1258" s="107"/>
    </row>
    <row r="1259" customFormat="false" ht="14.9" hidden="false" customHeight="false" outlineLevel="0" collapsed="false">
      <c r="A1259" s="74" t="n">
        <f aca="false">MONTH(B1259)</f>
        <v>11</v>
      </c>
      <c r="B1259" s="135" t="n">
        <v>44516</v>
      </c>
      <c r="C1259" s="128" t="s">
        <v>152</v>
      </c>
      <c r="D1259" s="77" t="str">
        <f aca="false">IFERROR(VLOOKUP(E:E,'Item Data Support Sheet'!A:O,7,0),"")</f>
        <v>NIPPLE MOLDED</v>
      </c>
      <c r="E1259" s="80" t="s">
        <v>661</v>
      </c>
      <c r="F1259" s="122" t="s">
        <v>137</v>
      </c>
      <c r="G1259" s="137" t="s">
        <v>138</v>
      </c>
      <c r="H1259" s="79" t="str">
        <f aca="false">IFERROR(VLOOKUP(E:E,'Item Data Support Sheet'!A:O,2,0),"")</f>
        <v>NIPPLE S TYPE L SIZE INJECTION</v>
      </c>
      <c r="I1259" s="80" t="s">
        <v>2060</v>
      </c>
      <c r="J1259" s="80" t="s">
        <v>1913</v>
      </c>
      <c r="K1259" s="124" t="n">
        <v>8</v>
      </c>
      <c r="L1259" s="124" t="n">
        <v>4815</v>
      </c>
      <c r="M1259" s="83" t="n">
        <v>601.875</v>
      </c>
      <c r="N1259" s="84" t="n">
        <f aca="false">+O1259+Q1259+T1259+U1259</f>
        <v>5518</v>
      </c>
      <c r="O1259" s="85" t="n">
        <v>5400</v>
      </c>
      <c r="P1259" s="86" t="n">
        <v>0</v>
      </c>
      <c r="Q1259" s="86" t="n">
        <v>32</v>
      </c>
      <c r="R1259" s="132" t="n">
        <v>0</v>
      </c>
      <c r="S1259" s="128" t="n">
        <v>0</v>
      </c>
      <c r="T1259" s="132" t="n">
        <v>70</v>
      </c>
      <c r="U1259" s="128" t="n">
        <v>16</v>
      </c>
      <c r="V1259" s="128" t="n">
        <v>1</v>
      </c>
      <c r="W1259" s="90" t="n">
        <f aca="false">IFERROR(O1259/V1259,0)</f>
        <v>5400</v>
      </c>
      <c r="X1259" s="91" t="n">
        <f aca="false">O1259/L1259</f>
        <v>1.1214953271028</v>
      </c>
      <c r="Y1259" s="92" t="str">
        <f aca="false">IFERROR(VLOOKUP(E:E,'Item Data Support Sheet'!A:J,6,0),0)</f>
        <v>Silicon</v>
      </c>
      <c r="Z1259" s="93" t="n">
        <f aca="false">IFERROR(VLOOKUP(E:E,'Item Data Support Sheet'!A:O,4,0),0)</f>
        <v>6.8</v>
      </c>
      <c r="AA1259" s="93" t="n">
        <f aca="false">IFERROR(((N1259)*(Z1259/1000))+P1259,0)</f>
        <v>37.5224</v>
      </c>
      <c r="AB1259" s="94" t="n">
        <f aca="false">IFERROR((O1259*(Z1259/1000)/(AA1259))," ")</f>
        <v>0.978615440376948</v>
      </c>
      <c r="AC1259" s="95" t="n">
        <f aca="false">IFERROR((T1259)/((T1259)+O1259),0)</f>
        <v>0.0127970749542962</v>
      </c>
      <c r="AD1259" s="96" t="n">
        <f aca="false">IFERROR(Q1259/(Q1259+N1259),0)</f>
        <v>0.00576576576576577</v>
      </c>
      <c r="AE1259" s="91" t="n">
        <f aca="false">(N1259-T1259)/N1259</f>
        <v>0.98731424429141</v>
      </c>
      <c r="AF1259" s="97" t="n">
        <f aca="false">BR1259</f>
        <v>0</v>
      </c>
      <c r="AG1259" s="98" t="n">
        <f aca="false">K1259-AF1259</f>
        <v>8</v>
      </c>
      <c r="AH1259" s="99" t="n">
        <f aca="false">IFERROR(AG1259/K1259," ")</f>
        <v>1</v>
      </c>
      <c r="AI1259" s="100" t="n">
        <f aca="false">IFERROR(O1259/K1259,0)</f>
        <v>675</v>
      </c>
      <c r="AJ1259" s="101" t="n">
        <f aca="false">VLOOKUP(D1259,'Standard Cycle time'!C:D,2,0)</f>
        <v>5.25</v>
      </c>
      <c r="AK1259" s="101" t="n">
        <f aca="false">AG1259*V1259*3600/O1259</f>
        <v>5.33333333333333</v>
      </c>
      <c r="AL1259" s="102" t="n">
        <f aca="false">AJ1259/AK1259</f>
        <v>0.984375</v>
      </c>
      <c r="AM1259" s="99" t="n">
        <f aca="false">AE1259*AL1259*AH1259</f>
        <v>0.971887459224357</v>
      </c>
      <c r="AN1259" s="103" t="n">
        <v>0.971887459224357</v>
      </c>
      <c r="AO1259" s="112"/>
      <c r="AP1259" s="105" t="n">
        <v>0</v>
      </c>
      <c r="AQ1259" s="105" t="n">
        <v>0</v>
      </c>
      <c r="AR1259" s="105" t="n">
        <v>0</v>
      </c>
      <c r="AS1259" s="105" t="n">
        <v>0</v>
      </c>
      <c r="AT1259" s="105" t="n">
        <v>0</v>
      </c>
      <c r="AU1259" s="105" t="n">
        <v>0</v>
      </c>
      <c r="AV1259" s="105" t="n">
        <v>0</v>
      </c>
      <c r="AW1259" s="105" t="n">
        <v>0</v>
      </c>
      <c r="AX1259" s="105" t="n">
        <v>0</v>
      </c>
      <c r="AY1259" s="105" t="n">
        <v>0</v>
      </c>
      <c r="AZ1259" s="105" t="n">
        <v>0</v>
      </c>
      <c r="BA1259" s="105" t="n">
        <v>0</v>
      </c>
      <c r="BB1259" s="105" t="n">
        <v>0</v>
      </c>
      <c r="BC1259" s="105" t="n">
        <v>0</v>
      </c>
      <c r="BD1259" s="105" t="n">
        <v>0</v>
      </c>
      <c r="BE1259" s="105" t="n">
        <v>0</v>
      </c>
      <c r="BF1259" s="105" t="n">
        <v>0</v>
      </c>
      <c r="BG1259" s="105" t="n">
        <v>0</v>
      </c>
      <c r="BH1259" s="105" t="n">
        <v>0</v>
      </c>
      <c r="BI1259" s="105" t="n">
        <v>0</v>
      </c>
      <c r="BJ1259" s="105" t="n">
        <v>0</v>
      </c>
      <c r="BK1259" s="105" t="n">
        <v>0</v>
      </c>
      <c r="BL1259" s="105" t="n">
        <v>0</v>
      </c>
      <c r="BM1259" s="105" t="n">
        <v>0</v>
      </c>
      <c r="BN1259" s="105" t="n">
        <v>0</v>
      </c>
      <c r="BO1259" s="105" t="n">
        <v>0</v>
      </c>
      <c r="BP1259" s="105" t="n">
        <v>0</v>
      </c>
      <c r="BQ1259" s="105" t="n">
        <v>0</v>
      </c>
      <c r="BR1259" s="106" t="n">
        <v>0</v>
      </c>
      <c r="BS1259" s="106" t="n">
        <v>0</v>
      </c>
      <c r="BT1259" s="107"/>
      <c r="BU1259" s="107"/>
      <c r="BV1259" s="107"/>
      <c r="BW1259" s="107"/>
      <c r="BX1259" s="107"/>
      <c r="BY1259" s="107"/>
      <c r="BZ1259" s="107"/>
      <c r="CA1259" s="107"/>
      <c r="CB1259" s="107"/>
      <c r="CC1259" s="107"/>
      <c r="CD1259" s="107"/>
      <c r="CE1259" s="107"/>
      <c r="CF1259" s="107"/>
      <c r="CG1259" s="107"/>
      <c r="CH1259" s="107"/>
      <c r="CI1259" s="107"/>
      <c r="CJ1259" s="107"/>
      <c r="CK1259" s="107"/>
      <c r="CL1259" s="107"/>
      <c r="CM1259" s="107"/>
      <c r="CN1259" s="107"/>
      <c r="CO1259" s="107"/>
      <c r="CP1259" s="107"/>
      <c r="CQ1259" s="107"/>
      <c r="CR1259" s="107"/>
      <c r="CS1259" s="107"/>
      <c r="CT1259" s="107"/>
      <c r="CU1259" s="107"/>
      <c r="CV1259" s="107"/>
    </row>
    <row r="1260" customFormat="false" ht="14.9" hidden="false" customHeight="false" outlineLevel="0" collapsed="false">
      <c r="A1260" s="74" t="n">
        <f aca="false">MONTH(B1260)</f>
        <v>11</v>
      </c>
      <c r="B1260" s="135" t="n">
        <v>44516</v>
      </c>
      <c r="C1260" s="128" t="s">
        <v>152</v>
      </c>
      <c r="D1260" s="77" t="str">
        <f aca="false">IFERROR(VLOOKUP(E:E,'Item Data Support Sheet'!A:O,7,0),"")</f>
        <v>HOOD MOLDED</v>
      </c>
      <c r="E1260" s="80" t="s">
        <v>529</v>
      </c>
      <c r="F1260" s="122"/>
      <c r="G1260" s="137" t="s">
        <v>740</v>
      </c>
      <c r="H1260" s="79" t="str">
        <f aca="false">IFERROR(VLOOKUP(E:E,'Item Data Support Sheet'!A:O,2,0),"")</f>
        <v>HOOD S TYPE MOLDED</v>
      </c>
      <c r="I1260" s="80" t="s">
        <v>2047</v>
      </c>
      <c r="J1260" s="80" t="s">
        <v>1913</v>
      </c>
      <c r="K1260" s="124" t="n">
        <v>8</v>
      </c>
      <c r="L1260" s="124" t="n">
        <v>4137</v>
      </c>
      <c r="M1260" s="83" t="n">
        <v>517.125</v>
      </c>
      <c r="N1260" s="84" t="n">
        <f aca="false">+O1260+Q1260+T1260+U1260</f>
        <v>4642</v>
      </c>
      <c r="O1260" s="85" t="n">
        <v>4600</v>
      </c>
      <c r="P1260" s="86" t="n">
        <v>0.2</v>
      </c>
      <c r="Q1260" s="86" t="n">
        <v>0</v>
      </c>
      <c r="R1260" s="132" t="n">
        <v>0</v>
      </c>
      <c r="S1260" s="128" t="n">
        <v>0</v>
      </c>
      <c r="T1260" s="132" t="n">
        <v>34</v>
      </c>
      <c r="U1260" s="128" t="n">
        <v>8</v>
      </c>
      <c r="V1260" s="128" t="n">
        <v>1</v>
      </c>
      <c r="W1260" s="90" t="n">
        <f aca="false">IFERROR(O1260/V1260,0)</f>
        <v>4600</v>
      </c>
      <c r="X1260" s="91" t="n">
        <f aca="false">O1260/L1260</f>
        <v>1.11191684795746</v>
      </c>
      <c r="Y1260" s="92" t="str">
        <f aca="false">IFERROR(VLOOKUP(E:E,'Item Data Support Sheet'!A:J,6,0),0)</f>
        <v>HMC</v>
      </c>
      <c r="Z1260" s="93" t="n">
        <f aca="false">IFERROR(VLOOKUP(E:E,'Item Data Support Sheet'!A:O,4,0),0)</f>
        <v>8.6</v>
      </c>
      <c r="AA1260" s="93" t="n">
        <f aca="false">IFERROR(((N1260)*(Z1260/1000))+P1260,0)</f>
        <v>40.1212</v>
      </c>
      <c r="AB1260" s="94" t="n">
        <f aca="false">IFERROR((O1260*(Z1260/1000)/(AA1260))," ")</f>
        <v>0.986012382481082</v>
      </c>
      <c r="AC1260" s="95" t="n">
        <f aca="false">IFERROR((T1260)/((T1260)+O1260),0)</f>
        <v>0.0073370738023306</v>
      </c>
      <c r="AD1260" s="96" t="n">
        <f aca="false">IFERROR(Q1260/(Q1260+N1260),0)</f>
        <v>0</v>
      </c>
      <c r="AE1260" s="91" t="n">
        <f aca="false">(N1260-T1260)/N1260</f>
        <v>0.992675570874623</v>
      </c>
      <c r="AF1260" s="97" t="n">
        <f aca="false">BR1260</f>
        <v>0</v>
      </c>
      <c r="AG1260" s="98" t="n">
        <f aca="false">K1260-AF1260</f>
        <v>8</v>
      </c>
      <c r="AH1260" s="99" t="n">
        <f aca="false">IFERROR(AG1260/K1260," ")</f>
        <v>1</v>
      </c>
      <c r="AI1260" s="100" t="n">
        <f aca="false">IFERROR(O1260/K1260,0)</f>
        <v>575</v>
      </c>
      <c r="AJ1260" s="101" t="n">
        <f aca="false">VLOOKUP(D1260,'Standard Cycle time'!C:D,2,0)</f>
        <v>6</v>
      </c>
      <c r="AK1260" s="101" t="n">
        <f aca="false">AG1260*V1260*3600/O1260</f>
        <v>6.26086956521739</v>
      </c>
      <c r="AL1260" s="102" t="n">
        <f aca="false">AJ1260/AK1260</f>
        <v>0.958333333333333</v>
      </c>
      <c r="AM1260" s="99" t="n">
        <f aca="false">AE1260*AL1260*AH1260</f>
        <v>0.951314088754847</v>
      </c>
      <c r="AN1260" s="103" t="n">
        <v>0.951314088754847</v>
      </c>
      <c r="AO1260" s="112"/>
      <c r="AP1260" s="105" t="n">
        <v>0</v>
      </c>
      <c r="AQ1260" s="105" t="n">
        <v>0</v>
      </c>
      <c r="AR1260" s="105" t="n">
        <v>0</v>
      </c>
      <c r="AS1260" s="105" t="n">
        <v>0</v>
      </c>
      <c r="AT1260" s="105" t="n">
        <v>0</v>
      </c>
      <c r="AU1260" s="105" t="n">
        <v>0</v>
      </c>
      <c r="AV1260" s="105" t="n">
        <v>0</v>
      </c>
      <c r="AW1260" s="105" t="n">
        <v>0</v>
      </c>
      <c r="AX1260" s="105" t="n">
        <v>0</v>
      </c>
      <c r="AY1260" s="105" t="n">
        <v>0</v>
      </c>
      <c r="AZ1260" s="105" t="n">
        <v>0</v>
      </c>
      <c r="BA1260" s="105" t="n">
        <v>0</v>
      </c>
      <c r="BB1260" s="105" t="n">
        <v>0</v>
      </c>
      <c r="BC1260" s="105" t="n">
        <v>0</v>
      </c>
      <c r="BD1260" s="105" t="n">
        <v>0</v>
      </c>
      <c r="BE1260" s="105" t="n">
        <v>0</v>
      </c>
      <c r="BF1260" s="105" t="n">
        <v>0</v>
      </c>
      <c r="BG1260" s="105" t="n">
        <v>0</v>
      </c>
      <c r="BH1260" s="105" t="n">
        <v>0</v>
      </c>
      <c r="BI1260" s="105" t="n">
        <v>0</v>
      </c>
      <c r="BJ1260" s="105" t="n">
        <v>0</v>
      </c>
      <c r="BK1260" s="105" t="n">
        <v>0</v>
      </c>
      <c r="BL1260" s="105" t="n">
        <v>0</v>
      </c>
      <c r="BM1260" s="105" t="n">
        <v>0</v>
      </c>
      <c r="BN1260" s="105" t="n">
        <v>0</v>
      </c>
      <c r="BO1260" s="105" t="n">
        <v>0</v>
      </c>
      <c r="BP1260" s="105" t="n">
        <v>0</v>
      </c>
      <c r="BQ1260" s="105" t="n">
        <v>0</v>
      </c>
      <c r="BR1260" s="106" t="n">
        <v>0</v>
      </c>
      <c r="BS1260" s="106" t="n">
        <v>0</v>
      </c>
      <c r="BT1260" s="107"/>
      <c r="BU1260" s="107"/>
      <c r="BV1260" s="107"/>
      <c r="BW1260" s="107"/>
      <c r="BX1260" s="107"/>
      <c r="BY1260" s="107"/>
      <c r="BZ1260" s="107"/>
      <c r="CA1260" s="107"/>
      <c r="CB1260" s="107"/>
      <c r="CC1260" s="107"/>
      <c r="CD1260" s="107"/>
      <c r="CE1260" s="107"/>
      <c r="CF1260" s="107"/>
      <c r="CG1260" s="107"/>
      <c r="CH1260" s="107"/>
      <c r="CI1260" s="107"/>
      <c r="CJ1260" s="107"/>
      <c r="CK1260" s="107"/>
      <c r="CL1260" s="107"/>
      <c r="CM1260" s="107"/>
      <c r="CN1260" s="107"/>
      <c r="CO1260" s="107"/>
      <c r="CP1260" s="107"/>
      <c r="CQ1260" s="107"/>
      <c r="CR1260" s="107"/>
      <c r="CS1260" s="107"/>
      <c r="CT1260" s="107"/>
      <c r="CU1260" s="107"/>
      <c r="CV1260" s="107"/>
    </row>
    <row r="1261" customFormat="false" ht="14.9" hidden="false" customHeight="false" outlineLevel="0" collapsed="false">
      <c r="A1261" s="74" t="n">
        <f aca="false">MONTH(B1261)</f>
        <v>11</v>
      </c>
      <c r="B1261" s="135" t="n">
        <v>44517</v>
      </c>
      <c r="C1261" s="128" t="s">
        <v>51</v>
      </c>
      <c r="D1261" s="77" t="str">
        <f aca="false">IFERROR(VLOOKUP(E:E,'Item Data Support Sheet'!A:O,7,0),"")</f>
        <v>BOTTLE MOLDED</v>
      </c>
      <c r="E1261" s="80" t="s">
        <v>572</v>
      </c>
      <c r="F1261" s="122" t="s">
        <v>589</v>
      </c>
      <c r="G1261" s="137" t="s">
        <v>74</v>
      </c>
      <c r="H1261" s="79" t="str">
        <f aca="false">IFERROR(VLOOKUP(E:E,'Item Data Support Sheet'!A:O,2,0),"")</f>
        <v>RPP 240 ML BOTTLE MOLDED</v>
      </c>
      <c r="I1261" s="80" t="s">
        <v>2061</v>
      </c>
      <c r="J1261" s="80" t="s">
        <v>143</v>
      </c>
      <c r="K1261" s="124" t="n">
        <v>4</v>
      </c>
      <c r="L1261" s="124" t="n">
        <v>1574</v>
      </c>
      <c r="M1261" s="83" t="n">
        <v>393.5</v>
      </c>
      <c r="N1261" s="84" t="n">
        <f aca="false">+O1261+Q1261+T1261+U1261</f>
        <v>1736</v>
      </c>
      <c r="O1261" s="85" t="n">
        <v>1656</v>
      </c>
      <c r="P1261" s="86" t="n">
        <v>0.2</v>
      </c>
      <c r="Q1261" s="86" t="n">
        <v>45</v>
      </c>
      <c r="R1261" s="132" t="n">
        <v>0</v>
      </c>
      <c r="S1261" s="128" t="n">
        <v>0</v>
      </c>
      <c r="T1261" s="132" t="n">
        <v>35</v>
      </c>
      <c r="U1261" s="128" t="n">
        <v>0</v>
      </c>
      <c r="V1261" s="128" t="n">
        <v>1</v>
      </c>
      <c r="W1261" s="90" t="n">
        <f aca="false">IFERROR(O1261/V1261,0)</f>
        <v>1656</v>
      </c>
      <c r="X1261" s="91" t="n">
        <f aca="false">O1261/L1261</f>
        <v>1.05209656925032</v>
      </c>
      <c r="Y1261" s="92" t="str">
        <f aca="false">IFERROR(VLOOKUP(E:E,'Item Data Support Sheet'!A:J,6,0),0)</f>
        <v>HMC</v>
      </c>
      <c r="Z1261" s="93" t="n">
        <f aca="false">IFERROR(VLOOKUP(E:E,'Item Data Support Sheet'!A:O,4,0),0)</f>
        <v>32.1</v>
      </c>
      <c r="AA1261" s="93" t="n">
        <f aca="false">IFERROR(((N1261)*(Z1261/1000))+P1261,0)</f>
        <v>55.9256</v>
      </c>
      <c r="AB1261" s="94" t="n">
        <f aca="false">IFERROR((O1261*(Z1261/1000)/(AA1261))," ")</f>
        <v>0.950505671821134</v>
      </c>
      <c r="AC1261" s="95" t="n">
        <f aca="false">IFERROR((T1261)/((T1261)+O1261),0)</f>
        <v>0.0206978119455943</v>
      </c>
      <c r="AD1261" s="96" t="n">
        <f aca="false">IFERROR(Q1261/(Q1261+N1261),0)</f>
        <v>0.0252667040988209</v>
      </c>
      <c r="AE1261" s="91" t="n">
        <f aca="false">(N1261-T1261)/N1261</f>
        <v>0.979838709677419</v>
      </c>
      <c r="AF1261" s="97" t="n">
        <f aca="false">BR1261</f>
        <v>0</v>
      </c>
      <c r="AG1261" s="98" t="n">
        <f aca="false">K1261-AF1261</f>
        <v>4</v>
      </c>
      <c r="AH1261" s="99" t="n">
        <f aca="false">IFERROR(AG1261/K1261," ")</f>
        <v>1</v>
      </c>
      <c r="AI1261" s="100" t="n">
        <f aca="false">IFERROR(O1261/K1261,0)</f>
        <v>414</v>
      </c>
      <c r="AJ1261" s="101" t="n">
        <f aca="false">VLOOKUP(D1261,'Standard Cycle time'!C:D,2,0)</f>
        <v>9</v>
      </c>
      <c r="AK1261" s="101" t="n">
        <f aca="false">AG1261*V1261*3600/O1261</f>
        <v>8.69565217391304</v>
      </c>
      <c r="AL1261" s="102" t="n">
        <f aca="false">AJ1261/AK1261</f>
        <v>1.035</v>
      </c>
      <c r="AM1261" s="99" t="n">
        <f aca="false">AE1261*AL1261*AH1261</f>
        <v>1.01413306451613</v>
      </c>
      <c r="AN1261" s="103" t="n">
        <v>1.01413306451613</v>
      </c>
      <c r="AO1261" s="112"/>
      <c r="AP1261" s="105" t="n">
        <v>0</v>
      </c>
      <c r="AQ1261" s="105" t="n">
        <v>0</v>
      </c>
      <c r="AR1261" s="105" t="n">
        <v>0</v>
      </c>
      <c r="AS1261" s="105" t="n">
        <v>0</v>
      </c>
      <c r="AT1261" s="105" t="n">
        <v>0</v>
      </c>
      <c r="AU1261" s="105" t="n">
        <v>0</v>
      </c>
      <c r="AV1261" s="105" t="n">
        <v>0</v>
      </c>
      <c r="AW1261" s="105" t="n">
        <v>0</v>
      </c>
      <c r="AX1261" s="105" t="n">
        <v>0</v>
      </c>
      <c r="AY1261" s="105" t="n">
        <v>0</v>
      </c>
      <c r="AZ1261" s="105" t="n">
        <v>0</v>
      </c>
      <c r="BA1261" s="105" t="n">
        <v>0</v>
      </c>
      <c r="BB1261" s="105" t="n">
        <v>0</v>
      </c>
      <c r="BC1261" s="105" t="n">
        <v>0</v>
      </c>
      <c r="BD1261" s="105" t="n">
        <v>0</v>
      </c>
      <c r="BE1261" s="105" t="n">
        <v>0</v>
      </c>
      <c r="BF1261" s="105" t="n">
        <v>0</v>
      </c>
      <c r="BG1261" s="105" t="n">
        <v>0</v>
      </c>
      <c r="BH1261" s="105" t="n">
        <v>0</v>
      </c>
      <c r="BI1261" s="105" t="n">
        <v>0</v>
      </c>
      <c r="BJ1261" s="105" t="n">
        <v>0</v>
      </c>
      <c r="BK1261" s="105" t="n">
        <v>0</v>
      </c>
      <c r="BL1261" s="105" t="n">
        <v>0</v>
      </c>
      <c r="BM1261" s="105" t="n">
        <v>0</v>
      </c>
      <c r="BN1261" s="105" t="n">
        <v>0</v>
      </c>
      <c r="BO1261" s="105" t="n">
        <v>0</v>
      </c>
      <c r="BP1261" s="105" t="n">
        <v>0</v>
      </c>
      <c r="BQ1261" s="105" t="n">
        <v>0</v>
      </c>
      <c r="BR1261" s="106" t="n">
        <v>0</v>
      </c>
      <c r="BS1261" s="106" t="n">
        <v>0</v>
      </c>
      <c r="BT1261" s="107"/>
      <c r="BU1261" s="107"/>
      <c r="BV1261" s="107"/>
      <c r="BW1261" s="107"/>
      <c r="BX1261" s="107"/>
      <c r="BY1261" s="107"/>
      <c r="BZ1261" s="107"/>
      <c r="CA1261" s="107"/>
      <c r="CB1261" s="107"/>
      <c r="CC1261" s="107"/>
      <c r="CD1261" s="107"/>
      <c r="CE1261" s="107"/>
      <c r="CF1261" s="107"/>
      <c r="CG1261" s="107"/>
      <c r="CH1261" s="107"/>
      <c r="CI1261" s="107"/>
      <c r="CJ1261" s="107"/>
      <c r="CK1261" s="107"/>
      <c r="CL1261" s="107"/>
      <c r="CM1261" s="107"/>
      <c r="CN1261" s="107"/>
      <c r="CO1261" s="107"/>
      <c r="CP1261" s="107"/>
      <c r="CQ1261" s="107"/>
      <c r="CR1261" s="107"/>
      <c r="CS1261" s="107"/>
      <c r="CT1261" s="107"/>
      <c r="CU1261" s="107"/>
      <c r="CV1261" s="107"/>
    </row>
    <row r="1262" customFormat="false" ht="14.9" hidden="false" customHeight="false" outlineLevel="0" collapsed="false">
      <c r="A1262" s="74" t="n">
        <f aca="false">MONTH(B1262)</f>
        <v>11</v>
      </c>
      <c r="B1262" s="135" t="n">
        <v>44517</v>
      </c>
      <c r="C1262" s="128" t="s">
        <v>51</v>
      </c>
      <c r="D1262" s="77" t="str">
        <f aca="false">IFERROR(VLOOKUP(E:E,'Item Data Support Sheet'!A:O,7,0),"")</f>
        <v>HOOD MOLDED</v>
      </c>
      <c r="E1262" s="80" t="s">
        <v>529</v>
      </c>
      <c r="F1262" s="122"/>
      <c r="G1262" s="137" t="s">
        <v>740</v>
      </c>
      <c r="H1262" s="79" t="str">
        <f aca="false">IFERROR(VLOOKUP(E:E,'Item Data Support Sheet'!A:O,2,0),"")</f>
        <v>HOOD S TYPE MOLDED</v>
      </c>
      <c r="I1262" s="80" t="s">
        <v>2062</v>
      </c>
      <c r="J1262" s="80" t="s">
        <v>143</v>
      </c>
      <c r="K1262" s="124" t="n">
        <v>8</v>
      </c>
      <c r="L1262" s="124" t="n">
        <v>4137</v>
      </c>
      <c r="M1262" s="83" t="n">
        <v>517.125</v>
      </c>
      <c r="N1262" s="84" t="n">
        <f aca="false">+O1262+Q1262+T1262+U1262</f>
        <v>4448</v>
      </c>
      <c r="O1262" s="85" t="n">
        <v>4400</v>
      </c>
      <c r="P1262" s="86" t="n">
        <v>0.12</v>
      </c>
      <c r="Q1262" s="86" t="n">
        <v>26</v>
      </c>
      <c r="R1262" s="132" t="n">
        <v>0</v>
      </c>
      <c r="S1262" s="128" t="n">
        <v>0</v>
      </c>
      <c r="T1262" s="132" t="n">
        <v>14</v>
      </c>
      <c r="U1262" s="128" t="n">
        <v>8</v>
      </c>
      <c r="V1262" s="128" t="n">
        <v>1</v>
      </c>
      <c r="W1262" s="90" t="n">
        <f aca="false">IFERROR(O1262/V1262,0)</f>
        <v>4400</v>
      </c>
      <c r="X1262" s="91" t="n">
        <f aca="false">O1262/L1262</f>
        <v>1.0635726371767</v>
      </c>
      <c r="Y1262" s="92" t="str">
        <f aca="false">IFERROR(VLOOKUP(E:E,'Item Data Support Sheet'!A:J,6,0),0)</f>
        <v>HMC</v>
      </c>
      <c r="Z1262" s="93" t="n">
        <f aca="false">IFERROR(VLOOKUP(E:E,'Item Data Support Sheet'!A:O,4,0),0)</f>
        <v>8.6</v>
      </c>
      <c r="AA1262" s="93" t="n">
        <f aca="false">IFERROR(((N1262)*(Z1262/1000))+P1262,0)</f>
        <v>38.3728</v>
      </c>
      <c r="AB1262" s="94" t="n">
        <f aca="false">IFERROR((O1262*(Z1262/1000)/(AA1262))," ")</f>
        <v>0.986115164908477</v>
      </c>
      <c r="AC1262" s="95" t="n">
        <f aca="false">IFERROR((T1262)/((T1262)+O1262),0)</f>
        <v>0.0031717263253285</v>
      </c>
      <c r="AD1262" s="96" t="n">
        <f aca="false">IFERROR(Q1262/(Q1262+N1262),0)</f>
        <v>0.00581135449262405</v>
      </c>
      <c r="AE1262" s="91" t="n">
        <f aca="false">(N1262-T1262)/N1262</f>
        <v>0.996852517985611</v>
      </c>
      <c r="AF1262" s="97" t="n">
        <f aca="false">BR1262</f>
        <v>0</v>
      </c>
      <c r="AG1262" s="98" t="n">
        <f aca="false">K1262-AF1262</f>
        <v>8</v>
      </c>
      <c r="AH1262" s="99" t="n">
        <f aca="false">IFERROR(AG1262/K1262," ")</f>
        <v>1</v>
      </c>
      <c r="AI1262" s="100" t="n">
        <f aca="false">IFERROR(O1262/K1262,0)</f>
        <v>550</v>
      </c>
      <c r="AJ1262" s="101" t="n">
        <f aca="false">VLOOKUP(D1262,'Standard Cycle time'!C:D,2,0)</f>
        <v>6</v>
      </c>
      <c r="AK1262" s="101" t="n">
        <f aca="false">AG1262*V1262*3600/O1262</f>
        <v>6.54545454545455</v>
      </c>
      <c r="AL1262" s="102" t="n">
        <f aca="false">AJ1262/AK1262</f>
        <v>0.916666666666667</v>
      </c>
      <c r="AM1262" s="99" t="n">
        <f aca="false">AE1262*AL1262*AH1262</f>
        <v>0.913781474820144</v>
      </c>
      <c r="AN1262" s="103" t="n">
        <v>0.913781474820144</v>
      </c>
      <c r="AO1262" s="112"/>
      <c r="AP1262" s="105" t="n">
        <v>0</v>
      </c>
      <c r="AQ1262" s="105" t="n">
        <v>0</v>
      </c>
      <c r="AR1262" s="105" t="n">
        <v>0</v>
      </c>
      <c r="AS1262" s="105" t="n">
        <v>0</v>
      </c>
      <c r="AT1262" s="105" t="n">
        <v>0</v>
      </c>
      <c r="AU1262" s="105" t="n">
        <v>0</v>
      </c>
      <c r="AV1262" s="105" t="n">
        <v>0</v>
      </c>
      <c r="AW1262" s="105" t="n">
        <v>0</v>
      </c>
      <c r="AX1262" s="105" t="n">
        <v>0</v>
      </c>
      <c r="AY1262" s="105" t="n">
        <v>0</v>
      </c>
      <c r="AZ1262" s="105" t="n">
        <v>0</v>
      </c>
      <c r="BA1262" s="105" t="n">
        <v>0</v>
      </c>
      <c r="BB1262" s="105" t="n">
        <v>0</v>
      </c>
      <c r="BC1262" s="105" t="n">
        <v>0</v>
      </c>
      <c r="BD1262" s="105" t="n">
        <v>0</v>
      </c>
      <c r="BE1262" s="105" t="n">
        <v>0</v>
      </c>
      <c r="BF1262" s="105" t="n">
        <v>0</v>
      </c>
      <c r="BG1262" s="105" t="n">
        <v>0</v>
      </c>
      <c r="BH1262" s="105" t="n">
        <v>0</v>
      </c>
      <c r="BI1262" s="105" t="n">
        <v>0</v>
      </c>
      <c r="BJ1262" s="105" t="n">
        <v>0</v>
      </c>
      <c r="BK1262" s="105" t="n">
        <v>0</v>
      </c>
      <c r="BL1262" s="105" t="n">
        <v>0</v>
      </c>
      <c r="BM1262" s="105" t="n">
        <v>0</v>
      </c>
      <c r="BN1262" s="105" t="n">
        <v>0</v>
      </c>
      <c r="BO1262" s="105" t="n">
        <v>0</v>
      </c>
      <c r="BP1262" s="105" t="n">
        <v>0</v>
      </c>
      <c r="BQ1262" s="105" t="n">
        <v>0</v>
      </c>
      <c r="BR1262" s="106" t="n">
        <v>0</v>
      </c>
      <c r="BS1262" s="106" t="n">
        <v>0</v>
      </c>
      <c r="BT1262" s="107"/>
      <c r="BU1262" s="107"/>
      <c r="BV1262" s="107"/>
      <c r="BW1262" s="107"/>
      <c r="BX1262" s="107"/>
      <c r="BY1262" s="107"/>
      <c r="BZ1262" s="107"/>
      <c r="CA1262" s="107"/>
      <c r="CB1262" s="107"/>
      <c r="CC1262" s="107"/>
      <c r="CD1262" s="107"/>
      <c r="CE1262" s="107"/>
      <c r="CF1262" s="107"/>
      <c r="CG1262" s="107"/>
      <c r="CH1262" s="107"/>
      <c r="CI1262" s="107"/>
      <c r="CJ1262" s="107"/>
      <c r="CK1262" s="107"/>
      <c r="CL1262" s="107"/>
      <c r="CM1262" s="107"/>
      <c r="CN1262" s="107"/>
      <c r="CO1262" s="107"/>
      <c r="CP1262" s="107"/>
      <c r="CQ1262" s="107"/>
      <c r="CR1262" s="107"/>
      <c r="CS1262" s="107"/>
      <c r="CT1262" s="107"/>
      <c r="CU1262" s="107"/>
      <c r="CV1262" s="107"/>
    </row>
    <row r="1263" customFormat="false" ht="14.9" hidden="false" customHeight="false" outlineLevel="0" collapsed="false">
      <c r="A1263" s="74" t="n">
        <f aca="false">MONTH(B1263)</f>
        <v>11</v>
      </c>
      <c r="B1263" s="135" t="n">
        <v>44517</v>
      </c>
      <c r="C1263" s="128" t="s">
        <v>51</v>
      </c>
      <c r="D1263" s="77" t="str">
        <f aca="false">IFERROR(VLOOKUP(E:E,'Item Data Support Sheet'!A:O,7,0),"")</f>
        <v>NIPPLE PUNCH</v>
      </c>
      <c r="E1263" s="80" t="s">
        <v>666</v>
      </c>
      <c r="F1263" s="122"/>
      <c r="G1263" s="137" t="s">
        <v>54</v>
      </c>
      <c r="H1263" s="79" t="str">
        <f aca="false">IFERROR(VLOOKUP(E:E,'Item Data Support Sheet'!A:O,2,0),"")</f>
        <v>NIPPLE S TYPE L SIZE PUNCHED</v>
      </c>
      <c r="I1263" s="80" t="s">
        <v>2063</v>
      </c>
      <c r="J1263" s="80" t="s">
        <v>143</v>
      </c>
      <c r="K1263" s="124" t="n">
        <v>8</v>
      </c>
      <c r="L1263" s="124" t="n">
        <v>7000</v>
      </c>
      <c r="M1263" s="83" t="n">
        <v>875</v>
      </c>
      <c r="N1263" s="84" t="n">
        <f aca="false">+O1263+Q1263+T1263+U1263</f>
        <v>6900</v>
      </c>
      <c r="O1263" s="85" t="n">
        <v>6900</v>
      </c>
      <c r="P1263" s="86" t="n">
        <v>0</v>
      </c>
      <c r="Q1263" s="86" t="n">
        <v>0</v>
      </c>
      <c r="R1263" s="132" t="n">
        <v>0</v>
      </c>
      <c r="S1263" s="128" t="n">
        <v>0</v>
      </c>
      <c r="T1263" s="132" t="n">
        <v>0</v>
      </c>
      <c r="U1263" s="128" t="n">
        <v>0</v>
      </c>
      <c r="V1263" s="128" t="n">
        <v>1</v>
      </c>
      <c r="W1263" s="90" t="n">
        <f aca="false">IFERROR(O1263/V1263,0)</f>
        <v>6900</v>
      </c>
      <c r="X1263" s="91" t="n">
        <f aca="false">O1263/L1263</f>
        <v>0.985714285714286</v>
      </c>
      <c r="Y1263" s="92" t="str">
        <f aca="false">IFERROR(VLOOKUP(E:E,'Item Data Support Sheet'!A:J,6,0),0)</f>
        <v>FO017</v>
      </c>
      <c r="Z1263" s="93" t="n">
        <f aca="false">IFERROR(VLOOKUP(E:E,'Item Data Support Sheet'!A:O,4,0),0)</f>
        <v>0</v>
      </c>
      <c r="AA1263" s="93" t="n">
        <f aca="false">IFERROR(((N1263)*(Z1263/1000))+P1263,0)</f>
        <v>0</v>
      </c>
      <c r="AB1263" s="94" t="str">
        <f aca="false">IFERROR((O1263*(Z1263/1000)/(AA1263))," ")</f>
        <v> </v>
      </c>
      <c r="AC1263" s="95" t="n">
        <f aca="false">IFERROR((T1263)/((T1263)+O1263),0)</f>
        <v>0</v>
      </c>
      <c r="AD1263" s="96" t="n">
        <f aca="false">IFERROR(Q1263/(Q1263+N1263),0)</f>
        <v>0</v>
      </c>
      <c r="AE1263" s="91" t="n">
        <f aca="false">(N1263-T1263)/N1263</f>
        <v>1</v>
      </c>
      <c r="AF1263" s="97" t="n">
        <f aca="false">BR1263</f>
        <v>0</v>
      </c>
      <c r="AG1263" s="98" t="n">
        <f aca="false">K1263-AF1263</f>
        <v>8</v>
      </c>
      <c r="AH1263" s="99" t="n">
        <f aca="false">IFERROR(AG1263/K1263," ")</f>
        <v>1</v>
      </c>
      <c r="AI1263" s="100" t="n">
        <f aca="false">IFERROR(O1263/K1263,0)</f>
        <v>862.5</v>
      </c>
      <c r="AJ1263" s="101" t="n">
        <f aca="false">VLOOKUP(D1263,'Standard Cycle time'!C:D,2,0)</f>
        <v>3.5</v>
      </c>
      <c r="AK1263" s="101" t="n">
        <f aca="false">AG1263*V1263*3600/O1263</f>
        <v>4.17391304347826</v>
      </c>
      <c r="AL1263" s="102" t="n">
        <f aca="false">AJ1263/AK1263</f>
        <v>0.838541666666667</v>
      </c>
      <c r="AM1263" s="99" t="n">
        <f aca="false">AE1263*AL1263*AH1263</f>
        <v>0.838541666666667</v>
      </c>
      <c r="AN1263" s="103" t="n">
        <v>0.838541666666667</v>
      </c>
      <c r="AO1263" s="112"/>
      <c r="AP1263" s="105" t="n">
        <v>0</v>
      </c>
      <c r="AQ1263" s="105" t="n">
        <v>0</v>
      </c>
      <c r="AR1263" s="105" t="n">
        <v>0</v>
      </c>
      <c r="AS1263" s="105" t="n">
        <v>0</v>
      </c>
      <c r="AT1263" s="105" t="n">
        <v>0</v>
      </c>
      <c r="AU1263" s="105" t="n">
        <v>0</v>
      </c>
      <c r="AV1263" s="105" t="n">
        <v>0</v>
      </c>
      <c r="AW1263" s="105" t="n">
        <v>0</v>
      </c>
      <c r="AX1263" s="105" t="n">
        <v>0</v>
      </c>
      <c r="AY1263" s="105" t="n">
        <v>0</v>
      </c>
      <c r="AZ1263" s="105" t="n">
        <v>0</v>
      </c>
      <c r="BA1263" s="105" t="n">
        <v>0</v>
      </c>
      <c r="BB1263" s="105" t="n">
        <v>0</v>
      </c>
      <c r="BC1263" s="105" t="n">
        <v>0</v>
      </c>
      <c r="BD1263" s="105" t="n">
        <v>0</v>
      </c>
      <c r="BE1263" s="105" t="n">
        <v>0</v>
      </c>
      <c r="BF1263" s="105" t="n">
        <v>0</v>
      </c>
      <c r="BG1263" s="105" t="n">
        <v>0</v>
      </c>
      <c r="BH1263" s="105" t="n">
        <v>0</v>
      </c>
      <c r="BI1263" s="105" t="n">
        <v>0</v>
      </c>
      <c r="BJ1263" s="105" t="n">
        <v>0</v>
      </c>
      <c r="BK1263" s="105" t="n">
        <v>0</v>
      </c>
      <c r="BL1263" s="105" t="n">
        <v>0</v>
      </c>
      <c r="BM1263" s="105" t="n">
        <v>0</v>
      </c>
      <c r="BN1263" s="105" t="n">
        <v>0</v>
      </c>
      <c r="BO1263" s="105" t="n">
        <v>0</v>
      </c>
      <c r="BP1263" s="105" t="n">
        <v>0</v>
      </c>
      <c r="BQ1263" s="105" t="n">
        <v>0</v>
      </c>
      <c r="BR1263" s="106" t="n">
        <v>0</v>
      </c>
      <c r="BS1263" s="106" t="n">
        <v>0</v>
      </c>
      <c r="BT1263" s="107"/>
      <c r="BU1263" s="107"/>
      <c r="BV1263" s="107"/>
      <c r="BW1263" s="107"/>
      <c r="BX1263" s="107"/>
      <c r="BY1263" s="107"/>
      <c r="BZ1263" s="107"/>
      <c r="CA1263" s="107"/>
      <c r="CB1263" s="107"/>
      <c r="CC1263" s="107"/>
      <c r="CD1263" s="107"/>
      <c r="CE1263" s="107"/>
      <c r="CF1263" s="107"/>
      <c r="CG1263" s="107"/>
      <c r="CH1263" s="107"/>
      <c r="CI1263" s="107"/>
      <c r="CJ1263" s="107"/>
      <c r="CK1263" s="107"/>
      <c r="CL1263" s="107"/>
      <c r="CM1263" s="107"/>
      <c r="CN1263" s="107"/>
      <c r="CO1263" s="107"/>
      <c r="CP1263" s="107"/>
      <c r="CQ1263" s="107"/>
      <c r="CR1263" s="107"/>
      <c r="CS1263" s="107"/>
      <c r="CT1263" s="107"/>
      <c r="CU1263" s="107"/>
      <c r="CV1263" s="107"/>
    </row>
    <row r="1264" customFormat="false" ht="14.9" hidden="false" customHeight="false" outlineLevel="0" collapsed="false">
      <c r="A1264" s="74" t="n">
        <f aca="false">MONTH(B1264)</f>
        <v>11</v>
      </c>
      <c r="B1264" s="135" t="n">
        <v>44517</v>
      </c>
      <c r="C1264" s="128" t="s">
        <v>51</v>
      </c>
      <c r="D1264" s="77" t="str">
        <f aca="false">IFERROR(VLOOKUP(E:E,'Item Data Support Sheet'!A:O,7,0),"")</f>
        <v>NIPPLE LASER MARKING</v>
      </c>
      <c r="E1264" s="80" t="s">
        <v>681</v>
      </c>
      <c r="F1264" s="122"/>
      <c r="G1264" s="137" t="s">
        <v>517</v>
      </c>
      <c r="H1264" s="79" t="str">
        <f aca="false">IFERROR(VLOOKUP(E:E,'Item Data Support Sheet'!A:O,2,0),"")</f>
        <v>NIPPLE S TYPE L SIZE PUNCHED LASER MARKED</v>
      </c>
      <c r="I1264" s="80" t="s">
        <v>2064</v>
      </c>
      <c r="J1264" s="80" t="s">
        <v>143</v>
      </c>
      <c r="K1264" s="124" t="n">
        <v>8</v>
      </c>
      <c r="L1264" s="124" t="n">
        <v>7000</v>
      </c>
      <c r="M1264" s="83" t="n">
        <v>875</v>
      </c>
      <c r="N1264" s="84" t="n">
        <f aca="false">+O1264+Q1264+T1264+U1264</f>
        <v>6900</v>
      </c>
      <c r="O1264" s="85" t="n">
        <v>6900</v>
      </c>
      <c r="P1264" s="86" t="n">
        <v>0</v>
      </c>
      <c r="Q1264" s="86" t="n">
        <v>0</v>
      </c>
      <c r="R1264" s="132" t="n">
        <v>0</v>
      </c>
      <c r="S1264" s="128" t="n">
        <v>0</v>
      </c>
      <c r="T1264" s="132" t="n">
        <v>0</v>
      </c>
      <c r="U1264" s="128" t="n">
        <v>0</v>
      </c>
      <c r="V1264" s="128" t="n">
        <v>1</v>
      </c>
      <c r="W1264" s="90" t="n">
        <f aca="false">IFERROR(O1264/V1264,0)</f>
        <v>6900</v>
      </c>
      <c r="X1264" s="91" t="n">
        <f aca="false">O1264/L1264</f>
        <v>0.985714285714286</v>
      </c>
      <c r="Y1264" s="92" t="str">
        <f aca="false">IFERROR(VLOOKUP(E:E,'Item Data Support Sheet'!A:J,6,0),0)</f>
        <v>FO021</v>
      </c>
      <c r="Z1264" s="93" t="n">
        <f aca="false">IFERROR(VLOOKUP(E:E,'Item Data Support Sheet'!A:O,4,0),0)</f>
        <v>0</v>
      </c>
      <c r="AA1264" s="93" t="n">
        <f aca="false">IFERROR(((N1264)*(Z1264/1000))+P1264,0)</f>
        <v>0</v>
      </c>
      <c r="AB1264" s="94" t="str">
        <f aca="false">IFERROR((O1264*(Z1264/1000)/(AA1264))," ")</f>
        <v> </v>
      </c>
      <c r="AC1264" s="95" t="n">
        <f aca="false">IFERROR((T1264)/((T1264)+O1264),0)</f>
        <v>0</v>
      </c>
      <c r="AD1264" s="96" t="n">
        <f aca="false">IFERROR(Q1264/(Q1264+N1264),0)</f>
        <v>0</v>
      </c>
      <c r="AE1264" s="91" t="n">
        <f aca="false">(N1264-T1264)/N1264</f>
        <v>1</v>
      </c>
      <c r="AF1264" s="97" t="n">
        <f aca="false">BR1264</f>
        <v>0</v>
      </c>
      <c r="AG1264" s="98" t="n">
        <f aca="false">K1264-AF1264</f>
        <v>8</v>
      </c>
      <c r="AH1264" s="99" t="n">
        <f aca="false">IFERROR(AG1264/K1264," ")</f>
        <v>1</v>
      </c>
      <c r="AI1264" s="100" t="n">
        <f aca="false">IFERROR(O1264/K1264,0)</f>
        <v>862.5</v>
      </c>
      <c r="AJ1264" s="101" t="n">
        <f aca="false">VLOOKUP(D1264,'Standard Cycle time'!C:D,2,0)</f>
        <v>3.5</v>
      </c>
      <c r="AK1264" s="101" t="n">
        <f aca="false">AG1264*V1264*3600/O1264</f>
        <v>4.17391304347826</v>
      </c>
      <c r="AL1264" s="102" t="n">
        <f aca="false">AJ1264/AK1264</f>
        <v>0.838541666666667</v>
      </c>
      <c r="AM1264" s="99" t="n">
        <f aca="false">AE1264*AL1264*AH1264</f>
        <v>0.838541666666667</v>
      </c>
      <c r="AN1264" s="103" t="n">
        <v>0.838541666666667</v>
      </c>
      <c r="AO1264" s="112"/>
      <c r="AP1264" s="105" t="n">
        <v>0</v>
      </c>
      <c r="AQ1264" s="105" t="n">
        <v>0</v>
      </c>
      <c r="AR1264" s="105" t="n">
        <v>0</v>
      </c>
      <c r="AS1264" s="105" t="n">
        <v>0</v>
      </c>
      <c r="AT1264" s="105" t="n">
        <v>0</v>
      </c>
      <c r="AU1264" s="105" t="n">
        <v>0</v>
      </c>
      <c r="AV1264" s="105" t="n">
        <v>0</v>
      </c>
      <c r="AW1264" s="105" t="n">
        <v>0</v>
      </c>
      <c r="AX1264" s="105" t="n">
        <v>0</v>
      </c>
      <c r="AY1264" s="105" t="n">
        <v>0</v>
      </c>
      <c r="AZ1264" s="105" t="n">
        <v>0</v>
      </c>
      <c r="BA1264" s="105" t="n">
        <v>0</v>
      </c>
      <c r="BB1264" s="105" t="n">
        <v>0</v>
      </c>
      <c r="BC1264" s="105" t="n">
        <v>0</v>
      </c>
      <c r="BD1264" s="105" t="n">
        <v>0</v>
      </c>
      <c r="BE1264" s="105" t="n">
        <v>0</v>
      </c>
      <c r="BF1264" s="105" t="n">
        <v>0</v>
      </c>
      <c r="BG1264" s="105" t="n">
        <v>0</v>
      </c>
      <c r="BH1264" s="105" t="n">
        <v>0</v>
      </c>
      <c r="BI1264" s="105" t="n">
        <v>0</v>
      </c>
      <c r="BJ1264" s="105" t="n">
        <v>0</v>
      </c>
      <c r="BK1264" s="105" t="n">
        <v>0</v>
      </c>
      <c r="BL1264" s="105" t="n">
        <v>0</v>
      </c>
      <c r="BM1264" s="105" t="n">
        <v>0</v>
      </c>
      <c r="BN1264" s="105" t="n">
        <v>0</v>
      </c>
      <c r="BO1264" s="105" t="n">
        <v>0</v>
      </c>
      <c r="BP1264" s="105" t="n">
        <v>0</v>
      </c>
      <c r="BQ1264" s="105" t="n">
        <v>0</v>
      </c>
      <c r="BR1264" s="106" t="n">
        <v>0</v>
      </c>
      <c r="BS1264" s="106" t="n">
        <v>0</v>
      </c>
      <c r="BT1264" s="107"/>
      <c r="BU1264" s="107"/>
      <c r="BV1264" s="107"/>
      <c r="BW1264" s="107"/>
      <c r="BX1264" s="107"/>
      <c r="BY1264" s="107"/>
      <c r="BZ1264" s="107"/>
      <c r="CA1264" s="107"/>
      <c r="CB1264" s="107"/>
      <c r="CC1264" s="107"/>
      <c r="CD1264" s="107"/>
      <c r="CE1264" s="107"/>
      <c r="CF1264" s="107"/>
      <c r="CG1264" s="107"/>
      <c r="CH1264" s="107"/>
      <c r="CI1264" s="107"/>
      <c r="CJ1264" s="107"/>
      <c r="CK1264" s="107"/>
      <c r="CL1264" s="107"/>
      <c r="CM1264" s="107"/>
      <c r="CN1264" s="107"/>
      <c r="CO1264" s="107"/>
      <c r="CP1264" s="107"/>
      <c r="CQ1264" s="107"/>
      <c r="CR1264" s="107"/>
      <c r="CS1264" s="107"/>
      <c r="CT1264" s="107"/>
      <c r="CU1264" s="107"/>
      <c r="CV1264" s="107"/>
    </row>
    <row r="1265" customFormat="false" ht="14.9" hidden="false" customHeight="false" outlineLevel="0" collapsed="false">
      <c r="A1265" s="74" t="n">
        <f aca="false">MONTH(B1265)</f>
        <v>11</v>
      </c>
      <c r="B1265" s="135" t="n">
        <v>44517</v>
      </c>
      <c r="C1265" s="128" t="s">
        <v>51</v>
      </c>
      <c r="D1265" s="77" t="str">
        <f aca="false">IFERROR(VLOOKUP(E:E,'Item Data Support Sheet'!A:O,7,0),"")</f>
        <v>NIPPLE MOLDED</v>
      </c>
      <c r="E1265" s="80" t="s">
        <v>661</v>
      </c>
      <c r="F1265" s="122" t="s">
        <v>137</v>
      </c>
      <c r="G1265" s="137" t="s">
        <v>138</v>
      </c>
      <c r="H1265" s="79" t="str">
        <f aca="false">IFERROR(VLOOKUP(E:E,'Item Data Support Sheet'!A:O,2,0),"")</f>
        <v>NIPPLE S TYPE L SIZE INJECTION</v>
      </c>
      <c r="I1265" s="80" t="s">
        <v>2065</v>
      </c>
      <c r="J1265" s="80" t="s">
        <v>143</v>
      </c>
      <c r="K1265" s="124" t="n">
        <v>8</v>
      </c>
      <c r="L1265" s="124" t="n">
        <v>4815</v>
      </c>
      <c r="M1265" s="83" t="n">
        <v>601.875</v>
      </c>
      <c r="N1265" s="84" t="n">
        <f aca="false">+O1265+Q1265+T1265+U1265</f>
        <v>5101</v>
      </c>
      <c r="O1265" s="85" t="n">
        <v>5000</v>
      </c>
      <c r="P1265" s="86" t="n">
        <v>0</v>
      </c>
      <c r="Q1265" s="86" t="n">
        <v>53</v>
      </c>
      <c r="R1265" s="132" t="n">
        <v>0</v>
      </c>
      <c r="S1265" s="128" t="n">
        <v>0</v>
      </c>
      <c r="T1265" s="132" t="n">
        <v>40</v>
      </c>
      <c r="U1265" s="128" t="n">
        <v>8</v>
      </c>
      <c r="V1265" s="128" t="n">
        <v>1</v>
      </c>
      <c r="W1265" s="90" t="n">
        <f aca="false">IFERROR(O1265/V1265,0)</f>
        <v>5000</v>
      </c>
      <c r="X1265" s="91" t="n">
        <f aca="false">O1265/L1265</f>
        <v>1.03842159916926</v>
      </c>
      <c r="Y1265" s="92" t="str">
        <f aca="false">IFERROR(VLOOKUP(E:E,'Item Data Support Sheet'!A:J,6,0),0)</f>
        <v>Silicon</v>
      </c>
      <c r="Z1265" s="93" t="n">
        <f aca="false">IFERROR(VLOOKUP(E:E,'Item Data Support Sheet'!A:O,4,0),0)</f>
        <v>6.8</v>
      </c>
      <c r="AA1265" s="93" t="n">
        <f aca="false">IFERROR(((N1265)*(Z1265/1000))+P1265,0)</f>
        <v>34.6868</v>
      </c>
      <c r="AB1265" s="94" t="n">
        <f aca="false">IFERROR((O1265*(Z1265/1000)/(AA1265))," ")</f>
        <v>0.980199960792002</v>
      </c>
      <c r="AC1265" s="95" t="n">
        <f aca="false">IFERROR((T1265)/((T1265)+O1265),0)</f>
        <v>0.00793650793650794</v>
      </c>
      <c r="AD1265" s="96" t="n">
        <f aca="false">IFERROR(Q1265/(Q1265+N1265),0)</f>
        <v>0.0102832751261156</v>
      </c>
      <c r="AE1265" s="91" t="n">
        <f aca="false">(N1265-T1265)/N1265</f>
        <v>0.992158400313664</v>
      </c>
      <c r="AF1265" s="97" t="n">
        <f aca="false">BR1265</f>
        <v>0</v>
      </c>
      <c r="AG1265" s="98" t="n">
        <f aca="false">K1265-AF1265</f>
        <v>8</v>
      </c>
      <c r="AH1265" s="99" t="n">
        <f aca="false">IFERROR(AG1265/K1265," ")</f>
        <v>1</v>
      </c>
      <c r="AI1265" s="100" t="n">
        <f aca="false">IFERROR(O1265/K1265,0)</f>
        <v>625</v>
      </c>
      <c r="AJ1265" s="101" t="n">
        <f aca="false">VLOOKUP(D1265,'Standard Cycle time'!C:D,2,0)</f>
        <v>5.25</v>
      </c>
      <c r="AK1265" s="101" t="n">
        <f aca="false">AG1265*V1265*3600/O1265</f>
        <v>5.76</v>
      </c>
      <c r="AL1265" s="102" t="n">
        <f aca="false">AJ1265/AK1265</f>
        <v>0.911458333333333</v>
      </c>
      <c r="AM1265" s="99" t="n">
        <f aca="false">AE1265*AL1265*AH1265</f>
        <v>0.904311041952558</v>
      </c>
      <c r="AN1265" s="103" t="n">
        <v>0.904311041952558</v>
      </c>
      <c r="AO1265" s="112"/>
      <c r="AP1265" s="105" t="n">
        <v>0</v>
      </c>
      <c r="AQ1265" s="105" t="n">
        <v>0</v>
      </c>
      <c r="AR1265" s="105" t="n">
        <v>0</v>
      </c>
      <c r="AS1265" s="105" t="n">
        <v>0</v>
      </c>
      <c r="AT1265" s="105" t="n">
        <v>0</v>
      </c>
      <c r="AU1265" s="105" t="n">
        <v>0</v>
      </c>
      <c r="AV1265" s="105" t="n">
        <v>0</v>
      </c>
      <c r="AW1265" s="105" t="n">
        <v>0</v>
      </c>
      <c r="AX1265" s="105" t="n">
        <v>0</v>
      </c>
      <c r="AY1265" s="105" t="n">
        <v>0</v>
      </c>
      <c r="AZ1265" s="105" t="n">
        <v>0</v>
      </c>
      <c r="BA1265" s="105" t="n">
        <v>0</v>
      </c>
      <c r="BB1265" s="105" t="n">
        <v>0</v>
      </c>
      <c r="BC1265" s="105" t="n">
        <v>0</v>
      </c>
      <c r="BD1265" s="105" t="n">
        <v>0</v>
      </c>
      <c r="BE1265" s="105" t="n">
        <v>0</v>
      </c>
      <c r="BF1265" s="105" t="n">
        <v>0</v>
      </c>
      <c r="BG1265" s="105" t="n">
        <v>0</v>
      </c>
      <c r="BH1265" s="105" t="n">
        <v>0</v>
      </c>
      <c r="BI1265" s="105" t="n">
        <v>0</v>
      </c>
      <c r="BJ1265" s="105" t="n">
        <v>0</v>
      </c>
      <c r="BK1265" s="105" t="n">
        <v>0</v>
      </c>
      <c r="BL1265" s="105" t="n">
        <v>0</v>
      </c>
      <c r="BM1265" s="105" t="n">
        <v>0</v>
      </c>
      <c r="BN1265" s="105" t="n">
        <v>0</v>
      </c>
      <c r="BO1265" s="105" t="n">
        <v>0</v>
      </c>
      <c r="BP1265" s="105" t="n">
        <v>0</v>
      </c>
      <c r="BQ1265" s="105" t="n">
        <v>0</v>
      </c>
      <c r="BR1265" s="106" t="n">
        <v>0</v>
      </c>
      <c r="BS1265" s="106" t="n">
        <v>0</v>
      </c>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c r="CO1265" s="107"/>
      <c r="CP1265" s="107"/>
      <c r="CQ1265" s="107"/>
      <c r="CR1265" s="107"/>
      <c r="CS1265" s="107"/>
      <c r="CT1265" s="107"/>
      <c r="CU1265" s="107"/>
      <c r="CV1265" s="107"/>
    </row>
    <row r="1266" customFormat="false" ht="14.9" hidden="false" customHeight="false" outlineLevel="0" collapsed="false">
      <c r="A1266" s="74" t="n">
        <f aca="false">MONTH(B1266)</f>
        <v>11</v>
      </c>
      <c r="B1266" s="135" t="n">
        <v>44517</v>
      </c>
      <c r="C1266" s="128" t="s">
        <v>51</v>
      </c>
      <c r="D1266" s="77" t="str">
        <f aca="false">IFERROR(VLOOKUP(E:E,'Item Data Support Sheet'!A:O,7,0),"")</f>
        <v>BOTTLE MOLDED</v>
      </c>
      <c r="E1266" s="80" t="s">
        <v>78</v>
      </c>
      <c r="F1266" s="122" t="s">
        <v>79</v>
      </c>
      <c r="G1266" s="137" t="s">
        <v>80</v>
      </c>
      <c r="H1266" s="79" t="str">
        <f aca="false">IFERROR(VLOOKUP(E:E,'Item Data Support Sheet'!A:O,2,0),"")</f>
        <v>RPP 120 ML BOTTLE MOLDED</v>
      </c>
      <c r="I1266" s="80" t="s">
        <v>2066</v>
      </c>
      <c r="J1266" s="80" t="s">
        <v>143</v>
      </c>
      <c r="K1266" s="124" t="n">
        <v>3</v>
      </c>
      <c r="L1266" s="124" t="n">
        <v>1000</v>
      </c>
      <c r="M1266" s="83" t="n">
        <v>333.333333333333</v>
      </c>
      <c r="N1266" s="84" t="n">
        <f aca="false">+O1266+Q1266+T1266+U1266</f>
        <v>795</v>
      </c>
      <c r="O1266" s="85" t="n">
        <v>720</v>
      </c>
      <c r="P1266" s="86" t="n">
        <v>0.524</v>
      </c>
      <c r="Q1266" s="86" t="n">
        <v>43</v>
      </c>
      <c r="R1266" s="132" t="n">
        <v>0</v>
      </c>
      <c r="S1266" s="128" t="n">
        <v>0</v>
      </c>
      <c r="T1266" s="132" t="n">
        <v>24</v>
      </c>
      <c r="U1266" s="128" t="n">
        <v>8</v>
      </c>
      <c r="V1266" s="128" t="n">
        <v>1</v>
      </c>
      <c r="W1266" s="90" t="n">
        <f aca="false">IFERROR(O1266/V1266,0)</f>
        <v>720</v>
      </c>
      <c r="X1266" s="91" t="n">
        <f aca="false">O1266/L1266</f>
        <v>0.72</v>
      </c>
      <c r="Y1266" s="92" t="str">
        <f aca="false">IFERROR(VLOOKUP(E:E,'Item Data Support Sheet'!A:J,6,0),0)</f>
        <v>HMC</v>
      </c>
      <c r="Z1266" s="93" t="n">
        <f aca="false">IFERROR(VLOOKUP(E:E,'Item Data Support Sheet'!A:O,4,0),0)</f>
        <v>21.3</v>
      </c>
      <c r="AA1266" s="93" t="n">
        <f aca="false">IFERROR(((N1266)*(Z1266/1000))+P1266,0)</f>
        <v>17.4575</v>
      </c>
      <c r="AB1266" s="94" t="n">
        <f aca="false">IFERROR((O1266*(Z1266/1000)/(AA1266))," ")</f>
        <v>0.878476299584706</v>
      </c>
      <c r="AC1266" s="95" t="n">
        <f aca="false">IFERROR((T1266)/((T1266)+O1266),0)</f>
        <v>0.032258064516129</v>
      </c>
      <c r="AD1266" s="96" t="n">
        <f aca="false">IFERROR(Q1266/(Q1266+N1266),0)</f>
        <v>0.0513126491646778</v>
      </c>
      <c r="AE1266" s="91" t="n">
        <f aca="false">(N1266-T1266)/N1266</f>
        <v>0.969811320754717</v>
      </c>
      <c r="AF1266" s="97" t="n">
        <f aca="false">BR1266</f>
        <v>0</v>
      </c>
      <c r="AG1266" s="98" t="n">
        <f aca="false">K1266-AF1266</f>
        <v>3</v>
      </c>
      <c r="AH1266" s="99" t="n">
        <f aca="false">IFERROR(AG1266/K1266," ")</f>
        <v>1</v>
      </c>
      <c r="AI1266" s="100" t="n">
        <f aca="false">IFERROR(O1266/K1266,0)</f>
        <v>240</v>
      </c>
      <c r="AJ1266" s="101" t="n">
        <f aca="false">VLOOKUP(D1266,'Standard Cycle time'!C:D,2,0)</f>
        <v>9</v>
      </c>
      <c r="AK1266" s="101" t="n">
        <f aca="false">AG1266*V1266*3600/O1266</f>
        <v>15</v>
      </c>
      <c r="AL1266" s="102" t="n">
        <f aca="false">AJ1266/AK1266</f>
        <v>0.6</v>
      </c>
      <c r="AM1266" s="99" t="n">
        <f aca="false">AE1266*AL1266*AH1266</f>
        <v>0.58188679245283</v>
      </c>
      <c r="AN1266" s="103" t="n">
        <v>0.58188679245283</v>
      </c>
      <c r="AO1266" s="112"/>
      <c r="AP1266" s="105" t="n">
        <v>0</v>
      </c>
      <c r="AQ1266" s="105" t="n">
        <v>0</v>
      </c>
      <c r="AR1266" s="105" t="n">
        <v>0</v>
      </c>
      <c r="AS1266" s="105" t="n">
        <v>0</v>
      </c>
      <c r="AT1266" s="105" t="n">
        <v>0</v>
      </c>
      <c r="AU1266" s="105" t="n">
        <v>0</v>
      </c>
      <c r="AV1266" s="105" t="n">
        <v>0</v>
      </c>
      <c r="AW1266" s="105" t="n">
        <v>0</v>
      </c>
      <c r="AX1266" s="105" t="n">
        <v>0</v>
      </c>
      <c r="AY1266" s="105" t="n">
        <v>0</v>
      </c>
      <c r="AZ1266" s="105" t="n">
        <v>0</v>
      </c>
      <c r="BA1266" s="105" t="n">
        <v>0</v>
      </c>
      <c r="BB1266" s="105" t="n">
        <v>0</v>
      </c>
      <c r="BC1266" s="105" t="n">
        <v>0</v>
      </c>
      <c r="BD1266" s="105" t="n">
        <v>0</v>
      </c>
      <c r="BE1266" s="105" t="n">
        <v>0</v>
      </c>
      <c r="BF1266" s="105" t="n">
        <v>0</v>
      </c>
      <c r="BG1266" s="105" t="n">
        <v>0</v>
      </c>
      <c r="BH1266" s="105" t="n">
        <v>0</v>
      </c>
      <c r="BI1266" s="105" t="n">
        <v>0</v>
      </c>
      <c r="BJ1266" s="105" t="n">
        <v>0</v>
      </c>
      <c r="BK1266" s="105" t="n">
        <v>0</v>
      </c>
      <c r="BL1266" s="105" t="n">
        <v>0</v>
      </c>
      <c r="BM1266" s="105" t="n">
        <v>0</v>
      </c>
      <c r="BN1266" s="105" t="n">
        <v>0</v>
      </c>
      <c r="BO1266" s="105" t="n">
        <v>0</v>
      </c>
      <c r="BP1266" s="105" t="n">
        <v>0</v>
      </c>
      <c r="BQ1266" s="105" t="n">
        <v>0</v>
      </c>
      <c r="BR1266" s="106" t="n">
        <v>0</v>
      </c>
      <c r="BS1266" s="106" t="n">
        <v>0</v>
      </c>
      <c r="BT1266" s="107"/>
      <c r="BU1266" s="107"/>
      <c r="BV1266" s="107"/>
      <c r="BW1266" s="107"/>
      <c r="BX1266" s="107"/>
      <c r="BY1266" s="107"/>
      <c r="BZ1266" s="107"/>
      <c r="CA1266" s="107"/>
      <c r="CB1266" s="107"/>
      <c r="CC1266" s="107"/>
      <c r="CD1266" s="107"/>
      <c r="CE1266" s="107"/>
      <c r="CF1266" s="107"/>
      <c r="CG1266" s="107"/>
      <c r="CH1266" s="107"/>
      <c r="CI1266" s="107"/>
      <c r="CJ1266" s="107"/>
      <c r="CK1266" s="107"/>
      <c r="CL1266" s="107"/>
      <c r="CM1266" s="107"/>
      <c r="CN1266" s="107"/>
      <c r="CO1266" s="107"/>
      <c r="CP1266" s="107"/>
      <c r="CQ1266" s="107"/>
      <c r="CR1266" s="107"/>
      <c r="CS1266" s="107"/>
      <c r="CT1266" s="107"/>
      <c r="CU1266" s="107"/>
      <c r="CV1266" s="107"/>
    </row>
    <row r="1267" customFormat="false" ht="14.9" hidden="false" customHeight="false" outlineLevel="0" collapsed="false">
      <c r="A1267" s="74" t="n">
        <f aca="false">MONTH(B1267)</f>
        <v>11</v>
      </c>
      <c r="B1267" s="135" t="n">
        <v>44517</v>
      </c>
      <c r="C1267" s="128" t="s">
        <v>51</v>
      </c>
      <c r="D1267" s="77" t="str">
        <f aca="false">IFERROR(VLOOKUP(E:E,'Item Data Support Sheet'!A:O,7,0),"")</f>
        <v>BOTTLE PRINTED</v>
      </c>
      <c r="E1267" s="80" t="s">
        <v>65</v>
      </c>
      <c r="F1267" s="122"/>
      <c r="G1267" s="137"/>
      <c r="H1267" s="79" t="str">
        <f aca="false">IFERROR(VLOOKUP(E:E,'Item Data Support Sheet'!A:O,2,0),"")</f>
        <v>KPP 240 ML BOTTLE PRINTED</v>
      </c>
      <c r="I1267" s="80" t="s">
        <v>2067</v>
      </c>
      <c r="J1267" s="80" t="s">
        <v>1947</v>
      </c>
      <c r="K1267" s="124" t="n">
        <v>8</v>
      </c>
      <c r="L1267" s="124" t="n">
        <v>5134</v>
      </c>
      <c r="M1267" s="83" t="n">
        <v>641.75</v>
      </c>
      <c r="N1267" s="84" t="n">
        <f aca="false">+O1267+Q1267+T1267+U1267</f>
        <v>5008</v>
      </c>
      <c r="O1267" s="85" t="n">
        <v>4968</v>
      </c>
      <c r="P1267" s="86" t="n">
        <v>0</v>
      </c>
      <c r="Q1267" s="86" t="n">
        <v>0</v>
      </c>
      <c r="R1267" s="132" t="n">
        <v>38</v>
      </c>
      <c r="S1267" s="128" t="n">
        <v>0</v>
      </c>
      <c r="T1267" s="132" t="n">
        <v>40</v>
      </c>
      <c r="U1267" s="128" t="n">
        <v>0</v>
      </c>
      <c r="V1267" s="128" t="n">
        <v>5</v>
      </c>
      <c r="W1267" s="90" t="n">
        <f aca="false">IFERROR(O1267/V1267,0)</f>
        <v>993.6</v>
      </c>
      <c r="X1267" s="91" t="n">
        <f aca="false">O1267/L1267</f>
        <v>0.967666536813401</v>
      </c>
      <c r="Y1267" s="92" t="str">
        <f aca="false">IFERROR(VLOOKUP(E:E,'Item Data Support Sheet'!A:J,6,0),0)</f>
        <v>FO003</v>
      </c>
      <c r="Z1267" s="93" t="n">
        <f aca="false">IFERROR(VLOOKUP(E:E,'Item Data Support Sheet'!A:O,4,0),0)</f>
        <v>0</v>
      </c>
      <c r="AA1267" s="93" t="n">
        <f aca="false">IFERROR(((N1267)*(Z1267/1000))+P1267,0)</f>
        <v>0</v>
      </c>
      <c r="AB1267" s="94" t="str">
        <f aca="false">IFERROR((O1267*(Z1267/1000)/(AA1267))," ")</f>
        <v> </v>
      </c>
      <c r="AC1267" s="95" t="n">
        <f aca="false">IFERROR((T1267)/((T1267)+O1267),0)</f>
        <v>0.00798722044728434</v>
      </c>
      <c r="AD1267" s="96" t="n">
        <f aca="false">IFERROR(Q1267/(Q1267+N1267),0)</f>
        <v>0</v>
      </c>
      <c r="AE1267" s="91" t="n">
        <f aca="false">(N1267-T1267)/N1267</f>
        <v>0.992012779552716</v>
      </c>
      <c r="AF1267" s="97" t="n">
        <f aca="false">BR1267</f>
        <v>0.666666666666667</v>
      </c>
      <c r="AG1267" s="98" t="n">
        <f aca="false">K1267-AF1267</f>
        <v>7.33333333333333</v>
      </c>
      <c r="AH1267" s="99" t="n">
        <f aca="false">IFERROR(AG1267/K1267," ")</f>
        <v>0.916666666666667</v>
      </c>
      <c r="AI1267" s="100" t="n">
        <f aca="false">IFERROR(O1267/K1267,0)</f>
        <v>621</v>
      </c>
      <c r="AJ1267" s="101" t="n">
        <f aca="false">VLOOKUP(D1267,'Standard Cycle time'!C:D,2,0)</f>
        <v>32.4</v>
      </c>
      <c r="AK1267" s="101" t="n">
        <f aca="false">AG1267*V1267*3600/O1267</f>
        <v>26.5700483091787</v>
      </c>
      <c r="AL1267" s="102" t="n">
        <f aca="false">AJ1267/AK1267</f>
        <v>1.21941818181818</v>
      </c>
      <c r="AM1267" s="99" t="n">
        <f aca="false">AE1267*AL1267*AH1267</f>
        <v>1.10887188498403</v>
      </c>
      <c r="AN1267" s="103" t="n">
        <v>1.10887188498403</v>
      </c>
      <c r="AO1267" s="112"/>
      <c r="AP1267" s="105" t="n">
        <v>40</v>
      </c>
      <c r="AQ1267" s="105" t="n">
        <v>0</v>
      </c>
      <c r="AR1267" s="105" t="n">
        <v>0</v>
      </c>
      <c r="AS1267" s="105" t="n">
        <v>0</v>
      </c>
      <c r="AT1267" s="105" t="n">
        <v>0</v>
      </c>
      <c r="AU1267" s="105" t="n">
        <v>0</v>
      </c>
      <c r="AV1267" s="105" t="n">
        <v>0</v>
      </c>
      <c r="AW1267" s="105" t="n">
        <v>0</v>
      </c>
      <c r="AX1267" s="105" t="n">
        <v>0</v>
      </c>
      <c r="AY1267" s="105" t="n">
        <v>0</v>
      </c>
      <c r="AZ1267" s="105" t="n">
        <v>0</v>
      </c>
      <c r="BA1267" s="105" t="n">
        <v>0</v>
      </c>
      <c r="BB1267" s="105" t="n">
        <v>0</v>
      </c>
      <c r="BC1267" s="105" t="n">
        <v>0</v>
      </c>
      <c r="BD1267" s="105" t="n">
        <v>0</v>
      </c>
      <c r="BE1267" s="105" t="n">
        <v>0</v>
      </c>
      <c r="BF1267" s="105" t="n">
        <v>0</v>
      </c>
      <c r="BG1267" s="105" t="n">
        <v>0</v>
      </c>
      <c r="BH1267" s="105" t="n">
        <v>0</v>
      </c>
      <c r="BI1267" s="105" t="n">
        <v>0</v>
      </c>
      <c r="BJ1267" s="105" t="n">
        <v>0</v>
      </c>
      <c r="BK1267" s="105" t="n">
        <v>0</v>
      </c>
      <c r="BL1267" s="105" t="n">
        <v>0</v>
      </c>
      <c r="BM1267" s="105" t="n">
        <v>0</v>
      </c>
      <c r="BN1267" s="105" t="n">
        <v>0</v>
      </c>
      <c r="BO1267" s="105" t="n">
        <v>0</v>
      </c>
      <c r="BP1267" s="105" t="n">
        <v>0</v>
      </c>
      <c r="BQ1267" s="105" t="n">
        <v>0</v>
      </c>
      <c r="BR1267" s="106" t="n">
        <v>0.666666666666667</v>
      </c>
      <c r="BS1267" s="106" t="n">
        <v>0.666666666666667</v>
      </c>
      <c r="BT1267" s="107"/>
      <c r="BU1267" s="107"/>
      <c r="BV1267" s="107"/>
      <c r="BW1267" s="107"/>
      <c r="BX1267" s="107"/>
      <c r="BY1267" s="107"/>
      <c r="BZ1267" s="107"/>
      <c r="CA1267" s="107"/>
      <c r="CB1267" s="107"/>
      <c r="CC1267" s="107"/>
      <c r="CD1267" s="107"/>
      <c r="CE1267" s="107"/>
      <c r="CF1267" s="107"/>
      <c r="CG1267" s="107"/>
      <c r="CH1267" s="107"/>
      <c r="CI1267" s="107"/>
      <c r="CJ1267" s="107"/>
      <c r="CK1267" s="107"/>
      <c r="CL1267" s="107"/>
      <c r="CM1267" s="107"/>
      <c r="CN1267" s="107"/>
      <c r="CO1267" s="107"/>
      <c r="CP1267" s="107"/>
      <c r="CQ1267" s="107"/>
      <c r="CR1267" s="107"/>
      <c r="CS1267" s="107"/>
      <c r="CT1267" s="107"/>
      <c r="CU1267" s="107"/>
      <c r="CV1267" s="107"/>
    </row>
    <row r="1268" customFormat="false" ht="14.9" hidden="false" customHeight="false" outlineLevel="0" collapsed="false">
      <c r="A1268" s="74" t="n">
        <f aca="false">MONTH(B1268)</f>
        <v>11</v>
      </c>
      <c r="B1268" s="135" t="n">
        <v>44517</v>
      </c>
      <c r="C1268" s="128" t="s">
        <v>63</v>
      </c>
      <c r="D1268" s="77" t="str">
        <f aca="false">IFERROR(VLOOKUP(E:E,'Item Data Support Sheet'!A:O,7,0),"")</f>
        <v>NIPPLE PUNCH INSPECTED</v>
      </c>
      <c r="E1268" s="80" t="s">
        <v>688</v>
      </c>
      <c r="F1268" s="122"/>
      <c r="G1268" s="137"/>
      <c r="H1268" s="79" t="str">
        <f aca="false">IFERROR(VLOOKUP(E:E,'Item Data Support Sheet'!A:O,2,0),"")</f>
        <v>NIPPLE S TYPE L SIZE PUNCHED INSPECTED</v>
      </c>
      <c r="I1268" s="80" t="s">
        <v>2068</v>
      </c>
      <c r="J1268" s="80" t="s">
        <v>155</v>
      </c>
      <c r="K1268" s="124" t="n">
        <v>8</v>
      </c>
      <c r="L1268" s="124" t="n">
        <v>14000</v>
      </c>
      <c r="M1268" s="83" t="n">
        <v>1750</v>
      </c>
      <c r="N1268" s="84" t="n">
        <f aca="false">+O1268+Q1268+T1268+U1268</f>
        <v>13300</v>
      </c>
      <c r="O1268" s="85" t="n">
        <v>13270</v>
      </c>
      <c r="P1268" s="86" t="n">
        <v>0</v>
      </c>
      <c r="Q1268" s="86" t="n">
        <v>0</v>
      </c>
      <c r="R1268" s="132" t="n">
        <v>0</v>
      </c>
      <c r="S1268" s="128" t="n">
        <v>0</v>
      </c>
      <c r="T1268" s="132" t="n">
        <v>30</v>
      </c>
      <c r="U1268" s="128" t="n">
        <v>0</v>
      </c>
      <c r="V1268" s="128" t="n">
        <v>1</v>
      </c>
      <c r="W1268" s="90" t="n">
        <f aca="false">IFERROR(O1268/V1268,0)</f>
        <v>13270</v>
      </c>
      <c r="X1268" s="91" t="n">
        <f aca="false">O1268/L1268</f>
        <v>0.947857142857143</v>
      </c>
      <c r="Y1268" s="92" t="str">
        <f aca="false">IFERROR(VLOOKUP(E:E,'Item Data Support Sheet'!A:J,6,0),0)</f>
        <v>FO106</v>
      </c>
      <c r="Z1268" s="93" t="n">
        <f aca="false">IFERROR(VLOOKUP(E:E,'Item Data Support Sheet'!A:O,4,0),0)</f>
        <v>0</v>
      </c>
      <c r="AA1268" s="93" t="n">
        <f aca="false">IFERROR(((N1268)*(Z1268/1000))+P1268,0)</f>
        <v>0</v>
      </c>
      <c r="AB1268" s="94" t="str">
        <f aca="false">IFERROR((O1268*(Z1268/1000)/(AA1268))," ")</f>
        <v> </v>
      </c>
      <c r="AC1268" s="95" t="n">
        <f aca="false">IFERROR((T1268)/((T1268)+O1268),0)</f>
        <v>0.00225563909774436</v>
      </c>
      <c r="AD1268" s="96" t="n">
        <f aca="false">IFERROR(Q1268/(Q1268+N1268),0)</f>
        <v>0</v>
      </c>
      <c r="AE1268" s="91" t="n">
        <f aca="false">(N1268-T1268)/N1268</f>
        <v>0.997744360902256</v>
      </c>
      <c r="AF1268" s="97" t="n">
        <f aca="false">BR1268</f>
        <v>0.833333333333333</v>
      </c>
      <c r="AG1268" s="98" t="n">
        <f aca="false">K1268-AF1268</f>
        <v>7.16666666666667</v>
      </c>
      <c r="AH1268" s="99" t="n">
        <f aca="false">IFERROR(AG1268/K1268," ")</f>
        <v>0.895833333333333</v>
      </c>
      <c r="AI1268" s="100" t="n">
        <f aca="false">IFERROR(O1268/K1268,0)</f>
        <v>1658.75</v>
      </c>
      <c r="AJ1268" s="101" t="n">
        <f aca="false">VLOOKUP(D1268,'Standard Cycle time'!C:D,2,0)</f>
        <v>4</v>
      </c>
      <c r="AK1268" s="101" t="n">
        <f aca="false">AG1268*V1268*3600/O1268</f>
        <v>1.94423511680482</v>
      </c>
      <c r="AL1268" s="102" t="n">
        <f aca="false">AJ1268/AK1268</f>
        <v>2.05736434108527</v>
      </c>
      <c r="AM1268" s="99" t="n">
        <f aca="false">AE1268*AL1268*AH1268</f>
        <v>1.83889828738513</v>
      </c>
      <c r="AN1268" s="103" t="n">
        <v>1.83889828738513</v>
      </c>
      <c r="AO1268" s="112"/>
      <c r="AP1268" s="105" t="n">
        <v>50</v>
      </c>
      <c r="AQ1268" s="105" t="n">
        <v>0</v>
      </c>
      <c r="AR1268" s="105" t="n">
        <v>0</v>
      </c>
      <c r="AS1268" s="105" t="n">
        <v>0</v>
      </c>
      <c r="AT1268" s="105" t="n">
        <v>0</v>
      </c>
      <c r="AU1268" s="105" t="n">
        <v>0</v>
      </c>
      <c r="AV1268" s="105" t="n">
        <v>0</v>
      </c>
      <c r="AW1268" s="105" t="n">
        <v>0</v>
      </c>
      <c r="AX1268" s="105" t="n">
        <v>0</v>
      </c>
      <c r="AY1268" s="105" t="n">
        <v>0</v>
      </c>
      <c r="AZ1268" s="105" t="n">
        <v>0</v>
      </c>
      <c r="BA1268" s="105" t="n">
        <v>0</v>
      </c>
      <c r="BB1268" s="105" t="n">
        <v>0</v>
      </c>
      <c r="BC1268" s="105" t="n">
        <v>0</v>
      </c>
      <c r="BD1268" s="105" t="n">
        <v>0</v>
      </c>
      <c r="BE1268" s="105" t="n">
        <v>0</v>
      </c>
      <c r="BF1268" s="105" t="n">
        <v>0</v>
      </c>
      <c r="BG1268" s="105" t="n">
        <v>0</v>
      </c>
      <c r="BH1268" s="105" t="n">
        <v>0</v>
      </c>
      <c r="BI1268" s="105" t="n">
        <v>0</v>
      </c>
      <c r="BJ1268" s="105" t="n">
        <v>0</v>
      </c>
      <c r="BK1268" s="105" t="n">
        <v>0</v>
      </c>
      <c r="BL1268" s="105" t="n">
        <v>0</v>
      </c>
      <c r="BM1268" s="105" t="n">
        <v>0</v>
      </c>
      <c r="BN1268" s="105" t="n">
        <v>0</v>
      </c>
      <c r="BO1268" s="105" t="n">
        <v>0</v>
      </c>
      <c r="BP1268" s="105" t="n">
        <v>0</v>
      </c>
      <c r="BQ1268" s="105" t="n">
        <v>0</v>
      </c>
      <c r="BR1268" s="106" t="n">
        <v>0.833333333333333</v>
      </c>
      <c r="BS1268" s="106" t="n">
        <v>0.833333333333333</v>
      </c>
      <c r="BT1268" s="107"/>
      <c r="BU1268" s="107"/>
      <c r="BV1268" s="107"/>
      <c r="BW1268" s="107"/>
      <c r="BX1268" s="107"/>
      <c r="BY1268" s="107"/>
      <c r="BZ1268" s="107"/>
      <c r="CA1268" s="107"/>
      <c r="CB1268" s="107"/>
      <c r="CC1268" s="107"/>
      <c r="CD1268" s="107"/>
      <c r="CE1268" s="107"/>
      <c r="CF1268" s="107"/>
      <c r="CG1268" s="107"/>
      <c r="CH1268" s="107"/>
      <c r="CI1268" s="107"/>
      <c r="CJ1268" s="107"/>
      <c r="CK1268" s="107"/>
      <c r="CL1268" s="107"/>
      <c r="CM1268" s="107"/>
      <c r="CN1268" s="107"/>
      <c r="CO1268" s="107"/>
      <c r="CP1268" s="107"/>
      <c r="CQ1268" s="107"/>
      <c r="CR1268" s="107"/>
      <c r="CS1268" s="107"/>
      <c r="CT1268" s="107"/>
      <c r="CU1268" s="107"/>
      <c r="CV1268" s="107"/>
    </row>
    <row r="1269" customFormat="false" ht="14.9" hidden="false" customHeight="false" outlineLevel="0" collapsed="false">
      <c r="A1269" s="74" t="n">
        <f aca="false">MONTH(B1269)</f>
        <v>11</v>
      </c>
      <c r="B1269" s="135" t="n">
        <v>44517</v>
      </c>
      <c r="C1269" s="128" t="s">
        <v>63</v>
      </c>
      <c r="D1269" s="77" t="str">
        <f aca="false">IFERROR(VLOOKUP(E:E,'Item Data Support Sheet'!A:O,7,0),"")</f>
        <v>NIPPLE WRAP PRINTED</v>
      </c>
      <c r="E1269" s="80" t="s">
        <v>474</v>
      </c>
      <c r="F1269" s="122"/>
      <c r="G1269" s="137" t="s">
        <v>432</v>
      </c>
      <c r="H1269" s="79" t="str">
        <f aca="false">IFERROR(VLOOKUP(E:E,'Item Data Support Sheet'!A:O,2,0),"")</f>
        <v>NIPPLE S TYPE L SIZE WITH PRINTED WRAP</v>
      </c>
      <c r="I1269" s="80" t="s">
        <v>2049</v>
      </c>
      <c r="J1269" s="80" t="s">
        <v>155</v>
      </c>
      <c r="K1269" s="124" t="n">
        <v>8</v>
      </c>
      <c r="L1269" s="124" t="n">
        <v>16171</v>
      </c>
      <c r="M1269" s="83" t="n">
        <v>2021.375</v>
      </c>
      <c r="N1269" s="84" t="n">
        <f aca="false">+O1269+Q1269+T1269+U1269</f>
        <v>16270</v>
      </c>
      <c r="O1269" s="85" t="n">
        <v>16269</v>
      </c>
      <c r="P1269" s="86" t="n">
        <v>0</v>
      </c>
      <c r="Q1269" s="86" t="n">
        <v>0</v>
      </c>
      <c r="R1269" s="132" t="n">
        <v>0</v>
      </c>
      <c r="S1269" s="128" t="n">
        <v>0</v>
      </c>
      <c r="T1269" s="132" t="n">
        <v>1</v>
      </c>
      <c r="U1269" s="128" t="n">
        <v>0</v>
      </c>
      <c r="V1269" s="128" t="n">
        <v>2</v>
      </c>
      <c r="W1269" s="90" t="n">
        <f aca="false">IFERROR(O1269/V1269,0)</f>
        <v>8134.5</v>
      </c>
      <c r="X1269" s="91" t="n">
        <f aca="false">O1269/L1269</f>
        <v>1.00606023127821</v>
      </c>
      <c r="Y1269" s="92" t="str">
        <f aca="false">IFERROR(VLOOKUP(E:E,'Item Data Support Sheet'!A:J,6,0),0)</f>
        <v>FO021</v>
      </c>
      <c r="Z1269" s="93" t="n">
        <f aca="false">IFERROR(VLOOKUP(E:E,'Item Data Support Sheet'!A:O,4,0),0)</f>
        <v>0</v>
      </c>
      <c r="AA1269" s="93" t="n">
        <f aca="false">IFERROR(((N1269)*(Z1269/1000))+P1269,0)</f>
        <v>0</v>
      </c>
      <c r="AB1269" s="94" t="str">
        <f aca="false">IFERROR((O1269*(Z1269/1000)/(AA1269))," ")</f>
        <v> </v>
      </c>
      <c r="AC1269" s="95" t="n">
        <f aca="false">IFERROR((T1269)/((T1269)+O1269),0)</f>
        <v>6.14628149969268E-005</v>
      </c>
      <c r="AD1269" s="96" t="n">
        <f aca="false">IFERROR(Q1269/(Q1269+N1269),0)</f>
        <v>0</v>
      </c>
      <c r="AE1269" s="91" t="n">
        <f aca="false">(N1269-T1269)/N1269</f>
        <v>0.999938537185003</v>
      </c>
      <c r="AF1269" s="97" t="n">
        <f aca="false">BR1269</f>
        <v>0.833333333333333</v>
      </c>
      <c r="AG1269" s="98" t="n">
        <f aca="false">K1269-AF1269</f>
        <v>7.16666666666667</v>
      </c>
      <c r="AH1269" s="99" t="n">
        <f aca="false">IFERROR(AG1269/K1269," ")</f>
        <v>0.895833333333333</v>
      </c>
      <c r="AI1269" s="100" t="n">
        <f aca="false">IFERROR(O1269/K1269,0)</f>
        <v>2033.625</v>
      </c>
      <c r="AJ1269" s="101" t="n">
        <f aca="false">VLOOKUP(D1269,'Standard Cycle time'!C:D,2,0)</f>
        <v>2.5</v>
      </c>
      <c r="AK1269" s="101" t="n">
        <f aca="false">AG1269*V1269*3600/O1269</f>
        <v>3.17167619398857</v>
      </c>
      <c r="AL1269" s="102" t="n">
        <f aca="false">AJ1269/AK1269</f>
        <v>0.788226744186047</v>
      </c>
      <c r="AM1269" s="99" t="n">
        <f aca="false">AE1269*AL1269*AH1269</f>
        <v>0.706076391556546</v>
      </c>
      <c r="AN1269" s="103" t="n">
        <v>0.706076391556546</v>
      </c>
      <c r="AO1269" s="112"/>
      <c r="AP1269" s="105" t="n">
        <v>50</v>
      </c>
      <c r="AQ1269" s="105" t="n">
        <v>0</v>
      </c>
      <c r="AR1269" s="105" t="n">
        <v>0</v>
      </c>
      <c r="AS1269" s="105" t="n">
        <v>0</v>
      </c>
      <c r="AT1269" s="105" t="n">
        <v>0</v>
      </c>
      <c r="AU1269" s="105" t="n">
        <v>0</v>
      </c>
      <c r="AV1269" s="105" t="n">
        <v>0</v>
      </c>
      <c r="AW1269" s="105" t="n">
        <v>0</v>
      </c>
      <c r="AX1269" s="105" t="n">
        <v>0</v>
      </c>
      <c r="AY1269" s="105" t="n">
        <v>0</v>
      </c>
      <c r="AZ1269" s="105" t="n">
        <v>0</v>
      </c>
      <c r="BA1269" s="105" t="n">
        <v>0</v>
      </c>
      <c r="BB1269" s="105" t="n">
        <v>0</v>
      </c>
      <c r="BC1269" s="105" t="n">
        <v>0</v>
      </c>
      <c r="BD1269" s="105" t="n">
        <v>0</v>
      </c>
      <c r="BE1269" s="105" t="n">
        <v>0</v>
      </c>
      <c r="BF1269" s="105" t="n">
        <v>0</v>
      </c>
      <c r="BG1269" s="105" t="n">
        <v>0</v>
      </c>
      <c r="BH1269" s="105" t="n">
        <v>0</v>
      </c>
      <c r="BI1269" s="105" t="n">
        <v>0</v>
      </c>
      <c r="BJ1269" s="105" t="n">
        <v>0</v>
      </c>
      <c r="BK1269" s="105" t="n">
        <v>0</v>
      </c>
      <c r="BL1269" s="105" t="n">
        <v>0</v>
      </c>
      <c r="BM1269" s="105" t="n">
        <v>0</v>
      </c>
      <c r="BN1269" s="105" t="n">
        <v>0</v>
      </c>
      <c r="BO1269" s="105" t="n">
        <v>0</v>
      </c>
      <c r="BP1269" s="105" t="n">
        <v>0</v>
      </c>
      <c r="BQ1269" s="105" t="n">
        <v>0</v>
      </c>
      <c r="BR1269" s="106" t="n">
        <v>0.833333333333333</v>
      </c>
      <c r="BS1269" s="106" t="n">
        <v>0.833333333333333</v>
      </c>
      <c r="BT1269" s="107"/>
      <c r="BU1269" s="107"/>
      <c r="BV1269" s="107"/>
      <c r="BW1269" s="107"/>
      <c r="BX1269" s="107"/>
      <c r="BY1269" s="107"/>
      <c r="BZ1269" s="107"/>
      <c r="CA1269" s="107"/>
      <c r="CB1269" s="107"/>
      <c r="CC1269" s="107"/>
      <c r="CD1269" s="107"/>
      <c r="CE1269" s="107"/>
      <c r="CF1269" s="107"/>
      <c r="CG1269" s="107"/>
      <c r="CH1269" s="107"/>
      <c r="CI1269" s="107"/>
      <c r="CJ1269" s="107"/>
      <c r="CK1269" s="107"/>
      <c r="CL1269" s="107"/>
      <c r="CM1269" s="107"/>
      <c r="CN1269" s="107"/>
      <c r="CO1269" s="107"/>
      <c r="CP1269" s="107"/>
      <c r="CQ1269" s="107"/>
      <c r="CR1269" s="107"/>
      <c r="CS1269" s="107"/>
      <c r="CT1269" s="107"/>
      <c r="CU1269" s="107"/>
      <c r="CV1269" s="107"/>
    </row>
    <row r="1270" customFormat="false" ht="14.9" hidden="false" customHeight="false" outlineLevel="0" collapsed="false">
      <c r="A1270" s="74" t="n">
        <f aca="false">MONTH(B1270)</f>
        <v>11</v>
      </c>
      <c r="B1270" s="135" t="n">
        <v>44517</v>
      </c>
      <c r="C1270" s="128" t="s">
        <v>70</v>
      </c>
      <c r="D1270" s="77" t="str">
        <f aca="false">IFERROR(VLOOKUP(E:E,'Item Data Support Sheet'!A:O,7,0),"")</f>
        <v>NIPPLE MOLDED</v>
      </c>
      <c r="E1270" s="80" t="s">
        <v>661</v>
      </c>
      <c r="F1270" s="122" t="s">
        <v>137</v>
      </c>
      <c r="G1270" s="137" t="s">
        <v>138</v>
      </c>
      <c r="H1270" s="79" t="str">
        <f aca="false">IFERROR(VLOOKUP(E:E,'Item Data Support Sheet'!A:O,2,0),"")</f>
        <v>NIPPLE S TYPE L SIZE INJECTION</v>
      </c>
      <c r="I1270" s="80" t="s">
        <v>2069</v>
      </c>
      <c r="J1270" s="80" t="s">
        <v>155</v>
      </c>
      <c r="K1270" s="124" t="n">
        <v>8</v>
      </c>
      <c r="L1270" s="124" t="n">
        <v>4845</v>
      </c>
      <c r="M1270" s="83" t="n">
        <v>605.625</v>
      </c>
      <c r="N1270" s="84" t="n">
        <f aca="false">+O1270+Q1270+T1270+U1270</f>
        <v>5400</v>
      </c>
      <c r="O1270" s="85" t="n">
        <v>5300</v>
      </c>
      <c r="P1270" s="86" t="n">
        <v>0</v>
      </c>
      <c r="Q1270" s="86" t="n">
        <v>40</v>
      </c>
      <c r="R1270" s="132" t="n">
        <v>0</v>
      </c>
      <c r="S1270" s="128" t="n">
        <v>0</v>
      </c>
      <c r="T1270" s="132" t="n">
        <v>60</v>
      </c>
      <c r="U1270" s="128" t="n">
        <v>0</v>
      </c>
      <c r="V1270" s="128" t="n">
        <v>1</v>
      </c>
      <c r="W1270" s="90" t="n">
        <f aca="false">IFERROR(O1270/V1270,0)</f>
        <v>5300</v>
      </c>
      <c r="X1270" s="91" t="n">
        <f aca="false">O1270/L1270</f>
        <v>1.09391124871001</v>
      </c>
      <c r="Y1270" s="92" t="str">
        <f aca="false">IFERROR(VLOOKUP(E:E,'Item Data Support Sheet'!A:J,6,0),0)</f>
        <v>Silicon</v>
      </c>
      <c r="Z1270" s="93" t="n">
        <f aca="false">IFERROR(VLOOKUP(E:E,'Item Data Support Sheet'!A:O,4,0),0)</f>
        <v>6.8</v>
      </c>
      <c r="AA1270" s="93" t="n">
        <f aca="false">IFERROR(((N1270)*(Z1270/1000))+P1270,0)</f>
        <v>36.72</v>
      </c>
      <c r="AB1270" s="94" t="n">
        <f aca="false">IFERROR((O1270*(Z1270/1000)/(AA1270))," ")</f>
        <v>0.981481481481482</v>
      </c>
      <c r="AC1270" s="95" t="n">
        <f aca="false">IFERROR((T1270)/((T1270)+O1270),0)</f>
        <v>0.0111940298507463</v>
      </c>
      <c r="AD1270" s="96" t="n">
        <f aca="false">IFERROR(Q1270/(Q1270+N1270),0)</f>
        <v>0.00735294117647059</v>
      </c>
      <c r="AE1270" s="91" t="n">
        <f aca="false">(N1270-T1270)/N1270</f>
        <v>0.988888888888889</v>
      </c>
      <c r="AF1270" s="97" t="n">
        <f aca="false">BR1270</f>
        <v>0</v>
      </c>
      <c r="AG1270" s="98" t="n">
        <f aca="false">K1270-AF1270</f>
        <v>8</v>
      </c>
      <c r="AH1270" s="99" t="n">
        <f aca="false">IFERROR(AG1270/K1270," ")</f>
        <v>1</v>
      </c>
      <c r="AI1270" s="100" t="n">
        <f aca="false">IFERROR(O1270/K1270,0)</f>
        <v>662.5</v>
      </c>
      <c r="AJ1270" s="101" t="n">
        <f aca="false">VLOOKUP(D1270,'Standard Cycle time'!C:D,2,0)</f>
        <v>5.25</v>
      </c>
      <c r="AK1270" s="101" t="n">
        <f aca="false">AG1270*V1270*3600/O1270</f>
        <v>5.43396226415094</v>
      </c>
      <c r="AL1270" s="102" t="n">
        <f aca="false">AJ1270/AK1270</f>
        <v>0.966145833333333</v>
      </c>
      <c r="AM1270" s="99" t="n">
        <f aca="false">AE1270*AL1270*AH1270</f>
        <v>0.95541087962963</v>
      </c>
      <c r="AN1270" s="103" t="n">
        <v>0.95541087962963</v>
      </c>
      <c r="AO1270" s="112"/>
      <c r="AP1270" s="105" t="n">
        <v>0</v>
      </c>
      <c r="AQ1270" s="105" t="n">
        <v>0</v>
      </c>
      <c r="AR1270" s="105" t="n">
        <v>0</v>
      </c>
      <c r="AS1270" s="105" t="n">
        <v>0</v>
      </c>
      <c r="AT1270" s="105" t="n">
        <v>0</v>
      </c>
      <c r="AU1270" s="105" t="n">
        <v>0</v>
      </c>
      <c r="AV1270" s="105" t="n">
        <v>0</v>
      </c>
      <c r="AW1270" s="105" t="n">
        <v>0</v>
      </c>
      <c r="AX1270" s="105" t="n">
        <v>0</v>
      </c>
      <c r="AY1270" s="105" t="n">
        <v>0</v>
      </c>
      <c r="AZ1270" s="105" t="n">
        <v>0</v>
      </c>
      <c r="BA1270" s="105" t="n">
        <v>0</v>
      </c>
      <c r="BB1270" s="105" t="n">
        <v>0</v>
      </c>
      <c r="BC1270" s="105" t="n">
        <v>0</v>
      </c>
      <c r="BD1270" s="105" t="n">
        <v>0</v>
      </c>
      <c r="BE1270" s="105" t="n">
        <v>0</v>
      </c>
      <c r="BF1270" s="105" t="n">
        <v>0</v>
      </c>
      <c r="BG1270" s="105" t="n">
        <v>0</v>
      </c>
      <c r="BH1270" s="105" t="n">
        <v>0</v>
      </c>
      <c r="BI1270" s="105" t="n">
        <v>0</v>
      </c>
      <c r="BJ1270" s="105" t="n">
        <v>0</v>
      </c>
      <c r="BK1270" s="105" t="n">
        <v>0</v>
      </c>
      <c r="BL1270" s="105" t="n">
        <v>0</v>
      </c>
      <c r="BM1270" s="105" t="n">
        <v>0</v>
      </c>
      <c r="BN1270" s="105" t="n">
        <v>0</v>
      </c>
      <c r="BO1270" s="105" t="n">
        <v>0</v>
      </c>
      <c r="BP1270" s="105" t="n">
        <v>0</v>
      </c>
      <c r="BQ1270" s="105" t="n">
        <v>0</v>
      </c>
      <c r="BR1270" s="106" t="n">
        <v>0</v>
      </c>
      <c r="BS1270" s="106" t="n">
        <v>0</v>
      </c>
      <c r="BT1270" s="107"/>
      <c r="BU1270" s="107"/>
      <c r="BV1270" s="107"/>
      <c r="BW1270" s="107"/>
      <c r="BX1270" s="107"/>
      <c r="BY1270" s="107"/>
      <c r="BZ1270" s="107"/>
      <c r="CA1270" s="107"/>
      <c r="CB1270" s="107"/>
      <c r="CC1270" s="107"/>
      <c r="CD1270" s="107"/>
      <c r="CE1270" s="107"/>
      <c r="CF1270" s="107"/>
      <c r="CG1270" s="107"/>
      <c r="CH1270" s="107"/>
      <c r="CI1270" s="107"/>
      <c r="CJ1270" s="107"/>
      <c r="CK1270" s="107"/>
      <c r="CL1270" s="107"/>
      <c r="CM1270" s="107"/>
      <c r="CN1270" s="107"/>
      <c r="CO1270" s="107"/>
      <c r="CP1270" s="107"/>
      <c r="CQ1270" s="107"/>
      <c r="CR1270" s="107"/>
      <c r="CS1270" s="107"/>
      <c r="CT1270" s="107"/>
      <c r="CU1270" s="107"/>
      <c r="CV1270" s="107"/>
    </row>
    <row r="1271" customFormat="false" ht="14.9" hidden="false" customHeight="false" outlineLevel="0" collapsed="false">
      <c r="A1271" s="74" t="n">
        <f aca="false">MONTH(B1271)</f>
        <v>11</v>
      </c>
      <c r="B1271" s="135" t="n">
        <v>44517</v>
      </c>
      <c r="C1271" s="128" t="s">
        <v>70</v>
      </c>
      <c r="D1271" s="77" t="str">
        <f aca="false">IFERROR(VLOOKUP(E:E,'Item Data Support Sheet'!A:O,7,0),"")</f>
        <v>HOOD MOLDED</v>
      </c>
      <c r="E1271" s="80" t="s">
        <v>529</v>
      </c>
      <c r="F1271" s="122"/>
      <c r="G1271" s="137" t="s">
        <v>740</v>
      </c>
      <c r="H1271" s="79" t="str">
        <f aca="false">IFERROR(VLOOKUP(E:E,'Item Data Support Sheet'!A:O,2,0),"")</f>
        <v>HOOD S TYPE MOLDED</v>
      </c>
      <c r="I1271" s="80" t="s">
        <v>2070</v>
      </c>
      <c r="J1271" s="80" t="s">
        <v>155</v>
      </c>
      <c r="K1271" s="124" t="n">
        <v>8</v>
      </c>
      <c r="L1271" s="124" t="n">
        <v>4137</v>
      </c>
      <c r="M1271" s="83" t="n">
        <v>517.125</v>
      </c>
      <c r="N1271" s="84" t="n">
        <f aca="false">+O1271+Q1271+T1271+U1271</f>
        <v>4220</v>
      </c>
      <c r="O1271" s="85" t="n">
        <v>4200</v>
      </c>
      <c r="P1271" s="86" t="n">
        <v>0</v>
      </c>
      <c r="Q1271" s="86" t="n">
        <v>8</v>
      </c>
      <c r="R1271" s="132" t="n">
        <v>0</v>
      </c>
      <c r="S1271" s="128" t="n">
        <v>0</v>
      </c>
      <c r="T1271" s="132" t="n">
        <v>12</v>
      </c>
      <c r="U1271" s="128" t="n">
        <v>0</v>
      </c>
      <c r="V1271" s="128" t="n">
        <v>1</v>
      </c>
      <c r="W1271" s="90" t="n">
        <f aca="false">IFERROR(O1271/V1271,0)</f>
        <v>4200</v>
      </c>
      <c r="X1271" s="91" t="n">
        <f aca="false">O1271/L1271</f>
        <v>1.01522842639594</v>
      </c>
      <c r="Y1271" s="92" t="str">
        <f aca="false">IFERROR(VLOOKUP(E:E,'Item Data Support Sheet'!A:J,6,0),0)</f>
        <v>HMC</v>
      </c>
      <c r="Z1271" s="93" t="n">
        <f aca="false">IFERROR(VLOOKUP(E:E,'Item Data Support Sheet'!A:O,4,0),0)</f>
        <v>8.6</v>
      </c>
      <c r="AA1271" s="93" t="n">
        <f aca="false">IFERROR(((N1271)*(Z1271/1000))+P1271,0)</f>
        <v>36.292</v>
      </c>
      <c r="AB1271" s="94" t="n">
        <f aca="false">IFERROR((O1271*(Z1271/1000)/(AA1271))," ")</f>
        <v>0.995260663507109</v>
      </c>
      <c r="AC1271" s="95" t="n">
        <f aca="false">IFERROR((T1271)/((T1271)+O1271),0)</f>
        <v>0.00284900284900285</v>
      </c>
      <c r="AD1271" s="96" t="n">
        <f aca="false">IFERROR(Q1271/(Q1271+N1271),0)</f>
        <v>0.00189214758751183</v>
      </c>
      <c r="AE1271" s="91" t="n">
        <f aca="false">(N1271-T1271)/N1271</f>
        <v>0.997156398104265</v>
      </c>
      <c r="AF1271" s="97" t="n">
        <f aca="false">BR1271</f>
        <v>0</v>
      </c>
      <c r="AG1271" s="98" t="n">
        <f aca="false">K1271-AF1271</f>
        <v>8</v>
      </c>
      <c r="AH1271" s="99" t="n">
        <f aca="false">IFERROR(AG1271/K1271," ")</f>
        <v>1</v>
      </c>
      <c r="AI1271" s="100" t="n">
        <f aca="false">IFERROR(O1271/K1271,0)</f>
        <v>525</v>
      </c>
      <c r="AJ1271" s="101" t="n">
        <f aca="false">VLOOKUP(D1271,'Standard Cycle time'!C:D,2,0)</f>
        <v>6</v>
      </c>
      <c r="AK1271" s="101" t="n">
        <f aca="false">AG1271*V1271*3600/O1271</f>
        <v>6.85714285714286</v>
      </c>
      <c r="AL1271" s="102" t="n">
        <f aca="false">AJ1271/AK1271</f>
        <v>0.875</v>
      </c>
      <c r="AM1271" s="99" t="n">
        <f aca="false">AE1271*AL1271*AH1271</f>
        <v>0.872511848341232</v>
      </c>
      <c r="AN1271" s="103" t="n">
        <v>0.872511848341232</v>
      </c>
      <c r="AO1271" s="112"/>
      <c r="AP1271" s="105" t="n">
        <v>0</v>
      </c>
      <c r="AQ1271" s="105" t="n">
        <v>0</v>
      </c>
      <c r="AR1271" s="105" t="n">
        <v>0</v>
      </c>
      <c r="AS1271" s="105" t="n">
        <v>0</v>
      </c>
      <c r="AT1271" s="105" t="n">
        <v>0</v>
      </c>
      <c r="AU1271" s="105" t="n">
        <v>0</v>
      </c>
      <c r="AV1271" s="105" t="n">
        <v>0</v>
      </c>
      <c r="AW1271" s="105" t="n">
        <v>0</v>
      </c>
      <c r="AX1271" s="105" t="n">
        <v>0</v>
      </c>
      <c r="AY1271" s="105" t="n">
        <v>0</v>
      </c>
      <c r="AZ1271" s="105" t="n">
        <v>0</v>
      </c>
      <c r="BA1271" s="105" t="n">
        <v>0</v>
      </c>
      <c r="BB1271" s="105" t="n">
        <v>0</v>
      </c>
      <c r="BC1271" s="105" t="n">
        <v>0</v>
      </c>
      <c r="BD1271" s="105" t="n">
        <v>0</v>
      </c>
      <c r="BE1271" s="105" t="n">
        <v>0</v>
      </c>
      <c r="BF1271" s="105" t="n">
        <v>0</v>
      </c>
      <c r="BG1271" s="105" t="n">
        <v>0</v>
      </c>
      <c r="BH1271" s="105" t="n">
        <v>0</v>
      </c>
      <c r="BI1271" s="105" t="n">
        <v>0</v>
      </c>
      <c r="BJ1271" s="105" t="n">
        <v>0</v>
      </c>
      <c r="BK1271" s="105" t="n">
        <v>0</v>
      </c>
      <c r="BL1271" s="105" t="n">
        <v>0</v>
      </c>
      <c r="BM1271" s="105" t="n">
        <v>0</v>
      </c>
      <c r="BN1271" s="105" t="n">
        <v>0</v>
      </c>
      <c r="BO1271" s="105" t="n">
        <v>0</v>
      </c>
      <c r="BP1271" s="105" t="n">
        <v>0</v>
      </c>
      <c r="BQ1271" s="105" t="n">
        <v>0</v>
      </c>
      <c r="BR1271" s="106" t="n">
        <v>0</v>
      </c>
      <c r="BS1271" s="106" t="n">
        <v>0</v>
      </c>
      <c r="BT1271" s="107"/>
      <c r="BU1271" s="107"/>
      <c r="BV1271" s="107"/>
      <c r="BW1271" s="107"/>
      <c r="BX1271" s="107"/>
      <c r="BY1271" s="107"/>
      <c r="BZ1271" s="107"/>
      <c r="CA1271" s="107"/>
      <c r="CB1271" s="107"/>
      <c r="CC1271" s="107"/>
      <c r="CD1271" s="107"/>
      <c r="CE1271" s="107"/>
      <c r="CF1271" s="107"/>
      <c r="CG1271" s="107"/>
      <c r="CH1271" s="107"/>
      <c r="CI1271" s="107"/>
      <c r="CJ1271" s="107"/>
      <c r="CK1271" s="107"/>
      <c r="CL1271" s="107"/>
      <c r="CM1271" s="107"/>
      <c r="CN1271" s="107"/>
      <c r="CO1271" s="107"/>
      <c r="CP1271" s="107"/>
      <c r="CQ1271" s="107"/>
      <c r="CR1271" s="107"/>
      <c r="CS1271" s="107"/>
      <c r="CT1271" s="107"/>
      <c r="CU1271" s="107"/>
      <c r="CV1271" s="107"/>
    </row>
    <row r="1272" customFormat="false" ht="14.9" hidden="false" customHeight="false" outlineLevel="0" collapsed="false">
      <c r="A1272" s="74" t="n">
        <f aca="false">MONTH(B1272)</f>
        <v>11</v>
      </c>
      <c r="B1272" s="135" t="n">
        <v>44517</v>
      </c>
      <c r="C1272" s="128" t="s">
        <v>70</v>
      </c>
      <c r="D1272" s="77" t="str">
        <f aca="false">IFERROR(VLOOKUP(E:E,'Item Data Support Sheet'!A:O,7,0),"")</f>
        <v>BOTTLE MOLDED</v>
      </c>
      <c r="E1272" s="80" t="s">
        <v>78</v>
      </c>
      <c r="F1272" s="122" t="s">
        <v>79</v>
      </c>
      <c r="G1272" s="137" t="s">
        <v>80</v>
      </c>
      <c r="H1272" s="79" t="str">
        <f aca="false">IFERROR(VLOOKUP(E:E,'Item Data Support Sheet'!A:O,2,0),"")</f>
        <v>RPP 120 ML BOTTLE MOLDED</v>
      </c>
      <c r="I1272" s="80" t="s">
        <v>2071</v>
      </c>
      <c r="J1272" s="80" t="s">
        <v>155</v>
      </c>
      <c r="K1272" s="124" t="n">
        <v>8</v>
      </c>
      <c r="L1272" s="124" t="n">
        <v>2574</v>
      </c>
      <c r="M1272" s="83" t="n">
        <v>321.75</v>
      </c>
      <c r="N1272" s="84" t="n">
        <f aca="false">+O1272+Q1272+T1272+U1272</f>
        <v>2161</v>
      </c>
      <c r="O1272" s="85" t="n">
        <v>1980</v>
      </c>
      <c r="P1272" s="86" t="n">
        <v>0.2</v>
      </c>
      <c r="Q1272" s="86" t="n">
        <v>101</v>
      </c>
      <c r="R1272" s="132" t="n">
        <v>0</v>
      </c>
      <c r="S1272" s="128" t="n">
        <v>0</v>
      </c>
      <c r="T1272" s="132" t="n">
        <v>80</v>
      </c>
      <c r="U1272" s="128" t="n">
        <v>0</v>
      </c>
      <c r="V1272" s="128" t="n">
        <v>1</v>
      </c>
      <c r="W1272" s="90" t="n">
        <f aca="false">IFERROR(O1272/V1272,0)</f>
        <v>1980</v>
      </c>
      <c r="X1272" s="91" t="n">
        <f aca="false">O1272/L1272</f>
        <v>0.769230769230769</v>
      </c>
      <c r="Y1272" s="92" t="str">
        <f aca="false">IFERROR(VLOOKUP(E:E,'Item Data Support Sheet'!A:J,6,0),0)</f>
        <v>HMC</v>
      </c>
      <c r="Z1272" s="93" t="n">
        <f aca="false">IFERROR(VLOOKUP(E:E,'Item Data Support Sheet'!A:O,4,0),0)</f>
        <v>21.3</v>
      </c>
      <c r="AA1272" s="93" t="n">
        <f aca="false">IFERROR(((N1272)*(Z1272/1000))+P1272,0)</f>
        <v>46.2293</v>
      </c>
      <c r="AB1272" s="94" t="n">
        <f aca="false">IFERROR((O1272*(Z1272/1000)/(AA1272))," ")</f>
        <v>0.912278576573731</v>
      </c>
      <c r="AC1272" s="95" t="n">
        <f aca="false">IFERROR((T1272)/((T1272)+O1272),0)</f>
        <v>0.0388349514563107</v>
      </c>
      <c r="AD1272" s="96" t="n">
        <f aca="false">IFERROR(Q1272/(Q1272+N1272),0)</f>
        <v>0.0446507515473033</v>
      </c>
      <c r="AE1272" s="91" t="n">
        <f aca="false">(N1272-T1272)/N1272</f>
        <v>0.96298010180472</v>
      </c>
      <c r="AF1272" s="97" t="n">
        <f aca="false">BR1272</f>
        <v>0</v>
      </c>
      <c r="AG1272" s="98" t="n">
        <f aca="false">K1272-AF1272</f>
        <v>8</v>
      </c>
      <c r="AH1272" s="99" t="n">
        <f aca="false">IFERROR(AG1272/K1272," ")</f>
        <v>1</v>
      </c>
      <c r="AI1272" s="100" t="n">
        <f aca="false">IFERROR(O1272/K1272,0)</f>
        <v>247.5</v>
      </c>
      <c r="AJ1272" s="101" t="n">
        <f aca="false">VLOOKUP(D1272,'Standard Cycle time'!C:D,2,0)</f>
        <v>9</v>
      </c>
      <c r="AK1272" s="101" t="n">
        <f aca="false">AG1272*V1272*3600/O1272</f>
        <v>14.5454545454545</v>
      </c>
      <c r="AL1272" s="102" t="n">
        <f aca="false">AJ1272/AK1272</f>
        <v>0.61875</v>
      </c>
      <c r="AM1272" s="99" t="n">
        <f aca="false">AE1272*AL1272*AH1272</f>
        <v>0.595843937991671</v>
      </c>
      <c r="AN1272" s="103" t="n">
        <v>0.595843937991671</v>
      </c>
      <c r="AO1272" s="112"/>
      <c r="AP1272" s="105" t="n">
        <v>0</v>
      </c>
      <c r="AQ1272" s="105" t="n">
        <v>0</v>
      </c>
      <c r="AR1272" s="105" t="n">
        <v>0</v>
      </c>
      <c r="AS1272" s="105" t="n">
        <v>0</v>
      </c>
      <c r="AT1272" s="105" t="n">
        <v>0</v>
      </c>
      <c r="AU1272" s="105" t="n">
        <v>0</v>
      </c>
      <c r="AV1272" s="105" t="n">
        <v>0</v>
      </c>
      <c r="AW1272" s="105" t="n">
        <v>0</v>
      </c>
      <c r="AX1272" s="105" t="n">
        <v>0</v>
      </c>
      <c r="AY1272" s="105" t="n">
        <v>0</v>
      </c>
      <c r="AZ1272" s="105" t="n">
        <v>0</v>
      </c>
      <c r="BA1272" s="105" t="n">
        <v>0</v>
      </c>
      <c r="BB1272" s="105" t="n">
        <v>0</v>
      </c>
      <c r="BC1272" s="105" t="n">
        <v>0</v>
      </c>
      <c r="BD1272" s="105" t="n">
        <v>0</v>
      </c>
      <c r="BE1272" s="105" t="n">
        <v>0</v>
      </c>
      <c r="BF1272" s="105" t="n">
        <v>0</v>
      </c>
      <c r="BG1272" s="105" t="n">
        <v>0</v>
      </c>
      <c r="BH1272" s="105" t="n">
        <v>0</v>
      </c>
      <c r="BI1272" s="105" t="n">
        <v>0</v>
      </c>
      <c r="BJ1272" s="105" t="n">
        <v>0</v>
      </c>
      <c r="BK1272" s="105" t="n">
        <v>0</v>
      </c>
      <c r="BL1272" s="105" t="n">
        <v>0</v>
      </c>
      <c r="BM1272" s="105" t="n">
        <v>0</v>
      </c>
      <c r="BN1272" s="105" t="n">
        <v>0</v>
      </c>
      <c r="BO1272" s="105" t="n">
        <v>0</v>
      </c>
      <c r="BP1272" s="105" t="n">
        <v>0</v>
      </c>
      <c r="BQ1272" s="105" t="n">
        <v>0</v>
      </c>
      <c r="BR1272" s="106" t="n">
        <v>0</v>
      </c>
      <c r="BS1272" s="106" t="n">
        <v>0</v>
      </c>
      <c r="BT1272" s="107"/>
      <c r="BU1272" s="107"/>
      <c r="BV1272" s="107"/>
      <c r="BW1272" s="107"/>
      <c r="BX1272" s="107"/>
      <c r="BY1272" s="107"/>
      <c r="BZ1272" s="107"/>
      <c r="CA1272" s="107"/>
      <c r="CB1272" s="107"/>
      <c r="CC1272" s="107"/>
      <c r="CD1272" s="107"/>
      <c r="CE1272" s="107"/>
      <c r="CF1272" s="107"/>
      <c r="CG1272" s="107"/>
      <c r="CH1272" s="107"/>
      <c r="CI1272" s="107"/>
      <c r="CJ1272" s="107"/>
      <c r="CK1272" s="107"/>
      <c r="CL1272" s="107"/>
      <c r="CM1272" s="107"/>
      <c r="CN1272" s="107"/>
      <c r="CO1272" s="107"/>
      <c r="CP1272" s="107"/>
      <c r="CQ1272" s="107"/>
      <c r="CR1272" s="107"/>
      <c r="CS1272" s="107"/>
      <c r="CT1272" s="107"/>
      <c r="CU1272" s="107"/>
      <c r="CV1272" s="107"/>
    </row>
    <row r="1273" customFormat="false" ht="14.9" hidden="false" customHeight="false" outlineLevel="0" collapsed="false">
      <c r="A1273" s="74" t="n">
        <f aca="false">MONTH(B1273)</f>
        <v>11</v>
      </c>
      <c r="B1273" s="135" t="n">
        <v>44517</v>
      </c>
      <c r="C1273" s="128" t="s">
        <v>70</v>
      </c>
      <c r="D1273" s="77" t="str">
        <f aca="false">IFERROR(VLOOKUP(E:E,'Item Data Support Sheet'!A:O,7,0),"")</f>
        <v>NIPPLE PUNCH</v>
      </c>
      <c r="E1273" s="80" t="s">
        <v>666</v>
      </c>
      <c r="F1273" s="122"/>
      <c r="G1273" s="137" t="s">
        <v>54</v>
      </c>
      <c r="H1273" s="79" t="str">
        <f aca="false">IFERROR(VLOOKUP(E:E,'Item Data Support Sheet'!A:O,2,0),"")</f>
        <v>NIPPLE S TYPE L SIZE PUNCHED</v>
      </c>
      <c r="I1273" s="80" t="s">
        <v>2072</v>
      </c>
      <c r="J1273" s="80" t="s">
        <v>155</v>
      </c>
      <c r="K1273" s="124" t="n">
        <v>8</v>
      </c>
      <c r="L1273" s="124" t="n">
        <v>7000</v>
      </c>
      <c r="M1273" s="83" t="n">
        <v>875</v>
      </c>
      <c r="N1273" s="84" t="n">
        <f aca="false">+O1273+Q1273+T1273+U1273</f>
        <v>7000</v>
      </c>
      <c r="O1273" s="85" t="n">
        <v>7000</v>
      </c>
      <c r="P1273" s="86" t="n">
        <v>0</v>
      </c>
      <c r="Q1273" s="86" t="n">
        <v>0</v>
      </c>
      <c r="R1273" s="132" t="n">
        <v>0</v>
      </c>
      <c r="S1273" s="128" t="n">
        <v>0</v>
      </c>
      <c r="T1273" s="132" t="n">
        <v>0</v>
      </c>
      <c r="U1273" s="128" t="n">
        <v>0</v>
      </c>
      <c r="V1273" s="128" t="n">
        <v>1</v>
      </c>
      <c r="W1273" s="90" t="n">
        <f aca="false">IFERROR(O1273/V1273,0)</f>
        <v>7000</v>
      </c>
      <c r="X1273" s="91" t="n">
        <f aca="false">O1273/L1273</f>
        <v>1</v>
      </c>
      <c r="Y1273" s="92" t="str">
        <f aca="false">IFERROR(VLOOKUP(E:E,'Item Data Support Sheet'!A:J,6,0),0)</f>
        <v>FO017</v>
      </c>
      <c r="Z1273" s="93" t="n">
        <f aca="false">IFERROR(VLOOKUP(E:E,'Item Data Support Sheet'!A:O,4,0),0)</f>
        <v>0</v>
      </c>
      <c r="AA1273" s="93" t="n">
        <f aca="false">IFERROR(((N1273)*(Z1273/1000))+P1273,0)</f>
        <v>0</v>
      </c>
      <c r="AB1273" s="94" t="str">
        <f aca="false">IFERROR((O1273*(Z1273/1000)/(AA1273))," ")</f>
        <v> </v>
      </c>
      <c r="AC1273" s="95" t="n">
        <f aca="false">IFERROR((T1273)/((T1273)+O1273),0)</f>
        <v>0</v>
      </c>
      <c r="AD1273" s="96" t="n">
        <f aca="false">IFERROR(Q1273/(Q1273+N1273),0)</f>
        <v>0</v>
      </c>
      <c r="AE1273" s="91" t="n">
        <f aca="false">(N1273-T1273)/N1273</f>
        <v>1</v>
      </c>
      <c r="AF1273" s="97" t="n">
        <f aca="false">BR1273</f>
        <v>0.666666666666667</v>
      </c>
      <c r="AG1273" s="98" t="n">
        <f aca="false">K1273-AF1273</f>
        <v>7.33333333333333</v>
      </c>
      <c r="AH1273" s="99" t="n">
        <f aca="false">IFERROR(AG1273/K1273," ")</f>
        <v>0.916666666666667</v>
      </c>
      <c r="AI1273" s="100" t="n">
        <f aca="false">IFERROR(O1273/K1273,0)</f>
        <v>875</v>
      </c>
      <c r="AJ1273" s="101" t="n">
        <f aca="false">VLOOKUP(D1273,'Standard Cycle time'!C:D,2,0)</f>
        <v>3.5</v>
      </c>
      <c r="AK1273" s="101" t="n">
        <f aca="false">AG1273*V1273*3600/O1273</f>
        <v>3.77142857142857</v>
      </c>
      <c r="AL1273" s="102" t="n">
        <f aca="false">AJ1273/AK1273</f>
        <v>0.928030303030303</v>
      </c>
      <c r="AM1273" s="99" t="n">
        <f aca="false">AE1273*AL1273*AH1273</f>
        <v>0.850694444444444</v>
      </c>
      <c r="AN1273" s="103" t="n">
        <v>0.850694444444444</v>
      </c>
      <c r="AO1273" s="112"/>
      <c r="AP1273" s="105" t="n">
        <v>40</v>
      </c>
      <c r="AQ1273" s="105" t="n">
        <v>0</v>
      </c>
      <c r="AR1273" s="105" t="n">
        <v>0</v>
      </c>
      <c r="AS1273" s="105" t="n">
        <v>0</v>
      </c>
      <c r="AT1273" s="105" t="n">
        <v>0</v>
      </c>
      <c r="AU1273" s="105" t="n">
        <v>0</v>
      </c>
      <c r="AV1273" s="105" t="n">
        <v>0</v>
      </c>
      <c r="AW1273" s="105" t="n">
        <v>0</v>
      </c>
      <c r="AX1273" s="105" t="n">
        <v>0</v>
      </c>
      <c r="AY1273" s="105" t="n">
        <v>0</v>
      </c>
      <c r="AZ1273" s="105" t="n">
        <v>0</v>
      </c>
      <c r="BA1273" s="105" t="n">
        <v>0</v>
      </c>
      <c r="BB1273" s="105" t="n">
        <v>0</v>
      </c>
      <c r="BC1273" s="105" t="n">
        <v>0</v>
      </c>
      <c r="BD1273" s="105" t="n">
        <v>0</v>
      </c>
      <c r="BE1273" s="105" t="n">
        <v>0</v>
      </c>
      <c r="BF1273" s="105" t="n">
        <v>0</v>
      </c>
      <c r="BG1273" s="105" t="n">
        <v>0</v>
      </c>
      <c r="BH1273" s="105" t="n">
        <v>0</v>
      </c>
      <c r="BI1273" s="105" t="n">
        <v>0</v>
      </c>
      <c r="BJ1273" s="105" t="n">
        <v>0</v>
      </c>
      <c r="BK1273" s="105" t="n">
        <v>0</v>
      </c>
      <c r="BL1273" s="105" t="n">
        <v>0</v>
      </c>
      <c r="BM1273" s="105" t="n">
        <v>0</v>
      </c>
      <c r="BN1273" s="105" t="n">
        <v>0</v>
      </c>
      <c r="BO1273" s="105" t="n">
        <v>0</v>
      </c>
      <c r="BP1273" s="105" t="n">
        <v>0</v>
      </c>
      <c r="BQ1273" s="105" t="n">
        <v>0</v>
      </c>
      <c r="BR1273" s="106" t="n">
        <v>0.666666666666667</v>
      </c>
      <c r="BS1273" s="106" t="n">
        <v>0.666666666666667</v>
      </c>
      <c r="BT1273" s="107"/>
      <c r="BU1273" s="107"/>
      <c r="BV1273" s="107"/>
      <c r="BW1273" s="107"/>
      <c r="BX1273" s="107"/>
      <c r="BY1273" s="107"/>
      <c r="BZ1273" s="107"/>
      <c r="CA1273" s="107"/>
      <c r="CB1273" s="107"/>
      <c r="CC1273" s="107"/>
      <c r="CD1273" s="107"/>
      <c r="CE1273" s="107"/>
      <c r="CF1273" s="107"/>
      <c r="CG1273" s="107"/>
      <c r="CH1273" s="107"/>
      <c r="CI1273" s="107"/>
      <c r="CJ1273" s="107"/>
      <c r="CK1273" s="107"/>
      <c r="CL1273" s="107"/>
      <c r="CM1273" s="107"/>
      <c r="CN1273" s="107"/>
      <c r="CO1273" s="107"/>
      <c r="CP1273" s="107"/>
      <c r="CQ1273" s="107"/>
      <c r="CR1273" s="107"/>
      <c r="CS1273" s="107"/>
      <c r="CT1273" s="107"/>
      <c r="CU1273" s="107"/>
      <c r="CV1273" s="107"/>
    </row>
    <row r="1274" customFormat="false" ht="14.9" hidden="false" customHeight="false" outlineLevel="0" collapsed="false">
      <c r="A1274" s="74" t="n">
        <f aca="false">MONTH(B1274)</f>
        <v>11</v>
      </c>
      <c r="B1274" s="135" t="n">
        <v>44517</v>
      </c>
      <c r="C1274" s="128" t="s">
        <v>70</v>
      </c>
      <c r="D1274" s="77" t="str">
        <f aca="false">IFERROR(VLOOKUP(E:E,'Item Data Support Sheet'!A:O,7,0),"")</f>
        <v>NIPPLE LASER MARKING</v>
      </c>
      <c r="E1274" s="80" t="s">
        <v>681</v>
      </c>
      <c r="F1274" s="122"/>
      <c r="G1274" s="137" t="s">
        <v>517</v>
      </c>
      <c r="H1274" s="79" t="str">
        <f aca="false">IFERROR(VLOOKUP(E:E,'Item Data Support Sheet'!A:O,2,0),"")</f>
        <v>NIPPLE S TYPE L SIZE PUNCHED LASER MARKED</v>
      </c>
      <c r="I1274" s="80" t="s">
        <v>2064</v>
      </c>
      <c r="J1274" s="80" t="s">
        <v>155</v>
      </c>
      <c r="K1274" s="124" t="n">
        <v>8</v>
      </c>
      <c r="L1274" s="124" t="n">
        <v>7000</v>
      </c>
      <c r="M1274" s="83" t="n">
        <v>875</v>
      </c>
      <c r="N1274" s="84" t="n">
        <f aca="false">+O1274+Q1274+T1274+U1274</f>
        <v>7000</v>
      </c>
      <c r="O1274" s="85" t="n">
        <v>7000</v>
      </c>
      <c r="P1274" s="86" t="n">
        <v>0</v>
      </c>
      <c r="Q1274" s="86" t="n">
        <v>0</v>
      </c>
      <c r="R1274" s="132" t="n">
        <v>0</v>
      </c>
      <c r="S1274" s="128" t="n">
        <v>0</v>
      </c>
      <c r="T1274" s="132" t="n">
        <v>0</v>
      </c>
      <c r="U1274" s="128" t="n">
        <v>0</v>
      </c>
      <c r="V1274" s="128" t="n">
        <v>1</v>
      </c>
      <c r="W1274" s="90" t="n">
        <f aca="false">IFERROR(O1274/V1274,0)</f>
        <v>7000</v>
      </c>
      <c r="X1274" s="91" t="n">
        <f aca="false">O1274/L1274</f>
        <v>1</v>
      </c>
      <c r="Y1274" s="92" t="str">
        <f aca="false">IFERROR(VLOOKUP(E:E,'Item Data Support Sheet'!A:J,6,0),0)</f>
        <v>FO021</v>
      </c>
      <c r="Z1274" s="93" t="n">
        <f aca="false">IFERROR(VLOOKUP(E:E,'Item Data Support Sheet'!A:O,4,0),0)</f>
        <v>0</v>
      </c>
      <c r="AA1274" s="93" t="n">
        <f aca="false">IFERROR(((N1274)*(Z1274/1000))+P1274,0)</f>
        <v>0</v>
      </c>
      <c r="AB1274" s="94" t="str">
        <f aca="false">IFERROR((O1274*(Z1274/1000)/(AA1274))," ")</f>
        <v> </v>
      </c>
      <c r="AC1274" s="95" t="n">
        <f aca="false">IFERROR((T1274)/((T1274)+O1274),0)</f>
        <v>0</v>
      </c>
      <c r="AD1274" s="96" t="n">
        <f aca="false">IFERROR(Q1274/(Q1274+N1274),0)</f>
        <v>0</v>
      </c>
      <c r="AE1274" s="91" t="n">
        <f aca="false">(N1274-T1274)/N1274</f>
        <v>1</v>
      </c>
      <c r="AF1274" s="97" t="n">
        <f aca="false">BR1274</f>
        <v>0.666666666666667</v>
      </c>
      <c r="AG1274" s="98" t="n">
        <f aca="false">K1274-AF1274</f>
        <v>7.33333333333333</v>
      </c>
      <c r="AH1274" s="99" t="n">
        <f aca="false">IFERROR(AG1274/K1274," ")</f>
        <v>0.916666666666667</v>
      </c>
      <c r="AI1274" s="100" t="n">
        <f aca="false">IFERROR(O1274/K1274,0)</f>
        <v>875</v>
      </c>
      <c r="AJ1274" s="101" t="n">
        <f aca="false">VLOOKUP(D1274,'Standard Cycle time'!C:D,2,0)</f>
        <v>3.5</v>
      </c>
      <c r="AK1274" s="101" t="n">
        <f aca="false">AG1274*V1274*3600/O1274</f>
        <v>3.77142857142857</v>
      </c>
      <c r="AL1274" s="102" t="n">
        <f aca="false">AJ1274/AK1274</f>
        <v>0.928030303030303</v>
      </c>
      <c r="AM1274" s="99" t="n">
        <f aca="false">AE1274*AL1274*AH1274</f>
        <v>0.850694444444444</v>
      </c>
      <c r="AN1274" s="103" t="n">
        <v>0.850694444444444</v>
      </c>
      <c r="AO1274" s="112"/>
      <c r="AP1274" s="105" t="n">
        <v>40</v>
      </c>
      <c r="AQ1274" s="105" t="n">
        <v>0</v>
      </c>
      <c r="AR1274" s="105" t="n">
        <v>0</v>
      </c>
      <c r="AS1274" s="105" t="n">
        <v>0</v>
      </c>
      <c r="AT1274" s="105" t="n">
        <v>0</v>
      </c>
      <c r="AU1274" s="105" t="n">
        <v>0</v>
      </c>
      <c r="AV1274" s="105" t="n">
        <v>0</v>
      </c>
      <c r="AW1274" s="105" t="n">
        <v>0</v>
      </c>
      <c r="AX1274" s="105" t="n">
        <v>0</v>
      </c>
      <c r="AY1274" s="105" t="n">
        <v>0</v>
      </c>
      <c r="AZ1274" s="105" t="n">
        <v>0</v>
      </c>
      <c r="BA1274" s="105" t="n">
        <v>0</v>
      </c>
      <c r="BB1274" s="105" t="n">
        <v>0</v>
      </c>
      <c r="BC1274" s="105" t="n">
        <v>0</v>
      </c>
      <c r="BD1274" s="105" t="n">
        <v>0</v>
      </c>
      <c r="BE1274" s="105" t="n">
        <v>0</v>
      </c>
      <c r="BF1274" s="105" t="n">
        <v>0</v>
      </c>
      <c r="BG1274" s="105" t="n">
        <v>0</v>
      </c>
      <c r="BH1274" s="105" t="n">
        <v>0</v>
      </c>
      <c r="BI1274" s="105" t="n">
        <v>0</v>
      </c>
      <c r="BJ1274" s="105" t="n">
        <v>0</v>
      </c>
      <c r="BK1274" s="105" t="n">
        <v>0</v>
      </c>
      <c r="BL1274" s="105" t="n">
        <v>0</v>
      </c>
      <c r="BM1274" s="105" t="n">
        <v>0</v>
      </c>
      <c r="BN1274" s="105" t="n">
        <v>0</v>
      </c>
      <c r="BO1274" s="105" t="n">
        <v>0</v>
      </c>
      <c r="BP1274" s="105" t="n">
        <v>0</v>
      </c>
      <c r="BQ1274" s="105" t="n">
        <v>0</v>
      </c>
      <c r="BR1274" s="106" t="n">
        <v>0.666666666666667</v>
      </c>
      <c r="BS1274" s="106" t="n">
        <v>0.666666666666667</v>
      </c>
      <c r="BT1274" s="107"/>
      <c r="BU1274" s="107"/>
      <c r="BV1274" s="107"/>
      <c r="BW1274" s="107"/>
      <c r="BX1274" s="107"/>
      <c r="BY1274" s="107"/>
      <c r="BZ1274" s="107"/>
      <c r="CA1274" s="107"/>
      <c r="CB1274" s="107"/>
      <c r="CC1274" s="107"/>
      <c r="CD1274" s="107"/>
      <c r="CE1274" s="107"/>
      <c r="CF1274" s="107"/>
      <c r="CG1274" s="107"/>
      <c r="CH1274" s="107"/>
      <c r="CI1274" s="107"/>
      <c r="CJ1274" s="107"/>
      <c r="CK1274" s="107"/>
      <c r="CL1274" s="107"/>
      <c r="CM1274" s="107"/>
      <c r="CN1274" s="107"/>
      <c r="CO1274" s="107"/>
      <c r="CP1274" s="107"/>
      <c r="CQ1274" s="107"/>
      <c r="CR1274" s="107"/>
      <c r="CS1274" s="107"/>
      <c r="CT1274" s="107"/>
      <c r="CU1274" s="107"/>
      <c r="CV1274" s="107"/>
    </row>
    <row r="1275" customFormat="false" ht="14.9" hidden="false" customHeight="false" outlineLevel="0" collapsed="false">
      <c r="A1275" s="74" t="n">
        <f aca="false">MONTH(B1275)</f>
        <v>11</v>
      </c>
      <c r="B1275" s="135" t="n">
        <v>44517</v>
      </c>
      <c r="C1275" s="128" t="s">
        <v>70</v>
      </c>
      <c r="D1275" s="77" t="str">
        <f aca="false">IFERROR(VLOOKUP(E:E,'Item Data Support Sheet'!A:O,7,0),"")</f>
        <v>BOTTLE PRINTED</v>
      </c>
      <c r="E1275" s="80" t="s">
        <v>65</v>
      </c>
      <c r="F1275" s="122"/>
      <c r="G1275" s="137"/>
      <c r="H1275" s="79" t="str">
        <f aca="false">IFERROR(VLOOKUP(E:E,'Item Data Support Sheet'!A:O,2,0),"")</f>
        <v>KPP 240 ML BOTTLE PRINTED</v>
      </c>
      <c r="I1275" s="80" t="s">
        <v>2073</v>
      </c>
      <c r="J1275" s="80" t="s">
        <v>155</v>
      </c>
      <c r="K1275" s="124" t="n">
        <v>8</v>
      </c>
      <c r="L1275" s="124" t="n">
        <v>5100</v>
      </c>
      <c r="M1275" s="83" t="n">
        <v>637.5</v>
      </c>
      <c r="N1275" s="84" t="n">
        <f aca="false">+O1275+Q1275+T1275+U1275</f>
        <v>5216</v>
      </c>
      <c r="O1275" s="85" t="n">
        <v>5184</v>
      </c>
      <c r="P1275" s="86" t="n">
        <v>0</v>
      </c>
      <c r="Q1275" s="86" t="n">
        <v>0</v>
      </c>
      <c r="R1275" s="132" t="n">
        <v>51</v>
      </c>
      <c r="S1275" s="128" t="n">
        <v>0</v>
      </c>
      <c r="T1275" s="132" t="n">
        <v>32</v>
      </c>
      <c r="U1275" s="128"/>
      <c r="V1275" s="128" t="n">
        <v>5</v>
      </c>
      <c r="W1275" s="90" t="n">
        <f aca="false">IFERROR(O1275/V1275,0)</f>
        <v>1036.8</v>
      </c>
      <c r="X1275" s="91" t="n">
        <f aca="false">O1275/L1275</f>
        <v>1.01647058823529</v>
      </c>
      <c r="Y1275" s="92" t="str">
        <f aca="false">IFERROR(VLOOKUP(E:E,'Item Data Support Sheet'!A:J,6,0),0)</f>
        <v>FO003</v>
      </c>
      <c r="Z1275" s="93" t="n">
        <f aca="false">IFERROR(VLOOKUP(E:E,'Item Data Support Sheet'!A:O,4,0),0)</f>
        <v>0</v>
      </c>
      <c r="AA1275" s="93" t="n">
        <f aca="false">IFERROR(((N1275)*(Z1275/1000))+P1275,0)</f>
        <v>0</v>
      </c>
      <c r="AB1275" s="94" t="str">
        <f aca="false">IFERROR((O1275*(Z1275/1000)/(AA1275))," ")</f>
        <v> </v>
      </c>
      <c r="AC1275" s="95" t="n">
        <f aca="false">IFERROR((T1275)/((T1275)+O1275),0)</f>
        <v>0.00613496932515337</v>
      </c>
      <c r="AD1275" s="96" t="n">
        <f aca="false">IFERROR(Q1275/(Q1275+N1275),0)</f>
        <v>0</v>
      </c>
      <c r="AE1275" s="91" t="n">
        <f aca="false">(N1275-T1275)/N1275</f>
        <v>0.993865030674847</v>
      </c>
      <c r="AF1275" s="97" t="n">
        <f aca="false">BR1275</f>
        <v>0.666666666666667</v>
      </c>
      <c r="AG1275" s="98" t="n">
        <f aca="false">K1275-AF1275</f>
        <v>7.33333333333333</v>
      </c>
      <c r="AH1275" s="99" t="n">
        <f aca="false">IFERROR(AG1275/K1275," ")</f>
        <v>0.916666666666667</v>
      </c>
      <c r="AI1275" s="100" t="n">
        <f aca="false">IFERROR(O1275/K1275,0)</f>
        <v>648</v>
      </c>
      <c r="AJ1275" s="101" t="n">
        <f aca="false">VLOOKUP(D1275,'Standard Cycle time'!C:D,2,0)</f>
        <v>32.4</v>
      </c>
      <c r="AK1275" s="101" t="n">
        <f aca="false">AG1275*V1275*3600/O1275</f>
        <v>25.462962962963</v>
      </c>
      <c r="AL1275" s="102" t="n">
        <f aca="false">AJ1275/AK1275</f>
        <v>1.27243636363636</v>
      </c>
      <c r="AM1275" s="99" t="n">
        <f aca="false">AE1275*AL1275*AH1275</f>
        <v>1.15924417177914</v>
      </c>
      <c r="AN1275" s="103" t="n">
        <v>1.15924417177914</v>
      </c>
      <c r="AO1275" s="112"/>
      <c r="AP1275" s="105" t="n">
        <v>40</v>
      </c>
      <c r="AQ1275" s="105" t="n">
        <v>0</v>
      </c>
      <c r="AR1275" s="105" t="n">
        <v>0</v>
      </c>
      <c r="AS1275" s="105" t="n">
        <v>0</v>
      </c>
      <c r="AT1275" s="105" t="n">
        <v>0</v>
      </c>
      <c r="AU1275" s="105" t="n">
        <v>0</v>
      </c>
      <c r="AV1275" s="105" t="n">
        <v>0</v>
      </c>
      <c r="AW1275" s="105" t="n">
        <v>0</v>
      </c>
      <c r="AX1275" s="105" t="n">
        <v>0</v>
      </c>
      <c r="AY1275" s="105" t="n">
        <v>0</v>
      </c>
      <c r="AZ1275" s="105" t="n">
        <v>0</v>
      </c>
      <c r="BA1275" s="105" t="n">
        <v>0</v>
      </c>
      <c r="BB1275" s="105" t="n">
        <v>0</v>
      </c>
      <c r="BC1275" s="105" t="n">
        <v>0</v>
      </c>
      <c r="BD1275" s="105" t="n">
        <v>0</v>
      </c>
      <c r="BE1275" s="105" t="n">
        <v>0</v>
      </c>
      <c r="BF1275" s="105" t="n">
        <v>0</v>
      </c>
      <c r="BG1275" s="105" t="n">
        <v>0</v>
      </c>
      <c r="BH1275" s="105" t="n">
        <v>0</v>
      </c>
      <c r="BI1275" s="105" t="n">
        <v>0</v>
      </c>
      <c r="BJ1275" s="105" t="n">
        <v>0</v>
      </c>
      <c r="BK1275" s="105" t="n">
        <v>0</v>
      </c>
      <c r="BL1275" s="105" t="n">
        <v>0</v>
      </c>
      <c r="BM1275" s="105" t="n">
        <v>0</v>
      </c>
      <c r="BN1275" s="105" t="n">
        <v>0</v>
      </c>
      <c r="BO1275" s="105" t="n">
        <v>0</v>
      </c>
      <c r="BP1275" s="105" t="n">
        <v>0</v>
      </c>
      <c r="BQ1275" s="105" t="n">
        <v>0</v>
      </c>
      <c r="BR1275" s="106" t="n">
        <v>0.666666666666667</v>
      </c>
      <c r="BS1275" s="106" t="n">
        <v>0.666666666666667</v>
      </c>
      <c r="BT1275" s="107"/>
      <c r="BU1275" s="107"/>
      <c r="BV1275" s="107"/>
      <c r="BW1275" s="107"/>
      <c r="BX1275" s="107"/>
      <c r="BY1275" s="107"/>
      <c r="BZ1275" s="107"/>
      <c r="CA1275" s="107"/>
      <c r="CB1275" s="107"/>
      <c r="CC1275" s="107"/>
      <c r="CD1275" s="107"/>
      <c r="CE1275" s="107"/>
      <c r="CF1275" s="107"/>
      <c r="CG1275" s="107"/>
      <c r="CH1275" s="107"/>
      <c r="CI1275" s="107"/>
      <c r="CJ1275" s="107"/>
      <c r="CK1275" s="107"/>
      <c r="CL1275" s="107"/>
      <c r="CM1275" s="107"/>
      <c r="CN1275" s="107"/>
      <c r="CO1275" s="107"/>
      <c r="CP1275" s="107"/>
      <c r="CQ1275" s="107"/>
      <c r="CR1275" s="107"/>
      <c r="CS1275" s="107"/>
      <c r="CT1275" s="107"/>
      <c r="CU1275" s="107"/>
      <c r="CV1275" s="107"/>
    </row>
    <row r="1276" customFormat="false" ht="14.9" hidden="false" customHeight="false" outlineLevel="0" collapsed="false">
      <c r="A1276" s="74" t="n">
        <f aca="false">MONTH(B1276)</f>
        <v>11</v>
      </c>
      <c r="B1276" s="135" t="n">
        <v>44517</v>
      </c>
      <c r="C1276" s="128" t="s">
        <v>70</v>
      </c>
      <c r="D1276" s="77" t="str">
        <f aca="false">IFERROR(VLOOKUP(E:E,'Item Data Support Sheet'!A:O,7,0),"")</f>
        <v>NIPPLE MOLDED</v>
      </c>
      <c r="E1276" s="80" t="s">
        <v>136</v>
      </c>
      <c r="F1276" s="122" t="s">
        <v>1286</v>
      </c>
      <c r="G1276" s="137" t="s">
        <v>848</v>
      </c>
      <c r="H1276" s="79" t="str">
        <f aca="false">IFERROR(VLOOKUP(E:E,'Item Data Support Sheet'!A:O,2,0),"")</f>
        <v>NIPPLE S TYPE M SIZE INJECTION</v>
      </c>
      <c r="I1276" s="80" t="s">
        <v>2069</v>
      </c>
      <c r="J1276" s="80" t="s">
        <v>155</v>
      </c>
      <c r="K1276" s="124" t="n">
        <v>8</v>
      </c>
      <c r="L1276" s="124" t="n">
        <v>4815</v>
      </c>
      <c r="M1276" s="83" t="n">
        <v>601.875</v>
      </c>
      <c r="N1276" s="84" t="n">
        <f aca="false">+O1276+Q1276+T1276+U1276</f>
        <v>6442</v>
      </c>
      <c r="O1276" s="85" t="n">
        <v>6000</v>
      </c>
      <c r="P1276" s="86" t="n">
        <v>0</v>
      </c>
      <c r="Q1276" s="86" t="n">
        <v>282</v>
      </c>
      <c r="R1276" s="132" t="n">
        <v>0</v>
      </c>
      <c r="S1276" s="128" t="n">
        <v>0</v>
      </c>
      <c r="T1276" s="132" t="n">
        <v>142</v>
      </c>
      <c r="U1276" s="128" t="n">
        <v>18</v>
      </c>
      <c r="V1276" s="128" t="n">
        <v>1</v>
      </c>
      <c r="W1276" s="90" t="n">
        <f aca="false">IFERROR(O1276/V1276,0)</f>
        <v>6000</v>
      </c>
      <c r="X1276" s="91" t="n">
        <f aca="false">O1276/L1276</f>
        <v>1.24610591900312</v>
      </c>
      <c r="Y1276" s="92" t="str">
        <f aca="false">IFERROR(VLOOKUP(E:E,'Item Data Support Sheet'!A:J,6,0),0)</f>
        <v>Silicon</v>
      </c>
      <c r="Z1276" s="93" t="n">
        <f aca="false">IFERROR(VLOOKUP(E:E,'Item Data Support Sheet'!A:O,4,0),0)</f>
        <v>6.8</v>
      </c>
      <c r="AA1276" s="93" t="n">
        <f aca="false">IFERROR(((N1276)*(Z1276/1000))+P1276,0)</f>
        <v>43.8056</v>
      </c>
      <c r="AB1276" s="94" t="n">
        <f aca="false">IFERROR((O1276*(Z1276/1000)/(AA1276))," ")</f>
        <v>0.931387767773983</v>
      </c>
      <c r="AC1276" s="95" t="n">
        <f aca="false">IFERROR((T1276)/((T1276)+O1276),0)</f>
        <v>0.0231195050472159</v>
      </c>
      <c r="AD1276" s="96" t="n">
        <f aca="false">IFERROR(Q1276/(Q1276+N1276),0)</f>
        <v>0.0419393218322427</v>
      </c>
      <c r="AE1276" s="91" t="n">
        <f aca="false">(N1276-T1276)/N1276</f>
        <v>0.977957156162682</v>
      </c>
      <c r="AF1276" s="97" t="n">
        <f aca="false">BR1276</f>
        <v>0</v>
      </c>
      <c r="AG1276" s="98" t="n">
        <f aca="false">K1276-AF1276</f>
        <v>8</v>
      </c>
      <c r="AH1276" s="99" t="n">
        <f aca="false">IFERROR(AG1276/K1276," ")</f>
        <v>1</v>
      </c>
      <c r="AI1276" s="100" t="n">
        <f aca="false">IFERROR(O1276/K1276,0)</f>
        <v>750</v>
      </c>
      <c r="AJ1276" s="101" t="n">
        <f aca="false">VLOOKUP(D1276,'Standard Cycle time'!C:D,2,0)</f>
        <v>5.25</v>
      </c>
      <c r="AK1276" s="101" t="n">
        <f aca="false">AG1276*V1276*3600/O1276</f>
        <v>4.8</v>
      </c>
      <c r="AL1276" s="102" t="n">
        <f aca="false">AJ1276/AK1276</f>
        <v>1.09375</v>
      </c>
      <c r="AM1276" s="99" t="n">
        <f aca="false">AE1276*AL1276*AH1276</f>
        <v>1.06964063955293</v>
      </c>
      <c r="AN1276" s="103" t="n">
        <v>1.06964063955293</v>
      </c>
      <c r="AO1276" s="112" t="s">
        <v>2074</v>
      </c>
      <c r="AP1276" s="105"/>
      <c r="AQ1276" s="105"/>
      <c r="AR1276" s="105"/>
      <c r="AS1276" s="105"/>
      <c r="AT1276" s="105"/>
      <c r="AU1276" s="105"/>
      <c r="AV1276" s="105"/>
      <c r="AW1276" s="105"/>
      <c r="AX1276" s="105"/>
      <c r="AY1276" s="105"/>
      <c r="AZ1276" s="105"/>
      <c r="BA1276" s="105"/>
      <c r="BB1276" s="105"/>
      <c r="BC1276" s="105"/>
      <c r="BD1276" s="105"/>
      <c r="BE1276" s="105"/>
      <c r="BF1276" s="105"/>
      <c r="BG1276" s="105"/>
      <c r="BH1276" s="105"/>
      <c r="BI1276" s="105"/>
      <c r="BJ1276" s="105"/>
      <c r="BK1276" s="105"/>
      <c r="BL1276" s="105"/>
      <c r="BM1276" s="105"/>
      <c r="BN1276" s="105"/>
      <c r="BO1276" s="105"/>
      <c r="BP1276" s="105"/>
      <c r="BQ1276" s="105"/>
      <c r="BR1276" s="106"/>
      <c r="BS1276" s="106"/>
      <c r="BT1276" s="107"/>
      <c r="BU1276" s="107"/>
      <c r="BV1276" s="107"/>
      <c r="BW1276" s="107"/>
      <c r="BX1276" s="107"/>
      <c r="BY1276" s="107"/>
      <c r="BZ1276" s="107"/>
      <c r="CA1276" s="107"/>
      <c r="CB1276" s="107"/>
      <c r="CC1276" s="107"/>
      <c r="CD1276" s="107"/>
      <c r="CE1276" s="107"/>
      <c r="CF1276" s="107"/>
      <c r="CG1276" s="107"/>
      <c r="CH1276" s="107"/>
      <c r="CI1276" s="107"/>
      <c r="CJ1276" s="107"/>
      <c r="CK1276" s="107"/>
      <c r="CL1276" s="107"/>
      <c r="CM1276" s="107"/>
      <c r="CN1276" s="107"/>
      <c r="CO1276" s="107"/>
      <c r="CP1276" s="107"/>
      <c r="CQ1276" s="107"/>
      <c r="CR1276" s="107"/>
      <c r="CS1276" s="107"/>
      <c r="CT1276" s="107"/>
      <c r="CU1276" s="107"/>
      <c r="CV1276" s="107"/>
    </row>
    <row r="1277" customFormat="false" ht="14.9" hidden="false" customHeight="false" outlineLevel="0" collapsed="false">
      <c r="A1277" s="74" t="n">
        <f aca="false">MONTH(B1277)</f>
        <v>11</v>
      </c>
      <c r="B1277" s="135" t="n">
        <v>44517</v>
      </c>
      <c r="C1277" s="128" t="s">
        <v>152</v>
      </c>
      <c r="D1277" s="77" t="str">
        <f aca="false">IFERROR(VLOOKUP(E:E,'Item Data Support Sheet'!A:O,7,0),"")</f>
        <v>BOTTLE MOLDED</v>
      </c>
      <c r="E1277" s="80" t="s">
        <v>78</v>
      </c>
      <c r="F1277" s="122" t="s">
        <v>79</v>
      </c>
      <c r="G1277" s="137" t="s">
        <v>80</v>
      </c>
      <c r="H1277" s="79" t="str">
        <f aca="false">IFERROR(VLOOKUP(E:E,'Item Data Support Sheet'!A:O,2,0),"")</f>
        <v>RPP 120 ML BOTTLE MOLDED</v>
      </c>
      <c r="I1277" s="80" t="s">
        <v>2075</v>
      </c>
      <c r="J1277" s="80" t="s">
        <v>1913</v>
      </c>
      <c r="K1277" s="124" t="n">
        <v>8</v>
      </c>
      <c r="L1277" s="124" t="n">
        <v>2574</v>
      </c>
      <c r="M1277" s="83" t="n">
        <v>321.75</v>
      </c>
      <c r="N1277" s="84" t="n">
        <f aca="false">+O1277+Q1277+T1277+U1277</f>
        <v>3115</v>
      </c>
      <c r="O1277" s="85" t="n">
        <v>3060</v>
      </c>
      <c r="P1277" s="86" t="n">
        <v>0.2</v>
      </c>
      <c r="Q1277" s="86" t="n">
        <v>0</v>
      </c>
      <c r="R1277" s="132" t="n">
        <v>0</v>
      </c>
      <c r="S1277" s="128" t="n">
        <v>0</v>
      </c>
      <c r="T1277" s="132" t="n">
        <v>47</v>
      </c>
      <c r="U1277" s="128" t="n">
        <v>8</v>
      </c>
      <c r="V1277" s="128" t="n">
        <v>1</v>
      </c>
      <c r="W1277" s="90" t="n">
        <f aca="false">IFERROR(O1277/V1277,0)</f>
        <v>3060</v>
      </c>
      <c r="X1277" s="91" t="n">
        <f aca="false">O1277/L1277</f>
        <v>1.18881118881119</v>
      </c>
      <c r="Y1277" s="92" t="str">
        <f aca="false">IFERROR(VLOOKUP(E:E,'Item Data Support Sheet'!A:J,6,0),0)</f>
        <v>HMC</v>
      </c>
      <c r="Z1277" s="93" t="n">
        <f aca="false">IFERROR(VLOOKUP(E:E,'Item Data Support Sheet'!A:O,4,0),0)</f>
        <v>21.3</v>
      </c>
      <c r="AA1277" s="93" t="n">
        <f aca="false">IFERROR(((N1277)*(Z1277/1000))+P1277,0)</f>
        <v>66.5495</v>
      </c>
      <c r="AB1277" s="94" t="n">
        <f aca="false">IFERROR((O1277*(Z1277/1000)/(AA1277))," ")</f>
        <v>0.979391280174907</v>
      </c>
      <c r="AC1277" s="95" t="n">
        <f aca="false">IFERROR((T1277)/((T1277)+O1277),0)</f>
        <v>0.015127132281944</v>
      </c>
      <c r="AD1277" s="96" t="n">
        <f aca="false">IFERROR(Q1277/(Q1277+N1277),0)</f>
        <v>0</v>
      </c>
      <c r="AE1277" s="91" t="n">
        <f aca="false">(N1277-T1277)/N1277</f>
        <v>0.984911717495987</v>
      </c>
      <c r="AF1277" s="97" t="n">
        <f aca="false">BR1277</f>
        <v>0</v>
      </c>
      <c r="AG1277" s="98" t="n">
        <f aca="false">K1277-AF1277</f>
        <v>8</v>
      </c>
      <c r="AH1277" s="99" t="n">
        <f aca="false">IFERROR(AG1277/K1277," ")</f>
        <v>1</v>
      </c>
      <c r="AI1277" s="100" t="n">
        <f aca="false">IFERROR(O1277/K1277,0)</f>
        <v>382.5</v>
      </c>
      <c r="AJ1277" s="101" t="n">
        <f aca="false">VLOOKUP(D1277,'Standard Cycle time'!C:D,2,0)</f>
        <v>9</v>
      </c>
      <c r="AK1277" s="101" t="n">
        <f aca="false">AG1277*V1277*3600/O1277</f>
        <v>9.41176470588235</v>
      </c>
      <c r="AL1277" s="102" t="n">
        <f aca="false">AJ1277/AK1277</f>
        <v>0.95625</v>
      </c>
      <c r="AM1277" s="99" t="n">
        <f aca="false">AE1277*AL1277*AH1277</f>
        <v>0.941821829855538</v>
      </c>
      <c r="AN1277" s="103" t="n">
        <v>0.941821829855538</v>
      </c>
      <c r="AO1277" s="112"/>
      <c r="AP1277" s="105" t="n">
        <v>0</v>
      </c>
      <c r="AQ1277" s="105" t="n">
        <v>0</v>
      </c>
      <c r="AR1277" s="105" t="n">
        <v>0</v>
      </c>
      <c r="AS1277" s="105" t="n">
        <v>0</v>
      </c>
      <c r="AT1277" s="105" t="n">
        <v>0</v>
      </c>
      <c r="AU1277" s="105" t="n">
        <v>0</v>
      </c>
      <c r="AV1277" s="105" t="n">
        <v>0</v>
      </c>
      <c r="AW1277" s="105" t="n">
        <v>0</v>
      </c>
      <c r="AX1277" s="105" t="n">
        <v>0</v>
      </c>
      <c r="AY1277" s="105" t="n">
        <v>0</v>
      </c>
      <c r="AZ1277" s="105" t="n">
        <v>0</v>
      </c>
      <c r="BA1277" s="105" t="n">
        <v>0</v>
      </c>
      <c r="BB1277" s="105" t="n">
        <v>0</v>
      </c>
      <c r="BC1277" s="105" t="n">
        <v>0</v>
      </c>
      <c r="BD1277" s="105" t="n">
        <v>0</v>
      </c>
      <c r="BE1277" s="105" t="n">
        <v>0</v>
      </c>
      <c r="BF1277" s="105" t="n">
        <v>0</v>
      </c>
      <c r="BG1277" s="105" t="n">
        <v>0</v>
      </c>
      <c r="BH1277" s="105" t="n">
        <v>0</v>
      </c>
      <c r="BI1277" s="105" t="n">
        <v>0</v>
      </c>
      <c r="BJ1277" s="105" t="n">
        <v>0</v>
      </c>
      <c r="BK1277" s="105" t="n">
        <v>0</v>
      </c>
      <c r="BL1277" s="105" t="n">
        <v>0</v>
      </c>
      <c r="BM1277" s="105" t="n">
        <v>0</v>
      </c>
      <c r="BN1277" s="105" t="n">
        <v>0</v>
      </c>
      <c r="BO1277" s="105" t="n">
        <v>0</v>
      </c>
      <c r="BP1277" s="105" t="n">
        <v>0</v>
      </c>
      <c r="BQ1277" s="105" t="n">
        <v>0</v>
      </c>
      <c r="BR1277" s="106" t="n">
        <v>0</v>
      </c>
      <c r="BS1277" s="106" t="n">
        <v>0</v>
      </c>
      <c r="BT1277" s="107"/>
      <c r="BU1277" s="107"/>
      <c r="BV1277" s="107"/>
      <c r="BW1277" s="107"/>
      <c r="BX1277" s="107"/>
      <c r="BY1277" s="107"/>
      <c r="BZ1277" s="107"/>
      <c r="CA1277" s="107"/>
      <c r="CB1277" s="107"/>
      <c r="CC1277" s="107"/>
      <c r="CD1277" s="107"/>
      <c r="CE1277" s="107"/>
      <c r="CF1277" s="107"/>
      <c r="CG1277" s="107"/>
      <c r="CH1277" s="107"/>
      <c r="CI1277" s="107"/>
      <c r="CJ1277" s="107"/>
      <c r="CK1277" s="107"/>
      <c r="CL1277" s="107"/>
      <c r="CM1277" s="107"/>
      <c r="CN1277" s="107"/>
      <c r="CO1277" s="107"/>
      <c r="CP1277" s="107"/>
      <c r="CQ1277" s="107"/>
      <c r="CR1277" s="107"/>
      <c r="CS1277" s="107"/>
      <c r="CT1277" s="107"/>
      <c r="CU1277" s="107"/>
      <c r="CV1277" s="107"/>
    </row>
    <row r="1278" customFormat="false" ht="14.9" hidden="false" customHeight="false" outlineLevel="0" collapsed="false">
      <c r="A1278" s="74" t="n">
        <f aca="false">MONTH(B1278)</f>
        <v>11</v>
      </c>
      <c r="B1278" s="135" t="n">
        <v>44517</v>
      </c>
      <c r="C1278" s="128" t="s">
        <v>152</v>
      </c>
      <c r="D1278" s="77" t="str">
        <f aca="false">IFERROR(VLOOKUP(E:E,'Item Data Support Sheet'!A:O,7,0),"")</f>
        <v>HOOD MOLDED</v>
      </c>
      <c r="E1278" s="80" t="s">
        <v>529</v>
      </c>
      <c r="F1278" s="122"/>
      <c r="G1278" s="137" t="s">
        <v>740</v>
      </c>
      <c r="H1278" s="79" t="str">
        <f aca="false">IFERROR(VLOOKUP(E:E,'Item Data Support Sheet'!A:O,2,0),"")</f>
        <v>HOOD S TYPE MOLDED</v>
      </c>
      <c r="I1278" s="80" t="s">
        <v>2076</v>
      </c>
      <c r="J1278" s="80" t="s">
        <v>1913</v>
      </c>
      <c r="K1278" s="124" t="n">
        <v>8</v>
      </c>
      <c r="L1278" s="124" t="n">
        <v>4137</v>
      </c>
      <c r="M1278" s="83" t="n">
        <v>517.125</v>
      </c>
      <c r="N1278" s="84" t="n">
        <f aca="false">+O1278+Q1278+T1278+U1278</f>
        <v>5538</v>
      </c>
      <c r="O1278" s="85" t="n">
        <v>5500</v>
      </c>
      <c r="P1278" s="86" t="n">
        <v>0</v>
      </c>
      <c r="Q1278" s="86" t="n">
        <v>18</v>
      </c>
      <c r="R1278" s="132" t="n">
        <v>0</v>
      </c>
      <c r="S1278" s="128" t="n">
        <v>0</v>
      </c>
      <c r="T1278" s="132" t="n">
        <v>12</v>
      </c>
      <c r="U1278" s="128" t="n">
        <v>8</v>
      </c>
      <c r="V1278" s="128" t="n">
        <v>1</v>
      </c>
      <c r="W1278" s="90" t="n">
        <f aca="false">IFERROR(O1278/V1278,0)</f>
        <v>5500</v>
      </c>
      <c r="X1278" s="91" t="n">
        <f aca="false">O1278/L1278</f>
        <v>1.32946579647087</v>
      </c>
      <c r="Y1278" s="92" t="str">
        <f aca="false">IFERROR(VLOOKUP(E:E,'Item Data Support Sheet'!A:J,6,0),0)</f>
        <v>HMC</v>
      </c>
      <c r="Z1278" s="93" t="n">
        <f aca="false">IFERROR(VLOOKUP(E:E,'Item Data Support Sheet'!A:O,4,0),0)</f>
        <v>8.6</v>
      </c>
      <c r="AA1278" s="93" t="n">
        <f aca="false">IFERROR(((N1278)*(Z1278/1000))+P1278,0)</f>
        <v>47.6268</v>
      </c>
      <c r="AB1278" s="94" t="n">
        <f aca="false">IFERROR((O1278*(Z1278/1000)/(AA1278))," ")</f>
        <v>0.993138317081979</v>
      </c>
      <c r="AC1278" s="95" t="n">
        <f aca="false">IFERROR((T1278)/((T1278)+O1278),0)</f>
        <v>0.00217706821480406</v>
      </c>
      <c r="AD1278" s="96" t="n">
        <f aca="false">IFERROR(Q1278/(Q1278+N1278),0)</f>
        <v>0.00323974082073434</v>
      </c>
      <c r="AE1278" s="91" t="n">
        <f aca="false">(N1278-T1278)/N1278</f>
        <v>0.99783315276273</v>
      </c>
      <c r="AF1278" s="97" t="n">
        <f aca="false">BR1278</f>
        <v>0</v>
      </c>
      <c r="AG1278" s="98" t="n">
        <f aca="false">K1278-AF1278</f>
        <v>8</v>
      </c>
      <c r="AH1278" s="99" t="n">
        <f aca="false">IFERROR(AG1278/K1278," ")</f>
        <v>1</v>
      </c>
      <c r="AI1278" s="100" t="n">
        <f aca="false">IFERROR(O1278/K1278,0)</f>
        <v>687.5</v>
      </c>
      <c r="AJ1278" s="101" t="n">
        <f aca="false">VLOOKUP(D1278,'Standard Cycle time'!C:D,2,0)</f>
        <v>6</v>
      </c>
      <c r="AK1278" s="101" t="n">
        <f aca="false">AG1278*V1278*3600/O1278</f>
        <v>5.23636363636364</v>
      </c>
      <c r="AL1278" s="102" t="n">
        <f aca="false">AJ1278/AK1278</f>
        <v>1.14583333333333</v>
      </c>
      <c r="AM1278" s="99" t="n">
        <f aca="false">AE1278*AL1278*AH1278</f>
        <v>1.14335048754063</v>
      </c>
      <c r="AN1278" s="103" t="n">
        <v>1.14335048754063</v>
      </c>
      <c r="AO1278" s="112"/>
      <c r="AP1278" s="105" t="n">
        <v>0</v>
      </c>
      <c r="AQ1278" s="105" t="n">
        <v>0</v>
      </c>
      <c r="AR1278" s="105" t="n">
        <v>0</v>
      </c>
      <c r="AS1278" s="105" t="n">
        <v>0</v>
      </c>
      <c r="AT1278" s="105" t="n">
        <v>0</v>
      </c>
      <c r="AU1278" s="105" t="n">
        <v>0</v>
      </c>
      <c r="AV1278" s="105" t="n">
        <v>0</v>
      </c>
      <c r="AW1278" s="105" t="n">
        <v>0</v>
      </c>
      <c r="AX1278" s="105" t="n">
        <v>0</v>
      </c>
      <c r="AY1278" s="105" t="n">
        <v>0</v>
      </c>
      <c r="AZ1278" s="105" t="n">
        <v>0</v>
      </c>
      <c r="BA1278" s="105" t="n">
        <v>0</v>
      </c>
      <c r="BB1278" s="105" t="n">
        <v>0</v>
      </c>
      <c r="BC1278" s="105" t="n">
        <v>0</v>
      </c>
      <c r="BD1278" s="105" t="n">
        <v>0</v>
      </c>
      <c r="BE1278" s="105" t="n">
        <v>0</v>
      </c>
      <c r="BF1278" s="105" t="n">
        <v>0</v>
      </c>
      <c r="BG1278" s="105" t="n">
        <v>0</v>
      </c>
      <c r="BH1278" s="105" t="n">
        <v>0</v>
      </c>
      <c r="BI1278" s="105" t="n">
        <v>0</v>
      </c>
      <c r="BJ1278" s="105" t="n">
        <v>0</v>
      </c>
      <c r="BK1278" s="105" t="n">
        <v>0</v>
      </c>
      <c r="BL1278" s="105" t="n">
        <v>0</v>
      </c>
      <c r="BM1278" s="105" t="n">
        <v>0</v>
      </c>
      <c r="BN1278" s="105" t="n">
        <v>0</v>
      </c>
      <c r="BO1278" s="105" t="n">
        <v>0</v>
      </c>
      <c r="BP1278" s="105" t="n">
        <v>0</v>
      </c>
      <c r="BQ1278" s="105" t="n">
        <v>0</v>
      </c>
      <c r="BR1278" s="106" t="n">
        <v>0</v>
      </c>
      <c r="BS1278" s="106" t="n">
        <v>0</v>
      </c>
      <c r="BT1278" s="107"/>
      <c r="BU1278" s="107"/>
      <c r="BV1278" s="107"/>
      <c r="BW1278" s="107"/>
      <c r="BX1278" s="107"/>
      <c r="BY1278" s="107"/>
      <c r="BZ1278" s="107"/>
      <c r="CA1278" s="107"/>
      <c r="CB1278" s="107"/>
      <c r="CC1278" s="107"/>
      <c r="CD1278" s="107"/>
      <c r="CE1278" s="107"/>
      <c r="CF1278" s="107"/>
      <c r="CG1278" s="107"/>
      <c r="CH1278" s="107"/>
      <c r="CI1278" s="107"/>
      <c r="CJ1278" s="107"/>
      <c r="CK1278" s="107"/>
      <c r="CL1278" s="107"/>
      <c r="CM1278" s="107"/>
      <c r="CN1278" s="107"/>
      <c r="CO1278" s="107"/>
      <c r="CP1278" s="107"/>
      <c r="CQ1278" s="107"/>
      <c r="CR1278" s="107"/>
      <c r="CS1278" s="107"/>
      <c r="CT1278" s="107"/>
      <c r="CU1278" s="107"/>
      <c r="CV1278" s="107"/>
    </row>
    <row r="1279" customFormat="false" ht="14.9" hidden="false" customHeight="false" outlineLevel="0" collapsed="false">
      <c r="A1279" s="74" t="n">
        <f aca="false">MONTH(B1279)</f>
        <v>11</v>
      </c>
      <c r="B1279" s="135" t="n">
        <v>44517</v>
      </c>
      <c r="C1279" s="128" t="s">
        <v>152</v>
      </c>
      <c r="D1279" s="77" t="str">
        <f aca="false">IFERROR(VLOOKUP(E:E,'Item Data Support Sheet'!A:O,7,0),"")</f>
        <v>NIPPLE MOLDED</v>
      </c>
      <c r="E1279" s="80" t="s">
        <v>661</v>
      </c>
      <c r="F1279" s="122" t="s">
        <v>137</v>
      </c>
      <c r="G1279" s="137" t="s">
        <v>138</v>
      </c>
      <c r="H1279" s="79" t="str">
        <f aca="false">IFERROR(VLOOKUP(E:E,'Item Data Support Sheet'!A:O,2,0),"")</f>
        <v>NIPPLE S TYPE L SIZE INJECTION</v>
      </c>
      <c r="I1279" s="80" t="s">
        <v>2077</v>
      </c>
      <c r="J1279" s="80" t="s">
        <v>1913</v>
      </c>
      <c r="K1279" s="124" t="n">
        <v>8</v>
      </c>
      <c r="L1279" s="124" t="n">
        <v>4815</v>
      </c>
      <c r="M1279" s="83" t="n">
        <v>601.875</v>
      </c>
      <c r="N1279" s="84" t="n">
        <f aca="false">+O1279+Q1279+T1279+U1279</f>
        <v>5696</v>
      </c>
      <c r="O1279" s="85" t="n">
        <v>5600</v>
      </c>
      <c r="P1279" s="86" t="n">
        <v>0</v>
      </c>
      <c r="Q1279" s="86" t="n">
        <v>20</v>
      </c>
      <c r="R1279" s="132" t="n">
        <v>0</v>
      </c>
      <c r="S1279" s="128" t="n">
        <v>0</v>
      </c>
      <c r="T1279" s="132" t="n">
        <v>60</v>
      </c>
      <c r="U1279" s="128" t="n">
        <v>16</v>
      </c>
      <c r="V1279" s="128" t="n">
        <v>1</v>
      </c>
      <c r="W1279" s="90" t="n">
        <f aca="false">IFERROR(O1279/V1279,0)</f>
        <v>5600</v>
      </c>
      <c r="X1279" s="91" t="n">
        <f aca="false">O1279/L1279</f>
        <v>1.16303219106957</v>
      </c>
      <c r="Y1279" s="92" t="str">
        <f aca="false">IFERROR(VLOOKUP(E:E,'Item Data Support Sheet'!A:J,6,0),0)</f>
        <v>Silicon</v>
      </c>
      <c r="Z1279" s="93" t="n">
        <f aca="false">IFERROR(VLOOKUP(E:E,'Item Data Support Sheet'!A:O,4,0),0)</f>
        <v>6.8</v>
      </c>
      <c r="AA1279" s="93" t="n">
        <f aca="false">IFERROR(((N1279)*(Z1279/1000))+P1279,0)</f>
        <v>38.7328</v>
      </c>
      <c r="AB1279" s="94" t="n">
        <f aca="false">IFERROR((O1279*(Z1279/1000)/(AA1279))," ")</f>
        <v>0.98314606741573</v>
      </c>
      <c r="AC1279" s="95" t="n">
        <f aca="false">IFERROR((T1279)/((T1279)+O1279),0)</f>
        <v>0.0106007067137809</v>
      </c>
      <c r="AD1279" s="96" t="n">
        <f aca="false">IFERROR(Q1279/(Q1279+N1279),0)</f>
        <v>0.00349895031490553</v>
      </c>
      <c r="AE1279" s="91" t="n">
        <f aca="false">(N1279-T1279)/N1279</f>
        <v>0.989466292134832</v>
      </c>
      <c r="AF1279" s="97" t="n">
        <f aca="false">BR1279</f>
        <v>0</v>
      </c>
      <c r="AG1279" s="98" t="n">
        <f aca="false">K1279-AF1279</f>
        <v>8</v>
      </c>
      <c r="AH1279" s="99" t="n">
        <f aca="false">IFERROR(AG1279/K1279," ")</f>
        <v>1</v>
      </c>
      <c r="AI1279" s="100" t="n">
        <f aca="false">IFERROR(O1279/K1279,0)</f>
        <v>700</v>
      </c>
      <c r="AJ1279" s="101" t="n">
        <f aca="false">VLOOKUP(D1279,'Standard Cycle time'!C:D,2,0)</f>
        <v>5.25</v>
      </c>
      <c r="AK1279" s="101" t="n">
        <f aca="false">AG1279*V1279*3600/O1279</f>
        <v>5.14285714285714</v>
      </c>
      <c r="AL1279" s="102" t="n">
        <f aca="false">AJ1279/AK1279</f>
        <v>1.02083333333333</v>
      </c>
      <c r="AM1279" s="99" t="n">
        <f aca="false">AE1279*AL1279*AH1279</f>
        <v>1.01008017322097</v>
      </c>
      <c r="AN1279" s="103" t="n">
        <v>1.01008017322097</v>
      </c>
      <c r="AO1279" s="112"/>
      <c r="AP1279" s="105" t="n">
        <v>0</v>
      </c>
      <c r="AQ1279" s="105" t="n">
        <v>0</v>
      </c>
      <c r="AR1279" s="105" t="n">
        <v>0</v>
      </c>
      <c r="AS1279" s="105" t="n">
        <v>0</v>
      </c>
      <c r="AT1279" s="105" t="n">
        <v>0</v>
      </c>
      <c r="AU1279" s="105" t="n">
        <v>0</v>
      </c>
      <c r="AV1279" s="105" t="n">
        <v>0</v>
      </c>
      <c r="AW1279" s="105" t="n">
        <v>0</v>
      </c>
      <c r="AX1279" s="105" t="n">
        <v>0</v>
      </c>
      <c r="AY1279" s="105" t="n">
        <v>0</v>
      </c>
      <c r="AZ1279" s="105" t="n">
        <v>0</v>
      </c>
      <c r="BA1279" s="105" t="n">
        <v>0</v>
      </c>
      <c r="BB1279" s="105" t="n">
        <v>0</v>
      </c>
      <c r="BC1279" s="105" t="n">
        <v>0</v>
      </c>
      <c r="BD1279" s="105" t="n">
        <v>0</v>
      </c>
      <c r="BE1279" s="105" t="n">
        <v>0</v>
      </c>
      <c r="BF1279" s="105" t="n">
        <v>0</v>
      </c>
      <c r="BG1279" s="105" t="n">
        <v>0</v>
      </c>
      <c r="BH1279" s="105" t="n">
        <v>0</v>
      </c>
      <c r="BI1279" s="105" t="n">
        <v>0</v>
      </c>
      <c r="BJ1279" s="105" t="n">
        <v>0</v>
      </c>
      <c r="BK1279" s="105" t="n">
        <v>0</v>
      </c>
      <c r="BL1279" s="105" t="n">
        <v>0</v>
      </c>
      <c r="BM1279" s="105" t="n">
        <v>0</v>
      </c>
      <c r="BN1279" s="105" t="n">
        <v>0</v>
      </c>
      <c r="BO1279" s="105" t="n">
        <v>0</v>
      </c>
      <c r="BP1279" s="105" t="n">
        <v>0</v>
      </c>
      <c r="BQ1279" s="105" t="n">
        <v>0</v>
      </c>
      <c r="BR1279" s="106" t="n">
        <v>0</v>
      </c>
      <c r="BS1279" s="106" t="n">
        <v>0</v>
      </c>
      <c r="BT1279" s="107"/>
      <c r="BU1279" s="107"/>
      <c r="BV1279" s="107"/>
      <c r="BW1279" s="107"/>
      <c r="BX1279" s="107"/>
      <c r="BY1279" s="107"/>
      <c r="BZ1279" s="107"/>
      <c r="CA1279" s="107"/>
      <c r="CB1279" s="107"/>
      <c r="CC1279" s="107"/>
      <c r="CD1279" s="107"/>
      <c r="CE1279" s="107"/>
      <c r="CF1279" s="107"/>
      <c r="CG1279" s="107"/>
      <c r="CH1279" s="107"/>
      <c r="CI1279" s="107"/>
      <c r="CJ1279" s="107"/>
      <c r="CK1279" s="107"/>
      <c r="CL1279" s="107"/>
      <c r="CM1279" s="107"/>
      <c r="CN1279" s="107"/>
      <c r="CO1279" s="107"/>
      <c r="CP1279" s="107"/>
      <c r="CQ1279" s="107"/>
      <c r="CR1279" s="107"/>
      <c r="CS1279" s="107"/>
      <c r="CT1279" s="107"/>
      <c r="CU1279" s="107"/>
      <c r="CV1279" s="107"/>
    </row>
    <row r="1280" customFormat="false" ht="14.9" hidden="false" customHeight="false" outlineLevel="0" collapsed="false">
      <c r="A1280" s="74" t="n">
        <f aca="false">MONTH(B1280)</f>
        <v>11</v>
      </c>
      <c r="B1280" s="135" t="n">
        <v>44517</v>
      </c>
      <c r="C1280" s="128" t="s">
        <v>152</v>
      </c>
      <c r="D1280" s="77" t="str">
        <f aca="false">IFERROR(VLOOKUP(E:E,'Item Data Support Sheet'!A:O,7,0),"")</f>
        <v>NIPPLE MOLDED</v>
      </c>
      <c r="E1280" s="80" t="s">
        <v>136</v>
      </c>
      <c r="F1280" s="122" t="s">
        <v>1286</v>
      </c>
      <c r="G1280" s="137" t="s">
        <v>848</v>
      </c>
      <c r="H1280" s="79" t="str">
        <f aca="false">IFERROR(VLOOKUP(E:E,'Item Data Support Sheet'!A:O,2,0),"")</f>
        <v>NIPPLE S TYPE M SIZE INJECTION</v>
      </c>
      <c r="I1280" s="80" t="s">
        <v>2077</v>
      </c>
      <c r="J1280" s="80" t="s">
        <v>1913</v>
      </c>
      <c r="K1280" s="124" t="n">
        <v>8</v>
      </c>
      <c r="L1280" s="124" t="n">
        <v>3611</v>
      </c>
      <c r="M1280" s="83" t="n">
        <v>451.375</v>
      </c>
      <c r="N1280" s="84" t="n">
        <f aca="false">+O1280+Q1280+T1280+U1280</f>
        <v>4135</v>
      </c>
      <c r="O1280" s="85" t="n">
        <v>4000</v>
      </c>
      <c r="P1280" s="86" t="n">
        <v>0</v>
      </c>
      <c r="Q1280" s="86" t="n">
        <v>50</v>
      </c>
      <c r="R1280" s="132" t="n">
        <v>0</v>
      </c>
      <c r="S1280" s="128" t="n">
        <v>0</v>
      </c>
      <c r="T1280" s="132" t="n">
        <v>85</v>
      </c>
      <c r="U1280" s="128" t="n">
        <v>0</v>
      </c>
      <c r="V1280" s="128" t="n">
        <v>1</v>
      </c>
      <c r="W1280" s="90" t="n">
        <f aca="false">IFERROR(O1280/V1280,0)</f>
        <v>4000</v>
      </c>
      <c r="X1280" s="91" t="n">
        <f aca="false">O1280/L1280</f>
        <v>1.10772639158128</v>
      </c>
      <c r="Y1280" s="92" t="str">
        <f aca="false">IFERROR(VLOOKUP(E:E,'Item Data Support Sheet'!A:J,6,0),0)</f>
        <v>Silicon</v>
      </c>
      <c r="Z1280" s="93" t="n">
        <f aca="false">IFERROR(VLOOKUP(E:E,'Item Data Support Sheet'!A:O,4,0),0)</f>
        <v>6.8</v>
      </c>
      <c r="AA1280" s="93" t="n">
        <f aca="false">IFERROR(((N1280)*(Z1280/1000))+P1280,0)</f>
        <v>28.118</v>
      </c>
      <c r="AB1280" s="94" t="n">
        <f aca="false">IFERROR((O1280*(Z1280/1000)/(AA1280))," ")</f>
        <v>0.967351874244256</v>
      </c>
      <c r="AC1280" s="95" t="n">
        <f aca="false">IFERROR((T1280)/((T1280)+O1280),0)</f>
        <v>0.0208078335373317</v>
      </c>
      <c r="AD1280" s="96" t="n">
        <f aca="false">IFERROR(Q1280/(Q1280+N1280),0)</f>
        <v>0.01194743130227</v>
      </c>
      <c r="AE1280" s="91" t="n">
        <f aca="false">(N1280-T1280)/N1280</f>
        <v>0.979443772672309</v>
      </c>
      <c r="AF1280" s="97" t="n">
        <f aca="false">BR1280</f>
        <v>0</v>
      </c>
      <c r="AG1280" s="98" t="n">
        <f aca="false">K1280-AF1280</f>
        <v>8</v>
      </c>
      <c r="AH1280" s="99" t="n">
        <f aca="false">IFERROR(AG1280/K1280," ")</f>
        <v>1</v>
      </c>
      <c r="AI1280" s="100" t="n">
        <f aca="false">IFERROR(O1280/K1280,0)</f>
        <v>500</v>
      </c>
      <c r="AJ1280" s="101" t="n">
        <f aca="false">VLOOKUP(D1280,'Standard Cycle time'!C:D,2,0)</f>
        <v>5.25</v>
      </c>
      <c r="AK1280" s="101" t="n">
        <f aca="false">AG1280*V1280*3600/O1280</f>
        <v>7.2</v>
      </c>
      <c r="AL1280" s="102" t="n">
        <f aca="false">AJ1280/AK1280</f>
        <v>0.729166666666667</v>
      </c>
      <c r="AM1280" s="99" t="n">
        <f aca="false">AE1280*AL1280*AH1280</f>
        <v>0.714177750906892</v>
      </c>
      <c r="AN1280" s="103" t="n">
        <v>0.714177750906892</v>
      </c>
      <c r="AO1280" s="112" t="s">
        <v>2078</v>
      </c>
      <c r="AP1280" s="105" t="n">
        <v>0</v>
      </c>
      <c r="AQ1280" s="105" t="n">
        <v>0</v>
      </c>
      <c r="AR1280" s="105" t="n">
        <v>0</v>
      </c>
      <c r="AS1280" s="105" t="n">
        <v>0</v>
      </c>
      <c r="AT1280" s="105" t="n">
        <v>0</v>
      </c>
      <c r="AU1280" s="105" t="n">
        <v>0</v>
      </c>
      <c r="AV1280" s="105" t="n">
        <v>0</v>
      </c>
      <c r="AW1280" s="105" t="n">
        <v>0</v>
      </c>
      <c r="AX1280" s="105" t="n">
        <v>0</v>
      </c>
      <c r="AY1280" s="105" t="n">
        <v>0</v>
      </c>
      <c r="AZ1280" s="105" t="n">
        <v>0</v>
      </c>
      <c r="BA1280" s="105" t="n">
        <v>0</v>
      </c>
      <c r="BB1280" s="105" t="n">
        <v>0</v>
      </c>
      <c r="BC1280" s="105" t="n">
        <v>0</v>
      </c>
      <c r="BD1280" s="105" t="n">
        <v>0</v>
      </c>
      <c r="BE1280" s="105" t="n">
        <v>0</v>
      </c>
      <c r="BF1280" s="105" t="n">
        <v>0</v>
      </c>
      <c r="BG1280" s="105" t="n">
        <v>0</v>
      </c>
      <c r="BH1280" s="105" t="n">
        <v>0</v>
      </c>
      <c r="BI1280" s="105" t="n">
        <v>0</v>
      </c>
      <c r="BJ1280" s="105" t="n">
        <v>0</v>
      </c>
      <c r="BK1280" s="105" t="n">
        <v>0</v>
      </c>
      <c r="BL1280" s="105" t="n">
        <v>0</v>
      </c>
      <c r="BM1280" s="105" t="n">
        <v>0</v>
      </c>
      <c r="BN1280" s="105" t="n">
        <v>0</v>
      </c>
      <c r="BO1280" s="105" t="n">
        <v>0</v>
      </c>
      <c r="BP1280" s="105" t="n">
        <v>0</v>
      </c>
      <c r="BQ1280" s="105" t="n">
        <v>0</v>
      </c>
      <c r="BR1280" s="106" t="n">
        <v>0</v>
      </c>
      <c r="BS1280" s="106" t="n">
        <v>0</v>
      </c>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c r="CO1280" s="107"/>
      <c r="CP1280" s="107"/>
      <c r="CQ1280" s="107"/>
      <c r="CR1280" s="107"/>
      <c r="CS1280" s="107"/>
      <c r="CT1280" s="107"/>
      <c r="CU1280" s="107"/>
      <c r="CV1280" s="107"/>
    </row>
    <row r="1281" customFormat="false" ht="14.9" hidden="false" customHeight="false" outlineLevel="0" collapsed="false">
      <c r="A1281" s="74" t="n">
        <f aca="false">MONTH(B1281)</f>
        <v>11</v>
      </c>
      <c r="B1281" s="135" t="n">
        <v>44518</v>
      </c>
      <c r="C1281" s="128" t="s">
        <v>51</v>
      </c>
      <c r="D1281" s="77" t="str">
        <f aca="false">IFERROR(VLOOKUP(E:E,'Item Data Support Sheet'!A:O,7,0),"")</f>
        <v>NIPPLE MOLDED</v>
      </c>
      <c r="E1281" s="80" t="s">
        <v>136</v>
      </c>
      <c r="F1281" s="122" t="s">
        <v>1286</v>
      </c>
      <c r="G1281" s="137" t="s">
        <v>848</v>
      </c>
      <c r="H1281" s="79" t="str">
        <f aca="false">IFERROR(VLOOKUP(E:E,'Item Data Support Sheet'!A:O,2,0),"")</f>
        <v>NIPPLE S TYPE M SIZE INJECTION</v>
      </c>
      <c r="I1281" s="80" t="s">
        <v>2079</v>
      </c>
      <c r="J1281" s="80" t="s">
        <v>143</v>
      </c>
      <c r="K1281" s="124" t="n">
        <v>8</v>
      </c>
      <c r="L1281" s="124" t="n">
        <v>3611</v>
      </c>
      <c r="M1281" s="83" t="n">
        <v>451.375</v>
      </c>
      <c r="N1281" s="84" t="n">
        <f aca="false">+O1281+Q1281+T1281+U1281</f>
        <v>4210</v>
      </c>
      <c r="O1281" s="85" t="n">
        <v>4000</v>
      </c>
      <c r="P1281" s="86" t="n">
        <v>0</v>
      </c>
      <c r="Q1281" s="86" t="n">
        <v>120</v>
      </c>
      <c r="R1281" s="132" t="n">
        <v>0</v>
      </c>
      <c r="S1281" s="128" t="n">
        <v>0</v>
      </c>
      <c r="T1281" s="132" t="n">
        <v>84</v>
      </c>
      <c r="U1281" s="128" t="n">
        <v>6</v>
      </c>
      <c r="V1281" s="128" t="n">
        <v>1</v>
      </c>
      <c r="W1281" s="90" t="n">
        <f aca="false">IFERROR(O1281/V1281,0)</f>
        <v>4000</v>
      </c>
      <c r="X1281" s="91" t="n">
        <f aca="false">O1281/L1281</f>
        <v>1.10772639158128</v>
      </c>
      <c r="Y1281" s="92" t="str">
        <f aca="false">IFERROR(VLOOKUP(E:E,'Item Data Support Sheet'!A:J,6,0),0)</f>
        <v>Silicon</v>
      </c>
      <c r="Z1281" s="93" t="n">
        <f aca="false">IFERROR(VLOOKUP(E:E,'Item Data Support Sheet'!A:O,4,0),0)</f>
        <v>6.8</v>
      </c>
      <c r="AA1281" s="93" t="n">
        <f aca="false">IFERROR(((N1281)*(Z1281/1000))+P1281,0)</f>
        <v>28.628</v>
      </c>
      <c r="AB1281" s="94" t="n">
        <f aca="false">IFERROR((O1281*(Z1281/1000)/(AA1281))," ")</f>
        <v>0.950118764845606</v>
      </c>
      <c r="AC1281" s="95" t="n">
        <f aca="false">IFERROR((T1281)/((T1281)+O1281),0)</f>
        <v>0.0205680705190989</v>
      </c>
      <c r="AD1281" s="96" t="n">
        <f aca="false">IFERROR(Q1281/(Q1281+N1281),0)</f>
        <v>0.0277136258660508</v>
      </c>
      <c r="AE1281" s="91" t="n">
        <f aca="false">(N1281-T1281)/N1281</f>
        <v>0.980047505938242</v>
      </c>
      <c r="AF1281" s="97" t="n">
        <f aca="false">BR1281</f>
        <v>0</v>
      </c>
      <c r="AG1281" s="98" t="n">
        <f aca="false">K1281-AF1281</f>
        <v>8</v>
      </c>
      <c r="AH1281" s="99" t="n">
        <f aca="false">IFERROR(AG1281/K1281," ")</f>
        <v>1</v>
      </c>
      <c r="AI1281" s="100" t="n">
        <f aca="false">IFERROR(O1281/K1281,0)</f>
        <v>500</v>
      </c>
      <c r="AJ1281" s="101" t="n">
        <f aca="false">VLOOKUP(D1281,'Standard Cycle time'!C:D,2,0)</f>
        <v>5.25</v>
      </c>
      <c r="AK1281" s="101" t="n">
        <f aca="false">AG1281*V1281*3600/O1281</f>
        <v>7.2</v>
      </c>
      <c r="AL1281" s="102" t="n">
        <f aca="false">AJ1281/AK1281</f>
        <v>0.729166666666667</v>
      </c>
      <c r="AM1281" s="99" t="n">
        <f aca="false">AE1281*AL1281*AH1281</f>
        <v>0.714617973079968</v>
      </c>
      <c r="AN1281" s="103" t="n">
        <v>0.714617973079968</v>
      </c>
      <c r="AO1281" s="112" t="s">
        <v>2080</v>
      </c>
      <c r="AP1281" s="105" t="n">
        <v>0</v>
      </c>
      <c r="AQ1281" s="105" t="n">
        <v>0</v>
      </c>
      <c r="AR1281" s="105" t="n">
        <v>0</v>
      </c>
      <c r="AS1281" s="105" t="n">
        <v>0</v>
      </c>
      <c r="AT1281" s="105" t="n">
        <v>0</v>
      </c>
      <c r="AU1281" s="105" t="n">
        <v>0</v>
      </c>
      <c r="AV1281" s="105" t="n">
        <v>0</v>
      </c>
      <c r="AW1281" s="105" t="n">
        <v>0</v>
      </c>
      <c r="AX1281" s="105" t="n">
        <v>0</v>
      </c>
      <c r="AY1281" s="105" t="n">
        <v>0</v>
      </c>
      <c r="AZ1281" s="105" t="n">
        <v>0</v>
      </c>
      <c r="BA1281" s="105" t="n">
        <v>0</v>
      </c>
      <c r="BB1281" s="105" t="n">
        <v>0</v>
      </c>
      <c r="BC1281" s="105" t="n">
        <v>0</v>
      </c>
      <c r="BD1281" s="105" t="n">
        <v>0</v>
      </c>
      <c r="BE1281" s="105" t="n">
        <v>0</v>
      </c>
      <c r="BF1281" s="105" t="n">
        <v>0</v>
      </c>
      <c r="BG1281" s="105" t="n">
        <v>0</v>
      </c>
      <c r="BH1281" s="105" t="n">
        <v>0</v>
      </c>
      <c r="BI1281" s="105" t="n">
        <v>0</v>
      </c>
      <c r="BJ1281" s="105" t="n">
        <v>0</v>
      </c>
      <c r="BK1281" s="105" t="n">
        <v>0</v>
      </c>
      <c r="BL1281" s="105" t="n">
        <v>0</v>
      </c>
      <c r="BM1281" s="105" t="n">
        <v>0</v>
      </c>
      <c r="BN1281" s="105" t="n">
        <v>0</v>
      </c>
      <c r="BO1281" s="105" t="n">
        <v>0</v>
      </c>
      <c r="BP1281" s="105" t="n">
        <v>0</v>
      </c>
      <c r="BQ1281" s="105" t="n">
        <v>0</v>
      </c>
      <c r="BR1281" s="106" t="n">
        <v>0</v>
      </c>
      <c r="BS1281" s="106" t="n">
        <v>0</v>
      </c>
      <c r="BT1281" s="107"/>
      <c r="BU1281" s="107"/>
      <c r="BV1281" s="107"/>
      <c r="BW1281" s="107"/>
      <c r="BX1281" s="107"/>
      <c r="BY1281" s="107"/>
      <c r="BZ1281" s="107"/>
      <c r="CA1281" s="107"/>
      <c r="CB1281" s="107"/>
      <c r="CC1281" s="107"/>
      <c r="CD1281" s="107"/>
      <c r="CE1281" s="107"/>
      <c r="CF1281" s="107"/>
      <c r="CG1281" s="107"/>
      <c r="CH1281" s="107"/>
      <c r="CI1281" s="107"/>
      <c r="CJ1281" s="107"/>
      <c r="CK1281" s="107"/>
      <c r="CL1281" s="107"/>
      <c r="CM1281" s="107"/>
      <c r="CN1281" s="107"/>
      <c r="CO1281" s="107"/>
      <c r="CP1281" s="107"/>
      <c r="CQ1281" s="107"/>
      <c r="CR1281" s="107"/>
      <c r="CS1281" s="107"/>
      <c r="CT1281" s="107"/>
      <c r="CU1281" s="107"/>
      <c r="CV1281" s="107"/>
    </row>
    <row r="1282" customFormat="false" ht="14.9" hidden="false" customHeight="false" outlineLevel="0" collapsed="false">
      <c r="A1282" s="74" t="n">
        <f aca="false">MONTH(B1282)</f>
        <v>11</v>
      </c>
      <c r="B1282" s="135" t="n">
        <v>44518</v>
      </c>
      <c r="C1282" s="128" t="s">
        <v>51</v>
      </c>
      <c r="D1282" s="77" t="str">
        <f aca="false">IFERROR(VLOOKUP(E:E,'Item Data Support Sheet'!A:O,7,0),"")</f>
        <v>HOOD MOLDED</v>
      </c>
      <c r="E1282" s="80" t="s">
        <v>529</v>
      </c>
      <c r="F1282" s="122"/>
      <c r="G1282" s="137" t="s">
        <v>740</v>
      </c>
      <c r="H1282" s="79" t="str">
        <f aca="false">IFERROR(VLOOKUP(E:E,'Item Data Support Sheet'!A:O,2,0),"")</f>
        <v>HOOD S TYPE MOLDED</v>
      </c>
      <c r="I1282" s="80" t="s">
        <v>2081</v>
      </c>
      <c r="J1282" s="80" t="s">
        <v>143</v>
      </c>
      <c r="K1282" s="124" t="n">
        <v>8</v>
      </c>
      <c r="L1282" s="124" t="n">
        <v>4137</v>
      </c>
      <c r="M1282" s="83" t="n">
        <v>517.125</v>
      </c>
      <c r="N1282" s="84" t="n">
        <f aca="false">+O1282+Q1282+T1282+U1282</f>
        <v>4350</v>
      </c>
      <c r="O1282" s="85" t="n">
        <v>4300</v>
      </c>
      <c r="P1282" s="86" t="n">
        <v>0</v>
      </c>
      <c r="Q1282" s="86" t="n">
        <v>26</v>
      </c>
      <c r="R1282" s="132" t="n">
        <v>0</v>
      </c>
      <c r="S1282" s="128" t="n">
        <v>0</v>
      </c>
      <c r="T1282" s="132" t="n">
        <v>16</v>
      </c>
      <c r="U1282" s="128" t="n">
        <v>8</v>
      </c>
      <c r="V1282" s="128" t="n">
        <v>1</v>
      </c>
      <c r="W1282" s="90" t="n">
        <f aca="false">IFERROR(O1282/V1282,0)</f>
        <v>4300</v>
      </c>
      <c r="X1282" s="91" t="n">
        <f aca="false">O1282/L1282</f>
        <v>1.03940053178632</v>
      </c>
      <c r="Y1282" s="92" t="str">
        <f aca="false">IFERROR(VLOOKUP(E:E,'Item Data Support Sheet'!A:J,6,0),0)</f>
        <v>HMC</v>
      </c>
      <c r="Z1282" s="93" t="n">
        <f aca="false">IFERROR(VLOOKUP(E:E,'Item Data Support Sheet'!A:O,4,0),0)</f>
        <v>8.6</v>
      </c>
      <c r="AA1282" s="93" t="n">
        <f aca="false">IFERROR(((N1282)*(Z1282/1000))+P1282,0)</f>
        <v>37.41</v>
      </c>
      <c r="AB1282" s="94" t="n">
        <f aca="false">IFERROR((O1282*(Z1282/1000)/(AA1282))," ")</f>
        <v>0.988505747126437</v>
      </c>
      <c r="AC1282" s="95" t="n">
        <f aca="false">IFERROR((T1282)/((T1282)+O1282),0)</f>
        <v>0.00370713623725672</v>
      </c>
      <c r="AD1282" s="96" t="n">
        <f aca="false">IFERROR(Q1282/(Q1282+N1282),0)</f>
        <v>0.00594149908592322</v>
      </c>
      <c r="AE1282" s="91" t="n">
        <f aca="false">(N1282-T1282)/N1282</f>
        <v>0.99632183908046</v>
      </c>
      <c r="AF1282" s="97" t="n">
        <f aca="false">BR1282</f>
        <v>0</v>
      </c>
      <c r="AG1282" s="98" t="n">
        <f aca="false">K1282-AF1282</f>
        <v>8</v>
      </c>
      <c r="AH1282" s="99" t="n">
        <f aca="false">IFERROR(AG1282/K1282," ")</f>
        <v>1</v>
      </c>
      <c r="AI1282" s="100" t="n">
        <f aca="false">IFERROR(O1282/K1282,0)</f>
        <v>537.5</v>
      </c>
      <c r="AJ1282" s="101" t="n">
        <f aca="false">VLOOKUP(D1282,'Standard Cycle time'!C:D,2,0)</f>
        <v>6</v>
      </c>
      <c r="AK1282" s="101" t="n">
        <f aca="false">AG1282*V1282*3600/O1282</f>
        <v>6.69767441860465</v>
      </c>
      <c r="AL1282" s="102" t="n">
        <f aca="false">AJ1282/AK1282</f>
        <v>0.895833333333333</v>
      </c>
      <c r="AM1282" s="99" t="n">
        <f aca="false">AE1282*AL1282*AH1282</f>
        <v>0.892538314176245</v>
      </c>
      <c r="AN1282" s="103" t="n">
        <v>0.892538314176245</v>
      </c>
      <c r="AO1282" s="112"/>
      <c r="AP1282" s="105" t="n">
        <v>0</v>
      </c>
      <c r="AQ1282" s="105" t="n">
        <v>0</v>
      </c>
      <c r="AR1282" s="105" t="n">
        <v>0</v>
      </c>
      <c r="AS1282" s="105" t="n">
        <v>0</v>
      </c>
      <c r="AT1282" s="105" t="n">
        <v>0</v>
      </c>
      <c r="AU1282" s="105" t="n">
        <v>0</v>
      </c>
      <c r="AV1282" s="105" t="n">
        <v>0</v>
      </c>
      <c r="AW1282" s="105" t="n">
        <v>0</v>
      </c>
      <c r="AX1282" s="105" t="n">
        <v>0</v>
      </c>
      <c r="AY1282" s="105" t="n">
        <v>0</v>
      </c>
      <c r="AZ1282" s="105" t="n">
        <v>0</v>
      </c>
      <c r="BA1282" s="105" t="n">
        <v>0</v>
      </c>
      <c r="BB1282" s="105" t="n">
        <v>0</v>
      </c>
      <c r="BC1282" s="105" t="n">
        <v>0</v>
      </c>
      <c r="BD1282" s="105" t="n">
        <v>0</v>
      </c>
      <c r="BE1282" s="105" t="n">
        <v>0</v>
      </c>
      <c r="BF1282" s="105" t="n">
        <v>0</v>
      </c>
      <c r="BG1282" s="105" t="n">
        <v>0</v>
      </c>
      <c r="BH1282" s="105" t="n">
        <v>0</v>
      </c>
      <c r="BI1282" s="105" t="n">
        <v>0</v>
      </c>
      <c r="BJ1282" s="105" t="n">
        <v>0</v>
      </c>
      <c r="BK1282" s="105" t="n">
        <v>0</v>
      </c>
      <c r="BL1282" s="105" t="n">
        <v>0</v>
      </c>
      <c r="BM1282" s="105" t="n">
        <v>0</v>
      </c>
      <c r="BN1282" s="105" t="n">
        <v>0</v>
      </c>
      <c r="BO1282" s="105" t="n">
        <v>0</v>
      </c>
      <c r="BP1282" s="105" t="n">
        <v>0</v>
      </c>
      <c r="BQ1282" s="105" t="n">
        <v>0</v>
      </c>
      <c r="BR1282" s="106" t="n">
        <v>0</v>
      </c>
      <c r="BS1282" s="106" t="n">
        <v>0</v>
      </c>
      <c r="BT1282" s="107"/>
      <c r="BU1282" s="107"/>
      <c r="BV1282" s="107"/>
      <c r="BW1282" s="107"/>
      <c r="BX1282" s="107"/>
      <c r="BY1282" s="107"/>
      <c r="BZ1282" s="107"/>
      <c r="CA1282" s="107"/>
      <c r="CB1282" s="107"/>
      <c r="CC1282" s="107"/>
      <c r="CD1282" s="107"/>
      <c r="CE1282" s="107"/>
      <c r="CF1282" s="107"/>
      <c r="CG1282" s="107"/>
      <c r="CH1282" s="107"/>
      <c r="CI1282" s="107"/>
      <c r="CJ1282" s="107"/>
      <c r="CK1282" s="107"/>
      <c r="CL1282" s="107"/>
      <c r="CM1282" s="107"/>
      <c r="CN1282" s="107"/>
      <c r="CO1282" s="107"/>
      <c r="CP1282" s="107"/>
      <c r="CQ1282" s="107"/>
      <c r="CR1282" s="107"/>
      <c r="CS1282" s="107"/>
      <c r="CT1282" s="107"/>
      <c r="CU1282" s="107"/>
      <c r="CV1282" s="107"/>
    </row>
    <row r="1283" customFormat="false" ht="14.9" hidden="false" customHeight="false" outlineLevel="0" collapsed="false">
      <c r="A1283" s="74" t="n">
        <f aca="false">MONTH(B1283)</f>
        <v>11</v>
      </c>
      <c r="B1283" s="135" t="n">
        <v>44518</v>
      </c>
      <c r="C1283" s="128" t="s">
        <v>51</v>
      </c>
      <c r="D1283" s="77" t="str">
        <f aca="false">IFERROR(VLOOKUP(E:E,'Item Data Support Sheet'!A:O,7,0),"")</f>
        <v>NIPPLE PUNCH</v>
      </c>
      <c r="E1283" s="80" t="s">
        <v>666</v>
      </c>
      <c r="F1283" s="122"/>
      <c r="G1283" s="137" t="s">
        <v>54</v>
      </c>
      <c r="H1283" s="79" t="str">
        <f aca="false">IFERROR(VLOOKUP(E:E,'Item Data Support Sheet'!A:O,2,0),"")</f>
        <v>NIPPLE S TYPE L SIZE PUNCHED</v>
      </c>
      <c r="I1283" s="80" t="s">
        <v>2082</v>
      </c>
      <c r="J1283" s="80" t="s">
        <v>143</v>
      </c>
      <c r="K1283" s="124" t="n">
        <v>8</v>
      </c>
      <c r="L1283" s="124" t="n">
        <v>7000</v>
      </c>
      <c r="M1283" s="83" t="n">
        <v>875</v>
      </c>
      <c r="N1283" s="84" t="n">
        <f aca="false">+O1283+Q1283+T1283+U1283</f>
        <v>6300</v>
      </c>
      <c r="O1283" s="85" t="n">
        <v>6297</v>
      </c>
      <c r="P1283" s="86" t="n">
        <v>0</v>
      </c>
      <c r="Q1283" s="86" t="n">
        <v>0</v>
      </c>
      <c r="R1283" s="132" t="n">
        <v>0</v>
      </c>
      <c r="S1283" s="128" t="n">
        <v>0</v>
      </c>
      <c r="T1283" s="132" t="n">
        <v>3</v>
      </c>
      <c r="U1283" s="128" t="n">
        <v>0</v>
      </c>
      <c r="V1283" s="128" t="n">
        <v>1</v>
      </c>
      <c r="W1283" s="90" t="n">
        <f aca="false">IFERROR(O1283/V1283,0)</f>
        <v>6297</v>
      </c>
      <c r="X1283" s="91" t="n">
        <f aca="false">O1283/L1283</f>
        <v>0.899571428571429</v>
      </c>
      <c r="Y1283" s="92" t="str">
        <f aca="false">IFERROR(VLOOKUP(E:E,'Item Data Support Sheet'!A:J,6,0),0)</f>
        <v>FO017</v>
      </c>
      <c r="Z1283" s="93" t="n">
        <f aca="false">IFERROR(VLOOKUP(E:E,'Item Data Support Sheet'!A:O,4,0),0)</f>
        <v>0</v>
      </c>
      <c r="AA1283" s="93" t="n">
        <f aca="false">IFERROR(((N1283)*(Z1283/1000))+P1283,0)</f>
        <v>0</v>
      </c>
      <c r="AB1283" s="94" t="str">
        <f aca="false">IFERROR((O1283*(Z1283/1000)/(AA1283))," ")</f>
        <v> </v>
      </c>
      <c r="AC1283" s="95" t="n">
        <f aca="false">IFERROR((T1283)/((T1283)+O1283),0)</f>
        <v>0.000476190476190476</v>
      </c>
      <c r="AD1283" s="96" t="n">
        <f aca="false">IFERROR(Q1283/(Q1283+N1283),0)</f>
        <v>0</v>
      </c>
      <c r="AE1283" s="91" t="n">
        <f aca="false">(N1283-T1283)/N1283</f>
        <v>0.999523809523809</v>
      </c>
      <c r="AF1283" s="97" t="n">
        <f aca="false">BR1283</f>
        <v>0.666666666666667</v>
      </c>
      <c r="AG1283" s="98" t="n">
        <f aca="false">K1283-AF1283</f>
        <v>7.33333333333333</v>
      </c>
      <c r="AH1283" s="99" t="n">
        <f aca="false">IFERROR(AG1283/K1283," ")</f>
        <v>0.916666666666667</v>
      </c>
      <c r="AI1283" s="100" t="n">
        <f aca="false">IFERROR(O1283/K1283,0)</f>
        <v>787.125</v>
      </c>
      <c r="AJ1283" s="101" t="n">
        <f aca="false">VLOOKUP(D1283,'Standard Cycle time'!C:D,2,0)</f>
        <v>3.5</v>
      </c>
      <c r="AK1283" s="101" t="n">
        <f aca="false">AG1283*V1283*3600/O1283</f>
        <v>4.19247260600286</v>
      </c>
      <c r="AL1283" s="102" t="n">
        <f aca="false">AJ1283/AK1283</f>
        <v>0.834829545454546</v>
      </c>
      <c r="AM1283" s="99" t="n">
        <f aca="false">AE1283*AL1283*AH1283</f>
        <v>0.764896006944444</v>
      </c>
      <c r="AN1283" s="103" t="n">
        <v>0.764896006944444</v>
      </c>
      <c r="AO1283" s="112" t="s">
        <v>1923</v>
      </c>
      <c r="AP1283" s="105" t="n">
        <v>40</v>
      </c>
      <c r="AQ1283" s="105" t="n">
        <v>0</v>
      </c>
      <c r="AR1283" s="105" t="n">
        <v>0</v>
      </c>
      <c r="AS1283" s="105" t="n">
        <v>0</v>
      </c>
      <c r="AT1283" s="105" t="n">
        <v>0</v>
      </c>
      <c r="AU1283" s="105" t="n">
        <v>0</v>
      </c>
      <c r="AV1283" s="105" t="n">
        <v>0</v>
      </c>
      <c r="AW1283" s="105" t="n">
        <v>0</v>
      </c>
      <c r="AX1283" s="105" t="n">
        <v>0</v>
      </c>
      <c r="AY1283" s="105" t="n">
        <v>0</v>
      </c>
      <c r="AZ1283" s="105" t="n">
        <v>0</v>
      </c>
      <c r="BA1283" s="105" t="n">
        <v>0</v>
      </c>
      <c r="BB1283" s="105" t="n">
        <v>0</v>
      </c>
      <c r="BC1283" s="105" t="n">
        <v>0</v>
      </c>
      <c r="BD1283" s="105" t="n">
        <v>0</v>
      </c>
      <c r="BE1283" s="105" t="n">
        <v>0</v>
      </c>
      <c r="BF1283" s="105" t="n">
        <v>0</v>
      </c>
      <c r="BG1283" s="105" t="n">
        <v>0</v>
      </c>
      <c r="BH1283" s="105" t="n">
        <v>0</v>
      </c>
      <c r="BI1283" s="105" t="n">
        <v>0</v>
      </c>
      <c r="BJ1283" s="105" t="n">
        <v>0</v>
      </c>
      <c r="BK1283" s="105" t="n">
        <v>0</v>
      </c>
      <c r="BL1283" s="105" t="n">
        <v>0</v>
      </c>
      <c r="BM1283" s="105" t="n">
        <v>0</v>
      </c>
      <c r="BN1283" s="105" t="n">
        <v>0</v>
      </c>
      <c r="BO1283" s="105" t="n">
        <v>0</v>
      </c>
      <c r="BP1283" s="105" t="n">
        <v>0</v>
      </c>
      <c r="BQ1283" s="105" t="n">
        <v>0</v>
      </c>
      <c r="BR1283" s="106" t="n">
        <v>0.666666666666667</v>
      </c>
      <c r="BS1283" s="106" t="n">
        <v>0.666666666666667</v>
      </c>
      <c r="BT1283" s="107"/>
      <c r="BU1283" s="107"/>
      <c r="BV1283" s="107"/>
      <c r="BW1283" s="107"/>
      <c r="BX1283" s="107"/>
      <c r="BY1283" s="107"/>
      <c r="BZ1283" s="107"/>
      <c r="CA1283" s="107"/>
      <c r="CB1283" s="107"/>
      <c r="CC1283" s="107"/>
      <c r="CD1283" s="107"/>
      <c r="CE1283" s="107"/>
      <c r="CF1283" s="107"/>
      <c r="CG1283" s="107"/>
      <c r="CH1283" s="107"/>
      <c r="CI1283" s="107"/>
      <c r="CJ1283" s="107"/>
      <c r="CK1283" s="107"/>
      <c r="CL1283" s="107"/>
      <c r="CM1283" s="107"/>
      <c r="CN1283" s="107"/>
      <c r="CO1283" s="107"/>
      <c r="CP1283" s="107"/>
      <c r="CQ1283" s="107"/>
      <c r="CR1283" s="107"/>
      <c r="CS1283" s="107"/>
      <c r="CT1283" s="107"/>
      <c r="CU1283" s="107"/>
      <c r="CV1283" s="107"/>
    </row>
    <row r="1284" customFormat="false" ht="14.9" hidden="false" customHeight="false" outlineLevel="0" collapsed="false">
      <c r="A1284" s="74" t="n">
        <f aca="false">MONTH(B1284)</f>
        <v>11</v>
      </c>
      <c r="B1284" s="135" t="n">
        <v>44518</v>
      </c>
      <c r="C1284" s="128" t="s">
        <v>51</v>
      </c>
      <c r="D1284" s="77" t="str">
        <f aca="false">IFERROR(VLOOKUP(E:E,'Item Data Support Sheet'!A:O,7,0),"")</f>
        <v>NIPPLE LASER MARKING</v>
      </c>
      <c r="E1284" s="80" t="s">
        <v>681</v>
      </c>
      <c r="F1284" s="122"/>
      <c r="G1284" s="137" t="s">
        <v>517</v>
      </c>
      <c r="H1284" s="79" t="str">
        <f aca="false">IFERROR(VLOOKUP(E:E,'Item Data Support Sheet'!A:O,2,0),"")</f>
        <v>NIPPLE S TYPE L SIZE PUNCHED LASER MARKED</v>
      </c>
      <c r="I1284" s="80" t="s">
        <v>2083</v>
      </c>
      <c r="J1284" s="80" t="s">
        <v>143</v>
      </c>
      <c r="K1284" s="124" t="n">
        <v>8</v>
      </c>
      <c r="L1284" s="124" t="n">
        <v>7000</v>
      </c>
      <c r="M1284" s="83" t="n">
        <v>875</v>
      </c>
      <c r="N1284" s="84" t="n">
        <f aca="false">+O1284+Q1284+T1284+U1284</f>
        <v>5000</v>
      </c>
      <c r="O1284" s="85" t="n">
        <v>5000</v>
      </c>
      <c r="P1284" s="86" t="n">
        <v>0</v>
      </c>
      <c r="Q1284" s="86" t="n">
        <v>0</v>
      </c>
      <c r="R1284" s="132" t="n">
        <v>0</v>
      </c>
      <c r="S1284" s="128" t="n">
        <v>0</v>
      </c>
      <c r="T1284" s="132" t="n">
        <v>0</v>
      </c>
      <c r="U1284" s="128" t="n">
        <v>0</v>
      </c>
      <c r="V1284" s="128" t="n">
        <v>1</v>
      </c>
      <c r="W1284" s="90" t="n">
        <f aca="false">IFERROR(O1284/V1284,0)</f>
        <v>5000</v>
      </c>
      <c r="X1284" s="91" t="n">
        <f aca="false">O1284/L1284</f>
        <v>0.714285714285714</v>
      </c>
      <c r="Y1284" s="92" t="str">
        <f aca="false">IFERROR(VLOOKUP(E:E,'Item Data Support Sheet'!A:J,6,0),0)</f>
        <v>FO021</v>
      </c>
      <c r="Z1284" s="93" t="n">
        <f aca="false">IFERROR(VLOOKUP(E:E,'Item Data Support Sheet'!A:O,4,0),0)</f>
        <v>0</v>
      </c>
      <c r="AA1284" s="93" t="n">
        <f aca="false">IFERROR(((N1284)*(Z1284/1000))+P1284,0)</f>
        <v>0</v>
      </c>
      <c r="AB1284" s="94" t="str">
        <f aca="false">IFERROR((O1284*(Z1284/1000)/(AA1284))," ")</f>
        <v> </v>
      </c>
      <c r="AC1284" s="95" t="n">
        <f aca="false">IFERROR((T1284)/((T1284)+O1284),0)</f>
        <v>0</v>
      </c>
      <c r="AD1284" s="96" t="n">
        <f aca="false">IFERROR(Q1284/(Q1284+N1284),0)</f>
        <v>0</v>
      </c>
      <c r="AE1284" s="91" t="n">
        <f aca="false">(N1284-T1284)/N1284</f>
        <v>1</v>
      </c>
      <c r="AF1284" s="97" t="n">
        <f aca="false">BR1284</f>
        <v>0.666666666666667</v>
      </c>
      <c r="AG1284" s="98" t="n">
        <f aca="false">K1284-AF1284</f>
        <v>7.33333333333333</v>
      </c>
      <c r="AH1284" s="99" t="n">
        <f aca="false">IFERROR(AG1284/K1284," ")</f>
        <v>0.916666666666667</v>
      </c>
      <c r="AI1284" s="100" t="n">
        <f aca="false">IFERROR(O1284/K1284,0)</f>
        <v>625</v>
      </c>
      <c r="AJ1284" s="101" t="n">
        <f aca="false">VLOOKUP(D1284,'Standard Cycle time'!C:D,2,0)</f>
        <v>3.5</v>
      </c>
      <c r="AK1284" s="101" t="n">
        <f aca="false">AG1284*V1284*3600/O1284</f>
        <v>5.28</v>
      </c>
      <c r="AL1284" s="102" t="n">
        <f aca="false">AJ1284/AK1284</f>
        <v>0.662878787878788</v>
      </c>
      <c r="AM1284" s="99" t="n">
        <f aca="false">AE1284*AL1284*AH1284</f>
        <v>0.607638888888889</v>
      </c>
      <c r="AN1284" s="103" t="n">
        <v>0.607638888888889</v>
      </c>
      <c r="AO1284" s="112" t="s">
        <v>2084</v>
      </c>
      <c r="AP1284" s="105" t="n">
        <v>40</v>
      </c>
      <c r="AQ1284" s="105" t="n">
        <v>0</v>
      </c>
      <c r="AR1284" s="105" t="n">
        <v>0</v>
      </c>
      <c r="AS1284" s="105" t="n">
        <v>0</v>
      </c>
      <c r="AT1284" s="105" t="n">
        <v>0</v>
      </c>
      <c r="AU1284" s="105" t="n">
        <v>0</v>
      </c>
      <c r="AV1284" s="105" t="n">
        <v>0</v>
      </c>
      <c r="AW1284" s="105" t="n">
        <v>0</v>
      </c>
      <c r="AX1284" s="105" t="n">
        <v>0</v>
      </c>
      <c r="AY1284" s="105" t="n">
        <v>0</v>
      </c>
      <c r="AZ1284" s="105" t="n">
        <v>0</v>
      </c>
      <c r="BA1284" s="105" t="n">
        <v>0</v>
      </c>
      <c r="BB1284" s="105" t="n">
        <v>0</v>
      </c>
      <c r="BC1284" s="105" t="n">
        <v>0</v>
      </c>
      <c r="BD1284" s="105" t="n">
        <v>0</v>
      </c>
      <c r="BE1284" s="105" t="n">
        <v>0</v>
      </c>
      <c r="BF1284" s="105" t="n">
        <v>0</v>
      </c>
      <c r="BG1284" s="105" t="n">
        <v>0</v>
      </c>
      <c r="BH1284" s="105" t="n">
        <v>0</v>
      </c>
      <c r="BI1284" s="105" t="n">
        <v>0</v>
      </c>
      <c r="BJ1284" s="105" t="n">
        <v>0</v>
      </c>
      <c r="BK1284" s="105" t="n">
        <v>0</v>
      </c>
      <c r="BL1284" s="105" t="n">
        <v>0</v>
      </c>
      <c r="BM1284" s="105" t="n">
        <v>0</v>
      </c>
      <c r="BN1284" s="105" t="n">
        <v>0</v>
      </c>
      <c r="BO1284" s="105" t="n">
        <v>0</v>
      </c>
      <c r="BP1284" s="105" t="n">
        <v>0</v>
      </c>
      <c r="BQ1284" s="105" t="n">
        <v>0</v>
      </c>
      <c r="BR1284" s="106" t="n">
        <v>0.666666666666667</v>
      </c>
      <c r="BS1284" s="106" t="n">
        <v>0.666666666666667</v>
      </c>
      <c r="BT1284" s="107"/>
      <c r="BU1284" s="107"/>
      <c r="BV1284" s="107"/>
      <c r="BW1284" s="107"/>
      <c r="BX1284" s="107"/>
      <c r="BY1284" s="107"/>
      <c r="BZ1284" s="107"/>
      <c r="CA1284" s="107"/>
      <c r="CB1284" s="107"/>
      <c r="CC1284" s="107"/>
      <c r="CD1284" s="107"/>
      <c r="CE1284" s="107"/>
      <c r="CF1284" s="107"/>
      <c r="CG1284" s="107"/>
      <c r="CH1284" s="107"/>
      <c r="CI1284" s="107"/>
      <c r="CJ1284" s="107"/>
      <c r="CK1284" s="107"/>
      <c r="CL1284" s="107"/>
      <c r="CM1284" s="107"/>
      <c r="CN1284" s="107"/>
      <c r="CO1284" s="107"/>
      <c r="CP1284" s="107"/>
      <c r="CQ1284" s="107"/>
      <c r="CR1284" s="107"/>
      <c r="CS1284" s="107"/>
      <c r="CT1284" s="107"/>
      <c r="CU1284" s="107"/>
      <c r="CV1284" s="107"/>
    </row>
    <row r="1285" customFormat="false" ht="14.9" hidden="false" customHeight="false" outlineLevel="0" collapsed="false">
      <c r="A1285" s="74" t="n">
        <f aca="false">MONTH(B1285)</f>
        <v>11</v>
      </c>
      <c r="B1285" s="135" t="n">
        <v>44518</v>
      </c>
      <c r="C1285" s="128" t="s">
        <v>51</v>
      </c>
      <c r="D1285" s="77" t="str">
        <f aca="false">IFERROR(VLOOKUP(E:E,'Item Data Support Sheet'!A:O,7,0),"")</f>
        <v>NIPPLE MOLDED</v>
      </c>
      <c r="E1285" s="80" t="s">
        <v>661</v>
      </c>
      <c r="F1285" s="122" t="s">
        <v>137</v>
      </c>
      <c r="G1285" s="137" t="s">
        <v>138</v>
      </c>
      <c r="H1285" s="79" t="str">
        <f aca="false">IFERROR(VLOOKUP(E:E,'Item Data Support Sheet'!A:O,2,0),"")</f>
        <v>NIPPLE S TYPE L SIZE INJECTION</v>
      </c>
      <c r="I1285" s="80" t="s">
        <v>2079</v>
      </c>
      <c r="J1285" s="80" t="s">
        <v>143</v>
      </c>
      <c r="K1285" s="124" t="n">
        <v>8</v>
      </c>
      <c r="L1285" s="124" t="n">
        <v>4815</v>
      </c>
      <c r="M1285" s="83" t="n">
        <v>601.875</v>
      </c>
      <c r="N1285" s="84" t="n">
        <f aca="false">+O1285+Q1285+T1285+U1285</f>
        <v>4307</v>
      </c>
      <c r="O1285" s="85" t="n">
        <v>4200</v>
      </c>
      <c r="P1285" s="86" t="n">
        <v>4.567</v>
      </c>
      <c r="Q1285" s="86" t="n">
        <v>58</v>
      </c>
      <c r="R1285" s="132" t="n">
        <v>0</v>
      </c>
      <c r="S1285" s="128" t="n">
        <v>0</v>
      </c>
      <c r="T1285" s="132" t="n">
        <v>41</v>
      </c>
      <c r="U1285" s="128" t="n">
        <v>8</v>
      </c>
      <c r="V1285" s="128" t="n">
        <v>1</v>
      </c>
      <c r="W1285" s="90" t="n">
        <f aca="false">IFERROR(O1285/V1285,0)</f>
        <v>4200</v>
      </c>
      <c r="X1285" s="91" t="n">
        <f aca="false">O1285/L1285</f>
        <v>0.872274143302181</v>
      </c>
      <c r="Y1285" s="92" t="str">
        <f aca="false">IFERROR(VLOOKUP(E:E,'Item Data Support Sheet'!A:J,6,0),0)</f>
        <v>Silicon</v>
      </c>
      <c r="Z1285" s="93" t="n">
        <f aca="false">IFERROR(VLOOKUP(E:E,'Item Data Support Sheet'!A:O,4,0),0)</f>
        <v>6.8</v>
      </c>
      <c r="AA1285" s="93" t="n">
        <f aca="false">IFERROR(((N1285)*(Z1285/1000))+P1285,0)</f>
        <v>33.8546</v>
      </c>
      <c r="AB1285" s="94" t="n">
        <f aca="false">IFERROR((O1285*(Z1285/1000)/(AA1285))," ")</f>
        <v>0.84360766336037</v>
      </c>
      <c r="AC1285" s="95" t="n">
        <f aca="false">IFERROR((T1285)/((T1285)+O1285),0)</f>
        <v>0.00966753124263146</v>
      </c>
      <c r="AD1285" s="96" t="n">
        <f aca="false">IFERROR(Q1285/(Q1285+N1285),0)</f>
        <v>0.0132875143184422</v>
      </c>
      <c r="AE1285" s="91" t="n">
        <f aca="false">(N1285-T1285)/N1285</f>
        <v>0.990480612955654</v>
      </c>
      <c r="AF1285" s="97" t="n">
        <f aca="false">BR1285</f>
        <v>1.66666666666667</v>
      </c>
      <c r="AG1285" s="98" t="n">
        <f aca="false">K1285-AF1285</f>
        <v>6.33333333333333</v>
      </c>
      <c r="AH1285" s="99" t="n">
        <f aca="false">IFERROR(AG1285/K1285," ")</f>
        <v>0.791666666666666</v>
      </c>
      <c r="AI1285" s="100" t="n">
        <f aca="false">IFERROR(O1285/K1285,0)</f>
        <v>525</v>
      </c>
      <c r="AJ1285" s="101" t="n">
        <f aca="false">VLOOKUP(D1285,'Standard Cycle time'!C:D,2,0)</f>
        <v>5.25</v>
      </c>
      <c r="AK1285" s="101" t="n">
        <f aca="false">AG1285*V1285*3600/O1285</f>
        <v>5.42857142857143</v>
      </c>
      <c r="AL1285" s="102" t="n">
        <f aca="false">AJ1285/AK1285</f>
        <v>0.967105263157895</v>
      </c>
      <c r="AM1285" s="99" t="n">
        <f aca="false">AE1285*AL1285*AH1285</f>
        <v>0.758336719294172</v>
      </c>
      <c r="AN1285" s="103" t="n">
        <v>0.758336719294172</v>
      </c>
      <c r="AO1285" s="112"/>
      <c r="AP1285" s="105" t="n">
        <v>0</v>
      </c>
      <c r="AQ1285" s="105" t="n">
        <v>0</v>
      </c>
      <c r="AR1285" s="105" t="n">
        <v>0</v>
      </c>
      <c r="AS1285" s="105" t="n">
        <v>0</v>
      </c>
      <c r="AT1285" s="105" t="n">
        <v>0</v>
      </c>
      <c r="AU1285" s="105" t="n">
        <v>40</v>
      </c>
      <c r="AV1285" s="105" t="n">
        <v>30</v>
      </c>
      <c r="AW1285" s="105" t="n">
        <v>0</v>
      </c>
      <c r="AX1285" s="105" t="n">
        <v>30</v>
      </c>
      <c r="AY1285" s="105" t="n">
        <v>0</v>
      </c>
      <c r="AZ1285" s="105" t="n">
        <v>0</v>
      </c>
      <c r="BA1285" s="105" t="n">
        <v>0</v>
      </c>
      <c r="BB1285" s="105" t="n">
        <v>0</v>
      </c>
      <c r="BC1285" s="105" t="n">
        <v>0</v>
      </c>
      <c r="BD1285" s="105" t="n">
        <v>0</v>
      </c>
      <c r="BE1285" s="105" t="n">
        <v>0</v>
      </c>
      <c r="BF1285" s="105" t="n">
        <v>0</v>
      </c>
      <c r="BG1285" s="105" t="n">
        <v>0</v>
      </c>
      <c r="BH1285" s="105" t="n">
        <v>0</v>
      </c>
      <c r="BI1285" s="105" t="n">
        <v>0</v>
      </c>
      <c r="BJ1285" s="105" t="n">
        <v>0</v>
      </c>
      <c r="BK1285" s="105" t="n">
        <v>0</v>
      </c>
      <c r="BL1285" s="105" t="n">
        <v>0</v>
      </c>
      <c r="BM1285" s="105" t="n">
        <v>0</v>
      </c>
      <c r="BN1285" s="105" t="n">
        <v>0</v>
      </c>
      <c r="BO1285" s="105" t="n">
        <v>0</v>
      </c>
      <c r="BP1285" s="105" t="n">
        <v>0</v>
      </c>
      <c r="BQ1285" s="105" t="n">
        <v>0</v>
      </c>
      <c r="BR1285" s="106" t="n">
        <v>1.66666666666667</v>
      </c>
      <c r="BS1285" s="106" t="n">
        <v>1.66666666666667</v>
      </c>
      <c r="BT1285" s="107"/>
      <c r="BU1285" s="107"/>
      <c r="BV1285" s="107"/>
      <c r="BW1285" s="107"/>
      <c r="BX1285" s="107"/>
      <c r="BY1285" s="107"/>
      <c r="BZ1285" s="107"/>
      <c r="CA1285" s="107"/>
      <c r="CB1285" s="107"/>
      <c r="CC1285" s="107"/>
      <c r="CD1285" s="107"/>
      <c r="CE1285" s="107"/>
      <c r="CF1285" s="107"/>
      <c r="CG1285" s="107"/>
      <c r="CH1285" s="107"/>
      <c r="CI1285" s="107"/>
      <c r="CJ1285" s="107"/>
      <c r="CK1285" s="107"/>
      <c r="CL1285" s="107"/>
      <c r="CM1285" s="107"/>
      <c r="CN1285" s="107"/>
      <c r="CO1285" s="107"/>
      <c r="CP1285" s="107"/>
      <c r="CQ1285" s="107"/>
      <c r="CR1285" s="107"/>
      <c r="CS1285" s="107"/>
      <c r="CT1285" s="107"/>
      <c r="CU1285" s="107"/>
      <c r="CV1285" s="107"/>
    </row>
    <row r="1286" customFormat="false" ht="14.9" hidden="false" customHeight="false" outlineLevel="0" collapsed="false">
      <c r="A1286" s="74" t="n">
        <f aca="false">MONTH(B1286)</f>
        <v>11</v>
      </c>
      <c r="B1286" s="135" t="n">
        <v>44518</v>
      </c>
      <c r="C1286" s="128" t="s">
        <v>51</v>
      </c>
      <c r="D1286" s="77" t="str">
        <f aca="false">IFERROR(VLOOKUP(E:E,'Item Data Support Sheet'!A:O,7,0),"")</f>
        <v>BOTTLE MOLDED</v>
      </c>
      <c r="E1286" s="80" t="s">
        <v>78</v>
      </c>
      <c r="F1286" s="122" t="s">
        <v>79</v>
      </c>
      <c r="G1286" s="137" t="s">
        <v>80</v>
      </c>
      <c r="H1286" s="79" t="str">
        <f aca="false">IFERROR(VLOOKUP(E:E,'Item Data Support Sheet'!A:O,2,0),"")</f>
        <v>RPP 120 ML BOTTLE MOLDED</v>
      </c>
      <c r="I1286" s="80" t="s">
        <v>2085</v>
      </c>
      <c r="J1286" s="80" t="s">
        <v>143</v>
      </c>
      <c r="K1286" s="124" t="n">
        <v>8</v>
      </c>
      <c r="L1286" s="124" t="n">
        <v>2574</v>
      </c>
      <c r="M1286" s="83" t="n">
        <v>321.75</v>
      </c>
      <c r="N1286" s="84" t="n">
        <f aca="false">+O1286+Q1286+T1286+U1286</f>
        <v>2872</v>
      </c>
      <c r="O1286" s="85" t="n">
        <v>2700</v>
      </c>
      <c r="P1286" s="86" t="n">
        <v>0</v>
      </c>
      <c r="Q1286" s="86" t="n">
        <v>92</v>
      </c>
      <c r="R1286" s="132" t="n">
        <v>0</v>
      </c>
      <c r="S1286" s="128" t="n">
        <v>0</v>
      </c>
      <c r="T1286" s="132" t="n">
        <v>72</v>
      </c>
      <c r="U1286" s="128" t="n">
        <v>8</v>
      </c>
      <c r="V1286" s="128" t="n">
        <v>1</v>
      </c>
      <c r="W1286" s="90" t="n">
        <f aca="false">IFERROR(O1286/V1286,0)</f>
        <v>2700</v>
      </c>
      <c r="X1286" s="91" t="n">
        <f aca="false">O1286/L1286</f>
        <v>1.04895104895105</v>
      </c>
      <c r="Y1286" s="92" t="str">
        <f aca="false">IFERROR(VLOOKUP(E:E,'Item Data Support Sheet'!A:J,6,0),0)</f>
        <v>HMC</v>
      </c>
      <c r="Z1286" s="93" t="n">
        <f aca="false">IFERROR(VLOOKUP(E:E,'Item Data Support Sheet'!A:O,4,0),0)</f>
        <v>21.3</v>
      </c>
      <c r="AA1286" s="93" t="n">
        <f aca="false">IFERROR(((N1286)*(Z1286/1000))+P1286,0)</f>
        <v>61.1736</v>
      </c>
      <c r="AB1286" s="94" t="n">
        <f aca="false">IFERROR((O1286*(Z1286/1000)/(AA1286))," ")</f>
        <v>0.940111420612813</v>
      </c>
      <c r="AC1286" s="95" t="n">
        <f aca="false">IFERROR((T1286)/((T1286)+O1286),0)</f>
        <v>0.025974025974026</v>
      </c>
      <c r="AD1286" s="96" t="n">
        <f aca="false">IFERROR(Q1286/(Q1286+N1286),0)</f>
        <v>0.0310391363022942</v>
      </c>
      <c r="AE1286" s="91" t="n">
        <f aca="false">(N1286-T1286)/N1286</f>
        <v>0.974930362116992</v>
      </c>
      <c r="AF1286" s="97" t="n">
        <f aca="false">BR1286</f>
        <v>0</v>
      </c>
      <c r="AG1286" s="98" t="n">
        <f aca="false">K1286-AF1286</f>
        <v>8</v>
      </c>
      <c r="AH1286" s="99" t="n">
        <f aca="false">IFERROR(AG1286/K1286," ")</f>
        <v>1</v>
      </c>
      <c r="AI1286" s="100" t="n">
        <f aca="false">IFERROR(O1286/K1286,0)</f>
        <v>337.5</v>
      </c>
      <c r="AJ1286" s="101" t="n">
        <f aca="false">VLOOKUP(D1286,'Standard Cycle time'!C:D,2,0)</f>
        <v>9</v>
      </c>
      <c r="AK1286" s="101" t="n">
        <f aca="false">AG1286*V1286*3600/O1286</f>
        <v>10.6666666666667</v>
      </c>
      <c r="AL1286" s="102" t="n">
        <f aca="false">AJ1286/AK1286</f>
        <v>0.84375</v>
      </c>
      <c r="AM1286" s="99" t="n">
        <f aca="false">AE1286*AL1286*AH1286</f>
        <v>0.822597493036212</v>
      </c>
      <c r="AN1286" s="103" t="n">
        <v>0.822597493036212</v>
      </c>
      <c r="AO1286" s="112"/>
      <c r="AP1286" s="105" t="n">
        <v>0</v>
      </c>
      <c r="AQ1286" s="105" t="n">
        <v>0</v>
      </c>
      <c r="AR1286" s="105" t="n">
        <v>0</v>
      </c>
      <c r="AS1286" s="105" t="n">
        <v>0</v>
      </c>
      <c r="AT1286" s="105" t="n">
        <v>0</v>
      </c>
      <c r="AU1286" s="105" t="n">
        <v>0</v>
      </c>
      <c r="AV1286" s="105" t="n">
        <v>0</v>
      </c>
      <c r="AW1286" s="105" t="n">
        <v>0</v>
      </c>
      <c r="AX1286" s="105" t="n">
        <v>0</v>
      </c>
      <c r="AY1286" s="105" t="n">
        <v>0</v>
      </c>
      <c r="AZ1286" s="105" t="n">
        <v>0</v>
      </c>
      <c r="BA1286" s="105" t="n">
        <v>0</v>
      </c>
      <c r="BB1286" s="105" t="n">
        <v>0</v>
      </c>
      <c r="BC1286" s="105" t="n">
        <v>0</v>
      </c>
      <c r="BD1286" s="105" t="n">
        <v>0</v>
      </c>
      <c r="BE1286" s="105" t="n">
        <v>0</v>
      </c>
      <c r="BF1286" s="105" t="n">
        <v>0</v>
      </c>
      <c r="BG1286" s="105" t="n">
        <v>0</v>
      </c>
      <c r="BH1286" s="105" t="n">
        <v>0</v>
      </c>
      <c r="BI1286" s="105" t="n">
        <v>0</v>
      </c>
      <c r="BJ1286" s="105" t="n">
        <v>0</v>
      </c>
      <c r="BK1286" s="105" t="n">
        <v>0</v>
      </c>
      <c r="BL1286" s="105" t="n">
        <v>0</v>
      </c>
      <c r="BM1286" s="105" t="n">
        <v>0</v>
      </c>
      <c r="BN1286" s="105" t="n">
        <v>0</v>
      </c>
      <c r="BO1286" s="105" t="n">
        <v>0</v>
      </c>
      <c r="BP1286" s="105" t="n">
        <v>0</v>
      </c>
      <c r="BQ1286" s="105" t="n">
        <v>0</v>
      </c>
      <c r="BR1286" s="106" t="n">
        <v>0</v>
      </c>
      <c r="BS1286" s="106" t="n">
        <v>0</v>
      </c>
      <c r="BT1286" s="107"/>
      <c r="BU1286" s="107"/>
      <c r="BV1286" s="107"/>
      <c r="BW1286" s="107"/>
      <c r="BX1286" s="107"/>
      <c r="BY1286" s="107"/>
      <c r="BZ1286" s="107"/>
      <c r="CA1286" s="107"/>
      <c r="CB1286" s="107"/>
      <c r="CC1286" s="107"/>
      <c r="CD1286" s="107"/>
      <c r="CE1286" s="107"/>
      <c r="CF1286" s="107"/>
      <c r="CG1286" s="107"/>
      <c r="CH1286" s="107"/>
      <c r="CI1286" s="107"/>
      <c r="CJ1286" s="107"/>
      <c r="CK1286" s="107"/>
      <c r="CL1286" s="107"/>
      <c r="CM1286" s="107"/>
      <c r="CN1286" s="107"/>
      <c r="CO1286" s="107"/>
      <c r="CP1286" s="107"/>
      <c r="CQ1286" s="107"/>
      <c r="CR1286" s="107"/>
      <c r="CS1286" s="107"/>
      <c r="CT1286" s="107"/>
      <c r="CU1286" s="107"/>
      <c r="CV1286" s="107"/>
    </row>
    <row r="1287" customFormat="false" ht="14.9" hidden="false" customHeight="false" outlineLevel="0" collapsed="false">
      <c r="A1287" s="74" t="n">
        <f aca="false">MONTH(B1287)</f>
        <v>11</v>
      </c>
      <c r="B1287" s="135" t="n">
        <v>44518</v>
      </c>
      <c r="C1287" s="128" t="s">
        <v>51</v>
      </c>
      <c r="D1287" s="77" t="str">
        <f aca="false">IFERROR(VLOOKUP(E:E,'Item Data Support Sheet'!A:O,7,0),"")</f>
        <v>BOTTLE PRINTED</v>
      </c>
      <c r="E1287" s="80" t="s">
        <v>65</v>
      </c>
      <c r="F1287" s="122"/>
      <c r="G1287" s="137" t="s">
        <v>66</v>
      </c>
      <c r="H1287" s="79" t="str">
        <f aca="false">IFERROR(VLOOKUP(E:E,'Item Data Support Sheet'!A:O,2,0),"")</f>
        <v>KPP 240 ML BOTTLE PRINTED</v>
      </c>
      <c r="I1287" s="80" t="s">
        <v>2086</v>
      </c>
      <c r="J1287" s="80" t="s">
        <v>1960</v>
      </c>
      <c r="K1287" s="124" t="n">
        <v>3</v>
      </c>
      <c r="L1287" s="124" t="n">
        <v>1926</v>
      </c>
      <c r="M1287" s="83" t="n">
        <v>642</v>
      </c>
      <c r="N1287" s="84" t="n">
        <f aca="false">+O1287+Q1287+T1287+U1287</f>
        <v>928</v>
      </c>
      <c r="O1287" s="85" t="n">
        <v>917</v>
      </c>
      <c r="P1287" s="86" t="n">
        <v>0</v>
      </c>
      <c r="Q1287" s="86" t="n">
        <v>0</v>
      </c>
      <c r="R1287" s="132" t="n">
        <v>7</v>
      </c>
      <c r="S1287" s="128" t="n">
        <v>0</v>
      </c>
      <c r="T1287" s="132" t="n">
        <v>11</v>
      </c>
      <c r="U1287" s="128" t="n">
        <v>0</v>
      </c>
      <c r="V1287" s="128" t="n">
        <v>4</v>
      </c>
      <c r="W1287" s="90" t="n">
        <f aca="false">IFERROR(O1287/V1287,0)</f>
        <v>229.25</v>
      </c>
      <c r="X1287" s="91" t="n">
        <f aca="false">O1287/L1287</f>
        <v>0.476116303219107</v>
      </c>
      <c r="Y1287" s="92" t="str">
        <f aca="false">IFERROR(VLOOKUP(E:E,'Item Data Support Sheet'!A:J,6,0),0)</f>
        <v>FO003</v>
      </c>
      <c r="Z1287" s="93" t="n">
        <f aca="false">IFERROR(VLOOKUP(E:E,'Item Data Support Sheet'!A:O,4,0),0)</f>
        <v>0</v>
      </c>
      <c r="AA1287" s="93" t="n">
        <f aca="false">IFERROR(((N1287)*(Z1287/1000))+P1287,0)</f>
        <v>0</v>
      </c>
      <c r="AB1287" s="94" t="str">
        <f aca="false">IFERROR((O1287*(Z1287/1000)/(AA1287))," ")</f>
        <v> </v>
      </c>
      <c r="AC1287" s="95" t="n">
        <f aca="false">IFERROR((T1287)/((T1287)+O1287),0)</f>
        <v>0.0118534482758621</v>
      </c>
      <c r="AD1287" s="96" t="n">
        <f aca="false">IFERROR(Q1287/(Q1287+N1287),0)</f>
        <v>0</v>
      </c>
      <c r="AE1287" s="91" t="n">
        <f aca="false">(N1287-T1287)/N1287</f>
        <v>0.988146551724138</v>
      </c>
      <c r="AF1287" s="97" t="n">
        <f aca="false">BR1287</f>
        <v>0.666666666666667</v>
      </c>
      <c r="AG1287" s="98" t="n">
        <f aca="false">K1287-AF1287</f>
        <v>2.33333333333333</v>
      </c>
      <c r="AH1287" s="99" t="n">
        <f aca="false">IFERROR(AG1287/K1287," ")</f>
        <v>0.777777777777778</v>
      </c>
      <c r="AI1287" s="100" t="n">
        <f aca="false">IFERROR(O1287/K1287,0)</f>
        <v>305.666666666667</v>
      </c>
      <c r="AJ1287" s="101" t="n">
        <f aca="false">VLOOKUP(D1287,'Standard Cycle time'!C:D,2,0)</f>
        <v>32.4</v>
      </c>
      <c r="AK1287" s="101" t="n">
        <f aca="false">AG1287*V1287*3600/O1287</f>
        <v>36.6412213740458</v>
      </c>
      <c r="AL1287" s="102" t="n">
        <f aca="false">AJ1287/AK1287</f>
        <v>0.88425</v>
      </c>
      <c r="AM1287" s="99" t="n">
        <f aca="false">AE1287*AL1287*AH1287</f>
        <v>0.679597790948276</v>
      </c>
      <c r="AN1287" s="103" t="n">
        <v>0.679597790948276</v>
      </c>
      <c r="AO1287" s="112" t="s">
        <v>2087</v>
      </c>
      <c r="AP1287" s="105" t="n">
        <v>0</v>
      </c>
      <c r="AQ1287" s="105" t="n">
        <v>40</v>
      </c>
      <c r="AR1287" s="105" t="n">
        <v>0</v>
      </c>
      <c r="AS1287" s="105" t="n">
        <v>0</v>
      </c>
      <c r="AT1287" s="105" t="n">
        <v>0</v>
      </c>
      <c r="AU1287" s="105" t="n">
        <v>0</v>
      </c>
      <c r="AV1287" s="105" t="n">
        <v>0</v>
      </c>
      <c r="AW1287" s="105" t="n">
        <v>0</v>
      </c>
      <c r="AX1287" s="105" t="n">
        <v>0</v>
      </c>
      <c r="AY1287" s="105" t="n">
        <v>0</v>
      </c>
      <c r="AZ1287" s="105" t="n">
        <v>0</v>
      </c>
      <c r="BA1287" s="105" t="n">
        <v>0</v>
      </c>
      <c r="BB1287" s="105" t="n">
        <v>0</v>
      </c>
      <c r="BC1287" s="105" t="n">
        <v>0</v>
      </c>
      <c r="BD1287" s="105" t="n">
        <v>0</v>
      </c>
      <c r="BE1287" s="105" t="n">
        <v>0</v>
      </c>
      <c r="BF1287" s="105" t="n">
        <v>0</v>
      </c>
      <c r="BG1287" s="105" t="n">
        <v>0</v>
      </c>
      <c r="BH1287" s="105" t="n">
        <v>0</v>
      </c>
      <c r="BI1287" s="105" t="n">
        <v>0</v>
      </c>
      <c r="BJ1287" s="105" t="n">
        <v>0</v>
      </c>
      <c r="BK1287" s="105" t="n">
        <v>0</v>
      </c>
      <c r="BL1287" s="105" t="n">
        <v>0</v>
      </c>
      <c r="BM1287" s="105" t="n">
        <v>0</v>
      </c>
      <c r="BN1287" s="105" t="n">
        <v>0</v>
      </c>
      <c r="BO1287" s="105" t="n">
        <v>0</v>
      </c>
      <c r="BP1287" s="105" t="n">
        <v>0</v>
      </c>
      <c r="BQ1287" s="105" t="n">
        <v>0</v>
      </c>
      <c r="BR1287" s="106" t="n">
        <v>0.666666666666667</v>
      </c>
      <c r="BS1287" s="106" t="n">
        <v>0.666666666666667</v>
      </c>
      <c r="BT1287" s="107"/>
      <c r="BU1287" s="107"/>
      <c r="BV1287" s="107"/>
      <c r="BW1287" s="107"/>
      <c r="BX1287" s="107"/>
      <c r="BY1287" s="107"/>
      <c r="BZ1287" s="107"/>
      <c r="CA1287" s="107"/>
      <c r="CB1287" s="107"/>
      <c r="CC1287" s="107"/>
      <c r="CD1287" s="107"/>
      <c r="CE1287" s="107"/>
      <c r="CF1287" s="107"/>
      <c r="CG1287" s="107"/>
      <c r="CH1287" s="107"/>
      <c r="CI1287" s="107"/>
      <c r="CJ1287" s="107"/>
      <c r="CK1287" s="107"/>
      <c r="CL1287" s="107"/>
      <c r="CM1287" s="107"/>
      <c r="CN1287" s="107"/>
      <c r="CO1287" s="107"/>
      <c r="CP1287" s="107"/>
      <c r="CQ1287" s="107"/>
      <c r="CR1287" s="107"/>
      <c r="CS1287" s="107"/>
      <c r="CT1287" s="107"/>
      <c r="CU1287" s="107"/>
      <c r="CV1287" s="107"/>
    </row>
    <row r="1288" customFormat="false" ht="14.9" hidden="false" customHeight="false" outlineLevel="0" collapsed="false">
      <c r="A1288" s="74" t="n">
        <f aca="false">MONTH(B1288)</f>
        <v>11</v>
      </c>
      <c r="B1288" s="135" t="n">
        <v>44518</v>
      </c>
      <c r="C1288" s="128" t="s">
        <v>51</v>
      </c>
      <c r="D1288" s="77" t="str">
        <f aca="false">IFERROR(VLOOKUP(E:E,'Item Data Support Sheet'!A:O,7,0),"")</f>
        <v>BOTTLE PRINTED</v>
      </c>
      <c r="E1288" s="80" t="s">
        <v>387</v>
      </c>
      <c r="F1288" s="122"/>
      <c r="G1288" s="137"/>
      <c r="H1288" s="79" t="str">
        <f aca="false">IFERROR(VLOOKUP(E:E,'Item Data Support Sheet'!A:O,2,0),"")</f>
        <v>KPP 240 BOTTLE PRINTED (WMG3B) W/O OZ &amp; W/BIS LOGO</v>
      </c>
      <c r="I1288" s="80" t="s">
        <v>2088</v>
      </c>
      <c r="J1288" s="80" t="s">
        <v>1960</v>
      </c>
      <c r="K1288" s="124" t="n">
        <v>2</v>
      </c>
      <c r="L1288" s="124" t="n">
        <v>1284</v>
      </c>
      <c r="M1288" s="83" t="n">
        <v>642</v>
      </c>
      <c r="N1288" s="84" t="n">
        <f aca="false">+O1288+Q1288+T1288+U1288</f>
        <v>535</v>
      </c>
      <c r="O1288" s="85" t="n">
        <v>524</v>
      </c>
      <c r="P1288" s="86" t="n">
        <v>0</v>
      </c>
      <c r="Q1288" s="86" t="n">
        <v>0</v>
      </c>
      <c r="R1288" s="132" t="n">
        <v>6</v>
      </c>
      <c r="S1288" s="128" t="n">
        <v>0</v>
      </c>
      <c r="T1288" s="132" t="n">
        <v>11</v>
      </c>
      <c r="U1288" s="128" t="n">
        <v>0</v>
      </c>
      <c r="V1288" s="128" t="n">
        <v>5</v>
      </c>
      <c r="W1288" s="90" t="n">
        <f aca="false">IFERROR(O1288/V1288,0)</f>
        <v>104.8</v>
      </c>
      <c r="X1288" s="91" t="n">
        <f aca="false">O1288/L1288</f>
        <v>0.40809968847352</v>
      </c>
      <c r="Y1288" s="92" t="str">
        <f aca="false">IFERROR(VLOOKUP(E:E,'Item Data Support Sheet'!A:J,6,0),0)</f>
        <v>FO044</v>
      </c>
      <c r="Z1288" s="93" t="n">
        <f aca="false">IFERROR(VLOOKUP(E:E,'Item Data Support Sheet'!A:O,4,0),0)</f>
        <v>0</v>
      </c>
      <c r="AA1288" s="93" t="n">
        <f aca="false">IFERROR(((N1288)*(Z1288/1000))+P1288,0)</f>
        <v>0</v>
      </c>
      <c r="AB1288" s="94" t="str">
        <f aca="false">IFERROR((O1288*(Z1288/1000)/(AA1288))," ")</f>
        <v> </v>
      </c>
      <c r="AC1288" s="95" t="n">
        <f aca="false">IFERROR((T1288)/((T1288)+O1288),0)</f>
        <v>0.0205607476635514</v>
      </c>
      <c r="AD1288" s="96" t="n">
        <f aca="false">IFERROR(Q1288/(Q1288+N1288),0)</f>
        <v>0</v>
      </c>
      <c r="AE1288" s="91" t="n">
        <f aca="false">(N1288-T1288)/N1288</f>
        <v>0.979439252336448</v>
      </c>
      <c r="AF1288" s="97" t="n">
        <f aca="false">BR1288</f>
        <v>1</v>
      </c>
      <c r="AG1288" s="98" t="n">
        <f aca="false">K1288-AF1288</f>
        <v>1</v>
      </c>
      <c r="AH1288" s="99" t="n">
        <f aca="false">IFERROR(AG1288/K1288," ")</f>
        <v>0.5</v>
      </c>
      <c r="AI1288" s="100" t="n">
        <f aca="false">IFERROR(O1288/K1288,0)</f>
        <v>262</v>
      </c>
      <c r="AJ1288" s="101" t="n">
        <f aca="false">VLOOKUP(D1288,'Standard Cycle time'!C:D,2,0)</f>
        <v>32.4</v>
      </c>
      <c r="AK1288" s="101" t="n">
        <f aca="false">AG1288*V1288*3600/O1288</f>
        <v>34.3511450381679</v>
      </c>
      <c r="AL1288" s="102" t="n">
        <f aca="false">AJ1288/AK1288</f>
        <v>0.9432</v>
      </c>
      <c r="AM1288" s="99" t="n">
        <f aca="false">AE1288*AL1288*AH1288</f>
        <v>0.461903551401869</v>
      </c>
      <c r="AN1288" s="103" t="n">
        <v>0.461903551401869</v>
      </c>
      <c r="AO1288" s="112" t="s">
        <v>2089</v>
      </c>
      <c r="AP1288" s="105" t="n">
        <v>0</v>
      </c>
      <c r="AQ1288" s="105" t="n">
        <v>60</v>
      </c>
      <c r="AR1288" s="105" t="n">
        <v>0</v>
      </c>
      <c r="AS1288" s="105" t="n">
        <v>0</v>
      </c>
      <c r="AT1288" s="105" t="n">
        <v>0</v>
      </c>
      <c r="AU1288" s="105" t="n">
        <v>0</v>
      </c>
      <c r="AV1288" s="105" t="n">
        <v>0</v>
      </c>
      <c r="AW1288" s="105" t="n">
        <v>0</v>
      </c>
      <c r="AX1288" s="105" t="n">
        <v>0</v>
      </c>
      <c r="AY1288" s="105" t="n">
        <v>0</v>
      </c>
      <c r="AZ1288" s="105" t="n">
        <v>0</v>
      </c>
      <c r="BA1288" s="105" t="n">
        <v>0</v>
      </c>
      <c r="BB1288" s="105" t="n">
        <v>0</v>
      </c>
      <c r="BC1288" s="105" t="n">
        <v>0</v>
      </c>
      <c r="BD1288" s="105" t="n">
        <v>0</v>
      </c>
      <c r="BE1288" s="105" t="n">
        <v>0</v>
      </c>
      <c r="BF1288" s="105" t="n">
        <v>0</v>
      </c>
      <c r="BG1288" s="105" t="n">
        <v>0</v>
      </c>
      <c r="BH1288" s="105" t="n">
        <v>0</v>
      </c>
      <c r="BI1288" s="105" t="n">
        <v>0</v>
      </c>
      <c r="BJ1288" s="105" t="n">
        <v>0</v>
      </c>
      <c r="BK1288" s="105" t="n">
        <v>0</v>
      </c>
      <c r="BL1288" s="105" t="n">
        <v>0</v>
      </c>
      <c r="BM1288" s="105" t="n">
        <v>0</v>
      </c>
      <c r="BN1288" s="105" t="n">
        <v>0</v>
      </c>
      <c r="BO1288" s="105" t="n">
        <v>0</v>
      </c>
      <c r="BP1288" s="105" t="n">
        <v>0</v>
      </c>
      <c r="BQ1288" s="105" t="n">
        <v>0</v>
      </c>
      <c r="BR1288" s="106" t="n">
        <v>1</v>
      </c>
      <c r="BS1288" s="106" t="n">
        <v>1</v>
      </c>
      <c r="BT1288" s="107"/>
      <c r="BU1288" s="107"/>
      <c r="BV1288" s="107"/>
      <c r="BW1288" s="107"/>
      <c r="BX1288" s="107"/>
      <c r="BY1288" s="107"/>
      <c r="BZ1288" s="107"/>
      <c r="CA1288" s="107"/>
      <c r="CB1288" s="107"/>
      <c r="CC1288" s="107"/>
      <c r="CD1288" s="107"/>
      <c r="CE1288" s="107"/>
      <c r="CF1288" s="107"/>
      <c r="CG1288" s="107"/>
      <c r="CH1288" s="107"/>
      <c r="CI1288" s="107"/>
      <c r="CJ1288" s="107"/>
      <c r="CK1288" s="107"/>
      <c r="CL1288" s="107"/>
      <c r="CM1288" s="107"/>
      <c r="CN1288" s="107"/>
      <c r="CO1288" s="107"/>
      <c r="CP1288" s="107"/>
      <c r="CQ1288" s="107"/>
      <c r="CR1288" s="107"/>
      <c r="CS1288" s="107"/>
      <c r="CT1288" s="107"/>
      <c r="CU1288" s="107"/>
      <c r="CV1288" s="107"/>
    </row>
    <row r="1289" customFormat="false" ht="14.9" hidden="false" customHeight="false" outlineLevel="0" collapsed="false">
      <c r="A1289" s="74" t="n">
        <f aca="false">MONTH(B1289)</f>
        <v>11</v>
      </c>
      <c r="B1289" s="135" t="n">
        <v>44518</v>
      </c>
      <c r="C1289" s="128" t="s">
        <v>51</v>
      </c>
      <c r="D1289" s="77" t="str">
        <f aca="false">IFERROR(VLOOKUP(E:E,'Item Data Support Sheet'!A:O,7,0),"")</f>
        <v>BOTTLE PRINTED</v>
      </c>
      <c r="E1289" s="80" t="s">
        <v>591</v>
      </c>
      <c r="F1289" s="122"/>
      <c r="G1289" s="137"/>
      <c r="H1289" s="79" t="str">
        <f aca="false">IFERROR(VLOOKUP(E:E,'Item Data Support Sheet'!A:O,2,0),"")</f>
        <v>RPP 240 ML BOTTLE PRINTED</v>
      </c>
      <c r="I1289" s="80" t="s">
        <v>2090</v>
      </c>
      <c r="J1289" s="80" t="s">
        <v>1960</v>
      </c>
      <c r="K1289" s="124" t="n">
        <v>3</v>
      </c>
      <c r="L1289" s="124" t="n">
        <v>1926</v>
      </c>
      <c r="M1289" s="83" t="n">
        <v>642</v>
      </c>
      <c r="N1289" s="84" t="n">
        <f aca="false">+O1289+Q1289+T1289+U1289</f>
        <v>2052</v>
      </c>
      <c r="O1289" s="85" t="n">
        <v>2040</v>
      </c>
      <c r="P1289" s="86" t="n">
        <v>0</v>
      </c>
      <c r="Q1289" s="86" t="n">
        <v>0</v>
      </c>
      <c r="R1289" s="132" t="n">
        <v>17</v>
      </c>
      <c r="S1289" s="128" t="n">
        <v>0</v>
      </c>
      <c r="T1289" s="132" t="n">
        <v>12</v>
      </c>
      <c r="U1289" s="128" t="n">
        <v>0</v>
      </c>
      <c r="V1289" s="128" t="n">
        <v>5</v>
      </c>
      <c r="W1289" s="90" t="n">
        <f aca="false">IFERROR(O1289/V1289,0)</f>
        <v>408</v>
      </c>
      <c r="X1289" s="91" t="n">
        <f aca="false">O1289/L1289</f>
        <v>1.05919003115265</v>
      </c>
      <c r="Y1289" s="92" t="str">
        <f aca="false">IFERROR(VLOOKUP(E:E,'Item Data Support Sheet'!A:J,6,0),0)</f>
        <v>FO005</v>
      </c>
      <c r="Z1289" s="93" t="n">
        <f aca="false">IFERROR(VLOOKUP(E:E,'Item Data Support Sheet'!A:O,4,0),0)</f>
        <v>0</v>
      </c>
      <c r="AA1289" s="93" t="n">
        <f aca="false">IFERROR(((N1289)*(Z1289/1000))+P1289,0)</f>
        <v>0</v>
      </c>
      <c r="AB1289" s="94" t="str">
        <f aca="false">IFERROR((O1289*(Z1289/1000)/(AA1289))," ")</f>
        <v> </v>
      </c>
      <c r="AC1289" s="95" t="n">
        <f aca="false">IFERROR((T1289)/((T1289)+O1289),0)</f>
        <v>0.00584795321637427</v>
      </c>
      <c r="AD1289" s="96" t="n">
        <f aca="false">IFERROR(Q1289/(Q1289+N1289),0)</f>
        <v>0</v>
      </c>
      <c r="AE1289" s="91" t="n">
        <f aca="false">(N1289-T1289)/N1289</f>
        <v>0.994152046783626</v>
      </c>
      <c r="AF1289" s="97" t="n">
        <f aca="false">BR1289</f>
        <v>0</v>
      </c>
      <c r="AG1289" s="98" t="n">
        <f aca="false">K1289-AF1289</f>
        <v>3</v>
      </c>
      <c r="AH1289" s="99" t="n">
        <f aca="false">IFERROR(AG1289/K1289," ")</f>
        <v>1</v>
      </c>
      <c r="AI1289" s="100" t="n">
        <f aca="false">IFERROR(O1289/K1289,0)</f>
        <v>680</v>
      </c>
      <c r="AJ1289" s="101" t="n">
        <f aca="false">VLOOKUP(D1289,'Standard Cycle time'!C:D,2,0)</f>
        <v>32.4</v>
      </c>
      <c r="AK1289" s="101" t="n">
        <f aca="false">AG1289*V1289*3600/O1289</f>
        <v>26.4705882352941</v>
      </c>
      <c r="AL1289" s="102" t="n">
        <f aca="false">AJ1289/AK1289</f>
        <v>1.224</v>
      </c>
      <c r="AM1289" s="99" t="n">
        <f aca="false">AE1289*AL1289*AH1289</f>
        <v>1.21684210526316</v>
      </c>
      <c r="AN1289" s="103" t="n">
        <v>1.21684210526316</v>
      </c>
      <c r="AO1289" s="112"/>
      <c r="AP1289" s="105" t="n">
        <v>0</v>
      </c>
      <c r="AQ1289" s="105" t="n">
        <v>0</v>
      </c>
      <c r="AR1289" s="105" t="n">
        <v>0</v>
      </c>
      <c r="AS1289" s="105" t="n">
        <v>0</v>
      </c>
      <c r="AT1289" s="105" t="n">
        <v>0</v>
      </c>
      <c r="AU1289" s="105" t="n">
        <v>0</v>
      </c>
      <c r="AV1289" s="105" t="n">
        <v>0</v>
      </c>
      <c r="AW1289" s="105" t="n">
        <v>0</v>
      </c>
      <c r="AX1289" s="105" t="n">
        <v>0</v>
      </c>
      <c r="AY1289" s="105" t="n">
        <v>0</v>
      </c>
      <c r="AZ1289" s="105" t="n">
        <v>0</v>
      </c>
      <c r="BA1289" s="105" t="n">
        <v>0</v>
      </c>
      <c r="BB1289" s="105" t="n">
        <v>0</v>
      </c>
      <c r="BC1289" s="105" t="n">
        <v>0</v>
      </c>
      <c r="BD1289" s="105" t="n">
        <v>0</v>
      </c>
      <c r="BE1289" s="105" t="n">
        <v>0</v>
      </c>
      <c r="BF1289" s="105" t="n">
        <v>0</v>
      </c>
      <c r="BG1289" s="105" t="n">
        <v>0</v>
      </c>
      <c r="BH1289" s="105" t="n">
        <v>0</v>
      </c>
      <c r="BI1289" s="105" t="n">
        <v>0</v>
      </c>
      <c r="BJ1289" s="105" t="n">
        <v>0</v>
      </c>
      <c r="BK1289" s="105" t="n">
        <v>0</v>
      </c>
      <c r="BL1289" s="105" t="n">
        <v>0</v>
      </c>
      <c r="BM1289" s="105" t="n">
        <v>0</v>
      </c>
      <c r="BN1289" s="105" t="n">
        <v>0</v>
      </c>
      <c r="BO1289" s="105" t="n">
        <v>0</v>
      </c>
      <c r="BP1289" s="105" t="n">
        <v>0</v>
      </c>
      <c r="BQ1289" s="105" t="n">
        <v>0</v>
      </c>
      <c r="BR1289" s="106" t="n">
        <v>0</v>
      </c>
      <c r="BS1289" s="106" t="n">
        <v>0</v>
      </c>
      <c r="BT1289" s="107"/>
      <c r="BU1289" s="107"/>
      <c r="BV1289" s="107"/>
      <c r="BW1289" s="107"/>
      <c r="BX1289" s="107"/>
      <c r="BY1289" s="107"/>
      <c r="BZ1289" s="107"/>
      <c r="CA1289" s="107"/>
      <c r="CB1289" s="107"/>
      <c r="CC1289" s="107"/>
      <c r="CD1289" s="107"/>
      <c r="CE1289" s="107"/>
      <c r="CF1289" s="107"/>
      <c r="CG1289" s="107"/>
      <c r="CH1289" s="107"/>
      <c r="CI1289" s="107"/>
      <c r="CJ1289" s="107"/>
      <c r="CK1289" s="107"/>
      <c r="CL1289" s="107"/>
      <c r="CM1289" s="107"/>
      <c r="CN1289" s="107"/>
      <c r="CO1289" s="107"/>
      <c r="CP1289" s="107"/>
      <c r="CQ1289" s="107"/>
      <c r="CR1289" s="107"/>
      <c r="CS1289" s="107"/>
      <c r="CT1289" s="107"/>
      <c r="CU1289" s="107"/>
      <c r="CV1289" s="107"/>
    </row>
    <row r="1290" customFormat="false" ht="14.9" hidden="false" customHeight="false" outlineLevel="0" collapsed="false">
      <c r="A1290" s="74" t="n">
        <f aca="false">MONTH(B1290)</f>
        <v>11</v>
      </c>
      <c r="B1290" s="135" t="n">
        <v>44518</v>
      </c>
      <c r="C1290" s="128" t="s">
        <v>63</v>
      </c>
      <c r="D1290" s="77" t="str">
        <f aca="false">IFERROR(VLOOKUP(E:E,'Item Data Support Sheet'!A:O,7,0),"")</f>
        <v>NIPPLE PUNCH INSPECTED</v>
      </c>
      <c r="E1290" s="80" t="s">
        <v>688</v>
      </c>
      <c r="F1290" s="122"/>
      <c r="G1290" s="137"/>
      <c r="H1290" s="79" t="str">
        <f aca="false">IFERROR(VLOOKUP(E:E,'Item Data Support Sheet'!A:O,2,0),"")</f>
        <v>NIPPLE S TYPE L SIZE PUNCHED INSPECTED</v>
      </c>
      <c r="I1290" s="80" t="s">
        <v>2064</v>
      </c>
      <c r="J1290" s="80" t="s">
        <v>155</v>
      </c>
      <c r="K1290" s="124" t="n">
        <v>8</v>
      </c>
      <c r="L1290" s="124" t="n">
        <v>14000</v>
      </c>
      <c r="M1290" s="83" t="n">
        <v>1750</v>
      </c>
      <c r="N1290" s="84" t="n">
        <f aca="false">+O1290+Q1290+T1290+U1290</f>
        <v>12305</v>
      </c>
      <c r="O1290" s="85" t="n">
        <v>12244</v>
      </c>
      <c r="P1290" s="86" t="n">
        <v>0</v>
      </c>
      <c r="Q1290" s="86" t="n">
        <v>0</v>
      </c>
      <c r="R1290" s="132" t="n">
        <v>0</v>
      </c>
      <c r="S1290" s="128" t="n">
        <v>0</v>
      </c>
      <c r="T1290" s="132" t="n">
        <v>53</v>
      </c>
      <c r="U1290" s="128" t="n">
        <v>8</v>
      </c>
      <c r="V1290" s="128" t="n">
        <v>1</v>
      </c>
      <c r="W1290" s="90" t="n">
        <f aca="false">IFERROR(O1290/V1290,0)</f>
        <v>12244</v>
      </c>
      <c r="X1290" s="91" t="n">
        <f aca="false">O1290/L1290</f>
        <v>0.874571428571429</v>
      </c>
      <c r="Y1290" s="92" t="str">
        <f aca="false">IFERROR(VLOOKUP(E:E,'Item Data Support Sheet'!A:J,6,0),0)</f>
        <v>FO106</v>
      </c>
      <c r="Z1290" s="93" t="n">
        <f aca="false">IFERROR(VLOOKUP(E:E,'Item Data Support Sheet'!A:O,4,0),0)</f>
        <v>0</v>
      </c>
      <c r="AA1290" s="93" t="n">
        <f aca="false">IFERROR(((N1290)*(Z1290/1000))+P1290,0)</f>
        <v>0</v>
      </c>
      <c r="AB1290" s="94" t="str">
        <f aca="false">IFERROR((O1290*(Z1290/1000)/(AA1290))," ")</f>
        <v> </v>
      </c>
      <c r="AC1290" s="95" t="n">
        <f aca="false">IFERROR((T1290)/((T1290)+O1290),0)</f>
        <v>0.00430999430755469</v>
      </c>
      <c r="AD1290" s="96" t="n">
        <f aca="false">IFERROR(Q1290/(Q1290+N1290),0)</f>
        <v>0</v>
      </c>
      <c r="AE1290" s="91" t="n">
        <f aca="false">(N1290-T1290)/N1290</f>
        <v>0.995692807801707</v>
      </c>
      <c r="AF1290" s="97" t="n">
        <f aca="false">BR1290</f>
        <v>0.833333333333333</v>
      </c>
      <c r="AG1290" s="98" t="n">
        <f aca="false">K1290-AF1290</f>
        <v>7.16666666666667</v>
      </c>
      <c r="AH1290" s="99" t="n">
        <f aca="false">IFERROR(AG1290/K1290," ")</f>
        <v>0.895833333333333</v>
      </c>
      <c r="AI1290" s="100" t="n">
        <f aca="false">IFERROR(O1290/K1290,0)</f>
        <v>1530.5</v>
      </c>
      <c r="AJ1290" s="101" t="n">
        <f aca="false">VLOOKUP(D1290,'Standard Cycle time'!C:D,2,0)</f>
        <v>4</v>
      </c>
      <c r="AK1290" s="101" t="n">
        <f aca="false">AG1290*V1290*3600/O1290</f>
        <v>2.10715452466514</v>
      </c>
      <c r="AL1290" s="102" t="n">
        <f aca="false">AJ1290/AK1290</f>
        <v>1.89829457364341</v>
      </c>
      <c r="AM1290" s="99" t="n">
        <f aca="false">AE1290*AL1290*AH1290</f>
        <v>1.6932309359339</v>
      </c>
      <c r="AN1290" s="103" t="n">
        <v>1.69322617079143</v>
      </c>
      <c r="AO1290" s="112"/>
      <c r="AP1290" s="105" t="n">
        <v>50</v>
      </c>
      <c r="AQ1290" s="105" t="n">
        <v>0</v>
      </c>
      <c r="AR1290" s="105" t="n">
        <v>0</v>
      </c>
      <c r="AS1290" s="105" t="n">
        <v>0</v>
      </c>
      <c r="AT1290" s="105" t="n">
        <v>0</v>
      </c>
      <c r="AU1290" s="105" t="n">
        <v>0</v>
      </c>
      <c r="AV1290" s="105" t="n">
        <v>0</v>
      </c>
      <c r="AW1290" s="105" t="n">
        <v>0</v>
      </c>
      <c r="AX1290" s="105" t="n">
        <v>0</v>
      </c>
      <c r="AY1290" s="105" t="n">
        <v>0</v>
      </c>
      <c r="AZ1290" s="105" t="n">
        <v>0</v>
      </c>
      <c r="BA1290" s="105" t="n">
        <v>0</v>
      </c>
      <c r="BB1290" s="105" t="n">
        <v>0</v>
      </c>
      <c r="BC1290" s="105" t="n">
        <v>0</v>
      </c>
      <c r="BD1290" s="105" t="n">
        <v>0</v>
      </c>
      <c r="BE1290" s="105" t="n">
        <v>0</v>
      </c>
      <c r="BF1290" s="105" t="n">
        <v>0</v>
      </c>
      <c r="BG1290" s="105" t="n">
        <v>0</v>
      </c>
      <c r="BH1290" s="105" t="n">
        <v>0</v>
      </c>
      <c r="BI1290" s="105" t="n">
        <v>0</v>
      </c>
      <c r="BJ1290" s="105" t="n">
        <v>0</v>
      </c>
      <c r="BK1290" s="105" t="n">
        <v>0</v>
      </c>
      <c r="BL1290" s="105" t="n">
        <v>0</v>
      </c>
      <c r="BM1290" s="105" t="n">
        <v>0</v>
      </c>
      <c r="BN1290" s="105" t="n">
        <v>0</v>
      </c>
      <c r="BO1290" s="105" t="n">
        <v>0</v>
      </c>
      <c r="BP1290" s="105" t="n">
        <v>0</v>
      </c>
      <c r="BQ1290" s="105" t="n">
        <v>0</v>
      </c>
      <c r="BR1290" s="106" t="n">
        <v>0.833333333333333</v>
      </c>
      <c r="BS1290" s="106" t="n">
        <v>0.833333333333333</v>
      </c>
      <c r="BT1290" s="107"/>
      <c r="BU1290" s="107"/>
      <c r="BV1290" s="107"/>
      <c r="BW1290" s="107"/>
      <c r="BX1290" s="107"/>
      <c r="BY1290" s="107"/>
      <c r="BZ1290" s="107"/>
      <c r="CA1290" s="107"/>
      <c r="CB1290" s="107"/>
      <c r="CC1290" s="107"/>
      <c r="CD1290" s="107"/>
      <c r="CE1290" s="107"/>
      <c r="CF1290" s="107"/>
      <c r="CG1290" s="107"/>
      <c r="CH1290" s="107"/>
      <c r="CI1290" s="107"/>
      <c r="CJ1290" s="107"/>
      <c r="CK1290" s="107"/>
      <c r="CL1290" s="107"/>
      <c r="CM1290" s="107"/>
      <c r="CN1290" s="107"/>
      <c r="CO1290" s="107"/>
      <c r="CP1290" s="107"/>
      <c r="CQ1290" s="107"/>
      <c r="CR1290" s="107"/>
      <c r="CS1290" s="107"/>
      <c r="CT1290" s="107"/>
      <c r="CU1290" s="107"/>
      <c r="CV1290" s="107"/>
    </row>
    <row r="1291" customFormat="false" ht="14.9" hidden="false" customHeight="false" outlineLevel="0" collapsed="false">
      <c r="A1291" s="74" t="n">
        <f aca="false">MONTH(B1291)</f>
        <v>11</v>
      </c>
      <c r="B1291" s="135" t="n">
        <v>44518</v>
      </c>
      <c r="C1291" s="128" t="s">
        <v>63</v>
      </c>
      <c r="D1291" s="77" t="str">
        <f aca="false">IFERROR(VLOOKUP(E:E,'Item Data Support Sheet'!A:O,7,0),"")</f>
        <v>NIPPLE WRAP PRINTED</v>
      </c>
      <c r="E1291" s="80" t="s">
        <v>551</v>
      </c>
      <c r="F1291" s="122"/>
      <c r="G1291" s="137" t="s">
        <v>432</v>
      </c>
      <c r="H1291" s="79" t="str">
        <f aca="false">IFERROR(VLOOKUP(E:E,'Item Data Support Sheet'!A:O,2,0),"")</f>
        <v>NIPPLE S TYPE S SIZE WITH PRINTED WRAP</v>
      </c>
      <c r="I1291" s="80" t="s">
        <v>2091</v>
      </c>
      <c r="J1291" s="80" t="s">
        <v>155</v>
      </c>
      <c r="K1291" s="124" t="n">
        <v>2</v>
      </c>
      <c r="L1291" s="124" t="n">
        <v>4044</v>
      </c>
      <c r="M1291" s="83" t="n">
        <v>2022</v>
      </c>
      <c r="N1291" s="84" t="n">
        <f aca="false">+O1291+Q1291+T1291+U1291</f>
        <v>3000</v>
      </c>
      <c r="O1291" s="85" t="n">
        <v>3000</v>
      </c>
      <c r="P1291" s="86" t="n">
        <v>0</v>
      </c>
      <c r="Q1291" s="86" t="n">
        <v>0</v>
      </c>
      <c r="R1291" s="132" t="n">
        <v>0</v>
      </c>
      <c r="S1291" s="128" t="n">
        <v>0</v>
      </c>
      <c r="T1291" s="132" t="n">
        <v>0</v>
      </c>
      <c r="U1291" s="128" t="n">
        <v>0</v>
      </c>
      <c r="V1291" s="128" t="n">
        <v>2</v>
      </c>
      <c r="W1291" s="90" t="n">
        <f aca="false">IFERROR(O1291/V1291,0)</f>
        <v>1500</v>
      </c>
      <c r="X1291" s="91" t="n">
        <f aca="false">O1291/L1291</f>
        <v>0.741839762611276</v>
      </c>
      <c r="Y1291" s="92" t="str">
        <f aca="false">IFERROR(VLOOKUP(E:E,'Item Data Support Sheet'!A:J,6,0),0)</f>
        <v>FO108</v>
      </c>
      <c r="Z1291" s="93" t="n">
        <f aca="false">IFERROR(VLOOKUP(E:E,'Item Data Support Sheet'!A:O,4,0),0)</f>
        <v>0</v>
      </c>
      <c r="AA1291" s="93" t="n">
        <f aca="false">IFERROR(((N1291)*(Z1291/1000))+P1291,0)</f>
        <v>0</v>
      </c>
      <c r="AB1291" s="94" t="str">
        <f aca="false">IFERROR((O1291*(Z1291/1000)/(AA1291))," ")</f>
        <v> </v>
      </c>
      <c r="AC1291" s="95" t="n">
        <f aca="false">IFERROR((T1291)/((T1291)+O1291),0)</f>
        <v>0</v>
      </c>
      <c r="AD1291" s="96" t="n">
        <f aca="false">IFERROR(Q1291/(Q1291+N1291),0)</f>
        <v>0</v>
      </c>
      <c r="AE1291" s="91" t="n">
        <f aca="false">(N1291-T1291)/N1291</f>
        <v>1</v>
      </c>
      <c r="AF1291" s="97" t="n">
        <f aca="false">BR1291</f>
        <v>0.833333333333333</v>
      </c>
      <c r="AG1291" s="98" t="n">
        <f aca="false">K1291-AF1291</f>
        <v>1.16666666666667</v>
      </c>
      <c r="AH1291" s="99" t="n">
        <f aca="false">IFERROR(AG1291/K1291," ")</f>
        <v>0.583333333333334</v>
      </c>
      <c r="AI1291" s="100" t="n">
        <f aca="false">IFERROR(O1291/K1291,0)</f>
        <v>1500</v>
      </c>
      <c r="AJ1291" s="101" t="n">
        <f aca="false">VLOOKUP(D1291,'Standard Cycle time'!C:D,2,0)</f>
        <v>2.5</v>
      </c>
      <c r="AK1291" s="101" t="n">
        <f aca="false">AG1291*V1291*3600/O1291</f>
        <v>2.8</v>
      </c>
      <c r="AL1291" s="102" t="n">
        <f aca="false">AJ1291/AK1291</f>
        <v>0.892857142857143</v>
      </c>
      <c r="AM1291" s="99" t="n">
        <f aca="false">AE1291*AL1291*AH1291</f>
        <v>0.520833333333333</v>
      </c>
      <c r="AN1291" s="103" t="n">
        <v>0.520833333333333</v>
      </c>
      <c r="AO1291" s="112"/>
      <c r="AP1291" s="105" t="n">
        <v>50</v>
      </c>
      <c r="AQ1291" s="105" t="n">
        <v>0</v>
      </c>
      <c r="AR1291" s="105" t="n">
        <v>0</v>
      </c>
      <c r="AS1291" s="105" t="n">
        <v>0</v>
      </c>
      <c r="AT1291" s="105" t="n">
        <v>0</v>
      </c>
      <c r="AU1291" s="105" t="n">
        <v>0</v>
      </c>
      <c r="AV1291" s="105" t="n">
        <v>0</v>
      </c>
      <c r="AW1291" s="105" t="n">
        <v>0</v>
      </c>
      <c r="AX1291" s="105" t="n">
        <v>0</v>
      </c>
      <c r="AY1291" s="105" t="n">
        <v>0</v>
      </c>
      <c r="AZ1291" s="105" t="n">
        <v>0</v>
      </c>
      <c r="BA1291" s="105" t="n">
        <v>0</v>
      </c>
      <c r="BB1291" s="105" t="n">
        <v>0</v>
      </c>
      <c r="BC1291" s="105" t="n">
        <v>0</v>
      </c>
      <c r="BD1291" s="105" t="n">
        <v>0</v>
      </c>
      <c r="BE1291" s="105" t="n">
        <v>0</v>
      </c>
      <c r="BF1291" s="105" t="n">
        <v>0</v>
      </c>
      <c r="BG1291" s="105" t="n">
        <v>0</v>
      </c>
      <c r="BH1291" s="105" t="n">
        <v>0</v>
      </c>
      <c r="BI1291" s="105" t="n">
        <v>0</v>
      </c>
      <c r="BJ1291" s="105" t="n">
        <v>0</v>
      </c>
      <c r="BK1291" s="105" t="n">
        <v>0</v>
      </c>
      <c r="BL1291" s="105" t="n">
        <v>0</v>
      </c>
      <c r="BM1291" s="105" t="n">
        <v>0</v>
      </c>
      <c r="BN1291" s="105" t="n">
        <v>0</v>
      </c>
      <c r="BO1291" s="105" t="n">
        <v>0</v>
      </c>
      <c r="BP1291" s="105" t="n">
        <v>0</v>
      </c>
      <c r="BQ1291" s="105" t="n">
        <v>0</v>
      </c>
      <c r="BR1291" s="106" t="n">
        <v>0.833333333333333</v>
      </c>
      <c r="BS1291" s="106" t="n">
        <v>0.833333333333333</v>
      </c>
      <c r="BT1291" s="107"/>
      <c r="BU1291" s="107"/>
      <c r="BV1291" s="107"/>
      <c r="BW1291" s="107"/>
      <c r="BX1291" s="107"/>
      <c r="BY1291" s="107"/>
      <c r="BZ1291" s="107"/>
      <c r="CA1291" s="107"/>
      <c r="CB1291" s="107"/>
      <c r="CC1291" s="107"/>
      <c r="CD1291" s="107"/>
      <c r="CE1291" s="107"/>
      <c r="CF1291" s="107"/>
      <c r="CG1291" s="107"/>
      <c r="CH1291" s="107"/>
      <c r="CI1291" s="107"/>
      <c r="CJ1291" s="107"/>
      <c r="CK1291" s="107"/>
      <c r="CL1291" s="107"/>
      <c r="CM1291" s="107"/>
      <c r="CN1291" s="107"/>
      <c r="CO1291" s="107"/>
      <c r="CP1291" s="107"/>
      <c r="CQ1291" s="107"/>
      <c r="CR1291" s="107"/>
      <c r="CS1291" s="107"/>
      <c r="CT1291" s="107"/>
      <c r="CU1291" s="107"/>
      <c r="CV1291" s="107"/>
    </row>
    <row r="1292" customFormat="false" ht="14.9" hidden="false" customHeight="false" outlineLevel="0" collapsed="false">
      <c r="A1292" s="74" t="n">
        <f aca="false">MONTH(B1292)</f>
        <v>11</v>
      </c>
      <c r="B1292" s="135" t="n">
        <v>44518</v>
      </c>
      <c r="C1292" s="128" t="s">
        <v>63</v>
      </c>
      <c r="D1292" s="77" t="str">
        <f aca="false">IFERROR(VLOOKUP(E:E,'Item Data Support Sheet'!A:O,7,0),"")</f>
        <v>NIPPLE WRAP PRINTED</v>
      </c>
      <c r="E1292" s="80" t="s">
        <v>474</v>
      </c>
      <c r="F1292" s="122"/>
      <c r="G1292" s="137" t="s">
        <v>432</v>
      </c>
      <c r="H1292" s="79" t="str">
        <f aca="false">IFERROR(VLOOKUP(E:E,'Item Data Support Sheet'!A:O,2,0),"")</f>
        <v>NIPPLE S TYPE L SIZE WITH PRINTED WRAP</v>
      </c>
      <c r="I1292" s="80" t="s">
        <v>2064</v>
      </c>
      <c r="J1292" s="80" t="s">
        <v>155</v>
      </c>
      <c r="K1292" s="124" t="n">
        <v>6</v>
      </c>
      <c r="L1292" s="124" t="n">
        <v>12126</v>
      </c>
      <c r="M1292" s="83" t="n">
        <v>2021</v>
      </c>
      <c r="N1292" s="84" t="n">
        <f aca="false">+O1292+Q1292+T1292+U1292</f>
        <v>9968</v>
      </c>
      <c r="O1292" s="85" t="n">
        <v>9958</v>
      </c>
      <c r="P1292" s="86" t="n">
        <v>0</v>
      </c>
      <c r="Q1292" s="86" t="n">
        <v>0</v>
      </c>
      <c r="R1292" s="132" t="n">
        <v>0</v>
      </c>
      <c r="S1292" s="128" t="n">
        <v>0</v>
      </c>
      <c r="T1292" s="132" t="n">
        <v>10</v>
      </c>
      <c r="U1292" s="128" t="n">
        <v>0</v>
      </c>
      <c r="V1292" s="128" t="n">
        <v>2</v>
      </c>
      <c r="W1292" s="90" t="n">
        <f aca="false">IFERROR(O1292/V1292,0)</f>
        <v>4979</v>
      </c>
      <c r="X1292" s="91" t="n">
        <f aca="false">O1292/L1292</f>
        <v>0.821210621804387</v>
      </c>
      <c r="Y1292" s="92" t="str">
        <f aca="false">IFERROR(VLOOKUP(E:E,'Item Data Support Sheet'!A:J,6,0),0)</f>
        <v>FO021</v>
      </c>
      <c r="Z1292" s="93" t="n">
        <f aca="false">IFERROR(VLOOKUP(E:E,'Item Data Support Sheet'!A:O,4,0),0)</f>
        <v>0</v>
      </c>
      <c r="AA1292" s="93" t="n">
        <f aca="false">IFERROR(((N1292)*(Z1292/1000))+P1292,0)</f>
        <v>0</v>
      </c>
      <c r="AB1292" s="94" t="str">
        <f aca="false">IFERROR((O1292*(Z1292/1000)/(AA1292))," ")</f>
        <v> </v>
      </c>
      <c r="AC1292" s="95" t="n">
        <f aca="false">IFERROR((T1292)/((T1292)+O1292),0)</f>
        <v>0.00100321027287319</v>
      </c>
      <c r="AD1292" s="96" t="n">
        <f aca="false">IFERROR(Q1292/(Q1292+N1292),0)</f>
        <v>0</v>
      </c>
      <c r="AE1292" s="91" t="n">
        <f aca="false">(N1292-T1292)/N1292</f>
        <v>0.998996789727127</v>
      </c>
      <c r="AF1292" s="97" t="n">
        <f aca="false">BR1292</f>
        <v>0</v>
      </c>
      <c r="AG1292" s="98" t="n">
        <f aca="false">K1292-AF1292</f>
        <v>6</v>
      </c>
      <c r="AH1292" s="99" t="n">
        <f aca="false">IFERROR(AG1292/K1292," ")</f>
        <v>1</v>
      </c>
      <c r="AI1292" s="100" t="n">
        <f aca="false">IFERROR(O1292/K1292,0)</f>
        <v>1659.66666666667</v>
      </c>
      <c r="AJ1292" s="101" t="n">
        <f aca="false">VLOOKUP(D1292,'Standard Cycle time'!C:D,2,0)</f>
        <v>2.5</v>
      </c>
      <c r="AK1292" s="101" t="n">
        <f aca="false">AG1292*V1292*3600/O1292</f>
        <v>4.33822052621008</v>
      </c>
      <c r="AL1292" s="102" t="n">
        <f aca="false">AJ1292/AK1292</f>
        <v>0.576273148148148</v>
      </c>
      <c r="AM1292" s="99" t="n">
        <f aca="false">AE1292*AL1292*AH1292</f>
        <v>0.575695025005945</v>
      </c>
      <c r="AN1292" s="103" t="n">
        <v>0.575695025005945</v>
      </c>
      <c r="AO1292" s="112"/>
      <c r="AP1292" s="105" t="n">
        <v>0</v>
      </c>
      <c r="AQ1292" s="105" t="n">
        <v>0</v>
      </c>
      <c r="AR1292" s="105" t="n">
        <v>0</v>
      </c>
      <c r="AS1292" s="105" t="n">
        <v>0</v>
      </c>
      <c r="AT1292" s="105" t="n">
        <v>0</v>
      </c>
      <c r="AU1292" s="105" t="n">
        <v>0</v>
      </c>
      <c r="AV1292" s="105" t="n">
        <v>0</v>
      </c>
      <c r="AW1292" s="105" t="n">
        <v>0</v>
      </c>
      <c r="AX1292" s="105" t="n">
        <v>0</v>
      </c>
      <c r="AY1292" s="105" t="n">
        <v>0</v>
      </c>
      <c r="AZ1292" s="105" t="n">
        <v>0</v>
      </c>
      <c r="BA1292" s="105" t="n">
        <v>0</v>
      </c>
      <c r="BB1292" s="105" t="n">
        <v>0</v>
      </c>
      <c r="BC1292" s="105" t="n">
        <v>0</v>
      </c>
      <c r="BD1292" s="105" t="n">
        <v>0</v>
      </c>
      <c r="BE1292" s="105" t="n">
        <v>0</v>
      </c>
      <c r="BF1292" s="105" t="n">
        <v>0</v>
      </c>
      <c r="BG1292" s="105" t="n">
        <v>0</v>
      </c>
      <c r="BH1292" s="105" t="n">
        <v>0</v>
      </c>
      <c r="BI1292" s="105" t="n">
        <v>0</v>
      </c>
      <c r="BJ1292" s="105" t="n">
        <v>0</v>
      </c>
      <c r="BK1292" s="105" t="n">
        <v>0</v>
      </c>
      <c r="BL1292" s="105" t="n">
        <v>0</v>
      </c>
      <c r="BM1292" s="105" t="n">
        <v>0</v>
      </c>
      <c r="BN1292" s="105" t="n">
        <v>0</v>
      </c>
      <c r="BO1292" s="105" t="n">
        <v>0</v>
      </c>
      <c r="BP1292" s="105" t="n">
        <v>0</v>
      </c>
      <c r="BQ1292" s="105" t="n">
        <v>0</v>
      </c>
      <c r="BR1292" s="106" t="n">
        <v>0</v>
      </c>
      <c r="BS1292" s="106" t="n">
        <v>0</v>
      </c>
      <c r="BT1292" s="107"/>
      <c r="BU1292" s="107"/>
      <c r="BV1292" s="107"/>
      <c r="BW1292" s="107"/>
      <c r="BX1292" s="107"/>
      <c r="BY1292" s="107"/>
      <c r="BZ1292" s="107"/>
      <c r="CA1292" s="107"/>
      <c r="CB1292" s="107"/>
      <c r="CC1292" s="107"/>
      <c r="CD1292" s="107"/>
      <c r="CE1292" s="107"/>
      <c r="CF1292" s="107"/>
      <c r="CG1292" s="107"/>
      <c r="CH1292" s="107"/>
      <c r="CI1292" s="107"/>
      <c r="CJ1292" s="107"/>
      <c r="CK1292" s="107"/>
      <c r="CL1292" s="107"/>
      <c r="CM1292" s="107"/>
      <c r="CN1292" s="107"/>
      <c r="CO1292" s="107"/>
      <c r="CP1292" s="107"/>
      <c r="CQ1292" s="107"/>
      <c r="CR1292" s="107"/>
      <c r="CS1292" s="107"/>
      <c r="CT1292" s="107"/>
      <c r="CU1292" s="107"/>
      <c r="CV1292" s="107"/>
    </row>
    <row r="1293" customFormat="false" ht="14.9" hidden="false" customHeight="false" outlineLevel="0" collapsed="false">
      <c r="A1293" s="74" t="n">
        <f aca="false">MONTH(B1293)</f>
        <v>11</v>
      </c>
      <c r="B1293" s="135" t="n">
        <v>44518</v>
      </c>
      <c r="C1293" s="128" t="s">
        <v>70</v>
      </c>
      <c r="D1293" s="77" t="str">
        <f aca="false">IFERROR(VLOOKUP(E:E,'Item Data Support Sheet'!A:O,7,0),"")</f>
        <v>NIPPLE PUNCH</v>
      </c>
      <c r="E1293" s="80" t="s">
        <v>666</v>
      </c>
      <c r="F1293" s="122"/>
      <c r="G1293" s="137" t="s">
        <v>54</v>
      </c>
      <c r="H1293" s="79" t="str">
        <f aca="false">IFERROR(VLOOKUP(E:E,'Item Data Support Sheet'!A:O,2,0),"")</f>
        <v>NIPPLE S TYPE L SIZE PUNCHED</v>
      </c>
      <c r="I1293" s="80" t="s">
        <v>2092</v>
      </c>
      <c r="J1293" s="80" t="s">
        <v>155</v>
      </c>
      <c r="K1293" s="124" t="n">
        <v>8</v>
      </c>
      <c r="L1293" s="124" t="n">
        <v>7000</v>
      </c>
      <c r="M1293" s="83" t="n">
        <v>875</v>
      </c>
      <c r="N1293" s="84" t="n">
        <f aca="false">+O1293+Q1293+T1293+U1293</f>
        <v>7600</v>
      </c>
      <c r="O1293" s="85" t="n">
        <v>7600</v>
      </c>
      <c r="P1293" s="86" t="n">
        <v>0</v>
      </c>
      <c r="Q1293" s="86" t="n">
        <v>0</v>
      </c>
      <c r="R1293" s="132" t="n">
        <v>0</v>
      </c>
      <c r="S1293" s="128" t="n">
        <v>0</v>
      </c>
      <c r="T1293" s="132" t="n">
        <v>0</v>
      </c>
      <c r="U1293" s="128" t="n">
        <v>0</v>
      </c>
      <c r="V1293" s="128" t="n">
        <v>1</v>
      </c>
      <c r="W1293" s="90" t="n">
        <f aca="false">IFERROR(O1293/V1293,0)</f>
        <v>7600</v>
      </c>
      <c r="X1293" s="91" t="n">
        <f aca="false">O1293/L1293</f>
        <v>1.08571428571429</v>
      </c>
      <c r="Y1293" s="92" t="str">
        <f aca="false">IFERROR(VLOOKUP(E:E,'Item Data Support Sheet'!A:J,6,0),0)</f>
        <v>FO017</v>
      </c>
      <c r="Z1293" s="93" t="n">
        <f aca="false">IFERROR(VLOOKUP(E:E,'Item Data Support Sheet'!A:O,4,0),0)</f>
        <v>0</v>
      </c>
      <c r="AA1293" s="93" t="n">
        <f aca="false">IFERROR(((N1293)*(Z1293/1000))+P1293,0)</f>
        <v>0</v>
      </c>
      <c r="AB1293" s="94" t="str">
        <f aca="false">IFERROR((O1293*(Z1293/1000)/(AA1293))," ")</f>
        <v> </v>
      </c>
      <c r="AC1293" s="95" t="n">
        <f aca="false">IFERROR((T1293)/((T1293)+O1293),0)</f>
        <v>0</v>
      </c>
      <c r="AD1293" s="96" t="n">
        <f aca="false">IFERROR(Q1293/(Q1293+N1293),0)</f>
        <v>0</v>
      </c>
      <c r="AE1293" s="91" t="n">
        <f aca="false">(N1293-T1293)/N1293</f>
        <v>1</v>
      </c>
      <c r="AF1293" s="97" t="n">
        <f aca="false">BR1293</f>
        <v>0.666666666666667</v>
      </c>
      <c r="AG1293" s="98" t="n">
        <f aca="false">K1293-AF1293</f>
        <v>7.33333333333333</v>
      </c>
      <c r="AH1293" s="99" t="n">
        <f aca="false">IFERROR(AG1293/K1293," ")</f>
        <v>0.916666666666667</v>
      </c>
      <c r="AI1293" s="100" t="n">
        <f aca="false">IFERROR(O1293/K1293,0)</f>
        <v>950</v>
      </c>
      <c r="AJ1293" s="101" t="n">
        <f aca="false">VLOOKUP(D1293,'Standard Cycle time'!C:D,2,0)</f>
        <v>3.5</v>
      </c>
      <c r="AK1293" s="101" t="n">
        <f aca="false">AG1293*V1293*3600/O1293</f>
        <v>3.47368421052632</v>
      </c>
      <c r="AL1293" s="102" t="n">
        <f aca="false">AJ1293/AK1293</f>
        <v>1.00757575757576</v>
      </c>
      <c r="AM1293" s="99" t="n">
        <f aca="false">AE1293*AL1293*AH1293</f>
        <v>0.923611111111111</v>
      </c>
      <c r="AN1293" s="103" t="n">
        <v>0.923611111111111</v>
      </c>
      <c r="AO1293" s="112"/>
      <c r="AP1293" s="105" t="n">
        <v>40</v>
      </c>
      <c r="AQ1293" s="105" t="n">
        <v>0</v>
      </c>
      <c r="AR1293" s="105" t="n">
        <v>0</v>
      </c>
      <c r="AS1293" s="105" t="n">
        <v>0</v>
      </c>
      <c r="AT1293" s="105" t="n">
        <v>0</v>
      </c>
      <c r="AU1293" s="105" t="n">
        <v>0</v>
      </c>
      <c r="AV1293" s="105" t="n">
        <v>0</v>
      </c>
      <c r="AW1293" s="105" t="n">
        <v>0</v>
      </c>
      <c r="AX1293" s="105" t="n">
        <v>0</v>
      </c>
      <c r="AY1293" s="105" t="n">
        <v>0</v>
      </c>
      <c r="AZ1293" s="105" t="n">
        <v>0</v>
      </c>
      <c r="BA1293" s="105" t="n">
        <v>0</v>
      </c>
      <c r="BB1293" s="105" t="n">
        <v>0</v>
      </c>
      <c r="BC1293" s="105" t="n">
        <v>0</v>
      </c>
      <c r="BD1293" s="105" t="n">
        <v>0</v>
      </c>
      <c r="BE1293" s="105" t="n">
        <v>0</v>
      </c>
      <c r="BF1293" s="105" t="n">
        <v>0</v>
      </c>
      <c r="BG1293" s="105" t="n">
        <v>0</v>
      </c>
      <c r="BH1293" s="105" t="n">
        <v>0</v>
      </c>
      <c r="BI1293" s="105" t="n">
        <v>0</v>
      </c>
      <c r="BJ1293" s="105" t="n">
        <v>0</v>
      </c>
      <c r="BK1293" s="105" t="n">
        <v>0</v>
      </c>
      <c r="BL1293" s="105" t="n">
        <v>0</v>
      </c>
      <c r="BM1293" s="105" t="n">
        <v>0</v>
      </c>
      <c r="BN1293" s="105" t="n">
        <v>0</v>
      </c>
      <c r="BO1293" s="105" t="n">
        <v>0</v>
      </c>
      <c r="BP1293" s="105" t="n">
        <v>0</v>
      </c>
      <c r="BQ1293" s="105" t="n">
        <v>0</v>
      </c>
      <c r="BR1293" s="106" t="n">
        <v>0.666666666666667</v>
      </c>
      <c r="BS1293" s="106" t="n">
        <v>0.666666666666667</v>
      </c>
      <c r="BT1293" s="107"/>
      <c r="BU1293" s="107"/>
      <c r="BV1293" s="107"/>
      <c r="BW1293" s="107"/>
      <c r="BX1293" s="107"/>
      <c r="BY1293" s="107"/>
      <c r="BZ1293" s="107"/>
      <c r="CA1293" s="107"/>
      <c r="CB1293" s="107"/>
      <c r="CC1293" s="107"/>
      <c r="CD1293" s="107"/>
      <c r="CE1293" s="107"/>
      <c r="CF1293" s="107"/>
      <c r="CG1293" s="107"/>
      <c r="CH1293" s="107"/>
      <c r="CI1293" s="107"/>
      <c r="CJ1293" s="107"/>
      <c r="CK1293" s="107"/>
      <c r="CL1293" s="107"/>
      <c r="CM1293" s="107"/>
      <c r="CN1293" s="107"/>
      <c r="CO1293" s="107"/>
      <c r="CP1293" s="107"/>
      <c r="CQ1293" s="107"/>
      <c r="CR1293" s="107"/>
      <c r="CS1293" s="107"/>
      <c r="CT1293" s="107"/>
      <c r="CU1293" s="107"/>
      <c r="CV1293" s="107"/>
    </row>
    <row r="1294" customFormat="false" ht="14.9" hidden="false" customHeight="false" outlineLevel="0" collapsed="false">
      <c r="A1294" s="74" t="n">
        <f aca="false">MONTH(B1294)</f>
        <v>11</v>
      </c>
      <c r="B1294" s="135" t="n">
        <v>44518</v>
      </c>
      <c r="C1294" s="128" t="s">
        <v>70</v>
      </c>
      <c r="D1294" s="77" t="str">
        <f aca="false">IFERROR(VLOOKUP(E:E,'Item Data Support Sheet'!A:O,7,0),"")</f>
        <v>NIPPLE LASER MARKING</v>
      </c>
      <c r="E1294" s="80" t="s">
        <v>681</v>
      </c>
      <c r="F1294" s="122"/>
      <c r="G1294" s="137" t="s">
        <v>517</v>
      </c>
      <c r="H1294" s="79" t="str">
        <f aca="false">IFERROR(VLOOKUP(E:E,'Item Data Support Sheet'!A:O,2,0),"")</f>
        <v>NIPPLE S TYPE L SIZE PUNCHED LASER MARKED</v>
      </c>
      <c r="I1294" s="80" t="s">
        <v>2093</v>
      </c>
      <c r="J1294" s="80" t="s">
        <v>155</v>
      </c>
      <c r="K1294" s="124" t="n">
        <v>8</v>
      </c>
      <c r="L1294" s="124" t="n">
        <v>7000</v>
      </c>
      <c r="M1294" s="83" t="n">
        <v>875</v>
      </c>
      <c r="N1294" s="84" t="n">
        <f aca="false">+O1294+Q1294+T1294+U1294</f>
        <v>6299</v>
      </c>
      <c r="O1294" s="85" t="n">
        <v>6299</v>
      </c>
      <c r="P1294" s="86" t="n">
        <v>0</v>
      </c>
      <c r="Q1294" s="86" t="n">
        <v>0</v>
      </c>
      <c r="R1294" s="132" t="n">
        <v>0</v>
      </c>
      <c r="S1294" s="128" t="n">
        <v>0</v>
      </c>
      <c r="T1294" s="132" t="n">
        <v>0</v>
      </c>
      <c r="U1294" s="128" t="n">
        <v>0</v>
      </c>
      <c r="V1294" s="128" t="n">
        <v>1</v>
      </c>
      <c r="W1294" s="90" t="n">
        <f aca="false">IFERROR(O1294/V1294,0)</f>
        <v>6299</v>
      </c>
      <c r="X1294" s="91" t="n">
        <f aca="false">O1294/L1294</f>
        <v>0.899857142857143</v>
      </c>
      <c r="Y1294" s="92" t="str">
        <f aca="false">IFERROR(VLOOKUP(E:E,'Item Data Support Sheet'!A:J,6,0),0)</f>
        <v>FO021</v>
      </c>
      <c r="Z1294" s="93" t="n">
        <f aca="false">IFERROR(VLOOKUP(E:E,'Item Data Support Sheet'!A:O,4,0),0)</f>
        <v>0</v>
      </c>
      <c r="AA1294" s="93" t="n">
        <f aca="false">IFERROR(((N1294)*(Z1294/1000))+P1294,0)</f>
        <v>0</v>
      </c>
      <c r="AB1294" s="94" t="str">
        <f aca="false">IFERROR((O1294*(Z1294/1000)/(AA1294))," ")</f>
        <v> </v>
      </c>
      <c r="AC1294" s="95" t="n">
        <f aca="false">IFERROR((T1294)/((T1294)+O1294),0)</f>
        <v>0</v>
      </c>
      <c r="AD1294" s="96" t="n">
        <f aca="false">IFERROR(Q1294/(Q1294+N1294),0)</f>
        <v>0</v>
      </c>
      <c r="AE1294" s="91" t="n">
        <f aca="false">(N1294-T1294)/N1294</f>
        <v>1</v>
      </c>
      <c r="AF1294" s="97" t="n">
        <f aca="false">BR1294</f>
        <v>0</v>
      </c>
      <c r="AG1294" s="98" t="n">
        <f aca="false">K1294-AF1294</f>
        <v>8</v>
      </c>
      <c r="AH1294" s="99" t="n">
        <f aca="false">IFERROR(AG1294/K1294," ")</f>
        <v>1</v>
      </c>
      <c r="AI1294" s="100" t="n">
        <f aca="false">IFERROR(O1294/K1294,0)</f>
        <v>787.375</v>
      </c>
      <c r="AJ1294" s="101" t="n">
        <f aca="false">VLOOKUP(D1294,'Standard Cycle time'!C:D,2,0)</f>
        <v>3.5</v>
      </c>
      <c r="AK1294" s="101" t="n">
        <f aca="false">AG1294*V1294*3600/O1294</f>
        <v>4.57215431020797</v>
      </c>
      <c r="AL1294" s="102" t="n">
        <f aca="false">AJ1294/AK1294</f>
        <v>0.765503472222222</v>
      </c>
      <c r="AM1294" s="99" t="n">
        <f aca="false">AE1294*AL1294*AH1294</f>
        <v>0.765503472222222</v>
      </c>
      <c r="AN1294" s="103" t="n">
        <v>0.765503472222222</v>
      </c>
      <c r="AO1294" s="112"/>
      <c r="AP1294" s="105" t="n">
        <v>0</v>
      </c>
      <c r="AQ1294" s="105" t="n">
        <v>0</v>
      </c>
      <c r="AR1294" s="105" t="n">
        <v>0</v>
      </c>
      <c r="AS1294" s="105" t="n">
        <v>0</v>
      </c>
      <c r="AT1294" s="105" t="n">
        <v>0</v>
      </c>
      <c r="AU1294" s="105" t="n">
        <v>0</v>
      </c>
      <c r="AV1294" s="105" t="n">
        <v>0</v>
      </c>
      <c r="AW1294" s="105" t="n">
        <v>0</v>
      </c>
      <c r="AX1294" s="105" t="n">
        <v>0</v>
      </c>
      <c r="AY1294" s="105" t="n">
        <v>0</v>
      </c>
      <c r="AZ1294" s="105" t="n">
        <v>0</v>
      </c>
      <c r="BA1294" s="105" t="n">
        <v>0</v>
      </c>
      <c r="BB1294" s="105" t="n">
        <v>0</v>
      </c>
      <c r="BC1294" s="105" t="n">
        <v>0</v>
      </c>
      <c r="BD1294" s="105" t="n">
        <v>0</v>
      </c>
      <c r="BE1294" s="105" t="n">
        <v>0</v>
      </c>
      <c r="BF1294" s="105" t="n">
        <v>0</v>
      </c>
      <c r="BG1294" s="105" t="n">
        <v>0</v>
      </c>
      <c r="BH1294" s="105" t="n">
        <v>0</v>
      </c>
      <c r="BI1294" s="105" t="n">
        <v>0</v>
      </c>
      <c r="BJ1294" s="105" t="n">
        <v>0</v>
      </c>
      <c r="BK1294" s="105" t="n">
        <v>0</v>
      </c>
      <c r="BL1294" s="105" t="n">
        <v>0</v>
      </c>
      <c r="BM1294" s="105" t="n">
        <v>0</v>
      </c>
      <c r="BN1294" s="105" t="n">
        <v>0</v>
      </c>
      <c r="BO1294" s="105" t="n">
        <v>0</v>
      </c>
      <c r="BP1294" s="105" t="n">
        <v>0</v>
      </c>
      <c r="BQ1294" s="105" t="n">
        <v>0</v>
      </c>
      <c r="BR1294" s="106" t="n">
        <v>0</v>
      </c>
      <c r="BS1294" s="106" t="n">
        <v>0</v>
      </c>
      <c r="BT1294" s="107"/>
      <c r="BU1294" s="107"/>
      <c r="BV1294" s="107"/>
      <c r="BW1294" s="107"/>
      <c r="BX1294" s="107"/>
      <c r="BY1294" s="107"/>
      <c r="BZ1294" s="107"/>
      <c r="CA1294" s="107"/>
      <c r="CB1294" s="107"/>
      <c r="CC1294" s="107"/>
      <c r="CD1294" s="107"/>
      <c r="CE1294" s="107"/>
      <c r="CF1294" s="107"/>
      <c r="CG1294" s="107"/>
      <c r="CH1294" s="107"/>
      <c r="CI1294" s="107"/>
      <c r="CJ1294" s="107"/>
      <c r="CK1294" s="107"/>
      <c r="CL1294" s="107"/>
      <c r="CM1294" s="107"/>
      <c r="CN1294" s="107"/>
      <c r="CO1294" s="107"/>
      <c r="CP1294" s="107"/>
      <c r="CQ1294" s="107"/>
      <c r="CR1294" s="107"/>
      <c r="CS1294" s="107"/>
      <c r="CT1294" s="107"/>
      <c r="CU1294" s="107"/>
      <c r="CV1294" s="107"/>
    </row>
    <row r="1295" customFormat="false" ht="14.9" hidden="false" customHeight="false" outlineLevel="0" collapsed="false">
      <c r="A1295" s="74" t="n">
        <f aca="false">MONTH(B1295)</f>
        <v>11</v>
      </c>
      <c r="B1295" s="135" t="n">
        <v>44518</v>
      </c>
      <c r="C1295" s="128" t="s">
        <v>70</v>
      </c>
      <c r="D1295" s="77" t="str">
        <f aca="false">IFERROR(VLOOKUP(E:E,'Item Data Support Sheet'!A:O,7,0),"")</f>
        <v>NIPPLE MOLDED</v>
      </c>
      <c r="E1295" s="80" t="s">
        <v>661</v>
      </c>
      <c r="F1295" s="122" t="s">
        <v>137</v>
      </c>
      <c r="G1295" s="137" t="s">
        <v>138</v>
      </c>
      <c r="H1295" s="79" t="str">
        <f aca="false">IFERROR(VLOOKUP(E:E,'Item Data Support Sheet'!A:O,2,0),"")</f>
        <v>NIPPLE S TYPE L SIZE INJECTION</v>
      </c>
      <c r="I1295" s="80" t="s">
        <v>2094</v>
      </c>
      <c r="J1295" s="80" t="s">
        <v>155</v>
      </c>
      <c r="K1295" s="124" t="n">
        <v>8</v>
      </c>
      <c r="L1295" s="124" t="n">
        <v>4815</v>
      </c>
      <c r="M1295" s="83" t="n">
        <v>601.875</v>
      </c>
      <c r="N1295" s="84" t="n">
        <f aca="false">+O1295+Q1295+T1295+U1295</f>
        <v>3708</v>
      </c>
      <c r="O1295" s="85" t="n">
        <v>3500</v>
      </c>
      <c r="P1295" s="86" t="n">
        <v>0</v>
      </c>
      <c r="Q1295" s="86" t="n">
        <v>120</v>
      </c>
      <c r="R1295" s="132" t="n">
        <v>0</v>
      </c>
      <c r="S1295" s="128" t="n">
        <v>0</v>
      </c>
      <c r="T1295" s="132" t="n">
        <v>88</v>
      </c>
      <c r="U1295" s="128" t="n">
        <v>0</v>
      </c>
      <c r="V1295" s="128" t="n">
        <v>1</v>
      </c>
      <c r="W1295" s="90" t="n">
        <f aca="false">IFERROR(O1295/V1295,0)</f>
        <v>3500</v>
      </c>
      <c r="X1295" s="91" t="n">
        <f aca="false">O1295/L1295</f>
        <v>0.726895119418484</v>
      </c>
      <c r="Y1295" s="92" t="str">
        <f aca="false">IFERROR(VLOOKUP(E:E,'Item Data Support Sheet'!A:J,6,0),0)</f>
        <v>Silicon</v>
      </c>
      <c r="Z1295" s="93" t="n">
        <f aca="false">IFERROR(VLOOKUP(E:E,'Item Data Support Sheet'!A:O,4,0),0)</f>
        <v>6.8</v>
      </c>
      <c r="AA1295" s="93" t="n">
        <f aca="false">IFERROR(((N1295)*(Z1295/1000))+P1295,0)</f>
        <v>25.2144</v>
      </c>
      <c r="AB1295" s="94" t="n">
        <f aca="false">IFERROR((O1295*(Z1295/1000)/(AA1295))," ")</f>
        <v>0.943905070118662</v>
      </c>
      <c r="AC1295" s="95" t="n">
        <f aca="false">IFERROR((T1295)/((T1295)+O1295),0)</f>
        <v>0.0245261984392419</v>
      </c>
      <c r="AD1295" s="96" t="n">
        <f aca="false">IFERROR(Q1295/(Q1295+N1295),0)</f>
        <v>0.0313479623824451</v>
      </c>
      <c r="AE1295" s="91" t="n">
        <f aca="false">(N1295-T1295)/N1295</f>
        <v>0.976267529665588</v>
      </c>
      <c r="AF1295" s="97" t="n">
        <f aca="false">BR1295</f>
        <v>0</v>
      </c>
      <c r="AG1295" s="98" t="n">
        <f aca="false">K1295-AF1295</f>
        <v>8</v>
      </c>
      <c r="AH1295" s="99" t="n">
        <f aca="false">IFERROR(AG1295/K1295," ")</f>
        <v>1</v>
      </c>
      <c r="AI1295" s="100" t="n">
        <f aca="false">IFERROR(O1295/K1295,0)</f>
        <v>437.5</v>
      </c>
      <c r="AJ1295" s="101" t="n">
        <f aca="false">VLOOKUP(D1295,'Standard Cycle time'!C:D,2,0)</f>
        <v>5.25</v>
      </c>
      <c r="AK1295" s="101" t="n">
        <f aca="false">AG1295*V1295*3600/O1295</f>
        <v>8.22857142857143</v>
      </c>
      <c r="AL1295" s="102" t="n">
        <f aca="false">AJ1295/AK1295</f>
        <v>0.638020833333333</v>
      </c>
      <c r="AM1295" s="99" t="n">
        <f aca="false">AE1295*AL1295*AH1295</f>
        <v>0.622879022833513</v>
      </c>
      <c r="AN1295" s="103" t="n">
        <v>0.622879022833513</v>
      </c>
      <c r="AO1295" s="112"/>
      <c r="AP1295" s="105" t="n">
        <v>0</v>
      </c>
      <c r="AQ1295" s="105" t="n">
        <v>0</v>
      </c>
      <c r="AR1295" s="105" t="n">
        <v>0</v>
      </c>
      <c r="AS1295" s="105" t="n">
        <v>0</v>
      </c>
      <c r="AT1295" s="105" t="n">
        <v>0</v>
      </c>
      <c r="AU1295" s="105" t="n">
        <v>0</v>
      </c>
      <c r="AV1295" s="105" t="n">
        <v>0</v>
      </c>
      <c r="AW1295" s="105" t="n">
        <v>0</v>
      </c>
      <c r="AX1295" s="105" t="n">
        <v>0</v>
      </c>
      <c r="AY1295" s="105" t="n">
        <v>0</v>
      </c>
      <c r="AZ1295" s="105" t="n">
        <v>0</v>
      </c>
      <c r="BA1295" s="105" t="n">
        <v>0</v>
      </c>
      <c r="BB1295" s="105" t="n">
        <v>0</v>
      </c>
      <c r="BC1295" s="105" t="n">
        <v>0</v>
      </c>
      <c r="BD1295" s="105" t="n">
        <v>0</v>
      </c>
      <c r="BE1295" s="105" t="n">
        <v>0</v>
      </c>
      <c r="BF1295" s="105" t="n">
        <v>0</v>
      </c>
      <c r="BG1295" s="105" t="n">
        <v>0</v>
      </c>
      <c r="BH1295" s="105" t="n">
        <v>0</v>
      </c>
      <c r="BI1295" s="105" t="n">
        <v>0</v>
      </c>
      <c r="BJ1295" s="105" t="n">
        <v>0</v>
      </c>
      <c r="BK1295" s="105" t="n">
        <v>0</v>
      </c>
      <c r="BL1295" s="105" t="n">
        <v>0</v>
      </c>
      <c r="BM1295" s="105" t="n">
        <v>0</v>
      </c>
      <c r="BN1295" s="105" t="n">
        <v>0</v>
      </c>
      <c r="BO1295" s="105" t="n">
        <v>0</v>
      </c>
      <c r="BP1295" s="105" t="n">
        <v>0</v>
      </c>
      <c r="BQ1295" s="105" t="n">
        <v>0</v>
      </c>
      <c r="BR1295" s="106" t="n">
        <v>0</v>
      </c>
      <c r="BS1295" s="106" t="n">
        <v>0</v>
      </c>
      <c r="BT1295" s="107"/>
      <c r="BU1295" s="107"/>
      <c r="BV1295" s="107"/>
      <c r="BW1295" s="107"/>
      <c r="BX1295" s="107"/>
      <c r="BY1295" s="107"/>
      <c r="BZ1295" s="107"/>
      <c r="CA1295" s="107"/>
      <c r="CB1295" s="107"/>
      <c r="CC1295" s="107"/>
      <c r="CD1295" s="107"/>
      <c r="CE1295" s="107"/>
      <c r="CF1295" s="107"/>
      <c r="CG1295" s="107"/>
      <c r="CH1295" s="107"/>
      <c r="CI1295" s="107"/>
      <c r="CJ1295" s="107"/>
      <c r="CK1295" s="107"/>
      <c r="CL1295" s="107"/>
      <c r="CM1295" s="107"/>
      <c r="CN1295" s="107"/>
      <c r="CO1295" s="107"/>
      <c r="CP1295" s="107"/>
      <c r="CQ1295" s="107"/>
      <c r="CR1295" s="107"/>
      <c r="CS1295" s="107"/>
      <c r="CT1295" s="107"/>
      <c r="CU1295" s="107"/>
      <c r="CV1295" s="107"/>
    </row>
    <row r="1296" customFormat="false" ht="14.9" hidden="false" customHeight="false" outlineLevel="0" collapsed="false">
      <c r="A1296" s="74" t="n">
        <f aca="false">MONTH(B1296)</f>
        <v>11</v>
      </c>
      <c r="B1296" s="135" t="n">
        <v>44518</v>
      </c>
      <c r="C1296" s="128" t="s">
        <v>70</v>
      </c>
      <c r="D1296" s="77" t="str">
        <f aca="false">IFERROR(VLOOKUP(E:E,'Item Data Support Sheet'!A:O,7,0),"")</f>
        <v>HOOD MOLDED</v>
      </c>
      <c r="E1296" s="80" t="s">
        <v>529</v>
      </c>
      <c r="F1296" s="122"/>
      <c r="G1296" s="137" t="s">
        <v>740</v>
      </c>
      <c r="H1296" s="79" t="str">
        <f aca="false">IFERROR(VLOOKUP(E:E,'Item Data Support Sheet'!A:O,2,0),"")</f>
        <v>HOOD S TYPE MOLDED</v>
      </c>
      <c r="I1296" s="80" t="s">
        <v>2095</v>
      </c>
      <c r="J1296" s="80" t="s">
        <v>155</v>
      </c>
      <c r="K1296" s="124" t="n">
        <v>8</v>
      </c>
      <c r="L1296" s="124" t="n">
        <v>4137</v>
      </c>
      <c r="M1296" s="83" t="n">
        <v>517.125</v>
      </c>
      <c r="N1296" s="84" t="n">
        <f aca="false">+O1296+Q1296+T1296+U1296</f>
        <v>4810</v>
      </c>
      <c r="O1296" s="85" t="n">
        <v>4800</v>
      </c>
      <c r="P1296" s="86" t="n">
        <v>0</v>
      </c>
      <c r="Q1296" s="86" t="n">
        <v>2</v>
      </c>
      <c r="R1296" s="132" t="n">
        <v>0</v>
      </c>
      <c r="S1296" s="128" t="n">
        <v>0</v>
      </c>
      <c r="T1296" s="132" t="n">
        <v>8</v>
      </c>
      <c r="U1296" s="128" t="n">
        <v>0</v>
      </c>
      <c r="V1296" s="128" t="n">
        <v>1</v>
      </c>
      <c r="W1296" s="90" t="n">
        <f aca="false">IFERROR(O1296/V1296,0)</f>
        <v>4800</v>
      </c>
      <c r="X1296" s="91" t="n">
        <f aca="false">O1296/L1296</f>
        <v>1.16026105873822</v>
      </c>
      <c r="Y1296" s="92" t="str">
        <f aca="false">IFERROR(VLOOKUP(E:E,'Item Data Support Sheet'!A:J,6,0),0)</f>
        <v>HMC</v>
      </c>
      <c r="Z1296" s="93" t="n">
        <f aca="false">IFERROR(VLOOKUP(E:E,'Item Data Support Sheet'!A:O,4,0),0)</f>
        <v>8.6</v>
      </c>
      <c r="AA1296" s="93" t="n">
        <f aca="false">IFERROR(((N1296)*(Z1296/1000))+P1296,0)</f>
        <v>41.366</v>
      </c>
      <c r="AB1296" s="94" t="n">
        <f aca="false">IFERROR((O1296*(Z1296/1000)/(AA1296))," ")</f>
        <v>0.997920997920998</v>
      </c>
      <c r="AC1296" s="95" t="n">
        <f aca="false">IFERROR((T1296)/((T1296)+O1296),0)</f>
        <v>0.00166389351081531</v>
      </c>
      <c r="AD1296" s="96" t="n">
        <f aca="false">IFERROR(Q1296/(Q1296+N1296),0)</f>
        <v>0.000415627597672486</v>
      </c>
      <c r="AE1296" s="91" t="n">
        <f aca="false">(N1296-T1296)/N1296</f>
        <v>0.998336798336798</v>
      </c>
      <c r="AF1296" s="97" t="n">
        <f aca="false">BR1296</f>
        <v>0</v>
      </c>
      <c r="AG1296" s="98" t="n">
        <f aca="false">K1296-AF1296</f>
        <v>8</v>
      </c>
      <c r="AH1296" s="99" t="n">
        <f aca="false">IFERROR(AG1296/K1296," ")</f>
        <v>1</v>
      </c>
      <c r="AI1296" s="100" t="n">
        <f aca="false">IFERROR(O1296/K1296,0)</f>
        <v>600</v>
      </c>
      <c r="AJ1296" s="101" t="n">
        <f aca="false">VLOOKUP(D1296,'Standard Cycle time'!C:D,2,0)</f>
        <v>6</v>
      </c>
      <c r="AK1296" s="101" t="n">
        <f aca="false">AG1296*V1296*3600/O1296</f>
        <v>6</v>
      </c>
      <c r="AL1296" s="102" t="n">
        <f aca="false">AJ1296/AK1296</f>
        <v>1</v>
      </c>
      <c r="AM1296" s="99" t="n">
        <f aca="false">AE1296*AL1296*AH1296</f>
        <v>0.998336798336798</v>
      </c>
      <c r="AN1296" s="103" t="n">
        <v>0.739375</v>
      </c>
      <c r="AO1296" s="112"/>
      <c r="AP1296" s="105" t="n">
        <v>0</v>
      </c>
      <c r="AQ1296" s="105" t="n">
        <v>0</v>
      </c>
      <c r="AR1296" s="105" t="n">
        <v>0</v>
      </c>
      <c r="AS1296" s="105" t="n">
        <v>0</v>
      </c>
      <c r="AT1296" s="105" t="n">
        <v>0</v>
      </c>
      <c r="AU1296" s="105" t="n">
        <v>0</v>
      </c>
      <c r="AV1296" s="105" t="n">
        <v>0</v>
      </c>
      <c r="AW1296" s="105" t="n">
        <v>0</v>
      </c>
      <c r="AX1296" s="105" t="n">
        <v>0</v>
      </c>
      <c r="AY1296" s="105" t="n">
        <v>0</v>
      </c>
      <c r="AZ1296" s="105" t="n">
        <v>0</v>
      </c>
      <c r="BA1296" s="105" t="n">
        <v>0</v>
      </c>
      <c r="BB1296" s="105" t="n">
        <v>0</v>
      </c>
      <c r="BC1296" s="105" t="n">
        <v>0</v>
      </c>
      <c r="BD1296" s="105" t="n">
        <v>0</v>
      </c>
      <c r="BE1296" s="105" t="n">
        <v>0</v>
      </c>
      <c r="BF1296" s="105" t="n">
        <v>0</v>
      </c>
      <c r="BG1296" s="105" t="n">
        <v>0</v>
      </c>
      <c r="BH1296" s="105" t="n">
        <v>0</v>
      </c>
      <c r="BI1296" s="105" t="n">
        <v>0</v>
      </c>
      <c r="BJ1296" s="105" t="n">
        <v>0</v>
      </c>
      <c r="BK1296" s="105" t="n">
        <v>0</v>
      </c>
      <c r="BL1296" s="105" t="n">
        <v>0</v>
      </c>
      <c r="BM1296" s="105" t="n">
        <v>0</v>
      </c>
      <c r="BN1296" s="105" t="n">
        <v>0</v>
      </c>
      <c r="BO1296" s="105" t="n">
        <v>0</v>
      </c>
      <c r="BP1296" s="105" t="n">
        <v>0</v>
      </c>
      <c r="BQ1296" s="105" t="n">
        <v>0</v>
      </c>
      <c r="BR1296" s="106" t="n">
        <v>0</v>
      </c>
      <c r="BS1296" s="106" t="n">
        <v>0</v>
      </c>
      <c r="BT1296" s="107"/>
      <c r="BU1296" s="107"/>
      <c r="BV1296" s="107"/>
      <c r="BW1296" s="107"/>
      <c r="BX1296" s="107"/>
      <c r="BY1296" s="107"/>
      <c r="BZ1296" s="107"/>
      <c r="CA1296" s="107"/>
      <c r="CB1296" s="107"/>
      <c r="CC1296" s="107"/>
      <c r="CD1296" s="107"/>
      <c r="CE1296" s="107"/>
      <c r="CF1296" s="107"/>
      <c r="CG1296" s="107"/>
      <c r="CH1296" s="107"/>
      <c r="CI1296" s="107"/>
      <c r="CJ1296" s="107"/>
      <c r="CK1296" s="107"/>
      <c r="CL1296" s="107"/>
      <c r="CM1296" s="107"/>
      <c r="CN1296" s="107"/>
      <c r="CO1296" s="107"/>
      <c r="CP1296" s="107"/>
      <c r="CQ1296" s="107"/>
      <c r="CR1296" s="107"/>
      <c r="CS1296" s="107"/>
      <c r="CT1296" s="107"/>
      <c r="CU1296" s="107"/>
      <c r="CV1296" s="107"/>
    </row>
    <row r="1297" customFormat="false" ht="14.9" hidden="false" customHeight="false" outlineLevel="0" collapsed="false">
      <c r="A1297" s="74" t="n">
        <f aca="false">MONTH(B1297)</f>
        <v>11</v>
      </c>
      <c r="B1297" s="135" t="n">
        <v>44518</v>
      </c>
      <c r="C1297" s="128" t="s">
        <v>70</v>
      </c>
      <c r="D1297" s="77" t="str">
        <f aca="false">IFERROR(VLOOKUP(E:E,'Item Data Support Sheet'!A:O,7,0),"")</f>
        <v>BOTTLE MOLDED</v>
      </c>
      <c r="E1297" s="80" t="s">
        <v>78</v>
      </c>
      <c r="F1297" s="122" t="s">
        <v>79</v>
      </c>
      <c r="G1297" s="137" t="s">
        <v>80</v>
      </c>
      <c r="H1297" s="79" t="str">
        <f aca="false">IFERROR(VLOOKUP(E:E,'Item Data Support Sheet'!A:O,2,0),"")</f>
        <v>RPP 120 ML BOTTLE MOLDED</v>
      </c>
      <c r="I1297" s="80" t="s">
        <v>2096</v>
      </c>
      <c r="J1297" s="80" t="s">
        <v>155</v>
      </c>
      <c r="K1297" s="124" t="n">
        <v>8</v>
      </c>
      <c r="L1297" s="124" t="n">
        <v>2574</v>
      </c>
      <c r="M1297" s="83" t="n">
        <v>321.75</v>
      </c>
      <c r="N1297" s="84" t="n">
        <f aca="false">+O1297+Q1297+T1297+U1297</f>
        <v>2721</v>
      </c>
      <c r="O1297" s="85" t="n">
        <v>2520</v>
      </c>
      <c r="P1297" s="86" t="n">
        <v>0</v>
      </c>
      <c r="Q1297" s="86" t="n">
        <v>114</v>
      </c>
      <c r="R1297" s="132" t="n">
        <v>0</v>
      </c>
      <c r="S1297" s="128" t="n">
        <v>0</v>
      </c>
      <c r="T1297" s="132" t="n">
        <v>87</v>
      </c>
      <c r="U1297" s="128" t="n">
        <v>0</v>
      </c>
      <c r="V1297" s="128" t="n">
        <v>1</v>
      </c>
      <c r="W1297" s="90" t="n">
        <f aca="false">IFERROR(O1297/V1297,0)</f>
        <v>2520</v>
      </c>
      <c r="X1297" s="91" t="n">
        <f aca="false">O1297/L1297</f>
        <v>0.979020979020979</v>
      </c>
      <c r="Y1297" s="92" t="str">
        <f aca="false">IFERROR(VLOOKUP(E:E,'Item Data Support Sheet'!A:J,6,0),0)</f>
        <v>HMC</v>
      </c>
      <c r="Z1297" s="93" t="n">
        <f aca="false">IFERROR(VLOOKUP(E:E,'Item Data Support Sheet'!A:O,4,0),0)</f>
        <v>21.3</v>
      </c>
      <c r="AA1297" s="93" t="n">
        <f aca="false">IFERROR(((N1297)*(Z1297/1000))+P1297,0)</f>
        <v>57.9573</v>
      </c>
      <c r="AB1297" s="94" t="n">
        <f aca="false">IFERROR((O1297*(Z1297/1000)/(AA1297))," ")</f>
        <v>0.926130099228225</v>
      </c>
      <c r="AC1297" s="95" t="n">
        <f aca="false">IFERROR((T1297)/((T1297)+O1297),0)</f>
        <v>0.0333716915995397</v>
      </c>
      <c r="AD1297" s="96" t="n">
        <f aca="false">IFERROR(Q1297/(Q1297+N1297),0)</f>
        <v>0.0402116402116402</v>
      </c>
      <c r="AE1297" s="91" t="n">
        <f aca="false">(N1297-T1297)/N1297</f>
        <v>0.968026460859978</v>
      </c>
      <c r="AF1297" s="97" t="n">
        <f aca="false">BR1297</f>
        <v>0</v>
      </c>
      <c r="AG1297" s="98" t="n">
        <f aca="false">K1297-AF1297</f>
        <v>8</v>
      </c>
      <c r="AH1297" s="99" t="n">
        <f aca="false">IFERROR(AG1297/K1297," ")</f>
        <v>1</v>
      </c>
      <c r="AI1297" s="100" t="n">
        <f aca="false">IFERROR(O1297/K1297,0)</f>
        <v>315</v>
      </c>
      <c r="AJ1297" s="101" t="n">
        <f aca="false">VLOOKUP(D1297,'Standard Cycle time'!C:D,2,0)</f>
        <v>9</v>
      </c>
      <c r="AK1297" s="101" t="n">
        <f aca="false">AG1297*V1297*3600/O1297</f>
        <v>11.4285714285714</v>
      </c>
      <c r="AL1297" s="102" t="n">
        <f aca="false">AJ1297/AK1297</f>
        <v>0.7875</v>
      </c>
      <c r="AM1297" s="99" t="n">
        <f aca="false">AE1297*AL1297*AH1297</f>
        <v>0.762320837927233</v>
      </c>
      <c r="AN1297" s="103" t="n">
        <v>0.762320837927233</v>
      </c>
      <c r="AO1297" s="112"/>
      <c r="AP1297" s="105" t="n">
        <v>0</v>
      </c>
      <c r="AQ1297" s="105" t="n">
        <v>0</v>
      </c>
      <c r="AR1297" s="105" t="n">
        <v>0</v>
      </c>
      <c r="AS1297" s="105" t="n">
        <v>0</v>
      </c>
      <c r="AT1297" s="105" t="n">
        <v>0</v>
      </c>
      <c r="AU1297" s="105" t="n">
        <v>0</v>
      </c>
      <c r="AV1297" s="105" t="n">
        <v>0</v>
      </c>
      <c r="AW1297" s="105" t="n">
        <v>0</v>
      </c>
      <c r="AX1297" s="105" t="n">
        <v>0</v>
      </c>
      <c r="AY1297" s="105" t="n">
        <v>0</v>
      </c>
      <c r="AZ1297" s="105" t="n">
        <v>0</v>
      </c>
      <c r="BA1297" s="105" t="n">
        <v>0</v>
      </c>
      <c r="BB1297" s="105" t="n">
        <v>0</v>
      </c>
      <c r="BC1297" s="105" t="n">
        <v>0</v>
      </c>
      <c r="BD1297" s="105" t="n">
        <v>0</v>
      </c>
      <c r="BE1297" s="105" t="n">
        <v>0</v>
      </c>
      <c r="BF1297" s="105" t="n">
        <v>0</v>
      </c>
      <c r="BG1297" s="105" t="n">
        <v>0</v>
      </c>
      <c r="BH1297" s="105" t="n">
        <v>0</v>
      </c>
      <c r="BI1297" s="105" t="n">
        <v>0</v>
      </c>
      <c r="BJ1297" s="105" t="n">
        <v>0</v>
      </c>
      <c r="BK1297" s="105" t="n">
        <v>0</v>
      </c>
      <c r="BL1297" s="105" t="n">
        <v>0</v>
      </c>
      <c r="BM1297" s="105" t="n">
        <v>0</v>
      </c>
      <c r="BN1297" s="105" t="n">
        <v>0</v>
      </c>
      <c r="BO1297" s="105" t="n">
        <v>0</v>
      </c>
      <c r="BP1297" s="105" t="n">
        <v>0</v>
      </c>
      <c r="BQ1297" s="105" t="n">
        <v>0</v>
      </c>
      <c r="BR1297" s="106" t="n">
        <v>0</v>
      </c>
      <c r="BS1297" s="106" t="n">
        <v>0</v>
      </c>
      <c r="BT1297" s="107"/>
      <c r="BU1297" s="107"/>
      <c r="BV1297" s="107"/>
      <c r="BW1297" s="107"/>
      <c r="BX1297" s="107"/>
      <c r="BY1297" s="107"/>
      <c r="BZ1297" s="107"/>
      <c r="CA1297" s="107"/>
      <c r="CB1297" s="107"/>
      <c r="CC1297" s="107"/>
      <c r="CD1297" s="107"/>
      <c r="CE1297" s="107"/>
      <c r="CF1297" s="107"/>
      <c r="CG1297" s="107"/>
      <c r="CH1297" s="107"/>
      <c r="CI1297" s="107"/>
      <c r="CJ1297" s="107"/>
      <c r="CK1297" s="107"/>
      <c r="CL1297" s="107"/>
      <c r="CM1297" s="107"/>
      <c r="CN1297" s="107"/>
      <c r="CO1297" s="107"/>
      <c r="CP1297" s="107"/>
      <c r="CQ1297" s="107"/>
      <c r="CR1297" s="107"/>
      <c r="CS1297" s="107"/>
      <c r="CT1297" s="107"/>
      <c r="CU1297" s="107"/>
      <c r="CV1297" s="107"/>
    </row>
    <row r="1298" customFormat="false" ht="14.9" hidden="false" customHeight="false" outlineLevel="0" collapsed="false">
      <c r="A1298" s="74" t="n">
        <f aca="false">MONTH(B1298)</f>
        <v>11</v>
      </c>
      <c r="B1298" s="135" t="n">
        <v>44518</v>
      </c>
      <c r="C1298" s="128" t="s">
        <v>70</v>
      </c>
      <c r="D1298" s="77" t="str">
        <f aca="false">IFERROR(VLOOKUP(E:E,'Item Data Support Sheet'!A:O,7,0),"")</f>
        <v>NIPPLE MOLDED</v>
      </c>
      <c r="E1298" s="80" t="s">
        <v>136</v>
      </c>
      <c r="F1298" s="122" t="s">
        <v>1286</v>
      </c>
      <c r="G1298" s="137" t="s">
        <v>848</v>
      </c>
      <c r="H1298" s="79" t="str">
        <f aca="false">IFERROR(VLOOKUP(E:E,'Item Data Support Sheet'!A:O,2,0),"")</f>
        <v>NIPPLE S TYPE M SIZE INJECTION</v>
      </c>
      <c r="I1298" s="80" t="s">
        <v>2094</v>
      </c>
      <c r="J1298" s="80" t="s">
        <v>155</v>
      </c>
      <c r="K1298" s="124" t="n">
        <v>8</v>
      </c>
      <c r="L1298" s="124" t="n">
        <v>3611</v>
      </c>
      <c r="M1298" s="83" t="n">
        <v>451.375</v>
      </c>
      <c r="N1298" s="84" t="n">
        <f aca="false">+O1298+Q1298+T1298+U1298</f>
        <v>4110</v>
      </c>
      <c r="O1298" s="85" t="n">
        <v>3910</v>
      </c>
      <c r="P1298" s="86" t="n">
        <v>0</v>
      </c>
      <c r="Q1298" s="86" t="n">
        <v>100</v>
      </c>
      <c r="R1298" s="132" t="n">
        <v>0</v>
      </c>
      <c r="S1298" s="128" t="n">
        <v>0</v>
      </c>
      <c r="T1298" s="132" t="n">
        <v>92</v>
      </c>
      <c r="U1298" s="128" t="n">
        <v>8</v>
      </c>
      <c r="V1298" s="128" t="n">
        <v>1</v>
      </c>
      <c r="W1298" s="90" t="n">
        <f aca="false">IFERROR(O1298/V1298,0)</f>
        <v>3910</v>
      </c>
      <c r="X1298" s="91" t="n">
        <f aca="false">O1298/L1298</f>
        <v>1.0828025477707</v>
      </c>
      <c r="Y1298" s="92" t="str">
        <f aca="false">IFERROR(VLOOKUP(E:E,'Item Data Support Sheet'!A:J,6,0),0)</f>
        <v>Silicon</v>
      </c>
      <c r="Z1298" s="93" t="n">
        <f aca="false">IFERROR(VLOOKUP(E:E,'Item Data Support Sheet'!A:O,4,0),0)</f>
        <v>6.8</v>
      </c>
      <c r="AA1298" s="93" t="n">
        <f aca="false">IFERROR(((N1298)*(Z1298/1000))+P1298,0)</f>
        <v>27.948</v>
      </c>
      <c r="AB1298" s="94" t="n">
        <f aca="false">IFERROR((O1298*(Z1298/1000)/(AA1298))," ")</f>
        <v>0.951338199513382</v>
      </c>
      <c r="AC1298" s="95" t="n">
        <f aca="false">IFERROR((T1298)/((T1298)+O1298),0)</f>
        <v>0.0229885057471264</v>
      </c>
      <c r="AD1298" s="96" t="n">
        <f aca="false">IFERROR(Q1298/(Q1298+N1298),0)</f>
        <v>0.0237529691211401</v>
      </c>
      <c r="AE1298" s="91" t="n">
        <f aca="false">(N1298-T1298)/N1298</f>
        <v>0.977615571776156</v>
      </c>
      <c r="AF1298" s="97" t="n">
        <f aca="false">BR1298</f>
        <v>0</v>
      </c>
      <c r="AG1298" s="98" t="n">
        <f aca="false">K1298-AF1298</f>
        <v>8</v>
      </c>
      <c r="AH1298" s="99" t="n">
        <f aca="false">IFERROR(AG1298/K1298," ")</f>
        <v>1</v>
      </c>
      <c r="AI1298" s="100" t="n">
        <f aca="false">IFERROR(O1298/K1298,0)</f>
        <v>488.75</v>
      </c>
      <c r="AJ1298" s="101" t="n">
        <f aca="false">VLOOKUP(D1298,'Standard Cycle time'!C:D,2,0)</f>
        <v>5.25</v>
      </c>
      <c r="AK1298" s="101" t="n">
        <f aca="false">AG1298*V1298*3600/O1298</f>
        <v>7.36572890025575</v>
      </c>
      <c r="AL1298" s="102" t="n">
        <f aca="false">AJ1298/AK1298</f>
        <v>0.712760416666667</v>
      </c>
      <c r="AM1298" s="99" t="n">
        <f aca="false">AE1298*AL1298*AH1298</f>
        <v>0.696805682278994</v>
      </c>
      <c r="AN1298" s="103" t="n">
        <v>0.696805682278994</v>
      </c>
      <c r="AO1298" s="112"/>
      <c r="AP1298" s="105" t="n">
        <v>0</v>
      </c>
      <c r="AQ1298" s="105" t="n">
        <v>0</v>
      </c>
      <c r="AR1298" s="105" t="n">
        <v>0</v>
      </c>
      <c r="AS1298" s="105" t="n">
        <v>0</v>
      </c>
      <c r="AT1298" s="105" t="n">
        <v>0</v>
      </c>
      <c r="AU1298" s="105" t="n">
        <v>0</v>
      </c>
      <c r="AV1298" s="105" t="n">
        <v>0</v>
      </c>
      <c r="AW1298" s="105" t="n">
        <v>0</v>
      </c>
      <c r="AX1298" s="105" t="n">
        <v>0</v>
      </c>
      <c r="AY1298" s="105" t="n">
        <v>0</v>
      </c>
      <c r="AZ1298" s="105" t="n">
        <v>0</v>
      </c>
      <c r="BA1298" s="105" t="n">
        <v>0</v>
      </c>
      <c r="BB1298" s="105" t="n">
        <v>0</v>
      </c>
      <c r="BC1298" s="105" t="n">
        <v>0</v>
      </c>
      <c r="BD1298" s="105" t="n">
        <v>0</v>
      </c>
      <c r="BE1298" s="105" t="n">
        <v>0</v>
      </c>
      <c r="BF1298" s="105" t="n">
        <v>0</v>
      </c>
      <c r="BG1298" s="105" t="n">
        <v>0</v>
      </c>
      <c r="BH1298" s="105" t="n">
        <v>0</v>
      </c>
      <c r="BI1298" s="105" t="n">
        <v>0</v>
      </c>
      <c r="BJ1298" s="105" t="n">
        <v>0</v>
      </c>
      <c r="BK1298" s="105" t="n">
        <v>0</v>
      </c>
      <c r="BL1298" s="105" t="n">
        <v>0</v>
      </c>
      <c r="BM1298" s="105" t="n">
        <v>0</v>
      </c>
      <c r="BN1298" s="105" t="n">
        <v>0</v>
      </c>
      <c r="BO1298" s="105" t="n">
        <v>0</v>
      </c>
      <c r="BP1298" s="105" t="n">
        <v>0</v>
      </c>
      <c r="BQ1298" s="105" t="n">
        <v>0</v>
      </c>
      <c r="BR1298" s="106" t="n">
        <v>0</v>
      </c>
      <c r="BS1298" s="106" t="n">
        <v>0</v>
      </c>
      <c r="BT1298" s="107"/>
      <c r="BU1298" s="107"/>
      <c r="BV1298" s="107"/>
      <c r="BW1298" s="107"/>
      <c r="BX1298" s="107"/>
      <c r="BY1298" s="107"/>
      <c r="BZ1298" s="107"/>
      <c r="CA1298" s="107"/>
      <c r="CB1298" s="107"/>
      <c r="CC1298" s="107"/>
      <c r="CD1298" s="107"/>
      <c r="CE1298" s="107"/>
      <c r="CF1298" s="107"/>
      <c r="CG1298" s="107"/>
      <c r="CH1298" s="107"/>
      <c r="CI1298" s="107"/>
      <c r="CJ1298" s="107"/>
      <c r="CK1298" s="107"/>
      <c r="CL1298" s="107"/>
      <c r="CM1298" s="107"/>
      <c r="CN1298" s="107"/>
      <c r="CO1298" s="107"/>
      <c r="CP1298" s="107"/>
      <c r="CQ1298" s="107"/>
      <c r="CR1298" s="107"/>
      <c r="CS1298" s="107"/>
      <c r="CT1298" s="107"/>
      <c r="CU1298" s="107"/>
      <c r="CV1298" s="107"/>
    </row>
    <row r="1299" customFormat="false" ht="14.9" hidden="false" customHeight="false" outlineLevel="0" collapsed="false">
      <c r="A1299" s="74" t="n">
        <f aca="false">MONTH(B1299)</f>
        <v>11</v>
      </c>
      <c r="B1299" s="135" t="n">
        <v>44518</v>
      </c>
      <c r="C1299" s="128" t="s">
        <v>70</v>
      </c>
      <c r="D1299" s="77" t="str">
        <f aca="false">IFERROR(VLOOKUP(E:E,'Item Data Support Sheet'!A:O,7,0),"")</f>
        <v>BOTTLE PRINTED</v>
      </c>
      <c r="E1299" s="80" t="s">
        <v>591</v>
      </c>
      <c r="F1299" s="122"/>
      <c r="G1299" s="137"/>
      <c r="H1299" s="79" t="str">
        <f aca="false">IFERROR(VLOOKUP(E:E,'Item Data Support Sheet'!A:O,2,0),"")</f>
        <v>RPP 240 ML BOTTLE PRINTED</v>
      </c>
      <c r="I1299" s="80" t="s">
        <v>2097</v>
      </c>
      <c r="J1299" s="80" t="s">
        <v>155</v>
      </c>
      <c r="K1299" s="124" t="n">
        <v>8</v>
      </c>
      <c r="L1299" s="124" t="n">
        <v>5800</v>
      </c>
      <c r="M1299" s="83" t="n">
        <v>725</v>
      </c>
      <c r="N1299" s="84" t="n">
        <f aca="false">+O1299+Q1299+T1299+U1299</f>
        <v>6143</v>
      </c>
      <c r="O1299" s="85" t="n">
        <v>6100</v>
      </c>
      <c r="P1299" s="86" t="n">
        <v>0</v>
      </c>
      <c r="Q1299" s="86" t="n">
        <v>0</v>
      </c>
      <c r="R1299" s="132" t="n">
        <v>43</v>
      </c>
      <c r="S1299" s="128" t="n">
        <v>0</v>
      </c>
      <c r="T1299" s="132" t="n">
        <v>43</v>
      </c>
      <c r="U1299" s="128" t="n">
        <v>0</v>
      </c>
      <c r="V1299" s="128" t="n">
        <v>5</v>
      </c>
      <c r="W1299" s="90" t="n">
        <f aca="false">IFERROR(O1299/V1299,0)</f>
        <v>1220</v>
      </c>
      <c r="X1299" s="91" t="n">
        <f aca="false">O1299/L1299</f>
        <v>1.05172413793103</v>
      </c>
      <c r="Y1299" s="92" t="str">
        <f aca="false">IFERROR(VLOOKUP(E:E,'Item Data Support Sheet'!A:J,6,0),0)</f>
        <v>FO005</v>
      </c>
      <c r="Z1299" s="93" t="n">
        <f aca="false">IFERROR(VLOOKUP(E:E,'Item Data Support Sheet'!A:O,4,0),0)</f>
        <v>0</v>
      </c>
      <c r="AA1299" s="93" t="n">
        <f aca="false">IFERROR(((N1299)*(Z1299/1000))+P1299,0)</f>
        <v>0</v>
      </c>
      <c r="AB1299" s="94" t="str">
        <f aca="false">IFERROR((O1299*(Z1299/1000)/(AA1299))," ")</f>
        <v> </v>
      </c>
      <c r="AC1299" s="95" t="n">
        <f aca="false">IFERROR((T1299)/((T1299)+O1299),0)</f>
        <v>0.00699983721308807</v>
      </c>
      <c r="AD1299" s="96" t="n">
        <f aca="false">IFERROR(Q1299/(Q1299+N1299),0)</f>
        <v>0</v>
      </c>
      <c r="AE1299" s="91" t="n">
        <f aca="false">(N1299-T1299)/N1299</f>
        <v>0.993000162786912</v>
      </c>
      <c r="AF1299" s="97" t="n">
        <f aca="false">BR1299</f>
        <v>0.666666666666667</v>
      </c>
      <c r="AG1299" s="98" t="n">
        <f aca="false">K1299-AF1299</f>
        <v>7.33333333333333</v>
      </c>
      <c r="AH1299" s="99" t="n">
        <f aca="false">IFERROR(AG1299/K1299," ")</f>
        <v>0.916666666666667</v>
      </c>
      <c r="AI1299" s="100" t="n">
        <f aca="false">IFERROR(O1299/K1299,0)</f>
        <v>762.5</v>
      </c>
      <c r="AJ1299" s="101" t="n">
        <f aca="false">VLOOKUP(D1299,'Standard Cycle time'!C:D,2,0)</f>
        <v>32.4</v>
      </c>
      <c r="AK1299" s="101" t="n">
        <f aca="false">AG1299*V1299*3600/O1299</f>
        <v>21.6393442622951</v>
      </c>
      <c r="AL1299" s="102" t="n">
        <f aca="false">AJ1299/AK1299</f>
        <v>1.49727272727273</v>
      </c>
      <c r="AM1299" s="99" t="n">
        <f aca="false">AE1299*AL1299*AH1299</f>
        <v>1.36289272342504</v>
      </c>
      <c r="AN1299" s="103" t="n">
        <v>1.36289272342504</v>
      </c>
      <c r="AO1299" s="112"/>
      <c r="AP1299" s="105" t="n">
        <v>40</v>
      </c>
      <c r="AQ1299" s="105" t="n">
        <v>0</v>
      </c>
      <c r="AR1299" s="105" t="n">
        <v>0</v>
      </c>
      <c r="AS1299" s="105" t="n">
        <v>0</v>
      </c>
      <c r="AT1299" s="105" t="n">
        <v>0</v>
      </c>
      <c r="AU1299" s="105" t="n">
        <v>0</v>
      </c>
      <c r="AV1299" s="105" t="n">
        <v>0</v>
      </c>
      <c r="AW1299" s="105" t="n">
        <v>0</v>
      </c>
      <c r="AX1299" s="105" t="n">
        <v>0</v>
      </c>
      <c r="AY1299" s="105" t="n">
        <v>0</v>
      </c>
      <c r="AZ1299" s="105" t="n">
        <v>0</v>
      </c>
      <c r="BA1299" s="105" t="n">
        <v>0</v>
      </c>
      <c r="BB1299" s="105" t="n">
        <v>0</v>
      </c>
      <c r="BC1299" s="105" t="n">
        <v>0</v>
      </c>
      <c r="BD1299" s="105" t="n">
        <v>0</v>
      </c>
      <c r="BE1299" s="105" t="n">
        <v>0</v>
      </c>
      <c r="BF1299" s="105" t="n">
        <v>0</v>
      </c>
      <c r="BG1299" s="105" t="n">
        <v>0</v>
      </c>
      <c r="BH1299" s="105" t="n">
        <v>0</v>
      </c>
      <c r="BI1299" s="105" t="n">
        <v>0</v>
      </c>
      <c r="BJ1299" s="105" t="n">
        <v>0</v>
      </c>
      <c r="BK1299" s="105" t="n">
        <v>0</v>
      </c>
      <c r="BL1299" s="105" t="n">
        <v>0</v>
      </c>
      <c r="BM1299" s="105" t="n">
        <v>0</v>
      </c>
      <c r="BN1299" s="105" t="n">
        <v>0</v>
      </c>
      <c r="BO1299" s="105" t="n">
        <v>0</v>
      </c>
      <c r="BP1299" s="105" t="n">
        <v>0</v>
      </c>
      <c r="BQ1299" s="105" t="n">
        <v>0</v>
      </c>
      <c r="BR1299" s="106" t="n">
        <v>0.666666666666667</v>
      </c>
      <c r="BS1299" s="106" t="n">
        <v>0.666666666666667</v>
      </c>
      <c r="BT1299" s="107"/>
      <c r="BU1299" s="107"/>
      <c r="BV1299" s="107"/>
      <c r="BW1299" s="107"/>
      <c r="BX1299" s="107"/>
      <c r="BY1299" s="107"/>
      <c r="BZ1299" s="107"/>
      <c r="CA1299" s="107"/>
      <c r="CB1299" s="107"/>
      <c r="CC1299" s="107"/>
      <c r="CD1299" s="107"/>
      <c r="CE1299" s="107"/>
      <c r="CF1299" s="107"/>
      <c r="CG1299" s="107"/>
      <c r="CH1299" s="107"/>
      <c r="CI1299" s="107"/>
      <c r="CJ1299" s="107"/>
      <c r="CK1299" s="107"/>
      <c r="CL1299" s="107"/>
      <c r="CM1299" s="107"/>
      <c r="CN1299" s="107"/>
      <c r="CO1299" s="107"/>
      <c r="CP1299" s="107"/>
      <c r="CQ1299" s="107"/>
      <c r="CR1299" s="107"/>
      <c r="CS1299" s="107"/>
      <c r="CT1299" s="107"/>
      <c r="CU1299" s="107"/>
      <c r="CV1299" s="107"/>
    </row>
    <row r="1300" customFormat="false" ht="14.9" hidden="false" customHeight="false" outlineLevel="0" collapsed="false">
      <c r="A1300" s="74" t="n">
        <f aca="false">MONTH(B1300)</f>
        <v>11</v>
      </c>
      <c r="B1300" s="135" t="n">
        <v>44518</v>
      </c>
      <c r="C1300" s="128" t="s">
        <v>152</v>
      </c>
      <c r="D1300" s="77" t="str">
        <f aca="false">IFERROR(VLOOKUP(E:E,'Item Data Support Sheet'!A:O,7,0),"")</f>
        <v>BOTTLE MOLDED</v>
      </c>
      <c r="E1300" s="80" t="s">
        <v>78</v>
      </c>
      <c r="F1300" s="122" t="s">
        <v>79</v>
      </c>
      <c r="G1300" s="137" t="s">
        <v>80</v>
      </c>
      <c r="H1300" s="79" t="str">
        <f aca="false">IFERROR(VLOOKUP(E:E,'Item Data Support Sheet'!A:O,2,0),"")</f>
        <v>RPP 120 ML BOTTLE MOLDED</v>
      </c>
      <c r="I1300" s="80" t="s">
        <v>2098</v>
      </c>
      <c r="J1300" s="80" t="s">
        <v>1913</v>
      </c>
      <c r="K1300" s="124" t="n">
        <v>8</v>
      </c>
      <c r="L1300" s="124" t="n">
        <v>2574</v>
      </c>
      <c r="M1300" s="83" t="n">
        <v>321.75</v>
      </c>
      <c r="N1300" s="84" t="n">
        <f aca="false">+O1300+Q1300+T1300+U1300</f>
        <v>2963</v>
      </c>
      <c r="O1300" s="85" t="n">
        <v>2880</v>
      </c>
      <c r="P1300" s="86" t="n">
        <v>0.15</v>
      </c>
      <c r="Q1300" s="86" t="n">
        <v>27</v>
      </c>
      <c r="R1300" s="132" t="n">
        <v>0</v>
      </c>
      <c r="S1300" s="128" t="n">
        <v>0</v>
      </c>
      <c r="T1300" s="132" t="n">
        <v>48</v>
      </c>
      <c r="U1300" s="128" t="n">
        <v>8</v>
      </c>
      <c r="V1300" s="128" t="n">
        <v>1</v>
      </c>
      <c r="W1300" s="90" t="n">
        <f aca="false">IFERROR(O1300/V1300,0)</f>
        <v>2880</v>
      </c>
      <c r="X1300" s="91" t="n">
        <f aca="false">O1300/L1300</f>
        <v>1.11888111888112</v>
      </c>
      <c r="Y1300" s="92" t="str">
        <f aca="false">IFERROR(VLOOKUP(E:E,'Item Data Support Sheet'!A:J,6,0),0)</f>
        <v>HMC</v>
      </c>
      <c r="Z1300" s="93" t="n">
        <f aca="false">IFERROR(VLOOKUP(E:E,'Item Data Support Sheet'!A:O,4,0),0)</f>
        <v>21.3</v>
      </c>
      <c r="AA1300" s="93" t="n">
        <f aca="false">IFERROR(((N1300)*(Z1300/1000))+P1300,0)</f>
        <v>63.2619</v>
      </c>
      <c r="AB1300" s="94" t="n">
        <f aca="false">IFERROR((O1300*(Z1300/1000)/(AA1300))," ")</f>
        <v>0.969683174232832</v>
      </c>
      <c r="AC1300" s="95" t="n">
        <f aca="false">IFERROR((T1300)/((T1300)+O1300),0)</f>
        <v>0.0163934426229508</v>
      </c>
      <c r="AD1300" s="96" t="n">
        <f aca="false">IFERROR(Q1300/(Q1300+N1300),0)</f>
        <v>0.00903010033444816</v>
      </c>
      <c r="AE1300" s="91" t="n">
        <f aca="false">(N1300-T1300)/N1300</f>
        <v>0.983800202497469</v>
      </c>
      <c r="AF1300" s="97" t="n">
        <f aca="false">BR1300</f>
        <v>0</v>
      </c>
      <c r="AG1300" s="98" t="n">
        <f aca="false">K1300-AF1300</f>
        <v>8</v>
      </c>
      <c r="AH1300" s="99" t="n">
        <f aca="false">IFERROR(AG1300/K1300," ")</f>
        <v>1</v>
      </c>
      <c r="AI1300" s="100" t="n">
        <f aca="false">IFERROR(O1300/K1300,0)</f>
        <v>360</v>
      </c>
      <c r="AJ1300" s="101" t="n">
        <f aca="false">VLOOKUP(D1300,'Standard Cycle time'!C:D,2,0)</f>
        <v>9</v>
      </c>
      <c r="AK1300" s="101" t="n">
        <f aca="false">AG1300*V1300*3600/O1300</f>
        <v>10</v>
      </c>
      <c r="AL1300" s="102" t="n">
        <f aca="false">AJ1300/AK1300</f>
        <v>0.9</v>
      </c>
      <c r="AM1300" s="99" t="n">
        <f aca="false">AE1300*AL1300*AH1300</f>
        <v>0.885420182247722</v>
      </c>
      <c r="AN1300" s="103" t="n">
        <v>0.885420182247722</v>
      </c>
      <c r="AO1300" s="112"/>
      <c r="AP1300" s="105" t="n">
        <v>0</v>
      </c>
      <c r="AQ1300" s="105" t="n">
        <v>0</v>
      </c>
      <c r="AR1300" s="105" t="n">
        <v>0</v>
      </c>
      <c r="AS1300" s="105" t="n">
        <v>0</v>
      </c>
      <c r="AT1300" s="105" t="n">
        <v>0</v>
      </c>
      <c r="AU1300" s="105" t="n">
        <v>0</v>
      </c>
      <c r="AV1300" s="105" t="n">
        <v>0</v>
      </c>
      <c r="AW1300" s="105" t="n">
        <v>0</v>
      </c>
      <c r="AX1300" s="105" t="n">
        <v>0</v>
      </c>
      <c r="AY1300" s="105" t="n">
        <v>0</v>
      </c>
      <c r="AZ1300" s="105" t="n">
        <v>0</v>
      </c>
      <c r="BA1300" s="105" t="n">
        <v>0</v>
      </c>
      <c r="BB1300" s="105" t="n">
        <v>0</v>
      </c>
      <c r="BC1300" s="105" t="n">
        <v>0</v>
      </c>
      <c r="BD1300" s="105" t="n">
        <v>0</v>
      </c>
      <c r="BE1300" s="105" t="n">
        <v>0</v>
      </c>
      <c r="BF1300" s="105" t="n">
        <v>0</v>
      </c>
      <c r="BG1300" s="105" t="n">
        <v>0</v>
      </c>
      <c r="BH1300" s="105" t="n">
        <v>0</v>
      </c>
      <c r="BI1300" s="105" t="n">
        <v>0</v>
      </c>
      <c r="BJ1300" s="105" t="n">
        <v>0</v>
      </c>
      <c r="BK1300" s="105" t="n">
        <v>0</v>
      </c>
      <c r="BL1300" s="105" t="n">
        <v>0</v>
      </c>
      <c r="BM1300" s="105" t="n">
        <v>0</v>
      </c>
      <c r="BN1300" s="105" t="n">
        <v>0</v>
      </c>
      <c r="BO1300" s="105" t="n">
        <v>0</v>
      </c>
      <c r="BP1300" s="105" t="n">
        <v>0</v>
      </c>
      <c r="BQ1300" s="105" t="n">
        <v>0</v>
      </c>
      <c r="BR1300" s="106" t="n">
        <v>0</v>
      </c>
      <c r="BS1300" s="106" t="n">
        <v>0</v>
      </c>
      <c r="BT1300" s="107"/>
      <c r="BU1300" s="107"/>
      <c r="BV1300" s="107"/>
      <c r="BW1300" s="107"/>
      <c r="BX1300" s="107"/>
      <c r="BY1300" s="107"/>
      <c r="BZ1300" s="107"/>
      <c r="CA1300" s="107"/>
      <c r="CB1300" s="107"/>
      <c r="CC1300" s="107"/>
      <c r="CD1300" s="107"/>
      <c r="CE1300" s="107"/>
      <c r="CF1300" s="107"/>
      <c r="CG1300" s="107"/>
      <c r="CH1300" s="107"/>
      <c r="CI1300" s="107"/>
      <c r="CJ1300" s="107"/>
      <c r="CK1300" s="107"/>
      <c r="CL1300" s="107"/>
      <c r="CM1300" s="107"/>
      <c r="CN1300" s="107"/>
      <c r="CO1300" s="107"/>
      <c r="CP1300" s="107"/>
      <c r="CQ1300" s="107"/>
      <c r="CR1300" s="107"/>
      <c r="CS1300" s="107"/>
      <c r="CT1300" s="107"/>
      <c r="CU1300" s="107"/>
      <c r="CV1300" s="107"/>
      <c r="DA1300" s="0" t="s">
        <v>58</v>
      </c>
    </row>
    <row r="1301" customFormat="false" ht="14.9" hidden="false" customHeight="false" outlineLevel="0" collapsed="false">
      <c r="A1301" s="74" t="n">
        <f aca="false">MONTH(B1301)</f>
        <v>11</v>
      </c>
      <c r="B1301" s="135" t="n">
        <v>44518</v>
      </c>
      <c r="C1301" s="128" t="s">
        <v>152</v>
      </c>
      <c r="D1301" s="77" t="str">
        <f aca="false">IFERROR(VLOOKUP(E:E,'Item Data Support Sheet'!A:O,7,0),"")</f>
        <v>NIPPLE MOLDED</v>
      </c>
      <c r="E1301" s="80" t="s">
        <v>661</v>
      </c>
      <c r="F1301" s="122" t="s">
        <v>137</v>
      </c>
      <c r="G1301" s="137" t="s">
        <v>138</v>
      </c>
      <c r="H1301" s="79" t="str">
        <f aca="false">IFERROR(VLOOKUP(E:E,'Item Data Support Sheet'!A:O,2,0),"")</f>
        <v>NIPPLE S TYPE L SIZE INJECTION</v>
      </c>
      <c r="I1301" s="80" t="s">
        <v>2099</v>
      </c>
      <c r="J1301" s="80" t="s">
        <v>1913</v>
      </c>
      <c r="K1301" s="124" t="n">
        <v>8</v>
      </c>
      <c r="L1301" s="124" t="n">
        <v>4815</v>
      </c>
      <c r="M1301" s="83" t="n">
        <v>601.875</v>
      </c>
      <c r="N1301" s="84" t="n">
        <f aca="false">+O1301+Q1301+T1301+U1301</f>
        <v>5676</v>
      </c>
      <c r="O1301" s="85" t="n">
        <v>5600</v>
      </c>
      <c r="P1301" s="86" t="n">
        <v>0</v>
      </c>
      <c r="Q1301" s="86" t="n">
        <v>0</v>
      </c>
      <c r="R1301" s="132" t="n">
        <v>0</v>
      </c>
      <c r="S1301" s="128" t="n">
        <v>0</v>
      </c>
      <c r="T1301" s="132" t="n">
        <v>60</v>
      </c>
      <c r="U1301" s="128" t="n">
        <v>16</v>
      </c>
      <c r="V1301" s="128" t="n">
        <v>1</v>
      </c>
      <c r="W1301" s="90" t="n">
        <f aca="false">IFERROR(O1301/V1301,0)</f>
        <v>5600</v>
      </c>
      <c r="X1301" s="91" t="n">
        <f aca="false">O1301/L1301</f>
        <v>1.16303219106957</v>
      </c>
      <c r="Y1301" s="92" t="str">
        <f aca="false">IFERROR(VLOOKUP(E:E,'Item Data Support Sheet'!A:J,6,0),0)</f>
        <v>Silicon</v>
      </c>
      <c r="Z1301" s="93" t="n">
        <f aca="false">IFERROR(VLOOKUP(E:E,'Item Data Support Sheet'!A:O,4,0),0)</f>
        <v>6.8</v>
      </c>
      <c r="AA1301" s="93" t="n">
        <f aca="false">IFERROR(((N1301)*(Z1301/1000))+P1301,0)</f>
        <v>38.5968</v>
      </c>
      <c r="AB1301" s="94" t="n">
        <f aca="false">IFERROR((O1301*(Z1301/1000)/(AA1301))," ")</f>
        <v>0.98661028893587</v>
      </c>
      <c r="AC1301" s="95" t="n">
        <f aca="false">IFERROR((T1301)/((T1301)+O1301),0)</f>
        <v>0.0106007067137809</v>
      </c>
      <c r="AD1301" s="96" t="n">
        <f aca="false">IFERROR(Q1301/(Q1301+N1301),0)</f>
        <v>0</v>
      </c>
      <c r="AE1301" s="91" t="n">
        <f aca="false">(N1301-T1301)/N1301</f>
        <v>0.989429175475687</v>
      </c>
      <c r="AF1301" s="97" t="n">
        <f aca="false">BR1301</f>
        <v>0</v>
      </c>
      <c r="AG1301" s="98" t="n">
        <f aca="false">K1301-AF1301</f>
        <v>8</v>
      </c>
      <c r="AH1301" s="99" t="n">
        <f aca="false">IFERROR(AG1301/K1301," ")</f>
        <v>1</v>
      </c>
      <c r="AI1301" s="100" t="n">
        <f aca="false">IFERROR(O1301/K1301,0)</f>
        <v>700</v>
      </c>
      <c r="AJ1301" s="101" t="n">
        <f aca="false">VLOOKUP(D1301,'Standard Cycle time'!C:D,2,0)</f>
        <v>5.25</v>
      </c>
      <c r="AK1301" s="101" t="n">
        <f aca="false">AG1301*V1301*3600/O1301</f>
        <v>5.14285714285714</v>
      </c>
      <c r="AL1301" s="102" t="n">
        <f aca="false">AJ1301/AK1301</f>
        <v>1.02083333333333</v>
      </c>
      <c r="AM1301" s="99" t="n">
        <f aca="false">AE1301*AL1301*AH1301</f>
        <v>1.0100422832981</v>
      </c>
      <c r="AN1301" s="103" t="n">
        <v>1.0100422832981</v>
      </c>
      <c r="AO1301" s="112"/>
      <c r="AP1301" s="105" t="n">
        <v>0</v>
      </c>
      <c r="AQ1301" s="105" t="n">
        <v>0</v>
      </c>
      <c r="AR1301" s="105" t="n">
        <v>0</v>
      </c>
      <c r="AS1301" s="105" t="n">
        <v>0</v>
      </c>
      <c r="AT1301" s="105" t="n">
        <v>0</v>
      </c>
      <c r="AU1301" s="105" t="n">
        <v>0</v>
      </c>
      <c r="AV1301" s="105" t="n">
        <v>0</v>
      </c>
      <c r="AW1301" s="105" t="n">
        <v>0</v>
      </c>
      <c r="AX1301" s="105" t="n">
        <v>0</v>
      </c>
      <c r="AY1301" s="105" t="n">
        <v>0</v>
      </c>
      <c r="AZ1301" s="105" t="n">
        <v>0</v>
      </c>
      <c r="BA1301" s="105" t="n">
        <v>0</v>
      </c>
      <c r="BB1301" s="105" t="n">
        <v>0</v>
      </c>
      <c r="BC1301" s="105" t="n">
        <v>0</v>
      </c>
      <c r="BD1301" s="105" t="n">
        <v>0</v>
      </c>
      <c r="BE1301" s="105" t="n">
        <v>0</v>
      </c>
      <c r="BF1301" s="105" t="n">
        <v>0</v>
      </c>
      <c r="BG1301" s="105" t="n">
        <v>0</v>
      </c>
      <c r="BH1301" s="105" t="n">
        <v>0</v>
      </c>
      <c r="BI1301" s="105" t="n">
        <v>0</v>
      </c>
      <c r="BJ1301" s="105" t="n">
        <v>0</v>
      </c>
      <c r="BK1301" s="105" t="n">
        <v>0</v>
      </c>
      <c r="BL1301" s="105" t="n">
        <v>0</v>
      </c>
      <c r="BM1301" s="105" t="n">
        <v>0</v>
      </c>
      <c r="BN1301" s="105" t="n">
        <v>0</v>
      </c>
      <c r="BO1301" s="105" t="n">
        <v>0</v>
      </c>
      <c r="BP1301" s="105" t="n">
        <v>0</v>
      </c>
      <c r="BQ1301" s="105" t="n">
        <v>0</v>
      </c>
      <c r="BR1301" s="106" t="n">
        <v>0</v>
      </c>
      <c r="BS1301" s="106" t="n">
        <v>0</v>
      </c>
      <c r="BT1301" s="107"/>
      <c r="BU1301" s="107"/>
      <c r="BV1301" s="107"/>
      <c r="BW1301" s="107"/>
      <c r="BX1301" s="107"/>
      <c r="BY1301" s="107"/>
      <c r="BZ1301" s="107"/>
      <c r="CA1301" s="107"/>
      <c r="CB1301" s="107"/>
      <c r="CC1301" s="107"/>
      <c r="CD1301" s="107"/>
      <c r="CE1301" s="107"/>
      <c r="CF1301" s="107"/>
      <c r="CG1301" s="107"/>
      <c r="CH1301" s="107"/>
      <c r="CI1301" s="107"/>
      <c r="CJ1301" s="107"/>
      <c r="CK1301" s="107"/>
      <c r="CL1301" s="107"/>
      <c r="CM1301" s="107"/>
      <c r="CN1301" s="107"/>
      <c r="CO1301" s="107"/>
      <c r="CP1301" s="107"/>
      <c r="CQ1301" s="107"/>
      <c r="CR1301" s="107"/>
      <c r="CS1301" s="107"/>
      <c r="CT1301" s="107"/>
      <c r="CU1301" s="107"/>
      <c r="CV1301" s="107"/>
    </row>
    <row r="1302" customFormat="false" ht="14.9" hidden="false" customHeight="false" outlineLevel="0" collapsed="false">
      <c r="A1302" s="74" t="n">
        <f aca="false">MONTH(B1302)</f>
        <v>11</v>
      </c>
      <c r="B1302" s="135" t="n">
        <v>44518</v>
      </c>
      <c r="C1302" s="128" t="s">
        <v>152</v>
      </c>
      <c r="D1302" s="77" t="str">
        <f aca="false">IFERROR(VLOOKUP(E:E,'Item Data Support Sheet'!A:O,7,0),"")</f>
        <v>HOOD MOLDED</v>
      </c>
      <c r="E1302" s="80" t="s">
        <v>529</v>
      </c>
      <c r="F1302" s="122"/>
      <c r="G1302" s="137" t="s">
        <v>740</v>
      </c>
      <c r="H1302" s="79" t="str">
        <f aca="false">IFERROR(VLOOKUP(E:E,'Item Data Support Sheet'!A:O,2,0),"")</f>
        <v>HOOD S TYPE MOLDED</v>
      </c>
      <c r="I1302" s="80" t="s">
        <v>2100</v>
      </c>
      <c r="J1302" s="80" t="s">
        <v>1913</v>
      </c>
      <c r="K1302" s="124" t="n">
        <v>8</v>
      </c>
      <c r="L1302" s="124" t="n">
        <v>4137</v>
      </c>
      <c r="M1302" s="83" t="n">
        <v>517.125</v>
      </c>
      <c r="N1302" s="84" t="n">
        <f aca="false">+O1302+Q1302+T1302+U1302</f>
        <v>4818</v>
      </c>
      <c r="O1302" s="85" t="n">
        <v>4800</v>
      </c>
      <c r="P1302" s="86" t="n">
        <v>0.1</v>
      </c>
      <c r="Q1302" s="86" t="n">
        <v>0</v>
      </c>
      <c r="R1302" s="132" t="n">
        <v>0</v>
      </c>
      <c r="S1302" s="128" t="n">
        <v>0</v>
      </c>
      <c r="T1302" s="132" t="n">
        <v>10</v>
      </c>
      <c r="U1302" s="128" t="n">
        <v>8</v>
      </c>
      <c r="V1302" s="128" t="n">
        <v>1</v>
      </c>
      <c r="W1302" s="90" t="n">
        <f aca="false">IFERROR(O1302/V1302,0)</f>
        <v>4800</v>
      </c>
      <c r="X1302" s="91" t="n">
        <f aca="false">O1302/L1302</f>
        <v>1.16026105873822</v>
      </c>
      <c r="Y1302" s="92" t="str">
        <f aca="false">IFERROR(VLOOKUP(E:E,'Item Data Support Sheet'!A:J,6,0),0)</f>
        <v>HMC</v>
      </c>
      <c r="Z1302" s="93" t="n">
        <f aca="false">IFERROR(VLOOKUP(E:E,'Item Data Support Sheet'!A:O,4,0),0)</f>
        <v>8.6</v>
      </c>
      <c r="AA1302" s="93" t="n">
        <f aca="false">IFERROR(((N1302)*(Z1302/1000))+P1302,0)</f>
        <v>41.5348</v>
      </c>
      <c r="AB1302" s="94" t="n">
        <f aca="false">IFERROR((O1302*(Z1302/1000)/(AA1302))," ")</f>
        <v>0.993865385170989</v>
      </c>
      <c r="AC1302" s="95" t="n">
        <f aca="false">IFERROR((T1302)/((T1302)+O1302),0)</f>
        <v>0.00207900207900208</v>
      </c>
      <c r="AD1302" s="96" t="n">
        <f aca="false">IFERROR(Q1302/(Q1302+N1302),0)</f>
        <v>0</v>
      </c>
      <c r="AE1302" s="91" t="n">
        <f aca="false">(N1302-T1302)/N1302</f>
        <v>0.997924449979244</v>
      </c>
      <c r="AF1302" s="97" t="n">
        <f aca="false">BR1302</f>
        <v>0</v>
      </c>
      <c r="AG1302" s="98" t="n">
        <f aca="false">K1302-AF1302</f>
        <v>8</v>
      </c>
      <c r="AH1302" s="99" t="n">
        <f aca="false">IFERROR(AG1302/K1302," ")</f>
        <v>1</v>
      </c>
      <c r="AI1302" s="100" t="n">
        <f aca="false">IFERROR(O1302/K1302,0)</f>
        <v>600</v>
      </c>
      <c r="AJ1302" s="101" t="n">
        <f aca="false">VLOOKUP(D1302,'Standard Cycle time'!C:D,2,0)</f>
        <v>6</v>
      </c>
      <c r="AK1302" s="101" t="n">
        <f aca="false">AG1302*V1302*3600/O1302</f>
        <v>6</v>
      </c>
      <c r="AL1302" s="102" t="n">
        <f aca="false">AJ1302/AK1302</f>
        <v>1</v>
      </c>
      <c r="AM1302" s="99" t="n">
        <f aca="false">AE1302*AL1302*AH1302</f>
        <v>0.997924449979244</v>
      </c>
      <c r="AN1302" s="103" t="n">
        <v>0.997924449979245</v>
      </c>
      <c r="AO1302" s="112"/>
      <c r="AP1302" s="105" t="n">
        <v>0</v>
      </c>
      <c r="AQ1302" s="105" t="n">
        <v>0</v>
      </c>
      <c r="AR1302" s="105" t="n">
        <v>0</v>
      </c>
      <c r="AS1302" s="105" t="n">
        <v>0</v>
      </c>
      <c r="AT1302" s="105" t="n">
        <v>0</v>
      </c>
      <c r="AU1302" s="105" t="n">
        <v>0</v>
      </c>
      <c r="AV1302" s="105" t="n">
        <v>0</v>
      </c>
      <c r="AW1302" s="105" t="n">
        <v>0</v>
      </c>
      <c r="AX1302" s="105" t="n">
        <v>0</v>
      </c>
      <c r="AY1302" s="105" t="n">
        <v>0</v>
      </c>
      <c r="AZ1302" s="105" t="n">
        <v>0</v>
      </c>
      <c r="BA1302" s="105" t="n">
        <v>0</v>
      </c>
      <c r="BB1302" s="105" t="n">
        <v>0</v>
      </c>
      <c r="BC1302" s="105" t="n">
        <v>0</v>
      </c>
      <c r="BD1302" s="105" t="n">
        <v>0</v>
      </c>
      <c r="BE1302" s="105" t="n">
        <v>0</v>
      </c>
      <c r="BF1302" s="105" t="n">
        <v>0</v>
      </c>
      <c r="BG1302" s="105" t="n">
        <v>0</v>
      </c>
      <c r="BH1302" s="105" t="n">
        <v>0</v>
      </c>
      <c r="BI1302" s="105" t="n">
        <v>0</v>
      </c>
      <c r="BJ1302" s="105" t="n">
        <v>0</v>
      </c>
      <c r="BK1302" s="105" t="n">
        <v>0</v>
      </c>
      <c r="BL1302" s="105" t="n">
        <v>0</v>
      </c>
      <c r="BM1302" s="105" t="n">
        <v>0</v>
      </c>
      <c r="BN1302" s="105" t="n">
        <v>0</v>
      </c>
      <c r="BO1302" s="105" t="n">
        <v>0</v>
      </c>
      <c r="BP1302" s="105" t="n">
        <v>0</v>
      </c>
      <c r="BQ1302" s="105" t="n">
        <v>0</v>
      </c>
      <c r="BR1302" s="106" t="n">
        <v>0</v>
      </c>
      <c r="BS1302" s="106" t="n">
        <v>0</v>
      </c>
      <c r="BT1302" s="107"/>
      <c r="BU1302" s="107"/>
      <c r="BV1302" s="107"/>
      <c r="BW1302" s="107"/>
      <c r="BX1302" s="107"/>
      <c r="BY1302" s="107"/>
      <c r="BZ1302" s="107"/>
      <c r="CA1302" s="107"/>
      <c r="CB1302" s="107"/>
      <c r="CC1302" s="107"/>
      <c r="CD1302" s="107"/>
      <c r="CE1302" s="107"/>
      <c r="CF1302" s="107"/>
      <c r="CG1302" s="107"/>
      <c r="CH1302" s="107"/>
      <c r="CI1302" s="107"/>
      <c r="CJ1302" s="107"/>
      <c r="CK1302" s="107"/>
      <c r="CL1302" s="107"/>
      <c r="CM1302" s="107"/>
      <c r="CN1302" s="107"/>
      <c r="CO1302" s="107"/>
      <c r="CP1302" s="107"/>
      <c r="CQ1302" s="107"/>
      <c r="CR1302" s="107"/>
      <c r="CS1302" s="107"/>
      <c r="CT1302" s="107"/>
      <c r="CU1302" s="107"/>
      <c r="CV1302" s="107"/>
    </row>
    <row r="1303" customFormat="false" ht="14.9" hidden="false" customHeight="false" outlineLevel="0" collapsed="false">
      <c r="A1303" s="74" t="n">
        <f aca="false">MONTH(B1303)</f>
        <v>11</v>
      </c>
      <c r="B1303" s="135" t="n">
        <v>44518</v>
      </c>
      <c r="C1303" s="128" t="s">
        <v>152</v>
      </c>
      <c r="D1303" s="77" t="str">
        <f aca="false">IFERROR(VLOOKUP(E:E,'Item Data Support Sheet'!A:O,7,0),"")</f>
        <v>NIPPLE MOLDED</v>
      </c>
      <c r="E1303" s="80" t="s">
        <v>136</v>
      </c>
      <c r="F1303" s="122" t="s">
        <v>1286</v>
      </c>
      <c r="G1303" s="137" t="s">
        <v>848</v>
      </c>
      <c r="H1303" s="79" t="str">
        <f aca="false">IFERROR(VLOOKUP(E:E,'Item Data Support Sheet'!A:O,2,0),"")</f>
        <v>NIPPLE S TYPE M SIZE INJECTION</v>
      </c>
      <c r="I1303" s="80" t="s">
        <v>2099</v>
      </c>
      <c r="J1303" s="80" t="s">
        <v>1913</v>
      </c>
      <c r="K1303" s="124" t="n">
        <v>8</v>
      </c>
      <c r="L1303" s="124" t="n">
        <v>3611</v>
      </c>
      <c r="M1303" s="83" t="n">
        <v>451.375</v>
      </c>
      <c r="N1303" s="84" t="n">
        <f aca="false">+O1303+Q1303+T1303+U1303</f>
        <v>3993</v>
      </c>
      <c r="O1303" s="85" t="n">
        <v>3700</v>
      </c>
      <c r="P1303" s="86" t="n">
        <v>0</v>
      </c>
      <c r="Q1303" s="86" t="n">
        <v>188</v>
      </c>
      <c r="R1303" s="132" t="n">
        <v>0</v>
      </c>
      <c r="S1303" s="128" t="n">
        <v>0</v>
      </c>
      <c r="T1303" s="132" t="n">
        <v>93</v>
      </c>
      <c r="U1303" s="128" t="n">
        <v>12</v>
      </c>
      <c r="V1303" s="128" t="n">
        <v>1</v>
      </c>
      <c r="W1303" s="90" t="n">
        <f aca="false">IFERROR(O1303/V1303,0)</f>
        <v>3700</v>
      </c>
      <c r="X1303" s="91" t="n">
        <f aca="false">O1303/L1303</f>
        <v>1.02464691221268</v>
      </c>
      <c r="Y1303" s="92" t="str">
        <f aca="false">IFERROR(VLOOKUP(E:E,'Item Data Support Sheet'!A:J,6,0),0)</f>
        <v>Silicon</v>
      </c>
      <c r="Z1303" s="93" t="n">
        <f aca="false">IFERROR(VLOOKUP(E:E,'Item Data Support Sheet'!A:O,4,0),0)</f>
        <v>6.8</v>
      </c>
      <c r="AA1303" s="93" t="n">
        <f aca="false">IFERROR(((N1303)*(Z1303/1000))+P1303,0)</f>
        <v>27.1524</v>
      </c>
      <c r="AB1303" s="94" t="n">
        <f aca="false">IFERROR((O1303*(Z1303/1000)/(AA1303))," ")</f>
        <v>0.926621587778613</v>
      </c>
      <c r="AC1303" s="95" t="n">
        <f aca="false">IFERROR((T1303)/((T1303)+O1303),0)</f>
        <v>0.0245188505141049</v>
      </c>
      <c r="AD1303" s="96" t="n">
        <f aca="false">IFERROR(Q1303/(Q1303+N1303),0)</f>
        <v>0.0449653193016025</v>
      </c>
      <c r="AE1303" s="91" t="n">
        <f aca="false">(N1303-T1303)/N1303</f>
        <v>0.976709241172051</v>
      </c>
      <c r="AF1303" s="97" t="n">
        <f aca="false">BR1303</f>
        <v>0</v>
      </c>
      <c r="AG1303" s="98" t="n">
        <f aca="false">K1303-AF1303</f>
        <v>8</v>
      </c>
      <c r="AH1303" s="99" t="n">
        <f aca="false">IFERROR(AG1303/K1303," ")</f>
        <v>1</v>
      </c>
      <c r="AI1303" s="100" t="n">
        <f aca="false">IFERROR(O1303/K1303,0)</f>
        <v>462.5</v>
      </c>
      <c r="AJ1303" s="101" t="n">
        <f aca="false">VLOOKUP(D1303,'Standard Cycle time'!C:D,2,0)</f>
        <v>5.25</v>
      </c>
      <c r="AK1303" s="101" t="n">
        <f aca="false">AG1303*V1303*3600/O1303</f>
        <v>7.78378378378378</v>
      </c>
      <c r="AL1303" s="102" t="n">
        <f aca="false">AJ1303/AK1303</f>
        <v>0.674479166666667</v>
      </c>
      <c r="AM1303" s="99" t="n">
        <f aca="false">AE1303*AL1303*AH1303</f>
        <v>0.658770035061357</v>
      </c>
      <c r="AN1303" s="103" t="n">
        <v>0.658770035061357</v>
      </c>
      <c r="AO1303" s="112"/>
      <c r="AP1303" s="105" t="n">
        <v>0</v>
      </c>
      <c r="AQ1303" s="105" t="n">
        <v>0</v>
      </c>
      <c r="AR1303" s="105" t="n">
        <v>0</v>
      </c>
      <c r="AS1303" s="105" t="n">
        <v>0</v>
      </c>
      <c r="AT1303" s="105" t="n">
        <v>0</v>
      </c>
      <c r="AU1303" s="105" t="n">
        <v>0</v>
      </c>
      <c r="AV1303" s="105" t="n">
        <v>0</v>
      </c>
      <c r="AW1303" s="105" t="n">
        <v>0</v>
      </c>
      <c r="AX1303" s="105" t="n">
        <v>0</v>
      </c>
      <c r="AY1303" s="105" t="n">
        <v>0</v>
      </c>
      <c r="AZ1303" s="105" t="n">
        <v>0</v>
      </c>
      <c r="BA1303" s="105" t="n">
        <v>0</v>
      </c>
      <c r="BB1303" s="105" t="n">
        <v>0</v>
      </c>
      <c r="BC1303" s="105" t="n">
        <v>0</v>
      </c>
      <c r="BD1303" s="105" t="n">
        <v>0</v>
      </c>
      <c r="BE1303" s="105" t="n">
        <v>0</v>
      </c>
      <c r="BF1303" s="105" t="n">
        <v>0</v>
      </c>
      <c r="BG1303" s="105" t="n">
        <v>0</v>
      </c>
      <c r="BH1303" s="105" t="n">
        <v>0</v>
      </c>
      <c r="BI1303" s="105" t="n">
        <v>0</v>
      </c>
      <c r="BJ1303" s="105" t="n">
        <v>0</v>
      </c>
      <c r="BK1303" s="105" t="n">
        <v>0</v>
      </c>
      <c r="BL1303" s="105" t="n">
        <v>0</v>
      </c>
      <c r="BM1303" s="105" t="n">
        <v>0</v>
      </c>
      <c r="BN1303" s="105" t="n">
        <v>0</v>
      </c>
      <c r="BO1303" s="105" t="n">
        <v>0</v>
      </c>
      <c r="BP1303" s="105" t="n">
        <v>0</v>
      </c>
      <c r="BQ1303" s="105" t="n">
        <v>0</v>
      </c>
      <c r="BR1303" s="106" t="n">
        <v>0</v>
      </c>
      <c r="BS1303" s="106" t="n">
        <v>0</v>
      </c>
      <c r="BT1303" s="107"/>
      <c r="BU1303" s="107"/>
      <c r="BV1303" s="107"/>
      <c r="BW1303" s="107"/>
      <c r="BX1303" s="107"/>
      <c r="BY1303" s="107"/>
      <c r="BZ1303" s="107"/>
      <c r="CA1303" s="107"/>
      <c r="CB1303" s="107"/>
      <c r="CC1303" s="107"/>
      <c r="CD1303" s="107"/>
      <c r="CE1303" s="107"/>
      <c r="CF1303" s="107"/>
      <c r="CG1303" s="107"/>
      <c r="CH1303" s="107"/>
      <c r="CI1303" s="107"/>
      <c r="CJ1303" s="107"/>
      <c r="CK1303" s="107"/>
      <c r="CL1303" s="107"/>
      <c r="CM1303" s="107"/>
      <c r="CN1303" s="107"/>
      <c r="CO1303" s="107"/>
      <c r="CP1303" s="107"/>
      <c r="CQ1303" s="107"/>
      <c r="CR1303" s="107"/>
      <c r="CS1303" s="107"/>
      <c r="CT1303" s="107"/>
      <c r="CU1303" s="107"/>
      <c r="CV1303" s="107"/>
    </row>
    <row r="1304" customFormat="false" ht="14.9" hidden="false" customHeight="false" outlineLevel="0" collapsed="false">
      <c r="A1304" s="74" t="n">
        <f aca="false">MONTH(B1304)</f>
        <v>11</v>
      </c>
      <c r="B1304" s="135" t="n">
        <v>44519</v>
      </c>
      <c r="C1304" s="128" t="s">
        <v>51</v>
      </c>
      <c r="D1304" s="77" t="str">
        <f aca="false">IFERROR(VLOOKUP(E:E,'Item Data Support Sheet'!A:O,7,0),"")</f>
        <v>NIPPLE MOLDED</v>
      </c>
      <c r="E1304" s="80" t="s">
        <v>136</v>
      </c>
      <c r="F1304" s="122" t="s">
        <v>1286</v>
      </c>
      <c r="G1304" s="137" t="s">
        <v>848</v>
      </c>
      <c r="H1304" s="79" t="str">
        <f aca="false">IFERROR(VLOOKUP(E:E,'Item Data Support Sheet'!A:O,2,0),"")</f>
        <v>NIPPLE S TYPE M SIZE INJECTION</v>
      </c>
      <c r="I1304" s="80" t="s">
        <v>2101</v>
      </c>
      <c r="J1304" s="80" t="s">
        <v>143</v>
      </c>
      <c r="K1304" s="124" t="n">
        <v>8</v>
      </c>
      <c r="L1304" s="124" t="n">
        <v>3611</v>
      </c>
      <c r="M1304" s="83" t="n">
        <v>451.375</v>
      </c>
      <c r="N1304" s="84" t="n">
        <f aca="false">+O1304+Q1304+T1304+U1304</f>
        <v>3700</v>
      </c>
      <c r="O1304" s="85" t="n">
        <v>3350</v>
      </c>
      <c r="P1304" s="86" t="n">
        <v>0</v>
      </c>
      <c r="Q1304" s="86" t="n">
        <v>200</v>
      </c>
      <c r="R1304" s="132" t="n">
        <v>0</v>
      </c>
      <c r="S1304" s="128" t="n">
        <v>0</v>
      </c>
      <c r="T1304" s="132" t="n">
        <v>144</v>
      </c>
      <c r="U1304" s="128" t="n">
        <v>6</v>
      </c>
      <c r="V1304" s="128" t="n">
        <v>1</v>
      </c>
      <c r="W1304" s="90" t="n">
        <f aca="false">IFERROR(O1304/V1304,0)</f>
        <v>3350</v>
      </c>
      <c r="X1304" s="91" t="n">
        <f aca="false">O1304/L1304</f>
        <v>0.927720852949321</v>
      </c>
      <c r="Y1304" s="92" t="str">
        <f aca="false">IFERROR(VLOOKUP(E:E,'Item Data Support Sheet'!A:J,6,0),0)</f>
        <v>Silicon</v>
      </c>
      <c r="Z1304" s="93" t="n">
        <f aca="false">IFERROR(VLOOKUP(E:E,'Item Data Support Sheet'!A:O,4,0),0)</f>
        <v>6.8</v>
      </c>
      <c r="AA1304" s="93" t="n">
        <f aca="false">IFERROR(((N1304)*(Z1304/1000))+P1304,0)</f>
        <v>25.16</v>
      </c>
      <c r="AB1304" s="94" t="n">
        <f aca="false">IFERROR((O1304*(Z1304/1000)/(AA1304))," ")</f>
        <v>0.905405405405405</v>
      </c>
      <c r="AC1304" s="95" t="n">
        <f aca="false">IFERROR((T1304)/((T1304)+O1304),0)</f>
        <v>0.0412135088723526</v>
      </c>
      <c r="AD1304" s="96" t="n">
        <f aca="false">IFERROR(Q1304/(Q1304+N1304),0)</f>
        <v>0.0512820512820513</v>
      </c>
      <c r="AE1304" s="91" t="n">
        <f aca="false">(N1304-T1304)/N1304</f>
        <v>0.961081081081081</v>
      </c>
      <c r="AF1304" s="97" t="n">
        <f aca="false">BR1304</f>
        <v>0</v>
      </c>
      <c r="AG1304" s="98" t="n">
        <f aca="false">K1304-AF1304</f>
        <v>8</v>
      </c>
      <c r="AH1304" s="99" t="n">
        <f aca="false">IFERROR(AG1304/K1304," ")</f>
        <v>1</v>
      </c>
      <c r="AI1304" s="100" t="n">
        <f aca="false">IFERROR(O1304/K1304,0)</f>
        <v>418.75</v>
      </c>
      <c r="AJ1304" s="101" t="n">
        <f aca="false">VLOOKUP(D1304,'Standard Cycle time'!C:D,2,0)</f>
        <v>5.25</v>
      </c>
      <c r="AK1304" s="101" t="n">
        <f aca="false">AG1304*V1304*3600/O1304</f>
        <v>8.59701492537313</v>
      </c>
      <c r="AL1304" s="102" t="n">
        <f aca="false">AJ1304/AK1304</f>
        <v>0.610677083333333</v>
      </c>
      <c r="AM1304" s="99" t="n">
        <f aca="false">AE1304*AL1304*AH1304</f>
        <v>0.586910191441441</v>
      </c>
      <c r="AN1304" s="103" t="n">
        <v>0.586910191441442</v>
      </c>
      <c r="AO1304" s="112" t="s">
        <v>2102</v>
      </c>
      <c r="AP1304" s="105" t="n">
        <v>0</v>
      </c>
      <c r="AQ1304" s="105" t="n">
        <v>0</v>
      </c>
      <c r="AR1304" s="105" t="n">
        <v>0</v>
      </c>
      <c r="AS1304" s="105" t="n">
        <v>0</v>
      </c>
      <c r="AT1304" s="105" t="n">
        <v>0</v>
      </c>
      <c r="AU1304" s="105" t="n">
        <v>0</v>
      </c>
      <c r="AV1304" s="105" t="n">
        <v>0</v>
      </c>
      <c r="AW1304" s="105" t="n">
        <v>0</v>
      </c>
      <c r="AX1304" s="105" t="n">
        <v>0</v>
      </c>
      <c r="AY1304" s="105" t="n">
        <v>0</v>
      </c>
      <c r="AZ1304" s="105" t="n">
        <v>0</v>
      </c>
      <c r="BA1304" s="105" t="n">
        <v>0</v>
      </c>
      <c r="BB1304" s="105" t="n">
        <v>0</v>
      </c>
      <c r="BC1304" s="105" t="n">
        <v>0</v>
      </c>
      <c r="BD1304" s="105" t="n">
        <v>0</v>
      </c>
      <c r="BE1304" s="105" t="n">
        <v>0</v>
      </c>
      <c r="BF1304" s="105" t="n">
        <v>0</v>
      </c>
      <c r="BG1304" s="105" t="n">
        <v>0</v>
      </c>
      <c r="BH1304" s="105" t="n">
        <v>0</v>
      </c>
      <c r="BI1304" s="105" t="n">
        <v>0</v>
      </c>
      <c r="BJ1304" s="105" t="n">
        <v>0</v>
      </c>
      <c r="BK1304" s="105" t="n">
        <v>0</v>
      </c>
      <c r="BL1304" s="105" t="n">
        <v>0</v>
      </c>
      <c r="BM1304" s="105" t="n">
        <v>0</v>
      </c>
      <c r="BN1304" s="105" t="n">
        <v>0</v>
      </c>
      <c r="BO1304" s="105" t="n">
        <v>0</v>
      </c>
      <c r="BP1304" s="105" t="n">
        <v>0</v>
      </c>
      <c r="BQ1304" s="105" t="n">
        <v>0</v>
      </c>
      <c r="BR1304" s="106" t="n">
        <v>0</v>
      </c>
      <c r="BS1304" s="106" t="n">
        <v>0</v>
      </c>
      <c r="BT1304" s="107"/>
      <c r="BU1304" s="107"/>
      <c r="BV1304" s="107"/>
      <c r="BW1304" s="107"/>
      <c r="BX1304" s="107"/>
      <c r="BY1304" s="107"/>
      <c r="BZ1304" s="107"/>
      <c r="CA1304" s="107"/>
      <c r="CB1304" s="107"/>
      <c r="CC1304" s="107"/>
      <c r="CD1304" s="107"/>
      <c r="CE1304" s="107"/>
      <c r="CF1304" s="107"/>
      <c r="CG1304" s="107"/>
      <c r="CH1304" s="107"/>
      <c r="CI1304" s="107"/>
      <c r="CJ1304" s="107"/>
      <c r="CK1304" s="107"/>
      <c r="CL1304" s="107"/>
      <c r="CM1304" s="107"/>
      <c r="CN1304" s="107"/>
      <c r="CO1304" s="107"/>
      <c r="CP1304" s="107"/>
      <c r="CQ1304" s="107"/>
      <c r="CR1304" s="107"/>
      <c r="CS1304" s="107"/>
      <c r="CT1304" s="107"/>
      <c r="CU1304" s="107"/>
      <c r="CV1304" s="107"/>
    </row>
    <row r="1305" customFormat="false" ht="14.9" hidden="false" customHeight="false" outlineLevel="0" collapsed="false">
      <c r="A1305" s="74" t="n">
        <f aca="false">MONTH(B1305)</f>
        <v>11</v>
      </c>
      <c r="B1305" s="135" t="n">
        <v>44519</v>
      </c>
      <c r="C1305" s="128" t="s">
        <v>51</v>
      </c>
      <c r="D1305" s="77" t="str">
        <f aca="false">IFERROR(VLOOKUP(E:E,'Item Data Support Sheet'!A:O,7,0),"")</f>
        <v>HOOD MOLDED</v>
      </c>
      <c r="E1305" s="80" t="s">
        <v>529</v>
      </c>
      <c r="F1305" s="122"/>
      <c r="G1305" s="137" t="s">
        <v>740</v>
      </c>
      <c r="H1305" s="79" t="str">
        <f aca="false">IFERROR(VLOOKUP(E:E,'Item Data Support Sheet'!A:O,2,0),"")</f>
        <v>HOOD S TYPE MOLDED</v>
      </c>
      <c r="I1305" s="80" t="s">
        <v>2103</v>
      </c>
      <c r="J1305" s="80" t="s">
        <v>143</v>
      </c>
      <c r="K1305" s="124" t="n">
        <v>8</v>
      </c>
      <c r="L1305" s="124" t="n">
        <v>4137</v>
      </c>
      <c r="M1305" s="83" t="n">
        <v>517.125</v>
      </c>
      <c r="N1305" s="84" t="n">
        <f aca="false">+O1305+Q1305+T1305+U1305</f>
        <v>4850</v>
      </c>
      <c r="O1305" s="85" t="n">
        <v>4800</v>
      </c>
      <c r="P1305" s="86" t="n">
        <v>0</v>
      </c>
      <c r="Q1305" s="86" t="n">
        <v>24</v>
      </c>
      <c r="R1305" s="132" t="n">
        <v>0</v>
      </c>
      <c r="S1305" s="128" t="n">
        <v>0</v>
      </c>
      <c r="T1305" s="132" t="n">
        <v>18</v>
      </c>
      <c r="U1305" s="128" t="n">
        <v>8</v>
      </c>
      <c r="V1305" s="128" t="n">
        <v>1</v>
      </c>
      <c r="W1305" s="90" t="n">
        <f aca="false">IFERROR(O1305/V1305,0)</f>
        <v>4800</v>
      </c>
      <c r="X1305" s="91" t="n">
        <f aca="false">O1305/L1305</f>
        <v>1.16026105873822</v>
      </c>
      <c r="Y1305" s="92" t="str">
        <f aca="false">IFERROR(VLOOKUP(E:E,'Item Data Support Sheet'!A:J,6,0),0)</f>
        <v>HMC</v>
      </c>
      <c r="Z1305" s="93" t="n">
        <f aca="false">IFERROR(VLOOKUP(E:E,'Item Data Support Sheet'!A:O,4,0),0)</f>
        <v>8.6</v>
      </c>
      <c r="AA1305" s="93" t="n">
        <f aca="false">IFERROR(((N1305)*(Z1305/1000))+P1305,0)</f>
        <v>41.71</v>
      </c>
      <c r="AB1305" s="94" t="n">
        <f aca="false">IFERROR((O1305*(Z1305/1000)/(AA1305))," ")</f>
        <v>0.989690721649485</v>
      </c>
      <c r="AC1305" s="95" t="n">
        <f aca="false">IFERROR((T1305)/((T1305)+O1305),0)</f>
        <v>0.0037359900373599</v>
      </c>
      <c r="AD1305" s="96" t="n">
        <f aca="false">IFERROR(Q1305/(Q1305+N1305),0)</f>
        <v>0.00492408699220353</v>
      </c>
      <c r="AE1305" s="91" t="n">
        <f aca="false">(N1305-T1305)/N1305</f>
        <v>0.996288659793814</v>
      </c>
      <c r="AF1305" s="97" t="n">
        <f aca="false">BR1305</f>
        <v>0</v>
      </c>
      <c r="AG1305" s="98" t="n">
        <f aca="false">K1305-AF1305</f>
        <v>8</v>
      </c>
      <c r="AH1305" s="99" t="n">
        <f aca="false">IFERROR(AG1305/K1305," ")</f>
        <v>1</v>
      </c>
      <c r="AI1305" s="100" t="n">
        <f aca="false">IFERROR(O1305/K1305,0)</f>
        <v>600</v>
      </c>
      <c r="AJ1305" s="101" t="n">
        <f aca="false">VLOOKUP(D1305,'Standard Cycle time'!C:D,2,0)</f>
        <v>6</v>
      </c>
      <c r="AK1305" s="101" t="n">
        <f aca="false">AG1305*V1305*3600/O1305</f>
        <v>6</v>
      </c>
      <c r="AL1305" s="102" t="n">
        <f aca="false">AJ1305/AK1305</f>
        <v>1</v>
      </c>
      <c r="AM1305" s="99" t="n">
        <f aca="false">AE1305*AL1305*AH1305</f>
        <v>0.996288659793814</v>
      </c>
      <c r="AN1305" s="103" t="n">
        <v>0.996288659793814</v>
      </c>
      <c r="AO1305" s="112"/>
      <c r="AP1305" s="105" t="n">
        <v>0</v>
      </c>
      <c r="AQ1305" s="105" t="n">
        <v>0</v>
      </c>
      <c r="AR1305" s="105" t="n">
        <v>0</v>
      </c>
      <c r="AS1305" s="105" t="n">
        <v>0</v>
      </c>
      <c r="AT1305" s="105" t="n">
        <v>0</v>
      </c>
      <c r="AU1305" s="105" t="n">
        <v>0</v>
      </c>
      <c r="AV1305" s="105" t="n">
        <v>0</v>
      </c>
      <c r="AW1305" s="105" t="n">
        <v>0</v>
      </c>
      <c r="AX1305" s="105" t="n">
        <v>0</v>
      </c>
      <c r="AY1305" s="105" t="n">
        <v>0</v>
      </c>
      <c r="AZ1305" s="105" t="n">
        <v>0</v>
      </c>
      <c r="BA1305" s="105" t="n">
        <v>0</v>
      </c>
      <c r="BB1305" s="105" t="n">
        <v>0</v>
      </c>
      <c r="BC1305" s="105" t="n">
        <v>0</v>
      </c>
      <c r="BD1305" s="105" t="n">
        <v>0</v>
      </c>
      <c r="BE1305" s="105" t="n">
        <v>0</v>
      </c>
      <c r="BF1305" s="105" t="n">
        <v>0</v>
      </c>
      <c r="BG1305" s="105" t="n">
        <v>0</v>
      </c>
      <c r="BH1305" s="105" t="n">
        <v>0</v>
      </c>
      <c r="BI1305" s="105" t="n">
        <v>0</v>
      </c>
      <c r="BJ1305" s="105" t="n">
        <v>0</v>
      </c>
      <c r="BK1305" s="105" t="n">
        <v>0</v>
      </c>
      <c r="BL1305" s="105" t="n">
        <v>0</v>
      </c>
      <c r="BM1305" s="105" t="n">
        <v>0</v>
      </c>
      <c r="BN1305" s="105" t="n">
        <v>0</v>
      </c>
      <c r="BO1305" s="105" t="n">
        <v>0</v>
      </c>
      <c r="BP1305" s="105" t="n">
        <v>0</v>
      </c>
      <c r="BQ1305" s="105" t="n">
        <v>0</v>
      </c>
      <c r="BR1305" s="106" t="n">
        <v>0</v>
      </c>
      <c r="BS1305" s="106" t="n">
        <v>0</v>
      </c>
      <c r="BT1305" s="107"/>
      <c r="BU1305" s="107"/>
      <c r="BV1305" s="107"/>
      <c r="BW1305" s="107"/>
      <c r="BX1305" s="107"/>
      <c r="BY1305" s="107"/>
      <c r="BZ1305" s="107"/>
      <c r="CA1305" s="107"/>
      <c r="CB1305" s="107"/>
      <c r="CC1305" s="107"/>
      <c r="CD1305" s="107"/>
      <c r="CE1305" s="107"/>
      <c r="CF1305" s="107"/>
      <c r="CG1305" s="107"/>
      <c r="CH1305" s="107"/>
      <c r="CI1305" s="107"/>
      <c r="CJ1305" s="107"/>
      <c r="CK1305" s="107"/>
      <c r="CL1305" s="107"/>
      <c r="CM1305" s="107"/>
      <c r="CN1305" s="107"/>
      <c r="CO1305" s="107"/>
      <c r="CP1305" s="107"/>
      <c r="CQ1305" s="107"/>
      <c r="CR1305" s="107"/>
      <c r="CS1305" s="107"/>
      <c r="CT1305" s="107"/>
      <c r="CU1305" s="107"/>
      <c r="CV1305" s="107"/>
    </row>
    <row r="1306" customFormat="false" ht="14.9" hidden="false" customHeight="false" outlineLevel="0" collapsed="false">
      <c r="A1306" s="74" t="n">
        <f aca="false">MONTH(B1306)</f>
        <v>11</v>
      </c>
      <c r="B1306" s="135" t="n">
        <v>44519</v>
      </c>
      <c r="C1306" s="128" t="s">
        <v>51</v>
      </c>
      <c r="D1306" s="77" t="str">
        <f aca="false">IFERROR(VLOOKUP(E:E,'Item Data Support Sheet'!A:O,7,0),"")</f>
        <v>NIPPLE PUNCH</v>
      </c>
      <c r="E1306" s="80" t="s">
        <v>666</v>
      </c>
      <c r="F1306" s="122"/>
      <c r="G1306" s="137" t="s">
        <v>54</v>
      </c>
      <c r="H1306" s="79" t="str">
        <f aca="false">IFERROR(VLOOKUP(E:E,'Item Data Support Sheet'!A:O,2,0),"")</f>
        <v>NIPPLE S TYPE L SIZE PUNCHED</v>
      </c>
      <c r="I1306" s="80" t="s">
        <v>2104</v>
      </c>
      <c r="J1306" s="80" t="s">
        <v>143</v>
      </c>
      <c r="K1306" s="124" t="n">
        <v>8</v>
      </c>
      <c r="L1306" s="124" t="n">
        <v>7000</v>
      </c>
      <c r="M1306" s="83" t="n">
        <v>875</v>
      </c>
      <c r="N1306" s="84" t="n">
        <f aca="false">+O1306+Q1306+T1306+U1306</f>
        <v>6200</v>
      </c>
      <c r="O1306" s="85" t="n">
        <v>6200</v>
      </c>
      <c r="P1306" s="86" t="n">
        <v>0</v>
      </c>
      <c r="Q1306" s="86" t="n">
        <v>0</v>
      </c>
      <c r="R1306" s="132" t="n">
        <v>0</v>
      </c>
      <c r="S1306" s="128" t="n">
        <v>0</v>
      </c>
      <c r="T1306" s="132" t="n">
        <v>0</v>
      </c>
      <c r="U1306" s="128" t="n">
        <v>0</v>
      </c>
      <c r="V1306" s="128" t="n">
        <v>1</v>
      </c>
      <c r="W1306" s="90" t="n">
        <f aca="false">IFERROR(O1306/V1306,0)</f>
        <v>6200</v>
      </c>
      <c r="X1306" s="91" t="n">
        <f aca="false">O1306/L1306</f>
        <v>0.885714285714286</v>
      </c>
      <c r="Y1306" s="92" t="str">
        <f aca="false">IFERROR(VLOOKUP(E:E,'Item Data Support Sheet'!A:J,6,0),0)</f>
        <v>FO017</v>
      </c>
      <c r="Z1306" s="93" t="n">
        <f aca="false">IFERROR(VLOOKUP(E:E,'Item Data Support Sheet'!A:O,4,0),0)</f>
        <v>0</v>
      </c>
      <c r="AA1306" s="93" t="n">
        <f aca="false">IFERROR(((N1306)*(Z1306/1000))+P1306,0)</f>
        <v>0</v>
      </c>
      <c r="AB1306" s="94" t="str">
        <f aca="false">IFERROR((O1306*(Z1306/1000)/(AA1306))," ")</f>
        <v> </v>
      </c>
      <c r="AC1306" s="95" t="n">
        <f aca="false">IFERROR((T1306)/((T1306)+O1306),0)</f>
        <v>0</v>
      </c>
      <c r="AD1306" s="96" t="n">
        <f aca="false">IFERROR(Q1306/(Q1306+N1306),0)</f>
        <v>0</v>
      </c>
      <c r="AE1306" s="91" t="n">
        <f aca="false">(N1306-T1306)/N1306</f>
        <v>1</v>
      </c>
      <c r="AF1306" s="97" t="n">
        <f aca="false">BR1306</f>
        <v>0</v>
      </c>
      <c r="AG1306" s="98" t="n">
        <f aca="false">K1306-AF1306</f>
        <v>8</v>
      </c>
      <c r="AH1306" s="99" t="n">
        <f aca="false">IFERROR(AG1306/K1306," ")</f>
        <v>1</v>
      </c>
      <c r="AI1306" s="100" t="n">
        <f aca="false">IFERROR(O1306/K1306,0)</f>
        <v>775</v>
      </c>
      <c r="AJ1306" s="101" t="n">
        <f aca="false">VLOOKUP(D1306,'Standard Cycle time'!C:D,2,0)</f>
        <v>3.5</v>
      </c>
      <c r="AK1306" s="101" t="n">
        <f aca="false">AG1306*V1306*3600/O1306</f>
        <v>4.64516129032258</v>
      </c>
      <c r="AL1306" s="102" t="n">
        <f aca="false">AJ1306/AK1306</f>
        <v>0.753472222222222</v>
      </c>
      <c r="AM1306" s="99" t="n">
        <f aca="false">AE1306*AL1306*AH1306</f>
        <v>0.753472222222222</v>
      </c>
      <c r="AN1306" s="103" t="n">
        <v>0.753472222222222</v>
      </c>
      <c r="AO1306" s="112"/>
      <c r="AP1306" s="105" t="n">
        <v>0</v>
      </c>
      <c r="AQ1306" s="105" t="n">
        <v>0</v>
      </c>
      <c r="AR1306" s="105" t="n">
        <v>0</v>
      </c>
      <c r="AS1306" s="105" t="n">
        <v>0</v>
      </c>
      <c r="AT1306" s="105" t="n">
        <v>0</v>
      </c>
      <c r="AU1306" s="105" t="n">
        <v>0</v>
      </c>
      <c r="AV1306" s="105" t="n">
        <v>0</v>
      </c>
      <c r="AW1306" s="105" t="n">
        <v>0</v>
      </c>
      <c r="AX1306" s="105" t="n">
        <v>0</v>
      </c>
      <c r="AY1306" s="105" t="n">
        <v>0</v>
      </c>
      <c r="AZ1306" s="105" t="n">
        <v>0</v>
      </c>
      <c r="BA1306" s="105" t="n">
        <v>0</v>
      </c>
      <c r="BB1306" s="105" t="n">
        <v>0</v>
      </c>
      <c r="BC1306" s="105" t="n">
        <v>0</v>
      </c>
      <c r="BD1306" s="105" t="n">
        <v>0</v>
      </c>
      <c r="BE1306" s="105" t="n">
        <v>0</v>
      </c>
      <c r="BF1306" s="105" t="n">
        <v>0</v>
      </c>
      <c r="BG1306" s="105" t="n">
        <v>0</v>
      </c>
      <c r="BH1306" s="105" t="n">
        <v>0</v>
      </c>
      <c r="BI1306" s="105" t="n">
        <v>0</v>
      </c>
      <c r="BJ1306" s="105" t="n">
        <v>0</v>
      </c>
      <c r="BK1306" s="105" t="n">
        <v>0</v>
      </c>
      <c r="BL1306" s="105" t="n">
        <v>0</v>
      </c>
      <c r="BM1306" s="105" t="n">
        <v>0</v>
      </c>
      <c r="BN1306" s="105" t="n">
        <v>0</v>
      </c>
      <c r="BO1306" s="105" t="n">
        <v>0</v>
      </c>
      <c r="BP1306" s="105" t="n">
        <v>0</v>
      </c>
      <c r="BQ1306" s="105" t="n">
        <v>0</v>
      </c>
      <c r="BR1306" s="106" t="n">
        <v>0</v>
      </c>
      <c r="BS1306" s="106" t="n">
        <v>0</v>
      </c>
      <c r="BT1306" s="107"/>
      <c r="BU1306" s="107"/>
      <c r="BV1306" s="107"/>
      <c r="BW1306" s="107"/>
      <c r="BX1306" s="107"/>
      <c r="BY1306" s="107"/>
      <c r="BZ1306" s="107"/>
      <c r="CA1306" s="107"/>
      <c r="CB1306" s="107"/>
      <c r="CC1306" s="107"/>
      <c r="CD1306" s="107"/>
      <c r="CE1306" s="107"/>
      <c r="CF1306" s="107"/>
      <c r="CG1306" s="107"/>
      <c r="CH1306" s="107"/>
      <c r="CI1306" s="107"/>
      <c r="CJ1306" s="107"/>
      <c r="CK1306" s="107"/>
      <c r="CL1306" s="107"/>
      <c r="CM1306" s="107"/>
      <c r="CN1306" s="107"/>
      <c r="CO1306" s="107"/>
      <c r="CP1306" s="107"/>
      <c r="CQ1306" s="107"/>
      <c r="CR1306" s="107"/>
      <c r="CS1306" s="107"/>
      <c r="CT1306" s="107"/>
      <c r="CU1306" s="107"/>
      <c r="CV1306" s="107"/>
    </row>
    <row r="1307" customFormat="false" ht="14.9" hidden="false" customHeight="false" outlineLevel="0" collapsed="false">
      <c r="A1307" s="74" t="n">
        <f aca="false">MONTH(B1307)</f>
        <v>11</v>
      </c>
      <c r="B1307" s="135" t="n">
        <v>44519</v>
      </c>
      <c r="C1307" s="128" t="s">
        <v>51</v>
      </c>
      <c r="D1307" s="77" t="str">
        <f aca="false">IFERROR(VLOOKUP(E:E,'Item Data Support Sheet'!A:O,7,0),"")</f>
        <v>NIPPLE LASER MARKING</v>
      </c>
      <c r="E1307" s="80" t="s">
        <v>681</v>
      </c>
      <c r="F1307" s="122"/>
      <c r="G1307" s="137" t="s">
        <v>517</v>
      </c>
      <c r="H1307" s="79" t="str">
        <f aca="false">IFERROR(VLOOKUP(E:E,'Item Data Support Sheet'!A:O,2,0),"")</f>
        <v>NIPPLE S TYPE L SIZE PUNCHED LASER MARKED</v>
      </c>
      <c r="I1307" s="80" t="s">
        <v>2105</v>
      </c>
      <c r="J1307" s="80" t="s">
        <v>143</v>
      </c>
      <c r="K1307" s="124" t="n">
        <v>8</v>
      </c>
      <c r="L1307" s="124" t="n">
        <v>7000</v>
      </c>
      <c r="M1307" s="83" t="n">
        <v>875</v>
      </c>
      <c r="N1307" s="84" t="n">
        <f aca="false">+O1307+Q1307+T1307+U1307</f>
        <v>4600</v>
      </c>
      <c r="O1307" s="85" t="n">
        <v>4600</v>
      </c>
      <c r="P1307" s="86" t="n">
        <v>0</v>
      </c>
      <c r="Q1307" s="86" t="n">
        <v>0</v>
      </c>
      <c r="R1307" s="132" t="n">
        <v>0</v>
      </c>
      <c r="S1307" s="128" t="n">
        <v>0</v>
      </c>
      <c r="T1307" s="132" t="n">
        <v>0</v>
      </c>
      <c r="U1307" s="128" t="n">
        <v>0</v>
      </c>
      <c r="V1307" s="128" t="n">
        <v>1</v>
      </c>
      <c r="W1307" s="90" t="n">
        <f aca="false">IFERROR(O1307/V1307,0)</f>
        <v>4600</v>
      </c>
      <c r="X1307" s="91" t="n">
        <f aca="false">O1307/L1307</f>
        <v>0.657142857142857</v>
      </c>
      <c r="Y1307" s="92" t="str">
        <f aca="false">IFERROR(VLOOKUP(E:E,'Item Data Support Sheet'!A:J,6,0),0)</f>
        <v>FO021</v>
      </c>
      <c r="Z1307" s="93" t="n">
        <f aca="false">IFERROR(VLOOKUP(E:E,'Item Data Support Sheet'!A:O,4,0),0)</f>
        <v>0</v>
      </c>
      <c r="AA1307" s="93" t="n">
        <f aca="false">IFERROR(((N1307)*(Z1307/1000))+P1307,0)</f>
        <v>0</v>
      </c>
      <c r="AB1307" s="94" t="str">
        <f aca="false">IFERROR((O1307*(Z1307/1000)/(AA1307))," ")</f>
        <v> </v>
      </c>
      <c r="AC1307" s="95" t="n">
        <f aca="false">IFERROR((T1307)/((T1307)+O1307),0)</f>
        <v>0</v>
      </c>
      <c r="AD1307" s="96" t="n">
        <f aca="false">IFERROR(Q1307/(Q1307+N1307),0)</f>
        <v>0</v>
      </c>
      <c r="AE1307" s="91" t="n">
        <f aca="false">(N1307-T1307)/N1307</f>
        <v>1</v>
      </c>
      <c r="AF1307" s="97" t="n">
        <f aca="false">BR1307</f>
        <v>0</v>
      </c>
      <c r="AG1307" s="98" t="n">
        <f aca="false">K1307-AF1307</f>
        <v>8</v>
      </c>
      <c r="AH1307" s="99" t="n">
        <f aca="false">IFERROR(AG1307/K1307," ")</f>
        <v>1</v>
      </c>
      <c r="AI1307" s="100" t="n">
        <f aca="false">IFERROR(O1307/K1307,0)</f>
        <v>575</v>
      </c>
      <c r="AJ1307" s="101" t="n">
        <f aca="false">VLOOKUP(D1307,'Standard Cycle time'!C:D,2,0)</f>
        <v>3.5</v>
      </c>
      <c r="AK1307" s="101" t="n">
        <f aca="false">AG1307*V1307*3600/O1307</f>
        <v>6.26086956521739</v>
      </c>
      <c r="AL1307" s="102" t="n">
        <f aca="false">AJ1307/AK1307</f>
        <v>0.559027777777778</v>
      </c>
      <c r="AM1307" s="99" t="n">
        <f aca="false">AE1307*AL1307*AH1307</f>
        <v>0.559027777777778</v>
      </c>
      <c r="AN1307" s="103" t="n">
        <v>0.559027777777778</v>
      </c>
      <c r="AO1307" s="112"/>
      <c r="AP1307" s="105" t="n">
        <v>0</v>
      </c>
      <c r="AQ1307" s="105" t="n">
        <v>0</v>
      </c>
      <c r="AR1307" s="105" t="n">
        <v>0</v>
      </c>
      <c r="AS1307" s="105" t="n">
        <v>0</v>
      </c>
      <c r="AT1307" s="105" t="n">
        <v>0</v>
      </c>
      <c r="AU1307" s="105" t="n">
        <v>0</v>
      </c>
      <c r="AV1307" s="105" t="n">
        <v>0</v>
      </c>
      <c r="AW1307" s="105" t="n">
        <v>0</v>
      </c>
      <c r="AX1307" s="105" t="n">
        <v>0</v>
      </c>
      <c r="AY1307" s="105" t="n">
        <v>0</v>
      </c>
      <c r="AZ1307" s="105" t="n">
        <v>0</v>
      </c>
      <c r="BA1307" s="105" t="n">
        <v>0</v>
      </c>
      <c r="BB1307" s="105" t="n">
        <v>0</v>
      </c>
      <c r="BC1307" s="105" t="n">
        <v>0</v>
      </c>
      <c r="BD1307" s="105" t="n">
        <v>0</v>
      </c>
      <c r="BE1307" s="105" t="n">
        <v>0</v>
      </c>
      <c r="BF1307" s="105" t="n">
        <v>0</v>
      </c>
      <c r="BG1307" s="105" t="n">
        <v>0</v>
      </c>
      <c r="BH1307" s="105" t="n">
        <v>0</v>
      </c>
      <c r="BI1307" s="105" t="n">
        <v>0</v>
      </c>
      <c r="BJ1307" s="105" t="n">
        <v>0</v>
      </c>
      <c r="BK1307" s="105" t="n">
        <v>0</v>
      </c>
      <c r="BL1307" s="105" t="n">
        <v>0</v>
      </c>
      <c r="BM1307" s="105" t="n">
        <v>0</v>
      </c>
      <c r="BN1307" s="105" t="n">
        <v>0</v>
      </c>
      <c r="BO1307" s="105" t="n">
        <v>0</v>
      </c>
      <c r="BP1307" s="105" t="n">
        <v>0</v>
      </c>
      <c r="BQ1307" s="105" t="n">
        <v>0</v>
      </c>
      <c r="BR1307" s="106" t="n">
        <v>0</v>
      </c>
      <c r="BS1307" s="106" t="n">
        <v>0</v>
      </c>
      <c r="BT1307" s="107"/>
      <c r="BU1307" s="107"/>
      <c r="BV1307" s="107"/>
      <c r="BW1307" s="107"/>
      <c r="BX1307" s="107"/>
      <c r="BY1307" s="107"/>
      <c r="BZ1307" s="107"/>
      <c r="CA1307" s="107"/>
      <c r="CB1307" s="107"/>
      <c r="CC1307" s="107"/>
      <c r="CD1307" s="107"/>
      <c r="CE1307" s="107"/>
      <c r="CF1307" s="107"/>
      <c r="CG1307" s="107"/>
      <c r="CH1307" s="107"/>
      <c r="CI1307" s="107"/>
      <c r="CJ1307" s="107"/>
      <c r="CK1307" s="107"/>
      <c r="CL1307" s="107"/>
      <c r="CM1307" s="107"/>
      <c r="CN1307" s="107"/>
      <c r="CO1307" s="107"/>
      <c r="CP1307" s="107"/>
      <c r="CQ1307" s="107"/>
      <c r="CR1307" s="107"/>
      <c r="CS1307" s="107"/>
      <c r="CT1307" s="107"/>
      <c r="CU1307" s="107"/>
      <c r="CV1307" s="107"/>
    </row>
    <row r="1308" customFormat="false" ht="14.9" hidden="false" customHeight="false" outlineLevel="0" collapsed="false">
      <c r="A1308" s="74" t="n">
        <f aca="false">MONTH(B1308)</f>
        <v>11</v>
      </c>
      <c r="B1308" s="135" t="n">
        <v>44519</v>
      </c>
      <c r="C1308" s="128" t="s">
        <v>51</v>
      </c>
      <c r="D1308" s="77" t="str">
        <f aca="false">IFERROR(VLOOKUP(E:E,'Item Data Support Sheet'!A:O,7,0),"")</f>
        <v>NIPPLE MOLDED</v>
      </c>
      <c r="E1308" s="80" t="s">
        <v>661</v>
      </c>
      <c r="F1308" s="122" t="s">
        <v>137</v>
      </c>
      <c r="G1308" s="137" t="s">
        <v>138</v>
      </c>
      <c r="H1308" s="79" t="str">
        <f aca="false">IFERROR(VLOOKUP(E:E,'Item Data Support Sheet'!A:O,2,0),"")</f>
        <v>NIPPLE S TYPE L SIZE INJECTION</v>
      </c>
      <c r="I1308" s="80" t="s">
        <v>2101</v>
      </c>
      <c r="J1308" s="80" t="s">
        <v>143</v>
      </c>
      <c r="K1308" s="124" t="n">
        <v>8</v>
      </c>
      <c r="L1308" s="124" t="n">
        <v>4815</v>
      </c>
      <c r="M1308" s="83" t="n">
        <v>601.875</v>
      </c>
      <c r="N1308" s="84" t="n">
        <f aca="false">+O1308+Q1308+T1308+U1308</f>
        <v>5748</v>
      </c>
      <c r="O1308" s="85" t="n">
        <v>5700</v>
      </c>
      <c r="P1308" s="86" t="n">
        <v>0</v>
      </c>
      <c r="Q1308" s="86" t="n">
        <v>0</v>
      </c>
      <c r="R1308" s="132" t="n">
        <v>0</v>
      </c>
      <c r="S1308" s="128" t="n">
        <v>0</v>
      </c>
      <c r="T1308" s="132" t="n">
        <v>40</v>
      </c>
      <c r="U1308" s="128" t="n">
        <v>8</v>
      </c>
      <c r="V1308" s="128" t="n">
        <v>1</v>
      </c>
      <c r="W1308" s="90" t="n">
        <f aca="false">IFERROR(O1308/V1308,0)</f>
        <v>5700</v>
      </c>
      <c r="X1308" s="91" t="n">
        <f aca="false">O1308/L1308</f>
        <v>1.18380062305296</v>
      </c>
      <c r="Y1308" s="92" t="str">
        <f aca="false">IFERROR(VLOOKUP(E:E,'Item Data Support Sheet'!A:J,6,0),0)</f>
        <v>Silicon</v>
      </c>
      <c r="Z1308" s="93" t="n">
        <f aca="false">IFERROR(VLOOKUP(E:E,'Item Data Support Sheet'!A:O,4,0),0)</f>
        <v>6.8</v>
      </c>
      <c r="AA1308" s="93" t="n">
        <f aca="false">IFERROR(((N1308)*(Z1308/1000))+P1308,0)</f>
        <v>39.0864</v>
      </c>
      <c r="AB1308" s="94" t="n">
        <f aca="false">IFERROR((O1308*(Z1308/1000)/(AA1308))," ")</f>
        <v>0.991649269311065</v>
      </c>
      <c r="AC1308" s="95" t="n">
        <f aca="false">IFERROR((T1308)/((T1308)+O1308),0)</f>
        <v>0.00696864111498258</v>
      </c>
      <c r="AD1308" s="96" t="n">
        <f aca="false">IFERROR(Q1308/(Q1308+N1308),0)</f>
        <v>0</v>
      </c>
      <c r="AE1308" s="91" t="n">
        <f aca="false">(N1308-T1308)/N1308</f>
        <v>0.993041057759221</v>
      </c>
      <c r="AF1308" s="97" t="n">
        <f aca="false">BR1308</f>
        <v>0</v>
      </c>
      <c r="AG1308" s="98" t="n">
        <f aca="false">K1308-AF1308</f>
        <v>8</v>
      </c>
      <c r="AH1308" s="99" t="n">
        <f aca="false">IFERROR(AG1308/K1308," ")</f>
        <v>1</v>
      </c>
      <c r="AI1308" s="100" t="n">
        <f aca="false">IFERROR(O1308/K1308,0)</f>
        <v>712.5</v>
      </c>
      <c r="AJ1308" s="101" t="n">
        <f aca="false">VLOOKUP(D1308,'Standard Cycle time'!C:D,2,0)</f>
        <v>5.25</v>
      </c>
      <c r="AK1308" s="101" t="n">
        <f aca="false">AG1308*V1308*3600/O1308</f>
        <v>5.05263157894737</v>
      </c>
      <c r="AL1308" s="102" t="n">
        <f aca="false">AJ1308/AK1308</f>
        <v>1.0390625</v>
      </c>
      <c r="AM1308" s="99" t="n">
        <f aca="false">AE1308*AL1308*AH1308</f>
        <v>1.03183172407794</v>
      </c>
      <c r="AN1308" s="103" t="n">
        <v>1.03183172407794</v>
      </c>
      <c r="AO1308" s="112"/>
      <c r="AP1308" s="105" t="n">
        <v>0</v>
      </c>
      <c r="AQ1308" s="105" t="n">
        <v>0</v>
      </c>
      <c r="AR1308" s="105" t="n">
        <v>0</v>
      </c>
      <c r="AS1308" s="105" t="n">
        <v>0</v>
      </c>
      <c r="AT1308" s="105" t="n">
        <v>0</v>
      </c>
      <c r="AU1308" s="105" t="n">
        <v>0</v>
      </c>
      <c r="AV1308" s="105" t="n">
        <v>0</v>
      </c>
      <c r="AW1308" s="105" t="n">
        <v>0</v>
      </c>
      <c r="AX1308" s="105" t="n">
        <v>0</v>
      </c>
      <c r="AY1308" s="105" t="n">
        <v>0</v>
      </c>
      <c r="AZ1308" s="105" t="n">
        <v>0</v>
      </c>
      <c r="BA1308" s="105" t="n">
        <v>0</v>
      </c>
      <c r="BB1308" s="105" t="n">
        <v>0</v>
      </c>
      <c r="BC1308" s="105" t="n">
        <v>0</v>
      </c>
      <c r="BD1308" s="105" t="n">
        <v>0</v>
      </c>
      <c r="BE1308" s="105" t="n">
        <v>0</v>
      </c>
      <c r="BF1308" s="105" t="n">
        <v>0</v>
      </c>
      <c r="BG1308" s="105" t="n">
        <v>0</v>
      </c>
      <c r="BH1308" s="105" t="n">
        <v>0</v>
      </c>
      <c r="BI1308" s="105" t="n">
        <v>0</v>
      </c>
      <c r="BJ1308" s="105" t="n">
        <v>0</v>
      </c>
      <c r="BK1308" s="105" t="n">
        <v>0</v>
      </c>
      <c r="BL1308" s="105" t="n">
        <v>0</v>
      </c>
      <c r="BM1308" s="105" t="n">
        <v>0</v>
      </c>
      <c r="BN1308" s="105" t="n">
        <v>0</v>
      </c>
      <c r="BO1308" s="105" t="n">
        <v>0</v>
      </c>
      <c r="BP1308" s="105" t="n">
        <v>0</v>
      </c>
      <c r="BQ1308" s="105" t="n">
        <v>0</v>
      </c>
      <c r="BR1308" s="106" t="n">
        <v>0</v>
      </c>
      <c r="BS1308" s="106" t="n">
        <v>0</v>
      </c>
      <c r="BT1308" s="107"/>
      <c r="BU1308" s="107"/>
      <c r="BV1308" s="107"/>
      <c r="BW1308" s="107"/>
      <c r="BX1308" s="107"/>
      <c r="BY1308" s="107"/>
      <c r="BZ1308" s="107"/>
      <c r="CA1308" s="107"/>
      <c r="CB1308" s="107"/>
      <c r="CC1308" s="107"/>
      <c r="CD1308" s="107"/>
      <c r="CE1308" s="107"/>
      <c r="CF1308" s="107"/>
      <c r="CG1308" s="107"/>
      <c r="CH1308" s="107"/>
      <c r="CI1308" s="107"/>
      <c r="CJ1308" s="107"/>
      <c r="CK1308" s="107"/>
      <c r="CL1308" s="107"/>
      <c r="CM1308" s="107"/>
      <c r="CN1308" s="107"/>
      <c r="CO1308" s="107"/>
      <c r="CP1308" s="107"/>
      <c r="CQ1308" s="107"/>
      <c r="CR1308" s="107"/>
      <c r="CS1308" s="107"/>
      <c r="CT1308" s="107"/>
      <c r="CU1308" s="107"/>
      <c r="CV1308" s="107"/>
    </row>
    <row r="1309" customFormat="false" ht="14.9" hidden="false" customHeight="false" outlineLevel="0" collapsed="false">
      <c r="A1309" s="74" t="n">
        <f aca="false">MONTH(B1309)</f>
        <v>11</v>
      </c>
      <c r="B1309" s="135" t="n">
        <v>44519</v>
      </c>
      <c r="C1309" s="128" t="s">
        <v>51</v>
      </c>
      <c r="D1309" s="77" t="str">
        <f aca="false">IFERROR(VLOOKUP(E:E,'Item Data Support Sheet'!A:O,7,0),"")</f>
        <v>BOTTLE MOLDED</v>
      </c>
      <c r="E1309" s="80" t="s">
        <v>78</v>
      </c>
      <c r="F1309" s="122" t="s">
        <v>79</v>
      </c>
      <c r="G1309" s="137" t="s">
        <v>80</v>
      </c>
      <c r="H1309" s="79" t="str">
        <f aca="false">IFERROR(VLOOKUP(E:E,'Item Data Support Sheet'!A:O,2,0),"")</f>
        <v>RPP 120 ML BOTTLE MOLDED</v>
      </c>
      <c r="I1309" s="80" t="s">
        <v>2106</v>
      </c>
      <c r="J1309" s="80" t="s">
        <v>143</v>
      </c>
      <c r="K1309" s="124" t="n">
        <v>5</v>
      </c>
      <c r="L1309" s="124" t="n">
        <v>1774</v>
      </c>
      <c r="M1309" s="83" t="n">
        <v>354.8</v>
      </c>
      <c r="N1309" s="84" t="n">
        <f aca="false">+O1309+Q1309+T1309+U1309</f>
        <v>2658</v>
      </c>
      <c r="O1309" s="85" t="n">
        <v>2615</v>
      </c>
      <c r="P1309" s="86" t="n">
        <v>0.2</v>
      </c>
      <c r="Q1309" s="86" t="n">
        <v>0</v>
      </c>
      <c r="R1309" s="132" t="n">
        <v>0</v>
      </c>
      <c r="S1309" s="128" t="n">
        <v>0</v>
      </c>
      <c r="T1309" s="132" t="n">
        <v>35</v>
      </c>
      <c r="U1309" s="128" t="n">
        <v>8</v>
      </c>
      <c r="V1309" s="128" t="n">
        <v>1</v>
      </c>
      <c r="W1309" s="90" t="n">
        <f aca="false">IFERROR(O1309/V1309,0)</f>
        <v>2615</v>
      </c>
      <c r="X1309" s="91" t="n">
        <f aca="false">O1309/L1309</f>
        <v>1.47406989853439</v>
      </c>
      <c r="Y1309" s="92" t="str">
        <f aca="false">IFERROR(VLOOKUP(E:E,'Item Data Support Sheet'!A:J,6,0),0)</f>
        <v>HMC</v>
      </c>
      <c r="Z1309" s="93" t="n">
        <f aca="false">IFERROR(VLOOKUP(E:E,'Item Data Support Sheet'!A:O,4,0),0)</f>
        <v>21.3</v>
      </c>
      <c r="AA1309" s="93" t="n">
        <f aca="false">IFERROR(((N1309)*(Z1309/1000))+P1309,0)</f>
        <v>56.8154</v>
      </c>
      <c r="AB1309" s="94" t="n">
        <f aca="false">IFERROR((O1309*(Z1309/1000)/(AA1309))," ")</f>
        <v>0.980359198386353</v>
      </c>
      <c r="AC1309" s="95" t="n">
        <f aca="false">IFERROR((T1309)/((T1309)+O1309),0)</f>
        <v>0.0132075471698113</v>
      </c>
      <c r="AD1309" s="96" t="n">
        <f aca="false">IFERROR(Q1309/(Q1309+N1309),0)</f>
        <v>0</v>
      </c>
      <c r="AE1309" s="91" t="n">
        <f aca="false">(N1309-T1309)/N1309</f>
        <v>0.986832204665162</v>
      </c>
      <c r="AF1309" s="97" t="n">
        <f aca="false">BR1309</f>
        <v>0</v>
      </c>
      <c r="AG1309" s="98" t="n">
        <f aca="false">K1309-AF1309</f>
        <v>5</v>
      </c>
      <c r="AH1309" s="99" t="n">
        <f aca="false">IFERROR(AG1309/K1309," ")</f>
        <v>1</v>
      </c>
      <c r="AI1309" s="100" t="n">
        <f aca="false">IFERROR(O1309/K1309,0)</f>
        <v>523</v>
      </c>
      <c r="AJ1309" s="101" t="n">
        <f aca="false">VLOOKUP(D1309,'Standard Cycle time'!C:D,2,0)</f>
        <v>9</v>
      </c>
      <c r="AK1309" s="101" t="n">
        <f aca="false">AG1309*V1309*3600/O1309</f>
        <v>6.88336520076482</v>
      </c>
      <c r="AL1309" s="102" t="n">
        <f aca="false">AJ1309/AK1309</f>
        <v>1.3075</v>
      </c>
      <c r="AM1309" s="99" t="n">
        <f aca="false">AE1309*AL1309*AH1309</f>
        <v>1.2902831075997</v>
      </c>
      <c r="AN1309" s="103" t="n">
        <v>1.2902831075997</v>
      </c>
      <c r="AO1309" s="112"/>
      <c r="AP1309" s="105" t="n">
        <v>0</v>
      </c>
      <c r="AQ1309" s="105" t="n">
        <v>0</v>
      </c>
      <c r="AR1309" s="105" t="n">
        <v>0</v>
      </c>
      <c r="AS1309" s="105" t="n">
        <v>0</v>
      </c>
      <c r="AT1309" s="105" t="n">
        <v>0</v>
      </c>
      <c r="AU1309" s="105" t="n">
        <v>0</v>
      </c>
      <c r="AV1309" s="105" t="n">
        <v>0</v>
      </c>
      <c r="AW1309" s="105" t="n">
        <v>0</v>
      </c>
      <c r="AX1309" s="105" t="n">
        <v>0</v>
      </c>
      <c r="AY1309" s="105" t="n">
        <v>0</v>
      </c>
      <c r="AZ1309" s="105" t="n">
        <v>0</v>
      </c>
      <c r="BA1309" s="105" t="n">
        <v>0</v>
      </c>
      <c r="BB1309" s="105" t="n">
        <v>0</v>
      </c>
      <c r="BC1309" s="105" t="n">
        <v>0</v>
      </c>
      <c r="BD1309" s="105" t="n">
        <v>0</v>
      </c>
      <c r="BE1309" s="105" t="n">
        <v>0</v>
      </c>
      <c r="BF1309" s="105" t="n">
        <v>0</v>
      </c>
      <c r="BG1309" s="105" t="n">
        <v>0</v>
      </c>
      <c r="BH1309" s="105" t="n">
        <v>0</v>
      </c>
      <c r="BI1309" s="105" t="n">
        <v>0</v>
      </c>
      <c r="BJ1309" s="105" t="n">
        <v>0</v>
      </c>
      <c r="BK1309" s="105" t="n">
        <v>0</v>
      </c>
      <c r="BL1309" s="105" t="n">
        <v>0</v>
      </c>
      <c r="BM1309" s="105" t="n">
        <v>0</v>
      </c>
      <c r="BN1309" s="105" t="n">
        <v>0</v>
      </c>
      <c r="BO1309" s="105" t="n">
        <v>0</v>
      </c>
      <c r="BP1309" s="105" t="n">
        <v>0</v>
      </c>
      <c r="BQ1309" s="105" t="n">
        <v>0</v>
      </c>
      <c r="BR1309" s="106" t="n">
        <v>0</v>
      </c>
      <c r="BS1309" s="106" t="n">
        <v>0</v>
      </c>
      <c r="BT1309" s="107"/>
      <c r="BU1309" s="107"/>
      <c r="BV1309" s="107"/>
      <c r="BW1309" s="107"/>
      <c r="BX1309" s="107"/>
      <c r="BY1309" s="107"/>
      <c r="BZ1309" s="107"/>
      <c r="CA1309" s="107"/>
      <c r="CB1309" s="107"/>
      <c r="CC1309" s="107"/>
      <c r="CD1309" s="107"/>
      <c r="CE1309" s="107"/>
      <c r="CF1309" s="107"/>
      <c r="CG1309" s="107"/>
      <c r="CH1309" s="107"/>
      <c r="CI1309" s="107"/>
      <c r="CJ1309" s="107"/>
      <c r="CK1309" s="107"/>
      <c r="CL1309" s="107"/>
      <c r="CM1309" s="107"/>
      <c r="CN1309" s="107"/>
      <c r="CO1309" s="107"/>
      <c r="CP1309" s="107"/>
      <c r="CQ1309" s="107"/>
      <c r="CR1309" s="107"/>
      <c r="CS1309" s="107"/>
      <c r="CT1309" s="107"/>
      <c r="CU1309" s="107"/>
      <c r="CV1309" s="107"/>
    </row>
    <row r="1310" customFormat="false" ht="14.9" hidden="false" customHeight="false" outlineLevel="0" collapsed="false">
      <c r="A1310" s="74" t="n">
        <f aca="false">MONTH(B1310)</f>
        <v>11</v>
      </c>
      <c r="B1310" s="135" t="n">
        <v>44519</v>
      </c>
      <c r="C1310" s="128" t="s">
        <v>51</v>
      </c>
      <c r="D1310" s="77" t="str">
        <f aca="false">IFERROR(VLOOKUP(E:E,'Item Data Support Sheet'!A:O,7,0),"")</f>
        <v>BOTTLE MOLDED</v>
      </c>
      <c r="E1310" s="80" t="s">
        <v>879</v>
      </c>
      <c r="F1310" s="122" t="s">
        <v>589</v>
      </c>
      <c r="G1310" s="137" t="s">
        <v>74</v>
      </c>
      <c r="H1310" s="79" t="str">
        <f aca="false">IFERROR(VLOOKUP(E:E,'Item Data Support Sheet'!A:O,2,0),"")</f>
        <v>RPP 240ML BLUE BOTTLE MOLDED (WM3GB)</v>
      </c>
      <c r="I1310" s="80" t="s">
        <v>2107</v>
      </c>
      <c r="J1310" s="80" t="s">
        <v>143</v>
      </c>
      <c r="K1310" s="124" t="n">
        <v>3</v>
      </c>
      <c r="L1310" s="124" t="n">
        <v>800</v>
      </c>
      <c r="M1310" s="83" t="n">
        <v>266.666666666667</v>
      </c>
      <c r="N1310" s="84" t="n">
        <f aca="false">+O1310+Q1310+T1310+U1310</f>
        <v>1168</v>
      </c>
      <c r="O1310" s="85" t="n">
        <v>840</v>
      </c>
      <c r="P1310" s="86" t="n">
        <v>1.2</v>
      </c>
      <c r="Q1310" s="86" t="n">
        <v>241</v>
      </c>
      <c r="R1310" s="132" t="n">
        <v>0</v>
      </c>
      <c r="S1310" s="128" t="n">
        <v>0</v>
      </c>
      <c r="T1310" s="132" t="n">
        <v>79</v>
      </c>
      <c r="U1310" s="128" t="n">
        <v>8</v>
      </c>
      <c r="V1310" s="128" t="n">
        <v>1</v>
      </c>
      <c r="W1310" s="90" t="n">
        <f aca="false">IFERROR(O1310/V1310,0)</f>
        <v>840</v>
      </c>
      <c r="X1310" s="91" t="n">
        <f aca="false">O1310/L1310</f>
        <v>1.05</v>
      </c>
      <c r="Y1310" s="92" t="str">
        <f aca="false">IFERROR(VLOOKUP(E:E,'Item Data Support Sheet'!A:J,6,0),0)</f>
        <v>WMG3B</v>
      </c>
      <c r="Z1310" s="93" t="n">
        <f aca="false">IFERROR(VLOOKUP(E:E,'Item Data Support Sheet'!A:O,4,0),0)</f>
        <v>33.13</v>
      </c>
      <c r="AA1310" s="93" t="n">
        <f aca="false">IFERROR(((N1310)*(Z1310/1000))+P1310,0)</f>
        <v>39.89584</v>
      </c>
      <c r="AB1310" s="94" t="n">
        <f aca="false">IFERROR((O1310*(Z1310/1000)/(AA1310))," ")</f>
        <v>0.697546410853863</v>
      </c>
      <c r="AC1310" s="95" t="n">
        <f aca="false">IFERROR((T1310)/((T1310)+O1310),0)</f>
        <v>0.0859630032644179</v>
      </c>
      <c r="AD1310" s="96" t="n">
        <f aca="false">IFERROR(Q1310/(Q1310+N1310),0)</f>
        <v>0.171043293115685</v>
      </c>
      <c r="AE1310" s="91" t="n">
        <f aca="false">(N1310-T1310)/N1310</f>
        <v>0.93236301369863</v>
      </c>
      <c r="AF1310" s="97" t="n">
        <f aca="false">BR1310</f>
        <v>0</v>
      </c>
      <c r="AG1310" s="98" t="n">
        <f aca="false">K1310-AF1310</f>
        <v>3</v>
      </c>
      <c r="AH1310" s="99" t="n">
        <f aca="false">IFERROR(AG1310/K1310," ")</f>
        <v>1</v>
      </c>
      <c r="AI1310" s="100" t="n">
        <f aca="false">IFERROR(O1310/K1310,0)</f>
        <v>280</v>
      </c>
      <c r="AJ1310" s="101" t="n">
        <f aca="false">VLOOKUP(D1310,'Standard Cycle time'!C:D,2,0)</f>
        <v>9</v>
      </c>
      <c r="AK1310" s="101" t="n">
        <f aca="false">AG1310*V1310*3600/O1310</f>
        <v>12.8571428571429</v>
      </c>
      <c r="AL1310" s="102" t="n">
        <f aca="false">AJ1310/AK1310</f>
        <v>0.7</v>
      </c>
      <c r="AM1310" s="99" t="n">
        <f aca="false">AE1310*AL1310*AH1310</f>
        <v>0.652654109589041</v>
      </c>
      <c r="AN1310" s="103" t="n">
        <v>0.652654109589041</v>
      </c>
      <c r="AO1310" s="112"/>
      <c r="AP1310" s="105" t="n">
        <v>0</v>
      </c>
      <c r="AQ1310" s="105" t="n">
        <v>0</v>
      </c>
      <c r="AR1310" s="105" t="n">
        <v>0</v>
      </c>
      <c r="AS1310" s="105" t="n">
        <v>0</v>
      </c>
      <c r="AT1310" s="105" t="n">
        <v>0</v>
      </c>
      <c r="AU1310" s="105" t="n">
        <v>0</v>
      </c>
      <c r="AV1310" s="105" t="n">
        <v>0</v>
      </c>
      <c r="AW1310" s="105" t="n">
        <v>0</v>
      </c>
      <c r="AX1310" s="105" t="n">
        <v>0</v>
      </c>
      <c r="AY1310" s="105" t="n">
        <v>0</v>
      </c>
      <c r="AZ1310" s="105" t="n">
        <v>0</v>
      </c>
      <c r="BA1310" s="105" t="n">
        <v>0</v>
      </c>
      <c r="BB1310" s="105" t="n">
        <v>0</v>
      </c>
      <c r="BC1310" s="105" t="n">
        <v>0</v>
      </c>
      <c r="BD1310" s="105" t="n">
        <v>0</v>
      </c>
      <c r="BE1310" s="105" t="n">
        <v>0</v>
      </c>
      <c r="BF1310" s="105" t="n">
        <v>0</v>
      </c>
      <c r="BG1310" s="105" t="n">
        <v>0</v>
      </c>
      <c r="BH1310" s="105" t="n">
        <v>0</v>
      </c>
      <c r="BI1310" s="105" t="n">
        <v>0</v>
      </c>
      <c r="BJ1310" s="105" t="n">
        <v>0</v>
      </c>
      <c r="BK1310" s="105" t="n">
        <v>0</v>
      </c>
      <c r="BL1310" s="105" t="n">
        <v>0</v>
      </c>
      <c r="BM1310" s="105" t="n">
        <v>0</v>
      </c>
      <c r="BN1310" s="105" t="n">
        <v>0</v>
      </c>
      <c r="BO1310" s="105" t="n">
        <v>0</v>
      </c>
      <c r="BP1310" s="105" t="n">
        <v>0</v>
      </c>
      <c r="BQ1310" s="105" t="n">
        <v>0</v>
      </c>
      <c r="BR1310" s="106" t="n">
        <v>0</v>
      </c>
      <c r="BS1310" s="106" t="n">
        <v>0</v>
      </c>
      <c r="BT1310" s="107"/>
      <c r="BU1310" s="107"/>
      <c r="BV1310" s="107"/>
      <c r="BW1310" s="107"/>
      <c r="BX1310" s="107"/>
      <c r="BY1310" s="107"/>
      <c r="BZ1310" s="107"/>
      <c r="CA1310" s="107"/>
      <c r="CB1310" s="107"/>
      <c r="CC1310" s="107"/>
      <c r="CD1310" s="107"/>
      <c r="CE1310" s="107"/>
      <c r="CF1310" s="107"/>
      <c r="CG1310" s="107"/>
      <c r="CH1310" s="107"/>
      <c r="CI1310" s="107"/>
      <c r="CJ1310" s="107"/>
      <c r="CK1310" s="107"/>
      <c r="CL1310" s="107"/>
      <c r="CM1310" s="107"/>
      <c r="CN1310" s="107"/>
      <c r="CO1310" s="107"/>
      <c r="CP1310" s="107"/>
      <c r="CQ1310" s="107"/>
      <c r="CR1310" s="107"/>
      <c r="CS1310" s="107"/>
      <c r="CT1310" s="107"/>
      <c r="CU1310" s="107"/>
      <c r="CV1310" s="107"/>
    </row>
    <row r="1311" customFormat="false" ht="14.9" hidden="false" customHeight="false" outlineLevel="0" collapsed="false">
      <c r="A1311" s="74" t="n">
        <f aca="false">MONTH(B1311)</f>
        <v>11</v>
      </c>
      <c r="B1311" s="135" t="n">
        <v>44519</v>
      </c>
      <c r="C1311" s="128" t="s">
        <v>63</v>
      </c>
      <c r="D1311" s="77" t="str">
        <f aca="false">IFERROR(VLOOKUP(E:E,'Item Data Support Sheet'!A:O,7,0),"")</f>
        <v>NIPPLE PUNCH INSPECTED</v>
      </c>
      <c r="E1311" s="80" t="s">
        <v>688</v>
      </c>
      <c r="F1311" s="122"/>
      <c r="G1311" s="137"/>
      <c r="H1311" s="79" t="str">
        <f aca="false">IFERROR(VLOOKUP(E:E,'Item Data Support Sheet'!A:O,2,0),"")</f>
        <v>NIPPLE S TYPE L SIZE PUNCHED INSPECTED</v>
      </c>
      <c r="I1311" s="80" t="s">
        <v>2108</v>
      </c>
      <c r="J1311" s="80" t="s">
        <v>155</v>
      </c>
      <c r="K1311" s="124" t="n">
        <v>8</v>
      </c>
      <c r="L1311" s="124" t="n">
        <v>14000</v>
      </c>
      <c r="M1311" s="83" t="n">
        <v>1750</v>
      </c>
      <c r="N1311" s="84" t="n">
        <f aca="false">+O1311+Q1311+T1311+U1311</f>
        <v>10800</v>
      </c>
      <c r="O1311" s="85" t="n">
        <v>10756</v>
      </c>
      <c r="P1311" s="86" t="n">
        <v>0</v>
      </c>
      <c r="Q1311" s="86" t="n">
        <v>0</v>
      </c>
      <c r="R1311" s="132" t="n">
        <v>0</v>
      </c>
      <c r="S1311" s="128" t="n">
        <v>0</v>
      </c>
      <c r="T1311" s="132" t="n">
        <v>44</v>
      </c>
      <c r="U1311" s="128" t="n">
        <v>0</v>
      </c>
      <c r="V1311" s="128" t="n">
        <v>1</v>
      </c>
      <c r="W1311" s="90" t="n">
        <f aca="false">IFERROR(O1311/V1311,0)</f>
        <v>10756</v>
      </c>
      <c r="X1311" s="91" t="n">
        <f aca="false">O1311/L1311</f>
        <v>0.768285714285714</v>
      </c>
      <c r="Y1311" s="92" t="str">
        <f aca="false">IFERROR(VLOOKUP(E:E,'Item Data Support Sheet'!A:J,6,0),0)</f>
        <v>FO106</v>
      </c>
      <c r="Z1311" s="93" t="n">
        <f aca="false">IFERROR(VLOOKUP(E:E,'Item Data Support Sheet'!A:O,4,0),0)</f>
        <v>0</v>
      </c>
      <c r="AA1311" s="93" t="n">
        <f aca="false">IFERROR(((N1311)*(Z1311/1000))+P1311,0)</f>
        <v>0</v>
      </c>
      <c r="AB1311" s="94" t="str">
        <f aca="false">IFERROR((O1311*(Z1311/1000)/(AA1311))," ")</f>
        <v> </v>
      </c>
      <c r="AC1311" s="95" t="n">
        <f aca="false">IFERROR((T1311)/((T1311)+O1311),0)</f>
        <v>0.00407407407407407</v>
      </c>
      <c r="AD1311" s="96" t="n">
        <f aca="false">IFERROR(Q1311/(Q1311+N1311),0)</f>
        <v>0</v>
      </c>
      <c r="AE1311" s="91" t="n">
        <f aca="false">(N1311-T1311)/N1311</f>
        <v>0.995925925925926</v>
      </c>
      <c r="AF1311" s="97" t="n">
        <f aca="false">BR1311</f>
        <v>0.833333333333333</v>
      </c>
      <c r="AG1311" s="98" t="n">
        <f aca="false">K1311-AF1311</f>
        <v>7.16666666666667</v>
      </c>
      <c r="AH1311" s="99" t="n">
        <f aca="false">IFERROR(AG1311/K1311," ")</f>
        <v>0.895833333333333</v>
      </c>
      <c r="AI1311" s="100" t="n">
        <f aca="false">IFERROR(O1311/K1311,0)</f>
        <v>1344.5</v>
      </c>
      <c r="AJ1311" s="101" t="n">
        <f aca="false">VLOOKUP(D1311,'Standard Cycle time'!C:D,2,0)</f>
        <v>4</v>
      </c>
      <c r="AK1311" s="101" t="n">
        <f aca="false">AG1311*V1311*3600/O1311</f>
        <v>2.3986612123466</v>
      </c>
      <c r="AL1311" s="102" t="n">
        <f aca="false">AJ1311/AK1311</f>
        <v>1.66759689922481</v>
      </c>
      <c r="AM1311" s="99" t="n">
        <f aca="false">AE1311*AL1311*AH1311</f>
        <v>1.48780267489712</v>
      </c>
      <c r="AN1311" s="103" t="n">
        <v>1.48780267489712</v>
      </c>
      <c r="AO1311" s="112"/>
      <c r="AP1311" s="105" t="n">
        <v>50</v>
      </c>
      <c r="AQ1311" s="105" t="n">
        <v>0</v>
      </c>
      <c r="AR1311" s="105" t="n">
        <v>0</v>
      </c>
      <c r="AS1311" s="105" t="n">
        <v>0</v>
      </c>
      <c r="AT1311" s="105" t="n">
        <v>0</v>
      </c>
      <c r="AU1311" s="105" t="n">
        <v>0</v>
      </c>
      <c r="AV1311" s="105" t="n">
        <v>0</v>
      </c>
      <c r="AW1311" s="105" t="n">
        <v>0</v>
      </c>
      <c r="AX1311" s="105" t="n">
        <v>0</v>
      </c>
      <c r="AY1311" s="105" t="n">
        <v>0</v>
      </c>
      <c r="AZ1311" s="105" t="n">
        <v>0</v>
      </c>
      <c r="BA1311" s="105" t="n">
        <v>0</v>
      </c>
      <c r="BB1311" s="105" t="n">
        <v>0</v>
      </c>
      <c r="BC1311" s="105" t="n">
        <v>0</v>
      </c>
      <c r="BD1311" s="105" t="n">
        <v>0</v>
      </c>
      <c r="BE1311" s="105" t="n">
        <v>0</v>
      </c>
      <c r="BF1311" s="105" t="n">
        <v>0</v>
      </c>
      <c r="BG1311" s="105" t="n">
        <v>0</v>
      </c>
      <c r="BH1311" s="105" t="n">
        <v>0</v>
      </c>
      <c r="BI1311" s="105" t="n">
        <v>0</v>
      </c>
      <c r="BJ1311" s="105" t="n">
        <v>0</v>
      </c>
      <c r="BK1311" s="105" t="n">
        <v>0</v>
      </c>
      <c r="BL1311" s="105" t="n">
        <v>0</v>
      </c>
      <c r="BM1311" s="105" t="n">
        <v>0</v>
      </c>
      <c r="BN1311" s="105" t="n">
        <v>0</v>
      </c>
      <c r="BO1311" s="105" t="n">
        <v>0</v>
      </c>
      <c r="BP1311" s="105" t="n">
        <v>0</v>
      </c>
      <c r="BQ1311" s="105" t="n">
        <v>0</v>
      </c>
      <c r="BR1311" s="106" t="n">
        <v>0.833333333333333</v>
      </c>
      <c r="BS1311" s="106" t="n">
        <v>0.833333333333333</v>
      </c>
      <c r="BT1311" s="107"/>
      <c r="BU1311" s="107"/>
      <c r="BV1311" s="107"/>
      <c r="BW1311" s="107"/>
      <c r="BX1311" s="107"/>
      <c r="BY1311" s="107"/>
      <c r="BZ1311" s="107"/>
      <c r="CA1311" s="107"/>
      <c r="CB1311" s="107"/>
      <c r="CC1311" s="107"/>
      <c r="CD1311" s="107"/>
      <c r="CE1311" s="107"/>
      <c r="CF1311" s="107"/>
      <c r="CG1311" s="107"/>
      <c r="CH1311" s="107"/>
      <c r="CI1311" s="107"/>
      <c r="CJ1311" s="107"/>
      <c r="CK1311" s="107"/>
      <c r="CL1311" s="107"/>
      <c r="CM1311" s="107"/>
      <c r="CN1311" s="107"/>
      <c r="CO1311" s="107"/>
      <c r="CP1311" s="107"/>
      <c r="CQ1311" s="107"/>
      <c r="CR1311" s="107"/>
      <c r="CS1311" s="107"/>
      <c r="CT1311" s="107"/>
      <c r="CU1311" s="107"/>
      <c r="CV1311" s="107"/>
    </row>
    <row r="1312" customFormat="false" ht="14.9" hidden="false" customHeight="false" outlineLevel="0" collapsed="false">
      <c r="A1312" s="74" t="n">
        <f aca="false">MONTH(B1312)</f>
        <v>11</v>
      </c>
      <c r="B1312" s="135" t="n">
        <v>44519</v>
      </c>
      <c r="C1312" s="128" t="s">
        <v>63</v>
      </c>
      <c r="D1312" s="77" t="str">
        <f aca="false">IFERROR(VLOOKUP(E:E,'Item Data Support Sheet'!A:O,7,0),"")</f>
        <v>BOTTLE PRINTED</v>
      </c>
      <c r="E1312" s="80" t="s">
        <v>591</v>
      </c>
      <c r="F1312" s="122"/>
      <c r="G1312" s="137"/>
      <c r="H1312" s="79" t="str">
        <f aca="false">IFERROR(VLOOKUP(E:E,'Item Data Support Sheet'!A:O,2,0),"")</f>
        <v>RPP 240 ML BOTTLE PRINTED</v>
      </c>
      <c r="I1312" s="80" t="s">
        <v>2109</v>
      </c>
      <c r="J1312" s="80" t="s">
        <v>155</v>
      </c>
      <c r="K1312" s="124" t="n">
        <v>8</v>
      </c>
      <c r="L1312" s="124" t="n">
        <v>5800</v>
      </c>
      <c r="M1312" s="83" t="n">
        <v>725</v>
      </c>
      <c r="N1312" s="84" t="n">
        <f aca="false">+O1312+Q1312+T1312+U1312</f>
        <v>4644</v>
      </c>
      <c r="O1312" s="85" t="n">
        <v>4620</v>
      </c>
      <c r="P1312" s="86" t="n">
        <v>0</v>
      </c>
      <c r="Q1312" s="86" t="n">
        <v>0</v>
      </c>
      <c r="R1312" s="132" t="n">
        <v>39</v>
      </c>
      <c r="S1312" s="128" t="n">
        <v>0</v>
      </c>
      <c r="T1312" s="132" t="n">
        <v>24</v>
      </c>
      <c r="U1312" s="128" t="n">
        <v>0</v>
      </c>
      <c r="V1312" s="128" t="n">
        <v>5</v>
      </c>
      <c r="W1312" s="90" t="n">
        <f aca="false">IFERROR(O1312/V1312,0)</f>
        <v>924</v>
      </c>
      <c r="X1312" s="91" t="n">
        <f aca="false">O1312/L1312</f>
        <v>0.796551724137931</v>
      </c>
      <c r="Y1312" s="92" t="str">
        <f aca="false">IFERROR(VLOOKUP(E:E,'Item Data Support Sheet'!A:J,6,0),0)</f>
        <v>FO005</v>
      </c>
      <c r="Z1312" s="93" t="n">
        <f aca="false">IFERROR(VLOOKUP(E:E,'Item Data Support Sheet'!A:O,4,0),0)</f>
        <v>0</v>
      </c>
      <c r="AA1312" s="93" t="n">
        <f aca="false">IFERROR(((N1312)*(Z1312/1000))+P1312,0)</f>
        <v>0</v>
      </c>
      <c r="AB1312" s="94" t="str">
        <f aca="false">IFERROR((O1312*(Z1312/1000)/(AA1312))," ")</f>
        <v> </v>
      </c>
      <c r="AC1312" s="95" t="n">
        <f aca="false">IFERROR((T1312)/((T1312)+O1312),0)</f>
        <v>0.00516795865633075</v>
      </c>
      <c r="AD1312" s="96" t="n">
        <f aca="false">IFERROR(Q1312/(Q1312+N1312),0)</f>
        <v>0</v>
      </c>
      <c r="AE1312" s="91" t="n">
        <f aca="false">(N1312-T1312)/N1312</f>
        <v>0.994832041343669</v>
      </c>
      <c r="AF1312" s="97" t="n">
        <f aca="false">BR1312</f>
        <v>1.83333333333333</v>
      </c>
      <c r="AG1312" s="98" t="n">
        <f aca="false">K1312-AF1312</f>
        <v>6.16666666666667</v>
      </c>
      <c r="AH1312" s="99" t="n">
        <f aca="false">IFERROR(AG1312/K1312," ")</f>
        <v>0.770833333333334</v>
      </c>
      <c r="AI1312" s="100" t="n">
        <f aca="false">IFERROR(O1312/K1312,0)</f>
        <v>577.5</v>
      </c>
      <c r="AJ1312" s="101" t="n">
        <f aca="false">VLOOKUP(D1312,'Standard Cycle time'!C:D,2,0)</f>
        <v>32.4</v>
      </c>
      <c r="AK1312" s="101" t="n">
        <f aca="false">AG1312*V1312*3600/O1312</f>
        <v>24.025974025974</v>
      </c>
      <c r="AL1312" s="102" t="n">
        <f aca="false">AJ1312/AK1312</f>
        <v>1.34854054054054</v>
      </c>
      <c r="AM1312" s="99" t="n">
        <f aca="false">AE1312*AL1312*AH1312</f>
        <v>1.03412790697674</v>
      </c>
      <c r="AN1312" s="103" t="n">
        <v>1.03412790697674</v>
      </c>
      <c r="AO1312" s="112" t="s">
        <v>2110</v>
      </c>
      <c r="AP1312" s="105" t="n">
        <v>50</v>
      </c>
      <c r="AQ1312" s="105" t="n">
        <v>60</v>
      </c>
      <c r="AR1312" s="105" t="n">
        <v>0</v>
      </c>
      <c r="AS1312" s="105" t="n">
        <v>0</v>
      </c>
      <c r="AT1312" s="105" t="n">
        <v>0</v>
      </c>
      <c r="AU1312" s="105" t="n">
        <v>0</v>
      </c>
      <c r="AV1312" s="105" t="n">
        <v>0</v>
      </c>
      <c r="AW1312" s="105" t="n">
        <v>0</v>
      </c>
      <c r="AX1312" s="105" t="n">
        <v>0</v>
      </c>
      <c r="AY1312" s="105" t="n">
        <v>0</v>
      </c>
      <c r="AZ1312" s="105" t="n">
        <v>0</v>
      </c>
      <c r="BA1312" s="105" t="n">
        <v>0</v>
      </c>
      <c r="BB1312" s="105" t="n">
        <v>0</v>
      </c>
      <c r="BC1312" s="105" t="n">
        <v>0</v>
      </c>
      <c r="BD1312" s="105" t="n">
        <v>0</v>
      </c>
      <c r="BE1312" s="105" t="n">
        <v>0</v>
      </c>
      <c r="BF1312" s="105" t="n">
        <v>0</v>
      </c>
      <c r="BG1312" s="105" t="n">
        <v>0</v>
      </c>
      <c r="BH1312" s="105" t="n">
        <v>0</v>
      </c>
      <c r="BI1312" s="105" t="n">
        <v>0</v>
      </c>
      <c r="BJ1312" s="105" t="n">
        <v>0</v>
      </c>
      <c r="BK1312" s="105" t="n">
        <v>0</v>
      </c>
      <c r="BL1312" s="105" t="n">
        <v>0</v>
      </c>
      <c r="BM1312" s="105" t="n">
        <v>0</v>
      </c>
      <c r="BN1312" s="105" t="n">
        <v>0</v>
      </c>
      <c r="BO1312" s="105" t="n">
        <v>0</v>
      </c>
      <c r="BP1312" s="105" t="n">
        <v>0</v>
      </c>
      <c r="BQ1312" s="105" t="n">
        <v>0</v>
      </c>
      <c r="BR1312" s="106" t="n">
        <v>1.83333333333333</v>
      </c>
      <c r="BS1312" s="106" t="n">
        <v>1.83333333333333</v>
      </c>
      <c r="BT1312" s="107"/>
      <c r="BU1312" s="107"/>
      <c r="BV1312" s="107"/>
      <c r="BW1312" s="107"/>
      <c r="BX1312" s="107"/>
      <c r="BY1312" s="107"/>
      <c r="BZ1312" s="107"/>
      <c r="CA1312" s="107"/>
      <c r="CB1312" s="107"/>
      <c r="CC1312" s="107"/>
      <c r="CD1312" s="107"/>
      <c r="CE1312" s="107"/>
      <c r="CF1312" s="107"/>
      <c r="CG1312" s="107"/>
      <c r="CH1312" s="107"/>
      <c r="CI1312" s="107"/>
      <c r="CJ1312" s="107"/>
      <c r="CK1312" s="107"/>
      <c r="CL1312" s="107"/>
      <c r="CM1312" s="107"/>
      <c r="CN1312" s="107"/>
      <c r="CO1312" s="107"/>
      <c r="CP1312" s="107"/>
      <c r="CQ1312" s="107"/>
      <c r="CR1312" s="107"/>
      <c r="CS1312" s="107"/>
      <c r="CT1312" s="107"/>
      <c r="CU1312" s="107"/>
      <c r="CV1312" s="107"/>
    </row>
    <row r="1313" customFormat="false" ht="14.9" hidden="false" customHeight="false" outlineLevel="0" collapsed="false">
      <c r="A1313" s="74" t="n">
        <f aca="false">MONTH(B1313)</f>
        <v>11</v>
      </c>
      <c r="B1313" s="135" t="n">
        <v>44519</v>
      </c>
      <c r="C1313" s="128" t="s">
        <v>70</v>
      </c>
      <c r="D1313" s="77" t="str">
        <f aca="false">IFERROR(VLOOKUP(E:E,'Item Data Support Sheet'!A:O,7,0),"")</f>
        <v>NIPPLE PUNCH</v>
      </c>
      <c r="E1313" s="80" t="s">
        <v>666</v>
      </c>
      <c r="F1313" s="122"/>
      <c r="G1313" s="137" t="s">
        <v>54</v>
      </c>
      <c r="H1313" s="79" t="str">
        <f aca="false">IFERROR(VLOOKUP(E:E,'Item Data Support Sheet'!A:O,2,0),"")</f>
        <v>NIPPLE S TYPE L SIZE PUNCHED</v>
      </c>
      <c r="I1313" s="80" t="s">
        <v>2094</v>
      </c>
      <c r="J1313" s="80" t="s">
        <v>155</v>
      </c>
      <c r="K1313" s="124" t="n">
        <v>8</v>
      </c>
      <c r="L1313" s="124" t="n">
        <v>7000</v>
      </c>
      <c r="M1313" s="83" t="n">
        <v>875</v>
      </c>
      <c r="N1313" s="84" t="n">
        <f aca="false">+O1313+Q1313+T1313+U1313</f>
        <v>6100</v>
      </c>
      <c r="O1313" s="85" t="n">
        <v>6075</v>
      </c>
      <c r="P1313" s="86" t="n">
        <v>0</v>
      </c>
      <c r="Q1313" s="86" t="n">
        <v>0</v>
      </c>
      <c r="R1313" s="132" t="n">
        <v>0</v>
      </c>
      <c r="S1313" s="128" t="n">
        <v>0</v>
      </c>
      <c r="T1313" s="132" t="n">
        <v>25</v>
      </c>
      <c r="U1313" s="128" t="n">
        <v>0</v>
      </c>
      <c r="V1313" s="128" t="n">
        <v>1</v>
      </c>
      <c r="W1313" s="90" t="n">
        <f aca="false">IFERROR(O1313/V1313,0)</f>
        <v>6075</v>
      </c>
      <c r="X1313" s="91" t="n">
        <f aca="false">O1313/L1313</f>
        <v>0.867857142857143</v>
      </c>
      <c r="Y1313" s="92" t="str">
        <f aca="false">IFERROR(VLOOKUP(E:E,'Item Data Support Sheet'!A:J,6,0),0)</f>
        <v>FO017</v>
      </c>
      <c r="Z1313" s="93" t="n">
        <f aca="false">IFERROR(VLOOKUP(E:E,'Item Data Support Sheet'!A:O,4,0),0)</f>
        <v>0</v>
      </c>
      <c r="AA1313" s="93" t="n">
        <f aca="false">IFERROR(((N1313)*(Z1313/1000))+P1313,0)</f>
        <v>0</v>
      </c>
      <c r="AB1313" s="94" t="str">
        <f aca="false">IFERROR((O1313*(Z1313/1000)/(AA1313))," ")</f>
        <v> </v>
      </c>
      <c r="AC1313" s="95" t="n">
        <f aca="false">IFERROR((T1313)/((T1313)+O1313),0)</f>
        <v>0.00409836065573771</v>
      </c>
      <c r="AD1313" s="96" t="n">
        <f aca="false">IFERROR(Q1313/(Q1313+N1313),0)</f>
        <v>0</v>
      </c>
      <c r="AE1313" s="91" t="n">
        <f aca="false">(N1313-T1313)/N1313</f>
        <v>0.995901639344262</v>
      </c>
      <c r="AF1313" s="97" t="n">
        <f aca="false">BR1313</f>
        <v>0.666666666666667</v>
      </c>
      <c r="AG1313" s="98" t="n">
        <f aca="false">K1313-AF1313</f>
        <v>7.33333333333333</v>
      </c>
      <c r="AH1313" s="99" t="n">
        <f aca="false">IFERROR(AG1313/K1313," ")</f>
        <v>0.916666666666667</v>
      </c>
      <c r="AI1313" s="100" t="n">
        <f aca="false">IFERROR(O1313/K1313,0)</f>
        <v>759.375</v>
      </c>
      <c r="AJ1313" s="101" t="n">
        <f aca="false">VLOOKUP(D1313,'Standard Cycle time'!C:D,2,0)</f>
        <v>3.5</v>
      </c>
      <c r="AK1313" s="101" t="n">
        <f aca="false">AG1313*V1313*3600/O1313</f>
        <v>4.34567901234568</v>
      </c>
      <c r="AL1313" s="102" t="n">
        <f aca="false">AJ1313/AK1313</f>
        <v>0.805397727272727</v>
      </c>
      <c r="AM1313" s="99" t="n">
        <f aca="false">AE1313*AL1313*AH1313</f>
        <v>0.735255507172131</v>
      </c>
      <c r="AN1313" s="103" t="n">
        <v>0.735255507172131</v>
      </c>
      <c r="AO1313" s="112"/>
      <c r="AP1313" s="105" t="n">
        <v>40</v>
      </c>
      <c r="AQ1313" s="105" t="n">
        <v>0</v>
      </c>
      <c r="AR1313" s="105" t="n">
        <v>0</v>
      </c>
      <c r="AS1313" s="105" t="n">
        <v>0</v>
      </c>
      <c r="AT1313" s="105" t="n">
        <v>0</v>
      </c>
      <c r="AU1313" s="105" t="n">
        <v>0</v>
      </c>
      <c r="AV1313" s="105" t="n">
        <v>0</v>
      </c>
      <c r="AW1313" s="105" t="n">
        <v>0</v>
      </c>
      <c r="AX1313" s="105" t="n">
        <v>0</v>
      </c>
      <c r="AY1313" s="105" t="n">
        <v>0</v>
      </c>
      <c r="AZ1313" s="105" t="n">
        <v>0</v>
      </c>
      <c r="BA1313" s="105" t="n">
        <v>0</v>
      </c>
      <c r="BB1313" s="105" t="n">
        <v>0</v>
      </c>
      <c r="BC1313" s="105" t="n">
        <v>0</v>
      </c>
      <c r="BD1313" s="105" t="n">
        <v>0</v>
      </c>
      <c r="BE1313" s="105" t="n">
        <v>0</v>
      </c>
      <c r="BF1313" s="105" t="n">
        <v>0</v>
      </c>
      <c r="BG1313" s="105" t="n">
        <v>0</v>
      </c>
      <c r="BH1313" s="105" t="n">
        <v>0</v>
      </c>
      <c r="BI1313" s="105" t="n">
        <v>0</v>
      </c>
      <c r="BJ1313" s="105" t="n">
        <v>0</v>
      </c>
      <c r="BK1313" s="105" t="n">
        <v>0</v>
      </c>
      <c r="BL1313" s="105" t="n">
        <v>0</v>
      </c>
      <c r="BM1313" s="105" t="n">
        <v>0</v>
      </c>
      <c r="BN1313" s="105" t="n">
        <v>0</v>
      </c>
      <c r="BO1313" s="105" t="n">
        <v>0</v>
      </c>
      <c r="BP1313" s="105" t="n">
        <v>0</v>
      </c>
      <c r="BQ1313" s="105" t="n">
        <v>0</v>
      </c>
      <c r="BR1313" s="106" t="n">
        <v>0.666666666666667</v>
      </c>
      <c r="BS1313" s="106" t="n">
        <v>0.666666666666667</v>
      </c>
      <c r="BT1313" s="107"/>
      <c r="BU1313" s="107"/>
      <c r="BV1313" s="107"/>
      <c r="BW1313" s="107"/>
      <c r="BX1313" s="107"/>
      <c r="BY1313" s="107"/>
      <c r="BZ1313" s="107"/>
      <c r="CA1313" s="107"/>
      <c r="CB1313" s="107"/>
      <c r="CC1313" s="107"/>
      <c r="CD1313" s="107"/>
      <c r="CE1313" s="107"/>
      <c r="CF1313" s="107"/>
      <c r="CG1313" s="107"/>
      <c r="CH1313" s="107"/>
      <c r="CI1313" s="107"/>
      <c r="CJ1313" s="107"/>
      <c r="CK1313" s="107"/>
      <c r="CL1313" s="107"/>
      <c r="CM1313" s="107"/>
      <c r="CN1313" s="107"/>
      <c r="CO1313" s="107"/>
      <c r="CP1313" s="107"/>
      <c r="CQ1313" s="107"/>
      <c r="CR1313" s="107"/>
      <c r="CS1313" s="107"/>
      <c r="CT1313" s="107"/>
      <c r="CU1313" s="107"/>
      <c r="CV1313" s="107"/>
    </row>
    <row r="1314" customFormat="false" ht="14.9" hidden="false" customHeight="false" outlineLevel="0" collapsed="false">
      <c r="A1314" s="74" t="n">
        <f aca="false">MONTH(B1314)</f>
        <v>11</v>
      </c>
      <c r="B1314" s="135" t="n">
        <v>44519</v>
      </c>
      <c r="C1314" s="128" t="s">
        <v>70</v>
      </c>
      <c r="D1314" s="77" t="str">
        <f aca="false">IFERROR(VLOOKUP(E:E,'Item Data Support Sheet'!A:O,7,0),"")</f>
        <v>NIPPLE LASER MARKING</v>
      </c>
      <c r="E1314" s="80" t="s">
        <v>681</v>
      </c>
      <c r="F1314" s="122"/>
      <c r="G1314" s="137" t="s">
        <v>517</v>
      </c>
      <c r="H1314" s="79" t="str">
        <f aca="false">IFERROR(VLOOKUP(E:E,'Item Data Support Sheet'!A:O,2,0),"")</f>
        <v>NIPPLE S TYPE L SIZE PUNCHED LASER MARKED</v>
      </c>
      <c r="I1314" s="80" t="s">
        <v>2105</v>
      </c>
      <c r="J1314" s="80" t="s">
        <v>155</v>
      </c>
      <c r="K1314" s="124" t="n">
        <v>8</v>
      </c>
      <c r="L1314" s="124" t="n">
        <v>7000</v>
      </c>
      <c r="M1314" s="83" t="n">
        <v>875</v>
      </c>
      <c r="N1314" s="84" t="n">
        <f aca="false">+O1314+Q1314+T1314+U1314</f>
        <v>5200</v>
      </c>
      <c r="O1314" s="85" t="n">
        <v>5200</v>
      </c>
      <c r="P1314" s="86" t="n">
        <v>0</v>
      </c>
      <c r="Q1314" s="86" t="n">
        <v>0</v>
      </c>
      <c r="R1314" s="132" t="n">
        <v>0</v>
      </c>
      <c r="S1314" s="128" t="n">
        <v>0</v>
      </c>
      <c r="T1314" s="132" t="n">
        <v>0</v>
      </c>
      <c r="U1314" s="128" t="n">
        <v>0</v>
      </c>
      <c r="V1314" s="128" t="n">
        <v>1</v>
      </c>
      <c r="W1314" s="90" t="n">
        <f aca="false">IFERROR(O1314/V1314,0)</f>
        <v>5200</v>
      </c>
      <c r="X1314" s="91" t="n">
        <f aca="false">O1314/L1314</f>
        <v>0.742857142857143</v>
      </c>
      <c r="Y1314" s="92" t="str">
        <f aca="false">IFERROR(VLOOKUP(E:E,'Item Data Support Sheet'!A:J,6,0),0)</f>
        <v>FO021</v>
      </c>
      <c r="Z1314" s="93" t="n">
        <f aca="false">IFERROR(VLOOKUP(E:E,'Item Data Support Sheet'!A:O,4,0),0)</f>
        <v>0</v>
      </c>
      <c r="AA1314" s="93" t="n">
        <f aca="false">IFERROR(((N1314)*(Z1314/1000))+P1314,0)</f>
        <v>0</v>
      </c>
      <c r="AB1314" s="94" t="str">
        <f aca="false">IFERROR((O1314*(Z1314/1000)/(AA1314))," ")</f>
        <v> </v>
      </c>
      <c r="AC1314" s="95" t="n">
        <f aca="false">IFERROR((T1314)/((T1314)+O1314),0)</f>
        <v>0</v>
      </c>
      <c r="AD1314" s="96" t="n">
        <f aca="false">IFERROR(Q1314/(Q1314+N1314),0)</f>
        <v>0</v>
      </c>
      <c r="AE1314" s="91" t="n">
        <f aca="false">(N1314-T1314)/N1314</f>
        <v>1</v>
      </c>
      <c r="AF1314" s="97" t="n">
        <f aca="false">BR1314</f>
        <v>0.666666666666667</v>
      </c>
      <c r="AG1314" s="98" t="n">
        <f aca="false">K1314-AF1314</f>
        <v>7.33333333333333</v>
      </c>
      <c r="AH1314" s="99" t="n">
        <f aca="false">IFERROR(AG1314/K1314," ")</f>
        <v>0.916666666666667</v>
      </c>
      <c r="AI1314" s="100" t="n">
        <f aca="false">IFERROR(O1314/K1314,0)</f>
        <v>650</v>
      </c>
      <c r="AJ1314" s="101" t="n">
        <f aca="false">VLOOKUP(D1314,'Standard Cycle time'!C:D,2,0)</f>
        <v>3.5</v>
      </c>
      <c r="AK1314" s="101" t="n">
        <f aca="false">AG1314*V1314*3600/O1314</f>
        <v>5.07692307692308</v>
      </c>
      <c r="AL1314" s="102" t="n">
        <f aca="false">AJ1314/AK1314</f>
        <v>0.689393939393939</v>
      </c>
      <c r="AM1314" s="99" t="n">
        <f aca="false">AE1314*AL1314*AH1314</f>
        <v>0.631944444444444</v>
      </c>
      <c r="AN1314" s="103" t="n">
        <v>0.631944444444444</v>
      </c>
      <c r="AO1314" s="112"/>
      <c r="AP1314" s="105" t="n">
        <v>40</v>
      </c>
      <c r="AQ1314" s="105" t="n">
        <v>0</v>
      </c>
      <c r="AR1314" s="105" t="n">
        <v>0</v>
      </c>
      <c r="AS1314" s="105" t="n">
        <v>0</v>
      </c>
      <c r="AT1314" s="105" t="n">
        <v>0</v>
      </c>
      <c r="AU1314" s="105" t="n">
        <v>0</v>
      </c>
      <c r="AV1314" s="105" t="n">
        <v>0</v>
      </c>
      <c r="AW1314" s="105" t="n">
        <v>0</v>
      </c>
      <c r="AX1314" s="105" t="n">
        <v>0</v>
      </c>
      <c r="AY1314" s="105" t="n">
        <v>0</v>
      </c>
      <c r="AZ1314" s="105" t="n">
        <v>0</v>
      </c>
      <c r="BA1314" s="105" t="n">
        <v>0</v>
      </c>
      <c r="BB1314" s="105" t="n">
        <v>0</v>
      </c>
      <c r="BC1314" s="105" t="n">
        <v>0</v>
      </c>
      <c r="BD1314" s="105" t="n">
        <v>0</v>
      </c>
      <c r="BE1314" s="105" t="n">
        <v>0</v>
      </c>
      <c r="BF1314" s="105" t="n">
        <v>0</v>
      </c>
      <c r="BG1314" s="105" t="n">
        <v>0</v>
      </c>
      <c r="BH1314" s="105" t="n">
        <v>0</v>
      </c>
      <c r="BI1314" s="105" t="n">
        <v>0</v>
      </c>
      <c r="BJ1314" s="105" t="n">
        <v>0</v>
      </c>
      <c r="BK1314" s="105" t="n">
        <v>0</v>
      </c>
      <c r="BL1314" s="105" t="n">
        <v>0</v>
      </c>
      <c r="BM1314" s="105" t="n">
        <v>0</v>
      </c>
      <c r="BN1314" s="105" t="n">
        <v>0</v>
      </c>
      <c r="BO1314" s="105" t="n">
        <v>0</v>
      </c>
      <c r="BP1314" s="105" t="n">
        <v>0</v>
      </c>
      <c r="BQ1314" s="105" t="n">
        <v>0</v>
      </c>
      <c r="BR1314" s="106" t="n">
        <v>0.666666666666667</v>
      </c>
      <c r="BS1314" s="106" t="n">
        <v>0.666666666666667</v>
      </c>
      <c r="BT1314" s="107"/>
      <c r="BU1314" s="107"/>
      <c r="BV1314" s="107"/>
      <c r="BW1314" s="107"/>
      <c r="BX1314" s="107"/>
      <c r="BY1314" s="107"/>
      <c r="BZ1314" s="107"/>
      <c r="CA1314" s="107"/>
      <c r="CB1314" s="107"/>
      <c r="CC1314" s="107"/>
      <c r="CD1314" s="107"/>
      <c r="CE1314" s="107"/>
      <c r="CF1314" s="107"/>
      <c r="CG1314" s="107"/>
      <c r="CH1314" s="107"/>
      <c r="CI1314" s="107"/>
      <c r="CJ1314" s="107"/>
      <c r="CK1314" s="107"/>
      <c r="CL1314" s="107"/>
      <c r="CM1314" s="107"/>
      <c r="CN1314" s="107"/>
      <c r="CO1314" s="107"/>
      <c r="CP1314" s="107"/>
      <c r="CQ1314" s="107"/>
      <c r="CR1314" s="107"/>
      <c r="CS1314" s="107"/>
      <c r="CT1314" s="107"/>
      <c r="CU1314" s="107"/>
      <c r="CV1314" s="107"/>
    </row>
    <row r="1315" customFormat="false" ht="14.9" hidden="false" customHeight="false" outlineLevel="0" collapsed="false">
      <c r="A1315" s="74" t="n">
        <f aca="false">MONTH(B1315)</f>
        <v>11</v>
      </c>
      <c r="B1315" s="135" t="n">
        <v>44519</v>
      </c>
      <c r="C1315" s="128" t="s">
        <v>70</v>
      </c>
      <c r="D1315" s="77" t="str">
        <f aca="false">IFERROR(VLOOKUP(E:E,'Item Data Support Sheet'!A:O,7,0),"")</f>
        <v>NIPPLE MOLDED</v>
      </c>
      <c r="E1315" s="80" t="s">
        <v>136</v>
      </c>
      <c r="F1315" s="122" t="s">
        <v>1286</v>
      </c>
      <c r="G1315" s="137" t="s">
        <v>848</v>
      </c>
      <c r="H1315" s="79" t="str">
        <f aca="false">IFERROR(VLOOKUP(E:E,'Item Data Support Sheet'!A:O,2,0),"")</f>
        <v>NIPPLE S TYPE M SIZE INJECTION</v>
      </c>
      <c r="I1315" s="80" t="s">
        <v>2111</v>
      </c>
      <c r="J1315" s="80" t="s">
        <v>155</v>
      </c>
      <c r="K1315" s="124" t="n">
        <v>8</v>
      </c>
      <c r="L1315" s="124" t="n">
        <v>3611</v>
      </c>
      <c r="M1315" s="83" t="n">
        <v>451.375</v>
      </c>
      <c r="N1315" s="84" t="n">
        <f aca="false">+O1315+Q1315+T1315+U1315</f>
        <v>3400</v>
      </c>
      <c r="O1315" s="85" t="n">
        <v>2800</v>
      </c>
      <c r="P1315" s="86" t="n">
        <v>0</v>
      </c>
      <c r="Q1315" s="86" t="n">
        <v>400</v>
      </c>
      <c r="R1315" s="132" t="n">
        <v>0</v>
      </c>
      <c r="S1315" s="128" t="n">
        <v>0</v>
      </c>
      <c r="T1315" s="132" t="n">
        <v>200</v>
      </c>
      <c r="U1315" s="128" t="n">
        <v>0</v>
      </c>
      <c r="V1315" s="128" t="n">
        <v>1</v>
      </c>
      <c r="W1315" s="90" t="n">
        <f aca="false">IFERROR(O1315/V1315,0)</f>
        <v>2800</v>
      </c>
      <c r="X1315" s="91" t="n">
        <f aca="false">O1315/L1315</f>
        <v>0.775408474106896</v>
      </c>
      <c r="Y1315" s="92" t="str">
        <f aca="false">IFERROR(VLOOKUP(E:E,'Item Data Support Sheet'!A:J,6,0),0)</f>
        <v>Silicon</v>
      </c>
      <c r="Z1315" s="93" t="n">
        <f aca="false">IFERROR(VLOOKUP(E:E,'Item Data Support Sheet'!A:O,4,0),0)</f>
        <v>6.8</v>
      </c>
      <c r="AA1315" s="93" t="n">
        <f aca="false">IFERROR(((N1315)*(Z1315/1000))+P1315,0)</f>
        <v>23.12</v>
      </c>
      <c r="AB1315" s="94" t="n">
        <f aca="false">IFERROR((O1315*(Z1315/1000)/(AA1315))," ")</f>
        <v>0.823529411764706</v>
      </c>
      <c r="AC1315" s="95" t="n">
        <f aca="false">IFERROR((T1315)/((T1315)+O1315),0)</f>
        <v>0.0666666666666667</v>
      </c>
      <c r="AD1315" s="96" t="n">
        <f aca="false">IFERROR(Q1315/(Q1315+N1315),0)</f>
        <v>0.105263157894737</v>
      </c>
      <c r="AE1315" s="91" t="n">
        <f aca="false">(N1315-T1315)/N1315</f>
        <v>0.941176470588235</v>
      </c>
      <c r="AF1315" s="97" t="n">
        <f aca="false">BR1315</f>
        <v>0</v>
      </c>
      <c r="AG1315" s="98" t="n">
        <f aca="false">K1315-AF1315</f>
        <v>8</v>
      </c>
      <c r="AH1315" s="99" t="n">
        <f aca="false">IFERROR(AG1315/K1315," ")</f>
        <v>1</v>
      </c>
      <c r="AI1315" s="100" t="n">
        <f aca="false">IFERROR(O1315/K1315,0)</f>
        <v>350</v>
      </c>
      <c r="AJ1315" s="101" t="n">
        <f aca="false">VLOOKUP(D1315,'Standard Cycle time'!C:D,2,0)</f>
        <v>5.25</v>
      </c>
      <c r="AK1315" s="101" t="n">
        <f aca="false">AG1315*V1315*3600/O1315</f>
        <v>10.2857142857143</v>
      </c>
      <c r="AL1315" s="102" t="n">
        <f aca="false">AJ1315/AK1315</f>
        <v>0.510416666666667</v>
      </c>
      <c r="AM1315" s="99" t="n">
        <f aca="false">AE1315*AL1315*AH1315</f>
        <v>0.480392156862745</v>
      </c>
      <c r="AN1315" s="103" t="n">
        <v>0.480392156862745</v>
      </c>
      <c r="AO1315" s="112"/>
      <c r="AP1315" s="105" t="n">
        <v>0</v>
      </c>
      <c r="AQ1315" s="105" t="n">
        <v>0</v>
      </c>
      <c r="AR1315" s="105" t="n">
        <v>0</v>
      </c>
      <c r="AS1315" s="105" t="n">
        <v>0</v>
      </c>
      <c r="AT1315" s="105" t="n">
        <v>0</v>
      </c>
      <c r="AU1315" s="105" t="n">
        <v>0</v>
      </c>
      <c r="AV1315" s="105" t="n">
        <v>0</v>
      </c>
      <c r="AW1315" s="105" t="n">
        <v>0</v>
      </c>
      <c r="AX1315" s="105" t="n">
        <v>0</v>
      </c>
      <c r="AY1315" s="105" t="n">
        <v>0</v>
      </c>
      <c r="AZ1315" s="105" t="n">
        <v>0</v>
      </c>
      <c r="BA1315" s="105" t="n">
        <v>0</v>
      </c>
      <c r="BB1315" s="105" t="n">
        <v>0</v>
      </c>
      <c r="BC1315" s="105" t="n">
        <v>0</v>
      </c>
      <c r="BD1315" s="105" t="n">
        <v>0</v>
      </c>
      <c r="BE1315" s="105" t="n">
        <v>0</v>
      </c>
      <c r="BF1315" s="105" t="n">
        <v>0</v>
      </c>
      <c r="BG1315" s="105" t="n">
        <v>0</v>
      </c>
      <c r="BH1315" s="105" t="n">
        <v>0</v>
      </c>
      <c r="BI1315" s="105" t="n">
        <v>0</v>
      </c>
      <c r="BJ1315" s="105" t="n">
        <v>0</v>
      </c>
      <c r="BK1315" s="105" t="n">
        <v>0</v>
      </c>
      <c r="BL1315" s="105" t="n">
        <v>0</v>
      </c>
      <c r="BM1315" s="105" t="n">
        <v>0</v>
      </c>
      <c r="BN1315" s="105" t="n">
        <v>0</v>
      </c>
      <c r="BO1315" s="105" t="n">
        <v>0</v>
      </c>
      <c r="BP1315" s="105" t="n">
        <v>0</v>
      </c>
      <c r="BQ1315" s="105" t="n">
        <v>0</v>
      </c>
      <c r="BR1315" s="106" t="n">
        <v>0</v>
      </c>
      <c r="BS1315" s="106" t="n">
        <v>0</v>
      </c>
      <c r="BT1315" s="107"/>
      <c r="BU1315" s="107"/>
      <c r="BV1315" s="107"/>
      <c r="BW1315" s="107"/>
      <c r="BX1315" s="107"/>
      <c r="BY1315" s="107"/>
      <c r="BZ1315" s="107"/>
      <c r="CA1315" s="107"/>
      <c r="CB1315" s="107"/>
      <c r="CC1315" s="107"/>
      <c r="CD1315" s="107"/>
      <c r="CE1315" s="107"/>
      <c r="CF1315" s="107"/>
      <c r="CG1315" s="107"/>
      <c r="CH1315" s="107"/>
      <c r="CI1315" s="107"/>
      <c r="CJ1315" s="107"/>
      <c r="CK1315" s="107"/>
      <c r="CL1315" s="107"/>
      <c r="CM1315" s="107"/>
      <c r="CN1315" s="107"/>
      <c r="CO1315" s="107"/>
      <c r="CP1315" s="107"/>
      <c r="CQ1315" s="107"/>
      <c r="CR1315" s="107"/>
      <c r="CS1315" s="107"/>
      <c r="CT1315" s="107"/>
      <c r="CU1315" s="107"/>
      <c r="CV1315" s="107"/>
    </row>
    <row r="1316" customFormat="false" ht="14.9" hidden="false" customHeight="false" outlineLevel="0" collapsed="false">
      <c r="A1316" s="74" t="n">
        <f aca="false">MONTH(B1316)</f>
        <v>11</v>
      </c>
      <c r="B1316" s="135" t="n">
        <v>44519</v>
      </c>
      <c r="C1316" s="128" t="s">
        <v>70</v>
      </c>
      <c r="D1316" s="77" t="str">
        <f aca="false">IFERROR(VLOOKUP(E:E,'Item Data Support Sheet'!A:O,7,0),"")</f>
        <v>NIPPLE MOLDED</v>
      </c>
      <c r="E1316" s="80" t="s">
        <v>661</v>
      </c>
      <c r="F1316" s="122" t="s">
        <v>137</v>
      </c>
      <c r="G1316" s="137" t="s">
        <v>138</v>
      </c>
      <c r="H1316" s="79" t="str">
        <f aca="false">IFERROR(VLOOKUP(E:E,'Item Data Support Sheet'!A:O,2,0),"")</f>
        <v>NIPPLE S TYPE L SIZE INJECTION</v>
      </c>
      <c r="I1316" s="80" t="s">
        <v>2111</v>
      </c>
      <c r="J1316" s="80" t="s">
        <v>155</v>
      </c>
      <c r="K1316" s="124" t="n">
        <v>8</v>
      </c>
      <c r="L1316" s="124" t="n">
        <v>4815</v>
      </c>
      <c r="M1316" s="83" t="n">
        <v>601.875</v>
      </c>
      <c r="N1316" s="84" t="n">
        <f aca="false">+O1316+Q1316+T1316+U1316</f>
        <v>5590</v>
      </c>
      <c r="O1316" s="85" t="n">
        <v>5500</v>
      </c>
      <c r="P1316" s="86" t="n">
        <v>0</v>
      </c>
      <c r="Q1316" s="86" t="n">
        <v>50</v>
      </c>
      <c r="R1316" s="132" t="n">
        <v>0</v>
      </c>
      <c r="S1316" s="128" t="n">
        <v>0</v>
      </c>
      <c r="T1316" s="132" t="n">
        <v>40</v>
      </c>
      <c r="U1316" s="128" t="n">
        <v>0</v>
      </c>
      <c r="V1316" s="128" t="n">
        <v>1</v>
      </c>
      <c r="W1316" s="90" t="n">
        <f aca="false">IFERROR(O1316/V1316,0)</f>
        <v>5500</v>
      </c>
      <c r="X1316" s="91" t="n">
        <f aca="false">O1316/L1316</f>
        <v>1.14226375908619</v>
      </c>
      <c r="Y1316" s="92" t="str">
        <f aca="false">IFERROR(VLOOKUP(E:E,'Item Data Support Sheet'!A:J,6,0),0)</f>
        <v>Silicon</v>
      </c>
      <c r="Z1316" s="93" t="n">
        <f aca="false">IFERROR(VLOOKUP(E:E,'Item Data Support Sheet'!A:O,4,0),0)</f>
        <v>6.8</v>
      </c>
      <c r="AA1316" s="93" t="n">
        <f aca="false">IFERROR(((N1316)*(Z1316/1000))+P1316,0)</f>
        <v>38.012</v>
      </c>
      <c r="AB1316" s="94" t="n">
        <f aca="false">IFERROR((O1316*(Z1316/1000)/(AA1316))," ")</f>
        <v>0.983899821109123</v>
      </c>
      <c r="AC1316" s="95" t="n">
        <f aca="false">IFERROR((T1316)/((T1316)+O1316),0)</f>
        <v>0.0072202166064982</v>
      </c>
      <c r="AD1316" s="96" t="n">
        <f aca="false">IFERROR(Q1316/(Q1316+N1316),0)</f>
        <v>0.00886524822695036</v>
      </c>
      <c r="AE1316" s="91" t="n">
        <f aca="false">(N1316-T1316)/N1316</f>
        <v>0.992844364937388</v>
      </c>
      <c r="AF1316" s="97" t="n">
        <f aca="false">BR1316</f>
        <v>0</v>
      </c>
      <c r="AG1316" s="98" t="n">
        <f aca="false">K1316-AF1316</f>
        <v>8</v>
      </c>
      <c r="AH1316" s="99" t="n">
        <f aca="false">IFERROR(AG1316/K1316," ")</f>
        <v>1</v>
      </c>
      <c r="AI1316" s="100" t="n">
        <f aca="false">IFERROR(O1316/K1316,0)</f>
        <v>687.5</v>
      </c>
      <c r="AJ1316" s="101" t="n">
        <f aca="false">VLOOKUP(D1316,'Standard Cycle time'!C:D,2,0)</f>
        <v>5.25</v>
      </c>
      <c r="AK1316" s="101" t="n">
        <f aca="false">AG1316*V1316*3600/O1316</f>
        <v>5.23636363636364</v>
      </c>
      <c r="AL1316" s="102" t="n">
        <f aca="false">AJ1316/AK1316</f>
        <v>1.00260416666667</v>
      </c>
      <c r="AM1316" s="99" t="n">
        <f aca="false">AE1316*AL1316*AH1316</f>
        <v>0.995429897137746</v>
      </c>
      <c r="AN1316" s="103" t="n">
        <v>0.995429897137746</v>
      </c>
      <c r="AO1316" s="112"/>
      <c r="AP1316" s="105" t="n">
        <v>0</v>
      </c>
      <c r="AQ1316" s="105" t="n">
        <v>0</v>
      </c>
      <c r="AR1316" s="105" t="n">
        <v>0</v>
      </c>
      <c r="AS1316" s="105" t="n">
        <v>0</v>
      </c>
      <c r="AT1316" s="105" t="n">
        <v>0</v>
      </c>
      <c r="AU1316" s="105" t="n">
        <v>0</v>
      </c>
      <c r="AV1316" s="105" t="n">
        <v>0</v>
      </c>
      <c r="AW1316" s="105" t="n">
        <v>0</v>
      </c>
      <c r="AX1316" s="105" t="n">
        <v>0</v>
      </c>
      <c r="AY1316" s="105" t="n">
        <v>0</v>
      </c>
      <c r="AZ1316" s="105" t="n">
        <v>0</v>
      </c>
      <c r="BA1316" s="105" t="n">
        <v>0</v>
      </c>
      <c r="BB1316" s="105" t="n">
        <v>0</v>
      </c>
      <c r="BC1316" s="105" t="n">
        <v>0</v>
      </c>
      <c r="BD1316" s="105" t="n">
        <v>0</v>
      </c>
      <c r="BE1316" s="105" t="n">
        <v>0</v>
      </c>
      <c r="BF1316" s="105" t="n">
        <v>0</v>
      </c>
      <c r="BG1316" s="105" t="n">
        <v>0</v>
      </c>
      <c r="BH1316" s="105" t="n">
        <v>0</v>
      </c>
      <c r="BI1316" s="105" t="n">
        <v>0</v>
      </c>
      <c r="BJ1316" s="105" t="n">
        <v>0</v>
      </c>
      <c r="BK1316" s="105" t="n">
        <v>0</v>
      </c>
      <c r="BL1316" s="105" t="n">
        <v>0</v>
      </c>
      <c r="BM1316" s="105" t="n">
        <v>0</v>
      </c>
      <c r="BN1316" s="105" t="n">
        <v>0</v>
      </c>
      <c r="BO1316" s="105" t="n">
        <v>0</v>
      </c>
      <c r="BP1316" s="105" t="n">
        <v>0</v>
      </c>
      <c r="BQ1316" s="105" t="n">
        <v>0</v>
      </c>
      <c r="BR1316" s="106" t="n">
        <v>0</v>
      </c>
      <c r="BS1316" s="106" t="n">
        <v>0</v>
      </c>
      <c r="BT1316" s="107"/>
      <c r="BU1316" s="107"/>
      <c r="BV1316" s="107"/>
      <c r="BW1316" s="107"/>
      <c r="BX1316" s="107"/>
      <c r="BY1316" s="107"/>
      <c r="BZ1316" s="107"/>
      <c r="CA1316" s="107"/>
      <c r="CB1316" s="107"/>
      <c r="CC1316" s="107"/>
      <c r="CD1316" s="107"/>
      <c r="CE1316" s="107"/>
      <c r="CF1316" s="107"/>
      <c r="CG1316" s="107"/>
      <c r="CH1316" s="107"/>
      <c r="CI1316" s="107"/>
      <c r="CJ1316" s="107"/>
      <c r="CK1316" s="107"/>
      <c r="CL1316" s="107"/>
      <c r="CM1316" s="107"/>
      <c r="CN1316" s="107"/>
      <c r="CO1316" s="107"/>
      <c r="CP1316" s="107"/>
      <c r="CQ1316" s="107"/>
      <c r="CR1316" s="107"/>
      <c r="CS1316" s="107"/>
      <c r="CT1316" s="107"/>
      <c r="CU1316" s="107"/>
      <c r="CV1316" s="107"/>
    </row>
    <row r="1317" customFormat="false" ht="14.9" hidden="false" customHeight="false" outlineLevel="0" collapsed="false">
      <c r="A1317" s="74" t="n">
        <f aca="false">MONTH(B1317)</f>
        <v>11</v>
      </c>
      <c r="B1317" s="135" t="n">
        <v>44519</v>
      </c>
      <c r="C1317" s="128" t="s">
        <v>70</v>
      </c>
      <c r="D1317" s="77" t="str">
        <f aca="false">IFERROR(VLOOKUP(E:E,'Item Data Support Sheet'!A:O,7,0),"")</f>
        <v>HOOD MOLDED</v>
      </c>
      <c r="E1317" s="80" t="s">
        <v>529</v>
      </c>
      <c r="F1317" s="122"/>
      <c r="G1317" s="137" t="s">
        <v>740</v>
      </c>
      <c r="H1317" s="79" t="str">
        <f aca="false">IFERROR(VLOOKUP(E:E,'Item Data Support Sheet'!A:O,2,0),"")</f>
        <v>HOOD S TYPE MOLDED</v>
      </c>
      <c r="I1317" s="80" t="s">
        <v>2112</v>
      </c>
      <c r="J1317" s="80" t="s">
        <v>155</v>
      </c>
      <c r="K1317" s="124" t="n">
        <v>8</v>
      </c>
      <c r="L1317" s="124" t="n">
        <v>4137</v>
      </c>
      <c r="M1317" s="83" t="n">
        <v>517.125</v>
      </c>
      <c r="N1317" s="84" t="n">
        <f aca="false">+O1317+Q1317+T1317+U1317</f>
        <v>3395</v>
      </c>
      <c r="O1317" s="85" t="n">
        <v>3375</v>
      </c>
      <c r="P1317" s="86" t="n">
        <v>0</v>
      </c>
      <c r="Q1317" s="86" t="n">
        <v>10</v>
      </c>
      <c r="R1317" s="132" t="n">
        <v>0</v>
      </c>
      <c r="S1317" s="128" t="n">
        <v>0</v>
      </c>
      <c r="T1317" s="132" t="n">
        <v>10</v>
      </c>
      <c r="U1317" s="128" t="n">
        <v>0</v>
      </c>
      <c r="V1317" s="128" t="n">
        <v>1</v>
      </c>
      <c r="W1317" s="90" t="n">
        <f aca="false">IFERROR(O1317/V1317,0)</f>
        <v>3375</v>
      </c>
      <c r="X1317" s="91" t="n">
        <f aca="false">O1317/L1317</f>
        <v>0.815808556925308</v>
      </c>
      <c r="Y1317" s="92" t="str">
        <f aca="false">IFERROR(VLOOKUP(E:E,'Item Data Support Sheet'!A:J,6,0),0)</f>
        <v>HMC</v>
      </c>
      <c r="Z1317" s="93" t="n">
        <f aca="false">IFERROR(VLOOKUP(E:E,'Item Data Support Sheet'!A:O,4,0),0)</f>
        <v>8.6</v>
      </c>
      <c r="AA1317" s="93" t="n">
        <f aca="false">IFERROR(((N1317)*(Z1317/1000))+P1317,0)</f>
        <v>29.197</v>
      </c>
      <c r="AB1317" s="94" t="n">
        <f aca="false">IFERROR((O1317*(Z1317/1000)/(AA1317))," ")</f>
        <v>0.994108983799706</v>
      </c>
      <c r="AC1317" s="95" t="n">
        <f aca="false">IFERROR((T1317)/((T1317)+O1317),0)</f>
        <v>0.00295420974889217</v>
      </c>
      <c r="AD1317" s="96" t="n">
        <f aca="false">IFERROR(Q1317/(Q1317+N1317),0)</f>
        <v>0.00293685756240822</v>
      </c>
      <c r="AE1317" s="91" t="n">
        <f aca="false">(N1317-T1317)/N1317</f>
        <v>0.997054491899853</v>
      </c>
      <c r="AF1317" s="97" t="n">
        <f aca="false">BR1317</f>
        <v>0</v>
      </c>
      <c r="AG1317" s="98" t="n">
        <f aca="false">K1317-AF1317</f>
        <v>8</v>
      </c>
      <c r="AH1317" s="99" t="n">
        <f aca="false">IFERROR(AG1317/K1317," ")</f>
        <v>1</v>
      </c>
      <c r="AI1317" s="100" t="n">
        <f aca="false">IFERROR(O1317/K1317,0)</f>
        <v>421.875</v>
      </c>
      <c r="AJ1317" s="101" t="n">
        <f aca="false">VLOOKUP(D1317,'Standard Cycle time'!C:D,2,0)</f>
        <v>6</v>
      </c>
      <c r="AK1317" s="101" t="n">
        <f aca="false">AG1317*V1317*3600/O1317</f>
        <v>8.53333333333333</v>
      </c>
      <c r="AL1317" s="102" t="n">
        <f aca="false">AJ1317/AK1317</f>
        <v>0.703125</v>
      </c>
      <c r="AM1317" s="99" t="n">
        <f aca="false">AE1317*AL1317*AH1317</f>
        <v>0.701053939617084</v>
      </c>
      <c r="AN1317" s="103" t="n">
        <v>0.701053939617084</v>
      </c>
      <c r="AO1317" s="112"/>
      <c r="AP1317" s="105" t="n">
        <v>0</v>
      </c>
      <c r="AQ1317" s="105" t="n">
        <v>0</v>
      </c>
      <c r="AR1317" s="105" t="n">
        <v>0</v>
      </c>
      <c r="AS1317" s="105" t="n">
        <v>0</v>
      </c>
      <c r="AT1317" s="105" t="n">
        <v>0</v>
      </c>
      <c r="AU1317" s="105" t="n">
        <v>0</v>
      </c>
      <c r="AV1317" s="105" t="n">
        <v>0</v>
      </c>
      <c r="AW1317" s="105" t="n">
        <v>0</v>
      </c>
      <c r="AX1317" s="105" t="n">
        <v>0</v>
      </c>
      <c r="AY1317" s="105" t="n">
        <v>0</v>
      </c>
      <c r="AZ1317" s="105" t="n">
        <v>0</v>
      </c>
      <c r="BA1317" s="105" t="n">
        <v>0</v>
      </c>
      <c r="BB1317" s="105" t="n">
        <v>0</v>
      </c>
      <c r="BC1317" s="105" t="n">
        <v>0</v>
      </c>
      <c r="BD1317" s="105" t="n">
        <v>0</v>
      </c>
      <c r="BE1317" s="105" t="n">
        <v>0</v>
      </c>
      <c r="BF1317" s="105" t="n">
        <v>0</v>
      </c>
      <c r="BG1317" s="105" t="n">
        <v>0</v>
      </c>
      <c r="BH1317" s="105" t="n">
        <v>0</v>
      </c>
      <c r="BI1317" s="105" t="n">
        <v>0</v>
      </c>
      <c r="BJ1317" s="105" t="n">
        <v>0</v>
      </c>
      <c r="BK1317" s="105" t="n">
        <v>0</v>
      </c>
      <c r="BL1317" s="105" t="n">
        <v>0</v>
      </c>
      <c r="BM1317" s="105" t="n">
        <v>0</v>
      </c>
      <c r="BN1317" s="105" t="n">
        <v>0</v>
      </c>
      <c r="BO1317" s="105" t="n">
        <v>0</v>
      </c>
      <c r="BP1317" s="105" t="n">
        <v>0</v>
      </c>
      <c r="BQ1317" s="105" t="n">
        <v>0</v>
      </c>
      <c r="BR1317" s="106" t="n">
        <v>0</v>
      </c>
      <c r="BS1317" s="106" t="n">
        <v>0</v>
      </c>
      <c r="BT1317" s="107"/>
      <c r="BU1317" s="107"/>
      <c r="BV1317" s="107"/>
      <c r="BW1317" s="107"/>
      <c r="BX1317" s="107"/>
      <c r="BY1317" s="107"/>
      <c r="BZ1317" s="107"/>
      <c r="CA1317" s="107"/>
      <c r="CB1317" s="107"/>
      <c r="CC1317" s="107"/>
      <c r="CD1317" s="107"/>
      <c r="CE1317" s="107"/>
      <c r="CF1317" s="107"/>
      <c r="CG1317" s="107"/>
      <c r="CH1317" s="107"/>
      <c r="CI1317" s="107"/>
      <c r="CJ1317" s="107"/>
      <c r="CK1317" s="107"/>
      <c r="CL1317" s="107"/>
      <c r="CM1317" s="107"/>
      <c r="CN1317" s="107"/>
      <c r="CO1317" s="107"/>
      <c r="CP1317" s="107"/>
      <c r="CQ1317" s="107"/>
      <c r="CR1317" s="107"/>
      <c r="CS1317" s="107"/>
      <c r="CT1317" s="107"/>
      <c r="CU1317" s="107"/>
      <c r="CV1317" s="107"/>
    </row>
    <row r="1318" customFormat="false" ht="14.9" hidden="false" customHeight="false" outlineLevel="0" collapsed="false">
      <c r="A1318" s="74" t="n">
        <f aca="false">MONTH(B1318)</f>
        <v>11</v>
      </c>
      <c r="B1318" s="135" t="n">
        <v>44519</v>
      </c>
      <c r="C1318" s="128" t="s">
        <v>70</v>
      </c>
      <c r="D1318" s="77" t="str">
        <f aca="false">IFERROR(VLOOKUP(E:E,'Item Data Support Sheet'!A:O,7,0),"")</f>
        <v>BOTTLE MOLDED</v>
      </c>
      <c r="E1318" s="80" t="s">
        <v>879</v>
      </c>
      <c r="F1318" s="122" t="s">
        <v>589</v>
      </c>
      <c r="G1318" s="137" t="s">
        <v>74</v>
      </c>
      <c r="H1318" s="79" t="str">
        <f aca="false">IFERROR(VLOOKUP(E:E,'Item Data Support Sheet'!A:O,2,0),"")</f>
        <v>RPP 240ML BLUE BOTTLE MOLDED (WM3GB)</v>
      </c>
      <c r="I1318" s="80" t="s">
        <v>2113</v>
      </c>
      <c r="J1318" s="80" t="s">
        <v>155</v>
      </c>
      <c r="K1318" s="124" t="n">
        <v>8</v>
      </c>
      <c r="L1318" s="124" t="n">
        <v>2574</v>
      </c>
      <c r="M1318" s="83" t="n">
        <v>321.75</v>
      </c>
      <c r="N1318" s="84" t="n">
        <f aca="false">+O1318+Q1318+T1318+U1318</f>
        <v>3228</v>
      </c>
      <c r="O1318" s="85" t="n">
        <v>3000</v>
      </c>
      <c r="P1318" s="86" t="n">
        <v>0</v>
      </c>
      <c r="Q1318" s="86" t="n">
        <v>72</v>
      </c>
      <c r="R1318" s="132" t="n">
        <v>0</v>
      </c>
      <c r="S1318" s="128" t="n">
        <v>0</v>
      </c>
      <c r="T1318" s="132" t="n">
        <v>148</v>
      </c>
      <c r="U1318" s="128" t="n">
        <v>8</v>
      </c>
      <c r="V1318" s="128" t="n">
        <v>1</v>
      </c>
      <c r="W1318" s="90" t="n">
        <f aca="false">IFERROR(O1318/V1318,0)</f>
        <v>3000</v>
      </c>
      <c r="X1318" s="91" t="n">
        <f aca="false">O1318/L1318</f>
        <v>1.16550116550117</v>
      </c>
      <c r="Y1318" s="92" t="str">
        <f aca="false">IFERROR(VLOOKUP(E:E,'Item Data Support Sheet'!A:J,6,0),0)</f>
        <v>WMG3B</v>
      </c>
      <c r="Z1318" s="93" t="n">
        <f aca="false">IFERROR(VLOOKUP(E:E,'Item Data Support Sheet'!A:O,4,0),0)</f>
        <v>33.13</v>
      </c>
      <c r="AA1318" s="93" t="n">
        <f aca="false">IFERROR(((N1318)*(Z1318/1000))+P1318,0)</f>
        <v>106.94364</v>
      </c>
      <c r="AB1318" s="94" t="n">
        <f aca="false">IFERROR((O1318*(Z1318/1000)/(AA1318))," ")</f>
        <v>0.929368029739777</v>
      </c>
      <c r="AC1318" s="95" t="n">
        <f aca="false">IFERROR((T1318)/((T1318)+O1318),0)</f>
        <v>0.0470139771283355</v>
      </c>
      <c r="AD1318" s="96" t="n">
        <f aca="false">IFERROR(Q1318/(Q1318+N1318),0)</f>
        <v>0.0218181818181818</v>
      </c>
      <c r="AE1318" s="91" t="n">
        <f aca="false">(N1318-T1318)/N1318</f>
        <v>0.954151177199504</v>
      </c>
      <c r="AF1318" s="97" t="n">
        <f aca="false">BR1318</f>
        <v>0</v>
      </c>
      <c r="AG1318" s="98" t="n">
        <f aca="false">K1318-AF1318</f>
        <v>8</v>
      </c>
      <c r="AH1318" s="99" t="n">
        <f aca="false">IFERROR(AG1318/K1318," ")</f>
        <v>1</v>
      </c>
      <c r="AI1318" s="100" t="n">
        <f aca="false">IFERROR(O1318/K1318,0)</f>
        <v>375</v>
      </c>
      <c r="AJ1318" s="101" t="n">
        <f aca="false">VLOOKUP(D1318,'Standard Cycle time'!C:D,2,0)</f>
        <v>9</v>
      </c>
      <c r="AK1318" s="101" t="n">
        <f aca="false">AG1318*V1318*3600/O1318</f>
        <v>9.6</v>
      </c>
      <c r="AL1318" s="102" t="n">
        <f aca="false">AJ1318/AK1318</f>
        <v>0.9375</v>
      </c>
      <c r="AM1318" s="99" t="n">
        <f aca="false">AE1318*AL1318*AH1318</f>
        <v>0.894516728624535</v>
      </c>
      <c r="AN1318" s="103" t="n">
        <v>0.894516728624535</v>
      </c>
      <c r="AO1318" s="112"/>
      <c r="AP1318" s="105" t="n">
        <v>0</v>
      </c>
      <c r="AQ1318" s="105" t="n">
        <v>0</v>
      </c>
      <c r="AR1318" s="105" t="n">
        <v>0</v>
      </c>
      <c r="AS1318" s="105" t="n">
        <v>0</v>
      </c>
      <c r="AT1318" s="105" t="n">
        <v>0</v>
      </c>
      <c r="AU1318" s="105" t="n">
        <v>0</v>
      </c>
      <c r="AV1318" s="105" t="n">
        <v>0</v>
      </c>
      <c r="AW1318" s="105" t="n">
        <v>0</v>
      </c>
      <c r="AX1318" s="105" t="n">
        <v>0</v>
      </c>
      <c r="AY1318" s="105" t="n">
        <v>0</v>
      </c>
      <c r="AZ1318" s="105" t="n">
        <v>0</v>
      </c>
      <c r="BA1318" s="105" t="n">
        <v>0</v>
      </c>
      <c r="BB1318" s="105" t="n">
        <v>0</v>
      </c>
      <c r="BC1318" s="105" t="n">
        <v>0</v>
      </c>
      <c r="BD1318" s="105" t="n">
        <v>0</v>
      </c>
      <c r="BE1318" s="105" t="n">
        <v>0</v>
      </c>
      <c r="BF1318" s="105" t="n">
        <v>0</v>
      </c>
      <c r="BG1318" s="105" t="n">
        <v>0</v>
      </c>
      <c r="BH1318" s="105" t="n">
        <v>0</v>
      </c>
      <c r="BI1318" s="105" t="n">
        <v>0</v>
      </c>
      <c r="BJ1318" s="105" t="n">
        <v>0</v>
      </c>
      <c r="BK1318" s="105" t="n">
        <v>0</v>
      </c>
      <c r="BL1318" s="105" t="n">
        <v>0</v>
      </c>
      <c r="BM1318" s="105" t="n">
        <v>0</v>
      </c>
      <c r="BN1318" s="105" t="n">
        <v>0</v>
      </c>
      <c r="BO1318" s="105" t="n">
        <v>0</v>
      </c>
      <c r="BP1318" s="105" t="n">
        <v>0</v>
      </c>
      <c r="BQ1318" s="105" t="n">
        <v>0</v>
      </c>
      <c r="BR1318" s="106" t="n">
        <v>0</v>
      </c>
      <c r="BS1318" s="106" t="n">
        <v>0</v>
      </c>
      <c r="BT1318" s="107"/>
      <c r="BU1318" s="107"/>
      <c r="BV1318" s="107"/>
      <c r="BW1318" s="107"/>
      <c r="BX1318" s="107"/>
      <c r="BY1318" s="107"/>
      <c r="BZ1318" s="107"/>
      <c r="CA1318" s="107"/>
      <c r="CB1318" s="107"/>
      <c r="CC1318" s="107"/>
      <c r="CD1318" s="107"/>
      <c r="CE1318" s="107"/>
      <c r="CF1318" s="107"/>
      <c r="CG1318" s="107"/>
      <c r="CH1318" s="107"/>
      <c r="CI1318" s="107"/>
      <c r="CJ1318" s="107"/>
      <c r="CK1318" s="107"/>
      <c r="CL1318" s="107"/>
      <c r="CM1318" s="107"/>
      <c r="CN1318" s="107"/>
      <c r="CO1318" s="107"/>
      <c r="CP1318" s="107"/>
      <c r="CQ1318" s="107"/>
      <c r="CR1318" s="107"/>
      <c r="CS1318" s="107"/>
      <c r="CT1318" s="107"/>
      <c r="CU1318" s="107"/>
      <c r="CV1318" s="107"/>
    </row>
    <row r="1319" customFormat="false" ht="14.9" hidden="false" customHeight="false" outlineLevel="0" collapsed="false">
      <c r="A1319" s="74" t="n">
        <f aca="false">MONTH(B1319)</f>
        <v>11</v>
      </c>
      <c r="B1319" s="135" t="n">
        <v>44519</v>
      </c>
      <c r="C1319" s="128" t="s">
        <v>152</v>
      </c>
      <c r="D1319" s="77" t="str">
        <f aca="false">IFERROR(VLOOKUP(E:E,'Item Data Support Sheet'!A:O,7,0),"")</f>
        <v>BOTTLE MOLDED</v>
      </c>
      <c r="E1319" s="80" t="s">
        <v>879</v>
      </c>
      <c r="F1319" s="122" t="s">
        <v>589</v>
      </c>
      <c r="G1319" s="137" t="s">
        <v>74</v>
      </c>
      <c r="H1319" s="79" t="str">
        <f aca="false">IFERROR(VLOOKUP(E:E,'Item Data Support Sheet'!A:O,2,0),"")</f>
        <v>RPP 240ML BLUE BOTTLE MOLDED (WM3GB)</v>
      </c>
      <c r="I1319" s="80" t="s">
        <v>2114</v>
      </c>
      <c r="J1319" s="80" t="s">
        <v>1913</v>
      </c>
      <c r="K1319" s="124" t="n">
        <v>8</v>
      </c>
      <c r="L1319" s="124" t="n">
        <v>2574</v>
      </c>
      <c r="M1319" s="83" t="n">
        <v>321.75</v>
      </c>
      <c r="N1319" s="84" t="n">
        <f aca="false">+O1319+Q1319+T1319+U1319</f>
        <v>3011</v>
      </c>
      <c r="O1319" s="85" t="n">
        <v>2880</v>
      </c>
      <c r="P1319" s="86" t="n">
        <v>0.5</v>
      </c>
      <c r="Q1319" s="86" t="n">
        <v>46</v>
      </c>
      <c r="R1319" s="132" t="n">
        <v>0</v>
      </c>
      <c r="S1319" s="128" t="n">
        <v>0</v>
      </c>
      <c r="T1319" s="132" t="n">
        <v>77</v>
      </c>
      <c r="U1319" s="128" t="n">
        <v>8</v>
      </c>
      <c r="V1319" s="128" t="n">
        <v>1</v>
      </c>
      <c r="W1319" s="90" t="n">
        <f aca="false">IFERROR(O1319/V1319,0)</f>
        <v>2880</v>
      </c>
      <c r="X1319" s="91" t="n">
        <f aca="false">O1319/L1319</f>
        <v>1.11888111888112</v>
      </c>
      <c r="Y1319" s="92" t="str">
        <f aca="false">IFERROR(VLOOKUP(E:E,'Item Data Support Sheet'!A:J,6,0),0)</f>
        <v>WMG3B</v>
      </c>
      <c r="Z1319" s="93" t="n">
        <f aca="false">IFERROR(VLOOKUP(E:E,'Item Data Support Sheet'!A:O,4,0),0)</f>
        <v>33.13</v>
      </c>
      <c r="AA1319" s="93" t="n">
        <f aca="false">IFERROR(((N1319)*(Z1319/1000))+P1319,0)</f>
        <v>100.25443</v>
      </c>
      <c r="AB1319" s="94" t="n">
        <f aca="false">IFERROR((O1319*(Z1319/1000)/(AA1319))," ")</f>
        <v>0.951722532360914</v>
      </c>
      <c r="AC1319" s="95" t="n">
        <f aca="false">IFERROR((T1319)/((T1319)+O1319),0)</f>
        <v>0.0260399053094352</v>
      </c>
      <c r="AD1319" s="96" t="n">
        <f aca="false">IFERROR(Q1319/(Q1319+N1319),0)</f>
        <v>0.0150474321229964</v>
      </c>
      <c r="AE1319" s="91" t="n">
        <f aca="false">(N1319-T1319)/N1319</f>
        <v>0.974427100631019</v>
      </c>
      <c r="AF1319" s="97" t="n">
        <f aca="false">BR1319</f>
        <v>0</v>
      </c>
      <c r="AG1319" s="98" t="n">
        <f aca="false">K1319-AF1319</f>
        <v>8</v>
      </c>
      <c r="AH1319" s="99" t="n">
        <f aca="false">IFERROR(AG1319/K1319," ")</f>
        <v>1</v>
      </c>
      <c r="AI1319" s="100" t="n">
        <f aca="false">IFERROR(O1319/K1319,0)</f>
        <v>360</v>
      </c>
      <c r="AJ1319" s="101" t="n">
        <f aca="false">VLOOKUP(D1319,'Standard Cycle time'!C:D,2,0)</f>
        <v>9</v>
      </c>
      <c r="AK1319" s="101" t="n">
        <f aca="false">AG1319*V1319*3600/O1319</f>
        <v>10</v>
      </c>
      <c r="AL1319" s="102" t="n">
        <f aca="false">AJ1319/AK1319</f>
        <v>0.9</v>
      </c>
      <c r="AM1319" s="99" t="n">
        <f aca="false">AE1319*AL1319*AH1319</f>
        <v>0.876984390567918</v>
      </c>
      <c r="AN1319" s="103" t="n">
        <v>0.876984390567918</v>
      </c>
      <c r="AO1319" s="112"/>
      <c r="AP1319" s="105" t="n">
        <v>0</v>
      </c>
      <c r="AQ1319" s="105" t="n">
        <v>0</v>
      </c>
      <c r="AR1319" s="105" t="n">
        <v>0</v>
      </c>
      <c r="AS1319" s="105" t="n">
        <v>0</v>
      </c>
      <c r="AT1319" s="105" t="n">
        <v>0</v>
      </c>
      <c r="AU1319" s="105" t="n">
        <v>0</v>
      </c>
      <c r="AV1319" s="105" t="n">
        <v>0</v>
      </c>
      <c r="AW1319" s="105" t="n">
        <v>0</v>
      </c>
      <c r="AX1319" s="105" t="n">
        <v>0</v>
      </c>
      <c r="AY1319" s="105" t="n">
        <v>0</v>
      </c>
      <c r="AZ1319" s="105" t="n">
        <v>0</v>
      </c>
      <c r="BA1319" s="105" t="n">
        <v>0</v>
      </c>
      <c r="BB1319" s="105" t="n">
        <v>0</v>
      </c>
      <c r="BC1319" s="105" t="n">
        <v>0</v>
      </c>
      <c r="BD1319" s="105" t="n">
        <v>0</v>
      </c>
      <c r="BE1319" s="105" t="n">
        <v>0</v>
      </c>
      <c r="BF1319" s="105" t="n">
        <v>0</v>
      </c>
      <c r="BG1319" s="105" t="n">
        <v>0</v>
      </c>
      <c r="BH1319" s="105" t="n">
        <v>0</v>
      </c>
      <c r="BI1319" s="105" t="n">
        <v>0</v>
      </c>
      <c r="BJ1319" s="105" t="n">
        <v>0</v>
      </c>
      <c r="BK1319" s="105" t="n">
        <v>0</v>
      </c>
      <c r="BL1319" s="105" t="n">
        <v>0</v>
      </c>
      <c r="BM1319" s="105" t="n">
        <v>0</v>
      </c>
      <c r="BN1319" s="105" t="n">
        <v>0</v>
      </c>
      <c r="BO1319" s="105" t="n">
        <v>0</v>
      </c>
      <c r="BP1319" s="105" t="n">
        <v>0</v>
      </c>
      <c r="BQ1319" s="105" t="n">
        <v>0</v>
      </c>
      <c r="BR1319" s="106" t="n">
        <v>0</v>
      </c>
      <c r="BS1319" s="106" t="n">
        <v>0</v>
      </c>
      <c r="BT1319" s="107"/>
      <c r="BU1319" s="107"/>
      <c r="BV1319" s="107"/>
      <c r="BW1319" s="107"/>
      <c r="BX1319" s="107"/>
      <c r="BY1319" s="107"/>
      <c r="BZ1319" s="107"/>
      <c r="CA1319" s="107"/>
      <c r="CB1319" s="107"/>
      <c r="CC1319" s="107"/>
      <c r="CD1319" s="107"/>
      <c r="CE1319" s="107"/>
      <c r="CF1319" s="107"/>
      <c r="CG1319" s="107"/>
      <c r="CH1319" s="107"/>
      <c r="CI1319" s="107"/>
      <c r="CJ1319" s="107"/>
      <c r="CK1319" s="107"/>
      <c r="CL1319" s="107"/>
      <c r="CM1319" s="107"/>
      <c r="CN1319" s="107"/>
      <c r="CO1319" s="107"/>
      <c r="CP1319" s="107"/>
      <c r="CQ1319" s="107"/>
      <c r="CR1319" s="107"/>
      <c r="CS1319" s="107"/>
      <c r="CT1319" s="107"/>
      <c r="CU1319" s="107"/>
      <c r="CV1319" s="107"/>
    </row>
    <row r="1320" customFormat="false" ht="14.9" hidden="false" customHeight="false" outlineLevel="0" collapsed="false">
      <c r="A1320" s="74" t="n">
        <f aca="false">MONTH(B1320)</f>
        <v>11</v>
      </c>
      <c r="B1320" s="135" t="n">
        <v>44519</v>
      </c>
      <c r="C1320" s="128" t="s">
        <v>152</v>
      </c>
      <c r="D1320" s="77" t="str">
        <f aca="false">IFERROR(VLOOKUP(E:E,'Item Data Support Sheet'!A:O,7,0),"")</f>
        <v>NIPPLE MOLDED</v>
      </c>
      <c r="E1320" s="80" t="s">
        <v>661</v>
      </c>
      <c r="F1320" s="122" t="s">
        <v>137</v>
      </c>
      <c r="G1320" s="137" t="s">
        <v>138</v>
      </c>
      <c r="H1320" s="79" t="str">
        <f aca="false">IFERROR(VLOOKUP(E:E,'Item Data Support Sheet'!A:O,2,0),"")</f>
        <v>NIPPLE S TYPE L SIZE INJECTION</v>
      </c>
      <c r="I1320" s="80" t="s">
        <v>2115</v>
      </c>
      <c r="J1320" s="80" t="s">
        <v>1913</v>
      </c>
      <c r="K1320" s="124" t="n">
        <v>8</v>
      </c>
      <c r="L1320" s="124" t="n">
        <v>4815</v>
      </c>
      <c r="M1320" s="83" t="n">
        <v>601.875</v>
      </c>
      <c r="N1320" s="84" t="n">
        <f aca="false">+O1320+Q1320+T1320+U1320</f>
        <v>5761</v>
      </c>
      <c r="O1320" s="85" t="n">
        <v>5700</v>
      </c>
      <c r="P1320" s="86" t="n">
        <v>0</v>
      </c>
      <c r="Q1320" s="86" t="n">
        <v>0</v>
      </c>
      <c r="R1320" s="132" t="n">
        <v>0</v>
      </c>
      <c r="S1320" s="128" t="n">
        <v>0</v>
      </c>
      <c r="T1320" s="132" t="n">
        <v>45</v>
      </c>
      <c r="U1320" s="128" t="n">
        <v>16</v>
      </c>
      <c r="V1320" s="128" t="n">
        <v>1</v>
      </c>
      <c r="W1320" s="90" t="n">
        <f aca="false">IFERROR(O1320/V1320,0)</f>
        <v>5700</v>
      </c>
      <c r="X1320" s="91" t="n">
        <f aca="false">O1320/L1320</f>
        <v>1.18380062305296</v>
      </c>
      <c r="Y1320" s="92" t="str">
        <f aca="false">IFERROR(VLOOKUP(E:E,'Item Data Support Sheet'!A:J,6,0),0)</f>
        <v>Silicon</v>
      </c>
      <c r="Z1320" s="93" t="n">
        <f aca="false">IFERROR(VLOOKUP(E:E,'Item Data Support Sheet'!A:O,4,0),0)</f>
        <v>6.8</v>
      </c>
      <c r="AA1320" s="93" t="n">
        <f aca="false">IFERROR(((N1320)*(Z1320/1000))+P1320,0)</f>
        <v>39.1748</v>
      </c>
      <c r="AB1320" s="94" t="n">
        <f aca="false">IFERROR((O1320*(Z1320/1000)/(AA1320))," ")</f>
        <v>0.98941156049297</v>
      </c>
      <c r="AC1320" s="95" t="n">
        <f aca="false">IFERROR((T1320)/((T1320)+O1320),0)</f>
        <v>0.00783289817232376</v>
      </c>
      <c r="AD1320" s="96" t="n">
        <f aca="false">IFERROR(Q1320/(Q1320+N1320),0)</f>
        <v>0</v>
      </c>
      <c r="AE1320" s="91" t="n">
        <f aca="false">(N1320-T1320)/N1320</f>
        <v>0.992188856101371</v>
      </c>
      <c r="AF1320" s="97" t="n">
        <f aca="false">BR1320</f>
        <v>0</v>
      </c>
      <c r="AG1320" s="98" t="n">
        <f aca="false">K1320-AF1320</f>
        <v>8</v>
      </c>
      <c r="AH1320" s="99" t="n">
        <f aca="false">IFERROR(AG1320/K1320," ")</f>
        <v>1</v>
      </c>
      <c r="AI1320" s="100" t="n">
        <f aca="false">IFERROR(O1320/K1320,0)</f>
        <v>712.5</v>
      </c>
      <c r="AJ1320" s="101" t="n">
        <f aca="false">VLOOKUP(D1320,'Standard Cycle time'!C:D,2,0)</f>
        <v>5.25</v>
      </c>
      <c r="AK1320" s="101" t="n">
        <f aca="false">AG1320*V1320*3600/O1320</f>
        <v>5.05263157894737</v>
      </c>
      <c r="AL1320" s="102" t="n">
        <f aca="false">AJ1320/AK1320</f>
        <v>1.0390625</v>
      </c>
      <c r="AM1320" s="99" t="n">
        <f aca="false">AE1320*AL1320*AH1320</f>
        <v>1.03094623329283</v>
      </c>
      <c r="AN1320" s="103" t="n">
        <v>1.03094623329283</v>
      </c>
      <c r="AO1320" s="112"/>
      <c r="AP1320" s="105" t="n">
        <v>0</v>
      </c>
      <c r="AQ1320" s="105" t="n">
        <v>0</v>
      </c>
      <c r="AR1320" s="105" t="n">
        <v>0</v>
      </c>
      <c r="AS1320" s="105" t="n">
        <v>0</v>
      </c>
      <c r="AT1320" s="105" t="n">
        <v>0</v>
      </c>
      <c r="AU1320" s="105" t="n">
        <v>0</v>
      </c>
      <c r="AV1320" s="105" t="n">
        <v>0</v>
      </c>
      <c r="AW1320" s="105" t="n">
        <v>0</v>
      </c>
      <c r="AX1320" s="105" t="n">
        <v>0</v>
      </c>
      <c r="AY1320" s="105" t="n">
        <v>0</v>
      </c>
      <c r="AZ1320" s="105" t="n">
        <v>0</v>
      </c>
      <c r="BA1320" s="105" t="n">
        <v>0</v>
      </c>
      <c r="BB1320" s="105" t="n">
        <v>0</v>
      </c>
      <c r="BC1320" s="105" t="n">
        <v>0</v>
      </c>
      <c r="BD1320" s="105" t="n">
        <v>0</v>
      </c>
      <c r="BE1320" s="105" t="n">
        <v>0</v>
      </c>
      <c r="BF1320" s="105" t="n">
        <v>0</v>
      </c>
      <c r="BG1320" s="105" t="n">
        <v>0</v>
      </c>
      <c r="BH1320" s="105" t="n">
        <v>0</v>
      </c>
      <c r="BI1320" s="105" t="n">
        <v>0</v>
      </c>
      <c r="BJ1320" s="105" t="n">
        <v>0</v>
      </c>
      <c r="BK1320" s="105" t="n">
        <v>0</v>
      </c>
      <c r="BL1320" s="105" t="n">
        <v>0</v>
      </c>
      <c r="BM1320" s="105" t="n">
        <v>0</v>
      </c>
      <c r="BN1320" s="105" t="n">
        <v>0</v>
      </c>
      <c r="BO1320" s="105" t="n">
        <v>0</v>
      </c>
      <c r="BP1320" s="105" t="n">
        <v>0</v>
      </c>
      <c r="BQ1320" s="105" t="n">
        <v>0</v>
      </c>
      <c r="BR1320" s="106" t="n">
        <v>0</v>
      </c>
      <c r="BS1320" s="106" t="n">
        <v>0</v>
      </c>
      <c r="BT1320" s="107"/>
      <c r="BU1320" s="107"/>
      <c r="BV1320" s="107"/>
      <c r="BW1320" s="107"/>
      <c r="BX1320" s="107"/>
      <c r="BY1320" s="107"/>
      <c r="BZ1320" s="107"/>
      <c r="CA1320" s="107"/>
      <c r="CB1320" s="107"/>
      <c r="CC1320" s="107"/>
      <c r="CD1320" s="107"/>
      <c r="CE1320" s="107"/>
      <c r="CF1320" s="107"/>
      <c r="CG1320" s="107"/>
      <c r="CH1320" s="107"/>
      <c r="CI1320" s="107"/>
      <c r="CJ1320" s="107"/>
      <c r="CK1320" s="107"/>
      <c r="CL1320" s="107"/>
      <c r="CM1320" s="107"/>
      <c r="CN1320" s="107"/>
      <c r="CO1320" s="107"/>
      <c r="CP1320" s="107"/>
      <c r="CQ1320" s="107"/>
      <c r="CR1320" s="107"/>
      <c r="CS1320" s="107"/>
      <c r="CT1320" s="107"/>
      <c r="CU1320" s="107"/>
      <c r="CV1320" s="107"/>
    </row>
    <row r="1321" customFormat="false" ht="14.9" hidden="false" customHeight="false" outlineLevel="0" collapsed="false">
      <c r="A1321" s="74" t="n">
        <f aca="false">MONTH(B1321)</f>
        <v>11</v>
      </c>
      <c r="B1321" s="135" t="n">
        <v>44519</v>
      </c>
      <c r="C1321" s="128" t="s">
        <v>152</v>
      </c>
      <c r="D1321" s="77" t="str">
        <f aca="false">IFERROR(VLOOKUP(E:E,'Item Data Support Sheet'!A:O,7,0),"")</f>
        <v>HOOD MOLDED</v>
      </c>
      <c r="E1321" s="80" t="s">
        <v>529</v>
      </c>
      <c r="F1321" s="122"/>
      <c r="G1321" s="137" t="s">
        <v>740</v>
      </c>
      <c r="H1321" s="79" t="str">
        <f aca="false">IFERROR(VLOOKUP(E:E,'Item Data Support Sheet'!A:O,2,0),"")</f>
        <v>HOOD S TYPE MOLDED</v>
      </c>
      <c r="I1321" s="80" t="s">
        <v>2116</v>
      </c>
      <c r="J1321" s="80" t="s">
        <v>1913</v>
      </c>
      <c r="K1321" s="124" t="n">
        <v>8</v>
      </c>
      <c r="L1321" s="124" t="n">
        <v>4137</v>
      </c>
      <c r="M1321" s="83" t="n">
        <v>517.125</v>
      </c>
      <c r="N1321" s="84" t="n">
        <f aca="false">+O1321+Q1321+T1321+U1321</f>
        <v>4818</v>
      </c>
      <c r="O1321" s="85" t="n">
        <v>4800</v>
      </c>
      <c r="P1321" s="86" t="n">
        <v>0</v>
      </c>
      <c r="Q1321" s="86" t="n">
        <v>0</v>
      </c>
      <c r="R1321" s="132" t="n">
        <v>0</v>
      </c>
      <c r="S1321" s="128" t="n">
        <v>0</v>
      </c>
      <c r="T1321" s="132" t="n">
        <v>10</v>
      </c>
      <c r="U1321" s="128" t="n">
        <v>8</v>
      </c>
      <c r="V1321" s="128" t="n">
        <v>1</v>
      </c>
      <c r="W1321" s="90" t="n">
        <f aca="false">IFERROR(O1321/V1321,0)</f>
        <v>4800</v>
      </c>
      <c r="X1321" s="91" t="n">
        <f aca="false">O1321/L1321</f>
        <v>1.16026105873822</v>
      </c>
      <c r="Y1321" s="92" t="str">
        <f aca="false">IFERROR(VLOOKUP(E:E,'Item Data Support Sheet'!A:J,6,0),0)</f>
        <v>HMC</v>
      </c>
      <c r="Z1321" s="93" t="n">
        <f aca="false">IFERROR(VLOOKUP(E:E,'Item Data Support Sheet'!A:O,4,0),0)</f>
        <v>8.6</v>
      </c>
      <c r="AA1321" s="93" t="n">
        <f aca="false">IFERROR(((N1321)*(Z1321/1000))+P1321,0)</f>
        <v>41.4348</v>
      </c>
      <c r="AB1321" s="94" t="n">
        <f aca="false">IFERROR((O1321*(Z1321/1000)/(AA1321))," ")</f>
        <v>0.99626400996264</v>
      </c>
      <c r="AC1321" s="95" t="n">
        <f aca="false">IFERROR((T1321)/((T1321)+O1321),0)</f>
        <v>0.00207900207900208</v>
      </c>
      <c r="AD1321" s="96" t="n">
        <f aca="false">IFERROR(Q1321/(Q1321+N1321),0)</f>
        <v>0</v>
      </c>
      <c r="AE1321" s="91" t="n">
        <f aca="false">(N1321-T1321)/N1321</f>
        <v>0.997924449979244</v>
      </c>
      <c r="AF1321" s="97" t="n">
        <f aca="false">BR1321</f>
        <v>0</v>
      </c>
      <c r="AG1321" s="98" t="n">
        <f aca="false">K1321-AF1321</f>
        <v>8</v>
      </c>
      <c r="AH1321" s="99" t="n">
        <f aca="false">IFERROR(AG1321/K1321," ")</f>
        <v>1</v>
      </c>
      <c r="AI1321" s="100" t="n">
        <f aca="false">IFERROR(O1321/K1321,0)</f>
        <v>600</v>
      </c>
      <c r="AJ1321" s="101" t="n">
        <f aca="false">VLOOKUP(D1321,'Standard Cycle time'!C:D,2,0)</f>
        <v>6</v>
      </c>
      <c r="AK1321" s="101" t="n">
        <f aca="false">AG1321*V1321*3600/O1321</f>
        <v>6</v>
      </c>
      <c r="AL1321" s="102" t="n">
        <f aca="false">AJ1321/AK1321</f>
        <v>1</v>
      </c>
      <c r="AM1321" s="99" t="n">
        <f aca="false">AE1321*AL1321*AH1321</f>
        <v>0.997924449979244</v>
      </c>
      <c r="AN1321" s="103" t="n">
        <v>0.997924449979245</v>
      </c>
      <c r="AO1321" s="112"/>
      <c r="AP1321" s="105" t="n">
        <v>0</v>
      </c>
      <c r="AQ1321" s="105" t="n">
        <v>0</v>
      </c>
      <c r="AR1321" s="105" t="n">
        <v>0</v>
      </c>
      <c r="AS1321" s="105" t="n">
        <v>0</v>
      </c>
      <c r="AT1321" s="105" t="n">
        <v>0</v>
      </c>
      <c r="AU1321" s="105" t="n">
        <v>0</v>
      </c>
      <c r="AV1321" s="105" t="n">
        <v>0</v>
      </c>
      <c r="AW1321" s="105" t="n">
        <v>0</v>
      </c>
      <c r="AX1321" s="105" t="n">
        <v>0</v>
      </c>
      <c r="AY1321" s="105" t="n">
        <v>0</v>
      </c>
      <c r="AZ1321" s="105" t="n">
        <v>0</v>
      </c>
      <c r="BA1321" s="105" t="n">
        <v>0</v>
      </c>
      <c r="BB1321" s="105" t="n">
        <v>0</v>
      </c>
      <c r="BC1321" s="105" t="n">
        <v>0</v>
      </c>
      <c r="BD1321" s="105" t="n">
        <v>0</v>
      </c>
      <c r="BE1321" s="105" t="n">
        <v>0</v>
      </c>
      <c r="BF1321" s="105" t="n">
        <v>0</v>
      </c>
      <c r="BG1321" s="105" t="n">
        <v>0</v>
      </c>
      <c r="BH1321" s="105" t="n">
        <v>0</v>
      </c>
      <c r="BI1321" s="105" t="n">
        <v>0</v>
      </c>
      <c r="BJ1321" s="105" t="n">
        <v>0</v>
      </c>
      <c r="BK1321" s="105" t="n">
        <v>0</v>
      </c>
      <c r="BL1321" s="105" t="n">
        <v>0</v>
      </c>
      <c r="BM1321" s="105" t="n">
        <v>0</v>
      </c>
      <c r="BN1321" s="105" t="n">
        <v>0</v>
      </c>
      <c r="BO1321" s="105" t="n">
        <v>0</v>
      </c>
      <c r="BP1321" s="105" t="n">
        <v>0</v>
      </c>
      <c r="BQ1321" s="105" t="n">
        <v>0</v>
      </c>
      <c r="BR1321" s="106" t="n">
        <v>0</v>
      </c>
      <c r="BS1321" s="106" t="n">
        <v>0</v>
      </c>
      <c r="BT1321" s="107"/>
      <c r="BU1321" s="107"/>
      <c r="BV1321" s="107"/>
      <c r="BW1321" s="107"/>
      <c r="BX1321" s="107"/>
      <c r="BY1321" s="107"/>
      <c r="BZ1321" s="107"/>
      <c r="CA1321" s="107"/>
      <c r="CB1321" s="107"/>
      <c r="CC1321" s="107"/>
      <c r="CD1321" s="107"/>
      <c r="CE1321" s="107"/>
      <c r="CF1321" s="107"/>
      <c r="CG1321" s="107"/>
      <c r="CH1321" s="107"/>
      <c r="CI1321" s="107"/>
      <c r="CJ1321" s="107"/>
      <c r="CK1321" s="107"/>
      <c r="CL1321" s="107"/>
      <c r="CM1321" s="107"/>
      <c r="CN1321" s="107"/>
      <c r="CO1321" s="107"/>
      <c r="CP1321" s="107"/>
      <c r="CQ1321" s="107"/>
      <c r="CR1321" s="107"/>
      <c r="CS1321" s="107"/>
      <c r="CT1321" s="107"/>
      <c r="CU1321" s="107"/>
      <c r="CV1321" s="107"/>
    </row>
    <row r="1322" customFormat="false" ht="14.9" hidden="false" customHeight="false" outlineLevel="0" collapsed="false">
      <c r="A1322" s="74" t="n">
        <f aca="false">MONTH(B1322)</f>
        <v>11</v>
      </c>
      <c r="B1322" s="135" t="n">
        <v>44519</v>
      </c>
      <c r="C1322" s="128" t="s">
        <v>152</v>
      </c>
      <c r="D1322" s="77" t="str">
        <f aca="false">IFERROR(VLOOKUP(E:E,'Item Data Support Sheet'!A:O,7,0),"")</f>
        <v>NIPPLE PUNCH</v>
      </c>
      <c r="E1322" s="80" t="s">
        <v>666</v>
      </c>
      <c r="F1322" s="122"/>
      <c r="G1322" s="137" t="s">
        <v>54</v>
      </c>
      <c r="H1322" s="79" t="str">
        <f aca="false">IFERROR(VLOOKUP(E:E,'Item Data Support Sheet'!A:O,2,0),"")</f>
        <v>NIPPLE S TYPE L SIZE PUNCHED</v>
      </c>
      <c r="I1322" s="80" t="s">
        <v>2117</v>
      </c>
      <c r="J1322" s="80" t="s">
        <v>1913</v>
      </c>
      <c r="K1322" s="124" t="n">
        <v>8</v>
      </c>
      <c r="L1322" s="124" t="n">
        <v>7000</v>
      </c>
      <c r="M1322" s="83" t="n">
        <v>875</v>
      </c>
      <c r="N1322" s="84" t="n">
        <f aca="false">+O1322+Q1322+T1322+U1322</f>
        <v>7200</v>
      </c>
      <c r="O1322" s="85" t="n">
        <v>7200</v>
      </c>
      <c r="P1322" s="86" t="n">
        <v>0</v>
      </c>
      <c r="Q1322" s="86" t="n">
        <v>0</v>
      </c>
      <c r="R1322" s="132" t="n">
        <v>0</v>
      </c>
      <c r="S1322" s="128" t="n">
        <v>0</v>
      </c>
      <c r="T1322" s="132" t="n">
        <v>0</v>
      </c>
      <c r="U1322" s="128" t="n">
        <v>0</v>
      </c>
      <c r="V1322" s="128" t="n">
        <v>1</v>
      </c>
      <c r="W1322" s="90" t="n">
        <f aca="false">IFERROR(O1322/V1322,0)</f>
        <v>7200</v>
      </c>
      <c r="X1322" s="91" t="n">
        <f aca="false">O1322/L1322</f>
        <v>1.02857142857143</v>
      </c>
      <c r="Y1322" s="92" t="str">
        <f aca="false">IFERROR(VLOOKUP(E:E,'Item Data Support Sheet'!A:J,6,0),0)</f>
        <v>FO017</v>
      </c>
      <c r="Z1322" s="93" t="n">
        <f aca="false">IFERROR(VLOOKUP(E:E,'Item Data Support Sheet'!A:O,4,0),0)</f>
        <v>0</v>
      </c>
      <c r="AA1322" s="93" t="n">
        <f aca="false">IFERROR(((N1322)*(Z1322/1000))+P1322,0)</f>
        <v>0</v>
      </c>
      <c r="AB1322" s="94" t="str">
        <f aca="false">IFERROR((O1322*(Z1322/1000)/(AA1322))," ")</f>
        <v> </v>
      </c>
      <c r="AC1322" s="95" t="n">
        <f aca="false">IFERROR((T1322)/((T1322)+O1322),0)</f>
        <v>0</v>
      </c>
      <c r="AD1322" s="96" t="n">
        <f aca="false">IFERROR(Q1322/(Q1322+N1322),0)</f>
        <v>0</v>
      </c>
      <c r="AE1322" s="91" t="n">
        <f aca="false">(N1322-T1322)/N1322</f>
        <v>1</v>
      </c>
      <c r="AF1322" s="97" t="n">
        <f aca="false">BR1322</f>
        <v>0.333333333333333</v>
      </c>
      <c r="AG1322" s="98" t="n">
        <f aca="false">K1322-AF1322</f>
        <v>7.66666666666667</v>
      </c>
      <c r="AH1322" s="99" t="n">
        <f aca="false">IFERROR(AG1322/K1322," ")</f>
        <v>0.958333333333333</v>
      </c>
      <c r="AI1322" s="100" t="n">
        <f aca="false">IFERROR(O1322/K1322,0)</f>
        <v>900</v>
      </c>
      <c r="AJ1322" s="101" t="n">
        <f aca="false">VLOOKUP(D1322,'Standard Cycle time'!C:D,2,0)</f>
        <v>3.5</v>
      </c>
      <c r="AK1322" s="101" t="n">
        <f aca="false">AG1322*V1322*3600/O1322</f>
        <v>3.83333333333333</v>
      </c>
      <c r="AL1322" s="102" t="n">
        <f aca="false">AJ1322/AK1322</f>
        <v>0.91304347826087</v>
      </c>
      <c r="AM1322" s="99" t="n">
        <f aca="false">AE1322*AL1322*AH1322</f>
        <v>0.875</v>
      </c>
      <c r="AN1322" s="103" t="n">
        <v>0.875</v>
      </c>
      <c r="AO1322" s="112"/>
      <c r="AP1322" s="105" t="n">
        <v>20</v>
      </c>
      <c r="AQ1322" s="105" t="n">
        <v>0</v>
      </c>
      <c r="AR1322" s="105" t="n">
        <v>0</v>
      </c>
      <c r="AS1322" s="105" t="n">
        <v>0</v>
      </c>
      <c r="AT1322" s="105" t="n">
        <v>0</v>
      </c>
      <c r="AU1322" s="105" t="n">
        <v>0</v>
      </c>
      <c r="AV1322" s="105" t="n">
        <v>0</v>
      </c>
      <c r="AW1322" s="105" t="n">
        <v>0</v>
      </c>
      <c r="AX1322" s="105" t="n">
        <v>0</v>
      </c>
      <c r="AY1322" s="105" t="n">
        <v>0</v>
      </c>
      <c r="AZ1322" s="105" t="n">
        <v>0</v>
      </c>
      <c r="BA1322" s="105" t="n">
        <v>0</v>
      </c>
      <c r="BB1322" s="105" t="n">
        <v>0</v>
      </c>
      <c r="BC1322" s="105" t="n">
        <v>0</v>
      </c>
      <c r="BD1322" s="105" t="n">
        <v>0</v>
      </c>
      <c r="BE1322" s="105" t="n">
        <v>0</v>
      </c>
      <c r="BF1322" s="105" t="n">
        <v>0</v>
      </c>
      <c r="BG1322" s="105" t="n">
        <v>0</v>
      </c>
      <c r="BH1322" s="105" t="n">
        <v>0</v>
      </c>
      <c r="BI1322" s="105" t="n">
        <v>0</v>
      </c>
      <c r="BJ1322" s="105" t="n">
        <v>0</v>
      </c>
      <c r="BK1322" s="105" t="n">
        <v>0</v>
      </c>
      <c r="BL1322" s="105" t="n">
        <v>0</v>
      </c>
      <c r="BM1322" s="105" t="n">
        <v>0</v>
      </c>
      <c r="BN1322" s="105" t="n">
        <v>0</v>
      </c>
      <c r="BO1322" s="105" t="n">
        <v>0</v>
      </c>
      <c r="BP1322" s="105" t="n">
        <v>0</v>
      </c>
      <c r="BQ1322" s="105" t="n">
        <v>0</v>
      </c>
      <c r="BR1322" s="106" t="n">
        <v>0.333333333333333</v>
      </c>
      <c r="BS1322" s="106" t="n">
        <v>0.333333333333333</v>
      </c>
      <c r="BT1322" s="107"/>
      <c r="BU1322" s="107"/>
      <c r="BV1322" s="107"/>
      <c r="BW1322" s="107"/>
      <c r="BX1322" s="107"/>
      <c r="BY1322" s="107"/>
      <c r="BZ1322" s="107"/>
      <c r="CA1322" s="107"/>
      <c r="CB1322" s="107"/>
      <c r="CC1322" s="107"/>
      <c r="CD1322" s="107"/>
      <c r="CE1322" s="107"/>
      <c r="CF1322" s="107"/>
      <c r="CG1322" s="107"/>
      <c r="CH1322" s="107"/>
      <c r="CI1322" s="107"/>
      <c r="CJ1322" s="107"/>
      <c r="CK1322" s="107"/>
      <c r="CL1322" s="107"/>
      <c r="CM1322" s="107"/>
      <c r="CN1322" s="107"/>
      <c r="CO1322" s="107"/>
      <c r="CP1322" s="107"/>
      <c r="CQ1322" s="107"/>
      <c r="CR1322" s="107"/>
      <c r="CS1322" s="107"/>
      <c r="CT1322" s="107"/>
      <c r="CU1322" s="107"/>
      <c r="CV1322" s="107"/>
    </row>
    <row r="1323" customFormat="false" ht="14.9" hidden="false" customHeight="false" outlineLevel="0" collapsed="false">
      <c r="A1323" s="74" t="n">
        <f aca="false">MONTH(B1323)</f>
        <v>11</v>
      </c>
      <c r="B1323" s="135" t="n">
        <v>44519</v>
      </c>
      <c r="C1323" s="128" t="s">
        <v>152</v>
      </c>
      <c r="D1323" s="77" t="str">
        <f aca="false">IFERROR(VLOOKUP(E:E,'Item Data Support Sheet'!A:O,7,0),"")</f>
        <v>NIPPLE LASER MARKING</v>
      </c>
      <c r="E1323" s="80" t="s">
        <v>681</v>
      </c>
      <c r="F1323" s="122"/>
      <c r="G1323" s="137" t="s">
        <v>517</v>
      </c>
      <c r="H1323" s="79" t="str">
        <f aca="false">IFERROR(VLOOKUP(E:E,'Item Data Support Sheet'!A:O,2,0),"")</f>
        <v>NIPPLE S TYPE L SIZE PUNCHED LASER MARKED</v>
      </c>
      <c r="I1323" s="80" t="s">
        <v>2118</v>
      </c>
      <c r="J1323" s="80" t="s">
        <v>1913</v>
      </c>
      <c r="K1323" s="124" t="n">
        <v>8</v>
      </c>
      <c r="L1323" s="124" t="n">
        <v>7000</v>
      </c>
      <c r="M1323" s="83" t="n">
        <v>875</v>
      </c>
      <c r="N1323" s="84" t="n">
        <f aca="false">+O1323+Q1323+T1323+U1323</f>
        <v>5500</v>
      </c>
      <c r="O1323" s="85" t="n">
        <v>5500</v>
      </c>
      <c r="P1323" s="86" t="n">
        <v>0</v>
      </c>
      <c r="Q1323" s="86" t="n">
        <v>0</v>
      </c>
      <c r="R1323" s="132" t="n">
        <v>0</v>
      </c>
      <c r="S1323" s="128" t="n">
        <v>0</v>
      </c>
      <c r="T1323" s="132" t="n">
        <v>0</v>
      </c>
      <c r="U1323" s="128" t="n">
        <v>0</v>
      </c>
      <c r="V1323" s="128" t="n">
        <v>1</v>
      </c>
      <c r="W1323" s="90" t="n">
        <f aca="false">IFERROR(O1323/V1323,0)</f>
        <v>5500</v>
      </c>
      <c r="X1323" s="91" t="n">
        <f aca="false">O1323/L1323</f>
        <v>0.785714285714286</v>
      </c>
      <c r="Y1323" s="92" t="str">
        <f aca="false">IFERROR(VLOOKUP(E:E,'Item Data Support Sheet'!A:J,6,0),0)</f>
        <v>FO021</v>
      </c>
      <c r="Z1323" s="93" t="n">
        <f aca="false">IFERROR(VLOOKUP(E:E,'Item Data Support Sheet'!A:O,4,0),0)</f>
        <v>0</v>
      </c>
      <c r="AA1323" s="93" t="n">
        <f aca="false">IFERROR(((N1323)*(Z1323/1000))+P1323,0)</f>
        <v>0</v>
      </c>
      <c r="AB1323" s="94" t="str">
        <f aca="false">IFERROR((O1323*(Z1323/1000)/(AA1323))," ")</f>
        <v> </v>
      </c>
      <c r="AC1323" s="95" t="n">
        <f aca="false">IFERROR((T1323)/((T1323)+O1323),0)</f>
        <v>0</v>
      </c>
      <c r="AD1323" s="96" t="n">
        <f aca="false">IFERROR(Q1323/(Q1323+N1323),0)</f>
        <v>0</v>
      </c>
      <c r="AE1323" s="91" t="n">
        <f aca="false">(N1323-T1323)/N1323</f>
        <v>1</v>
      </c>
      <c r="AF1323" s="97" t="n">
        <f aca="false">BR1323</f>
        <v>0.333333333333333</v>
      </c>
      <c r="AG1323" s="98" t="n">
        <f aca="false">K1323-AF1323</f>
        <v>7.66666666666667</v>
      </c>
      <c r="AH1323" s="99" t="n">
        <f aca="false">IFERROR(AG1323/K1323," ")</f>
        <v>0.958333333333333</v>
      </c>
      <c r="AI1323" s="100" t="n">
        <f aca="false">IFERROR(O1323/K1323,0)</f>
        <v>687.5</v>
      </c>
      <c r="AJ1323" s="101" t="n">
        <f aca="false">VLOOKUP(D1323,'Standard Cycle time'!C:D,2,0)</f>
        <v>3.5</v>
      </c>
      <c r="AK1323" s="101" t="n">
        <f aca="false">AG1323*V1323*3600/O1323</f>
        <v>5.01818181818182</v>
      </c>
      <c r="AL1323" s="102" t="n">
        <f aca="false">AJ1323/AK1323</f>
        <v>0.697463768115942</v>
      </c>
      <c r="AM1323" s="99" t="n">
        <f aca="false">AE1323*AL1323*AH1323</f>
        <v>0.668402777777778</v>
      </c>
      <c r="AN1323" s="103" t="n">
        <v>0.668402777777778</v>
      </c>
      <c r="AO1323" s="112" t="s">
        <v>2119</v>
      </c>
      <c r="AP1323" s="105" t="n">
        <v>20</v>
      </c>
      <c r="AQ1323" s="105" t="n">
        <v>0</v>
      </c>
      <c r="AR1323" s="105" t="n">
        <v>0</v>
      </c>
      <c r="AS1323" s="105" t="n">
        <v>0</v>
      </c>
      <c r="AT1323" s="105" t="n">
        <v>0</v>
      </c>
      <c r="AU1323" s="105" t="n">
        <v>0</v>
      </c>
      <c r="AV1323" s="105" t="n">
        <v>0</v>
      </c>
      <c r="AW1323" s="105" t="n">
        <v>0</v>
      </c>
      <c r="AX1323" s="105" t="n">
        <v>0</v>
      </c>
      <c r="AY1323" s="105" t="n">
        <v>0</v>
      </c>
      <c r="AZ1323" s="105" t="n">
        <v>0</v>
      </c>
      <c r="BA1323" s="105" t="n">
        <v>0</v>
      </c>
      <c r="BB1323" s="105" t="n">
        <v>0</v>
      </c>
      <c r="BC1323" s="105" t="n">
        <v>0</v>
      </c>
      <c r="BD1323" s="105" t="n">
        <v>0</v>
      </c>
      <c r="BE1323" s="105" t="n">
        <v>0</v>
      </c>
      <c r="BF1323" s="105" t="n">
        <v>0</v>
      </c>
      <c r="BG1323" s="105" t="n">
        <v>0</v>
      </c>
      <c r="BH1323" s="105" t="n">
        <v>0</v>
      </c>
      <c r="BI1323" s="105" t="n">
        <v>0</v>
      </c>
      <c r="BJ1323" s="105" t="n">
        <v>0</v>
      </c>
      <c r="BK1323" s="105" t="n">
        <v>0</v>
      </c>
      <c r="BL1323" s="105" t="n">
        <v>0</v>
      </c>
      <c r="BM1323" s="105" t="n">
        <v>0</v>
      </c>
      <c r="BN1323" s="105" t="n">
        <v>0</v>
      </c>
      <c r="BO1323" s="105" t="n">
        <v>0</v>
      </c>
      <c r="BP1323" s="105" t="n">
        <v>0</v>
      </c>
      <c r="BQ1323" s="105" t="n">
        <v>0</v>
      </c>
      <c r="BR1323" s="106" t="n">
        <v>0.333333333333333</v>
      </c>
      <c r="BS1323" s="106" t="n">
        <v>0.333333333333333</v>
      </c>
      <c r="BT1323" s="107"/>
      <c r="BU1323" s="107"/>
      <c r="BV1323" s="107"/>
      <c r="BW1323" s="107"/>
      <c r="BX1323" s="107"/>
      <c r="BY1323" s="107"/>
      <c r="BZ1323" s="107"/>
      <c r="CA1323" s="107"/>
      <c r="CB1323" s="107"/>
      <c r="CC1323" s="107"/>
      <c r="CD1323" s="107"/>
      <c r="CE1323" s="107"/>
      <c r="CF1323" s="107"/>
      <c r="CG1323" s="107"/>
      <c r="CH1323" s="107"/>
      <c r="CI1323" s="107"/>
      <c r="CJ1323" s="107"/>
      <c r="CK1323" s="107"/>
      <c r="CL1323" s="107"/>
      <c r="CM1323" s="107"/>
      <c r="CN1323" s="107"/>
      <c r="CO1323" s="107"/>
      <c r="CP1323" s="107"/>
      <c r="CQ1323" s="107"/>
      <c r="CR1323" s="107"/>
      <c r="CS1323" s="107"/>
      <c r="CT1323" s="107"/>
      <c r="CU1323" s="107"/>
      <c r="CV1323" s="107"/>
    </row>
    <row r="1324" customFormat="false" ht="14.9" hidden="false" customHeight="false" outlineLevel="0" collapsed="false">
      <c r="A1324" s="74" t="n">
        <f aca="false">MONTH(B1324)</f>
        <v>11</v>
      </c>
      <c r="B1324" s="135" t="n">
        <v>44519</v>
      </c>
      <c r="C1324" s="128" t="s">
        <v>152</v>
      </c>
      <c r="D1324" s="77" t="str">
        <f aca="false">IFERROR(VLOOKUP(E:E,'Item Data Support Sheet'!A:O,7,0),"")</f>
        <v>NIPPLE MOLDED</v>
      </c>
      <c r="E1324" s="80" t="s">
        <v>136</v>
      </c>
      <c r="F1324" s="122" t="s">
        <v>1286</v>
      </c>
      <c r="G1324" s="137" t="s">
        <v>848</v>
      </c>
      <c r="H1324" s="79" t="str">
        <f aca="false">IFERROR(VLOOKUP(E:E,'Item Data Support Sheet'!A:O,2,0),"")</f>
        <v>NIPPLE S TYPE M SIZE INJECTION</v>
      </c>
      <c r="I1324" s="80" t="s">
        <v>2115</v>
      </c>
      <c r="J1324" s="80" t="s">
        <v>1913</v>
      </c>
      <c r="K1324" s="124" t="n">
        <v>8</v>
      </c>
      <c r="L1324" s="124" t="n">
        <v>3611</v>
      </c>
      <c r="M1324" s="83" t="n">
        <v>451.375</v>
      </c>
      <c r="N1324" s="84" t="n">
        <f aca="false">+O1324+Q1324+T1324+U1324</f>
        <v>4034</v>
      </c>
      <c r="O1324" s="85" t="n">
        <v>3920</v>
      </c>
      <c r="P1324" s="86" t="n">
        <v>0</v>
      </c>
      <c r="Q1324" s="86" t="n">
        <v>22</v>
      </c>
      <c r="R1324" s="132" t="n">
        <v>0</v>
      </c>
      <c r="S1324" s="128" t="n">
        <v>0</v>
      </c>
      <c r="T1324" s="132" t="n">
        <v>80</v>
      </c>
      <c r="U1324" s="128" t="n">
        <v>12</v>
      </c>
      <c r="V1324" s="128" t="n">
        <v>1</v>
      </c>
      <c r="W1324" s="90" t="n">
        <f aca="false">IFERROR(O1324/V1324,0)</f>
        <v>3920</v>
      </c>
      <c r="X1324" s="91" t="n">
        <f aca="false">O1324/L1324</f>
        <v>1.08557186374965</v>
      </c>
      <c r="Y1324" s="92" t="str">
        <f aca="false">IFERROR(VLOOKUP(E:E,'Item Data Support Sheet'!A:J,6,0),0)</f>
        <v>Silicon</v>
      </c>
      <c r="Z1324" s="93" t="n">
        <f aca="false">IFERROR(VLOOKUP(E:E,'Item Data Support Sheet'!A:O,4,0),0)</f>
        <v>6.8</v>
      </c>
      <c r="AA1324" s="93" t="n">
        <f aca="false">IFERROR(((N1324)*(Z1324/1000))+P1324,0)</f>
        <v>27.4312</v>
      </c>
      <c r="AB1324" s="94" t="n">
        <f aca="false">IFERROR((O1324*(Z1324/1000)/(AA1324))," ")</f>
        <v>0.971740208230045</v>
      </c>
      <c r="AC1324" s="95" t="n">
        <f aca="false">IFERROR((T1324)/((T1324)+O1324),0)</f>
        <v>0.02</v>
      </c>
      <c r="AD1324" s="96" t="n">
        <f aca="false">IFERROR(Q1324/(Q1324+N1324),0)</f>
        <v>0.00542406311637081</v>
      </c>
      <c r="AE1324" s="91" t="n">
        <f aca="false">(N1324-T1324)/N1324</f>
        <v>0.980168567178979</v>
      </c>
      <c r="AF1324" s="97" t="n">
        <f aca="false">BR1324</f>
        <v>0</v>
      </c>
      <c r="AG1324" s="98" t="n">
        <f aca="false">K1324-AF1324</f>
        <v>8</v>
      </c>
      <c r="AH1324" s="99" t="n">
        <f aca="false">IFERROR(AG1324/K1324," ")</f>
        <v>1</v>
      </c>
      <c r="AI1324" s="100" t="n">
        <f aca="false">IFERROR(O1324/K1324,0)</f>
        <v>490</v>
      </c>
      <c r="AJ1324" s="101" t="n">
        <f aca="false">VLOOKUP(D1324,'Standard Cycle time'!C:D,2,0)</f>
        <v>5.25</v>
      </c>
      <c r="AK1324" s="101" t="n">
        <f aca="false">AG1324*V1324*3600/O1324</f>
        <v>7.3469387755102</v>
      </c>
      <c r="AL1324" s="102" t="n">
        <f aca="false">AJ1324/AK1324</f>
        <v>0.714583333333333</v>
      </c>
      <c r="AM1324" s="99" t="n">
        <f aca="false">AE1324*AL1324*AH1324</f>
        <v>0.700412121963312</v>
      </c>
      <c r="AN1324" s="103" t="n">
        <v>0.700412121963312</v>
      </c>
      <c r="AO1324" s="112"/>
      <c r="AP1324" s="105" t="n">
        <v>0</v>
      </c>
      <c r="AQ1324" s="105" t="n">
        <v>0</v>
      </c>
      <c r="AR1324" s="105" t="n">
        <v>0</v>
      </c>
      <c r="AS1324" s="105" t="n">
        <v>0</v>
      </c>
      <c r="AT1324" s="105" t="n">
        <v>0</v>
      </c>
      <c r="AU1324" s="105" t="n">
        <v>0</v>
      </c>
      <c r="AV1324" s="105" t="n">
        <v>0</v>
      </c>
      <c r="AW1324" s="105" t="n">
        <v>0</v>
      </c>
      <c r="AX1324" s="105" t="n">
        <v>0</v>
      </c>
      <c r="AY1324" s="105" t="n">
        <v>0</v>
      </c>
      <c r="AZ1324" s="105" t="n">
        <v>0</v>
      </c>
      <c r="BA1324" s="105" t="n">
        <v>0</v>
      </c>
      <c r="BB1324" s="105" t="n">
        <v>0</v>
      </c>
      <c r="BC1324" s="105" t="n">
        <v>0</v>
      </c>
      <c r="BD1324" s="105" t="n">
        <v>0</v>
      </c>
      <c r="BE1324" s="105" t="n">
        <v>0</v>
      </c>
      <c r="BF1324" s="105" t="n">
        <v>0</v>
      </c>
      <c r="BG1324" s="105" t="n">
        <v>0</v>
      </c>
      <c r="BH1324" s="105" t="n">
        <v>0</v>
      </c>
      <c r="BI1324" s="105" t="n">
        <v>0</v>
      </c>
      <c r="BJ1324" s="105" t="n">
        <v>0</v>
      </c>
      <c r="BK1324" s="105" t="n">
        <v>0</v>
      </c>
      <c r="BL1324" s="105" t="n">
        <v>0</v>
      </c>
      <c r="BM1324" s="105" t="n">
        <v>0</v>
      </c>
      <c r="BN1324" s="105" t="n">
        <v>0</v>
      </c>
      <c r="BO1324" s="105" t="n">
        <v>0</v>
      </c>
      <c r="BP1324" s="105" t="n">
        <v>0</v>
      </c>
      <c r="BQ1324" s="105" t="n">
        <v>0</v>
      </c>
      <c r="BR1324" s="106" t="n">
        <v>0</v>
      </c>
      <c r="BS1324" s="106" t="n">
        <v>0</v>
      </c>
      <c r="BT1324" s="107"/>
      <c r="BU1324" s="107"/>
      <c r="BV1324" s="107"/>
      <c r="BW1324" s="107"/>
      <c r="BX1324" s="107"/>
      <c r="BY1324" s="107"/>
      <c r="BZ1324" s="107"/>
      <c r="CA1324" s="107"/>
      <c r="CB1324" s="107"/>
      <c r="CC1324" s="107"/>
      <c r="CD1324" s="107"/>
      <c r="CE1324" s="107"/>
      <c r="CF1324" s="107"/>
      <c r="CG1324" s="107"/>
      <c r="CH1324" s="107"/>
      <c r="CI1324" s="107"/>
      <c r="CJ1324" s="107"/>
      <c r="CK1324" s="107"/>
      <c r="CL1324" s="107"/>
      <c r="CM1324" s="107"/>
      <c r="CN1324" s="107"/>
      <c r="CO1324" s="107"/>
      <c r="CP1324" s="107"/>
      <c r="CQ1324" s="107"/>
      <c r="CR1324" s="107"/>
      <c r="CS1324" s="107"/>
      <c r="CT1324" s="107"/>
      <c r="CU1324" s="107"/>
      <c r="CV1324" s="107"/>
    </row>
    <row r="1325" customFormat="false" ht="14.9" hidden="false" customHeight="false" outlineLevel="0" collapsed="false">
      <c r="A1325" s="74" t="n">
        <f aca="false">MONTH(B1325)</f>
        <v>11</v>
      </c>
      <c r="B1325" s="135" t="n">
        <v>44520</v>
      </c>
      <c r="C1325" s="128" t="s">
        <v>51</v>
      </c>
      <c r="D1325" s="77" t="str">
        <f aca="false">IFERROR(VLOOKUP(E:E,'Item Data Support Sheet'!A:O,7,0),"")</f>
        <v>NIPPLE MOLDED</v>
      </c>
      <c r="E1325" s="80" t="s">
        <v>136</v>
      </c>
      <c r="F1325" s="122" t="s">
        <v>1286</v>
      </c>
      <c r="G1325" s="137" t="s">
        <v>848</v>
      </c>
      <c r="H1325" s="79" t="str">
        <f aca="false">IFERROR(VLOOKUP(E:E,'Item Data Support Sheet'!A:O,2,0),"")</f>
        <v>NIPPLE S TYPE M SIZE INJECTION</v>
      </c>
      <c r="I1325" s="80" t="s">
        <v>2120</v>
      </c>
      <c r="J1325" s="80" t="s">
        <v>143</v>
      </c>
      <c r="K1325" s="124" t="n">
        <v>4.5</v>
      </c>
      <c r="L1325" s="124" t="n">
        <v>2400</v>
      </c>
      <c r="M1325" s="83" t="n">
        <v>533.333333333333</v>
      </c>
      <c r="N1325" s="84" t="n">
        <f aca="false">+O1325+Q1325+T1325+U1325</f>
        <v>3010</v>
      </c>
      <c r="O1325" s="85" t="n">
        <v>2950</v>
      </c>
      <c r="P1325" s="86" t="n">
        <v>0</v>
      </c>
      <c r="Q1325" s="86" t="n">
        <v>20</v>
      </c>
      <c r="R1325" s="132" t="n">
        <v>0</v>
      </c>
      <c r="S1325" s="128" t="n">
        <v>0</v>
      </c>
      <c r="T1325" s="132" t="n">
        <v>34</v>
      </c>
      <c r="U1325" s="128" t="n">
        <v>6</v>
      </c>
      <c r="V1325" s="128" t="n">
        <v>1</v>
      </c>
      <c r="W1325" s="90" t="n">
        <f aca="false">IFERROR(O1325/V1325,0)</f>
        <v>2950</v>
      </c>
      <c r="X1325" s="91" t="n">
        <f aca="false">O1325/L1325</f>
        <v>1.22916666666667</v>
      </c>
      <c r="Y1325" s="92" t="str">
        <f aca="false">IFERROR(VLOOKUP(E:E,'Item Data Support Sheet'!A:J,6,0),0)</f>
        <v>Silicon</v>
      </c>
      <c r="Z1325" s="93" t="n">
        <f aca="false">IFERROR(VLOOKUP(E:E,'Item Data Support Sheet'!A:O,4,0),0)</f>
        <v>6.8</v>
      </c>
      <c r="AA1325" s="93" t="n">
        <f aca="false">IFERROR(((N1325)*(Z1325/1000))+P1325,0)</f>
        <v>20.468</v>
      </c>
      <c r="AB1325" s="94" t="n">
        <f aca="false">IFERROR((O1325*(Z1325/1000)/(AA1325))," ")</f>
        <v>0.980066445182724</v>
      </c>
      <c r="AC1325" s="95" t="n">
        <f aca="false">IFERROR((T1325)/((T1325)+O1325),0)</f>
        <v>0.0113941018766756</v>
      </c>
      <c r="AD1325" s="96" t="n">
        <f aca="false">IFERROR(Q1325/(Q1325+N1325),0)</f>
        <v>0.0066006600660066</v>
      </c>
      <c r="AE1325" s="91" t="n">
        <f aca="false">(N1325-T1325)/N1325</f>
        <v>0.988704318936877</v>
      </c>
      <c r="AF1325" s="97" t="n">
        <f aca="false">BR1325</f>
        <v>0</v>
      </c>
      <c r="AG1325" s="98" t="n">
        <f aca="false">K1325-AF1325</f>
        <v>4.5</v>
      </c>
      <c r="AH1325" s="99" t="n">
        <f aca="false">IFERROR(AG1325/K1325," ")</f>
        <v>1</v>
      </c>
      <c r="AI1325" s="100" t="n">
        <f aca="false">IFERROR(O1325/K1325,0)</f>
        <v>655.555555555556</v>
      </c>
      <c r="AJ1325" s="101" t="n">
        <f aca="false">VLOOKUP(D1325,'Standard Cycle time'!C:D,2,0)</f>
        <v>5.25</v>
      </c>
      <c r="AK1325" s="101" t="n">
        <f aca="false">AG1325*V1325*3600/O1325</f>
        <v>5.49152542372881</v>
      </c>
      <c r="AL1325" s="102" t="n">
        <f aca="false">AJ1325/AK1325</f>
        <v>0.956018518518519</v>
      </c>
      <c r="AM1325" s="99" t="n">
        <f aca="false">AE1325*AL1325*AH1325</f>
        <v>0.945219638242894</v>
      </c>
      <c r="AN1325" s="103" t="n">
        <v>0.945219638242894</v>
      </c>
      <c r="AO1325" s="112"/>
      <c r="AP1325" s="105" t="n">
        <v>0</v>
      </c>
      <c r="AQ1325" s="105" t="n">
        <v>0</v>
      </c>
      <c r="AR1325" s="105" t="n">
        <v>0</v>
      </c>
      <c r="AS1325" s="105" t="n">
        <v>0</v>
      </c>
      <c r="AT1325" s="105" t="n">
        <v>0</v>
      </c>
      <c r="AU1325" s="105" t="n">
        <v>0</v>
      </c>
      <c r="AV1325" s="105" t="n">
        <v>0</v>
      </c>
      <c r="AW1325" s="105" t="n">
        <v>0</v>
      </c>
      <c r="AX1325" s="105" t="n">
        <v>0</v>
      </c>
      <c r="AY1325" s="105" t="n">
        <v>0</v>
      </c>
      <c r="AZ1325" s="105" t="n">
        <v>0</v>
      </c>
      <c r="BA1325" s="105" t="n">
        <v>0</v>
      </c>
      <c r="BB1325" s="105" t="n">
        <v>0</v>
      </c>
      <c r="BC1325" s="105" t="n">
        <v>0</v>
      </c>
      <c r="BD1325" s="105" t="n">
        <v>0</v>
      </c>
      <c r="BE1325" s="105" t="n">
        <v>0</v>
      </c>
      <c r="BF1325" s="105" t="n">
        <v>0</v>
      </c>
      <c r="BG1325" s="105" t="n">
        <v>0</v>
      </c>
      <c r="BH1325" s="105" t="n">
        <v>0</v>
      </c>
      <c r="BI1325" s="105" t="n">
        <v>0</v>
      </c>
      <c r="BJ1325" s="105" t="n">
        <v>0</v>
      </c>
      <c r="BK1325" s="105" t="n">
        <v>0</v>
      </c>
      <c r="BL1325" s="105" t="n">
        <v>0</v>
      </c>
      <c r="BM1325" s="105" t="n">
        <v>0</v>
      </c>
      <c r="BN1325" s="105" t="n">
        <v>0</v>
      </c>
      <c r="BO1325" s="105" t="n">
        <v>0</v>
      </c>
      <c r="BP1325" s="105" t="n">
        <v>0</v>
      </c>
      <c r="BQ1325" s="105" t="n">
        <v>0</v>
      </c>
      <c r="BR1325" s="106" t="n">
        <v>0</v>
      </c>
      <c r="BS1325" s="106" t="n">
        <v>0</v>
      </c>
      <c r="BT1325" s="107"/>
      <c r="BU1325" s="107"/>
      <c r="BV1325" s="107"/>
      <c r="BW1325" s="107"/>
      <c r="BX1325" s="107"/>
      <c r="BY1325" s="107"/>
      <c r="BZ1325" s="107"/>
      <c r="CA1325" s="107"/>
      <c r="CB1325" s="107"/>
      <c r="CC1325" s="107"/>
      <c r="CD1325" s="107"/>
      <c r="CE1325" s="107"/>
      <c r="CF1325" s="107"/>
      <c r="CG1325" s="107"/>
      <c r="CH1325" s="107"/>
      <c r="CI1325" s="107"/>
      <c r="CJ1325" s="107"/>
      <c r="CK1325" s="107"/>
      <c r="CL1325" s="107"/>
      <c r="CM1325" s="107"/>
      <c r="CN1325" s="107"/>
      <c r="CO1325" s="107"/>
      <c r="CP1325" s="107"/>
      <c r="CQ1325" s="107"/>
      <c r="CR1325" s="107"/>
      <c r="CS1325" s="107"/>
      <c r="CT1325" s="107"/>
      <c r="CU1325" s="107"/>
      <c r="CV1325" s="107"/>
    </row>
    <row r="1326" customFormat="false" ht="14.9" hidden="false" customHeight="false" outlineLevel="0" collapsed="false">
      <c r="A1326" s="74" t="n">
        <f aca="false">MONTH(B1326)</f>
        <v>11</v>
      </c>
      <c r="B1326" s="135" t="n">
        <v>44520</v>
      </c>
      <c r="C1326" s="128" t="s">
        <v>51</v>
      </c>
      <c r="D1326" s="77" t="str">
        <f aca="false">IFERROR(VLOOKUP(E:E,'Item Data Support Sheet'!A:O,7,0),"")</f>
        <v>HOOD MOLDED</v>
      </c>
      <c r="E1326" s="80" t="s">
        <v>529</v>
      </c>
      <c r="F1326" s="122"/>
      <c r="G1326" s="137" t="s">
        <v>740</v>
      </c>
      <c r="H1326" s="79" t="str">
        <f aca="false">IFERROR(VLOOKUP(E:E,'Item Data Support Sheet'!A:O,2,0),"")</f>
        <v>HOOD S TYPE MOLDED</v>
      </c>
      <c r="I1326" s="80" t="s">
        <v>2121</v>
      </c>
      <c r="J1326" s="80" t="s">
        <v>143</v>
      </c>
      <c r="K1326" s="124" t="n">
        <v>4.5</v>
      </c>
      <c r="L1326" s="124" t="n">
        <v>3600</v>
      </c>
      <c r="M1326" s="83" t="n">
        <v>800</v>
      </c>
      <c r="N1326" s="84" t="n">
        <f aca="false">+O1326+Q1326+T1326+U1326</f>
        <v>4018</v>
      </c>
      <c r="O1326" s="85" t="n">
        <v>3997</v>
      </c>
      <c r="P1326" s="86" t="n">
        <v>0</v>
      </c>
      <c r="Q1326" s="86" t="n">
        <v>0</v>
      </c>
      <c r="R1326" s="132" t="n">
        <v>0</v>
      </c>
      <c r="S1326" s="128" t="n">
        <v>0</v>
      </c>
      <c r="T1326" s="132" t="n">
        <v>13</v>
      </c>
      <c r="U1326" s="128" t="n">
        <v>8</v>
      </c>
      <c r="V1326" s="128" t="n">
        <v>1</v>
      </c>
      <c r="W1326" s="90" t="n">
        <f aca="false">IFERROR(O1326/V1326,0)</f>
        <v>3997</v>
      </c>
      <c r="X1326" s="91" t="n">
        <f aca="false">O1326/L1326</f>
        <v>1.11027777777778</v>
      </c>
      <c r="Y1326" s="92" t="str">
        <f aca="false">IFERROR(VLOOKUP(E:E,'Item Data Support Sheet'!A:J,6,0),0)</f>
        <v>HMC</v>
      </c>
      <c r="Z1326" s="93" t="n">
        <f aca="false">IFERROR(VLOOKUP(E:E,'Item Data Support Sheet'!A:O,4,0),0)</f>
        <v>8.6</v>
      </c>
      <c r="AA1326" s="93" t="n">
        <f aca="false">IFERROR(((N1326)*(Z1326/1000))+P1326,0)</f>
        <v>34.5548</v>
      </c>
      <c r="AB1326" s="94" t="n">
        <f aca="false">IFERROR((O1326*(Z1326/1000)/(AA1326))," ")</f>
        <v>0.994773519163763</v>
      </c>
      <c r="AC1326" s="95" t="n">
        <f aca="false">IFERROR((T1326)/((T1326)+O1326),0)</f>
        <v>0.00324189526184539</v>
      </c>
      <c r="AD1326" s="96" t="n">
        <f aca="false">IFERROR(Q1326/(Q1326+N1326),0)</f>
        <v>0</v>
      </c>
      <c r="AE1326" s="91" t="n">
        <f aca="false">(N1326-T1326)/N1326</f>
        <v>0.99676455948233</v>
      </c>
      <c r="AF1326" s="97" t="n">
        <f aca="false">BR1326</f>
        <v>0</v>
      </c>
      <c r="AG1326" s="98" t="n">
        <f aca="false">K1326-AF1326</f>
        <v>4.5</v>
      </c>
      <c r="AH1326" s="99" t="n">
        <f aca="false">IFERROR(AG1326/K1326," ")</f>
        <v>1</v>
      </c>
      <c r="AI1326" s="100" t="n">
        <f aca="false">IFERROR(O1326/K1326,0)</f>
        <v>888.222222222222</v>
      </c>
      <c r="AJ1326" s="101" t="n">
        <f aca="false">VLOOKUP(D1326,'Standard Cycle time'!C:D,2,0)</f>
        <v>6</v>
      </c>
      <c r="AK1326" s="101" t="n">
        <f aca="false">AG1326*V1326*3600/O1326</f>
        <v>4.05303977983488</v>
      </c>
      <c r="AL1326" s="102" t="n">
        <f aca="false">AJ1326/AK1326</f>
        <v>1.48037037037037</v>
      </c>
      <c r="AM1326" s="99" t="n">
        <f aca="false">AE1326*AL1326*AH1326</f>
        <v>1.47558072009292</v>
      </c>
      <c r="AN1326" s="103" t="n">
        <v>1.47558072009292</v>
      </c>
      <c r="AO1326" s="112"/>
      <c r="AP1326" s="105" t="n">
        <v>0</v>
      </c>
      <c r="AQ1326" s="105" t="n">
        <v>0</v>
      </c>
      <c r="AR1326" s="105" t="n">
        <v>0</v>
      </c>
      <c r="AS1326" s="105" t="n">
        <v>0</v>
      </c>
      <c r="AT1326" s="105" t="n">
        <v>0</v>
      </c>
      <c r="AU1326" s="105" t="n">
        <v>0</v>
      </c>
      <c r="AV1326" s="105" t="n">
        <v>0</v>
      </c>
      <c r="AW1326" s="105" t="n">
        <v>0</v>
      </c>
      <c r="AX1326" s="105" t="n">
        <v>0</v>
      </c>
      <c r="AY1326" s="105" t="n">
        <v>0</v>
      </c>
      <c r="AZ1326" s="105" t="n">
        <v>0</v>
      </c>
      <c r="BA1326" s="105" t="n">
        <v>0</v>
      </c>
      <c r="BB1326" s="105" t="n">
        <v>0</v>
      </c>
      <c r="BC1326" s="105" t="n">
        <v>0</v>
      </c>
      <c r="BD1326" s="105" t="n">
        <v>0</v>
      </c>
      <c r="BE1326" s="105" t="n">
        <v>0</v>
      </c>
      <c r="BF1326" s="105" t="n">
        <v>0</v>
      </c>
      <c r="BG1326" s="105" t="n">
        <v>0</v>
      </c>
      <c r="BH1326" s="105" t="n">
        <v>0</v>
      </c>
      <c r="BI1326" s="105" t="n">
        <v>0</v>
      </c>
      <c r="BJ1326" s="105" t="n">
        <v>0</v>
      </c>
      <c r="BK1326" s="105" t="n">
        <v>0</v>
      </c>
      <c r="BL1326" s="105" t="n">
        <v>0</v>
      </c>
      <c r="BM1326" s="105" t="n">
        <v>0</v>
      </c>
      <c r="BN1326" s="105" t="n">
        <v>0</v>
      </c>
      <c r="BO1326" s="105" t="n">
        <v>0</v>
      </c>
      <c r="BP1326" s="105" t="n">
        <v>0</v>
      </c>
      <c r="BQ1326" s="105" t="n">
        <v>0</v>
      </c>
      <c r="BR1326" s="106" t="n">
        <v>0</v>
      </c>
      <c r="BS1326" s="106" t="n">
        <v>0</v>
      </c>
      <c r="BT1326" s="107"/>
      <c r="BU1326" s="107"/>
      <c r="BV1326" s="107"/>
      <c r="BW1326" s="107"/>
      <c r="BX1326" s="107"/>
      <c r="BY1326" s="107"/>
      <c r="BZ1326" s="107"/>
      <c r="CA1326" s="107"/>
      <c r="CB1326" s="107"/>
      <c r="CC1326" s="107"/>
      <c r="CD1326" s="107"/>
      <c r="CE1326" s="107"/>
      <c r="CF1326" s="107"/>
      <c r="CG1326" s="107"/>
      <c r="CH1326" s="107"/>
      <c r="CI1326" s="107"/>
      <c r="CJ1326" s="107"/>
      <c r="CK1326" s="107"/>
      <c r="CL1326" s="107"/>
      <c r="CM1326" s="107"/>
      <c r="CN1326" s="107"/>
      <c r="CO1326" s="107"/>
      <c r="CP1326" s="107"/>
      <c r="CQ1326" s="107"/>
      <c r="CR1326" s="107"/>
      <c r="CS1326" s="107"/>
      <c r="CT1326" s="107"/>
      <c r="CU1326" s="107"/>
      <c r="CV1326" s="107"/>
    </row>
    <row r="1327" customFormat="false" ht="14.9" hidden="false" customHeight="false" outlineLevel="0" collapsed="false">
      <c r="A1327" s="74" t="n">
        <f aca="false">MONTH(B1327)</f>
        <v>11</v>
      </c>
      <c r="B1327" s="135" t="n">
        <v>44520</v>
      </c>
      <c r="C1327" s="128" t="s">
        <v>51</v>
      </c>
      <c r="D1327" s="77" t="str">
        <f aca="false">IFERROR(VLOOKUP(E:E,'Item Data Support Sheet'!A:O,7,0),"")</f>
        <v>NIPPLE PUNCH</v>
      </c>
      <c r="E1327" s="80" t="s">
        <v>666</v>
      </c>
      <c r="F1327" s="122"/>
      <c r="G1327" s="137" t="s">
        <v>54</v>
      </c>
      <c r="H1327" s="79" t="str">
        <f aca="false">IFERROR(VLOOKUP(E:E,'Item Data Support Sheet'!A:O,2,0),"")</f>
        <v>NIPPLE S TYPE L SIZE PUNCHED</v>
      </c>
      <c r="I1327" s="80" t="s">
        <v>2122</v>
      </c>
      <c r="J1327" s="80" t="s">
        <v>143</v>
      </c>
      <c r="K1327" s="124" t="n">
        <v>4.5</v>
      </c>
      <c r="L1327" s="124" t="n">
        <v>6000</v>
      </c>
      <c r="M1327" s="83" t="n">
        <v>1333.33333333333</v>
      </c>
      <c r="N1327" s="84" t="n">
        <f aca="false">+O1327+Q1327+T1327+U1327</f>
        <v>6000</v>
      </c>
      <c r="O1327" s="85" t="n">
        <v>6000</v>
      </c>
      <c r="P1327" s="86" t="n">
        <v>0</v>
      </c>
      <c r="Q1327" s="86" t="n">
        <v>0</v>
      </c>
      <c r="R1327" s="132" t="n">
        <v>0</v>
      </c>
      <c r="S1327" s="128" t="n">
        <v>0</v>
      </c>
      <c r="T1327" s="132" t="n">
        <v>0</v>
      </c>
      <c r="U1327" s="128" t="n">
        <v>0</v>
      </c>
      <c r="V1327" s="128" t="n">
        <v>1</v>
      </c>
      <c r="W1327" s="90" t="n">
        <f aca="false">IFERROR(O1327/V1327,0)</f>
        <v>6000</v>
      </c>
      <c r="X1327" s="91" t="n">
        <f aca="false">O1327/L1327</f>
        <v>1</v>
      </c>
      <c r="Y1327" s="92" t="str">
        <f aca="false">IFERROR(VLOOKUP(E:E,'Item Data Support Sheet'!A:J,6,0),0)</f>
        <v>FO017</v>
      </c>
      <c r="Z1327" s="93" t="n">
        <f aca="false">IFERROR(VLOOKUP(E:E,'Item Data Support Sheet'!A:O,4,0),0)</f>
        <v>0</v>
      </c>
      <c r="AA1327" s="93" t="n">
        <f aca="false">IFERROR(((N1327)*(Z1327/1000))+P1327,0)</f>
        <v>0</v>
      </c>
      <c r="AB1327" s="94" t="str">
        <f aca="false">IFERROR((O1327*(Z1327/1000)/(AA1327))," ")</f>
        <v> </v>
      </c>
      <c r="AC1327" s="95" t="n">
        <f aca="false">IFERROR((T1327)/((T1327)+O1327),0)</f>
        <v>0</v>
      </c>
      <c r="AD1327" s="96" t="n">
        <f aca="false">IFERROR(Q1327/(Q1327+N1327),0)</f>
        <v>0</v>
      </c>
      <c r="AE1327" s="91" t="n">
        <f aca="false">(N1327-T1327)/N1327</f>
        <v>1</v>
      </c>
      <c r="AF1327" s="97" t="n">
        <f aca="false">BR1327</f>
        <v>0</v>
      </c>
      <c r="AG1327" s="98" t="n">
        <f aca="false">K1327-AF1327</f>
        <v>4.5</v>
      </c>
      <c r="AH1327" s="99" t="n">
        <f aca="false">IFERROR(AG1327/K1327," ")</f>
        <v>1</v>
      </c>
      <c r="AI1327" s="100" t="n">
        <f aca="false">IFERROR(O1327/K1327,0)</f>
        <v>1333.33333333333</v>
      </c>
      <c r="AJ1327" s="101" t="n">
        <f aca="false">VLOOKUP(D1327,'Standard Cycle time'!C:D,2,0)</f>
        <v>3.5</v>
      </c>
      <c r="AK1327" s="101" t="n">
        <f aca="false">AG1327*V1327*3600/O1327</f>
        <v>2.7</v>
      </c>
      <c r="AL1327" s="102" t="n">
        <f aca="false">AJ1327/AK1327</f>
        <v>1.2962962962963</v>
      </c>
      <c r="AM1327" s="99" t="n">
        <f aca="false">AE1327*AL1327*AH1327</f>
        <v>1.2962962962963</v>
      </c>
      <c r="AN1327" s="103" t="n">
        <v>1.2962962962963</v>
      </c>
      <c r="AO1327" s="112"/>
      <c r="AP1327" s="105" t="n">
        <v>0</v>
      </c>
      <c r="AQ1327" s="105" t="n">
        <v>0</v>
      </c>
      <c r="AR1327" s="105" t="n">
        <v>0</v>
      </c>
      <c r="AS1327" s="105" t="n">
        <v>0</v>
      </c>
      <c r="AT1327" s="105" t="n">
        <v>0</v>
      </c>
      <c r="AU1327" s="105" t="n">
        <v>0</v>
      </c>
      <c r="AV1327" s="105" t="n">
        <v>0</v>
      </c>
      <c r="AW1327" s="105" t="n">
        <v>0</v>
      </c>
      <c r="AX1327" s="105" t="n">
        <v>0</v>
      </c>
      <c r="AY1327" s="105" t="n">
        <v>0</v>
      </c>
      <c r="AZ1327" s="105" t="n">
        <v>0</v>
      </c>
      <c r="BA1327" s="105" t="n">
        <v>0</v>
      </c>
      <c r="BB1327" s="105" t="n">
        <v>0</v>
      </c>
      <c r="BC1327" s="105" t="n">
        <v>0</v>
      </c>
      <c r="BD1327" s="105" t="n">
        <v>0</v>
      </c>
      <c r="BE1327" s="105" t="n">
        <v>0</v>
      </c>
      <c r="BF1327" s="105" t="n">
        <v>0</v>
      </c>
      <c r="BG1327" s="105" t="n">
        <v>0</v>
      </c>
      <c r="BH1327" s="105" t="n">
        <v>0</v>
      </c>
      <c r="BI1327" s="105" t="n">
        <v>0</v>
      </c>
      <c r="BJ1327" s="105" t="n">
        <v>0</v>
      </c>
      <c r="BK1327" s="105" t="n">
        <v>0</v>
      </c>
      <c r="BL1327" s="105" t="n">
        <v>0</v>
      </c>
      <c r="BM1327" s="105" t="n">
        <v>0</v>
      </c>
      <c r="BN1327" s="105" t="n">
        <v>0</v>
      </c>
      <c r="BO1327" s="105" t="n">
        <v>0</v>
      </c>
      <c r="BP1327" s="105" t="n">
        <v>0</v>
      </c>
      <c r="BQ1327" s="105" t="n">
        <v>0</v>
      </c>
      <c r="BR1327" s="106" t="n">
        <v>0</v>
      </c>
      <c r="BS1327" s="106" t="n">
        <v>0</v>
      </c>
      <c r="BT1327" s="107"/>
      <c r="BU1327" s="107"/>
      <c r="BV1327" s="107"/>
      <c r="BW1327" s="107"/>
      <c r="BX1327" s="107"/>
      <c r="BY1327" s="107"/>
      <c r="BZ1327" s="107"/>
      <c r="CA1327" s="107"/>
      <c r="CB1327" s="107"/>
      <c r="CC1327" s="107"/>
      <c r="CD1327" s="107"/>
      <c r="CE1327" s="107"/>
      <c r="CF1327" s="107"/>
      <c r="CG1327" s="107"/>
      <c r="CH1327" s="107"/>
      <c r="CI1327" s="107"/>
      <c r="CJ1327" s="107"/>
      <c r="CK1327" s="107"/>
      <c r="CL1327" s="107"/>
      <c r="CM1327" s="107"/>
      <c r="CN1327" s="107"/>
      <c r="CO1327" s="107"/>
      <c r="CP1327" s="107"/>
      <c r="CQ1327" s="107"/>
      <c r="CR1327" s="107"/>
      <c r="CS1327" s="107"/>
      <c r="CT1327" s="107"/>
      <c r="CU1327" s="107"/>
      <c r="CV1327" s="107"/>
    </row>
    <row r="1328" customFormat="false" ht="14.9" hidden="false" customHeight="false" outlineLevel="0" collapsed="false">
      <c r="A1328" s="74" t="n">
        <f aca="false">MONTH(B1328)</f>
        <v>11</v>
      </c>
      <c r="B1328" s="135" t="n">
        <v>44520</v>
      </c>
      <c r="C1328" s="128" t="s">
        <v>51</v>
      </c>
      <c r="D1328" s="77" t="str">
        <f aca="false">IFERROR(VLOOKUP(E:E,'Item Data Support Sheet'!A:O,7,0),"")</f>
        <v>NIPPLE LASER MARKING</v>
      </c>
      <c r="E1328" s="80" t="s">
        <v>681</v>
      </c>
      <c r="F1328" s="122"/>
      <c r="G1328" s="137" t="s">
        <v>517</v>
      </c>
      <c r="H1328" s="79" t="str">
        <f aca="false">IFERROR(VLOOKUP(E:E,'Item Data Support Sheet'!A:O,2,0),"")</f>
        <v>NIPPLE S TYPE L SIZE PUNCHED LASER MARKED</v>
      </c>
      <c r="I1328" s="80" t="s">
        <v>2123</v>
      </c>
      <c r="J1328" s="80" t="s">
        <v>143</v>
      </c>
      <c r="K1328" s="124" t="n">
        <v>4.5</v>
      </c>
      <c r="L1328" s="124" t="n">
        <v>6000</v>
      </c>
      <c r="M1328" s="83" t="n">
        <v>1333.33333333333</v>
      </c>
      <c r="N1328" s="84" t="n">
        <f aca="false">+O1328+Q1328+T1328+U1328</f>
        <v>4575</v>
      </c>
      <c r="O1328" s="85" t="n">
        <v>4575</v>
      </c>
      <c r="P1328" s="86" t="n">
        <v>0</v>
      </c>
      <c r="Q1328" s="86" t="n">
        <v>0</v>
      </c>
      <c r="R1328" s="132" t="n">
        <v>0</v>
      </c>
      <c r="S1328" s="128" t="n">
        <v>0</v>
      </c>
      <c r="T1328" s="132" t="n">
        <v>0</v>
      </c>
      <c r="U1328" s="128" t="n">
        <v>0</v>
      </c>
      <c r="V1328" s="128" t="n">
        <v>1</v>
      </c>
      <c r="W1328" s="90" t="n">
        <f aca="false">IFERROR(O1328/V1328,0)</f>
        <v>4575</v>
      </c>
      <c r="X1328" s="91" t="n">
        <f aca="false">O1328/L1328</f>
        <v>0.7625</v>
      </c>
      <c r="Y1328" s="92" t="str">
        <f aca="false">IFERROR(VLOOKUP(E:E,'Item Data Support Sheet'!A:J,6,0),0)</f>
        <v>FO021</v>
      </c>
      <c r="Z1328" s="93" t="n">
        <f aca="false">IFERROR(VLOOKUP(E:E,'Item Data Support Sheet'!A:O,4,0),0)</f>
        <v>0</v>
      </c>
      <c r="AA1328" s="93" t="n">
        <f aca="false">IFERROR(((N1328)*(Z1328/1000))+P1328,0)</f>
        <v>0</v>
      </c>
      <c r="AB1328" s="94" t="str">
        <f aca="false">IFERROR((O1328*(Z1328/1000)/(AA1328))," ")</f>
        <v> </v>
      </c>
      <c r="AC1328" s="95" t="n">
        <f aca="false">IFERROR((T1328)/((T1328)+O1328),0)</f>
        <v>0</v>
      </c>
      <c r="AD1328" s="96" t="n">
        <f aca="false">IFERROR(Q1328/(Q1328+N1328),0)</f>
        <v>0</v>
      </c>
      <c r="AE1328" s="91" t="n">
        <f aca="false">(N1328-T1328)/N1328</f>
        <v>1</v>
      </c>
      <c r="AF1328" s="97" t="n">
        <f aca="false">BR1328</f>
        <v>0</v>
      </c>
      <c r="AG1328" s="98" t="n">
        <f aca="false">K1328-AF1328</f>
        <v>4.5</v>
      </c>
      <c r="AH1328" s="99" t="n">
        <f aca="false">IFERROR(AG1328/K1328," ")</f>
        <v>1</v>
      </c>
      <c r="AI1328" s="100" t="n">
        <f aca="false">IFERROR(O1328/K1328,0)</f>
        <v>1016.66666666667</v>
      </c>
      <c r="AJ1328" s="101" t="n">
        <f aca="false">VLOOKUP(D1328,'Standard Cycle time'!C:D,2,0)</f>
        <v>3.5</v>
      </c>
      <c r="AK1328" s="101" t="n">
        <f aca="false">AG1328*V1328*3600/O1328</f>
        <v>3.54098360655738</v>
      </c>
      <c r="AL1328" s="102" t="n">
        <f aca="false">AJ1328/AK1328</f>
        <v>0.988425925925926</v>
      </c>
      <c r="AM1328" s="99" t="n">
        <f aca="false">AE1328*AL1328*AH1328</f>
        <v>0.988425925925926</v>
      </c>
      <c r="AN1328" s="103" t="n">
        <v>0.988425925925926</v>
      </c>
      <c r="AO1328" s="112"/>
      <c r="AP1328" s="105" t="n">
        <v>0</v>
      </c>
      <c r="AQ1328" s="105" t="n">
        <v>0</v>
      </c>
      <c r="AR1328" s="105" t="n">
        <v>0</v>
      </c>
      <c r="AS1328" s="105" t="n">
        <v>0</v>
      </c>
      <c r="AT1328" s="105" t="n">
        <v>0</v>
      </c>
      <c r="AU1328" s="105" t="n">
        <v>0</v>
      </c>
      <c r="AV1328" s="105" t="n">
        <v>0</v>
      </c>
      <c r="AW1328" s="105" t="n">
        <v>0</v>
      </c>
      <c r="AX1328" s="105" t="n">
        <v>0</v>
      </c>
      <c r="AY1328" s="105" t="n">
        <v>0</v>
      </c>
      <c r="AZ1328" s="105" t="n">
        <v>0</v>
      </c>
      <c r="BA1328" s="105" t="n">
        <v>0</v>
      </c>
      <c r="BB1328" s="105" t="n">
        <v>0</v>
      </c>
      <c r="BC1328" s="105" t="n">
        <v>0</v>
      </c>
      <c r="BD1328" s="105" t="n">
        <v>0</v>
      </c>
      <c r="BE1328" s="105" t="n">
        <v>0</v>
      </c>
      <c r="BF1328" s="105" t="n">
        <v>0</v>
      </c>
      <c r="BG1328" s="105" t="n">
        <v>0</v>
      </c>
      <c r="BH1328" s="105" t="n">
        <v>0</v>
      </c>
      <c r="BI1328" s="105" t="n">
        <v>0</v>
      </c>
      <c r="BJ1328" s="105" t="n">
        <v>0</v>
      </c>
      <c r="BK1328" s="105" t="n">
        <v>0</v>
      </c>
      <c r="BL1328" s="105" t="n">
        <v>0</v>
      </c>
      <c r="BM1328" s="105" t="n">
        <v>0</v>
      </c>
      <c r="BN1328" s="105" t="n">
        <v>0</v>
      </c>
      <c r="BO1328" s="105" t="n">
        <v>0</v>
      </c>
      <c r="BP1328" s="105" t="n">
        <v>0</v>
      </c>
      <c r="BQ1328" s="105" t="n">
        <v>0</v>
      </c>
      <c r="BR1328" s="106" t="n">
        <v>0</v>
      </c>
      <c r="BS1328" s="106" t="n">
        <v>0</v>
      </c>
      <c r="BT1328" s="107"/>
      <c r="BU1328" s="107"/>
      <c r="BV1328" s="107"/>
      <c r="BW1328" s="107"/>
      <c r="BX1328" s="107"/>
      <c r="BY1328" s="107"/>
      <c r="BZ1328" s="107"/>
      <c r="CA1328" s="107"/>
      <c r="CB1328" s="107"/>
      <c r="CC1328" s="107"/>
      <c r="CD1328" s="107"/>
      <c r="CE1328" s="107"/>
      <c r="CF1328" s="107"/>
      <c r="CG1328" s="107"/>
      <c r="CH1328" s="107"/>
      <c r="CI1328" s="107"/>
      <c r="CJ1328" s="107"/>
      <c r="CK1328" s="107"/>
      <c r="CL1328" s="107"/>
      <c r="CM1328" s="107"/>
      <c r="CN1328" s="107"/>
      <c r="CO1328" s="107"/>
      <c r="CP1328" s="107"/>
      <c r="CQ1328" s="107"/>
      <c r="CR1328" s="107"/>
      <c r="CS1328" s="107"/>
      <c r="CT1328" s="107"/>
      <c r="CU1328" s="107"/>
      <c r="CV1328" s="107"/>
    </row>
    <row r="1329" customFormat="false" ht="14.9" hidden="false" customHeight="false" outlineLevel="0" collapsed="false">
      <c r="A1329" s="74" t="n">
        <f aca="false">MONTH(B1329)</f>
        <v>11</v>
      </c>
      <c r="B1329" s="135" t="n">
        <v>44520</v>
      </c>
      <c r="C1329" s="128" t="s">
        <v>51</v>
      </c>
      <c r="D1329" s="77" t="str">
        <f aca="false">IFERROR(VLOOKUP(E:E,'Item Data Support Sheet'!A:O,7,0),"")</f>
        <v>NIPPLE MOLDED</v>
      </c>
      <c r="E1329" s="80" t="s">
        <v>661</v>
      </c>
      <c r="F1329" s="122" t="s">
        <v>137</v>
      </c>
      <c r="G1329" s="137" t="s">
        <v>138</v>
      </c>
      <c r="H1329" s="79" t="str">
        <f aca="false">IFERROR(VLOOKUP(E:E,'Item Data Support Sheet'!A:O,2,0),"")</f>
        <v>NIPPLE S TYPE L SIZE INJECTION</v>
      </c>
      <c r="I1329" s="80" t="s">
        <v>2120</v>
      </c>
      <c r="J1329" s="80" t="s">
        <v>143</v>
      </c>
      <c r="K1329" s="124" t="n">
        <v>4.5</v>
      </c>
      <c r="L1329" s="124" t="n">
        <v>3600</v>
      </c>
      <c r="M1329" s="83" t="n">
        <v>800</v>
      </c>
      <c r="N1329" s="84" t="n">
        <f aca="false">+O1329+Q1329+T1329+U1329</f>
        <v>4292</v>
      </c>
      <c r="O1329" s="85" t="n">
        <v>4250</v>
      </c>
      <c r="P1329" s="86" t="n">
        <v>0.48</v>
      </c>
      <c r="Q1329" s="86" t="n">
        <v>0</v>
      </c>
      <c r="R1329" s="132" t="n">
        <v>0</v>
      </c>
      <c r="S1329" s="128" t="n">
        <v>0</v>
      </c>
      <c r="T1329" s="132" t="n">
        <v>34</v>
      </c>
      <c r="U1329" s="128" t="n">
        <v>8</v>
      </c>
      <c r="V1329" s="128" t="n">
        <v>1</v>
      </c>
      <c r="W1329" s="90" t="n">
        <f aca="false">IFERROR(O1329/V1329,0)</f>
        <v>4250</v>
      </c>
      <c r="X1329" s="91" t="n">
        <f aca="false">O1329/L1329</f>
        <v>1.18055555555556</v>
      </c>
      <c r="Y1329" s="92" t="str">
        <f aca="false">IFERROR(VLOOKUP(E:E,'Item Data Support Sheet'!A:J,6,0),0)</f>
        <v>Silicon</v>
      </c>
      <c r="Z1329" s="93" t="n">
        <f aca="false">IFERROR(VLOOKUP(E:E,'Item Data Support Sheet'!A:O,4,0),0)</f>
        <v>6.8</v>
      </c>
      <c r="AA1329" s="93" t="n">
        <f aca="false">IFERROR(((N1329)*(Z1329/1000))+P1329,0)</f>
        <v>29.6656</v>
      </c>
      <c r="AB1329" s="94" t="n">
        <f aca="false">IFERROR((O1329*(Z1329/1000)/(AA1329))," ")</f>
        <v>0.97419233051076</v>
      </c>
      <c r="AC1329" s="95" t="n">
        <f aca="false">IFERROR((T1329)/((T1329)+O1329),0)</f>
        <v>0.00793650793650794</v>
      </c>
      <c r="AD1329" s="96" t="n">
        <f aca="false">IFERROR(Q1329/(Q1329+N1329),0)</f>
        <v>0</v>
      </c>
      <c r="AE1329" s="91" t="n">
        <f aca="false">(N1329-T1329)/N1329</f>
        <v>0.992078285181733</v>
      </c>
      <c r="AF1329" s="97" t="n">
        <f aca="false">BR1329</f>
        <v>0</v>
      </c>
      <c r="AG1329" s="98" t="n">
        <f aca="false">K1329-AF1329</f>
        <v>4.5</v>
      </c>
      <c r="AH1329" s="99" t="n">
        <f aca="false">IFERROR(AG1329/K1329," ")</f>
        <v>1</v>
      </c>
      <c r="AI1329" s="100" t="n">
        <f aca="false">IFERROR(O1329/K1329,0)</f>
        <v>944.444444444444</v>
      </c>
      <c r="AJ1329" s="101" t="n">
        <f aca="false">VLOOKUP(D1329,'Standard Cycle time'!C:D,2,0)</f>
        <v>5.25</v>
      </c>
      <c r="AK1329" s="101" t="n">
        <f aca="false">AG1329*V1329*3600/O1329</f>
        <v>3.81176470588235</v>
      </c>
      <c r="AL1329" s="102" t="n">
        <f aca="false">AJ1329/AK1329</f>
        <v>1.37731481481481</v>
      </c>
      <c r="AM1329" s="99" t="n">
        <f aca="false">AE1329*AL1329*AH1329</f>
        <v>1.36640411963688</v>
      </c>
      <c r="AN1329" s="103" t="n">
        <v>1.36640411963688</v>
      </c>
      <c r="AO1329" s="112"/>
      <c r="AP1329" s="105" t="n">
        <v>0</v>
      </c>
      <c r="AQ1329" s="105" t="n">
        <v>0</v>
      </c>
      <c r="AR1329" s="105" t="n">
        <v>0</v>
      </c>
      <c r="AS1329" s="105" t="n">
        <v>0</v>
      </c>
      <c r="AT1329" s="105" t="n">
        <v>0</v>
      </c>
      <c r="AU1329" s="105" t="n">
        <v>0</v>
      </c>
      <c r="AV1329" s="105" t="n">
        <v>0</v>
      </c>
      <c r="AW1329" s="105" t="n">
        <v>0</v>
      </c>
      <c r="AX1329" s="105" t="n">
        <v>0</v>
      </c>
      <c r="AY1329" s="105" t="n">
        <v>0</v>
      </c>
      <c r="AZ1329" s="105" t="n">
        <v>0</v>
      </c>
      <c r="BA1329" s="105" t="n">
        <v>0</v>
      </c>
      <c r="BB1329" s="105" t="n">
        <v>0</v>
      </c>
      <c r="BC1329" s="105" t="n">
        <v>0</v>
      </c>
      <c r="BD1329" s="105" t="n">
        <v>0</v>
      </c>
      <c r="BE1329" s="105" t="n">
        <v>0</v>
      </c>
      <c r="BF1329" s="105" t="n">
        <v>0</v>
      </c>
      <c r="BG1329" s="105" t="n">
        <v>0</v>
      </c>
      <c r="BH1329" s="105" t="n">
        <v>0</v>
      </c>
      <c r="BI1329" s="105" t="n">
        <v>0</v>
      </c>
      <c r="BJ1329" s="105" t="n">
        <v>0</v>
      </c>
      <c r="BK1329" s="105" t="n">
        <v>0</v>
      </c>
      <c r="BL1329" s="105" t="n">
        <v>0</v>
      </c>
      <c r="BM1329" s="105" t="n">
        <v>0</v>
      </c>
      <c r="BN1329" s="105" t="n">
        <v>0</v>
      </c>
      <c r="BO1329" s="105" t="n">
        <v>0</v>
      </c>
      <c r="BP1329" s="105" t="n">
        <v>0</v>
      </c>
      <c r="BQ1329" s="105" t="n">
        <v>0</v>
      </c>
      <c r="BR1329" s="106" t="n">
        <v>0</v>
      </c>
      <c r="BS1329" s="106" t="n">
        <v>0</v>
      </c>
      <c r="BT1329" s="107"/>
      <c r="BU1329" s="107"/>
      <c r="BV1329" s="107"/>
      <c r="BW1329" s="107"/>
      <c r="BX1329" s="107"/>
      <c r="BY1329" s="107"/>
      <c r="BZ1329" s="107"/>
      <c r="CA1329" s="107"/>
      <c r="CB1329" s="107"/>
      <c r="CC1329" s="107"/>
      <c r="CD1329" s="107"/>
      <c r="CE1329" s="107"/>
      <c r="CF1329" s="107"/>
      <c r="CG1329" s="107"/>
      <c r="CH1329" s="107"/>
      <c r="CI1329" s="107"/>
      <c r="CJ1329" s="107"/>
      <c r="CK1329" s="107"/>
      <c r="CL1329" s="107"/>
      <c r="CM1329" s="107"/>
      <c r="CN1329" s="107"/>
      <c r="CO1329" s="107"/>
      <c r="CP1329" s="107"/>
      <c r="CQ1329" s="107"/>
      <c r="CR1329" s="107"/>
      <c r="CS1329" s="107"/>
      <c r="CT1329" s="107"/>
      <c r="CU1329" s="107"/>
      <c r="CV1329" s="107"/>
    </row>
    <row r="1330" customFormat="false" ht="14.9" hidden="false" customHeight="false" outlineLevel="0" collapsed="false">
      <c r="A1330" s="74" t="n">
        <f aca="false">MONTH(B1330)</f>
        <v>11</v>
      </c>
      <c r="B1330" s="135" t="n">
        <v>44520</v>
      </c>
      <c r="C1330" s="128" t="s">
        <v>51</v>
      </c>
      <c r="D1330" s="77" t="str">
        <f aca="false">IFERROR(VLOOKUP(E:E,'Item Data Support Sheet'!A:O,7,0),"")</f>
        <v>BOTTLE MOLDED</v>
      </c>
      <c r="E1330" s="80" t="s">
        <v>879</v>
      </c>
      <c r="F1330" s="122" t="s">
        <v>589</v>
      </c>
      <c r="G1330" s="137" t="s">
        <v>74</v>
      </c>
      <c r="H1330" s="79" t="str">
        <f aca="false">IFERROR(VLOOKUP(E:E,'Item Data Support Sheet'!A:O,2,0),"")</f>
        <v>RPP 240ML BLUE BOTTLE MOLDED (WM3GB)</v>
      </c>
      <c r="I1330" s="80" t="s">
        <v>2124</v>
      </c>
      <c r="J1330" s="80" t="s">
        <v>143</v>
      </c>
      <c r="K1330" s="124" t="n">
        <v>4.5</v>
      </c>
      <c r="L1330" s="124" t="n">
        <v>2000</v>
      </c>
      <c r="M1330" s="83" t="n">
        <v>444.444444444444</v>
      </c>
      <c r="N1330" s="84" t="n">
        <f aca="false">+O1330+Q1330+T1330+U1330</f>
        <v>2390</v>
      </c>
      <c r="O1330" s="85" t="n">
        <v>2280</v>
      </c>
      <c r="P1330" s="86" t="n">
        <v>0.38</v>
      </c>
      <c r="Q1330" s="86" t="n">
        <v>53</v>
      </c>
      <c r="R1330" s="132" t="n">
        <v>0</v>
      </c>
      <c r="S1330" s="128" t="n">
        <v>0</v>
      </c>
      <c r="T1330" s="132" t="n">
        <v>49</v>
      </c>
      <c r="U1330" s="128" t="n">
        <v>8</v>
      </c>
      <c r="V1330" s="128" t="n">
        <v>1</v>
      </c>
      <c r="W1330" s="90" t="n">
        <f aca="false">IFERROR(O1330/V1330,0)</f>
        <v>2280</v>
      </c>
      <c r="X1330" s="91" t="n">
        <f aca="false">O1330/L1330</f>
        <v>1.14</v>
      </c>
      <c r="Y1330" s="92" t="str">
        <f aca="false">IFERROR(VLOOKUP(E:E,'Item Data Support Sheet'!A:J,6,0),0)</f>
        <v>WMG3B</v>
      </c>
      <c r="Z1330" s="93" t="n">
        <f aca="false">IFERROR(VLOOKUP(E:E,'Item Data Support Sheet'!A:O,4,0),0)</f>
        <v>33.13</v>
      </c>
      <c r="AA1330" s="93" t="n">
        <f aca="false">IFERROR(((N1330)*(Z1330/1000))+P1330,0)</f>
        <v>79.5607</v>
      </c>
      <c r="AB1330" s="94" t="n">
        <f aca="false">IFERROR((O1330*(Z1330/1000)/(AA1330))," ")</f>
        <v>0.949418494306863</v>
      </c>
      <c r="AC1330" s="95" t="n">
        <f aca="false">IFERROR((T1330)/((T1330)+O1330),0)</f>
        <v>0.0210390725633319</v>
      </c>
      <c r="AD1330" s="96" t="n">
        <f aca="false">IFERROR(Q1330/(Q1330+N1330),0)</f>
        <v>0.021694637740483</v>
      </c>
      <c r="AE1330" s="91" t="n">
        <f aca="false">(N1330-T1330)/N1330</f>
        <v>0.979497907949791</v>
      </c>
      <c r="AF1330" s="97" t="n">
        <f aca="false">BR1330</f>
        <v>0</v>
      </c>
      <c r="AG1330" s="98" t="n">
        <f aca="false">K1330-AF1330</f>
        <v>4.5</v>
      </c>
      <c r="AH1330" s="99" t="n">
        <f aca="false">IFERROR(AG1330/K1330," ")</f>
        <v>1</v>
      </c>
      <c r="AI1330" s="100" t="n">
        <f aca="false">IFERROR(O1330/K1330,0)</f>
        <v>506.666666666667</v>
      </c>
      <c r="AJ1330" s="101" t="n">
        <f aca="false">VLOOKUP(D1330,'Standard Cycle time'!C:D,2,0)</f>
        <v>9</v>
      </c>
      <c r="AK1330" s="101" t="n">
        <f aca="false">AG1330*V1330*3600/O1330</f>
        <v>7.10526315789474</v>
      </c>
      <c r="AL1330" s="102" t="n">
        <f aca="false">AJ1330/AK1330</f>
        <v>1.26666666666667</v>
      </c>
      <c r="AM1330" s="99" t="n">
        <f aca="false">AE1330*AL1330*AH1330</f>
        <v>1.24069735006974</v>
      </c>
      <c r="AN1330" s="103" t="n">
        <v>1.24069735006974</v>
      </c>
      <c r="AO1330" s="112"/>
      <c r="AP1330" s="105" t="n">
        <v>0</v>
      </c>
      <c r="AQ1330" s="105" t="n">
        <v>0</v>
      </c>
      <c r="AR1330" s="105" t="n">
        <v>0</v>
      </c>
      <c r="AS1330" s="105" t="n">
        <v>0</v>
      </c>
      <c r="AT1330" s="105" t="n">
        <v>0</v>
      </c>
      <c r="AU1330" s="105" t="n">
        <v>0</v>
      </c>
      <c r="AV1330" s="105" t="n">
        <v>0</v>
      </c>
      <c r="AW1330" s="105" t="n">
        <v>0</v>
      </c>
      <c r="AX1330" s="105" t="n">
        <v>0</v>
      </c>
      <c r="AY1330" s="105" t="n">
        <v>0</v>
      </c>
      <c r="AZ1330" s="105" t="n">
        <v>0</v>
      </c>
      <c r="BA1330" s="105" t="n">
        <v>0</v>
      </c>
      <c r="BB1330" s="105" t="n">
        <v>0</v>
      </c>
      <c r="BC1330" s="105" t="n">
        <v>0</v>
      </c>
      <c r="BD1330" s="105" t="n">
        <v>0</v>
      </c>
      <c r="BE1330" s="105" t="n">
        <v>0</v>
      </c>
      <c r="BF1330" s="105" t="n">
        <v>0</v>
      </c>
      <c r="BG1330" s="105" t="n">
        <v>0</v>
      </c>
      <c r="BH1330" s="105" t="n">
        <v>0</v>
      </c>
      <c r="BI1330" s="105" t="n">
        <v>0</v>
      </c>
      <c r="BJ1330" s="105" t="n">
        <v>0</v>
      </c>
      <c r="BK1330" s="105" t="n">
        <v>0</v>
      </c>
      <c r="BL1330" s="105" t="n">
        <v>0</v>
      </c>
      <c r="BM1330" s="105" t="n">
        <v>0</v>
      </c>
      <c r="BN1330" s="105" t="n">
        <v>0</v>
      </c>
      <c r="BO1330" s="105" t="n">
        <v>0</v>
      </c>
      <c r="BP1330" s="105" t="n">
        <v>0</v>
      </c>
      <c r="BQ1330" s="105" t="n">
        <v>0</v>
      </c>
      <c r="BR1330" s="106" t="n">
        <v>0</v>
      </c>
      <c r="BS1330" s="106" t="n">
        <v>0</v>
      </c>
      <c r="BT1330" s="107"/>
      <c r="BU1330" s="107"/>
      <c r="BV1330" s="107"/>
      <c r="BW1330" s="107"/>
      <c r="BX1330" s="107"/>
      <c r="BY1330" s="107"/>
      <c r="BZ1330" s="107"/>
      <c r="CA1330" s="107"/>
      <c r="CB1330" s="107"/>
      <c r="CC1330" s="107"/>
      <c r="CD1330" s="107"/>
      <c r="CE1330" s="107"/>
      <c r="CF1330" s="107"/>
      <c r="CG1330" s="107"/>
      <c r="CH1330" s="107"/>
      <c r="CI1330" s="107"/>
      <c r="CJ1330" s="107"/>
      <c r="CK1330" s="107"/>
      <c r="CL1330" s="107"/>
      <c r="CM1330" s="107"/>
      <c r="CN1330" s="107"/>
      <c r="CO1330" s="107"/>
      <c r="CP1330" s="107"/>
      <c r="CQ1330" s="107"/>
      <c r="CR1330" s="107"/>
      <c r="CS1330" s="107"/>
      <c r="CT1330" s="107"/>
      <c r="CU1330" s="107"/>
      <c r="CV1330" s="107"/>
    </row>
    <row r="1331" customFormat="false" ht="14.9" hidden="false" customHeight="false" outlineLevel="0" collapsed="false">
      <c r="A1331" s="74" t="n">
        <f aca="false">MONTH(B1331)</f>
        <v>11</v>
      </c>
      <c r="B1331" s="135" t="n">
        <v>44520</v>
      </c>
      <c r="C1331" s="128" t="s">
        <v>63</v>
      </c>
      <c r="D1331" s="77" t="str">
        <f aca="false">IFERROR(VLOOKUP(E:E,'Item Data Support Sheet'!A:O,7,0),"")</f>
        <v>NIPPLE PUNCH INSPECTED</v>
      </c>
      <c r="E1331" s="80" t="s">
        <v>688</v>
      </c>
      <c r="F1331" s="122"/>
      <c r="G1331" s="137"/>
      <c r="H1331" s="79" t="str">
        <f aca="false">IFERROR(VLOOKUP(E:E,'Item Data Support Sheet'!A:O,2,0),"")</f>
        <v>NIPPLE S TYPE L SIZE PUNCHED INSPECTED</v>
      </c>
      <c r="I1331" s="80" t="s">
        <v>2125</v>
      </c>
      <c r="J1331" s="80" t="s">
        <v>143</v>
      </c>
      <c r="K1331" s="124" t="n">
        <v>4.5</v>
      </c>
      <c r="L1331" s="124" t="n">
        <v>7000</v>
      </c>
      <c r="M1331" s="83" t="n">
        <v>1555.55555555556</v>
      </c>
      <c r="N1331" s="84" t="n">
        <f aca="false">+O1331+Q1331+T1331+U1331</f>
        <v>9075</v>
      </c>
      <c r="O1331" s="85" t="n">
        <v>9047</v>
      </c>
      <c r="P1331" s="86" t="n">
        <v>0</v>
      </c>
      <c r="Q1331" s="86" t="n">
        <v>0</v>
      </c>
      <c r="R1331" s="132" t="n">
        <v>0</v>
      </c>
      <c r="S1331" s="128" t="n">
        <v>0</v>
      </c>
      <c r="T1331" s="132" t="n">
        <v>28</v>
      </c>
      <c r="U1331" s="128" t="n">
        <v>0</v>
      </c>
      <c r="V1331" s="128" t="n">
        <v>2</v>
      </c>
      <c r="W1331" s="90" t="n">
        <f aca="false">IFERROR(O1331/V1331,0)</f>
        <v>4523.5</v>
      </c>
      <c r="X1331" s="91" t="n">
        <f aca="false">O1331/L1331</f>
        <v>1.29242857142857</v>
      </c>
      <c r="Y1331" s="92" t="str">
        <f aca="false">IFERROR(VLOOKUP(E:E,'Item Data Support Sheet'!A:J,6,0),0)</f>
        <v>FO106</v>
      </c>
      <c r="Z1331" s="93" t="n">
        <f aca="false">IFERROR(VLOOKUP(E:E,'Item Data Support Sheet'!A:O,4,0),0)</f>
        <v>0</v>
      </c>
      <c r="AA1331" s="93" t="n">
        <f aca="false">IFERROR(((N1331)*(Z1331/1000))+P1331,0)</f>
        <v>0</v>
      </c>
      <c r="AB1331" s="94" t="str">
        <f aca="false">IFERROR((O1331*(Z1331/1000)/(AA1331))," ")</f>
        <v> </v>
      </c>
      <c r="AC1331" s="95" t="n">
        <f aca="false">IFERROR((T1331)/((T1331)+O1331),0)</f>
        <v>0.00308539944903581</v>
      </c>
      <c r="AD1331" s="96" t="n">
        <f aca="false">IFERROR(Q1331/(Q1331+N1331),0)</f>
        <v>0</v>
      </c>
      <c r="AE1331" s="91" t="n">
        <f aca="false">(N1331-T1331)/N1331</f>
        <v>0.996914600550964</v>
      </c>
      <c r="AF1331" s="97" t="n">
        <f aca="false">BR1331</f>
        <v>0</v>
      </c>
      <c r="AG1331" s="98" t="n">
        <f aca="false">K1331-AF1331</f>
        <v>4.5</v>
      </c>
      <c r="AH1331" s="99" t="n">
        <f aca="false">IFERROR(AG1331/K1331," ")</f>
        <v>1</v>
      </c>
      <c r="AI1331" s="100" t="n">
        <f aca="false">IFERROR(O1331/K1331,0)</f>
        <v>2010.44444444444</v>
      </c>
      <c r="AJ1331" s="101" t="n">
        <f aca="false">VLOOKUP(D1331,'Standard Cycle time'!C:D,2,0)</f>
        <v>4</v>
      </c>
      <c r="AK1331" s="101" t="n">
        <f aca="false">AG1331*V1331*3600/O1331</f>
        <v>3.58129766773516</v>
      </c>
      <c r="AL1331" s="102" t="n">
        <f aca="false">AJ1331/AK1331</f>
        <v>1.11691358024691</v>
      </c>
      <c r="AM1331" s="99" t="n">
        <f aca="false">AE1331*AL1331*AH1331</f>
        <v>1.1134674557018</v>
      </c>
      <c r="AN1331" s="103" t="n">
        <v>1.1134674557018</v>
      </c>
      <c r="AO1331" s="112"/>
      <c r="AP1331" s="105" t="n">
        <v>0</v>
      </c>
      <c r="AQ1331" s="105" t="n">
        <v>0</v>
      </c>
      <c r="AR1331" s="105" t="n">
        <v>0</v>
      </c>
      <c r="AS1331" s="105" t="n">
        <v>0</v>
      </c>
      <c r="AT1331" s="105" t="n">
        <v>0</v>
      </c>
      <c r="AU1331" s="105" t="n">
        <v>0</v>
      </c>
      <c r="AV1331" s="105" t="n">
        <v>0</v>
      </c>
      <c r="AW1331" s="105" t="n">
        <v>0</v>
      </c>
      <c r="AX1331" s="105" t="n">
        <v>0</v>
      </c>
      <c r="AY1331" s="105" t="n">
        <v>0</v>
      </c>
      <c r="AZ1331" s="105" t="n">
        <v>0</v>
      </c>
      <c r="BA1331" s="105" t="n">
        <v>0</v>
      </c>
      <c r="BB1331" s="105" t="n">
        <v>0</v>
      </c>
      <c r="BC1331" s="105" t="n">
        <v>0</v>
      </c>
      <c r="BD1331" s="105" t="n">
        <v>0</v>
      </c>
      <c r="BE1331" s="105" t="n">
        <v>0</v>
      </c>
      <c r="BF1331" s="105" t="n">
        <v>0</v>
      </c>
      <c r="BG1331" s="105" t="n">
        <v>0</v>
      </c>
      <c r="BH1331" s="105" t="n">
        <v>0</v>
      </c>
      <c r="BI1331" s="105" t="n">
        <v>0</v>
      </c>
      <c r="BJ1331" s="105" t="n">
        <v>0</v>
      </c>
      <c r="BK1331" s="105" t="n">
        <v>0</v>
      </c>
      <c r="BL1331" s="105" t="n">
        <v>0</v>
      </c>
      <c r="BM1331" s="105" t="n">
        <v>0</v>
      </c>
      <c r="BN1331" s="105" t="n">
        <v>0</v>
      </c>
      <c r="BO1331" s="105" t="n">
        <v>0</v>
      </c>
      <c r="BP1331" s="105" t="n">
        <v>0</v>
      </c>
      <c r="BQ1331" s="105" t="n">
        <v>0</v>
      </c>
      <c r="BR1331" s="106" t="n">
        <v>0</v>
      </c>
      <c r="BS1331" s="106" t="n">
        <v>0</v>
      </c>
      <c r="BT1331" s="107"/>
      <c r="BU1331" s="107"/>
      <c r="BV1331" s="107"/>
      <c r="BW1331" s="107"/>
      <c r="BX1331" s="107"/>
      <c r="BY1331" s="107"/>
      <c r="BZ1331" s="107"/>
      <c r="CA1331" s="107"/>
      <c r="CB1331" s="107"/>
      <c r="CC1331" s="107"/>
      <c r="CD1331" s="107"/>
      <c r="CE1331" s="107"/>
      <c r="CF1331" s="107"/>
      <c r="CG1331" s="107"/>
      <c r="CH1331" s="107"/>
      <c r="CI1331" s="107"/>
      <c r="CJ1331" s="107"/>
      <c r="CK1331" s="107"/>
      <c r="CL1331" s="107"/>
      <c r="CM1331" s="107"/>
      <c r="CN1331" s="107"/>
      <c r="CO1331" s="107"/>
      <c r="CP1331" s="107"/>
      <c r="CQ1331" s="107"/>
      <c r="CR1331" s="107"/>
      <c r="CS1331" s="107"/>
      <c r="CT1331" s="107"/>
      <c r="CU1331" s="107"/>
      <c r="CV1331" s="107"/>
    </row>
    <row r="1332" customFormat="false" ht="14.9" hidden="false" customHeight="false" outlineLevel="0" collapsed="false">
      <c r="A1332" s="74" t="n">
        <f aca="false">MONTH(B1332)</f>
        <v>11</v>
      </c>
      <c r="B1332" s="135" t="n">
        <v>44520</v>
      </c>
      <c r="C1332" s="128" t="s">
        <v>63</v>
      </c>
      <c r="D1332" s="77" t="str">
        <f aca="false">IFERROR(VLOOKUP(E:E,'Item Data Support Sheet'!A:O,7,0),"")</f>
        <v>NIPPLE WRAP PRINTED</v>
      </c>
      <c r="E1332" s="80" t="s">
        <v>474</v>
      </c>
      <c r="F1332" s="122"/>
      <c r="G1332" s="137" t="s">
        <v>432</v>
      </c>
      <c r="H1332" s="79" t="str">
        <f aca="false">IFERROR(VLOOKUP(E:E,'Item Data Support Sheet'!A:O,2,0),"")</f>
        <v>NIPPLE S TYPE L SIZE WITH PRINTED WRAP</v>
      </c>
      <c r="I1332" s="80" t="s">
        <v>2105</v>
      </c>
      <c r="J1332" s="80" t="s">
        <v>143</v>
      </c>
      <c r="K1332" s="124" t="n">
        <v>4.5</v>
      </c>
      <c r="L1332" s="124" t="n">
        <v>8000</v>
      </c>
      <c r="M1332" s="83" t="n">
        <v>1777.77777777778</v>
      </c>
      <c r="N1332" s="84" t="n">
        <f aca="false">+O1332+Q1332+T1332+U1332</f>
        <v>8178</v>
      </c>
      <c r="O1332" s="85" t="n">
        <v>8174</v>
      </c>
      <c r="P1332" s="86" t="n">
        <v>0</v>
      </c>
      <c r="Q1332" s="86" t="n">
        <v>0</v>
      </c>
      <c r="R1332" s="132" t="n">
        <v>0</v>
      </c>
      <c r="S1332" s="128" t="n">
        <v>0</v>
      </c>
      <c r="T1332" s="132" t="n">
        <v>4</v>
      </c>
      <c r="U1332" s="128" t="n">
        <v>0</v>
      </c>
      <c r="V1332" s="128" t="n">
        <v>2</v>
      </c>
      <c r="W1332" s="90" t="n">
        <f aca="false">IFERROR(O1332/V1332,0)</f>
        <v>4087</v>
      </c>
      <c r="X1332" s="91" t="n">
        <f aca="false">O1332/L1332</f>
        <v>1.02175</v>
      </c>
      <c r="Y1332" s="92" t="str">
        <f aca="false">IFERROR(VLOOKUP(E:E,'Item Data Support Sheet'!A:J,6,0),0)</f>
        <v>FO021</v>
      </c>
      <c r="Z1332" s="93" t="n">
        <f aca="false">IFERROR(VLOOKUP(E:E,'Item Data Support Sheet'!A:O,4,0),0)</f>
        <v>0</v>
      </c>
      <c r="AA1332" s="93" t="n">
        <f aca="false">IFERROR(((N1332)*(Z1332/1000))+P1332,0)</f>
        <v>0</v>
      </c>
      <c r="AB1332" s="94" t="str">
        <f aca="false">IFERROR((O1332*(Z1332/1000)/(AA1332))," ")</f>
        <v> </v>
      </c>
      <c r="AC1332" s="95" t="n">
        <f aca="false">IFERROR((T1332)/((T1332)+O1332),0)</f>
        <v>0.000489117143555882</v>
      </c>
      <c r="AD1332" s="96" t="n">
        <f aca="false">IFERROR(Q1332/(Q1332+N1332),0)</f>
        <v>0</v>
      </c>
      <c r="AE1332" s="91" t="n">
        <f aca="false">(N1332-T1332)/N1332</f>
        <v>0.999510882856444</v>
      </c>
      <c r="AF1332" s="97" t="n">
        <f aca="false">BR1332</f>
        <v>0</v>
      </c>
      <c r="AG1332" s="98" t="n">
        <f aca="false">K1332-AF1332</f>
        <v>4.5</v>
      </c>
      <c r="AH1332" s="99" t="n">
        <f aca="false">IFERROR(AG1332/K1332," ")</f>
        <v>1</v>
      </c>
      <c r="AI1332" s="100" t="n">
        <f aca="false">IFERROR(O1332/K1332,0)</f>
        <v>1816.44444444444</v>
      </c>
      <c r="AJ1332" s="101" t="n">
        <f aca="false">VLOOKUP(D1332,'Standard Cycle time'!C:D,2,0)</f>
        <v>2.5</v>
      </c>
      <c r="AK1332" s="101" t="n">
        <f aca="false">AG1332*V1332*3600/O1332</f>
        <v>3.96378761928065</v>
      </c>
      <c r="AL1332" s="102" t="n">
        <f aca="false">AJ1332/AK1332</f>
        <v>0.63070987654321</v>
      </c>
      <c r="AM1332" s="99" t="n">
        <f aca="false">AE1332*AL1332*AH1332</f>
        <v>0.630401385529983</v>
      </c>
      <c r="AN1332" s="103" t="n">
        <v>0.630401385529983</v>
      </c>
      <c r="AO1332" s="112"/>
      <c r="AP1332" s="105" t="n">
        <v>0</v>
      </c>
      <c r="AQ1332" s="105" t="n">
        <v>0</v>
      </c>
      <c r="AR1332" s="105" t="n">
        <v>0</v>
      </c>
      <c r="AS1332" s="105" t="n">
        <v>0</v>
      </c>
      <c r="AT1332" s="105" t="n">
        <v>0</v>
      </c>
      <c r="AU1332" s="105" t="n">
        <v>0</v>
      </c>
      <c r="AV1332" s="105" t="n">
        <v>0</v>
      </c>
      <c r="AW1332" s="105" t="n">
        <v>0</v>
      </c>
      <c r="AX1332" s="105" t="n">
        <v>0</v>
      </c>
      <c r="AY1332" s="105" t="n">
        <v>0</v>
      </c>
      <c r="AZ1332" s="105" t="n">
        <v>0</v>
      </c>
      <c r="BA1332" s="105" t="n">
        <v>0</v>
      </c>
      <c r="BB1332" s="105" t="n">
        <v>0</v>
      </c>
      <c r="BC1332" s="105" t="n">
        <v>0</v>
      </c>
      <c r="BD1332" s="105" t="n">
        <v>0</v>
      </c>
      <c r="BE1332" s="105" t="n">
        <v>0</v>
      </c>
      <c r="BF1332" s="105" t="n">
        <v>0</v>
      </c>
      <c r="BG1332" s="105" t="n">
        <v>0</v>
      </c>
      <c r="BH1332" s="105" t="n">
        <v>0</v>
      </c>
      <c r="BI1332" s="105" t="n">
        <v>0</v>
      </c>
      <c r="BJ1332" s="105" t="n">
        <v>0</v>
      </c>
      <c r="BK1332" s="105" t="n">
        <v>0</v>
      </c>
      <c r="BL1332" s="105" t="n">
        <v>0</v>
      </c>
      <c r="BM1332" s="105" t="n">
        <v>0</v>
      </c>
      <c r="BN1332" s="105" t="n">
        <v>0</v>
      </c>
      <c r="BO1332" s="105" t="n">
        <v>0</v>
      </c>
      <c r="BP1332" s="105" t="n">
        <v>0</v>
      </c>
      <c r="BQ1332" s="105" t="n">
        <v>0</v>
      </c>
      <c r="BR1332" s="106" t="n">
        <v>0</v>
      </c>
      <c r="BS1332" s="106" t="n">
        <v>0</v>
      </c>
      <c r="BT1332" s="107"/>
      <c r="BU1332" s="107"/>
      <c r="BV1332" s="107"/>
      <c r="BW1332" s="107"/>
      <c r="BX1332" s="107"/>
      <c r="BY1332" s="107"/>
      <c r="BZ1332" s="107"/>
      <c r="CA1332" s="107"/>
      <c r="CB1332" s="107"/>
      <c r="CC1332" s="107"/>
      <c r="CD1332" s="107"/>
      <c r="CE1332" s="107"/>
      <c r="CF1332" s="107"/>
      <c r="CG1332" s="107"/>
      <c r="CH1332" s="107"/>
      <c r="CI1332" s="107"/>
      <c r="CJ1332" s="107"/>
      <c r="CK1332" s="107"/>
      <c r="CL1332" s="107"/>
      <c r="CM1332" s="107"/>
      <c r="CN1332" s="107"/>
      <c r="CO1332" s="107"/>
      <c r="CP1332" s="107"/>
      <c r="CQ1332" s="107"/>
      <c r="CR1332" s="107"/>
      <c r="CS1332" s="107"/>
      <c r="CT1332" s="107"/>
      <c r="CU1332" s="107"/>
      <c r="CV1332" s="107"/>
    </row>
    <row r="1333" customFormat="false" ht="14.9" hidden="false" customHeight="false" outlineLevel="0" collapsed="false">
      <c r="A1333" s="74" t="n">
        <f aca="false">MONTH(B1333)</f>
        <v>11</v>
      </c>
      <c r="B1333" s="135" t="n">
        <v>44522</v>
      </c>
      <c r="C1333" s="128" t="s">
        <v>51</v>
      </c>
      <c r="D1333" s="77" t="str">
        <f aca="false">IFERROR(VLOOKUP(E:E,'Item Data Support Sheet'!A:O,7,0),"")</f>
        <v>NIPPLE LASER MARKING</v>
      </c>
      <c r="E1333" s="80" t="s">
        <v>681</v>
      </c>
      <c r="F1333" s="122"/>
      <c r="G1333" s="137" t="s">
        <v>517</v>
      </c>
      <c r="H1333" s="79" t="str">
        <f aca="false">IFERROR(VLOOKUP(E:E,'Item Data Support Sheet'!A:O,2,0),"")</f>
        <v>NIPPLE S TYPE L SIZE PUNCHED LASER MARKED</v>
      </c>
      <c r="I1333" s="80" t="s">
        <v>2123</v>
      </c>
      <c r="J1333" s="80" t="s">
        <v>155</v>
      </c>
      <c r="K1333" s="124" t="n">
        <v>2</v>
      </c>
      <c r="L1333" s="124" t="n">
        <v>1750</v>
      </c>
      <c r="M1333" s="83" t="n">
        <v>875</v>
      </c>
      <c r="N1333" s="84" t="n">
        <f aca="false">+O1333+Q1333+T1333+U1333</f>
        <v>1698</v>
      </c>
      <c r="O1333" s="85" t="n">
        <v>1698</v>
      </c>
      <c r="P1333" s="86" t="n">
        <v>0</v>
      </c>
      <c r="Q1333" s="86" t="n">
        <v>0</v>
      </c>
      <c r="R1333" s="132" t="n">
        <v>0</v>
      </c>
      <c r="S1333" s="128" t="n">
        <v>0</v>
      </c>
      <c r="T1333" s="132" t="n">
        <v>0</v>
      </c>
      <c r="U1333" s="128" t="n">
        <v>0</v>
      </c>
      <c r="V1333" s="128" t="n">
        <v>1</v>
      </c>
      <c r="W1333" s="90" t="n">
        <f aca="false">IFERROR(O1333/V1333,0)</f>
        <v>1698</v>
      </c>
      <c r="X1333" s="91" t="n">
        <f aca="false">O1333/L1333</f>
        <v>0.970285714285714</v>
      </c>
      <c r="Y1333" s="92" t="str">
        <f aca="false">IFERROR(VLOOKUP(E:E,'Item Data Support Sheet'!A:J,6,0),0)</f>
        <v>FO021</v>
      </c>
      <c r="Z1333" s="93" t="n">
        <f aca="false">IFERROR(VLOOKUP(E:E,'Item Data Support Sheet'!A:O,4,0),0)</f>
        <v>0</v>
      </c>
      <c r="AA1333" s="93" t="n">
        <f aca="false">IFERROR(((N1333)*(Z1333/1000))+P1333,0)</f>
        <v>0</v>
      </c>
      <c r="AB1333" s="94" t="str">
        <f aca="false">IFERROR((O1333*(Z1333/1000)/(AA1333))," ")</f>
        <v> </v>
      </c>
      <c r="AC1333" s="95" t="n">
        <f aca="false">IFERROR((T1333)/((T1333)+O1333),0)</f>
        <v>0</v>
      </c>
      <c r="AD1333" s="96" t="n">
        <f aca="false">IFERROR(Q1333/(Q1333+N1333),0)</f>
        <v>0</v>
      </c>
      <c r="AE1333" s="91" t="n">
        <f aca="false">(N1333-T1333)/N1333</f>
        <v>1</v>
      </c>
      <c r="AF1333" s="97" t="n">
        <f aca="false">BR1333</f>
        <v>0.666666666666667</v>
      </c>
      <c r="AG1333" s="98" t="n">
        <f aca="false">K1333-AF1333</f>
        <v>1.33333333333333</v>
      </c>
      <c r="AH1333" s="99" t="n">
        <f aca="false">IFERROR(AG1333/K1333," ")</f>
        <v>0.666666666666667</v>
      </c>
      <c r="AI1333" s="100" t="n">
        <f aca="false">IFERROR(O1333/K1333,0)</f>
        <v>849</v>
      </c>
      <c r="AJ1333" s="101" t="n">
        <f aca="false">VLOOKUP(D1333,'Standard Cycle time'!C:D,2,0)</f>
        <v>3.5</v>
      </c>
      <c r="AK1333" s="101" t="n">
        <f aca="false">AG1333*V1333*3600/O1333</f>
        <v>2.82685512367491</v>
      </c>
      <c r="AL1333" s="102" t="n">
        <f aca="false">AJ1333/AK1333</f>
        <v>1.238125</v>
      </c>
      <c r="AM1333" s="99" t="n">
        <f aca="false">AE1333*AL1333*AH1333</f>
        <v>0.825416666666666</v>
      </c>
      <c r="AN1333" s="103" t="n">
        <v>0.825416666666666</v>
      </c>
      <c r="AO1333" s="112" t="s">
        <v>1659</v>
      </c>
      <c r="AP1333" s="105" t="n">
        <v>40</v>
      </c>
      <c r="AQ1333" s="105" t="n">
        <v>0</v>
      </c>
      <c r="AR1333" s="105" t="n">
        <v>0</v>
      </c>
      <c r="AS1333" s="105" t="n">
        <v>0</v>
      </c>
      <c r="AT1333" s="105" t="n">
        <v>0</v>
      </c>
      <c r="AU1333" s="105" t="n">
        <v>0</v>
      </c>
      <c r="AV1333" s="105" t="n">
        <v>0</v>
      </c>
      <c r="AW1333" s="105" t="n">
        <v>0</v>
      </c>
      <c r="AX1333" s="105" t="n">
        <v>0</v>
      </c>
      <c r="AY1333" s="105" t="n">
        <v>0</v>
      </c>
      <c r="AZ1333" s="105" t="n">
        <v>0</v>
      </c>
      <c r="BA1333" s="105" t="n">
        <v>0</v>
      </c>
      <c r="BB1333" s="105" t="n">
        <v>0</v>
      </c>
      <c r="BC1333" s="105" t="n">
        <v>0</v>
      </c>
      <c r="BD1333" s="105" t="n">
        <v>0</v>
      </c>
      <c r="BE1333" s="105" t="n">
        <v>0</v>
      </c>
      <c r="BF1333" s="105" t="n">
        <v>0</v>
      </c>
      <c r="BG1333" s="105" t="n">
        <v>0</v>
      </c>
      <c r="BH1333" s="105" t="n">
        <v>0</v>
      </c>
      <c r="BI1333" s="105" t="n">
        <v>0</v>
      </c>
      <c r="BJ1333" s="105" t="n">
        <v>0</v>
      </c>
      <c r="BK1333" s="105" t="n">
        <v>0</v>
      </c>
      <c r="BL1333" s="105" t="n">
        <v>0</v>
      </c>
      <c r="BM1333" s="105" t="n">
        <v>0</v>
      </c>
      <c r="BN1333" s="105" t="n">
        <v>0</v>
      </c>
      <c r="BO1333" s="105" t="n">
        <v>0</v>
      </c>
      <c r="BP1333" s="105" t="n">
        <v>0</v>
      </c>
      <c r="BQ1333" s="105" t="n">
        <v>0</v>
      </c>
      <c r="BR1333" s="106" t="n">
        <v>0.666666666666667</v>
      </c>
      <c r="BS1333" s="106" t="n">
        <v>0.666666666666667</v>
      </c>
      <c r="BT1333" s="107"/>
      <c r="BU1333" s="107"/>
      <c r="BV1333" s="107"/>
      <c r="BW1333" s="107"/>
      <c r="BX1333" s="107"/>
      <c r="BY1333" s="107"/>
      <c r="BZ1333" s="107"/>
      <c r="CA1333" s="107"/>
      <c r="CB1333" s="107"/>
      <c r="CC1333" s="107"/>
      <c r="CD1333" s="107"/>
      <c r="CE1333" s="107"/>
      <c r="CF1333" s="107"/>
      <c r="CG1333" s="107"/>
      <c r="CH1333" s="107"/>
      <c r="CI1333" s="107"/>
      <c r="CJ1333" s="107"/>
      <c r="CK1333" s="107"/>
      <c r="CL1333" s="107"/>
      <c r="CM1333" s="107"/>
      <c r="CN1333" s="107"/>
      <c r="CO1333" s="107"/>
      <c r="CP1333" s="107"/>
      <c r="CQ1333" s="107"/>
      <c r="CR1333" s="107"/>
      <c r="CS1333" s="107"/>
      <c r="CT1333" s="107"/>
      <c r="CU1333" s="107"/>
      <c r="CV1333" s="107"/>
    </row>
    <row r="1334" customFormat="false" ht="14.9" hidden="false" customHeight="false" outlineLevel="0" collapsed="false">
      <c r="A1334" s="74" t="n">
        <f aca="false">MONTH(B1334)</f>
        <v>11</v>
      </c>
      <c r="B1334" s="135" t="n">
        <v>44522</v>
      </c>
      <c r="C1334" s="128" t="s">
        <v>51</v>
      </c>
      <c r="D1334" s="77" t="str">
        <f aca="false">IFERROR(VLOOKUP(E:E,'Item Data Support Sheet'!A:O,7,0),"")</f>
        <v>NIPPLE PUNCH</v>
      </c>
      <c r="E1334" s="80" t="s">
        <v>666</v>
      </c>
      <c r="F1334" s="122"/>
      <c r="G1334" s="137" t="s">
        <v>54</v>
      </c>
      <c r="H1334" s="79" t="str">
        <f aca="false">IFERROR(VLOOKUP(E:E,'Item Data Support Sheet'!A:O,2,0),"")</f>
        <v>NIPPLE S TYPE L SIZE PUNCHED</v>
      </c>
      <c r="I1334" s="80" t="s">
        <v>2126</v>
      </c>
      <c r="J1334" s="80" t="s">
        <v>155</v>
      </c>
      <c r="K1334" s="124" t="n">
        <v>3</v>
      </c>
      <c r="L1334" s="124" t="n">
        <v>2650</v>
      </c>
      <c r="M1334" s="83" t="n">
        <v>883.333333333333</v>
      </c>
      <c r="N1334" s="84" t="n">
        <f aca="false">+O1334+Q1334+T1334+U1334</f>
        <v>2700</v>
      </c>
      <c r="O1334" s="85" t="n">
        <v>2698</v>
      </c>
      <c r="P1334" s="86" t="n">
        <v>0</v>
      </c>
      <c r="Q1334" s="86" t="n">
        <v>0</v>
      </c>
      <c r="R1334" s="132" t="n">
        <v>0</v>
      </c>
      <c r="S1334" s="128" t="n">
        <v>0</v>
      </c>
      <c r="T1334" s="132" t="n">
        <v>2</v>
      </c>
      <c r="U1334" s="128" t="n">
        <v>0</v>
      </c>
      <c r="V1334" s="128" t="n">
        <v>1</v>
      </c>
      <c r="W1334" s="90" t="n">
        <f aca="false">IFERROR(O1334/V1334,0)</f>
        <v>2698</v>
      </c>
      <c r="X1334" s="91" t="n">
        <f aca="false">O1334/L1334</f>
        <v>1.01811320754717</v>
      </c>
      <c r="Y1334" s="92" t="str">
        <f aca="false">IFERROR(VLOOKUP(E:E,'Item Data Support Sheet'!A:J,6,0),0)</f>
        <v>FO017</v>
      </c>
      <c r="Z1334" s="93" t="n">
        <f aca="false">IFERROR(VLOOKUP(E:E,'Item Data Support Sheet'!A:O,4,0),0)</f>
        <v>0</v>
      </c>
      <c r="AA1334" s="93" t="n">
        <f aca="false">IFERROR(((N1334)*(Z1334/1000))+P1334,0)</f>
        <v>0</v>
      </c>
      <c r="AB1334" s="94" t="str">
        <f aca="false">IFERROR((O1334*(Z1334/1000)/(AA1334))," ")</f>
        <v> </v>
      </c>
      <c r="AC1334" s="95" t="n">
        <f aca="false">IFERROR((T1334)/((T1334)+O1334),0)</f>
        <v>0.000740740740740741</v>
      </c>
      <c r="AD1334" s="96" t="n">
        <f aca="false">IFERROR(Q1334/(Q1334+N1334),0)</f>
        <v>0</v>
      </c>
      <c r="AE1334" s="91" t="n">
        <f aca="false">(N1334-T1334)/N1334</f>
        <v>0.999259259259259</v>
      </c>
      <c r="AF1334" s="97" t="n">
        <f aca="false">BR1334</f>
        <v>0.666666666666667</v>
      </c>
      <c r="AG1334" s="98" t="n">
        <f aca="false">K1334-AF1334</f>
        <v>2.33333333333333</v>
      </c>
      <c r="AH1334" s="99" t="n">
        <f aca="false">IFERROR(AG1334/K1334," ")</f>
        <v>0.777777777777778</v>
      </c>
      <c r="AI1334" s="100" t="n">
        <f aca="false">IFERROR(O1334/K1334,0)</f>
        <v>899.333333333333</v>
      </c>
      <c r="AJ1334" s="101" t="n">
        <f aca="false">VLOOKUP(D1334,'Standard Cycle time'!C:D,2,0)</f>
        <v>3.5</v>
      </c>
      <c r="AK1334" s="101" t="n">
        <f aca="false">AG1334*V1334*3600/O1334</f>
        <v>3.11341734618236</v>
      </c>
      <c r="AL1334" s="102" t="n">
        <f aca="false">AJ1334/AK1334</f>
        <v>1.12416666666667</v>
      </c>
      <c r="AM1334" s="99" t="n">
        <f aca="false">AE1334*AL1334*AH1334</f>
        <v>0.873704183813443</v>
      </c>
      <c r="AN1334" s="103" t="n">
        <v>0.873704183813443</v>
      </c>
      <c r="AO1334" s="112"/>
      <c r="AP1334" s="105" t="n">
        <v>40</v>
      </c>
      <c r="AQ1334" s="105" t="n">
        <v>0</v>
      </c>
      <c r="AR1334" s="105" t="n">
        <v>0</v>
      </c>
      <c r="AS1334" s="105" t="n">
        <v>0</v>
      </c>
      <c r="AT1334" s="105" t="n">
        <v>0</v>
      </c>
      <c r="AU1334" s="105" t="n">
        <v>0</v>
      </c>
      <c r="AV1334" s="105" t="n">
        <v>0</v>
      </c>
      <c r="AW1334" s="105" t="n">
        <v>0</v>
      </c>
      <c r="AX1334" s="105" t="n">
        <v>0</v>
      </c>
      <c r="AY1334" s="105" t="n">
        <v>0</v>
      </c>
      <c r="AZ1334" s="105" t="n">
        <v>0</v>
      </c>
      <c r="BA1334" s="105" t="n">
        <v>0</v>
      </c>
      <c r="BB1334" s="105" t="n">
        <v>0</v>
      </c>
      <c r="BC1334" s="105" t="n">
        <v>0</v>
      </c>
      <c r="BD1334" s="105" t="n">
        <v>0</v>
      </c>
      <c r="BE1334" s="105" t="n">
        <v>0</v>
      </c>
      <c r="BF1334" s="105" t="n">
        <v>0</v>
      </c>
      <c r="BG1334" s="105" t="n">
        <v>0</v>
      </c>
      <c r="BH1334" s="105" t="n">
        <v>0</v>
      </c>
      <c r="BI1334" s="105" t="n">
        <v>0</v>
      </c>
      <c r="BJ1334" s="105" t="n">
        <v>0</v>
      </c>
      <c r="BK1334" s="105" t="n">
        <v>0</v>
      </c>
      <c r="BL1334" s="105" t="n">
        <v>0</v>
      </c>
      <c r="BM1334" s="105" t="n">
        <v>0</v>
      </c>
      <c r="BN1334" s="105" t="n">
        <v>0</v>
      </c>
      <c r="BO1334" s="105" t="n">
        <v>0</v>
      </c>
      <c r="BP1334" s="105" t="n">
        <v>0</v>
      </c>
      <c r="BQ1334" s="105" t="n">
        <v>0</v>
      </c>
      <c r="BR1334" s="106" t="n">
        <v>0.666666666666667</v>
      </c>
      <c r="BS1334" s="106" t="n">
        <v>0.666666666666667</v>
      </c>
      <c r="BT1334" s="107"/>
      <c r="BU1334" s="107"/>
      <c r="BV1334" s="107"/>
      <c r="BW1334" s="107"/>
      <c r="BX1334" s="107"/>
      <c r="BY1334" s="107"/>
      <c r="BZ1334" s="107"/>
      <c r="CA1334" s="107"/>
      <c r="CB1334" s="107"/>
      <c r="CC1334" s="107"/>
      <c r="CD1334" s="107"/>
      <c r="CE1334" s="107"/>
      <c r="CF1334" s="107"/>
      <c r="CG1334" s="107"/>
      <c r="CH1334" s="107"/>
      <c r="CI1334" s="107"/>
      <c r="CJ1334" s="107"/>
      <c r="CK1334" s="107"/>
      <c r="CL1334" s="107"/>
      <c r="CM1334" s="107"/>
      <c r="CN1334" s="107"/>
      <c r="CO1334" s="107"/>
      <c r="CP1334" s="107"/>
      <c r="CQ1334" s="107"/>
      <c r="CR1334" s="107"/>
      <c r="CS1334" s="107"/>
      <c r="CT1334" s="107"/>
      <c r="CU1334" s="107"/>
      <c r="CV1334" s="107"/>
    </row>
    <row r="1335" customFormat="false" ht="14.9" hidden="false" customHeight="false" outlineLevel="0" collapsed="false">
      <c r="A1335" s="74" t="n">
        <f aca="false">MONTH(B1335)</f>
        <v>11</v>
      </c>
      <c r="B1335" s="135" t="n">
        <v>44522</v>
      </c>
      <c r="C1335" s="128" t="s">
        <v>51</v>
      </c>
      <c r="D1335" s="77" t="str">
        <f aca="false">IFERROR(VLOOKUP(E:E,'Item Data Support Sheet'!A:O,7,0),"")</f>
        <v>HOOD MOLDED</v>
      </c>
      <c r="E1335" s="80" t="s">
        <v>529</v>
      </c>
      <c r="F1335" s="122"/>
      <c r="G1335" s="137" t="s">
        <v>740</v>
      </c>
      <c r="H1335" s="79" t="str">
        <f aca="false">IFERROR(VLOOKUP(E:E,'Item Data Support Sheet'!A:O,2,0),"")</f>
        <v>HOOD S TYPE MOLDED</v>
      </c>
      <c r="I1335" s="80" t="s">
        <v>2127</v>
      </c>
      <c r="J1335" s="80" t="s">
        <v>155</v>
      </c>
      <c r="K1335" s="124" t="n">
        <v>8</v>
      </c>
      <c r="L1335" s="124" t="n">
        <v>4137</v>
      </c>
      <c r="M1335" s="83" t="n">
        <v>517.125</v>
      </c>
      <c r="N1335" s="84" t="n">
        <f aca="false">+O1335+Q1335+T1335+U1335</f>
        <v>4026</v>
      </c>
      <c r="O1335" s="85" t="n">
        <v>4000</v>
      </c>
      <c r="P1335" s="86" t="n">
        <v>1.3</v>
      </c>
      <c r="Q1335" s="86" t="n">
        <v>8</v>
      </c>
      <c r="R1335" s="132" t="n">
        <v>0</v>
      </c>
      <c r="S1335" s="128" t="n">
        <v>0</v>
      </c>
      <c r="T1335" s="132" t="n">
        <v>10</v>
      </c>
      <c r="U1335" s="128" t="n">
        <v>8</v>
      </c>
      <c r="V1335" s="128" t="n">
        <v>1</v>
      </c>
      <c r="W1335" s="90" t="n">
        <f aca="false">IFERROR(O1335/V1335,0)</f>
        <v>4000</v>
      </c>
      <c r="X1335" s="91" t="n">
        <f aca="false">O1335/L1335</f>
        <v>0.96688421561518</v>
      </c>
      <c r="Y1335" s="92" t="str">
        <f aca="false">IFERROR(VLOOKUP(E:E,'Item Data Support Sheet'!A:J,6,0),0)</f>
        <v>HMC</v>
      </c>
      <c r="Z1335" s="93" t="n">
        <f aca="false">IFERROR(VLOOKUP(E:E,'Item Data Support Sheet'!A:O,4,0),0)</f>
        <v>8.6</v>
      </c>
      <c r="AA1335" s="93" t="n">
        <f aca="false">IFERROR(((N1335)*(Z1335/1000))+P1335,0)</f>
        <v>35.9236</v>
      </c>
      <c r="AB1335" s="94" t="n">
        <f aca="false">IFERROR((O1335*(Z1335/1000)/(AA1335))," ")</f>
        <v>0.957587769599929</v>
      </c>
      <c r="AC1335" s="95" t="n">
        <f aca="false">IFERROR((T1335)/((T1335)+O1335),0)</f>
        <v>0.00249376558603491</v>
      </c>
      <c r="AD1335" s="96" t="n">
        <f aca="false">IFERROR(Q1335/(Q1335+N1335),0)</f>
        <v>0.00198314328210213</v>
      </c>
      <c r="AE1335" s="91" t="n">
        <f aca="false">(N1335-T1335)/N1335</f>
        <v>0.997516145057129</v>
      </c>
      <c r="AF1335" s="97" t="n">
        <f aca="false">BR1335</f>
        <v>0</v>
      </c>
      <c r="AG1335" s="98" t="n">
        <f aca="false">K1335-AF1335</f>
        <v>8</v>
      </c>
      <c r="AH1335" s="99" t="n">
        <f aca="false">IFERROR(AG1335/K1335," ")</f>
        <v>1</v>
      </c>
      <c r="AI1335" s="100" t="n">
        <f aca="false">IFERROR(O1335/K1335,0)</f>
        <v>500</v>
      </c>
      <c r="AJ1335" s="101" t="n">
        <f aca="false">VLOOKUP(D1335,'Standard Cycle time'!C:D,2,0)</f>
        <v>6</v>
      </c>
      <c r="AK1335" s="101" t="n">
        <f aca="false">AG1335*V1335*3600/O1335</f>
        <v>7.2</v>
      </c>
      <c r="AL1335" s="102" t="n">
        <f aca="false">AJ1335/AK1335</f>
        <v>0.833333333333333</v>
      </c>
      <c r="AM1335" s="99" t="n">
        <f aca="false">AE1335*AL1335*AH1335</f>
        <v>0.831263454214274</v>
      </c>
      <c r="AN1335" s="103" t="n">
        <v>0.831263454214274</v>
      </c>
      <c r="AO1335" s="112" t="s">
        <v>1659</v>
      </c>
      <c r="AP1335" s="105" t="n">
        <v>0</v>
      </c>
      <c r="AQ1335" s="105" t="n">
        <v>0</v>
      </c>
      <c r="AR1335" s="105" t="n">
        <v>0</v>
      </c>
      <c r="AS1335" s="105" t="n">
        <v>0</v>
      </c>
      <c r="AT1335" s="105" t="n">
        <v>0</v>
      </c>
      <c r="AU1335" s="105" t="n">
        <v>0</v>
      </c>
      <c r="AV1335" s="105" t="n">
        <v>0</v>
      </c>
      <c r="AW1335" s="105" t="n">
        <v>0</v>
      </c>
      <c r="AX1335" s="105" t="n">
        <v>0</v>
      </c>
      <c r="AY1335" s="105" t="n">
        <v>0</v>
      </c>
      <c r="AZ1335" s="105" t="n">
        <v>0</v>
      </c>
      <c r="BA1335" s="105" t="n">
        <v>0</v>
      </c>
      <c r="BB1335" s="105" t="n">
        <v>0</v>
      </c>
      <c r="BC1335" s="105" t="n">
        <v>0</v>
      </c>
      <c r="BD1335" s="105" t="n">
        <v>0</v>
      </c>
      <c r="BE1335" s="105" t="n">
        <v>0</v>
      </c>
      <c r="BF1335" s="105" t="n">
        <v>0</v>
      </c>
      <c r="BG1335" s="105" t="n">
        <v>0</v>
      </c>
      <c r="BH1335" s="105" t="n">
        <v>0</v>
      </c>
      <c r="BI1335" s="105" t="n">
        <v>0</v>
      </c>
      <c r="BJ1335" s="105" t="n">
        <v>0</v>
      </c>
      <c r="BK1335" s="105" t="n">
        <v>0</v>
      </c>
      <c r="BL1335" s="105" t="n">
        <v>0</v>
      </c>
      <c r="BM1335" s="105" t="n">
        <v>0</v>
      </c>
      <c r="BN1335" s="105" t="n">
        <v>0</v>
      </c>
      <c r="BO1335" s="105" t="n">
        <v>0</v>
      </c>
      <c r="BP1335" s="105" t="n">
        <v>0</v>
      </c>
      <c r="BQ1335" s="105" t="n">
        <v>0</v>
      </c>
      <c r="BR1335" s="106" t="n">
        <v>0</v>
      </c>
      <c r="BS1335" s="106" t="n">
        <v>0</v>
      </c>
      <c r="BT1335" s="107"/>
      <c r="BU1335" s="107"/>
      <c r="BV1335" s="107"/>
      <c r="BW1335" s="107"/>
      <c r="BX1335" s="107"/>
      <c r="BY1335" s="107"/>
      <c r="BZ1335" s="107"/>
      <c r="CA1335" s="107"/>
      <c r="CB1335" s="107"/>
      <c r="CC1335" s="107"/>
      <c r="CD1335" s="107"/>
      <c r="CE1335" s="107"/>
      <c r="CF1335" s="107"/>
      <c r="CG1335" s="107"/>
      <c r="CH1335" s="107"/>
      <c r="CI1335" s="107"/>
      <c r="CJ1335" s="107"/>
      <c r="CK1335" s="107"/>
      <c r="CL1335" s="107"/>
      <c r="CM1335" s="107"/>
      <c r="CN1335" s="107"/>
      <c r="CO1335" s="107"/>
      <c r="CP1335" s="107"/>
      <c r="CQ1335" s="107"/>
      <c r="CR1335" s="107"/>
      <c r="CS1335" s="107"/>
      <c r="CT1335" s="107"/>
      <c r="CU1335" s="107"/>
      <c r="CV1335" s="107"/>
    </row>
    <row r="1336" customFormat="false" ht="14.9" hidden="false" customHeight="false" outlineLevel="0" collapsed="false">
      <c r="A1336" s="74" t="n">
        <f aca="false">MONTH(B1336)</f>
        <v>11</v>
      </c>
      <c r="B1336" s="135" t="n">
        <v>44522</v>
      </c>
      <c r="C1336" s="128" t="s">
        <v>51</v>
      </c>
      <c r="D1336" s="77" t="str">
        <f aca="false">IFERROR(VLOOKUP(E:E,'Item Data Support Sheet'!A:O,7,0),"")</f>
        <v>NIPPLE MOLDED</v>
      </c>
      <c r="E1336" s="80" t="s">
        <v>136</v>
      </c>
      <c r="F1336" s="122" t="s">
        <v>1286</v>
      </c>
      <c r="G1336" s="137" t="s">
        <v>848</v>
      </c>
      <c r="H1336" s="79" t="str">
        <f aca="false">IFERROR(VLOOKUP(E:E,'Item Data Support Sheet'!A:O,2,0),"")</f>
        <v>NIPPLE S TYPE M SIZE INJECTION</v>
      </c>
      <c r="I1336" s="80" t="s">
        <v>2128</v>
      </c>
      <c r="J1336" s="80" t="s">
        <v>155</v>
      </c>
      <c r="K1336" s="124" t="n">
        <v>8</v>
      </c>
      <c r="L1336" s="124" t="n">
        <v>3611</v>
      </c>
      <c r="M1336" s="83" t="n">
        <v>451.375</v>
      </c>
      <c r="N1336" s="84" t="n">
        <f aca="false">+O1336+Q1336+T1336+U1336</f>
        <v>3376</v>
      </c>
      <c r="O1336" s="85" t="n">
        <v>3200</v>
      </c>
      <c r="P1336" s="86" t="n">
        <v>0</v>
      </c>
      <c r="Q1336" s="86" t="n">
        <v>90</v>
      </c>
      <c r="R1336" s="132" t="n">
        <v>0</v>
      </c>
      <c r="S1336" s="128" t="n">
        <v>0</v>
      </c>
      <c r="T1336" s="132" t="n">
        <v>68</v>
      </c>
      <c r="U1336" s="128" t="n">
        <v>18</v>
      </c>
      <c r="V1336" s="128" t="n">
        <v>1</v>
      </c>
      <c r="W1336" s="90" t="n">
        <f aca="false">IFERROR(O1336/V1336,0)</f>
        <v>3200</v>
      </c>
      <c r="X1336" s="91" t="n">
        <f aca="false">O1336/L1336</f>
        <v>0.886181113265024</v>
      </c>
      <c r="Y1336" s="92" t="str">
        <f aca="false">IFERROR(VLOOKUP(E:E,'Item Data Support Sheet'!A:J,6,0),0)</f>
        <v>Silicon</v>
      </c>
      <c r="Z1336" s="93" t="n">
        <f aca="false">IFERROR(VLOOKUP(E:E,'Item Data Support Sheet'!A:O,4,0),0)</f>
        <v>6.8</v>
      </c>
      <c r="AA1336" s="93" t="n">
        <f aca="false">IFERROR(((N1336)*(Z1336/1000))+P1336,0)</f>
        <v>22.9568</v>
      </c>
      <c r="AB1336" s="94" t="n">
        <f aca="false">IFERROR((O1336*(Z1336/1000)/(AA1336))," ")</f>
        <v>0.947867298578199</v>
      </c>
      <c r="AC1336" s="95" t="n">
        <f aca="false">IFERROR((T1336)/((T1336)+O1336),0)</f>
        <v>0.0208078335373317</v>
      </c>
      <c r="AD1336" s="96" t="n">
        <f aca="false">IFERROR(Q1336/(Q1336+N1336),0)</f>
        <v>0.0259665320253895</v>
      </c>
      <c r="AE1336" s="91" t="n">
        <f aca="false">(N1336-T1336)/N1336</f>
        <v>0.979857819905213</v>
      </c>
      <c r="AF1336" s="97" t="n">
        <f aca="false">BR1336</f>
        <v>0</v>
      </c>
      <c r="AG1336" s="98" t="n">
        <f aca="false">K1336-AF1336</f>
        <v>8</v>
      </c>
      <c r="AH1336" s="99" t="n">
        <f aca="false">IFERROR(AG1336/K1336," ")</f>
        <v>1</v>
      </c>
      <c r="AI1336" s="100" t="n">
        <f aca="false">IFERROR(O1336/K1336,0)</f>
        <v>400</v>
      </c>
      <c r="AJ1336" s="101" t="n">
        <f aca="false">VLOOKUP(D1336,'Standard Cycle time'!C:D,2,0)</f>
        <v>5.25</v>
      </c>
      <c r="AK1336" s="101" t="n">
        <f aca="false">AG1336*V1336*3600/O1336</f>
        <v>9</v>
      </c>
      <c r="AL1336" s="102" t="n">
        <f aca="false">AJ1336/AK1336</f>
        <v>0.583333333333333</v>
      </c>
      <c r="AM1336" s="99" t="n">
        <f aca="false">AE1336*AL1336*AH1336</f>
        <v>0.571583728278041</v>
      </c>
      <c r="AN1336" s="103" t="n">
        <v>0.571583728278041</v>
      </c>
      <c r="AO1336" s="112"/>
      <c r="AP1336" s="105" t="n">
        <v>0</v>
      </c>
      <c r="AQ1336" s="105" t="n">
        <v>0</v>
      </c>
      <c r="AR1336" s="105" t="n">
        <v>0</v>
      </c>
      <c r="AS1336" s="105" t="n">
        <v>0</v>
      </c>
      <c r="AT1336" s="105" t="n">
        <v>0</v>
      </c>
      <c r="AU1336" s="105" t="n">
        <v>0</v>
      </c>
      <c r="AV1336" s="105" t="n">
        <v>0</v>
      </c>
      <c r="AW1336" s="105" t="n">
        <v>0</v>
      </c>
      <c r="AX1336" s="105" t="n">
        <v>0</v>
      </c>
      <c r="AY1336" s="105" t="n">
        <v>0</v>
      </c>
      <c r="AZ1336" s="105" t="n">
        <v>0</v>
      </c>
      <c r="BA1336" s="105" t="n">
        <v>0</v>
      </c>
      <c r="BB1336" s="105" t="n">
        <v>0</v>
      </c>
      <c r="BC1336" s="105" t="n">
        <v>0</v>
      </c>
      <c r="BD1336" s="105" t="n">
        <v>0</v>
      </c>
      <c r="BE1336" s="105" t="n">
        <v>0</v>
      </c>
      <c r="BF1336" s="105" t="n">
        <v>0</v>
      </c>
      <c r="BG1336" s="105" t="n">
        <v>0</v>
      </c>
      <c r="BH1336" s="105" t="n">
        <v>0</v>
      </c>
      <c r="BI1336" s="105" t="n">
        <v>0</v>
      </c>
      <c r="BJ1336" s="105" t="n">
        <v>0</v>
      </c>
      <c r="BK1336" s="105" t="n">
        <v>0</v>
      </c>
      <c r="BL1336" s="105" t="n">
        <v>0</v>
      </c>
      <c r="BM1336" s="105" t="n">
        <v>0</v>
      </c>
      <c r="BN1336" s="105" t="n">
        <v>0</v>
      </c>
      <c r="BO1336" s="105" t="n">
        <v>0</v>
      </c>
      <c r="BP1336" s="105" t="n">
        <v>0</v>
      </c>
      <c r="BQ1336" s="105" t="n">
        <v>0</v>
      </c>
      <c r="BR1336" s="106" t="n">
        <v>0</v>
      </c>
      <c r="BS1336" s="106" t="n">
        <v>0</v>
      </c>
      <c r="BT1336" s="107"/>
      <c r="BU1336" s="107"/>
      <c r="BV1336" s="107"/>
      <c r="BW1336" s="107"/>
      <c r="BX1336" s="107"/>
      <c r="BY1336" s="107"/>
      <c r="BZ1336" s="107"/>
      <c r="CA1336" s="107"/>
      <c r="CB1336" s="107"/>
      <c r="CC1336" s="107"/>
      <c r="CD1336" s="107"/>
      <c r="CE1336" s="107"/>
      <c r="CF1336" s="107"/>
      <c r="CG1336" s="107"/>
      <c r="CH1336" s="107"/>
      <c r="CI1336" s="107"/>
      <c r="CJ1336" s="107"/>
      <c r="CK1336" s="107"/>
      <c r="CL1336" s="107"/>
      <c r="CM1336" s="107"/>
      <c r="CN1336" s="107"/>
      <c r="CO1336" s="107"/>
      <c r="CP1336" s="107"/>
      <c r="CQ1336" s="107"/>
      <c r="CR1336" s="107"/>
      <c r="CS1336" s="107"/>
      <c r="CT1336" s="107"/>
      <c r="CU1336" s="107"/>
      <c r="CV1336" s="107"/>
    </row>
    <row r="1337" customFormat="false" ht="14.9" hidden="false" customHeight="false" outlineLevel="0" collapsed="false">
      <c r="A1337" s="74" t="n">
        <f aca="false">MONTH(B1337)</f>
        <v>11</v>
      </c>
      <c r="B1337" s="135" t="n">
        <v>44522</v>
      </c>
      <c r="C1337" s="128" t="s">
        <v>51</v>
      </c>
      <c r="D1337" s="77" t="str">
        <f aca="false">IFERROR(VLOOKUP(E:E,'Item Data Support Sheet'!A:O,7,0),"")</f>
        <v>NIPPLE MOLDED</v>
      </c>
      <c r="E1337" s="80" t="s">
        <v>661</v>
      </c>
      <c r="F1337" s="122" t="s">
        <v>137</v>
      </c>
      <c r="G1337" s="137" t="s">
        <v>138</v>
      </c>
      <c r="H1337" s="79" t="str">
        <f aca="false">IFERROR(VLOOKUP(E:E,'Item Data Support Sheet'!A:O,2,0),"")</f>
        <v>NIPPLE S TYPE L SIZE INJECTION</v>
      </c>
      <c r="I1337" s="80" t="s">
        <v>2128</v>
      </c>
      <c r="J1337" s="80" t="s">
        <v>155</v>
      </c>
      <c r="K1337" s="124" t="n">
        <v>8</v>
      </c>
      <c r="L1337" s="124" t="n">
        <v>4815</v>
      </c>
      <c r="M1337" s="83" t="n">
        <v>601.875</v>
      </c>
      <c r="N1337" s="84" t="n">
        <f aca="false">+O1337+Q1337+T1337+U1337</f>
        <v>4149</v>
      </c>
      <c r="O1337" s="85" t="n">
        <v>4000</v>
      </c>
      <c r="P1337" s="86" t="n">
        <v>0</v>
      </c>
      <c r="Q1337" s="86" t="n">
        <v>70</v>
      </c>
      <c r="R1337" s="132" t="n">
        <v>0</v>
      </c>
      <c r="S1337" s="128" t="n">
        <v>0</v>
      </c>
      <c r="T1337" s="132" t="n">
        <v>55</v>
      </c>
      <c r="U1337" s="128" t="n">
        <v>24</v>
      </c>
      <c r="V1337" s="128" t="n">
        <v>1</v>
      </c>
      <c r="W1337" s="90" t="n">
        <f aca="false">IFERROR(O1337/V1337,0)</f>
        <v>4000</v>
      </c>
      <c r="X1337" s="91" t="n">
        <f aca="false">O1337/L1337</f>
        <v>0.83073727933541</v>
      </c>
      <c r="Y1337" s="92" t="str">
        <f aca="false">IFERROR(VLOOKUP(E:E,'Item Data Support Sheet'!A:J,6,0),0)</f>
        <v>Silicon</v>
      </c>
      <c r="Z1337" s="93" t="n">
        <f aca="false">IFERROR(VLOOKUP(E:E,'Item Data Support Sheet'!A:O,4,0),0)</f>
        <v>6.8</v>
      </c>
      <c r="AA1337" s="93" t="n">
        <f aca="false">IFERROR(((N1337)*(Z1337/1000))+P1337,0)</f>
        <v>28.2132</v>
      </c>
      <c r="AB1337" s="94" t="n">
        <f aca="false">IFERROR((O1337*(Z1337/1000)/(AA1337))," ")</f>
        <v>0.964087731983611</v>
      </c>
      <c r="AC1337" s="95" t="n">
        <f aca="false">IFERROR((T1337)/((T1337)+O1337),0)</f>
        <v>0.0135635018495684</v>
      </c>
      <c r="AD1337" s="96" t="n">
        <f aca="false">IFERROR(Q1337/(Q1337+N1337),0)</f>
        <v>0.0165916093861105</v>
      </c>
      <c r="AE1337" s="91" t="n">
        <f aca="false">(N1337-T1337)/N1337</f>
        <v>0.986743793685225</v>
      </c>
      <c r="AF1337" s="97" t="n">
        <f aca="false">BR1337</f>
        <v>0</v>
      </c>
      <c r="AG1337" s="98" t="n">
        <f aca="false">K1337-AF1337</f>
        <v>8</v>
      </c>
      <c r="AH1337" s="99" t="n">
        <f aca="false">IFERROR(AG1337/K1337," ")</f>
        <v>1</v>
      </c>
      <c r="AI1337" s="100" t="n">
        <f aca="false">IFERROR(O1337/K1337,0)</f>
        <v>500</v>
      </c>
      <c r="AJ1337" s="101" t="n">
        <f aca="false">VLOOKUP(D1337,'Standard Cycle time'!C:D,2,0)</f>
        <v>5.25</v>
      </c>
      <c r="AK1337" s="101" t="n">
        <f aca="false">AG1337*V1337*3600/O1337</f>
        <v>7.2</v>
      </c>
      <c r="AL1337" s="102" t="n">
        <f aca="false">AJ1337/AK1337</f>
        <v>0.729166666666667</v>
      </c>
      <c r="AM1337" s="99" t="n">
        <f aca="false">AE1337*AL1337*AH1337</f>
        <v>0.719500682895477</v>
      </c>
      <c r="AN1337" s="103" t="n">
        <v>0.719500682895477</v>
      </c>
      <c r="AO1337" s="112"/>
      <c r="AP1337" s="105" t="n">
        <v>0</v>
      </c>
      <c r="AQ1337" s="105" t="n">
        <v>0</v>
      </c>
      <c r="AR1337" s="105" t="n">
        <v>0</v>
      </c>
      <c r="AS1337" s="105" t="n">
        <v>0</v>
      </c>
      <c r="AT1337" s="105" t="n">
        <v>0</v>
      </c>
      <c r="AU1337" s="105" t="n">
        <v>0</v>
      </c>
      <c r="AV1337" s="105" t="n">
        <v>0</v>
      </c>
      <c r="AW1337" s="105" t="n">
        <v>0</v>
      </c>
      <c r="AX1337" s="105" t="n">
        <v>0</v>
      </c>
      <c r="AY1337" s="105" t="n">
        <v>0</v>
      </c>
      <c r="AZ1337" s="105" t="n">
        <v>0</v>
      </c>
      <c r="BA1337" s="105" t="n">
        <v>0</v>
      </c>
      <c r="BB1337" s="105" t="n">
        <v>0</v>
      </c>
      <c r="BC1337" s="105" t="n">
        <v>0</v>
      </c>
      <c r="BD1337" s="105" t="n">
        <v>0</v>
      </c>
      <c r="BE1337" s="105" t="n">
        <v>0</v>
      </c>
      <c r="BF1337" s="105" t="n">
        <v>0</v>
      </c>
      <c r="BG1337" s="105" t="n">
        <v>0</v>
      </c>
      <c r="BH1337" s="105" t="n">
        <v>0</v>
      </c>
      <c r="BI1337" s="105" t="n">
        <v>0</v>
      </c>
      <c r="BJ1337" s="105" t="n">
        <v>0</v>
      </c>
      <c r="BK1337" s="105" t="n">
        <v>0</v>
      </c>
      <c r="BL1337" s="105" t="n">
        <v>0</v>
      </c>
      <c r="BM1337" s="105" t="n">
        <v>0</v>
      </c>
      <c r="BN1337" s="105" t="n">
        <v>0</v>
      </c>
      <c r="BO1337" s="105" t="n">
        <v>0</v>
      </c>
      <c r="BP1337" s="105" t="n">
        <v>0</v>
      </c>
      <c r="BQ1337" s="105" t="n">
        <v>0</v>
      </c>
      <c r="BR1337" s="106" t="n">
        <v>0</v>
      </c>
      <c r="BS1337" s="106" t="n">
        <v>0</v>
      </c>
      <c r="BT1337" s="107"/>
      <c r="BU1337" s="107"/>
      <c r="BV1337" s="107"/>
      <c r="BW1337" s="107"/>
      <c r="BX1337" s="107"/>
      <c r="BY1337" s="107"/>
      <c r="BZ1337" s="107"/>
      <c r="CA1337" s="107"/>
      <c r="CB1337" s="107"/>
      <c r="CC1337" s="107"/>
      <c r="CD1337" s="107"/>
      <c r="CE1337" s="107"/>
      <c r="CF1337" s="107"/>
      <c r="CG1337" s="107"/>
      <c r="CH1337" s="107"/>
      <c r="CI1337" s="107"/>
      <c r="CJ1337" s="107"/>
      <c r="CK1337" s="107"/>
      <c r="CL1337" s="107"/>
      <c r="CM1337" s="107"/>
      <c r="CN1337" s="107"/>
      <c r="CO1337" s="107"/>
      <c r="CP1337" s="107"/>
      <c r="CQ1337" s="107"/>
      <c r="CR1337" s="107"/>
      <c r="CS1337" s="107"/>
      <c r="CT1337" s="107"/>
      <c r="CU1337" s="107"/>
      <c r="CV1337" s="107"/>
    </row>
    <row r="1338" customFormat="false" ht="14.9" hidden="false" customHeight="false" outlineLevel="0" collapsed="false">
      <c r="A1338" s="74" t="n">
        <f aca="false">MONTH(B1338)</f>
        <v>11</v>
      </c>
      <c r="B1338" s="135" t="n">
        <v>44522</v>
      </c>
      <c r="C1338" s="128" t="s">
        <v>51</v>
      </c>
      <c r="D1338" s="77" t="str">
        <f aca="false">IFERROR(VLOOKUP(E:E,'Item Data Support Sheet'!A:O,7,0),"")</f>
        <v>BOTTLE MOLDED</v>
      </c>
      <c r="E1338" s="80" t="s">
        <v>747</v>
      </c>
      <c r="F1338" s="122" t="s">
        <v>79</v>
      </c>
      <c r="G1338" s="137" t="s">
        <v>80</v>
      </c>
      <c r="H1338" s="79" t="str">
        <f aca="false">IFERROR(VLOOKUP(E:E,'Item Data Support Sheet'!A:O,2,0),"")</f>
        <v>RPP 120ML BLUE BOTTLE MOLDED (WM3GB)</v>
      </c>
      <c r="I1338" s="80" t="s">
        <v>2129</v>
      </c>
      <c r="J1338" s="80" t="s">
        <v>155</v>
      </c>
      <c r="K1338" s="124" t="n">
        <v>8</v>
      </c>
      <c r="L1338" s="124" t="n">
        <v>2574</v>
      </c>
      <c r="M1338" s="83" t="n">
        <v>321.75</v>
      </c>
      <c r="N1338" s="84" t="n">
        <f aca="false">+O1338+Q1338+T1338+U1338</f>
        <v>1383</v>
      </c>
      <c r="O1338" s="85" t="n">
        <v>1260</v>
      </c>
      <c r="P1338" s="86" t="n">
        <v>0</v>
      </c>
      <c r="Q1338" s="86" t="n">
        <v>70</v>
      </c>
      <c r="R1338" s="132" t="n">
        <v>0</v>
      </c>
      <c r="S1338" s="128" t="n">
        <v>0</v>
      </c>
      <c r="T1338" s="132" t="n">
        <v>45</v>
      </c>
      <c r="U1338" s="128" t="n">
        <v>8</v>
      </c>
      <c r="V1338" s="128" t="n">
        <v>1</v>
      </c>
      <c r="W1338" s="90" t="n">
        <f aca="false">IFERROR(O1338/V1338,0)</f>
        <v>1260</v>
      </c>
      <c r="X1338" s="91" t="n">
        <f aca="false">O1338/L1338</f>
        <v>0.48951048951049</v>
      </c>
      <c r="Y1338" s="92" t="str">
        <f aca="false">IFERROR(VLOOKUP(E:E,'Item Data Support Sheet'!A:J,6,0),0)</f>
        <v>WMG3B</v>
      </c>
      <c r="Z1338" s="93" t="n">
        <f aca="false">IFERROR(VLOOKUP(E:E,'Item Data Support Sheet'!A:O,4,0),0)</f>
        <v>22.7</v>
      </c>
      <c r="AA1338" s="93" t="n">
        <f aca="false">IFERROR(((N1338)*(Z1338/1000))+P1338,0)</f>
        <v>31.3941</v>
      </c>
      <c r="AB1338" s="94" t="n">
        <f aca="false">IFERROR((O1338*(Z1338/1000)/(AA1338))," ")</f>
        <v>0.911062906724512</v>
      </c>
      <c r="AC1338" s="95" t="n">
        <f aca="false">IFERROR((T1338)/((T1338)+O1338),0)</f>
        <v>0.0344827586206897</v>
      </c>
      <c r="AD1338" s="96" t="n">
        <f aca="false">IFERROR(Q1338/(Q1338+N1338),0)</f>
        <v>0.0481761871988988</v>
      </c>
      <c r="AE1338" s="91" t="n">
        <f aca="false">(N1338-T1338)/N1338</f>
        <v>0.967462039045553</v>
      </c>
      <c r="AF1338" s="97" t="n">
        <f aca="false">BR1338</f>
        <v>4</v>
      </c>
      <c r="AG1338" s="98" t="n">
        <f aca="false">K1338-AF1338</f>
        <v>4</v>
      </c>
      <c r="AH1338" s="99" t="n">
        <f aca="false">IFERROR(AG1338/K1338," ")</f>
        <v>0.5</v>
      </c>
      <c r="AI1338" s="100" t="n">
        <f aca="false">IFERROR(O1338/K1338,0)</f>
        <v>157.5</v>
      </c>
      <c r="AJ1338" s="101" t="n">
        <f aca="false">VLOOKUP(D1338,'Standard Cycle time'!C:D,2,0)</f>
        <v>9</v>
      </c>
      <c r="AK1338" s="101" t="n">
        <f aca="false">AG1338*V1338*3600/O1338</f>
        <v>11.4285714285714</v>
      </c>
      <c r="AL1338" s="102" t="n">
        <f aca="false">AJ1338/AK1338</f>
        <v>0.7875</v>
      </c>
      <c r="AM1338" s="99" t="n">
        <f aca="false">AE1338*AL1338*AH1338</f>
        <v>0.380938177874187</v>
      </c>
      <c r="AN1338" s="103" t="n">
        <v>0.380938177874187</v>
      </c>
      <c r="AO1338" s="112"/>
      <c r="AP1338" s="105" t="n">
        <v>0</v>
      </c>
      <c r="AQ1338" s="105" t="n">
        <v>0</v>
      </c>
      <c r="AR1338" s="105" t="n">
        <v>70</v>
      </c>
      <c r="AS1338" s="105" t="n">
        <v>0</v>
      </c>
      <c r="AT1338" s="105" t="n">
        <v>0</v>
      </c>
      <c r="AU1338" s="105" t="n">
        <v>0</v>
      </c>
      <c r="AV1338" s="105" t="n">
        <v>0</v>
      </c>
      <c r="AW1338" s="105" t="n">
        <v>50</v>
      </c>
      <c r="AX1338" s="105" t="n">
        <v>0</v>
      </c>
      <c r="AY1338" s="105" t="n">
        <v>0</v>
      </c>
      <c r="AZ1338" s="105" t="n">
        <v>60</v>
      </c>
      <c r="BA1338" s="105" t="n">
        <v>0</v>
      </c>
      <c r="BB1338" s="105" t="n">
        <v>60</v>
      </c>
      <c r="BC1338" s="105" t="n">
        <v>0</v>
      </c>
      <c r="BD1338" s="105" t="n">
        <v>0</v>
      </c>
      <c r="BE1338" s="105" t="n">
        <v>0</v>
      </c>
      <c r="BF1338" s="105" t="n">
        <v>0</v>
      </c>
      <c r="BG1338" s="105" t="n">
        <v>0</v>
      </c>
      <c r="BH1338" s="105" t="n">
        <v>0</v>
      </c>
      <c r="BI1338" s="105" t="n">
        <v>0</v>
      </c>
      <c r="BJ1338" s="105" t="n">
        <v>0</v>
      </c>
      <c r="BK1338" s="105" t="n">
        <v>0</v>
      </c>
      <c r="BL1338" s="105" t="n">
        <v>0</v>
      </c>
      <c r="BM1338" s="105" t="n">
        <v>0</v>
      </c>
      <c r="BN1338" s="105" t="n">
        <v>0</v>
      </c>
      <c r="BO1338" s="105" t="n">
        <v>0</v>
      </c>
      <c r="BP1338" s="105" t="n">
        <v>0</v>
      </c>
      <c r="BQ1338" s="105" t="n">
        <v>0</v>
      </c>
      <c r="BR1338" s="106" t="n">
        <v>4</v>
      </c>
      <c r="BS1338" s="106" t="n">
        <v>4</v>
      </c>
      <c r="BT1338" s="107"/>
      <c r="BU1338" s="107"/>
      <c r="BV1338" s="107"/>
      <c r="BW1338" s="107"/>
      <c r="BX1338" s="107"/>
      <c r="BY1338" s="107"/>
      <c r="BZ1338" s="107"/>
      <c r="CA1338" s="107"/>
      <c r="CB1338" s="107"/>
      <c r="CC1338" s="107"/>
      <c r="CD1338" s="107"/>
      <c r="CE1338" s="107"/>
      <c r="CF1338" s="107"/>
      <c r="CG1338" s="107"/>
      <c r="CH1338" s="107"/>
      <c r="CI1338" s="107"/>
      <c r="CJ1338" s="107"/>
      <c r="CK1338" s="107"/>
      <c r="CL1338" s="107"/>
      <c r="CM1338" s="107"/>
      <c r="CN1338" s="107"/>
      <c r="CO1338" s="107"/>
      <c r="CP1338" s="107"/>
      <c r="CQ1338" s="107"/>
      <c r="CR1338" s="107"/>
      <c r="CS1338" s="107"/>
      <c r="CT1338" s="107"/>
      <c r="CU1338" s="107"/>
      <c r="CV1338" s="107"/>
    </row>
    <row r="1339" customFormat="false" ht="14.9" hidden="false" customHeight="false" outlineLevel="0" collapsed="false">
      <c r="A1339" s="74" t="n">
        <f aca="false">MONTH(B1339)</f>
        <v>11</v>
      </c>
      <c r="B1339" s="135" t="n">
        <v>44522</v>
      </c>
      <c r="C1339" s="128" t="s">
        <v>63</v>
      </c>
      <c r="D1339" s="77" t="str">
        <f aca="false">IFERROR(VLOOKUP(E:E,'Item Data Support Sheet'!A:O,7,0),"")</f>
        <v>NIPPLE PUNCH INSPECTED</v>
      </c>
      <c r="E1339" s="80" t="s">
        <v>688</v>
      </c>
      <c r="F1339" s="122"/>
      <c r="G1339" s="137"/>
      <c r="H1339" s="79" t="str">
        <f aca="false">IFERROR(VLOOKUP(E:E,'Item Data Support Sheet'!A:O,2,0),"")</f>
        <v>NIPPLE S TYPE L SIZE PUNCHED INSPECTED</v>
      </c>
      <c r="I1339" s="80" t="s">
        <v>2123</v>
      </c>
      <c r="J1339" s="80" t="s">
        <v>155</v>
      </c>
      <c r="K1339" s="124" t="n">
        <v>8</v>
      </c>
      <c r="L1339" s="124" t="n">
        <v>14000</v>
      </c>
      <c r="M1339" s="83" t="n">
        <v>1750</v>
      </c>
      <c r="N1339" s="84" t="n">
        <f aca="false">+O1339+Q1339+T1339+U1339</f>
        <v>8200</v>
      </c>
      <c r="O1339" s="85" t="n">
        <v>8181</v>
      </c>
      <c r="P1339" s="86" t="n">
        <v>0</v>
      </c>
      <c r="Q1339" s="86" t="n">
        <v>0</v>
      </c>
      <c r="R1339" s="132" t="n">
        <v>0</v>
      </c>
      <c r="S1339" s="128" t="n">
        <v>0</v>
      </c>
      <c r="T1339" s="132" t="n">
        <v>19</v>
      </c>
      <c r="U1339" s="128" t="n">
        <v>0</v>
      </c>
      <c r="V1339" s="128" t="n">
        <v>1</v>
      </c>
      <c r="W1339" s="90" t="n">
        <f aca="false">IFERROR(O1339/V1339,0)</f>
        <v>8181</v>
      </c>
      <c r="X1339" s="91" t="n">
        <f aca="false">O1339/L1339</f>
        <v>0.584357142857143</v>
      </c>
      <c r="Y1339" s="92" t="str">
        <f aca="false">IFERROR(VLOOKUP(E:E,'Item Data Support Sheet'!A:J,6,0),0)</f>
        <v>FO106</v>
      </c>
      <c r="Z1339" s="93" t="n">
        <f aca="false">IFERROR(VLOOKUP(E:E,'Item Data Support Sheet'!A:O,4,0),0)</f>
        <v>0</v>
      </c>
      <c r="AA1339" s="93" t="n">
        <f aca="false">IFERROR(((N1339)*(Z1339/1000))+P1339,0)</f>
        <v>0</v>
      </c>
      <c r="AB1339" s="94" t="str">
        <f aca="false">IFERROR((O1339*(Z1339/1000)/(AA1339))," ")</f>
        <v> </v>
      </c>
      <c r="AC1339" s="95" t="n">
        <f aca="false">IFERROR((T1339)/((T1339)+O1339),0)</f>
        <v>0.00231707317073171</v>
      </c>
      <c r="AD1339" s="96" t="n">
        <f aca="false">IFERROR(Q1339/(Q1339+N1339),0)</f>
        <v>0</v>
      </c>
      <c r="AE1339" s="91" t="n">
        <f aca="false">(N1339-T1339)/N1339</f>
        <v>0.997682926829268</v>
      </c>
      <c r="AF1339" s="97" t="n">
        <f aca="false">BR1339</f>
        <v>0.833333333333333</v>
      </c>
      <c r="AG1339" s="98" t="n">
        <f aca="false">K1339-AF1339</f>
        <v>7.16666666666667</v>
      </c>
      <c r="AH1339" s="99" t="n">
        <f aca="false">IFERROR(AG1339/K1339," ")</f>
        <v>0.895833333333333</v>
      </c>
      <c r="AI1339" s="100" t="n">
        <f aca="false">IFERROR(O1339/K1339,0)</f>
        <v>1022.625</v>
      </c>
      <c r="AJ1339" s="101" t="n">
        <f aca="false">VLOOKUP(D1339,'Standard Cycle time'!C:D,2,0)</f>
        <v>4</v>
      </c>
      <c r="AK1339" s="101" t="n">
        <f aca="false">AG1339*V1339*3600/O1339</f>
        <v>3.15364869820315</v>
      </c>
      <c r="AL1339" s="102" t="n">
        <f aca="false">AJ1339/AK1339</f>
        <v>1.26837209302326</v>
      </c>
      <c r="AM1339" s="99" t="n">
        <f aca="false">AE1339*AL1339*AH1339</f>
        <v>1.13361722560976</v>
      </c>
      <c r="AN1339" s="103" t="n">
        <v>1.13361722560976</v>
      </c>
      <c r="AO1339" s="112" t="s">
        <v>2130</v>
      </c>
      <c r="AP1339" s="105" t="n">
        <v>50</v>
      </c>
      <c r="AQ1339" s="105" t="n">
        <v>0</v>
      </c>
      <c r="AR1339" s="105" t="n">
        <v>0</v>
      </c>
      <c r="AS1339" s="105" t="n">
        <v>0</v>
      </c>
      <c r="AT1339" s="105" t="n">
        <v>0</v>
      </c>
      <c r="AU1339" s="105" t="n">
        <v>0</v>
      </c>
      <c r="AV1339" s="105" t="n">
        <v>0</v>
      </c>
      <c r="AW1339" s="105" t="n">
        <v>0</v>
      </c>
      <c r="AX1339" s="105" t="n">
        <v>0</v>
      </c>
      <c r="AY1339" s="105" t="n">
        <v>0</v>
      </c>
      <c r="AZ1339" s="105" t="n">
        <v>0</v>
      </c>
      <c r="BA1339" s="105" t="n">
        <v>0</v>
      </c>
      <c r="BB1339" s="105" t="n">
        <v>0</v>
      </c>
      <c r="BC1339" s="105" t="n">
        <v>0</v>
      </c>
      <c r="BD1339" s="105" t="n">
        <v>0</v>
      </c>
      <c r="BE1339" s="105" t="n">
        <v>0</v>
      </c>
      <c r="BF1339" s="105" t="n">
        <v>0</v>
      </c>
      <c r="BG1339" s="105" t="n">
        <v>0</v>
      </c>
      <c r="BH1339" s="105" t="n">
        <v>0</v>
      </c>
      <c r="BI1339" s="105" t="n">
        <v>0</v>
      </c>
      <c r="BJ1339" s="105" t="n">
        <v>0</v>
      </c>
      <c r="BK1339" s="105" t="n">
        <v>0</v>
      </c>
      <c r="BL1339" s="105" t="n">
        <v>0</v>
      </c>
      <c r="BM1339" s="105" t="n">
        <v>0</v>
      </c>
      <c r="BN1339" s="105" t="n">
        <v>0</v>
      </c>
      <c r="BO1339" s="105" t="n">
        <v>0</v>
      </c>
      <c r="BP1339" s="105" t="n">
        <v>0</v>
      </c>
      <c r="BQ1339" s="105" t="n">
        <v>0</v>
      </c>
      <c r="BR1339" s="106" t="n">
        <v>0.833333333333333</v>
      </c>
      <c r="BS1339" s="106" t="n">
        <v>0.833333333333333</v>
      </c>
      <c r="BT1339" s="107"/>
      <c r="BU1339" s="107"/>
      <c r="BV1339" s="107"/>
      <c r="BW1339" s="107"/>
      <c r="BX1339" s="107"/>
      <c r="BY1339" s="107"/>
      <c r="BZ1339" s="107"/>
      <c r="CA1339" s="107"/>
      <c r="CB1339" s="107"/>
      <c r="CC1339" s="107"/>
      <c r="CD1339" s="107"/>
      <c r="CE1339" s="107"/>
      <c r="CF1339" s="107"/>
      <c r="CG1339" s="107"/>
      <c r="CH1339" s="107"/>
      <c r="CI1339" s="107"/>
      <c r="CJ1339" s="107"/>
      <c r="CK1339" s="107"/>
      <c r="CL1339" s="107"/>
      <c r="CM1339" s="107"/>
      <c r="CN1339" s="107"/>
      <c r="CO1339" s="107"/>
      <c r="CP1339" s="107"/>
      <c r="CQ1339" s="107"/>
      <c r="CR1339" s="107"/>
      <c r="CS1339" s="107"/>
      <c r="CT1339" s="107"/>
      <c r="CU1339" s="107"/>
      <c r="CV1339" s="107"/>
    </row>
    <row r="1340" customFormat="false" ht="14.9" hidden="false" customHeight="false" outlineLevel="0" collapsed="false">
      <c r="A1340" s="74" t="n">
        <f aca="false">MONTH(B1340)</f>
        <v>11</v>
      </c>
      <c r="B1340" s="135" t="n">
        <v>44522</v>
      </c>
      <c r="C1340" s="128" t="s">
        <v>63</v>
      </c>
      <c r="D1340" s="77" t="str">
        <f aca="false">IFERROR(VLOOKUP(E:E,'Item Data Support Sheet'!A:O,7,0),"")</f>
        <v>BOTTLE PRINTED</v>
      </c>
      <c r="E1340" s="80" t="s">
        <v>204</v>
      </c>
      <c r="F1340" s="122"/>
      <c r="G1340" s="137"/>
      <c r="H1340" s="79" t="str">
        <f aca="false">IFERROR(VLOOKUP(E:E,'Item Data Support Sheet'!A:O,2,0),"")</f>
        <v>50 ML RPP BOTTLE PRINTED - BIRDS</v>
      </c>
      <c r="I1340" s="80" t="s">
        <v>2131</v>
      </c>
      <c r="J1340" s="80" t="s">
        <v>155</v>
      </c>
      <c r="K1340" s="124" t="n">
        <v>8</v>
      </c>
      <c r="L1340" s="124" t="n">
        <v>3400</v>
      </c>
      <c r="M1340" s="83" t="n">
        <v>425</v>
      </c>
      <c r="N1340" s="84" t="n">
        <f aca="false">+O1340+Q1340+T1340+U1340</f>
        <v>1981</v>
      </c>
      <c r="O1340" s="85" t="n">
        <v>1950</v>
      </c>
      <c r="P1340" s="86" t="n">
        <v>0</v>
      </c>
      <c r="Q1340" s="86" t="n">
        <v>0</v>
      </c>
      <c r="R1340" s="132" t="n">
        <v>72</v>
      </c>
      <c r="S1340" s="128" t="n">
        <v>0</v>
      </c>
      <c r="T1340" s="132" t="n">
        <v>31</v>
      </c>
      <c r="U1340" s="128" t="n">
        <v>0</v>
      </c>
      <c r="V1340" s="128" t="n">
        <v>5</v>
      </c>
      <c r="W1340" s="90" t="n">
        <f aca="false">IFERROR(O1340/V1340,0)</f>
        <v>390</v>
      </c>
      <c r="X1340" s="91" t="n">
        <f aca="false">O1340/L1340</f>
        <v>0.573529411764706</v>
      </c>
      <c r="Y1340" s="92" t="str">
        <f aca="false">IFERROR(VLOOKUP(E:E,'Item Data Support Sheet'!A:J,6,0),0)</f>
        <v>FO112</v>
      </c>
      <c r="Z1340" s="93" t="n">
        <f aca="false">IFERROR(VLOOKUP(E:E,'Item Data Support Sheet'!A:O,4,0),0)</f>
        <v>17.015</v>
      </c>
      <c r="AA1340" s="93" t="n">
        <f aca="false">IFERROR(((N1340)*(Z1340/1000))+P1340,0)</f>
        <v>33.706715</v>
      </c>
      <c r="AB1340" s="94" t="n">
        <f aca="false">IFERROR((O1340*(Z1340/1000)/(AA1340))," ")</f>
        <v>0.984351337708228</v>
      </c>
      <c r="AC1340" s="95" t="n">
        <f aca="false">IFERROR((T1340)/((T1340)+O1340),0)</f>
        <v>0.0156486622917718</v>
      </c>
      <c r="AD1340" s="96" t="n">
        <f aca="false">IFERROR(Q1340/(Q1340+N1340),0)</f>
        <v>0</v>
      </c>
      <c r="AE1340" s="91" t="n">
        <f aca="false">(N1340-T1340)/N1340</f>
        <v>0.984351337708228</v>
      </c>
      <c r="AF1340" s="97" t="n">
        <f aca="false">BR1340</f>
        <v>0.833333333333333</v>
      </c>
      <c r="AG1340" s="98" t="n">
        <f aca="false">K1340-AF1340</f>
        <v>7.16666666666667</v>
      </c>
      <c r="AH1340" s="99" t="n">
        <f aca="false">IFERROR(AG1340/K1340," ")</f>
        <v>0.895833333333333</v>
      </c>
      <c r="AI1340" s="100" t="n">
        <f aca="false">IFERROR(O1340/K1340,0)</f>
        <v>243.75</v>
      </c>
      <c r="AJ1340" s="101" t="n">
        <f aca="false">VLOOKUP(D1340,'Standard Cycle time'!C:D,2,0)</f>
        <v>32.4</v>
      </c>
      <c r="AK1340" s="101" t="n">
        <f aca="false">AG1340*V1340*3600/O1340</f>
        <v>66.1538461538462</v>
      </c>
      <c r="AL1340" s="102" t="n">
        <f aca="false">AJ1340/AK1340</f>
        <v>0.489767441860465</v>
      </c>
      <c r="AM1340" s="99" t="n">
        <f aca="false">AE1340*AL1340*AH1340</f>
        <v>0.431884149419485</v>
      </c>
      <c r="AN1340" s="103" t="n">
        <v>0.431884149419485</v>
      </c>
      <c r="AO1340" s="112" t="s">
        <v>2132</v>
      </c>
      <c r="AP1340" s="105" t="n">
        <v>50</v>
      </c>
      <c r="AQ1340" s="105" t="n">
        <v>0</v>
      </c>
      <c r="AR1340" s="105" t="n">
        <v>0</v>
      </c>
      <c r="AS1340" s="105" t="n">
        <v>0</v>
      </c>
      <c r="AT1340" s="105" t="n">
        <v>0</v>
      </c>
      <c r="AU1340" s="105" t="n">
        <v>0</v>
      </c>
      <c r="AV1340" s="105" t="n">
        <v>0</v>
      </c>
      <c r="AW1340" s="105" t="n">
        <v>0</v>
      </c>
      <c r="AX1340" s="105" t="n">
        <v>0</v>
      </c>
      <c r="AY1340" s="105" t="n">
        <v>0</v>
      </c>
      <c r="AZ1340" s="105" t="n">
        <v>0</v>
      </c>
      <c r="BA1340" s="105" t="n">
        <v>0</v>
      </c>
      <c r="BB1340" s="105" t="n">
        <v>0</v>
      </c>
      <c r="BC1340" s="105" t="n">
        <v>0</v>
      </c>
      <c r="BD1340" s="105" t="n">
        <v>0</v>
      </c>
      <c r="BE1340" s="105" t="n">
        <v>0</v>
      </c>
      <c r="BF1340" s="105" t="n">
        <v>0</v>
      </c>
      <c r="BG1340" s="105" t="n">
        <v>0</v>
      </c>
      <c r="BH1340" s="105" t="n">
        <v>0</v>
      </c>
      <c r="BI1340" s="105" t="n">
        <v>0</v>
      </c>
      <c r="BJ1340" s="105" t="n">
        <v>0</v>
      </c>
      <c r="BK1340" s="105" t="n">
        <v>0</v>
      </c>
      <c r="BL1340" s="105" t="n">
        <v>0</v>
      </c>
      <c r="BM1340" s="105" t="n">
        <v>0</v>
      </c>
      <c r="BN1340" s="105" t="n">
        <v>0</v>
      </c>
      <c r="BO1340" s="105" t="n">
        <v>0</v>
      </c>
      <c r="BP1340" s="105" t="n">
        <v>0</v>
      </c>
      <c r="BQ1340" s="105" t="n">
        <v>0</v>
      </c>
      <c r="BR1340" s="106" t="n">
        <v>0.833333333333333</v>
      </c>
      <c r="BS1340" s="106" t="n">
        <v>0.833333333333333</v>
      </c>
      <c r="BT1340" s="107"/>
      <c r="BU1340" s="107"/>
      <c r="BV1340" s="107"/>
      <c r="BW1340" s="107"/>
      <c r="BX1340" s="107"/>
      <c r="BY1340" s="107"/>
      <c r="BZ1340" s="107"/>
      <c r="CA1340" s="107"/>
      <c r="CB1340" s="107"/>
      <c r="CC1340" s="107"/>
      <c r="CD1340" s="107"/>
      <c r="CE1340" s="107"/>
      <c r="CF1340" s="107"/>
      <c r="CG1340" s="107"/>
      <c r="CH1340" s="107"/>
      <c r="CI1340" s="107"/>
      <c r="CJ1340" s="107"/>
      <c r="CK1340" s="107"/>
      <c r="CL1340" s="107"/>
      <c r="CM1340" s="107"/>
      <c r="CN1340" s="107"/>
      <c r="CO1340" s="107"/>
      <c r="CP1340" s="107"/>
      <c r="CQ1340" s="107"/>
      <c r="CR1340" s="107"/>
      <c r="CS1340" s="107"/>
      <c r="CT1340" s="107"/>
      <c r="CU1340" s="107"/>
      <c r="CV1340" s="107"/>
    </row>
    <row r="1341" customFormat="false" ht="14.9" hidden="false" customHeight="false" outlineLevel="0" collapsed="false">
      <c r="A1341" s="74" t="n">
        <f aca="false">MONTH(B1341)</f>
        <v>11</v>
      </c>
      <c r="B1341" s="135" t="n">
        <v>44522</v>
      </c>
      <c r="C1341" s="128" t="s">
        <v>70</v>
      </c>
      <c r="D1341" s="77" t="str">
        <f aca="false">IFERROR(VLOOKUP(E:E,'Item Data Support Sheet'!A:O,7,0),"")</f>
        <v>BOTTLE MOLDED</v>
      </c>
      <c r="E1341" s="80" t="s">
        <v>747</v>
      </c>
      <c r="F1341" s="122" t="s">
        <v>79</v>
      </c>
      <c r="G1341" s="137" t="s">
        <v>80</v>
      </c>
      <c r="H1341" s="79" t="str">
        <f aca="false">IFERROR(VLOOKUP(E:E,'Item Data Support Sheet'!A:O,2,0),"")</f>
        <v>RPP 120ML BLUE BOTTLE MOLDED (WM3GB)</v>
      </c>
      <c r="I1341" s="80" t="s">
        <v>2133</v>
      </c>
      <c r="J1341" s="80" t="s">
        <v>155</v>
      </c>
      <c r="K1341" s="124" t="n">
        <v>8</v>
      </c>
      <c r="L1341" s="124" t="n">
        <v>2574</v>
      </c>
      <c r="M1341" s="83" t="n">
        <v>321.75</v>
      </c>
      <c r="N1341" s="84" t="n">
        <f aca="false">+O1341+Q1341+T1341+U1341</f>
        <v>2600</v>
      </c>
      <c r="O1341" s="85" t="n">
        <v>2520</v>
      </c>
      <c r="P1341" s="86" t="n">
        <v>0.1</v>
      </c>
      <c r="Q1341" s="86" t="n">
        <v>35</v>
      </c>
      <c r="R1341" s="132" t="n">
        <v>0</v>
      </c>
      <c r="S1341" s="128" t="n">
        <v>0</v>
      </c>
      <c r="T1341" s="132" t="n">
        <v>45</v>
      </c>
      <c r="U1341" s="128" t="n">
        <v>0</v>
      </c>
      <c r="V1341" s="128" t="n">
        <v>1</v>
      </c>
      <c r="W1341" s="90" t="n">
        <f aca="false">IFERROR(O1341/V1341,0)</f>
        <v>2520</v>
      </c>
      <c r="X1341" s="91" t="n">
        <f aca="false">O1341/L1341</f>
        <v>0.979020979020979</v>
      </c>
      <c r="Y1341" s="92" t="str">
        <f aca="false">IFERROR(VLOOKUP(E:E,'Item Data Support Sheet'!A:J,6,0),0)</f>
        <v>WMG3B</v>
      </c>
      <c r="Z1341" s="93" t="n">
        <f aca="false">IFERROR(VLOOKUP(E:E,'Item Data Support Sheet'!A:O,4,0),0)</f>
        <v>22.7</v>
      </c>
      <c r="AA1341" s="93" t="n">
        <f aca="false">IFERROR(((N1341)*(Z1341/1000))+P1341,0)</f>
        <v>59.12</v>
      </c>
      <c r="AB1341" s="94" t="n">
        <f aca="false">IFERROR((O1341*(Z1341/1000)/(AA1341))," ")</f>
        <v>0.967591339648173</v>
      </c>
      <c r="AC1341" s="95" t="n">
        <f aca="false">IFERROR((T1341)/((T1341)+O1341),0)</f>
        <v>0.0175438596491228</v>
      </c>
      <c r="AD1341" s="96" t="n">
        <f aca="false">IFERROR(Q1341/(Q1341+N1341),0)</f>
        <v>0.0132827324478178</v>
      </c>
      <c r="AE1341" s="91" t="n">
        <f aca="false">(N1341-T1341)/N1341</f>
        <v>0.982692307692308</v>
      </c>
      <c r="AF1341" s="97" t="n">
        <f aca="false">BR1341</f>
        <v>0.5</v>
      </c>
      <c r="AG1341" s="98" t="n">
        <f aca="false">K1341-AF1341</f>
        <v>7.5</v>
      </c>
      <c r="AH1341" s="99" t="n">
        <f aca="false">IFERROR(AG1341/K1341," ")</f>
        <v>0.9375</v>
      </c>
      <c r="AI1341" s="100" t="n">
        <f aca="false">IFERROR(O1341/K1341,0)</f>
        <v>315</v>
      </c>
      <c r="AJ1341" s="101" t="n">
        <f aca="false">VLOOKUP(D1341,'Standard Cycle time'!C:D,2,0)</f>
        <v>9</v>
      </c>
      <c r="AK1341" s="101" t="n">
        <f aca="false">AG1341*V1341*3600/O1341</f>
        <v>10.7142857142857</v>
      </c>
      <c r="AL1341" s="102" t="n">
        <f aca="false">AJ1341/AK1341</f>
        <v>0.84</v>
      </c>
      <c r="AM1341" s="99" t="n">
        <f aca="false">AE1341*AL1341*AH1341</f>
        <v>0.773870192307692</v>
      </c>
      <c r="AN1341" s="103" t="n">
        <v>0.773870192307692</v>
      </c>
      <c r="AO1341" s="112"/>
      <c r="AP1341" s="105" t="n">
        <v>0</v>
      </c>
      <c r="AQ1341" s="105" t="n">
        <v>0</v>
      </c>
      <c r="AR1341" s="105" t="n">
        <v>0</v>
      </c>
      <c r="AS1341" s="105" t="n">
        <v>0</v>
      </c>
      <c r="AT1341" s="105" t="n">
        <v>0</v>
      </c>
      <c r="AU1341" s="105" t="n">
        <v>0</v>
      </c>
      <c r="AV1341" s="105" t="s">
        <v>58</v>
      </c>
      <c r="AW1341" s="105" t="n">
        <v>30</v>
      </c>
      <c r="AX1341" s="105" t="n">
        <v>0</v>
      </c>
      <c r="AY1341" s="105" t="n">
        <v>0</v>
      </c>
      <c r="AZ1341" s="105" t="n">
        <v>0</v>
      </c>
      <c r="BA1341" s="105" t="n">
        <v>0</v>
      </c>
      <c r="BB1341" s="105" t="n">
        <v>0</v>
      </c>
      <c r="BC1341" s="105" t="n">
        <v>0</v>
      </c>
      <c r="BD1341" s="105" t="n">
        <v>0</v>
      </c>
      <c r="BE1341" s="105" t="n">
        <v>0</v>
      </c>
      <c r="BF1341" s="105" t="n">
        <v>0</v>
      </c>
      <c r="BG1341" s="105" t="n">
        <v>0</v>
      </c>
      <c r="BH1341" s="105" t="n">
        <v>0</v>
      </c>
      <c r="BI1341" s="105" t="n">
        <v>0</v>
      </c>
      <c r="BJ1341" s="105" t="n">
        <v>0</v>
      </c>
      <c r="BK1341" s="105" t="n">
        <v>0</v>
      </c>
      <c r="BL1341" s="105" t="n">
        <v>0</v>
      </c>
      <c r="BM1341" s="105" t="n">
        <v>0</v>
      </c>
      <c r="BN1341" s="105" t="n">
        <v>0</v>
      </c>
      <c r="BO1341" s="105" t="n">
        <v>0</v>
      </c>
      <c r="BP1341" s="105" t="n">
        <v>0</v>
      </c>
      <c r="BQ1341" s="105" t="n">
        <v>0</v>
      </c>
      <c r="BR1341" s="106" t="n">
        <v>0.5</v>
      </c>
      <c r="BS1341" s="106" t="n">
        <v>0.5</v>
      </c>
      <c r="BT1341" s="107"/>
      <c r="BU1341" s="107"/>
      <c r="BV1341" s="107"/>
      <c r="BW1341" s="107"/>
      <c r="BX1341" s="107"/>
      <c r="BY1341" s="107"/>
      <c r="BZ1341" s="107"/>
      <c r="CA1341" s="107"/>
      <c r="CB1341" s="107"/>
      <c r="CC1341" s="107"/>
      <c r="CD1341" s="107"/>
      <c r="CE1341" s="107"/>
      <c r="CF1341" s="107"/>
      <c r="CG1341" s="107"/>
      <c r="CH1341" s="107"/>
      <c r="CI1341" s="107"/>
      <c r="CJ1341" s="107"/>
      <c r="CK1341" s="107"/>
      <c r="CL1341" s="107"/>
      <c r="CM1341" s="107"/>
      <c r="CN1341" s="107"/>
      <c r="CO1341" s="107"/>
      <c r="CP1341" s="107"/>
      <c r="CQ1341" s="107"/>
      <c r="CR1341" s="107"/>
      <c r="CS1341" s="107"/>
      <c r="CT1341" s="107"/>
      <c r="CU1341" s="107"/>
      <c r="CV1341" s="107"/>
    </row>
    <row r="1342" customFormat="false" ht="14.9" hidden="false" customHeight="false" outlineLevel="0" collapsed="false">
      <c r="A1342" s="74" t="n">
        <f aca="false">MONTH(B1342)</f>
        <v>11</v>
      </c>
      <c r="B1342" s="135" t="n">
        <v>44522</v>
      </c>
      <c r="C1342" s="128" t="s">
        <v>70</v>
      </c>
      <c r="D1342" s="77" t="str">
        <f aca="false">IFERROR(VLOOKUP(E:E,'Item Data Support Sheet'!A:O,7,0),"")</f>
        <v>HOOD MOLDED</v>
      </c>
      <c r="E1342" s="80" t="s">
        <v>529</v>
      </c>
      <c r="F1342" s="122"/>
      <c r="G1342" s="137" t="s">
        <v>740</v>
      </c>
      <c r="H1342" s="79" t="str">
        <f aca="false">IFERROR(VLOOKUP(E:E,'Item Data Support Sheet'!A:O,2,0),"")</f>
        <v>HOOD S TYPE MOLDED</v>
      </c>
      <c r="I1342" s="80" t="s">
        <v>2134</v>
      </c>
      <c r="J1342" s="80" t="s">
        <v>155</v>
      </c>
      <c r="K1342" s="124" t="n">
        <v>8</v>
      </c>
      <c r="L1342" s="124" t="n">
        <v>4137</v>
      </c>
      <c r="M1342" s="83" t="n">
        <v>517.125</v>
      </c>
      <c r="N1342" s="84" t="n">
        <f aca="false">+O1342+Q1342+T1342+U1342</f>
        <v>4230</v>
      </c>
      <c r="O1342" s="85" t="n">
        <v>4200</v>
      </c>
      <c r="P1342" s="86" t="n">
        <v>0</v>
      </c>
      <c r="Q1342" s="86" t="n">
        <v>20</v>
      </c>
      <c r="R1342" s="132" t="n">
        <v>0</v>
      </c>
      <c r="S1342" s="128" t="n">
        <v>0</v>
      </c>
      <c r="T1342" s="132" t="n">
        <v>10</v>
      </c>
      <c r="U1342" s="128" t="n">
        <v>0</v>
      </c>
      <c r="V1342" s="128" t="n">
        <v>1</v>
      </c>
      <c r="W1342" s="90" t="n">
        <f aca="false">IFERROR(O1342/V1342,0)</f>
        <v>4200</v>
      </c>
      <c r="X1342" s="91" t="n">
        <f aca="false">O1342/L1342</f>
        <v>1.01522842639594</v>
      </c>
      <c r="Y1342" s="92" t="str">
        <f aca="false">IFERROR(VLOOKUP(E:E,'Item Data Support Sheet'!A:J,6,0),0)</f>
        <v>HMC</v>
      </c>
      <c r="Z1342" s="93" t="n">
        <f aca="false">IFERROR(VLOOKUP(E:E,'Item Data Support Sheet'!A:O,4,0),0)</f>
        <v>8.6</v>
      </c>
      <c r="AA1342" s="93" t="n">
        <f aca="false">IFERROR(((N1342)*(Z1342/1000))+P1342,0)</f>
        <v>36.378</v>
      </c>
      <c r="AB1342" s="94" t="n">
        <f aca="false">IFERROR((O1342*(Z1342/1000)/(AA1342))," ")</f>
        <v>0.992907801418439</v>
      </c>
      <c r="AC1342" s="95" t="n">
        <f aca="false">IFERROR((T1342)/((T1342)+O1342),0)</f>
        <v>0.00237529691211401</v>
      </c>
      <c r="AD1342" s="96" t="n">
        <f aca="false">IFERROR(Q1342/(Q1342+N1342),0)</f>
        <v>0.00470588235294118</v>
      </c>
      <c r="AE1342" s="91" t="n">
        <f aca="false">(N1342-T1342)/N1342</f>
        <v>0.997635933806147</v>
      </c>
      <c r="AF1342" s="97" t="n">
        <f aca="false">BR1342</f>
        <v>0</v>
      </c>
      <c r="AG1342" s="98" t="n">
        <f aca="false">K1342-AF1342</f>
        <v>8</v>
      </c>
      <c r="AH1342" s="99" t="n">
        <f aca="false">IFERROR(AG1342/K1342," ")</f>
        <v>1</v>
      </c>
      <c r="AI1342" s="100" t="n">
        <f aca="false">IFERROR(O1342/K1342,0)</f>
        <v>525</v>
      </c>
      <c r="AJ1342" s="101" t="n">
        <f aca="false">VLOOKUP(D1342,'Standard Cycle time'!C:D,2,0)</f>
        <v>6</v>
      </c>
      <c r="AK1342" s="101" t="n">
        <f aca="false">AG1342*V1342*3600/O1342</f>
        <v>6.85714285714286</v>
      </c>
      <c r="AL1342" s="102" t="n">
        <f aca="false">AJ1342/AK1342</f>
        <v>0.875</v>
      </c>
      <c r="AM1342" s="99" t="n">
        <f aca="false">AE1342*AL1342*AH1342</f>
        <v>0.872931442080378</v>
      </c>
      <c r="AN1342" s="103" t="n">
        <v>0.872931442080378</v>
      </c>
      <c r="AO1342" s="112"/>
      <c r="AP1342" s="105" t="n">
        <v>0</v>
      </c>
      <c r="AQ1342" s="105" t="n">
        <v>0</v>
      </c>
      <c r="AR1342" s="105" t="n">
        <v>0</v>
      </c>
      <c r="AS1342" s="105" t="n">
        <v>0</v>
      </c>
      <c r="AT1342" s="105" t="n">
        <v>0</v>
      </c>
      <c r="AU1342" s="105" t="n">
        <v>0</v>
      </c>
      <c r="AV1342" s="105" t="n">
        <v>0</v>
      </c>
      <c r="AW1342" s="105" t="n">
        <v>0</v>
      </c>
      <c r="AX1342" s="105" t="n">
        <v>0</v>
      </c>
      <c r="AY1342" s="105" t="n">
        <v>0</v>
      </c>
      <c r="AZ1342" s="105" t="n">
        <v>0</v>
      </c>
      <c r="BA1342" s="105" t="n">
        <v>0</v>
      </c>
      <c r="BB1342" s="105" t="n">
        <v>0</v>
      </c>
      <c r="BC1342" s="105" t="n">
        <v>0</v>
      </c>
      <c r="BD1342" s="105" t="n">
        <v>0</v>
      </c>
      <c r="BE1342" s="105" t="n">
        <v>0</v>
      </c>
      <c r="BF1342" s="105" t="n">
        <v>0</v>
      </c>
      <c r="BG1342" s="105" t="n">
        <v>0</v>
      </c>
      <c r="BH1342" s="105" t="n">
        <v>0</v>
      </c>
      <c r="BI1342" s="105" t="n">
        <v>0</v>
      </c>
      <c r="BJ1342" s="105" t="n">
        <v>0</v>
      </c>
      <c r="BK1342" s="105" t="n">
        <v>0</v>
      </c>
      <c r="BL1342" s="105" t="n">
        <v>0</v>
      </c>
      <c r="BM1342" s="105" t="n">
        <v>0</v>
      </c>
      <c r="BN1342" s="105" t="n">
        <v>0</v>
      </c>
      <c r="BO1342" s="105" t="n">
        <v>0</v>
      </c>
      <c r="BP1342" s="105" t="n">
        <v>0</v>
      </c>
      <c r="BQ1342" s="105" t="n">
        <v>0</v>
      </c>
      <c r="BR1342" s="106" t="n">
        <v>0</v>
      </c>
      <c r="BS1342" s="106" t="n">
        <v>0</v>
      </c>
      <c r="BT1342" s="107"/>
      <c r="BU1342" s="107"/>
      <c r="BV1342" s="107"/>
      <c r="BW1342" s="107"/>
      <c r="BX1342" s="107"/>
      <c r="BY1342" s="107"/>
      <c r="BZ1342" s="107"/>
      <c r="CA1342" s="107"/>
      <c r="CB1342" s="107"/>
      <c r="CC1342" s="107"/>
      <c r="CD1342" s="107"/>
      <c r="CE1342" s="107"/>
      <c r="CF1342" s="107"/>
      <c r="CG1342" s="107"/>
      <c r="CH1342" s="107"/>
      <c r="CI1342" s="107"/>
      <c r="CJ1342" s="107"/>
      <c r="CK1342" s="107"/>
      <c r="CL1342" s="107"/>
      <c r="CM1342" s="107"/>
      <c r="CN1342" s="107"/>
      <c r="CO1342" s="107"/>
      <c r="CP1342" s="107"/>
      <c r="CQ1342" s="107"/>
      <c r="CR1342" s="107"/>
      <c r="CS1342" s="107"/>
      <c r="CT1342" s="107"/>
      <c r="CU1342" s="107"/>
      <c r="CV1342" s="107"/>
    </row>
    <row r="1343" customFormat="false" ht="14.9" hidden="false" customHeight="false" outlineLevel="0" collapsed="false">
      <c r="A1343" s="74" t="n">
        <f aca="false">MONTH(B1343)</f>
        <v>11</v>
      </c>
      <c r="B1343" s="135" t="n">
        <v>44522</v>
      </c>
      <c r="C1343" s="128" t="s">
        <v>70</v>
      </c>
      <c r="D1343" s="77" t="str">
        <f aca="false">IFERROR(VLOOKUP(E:E,'Item Data Support Sheet'!A:O,7,0),"")</f>
        <v>NIPPLE MOLDED</v>
      </c>
      <c r="E1343" s="80" t="s">
        <v>136</v>
      </c>
      <c r="F1343" s="122" t="s">
        <v>1286</v>
      </c>
      <c r="G1343" s="137" t="s">
        <v>848</v>
      </c>
      <c r="H1343" s="79" t="str">
        <f aca="false">IFERROR(VLOOKUP(E:E,'Item Data Support Sheet'!A:O,2,0),"")</f>
        <v>NIPPLE S TYPE M SIZE INJECTION</v>
      </c>
      <c r="I1343" s="80" t="s">
        <v>2135</v>
      </c>
      <c r="J1343" s="80" t="s">
        <v>155</v>
      </c>
      <c r="K1343" s="124" t="n">
        <v>8</v>
      </c>
      <c r="L1343" s="124" t="n">
        <v>3611</v>
      </c>
      <c r="M1343" s="83" t="n">
        <v>451.375</v>
      </c>
      <c r="N1343" s="84" t="n">
        <f aca="false">+O1343+Q1343+T1343+U1343</f>
        <v>4100</v>
      </c>
      <c r="O1343" s="85" t="n">
        <v>4000</v>
      </c>
      <c r="P1343" s="86" t="n">
        <v>0</v>
      </c>
      <c r="Q1343" s="86" t="n">
        <v>30</v>
      </c>
      <c r="R1343" s="132" t="n">
        <v>0</v>
      </c>
      <c r="S1343" s="128" t="n">
        <v>0</v>
      </c>
      <c r="T1343" s="132" t="n">
        <v>70</v>
      </c>
      <c r="U1343" s="128" t="n">
        <v>0</v>
      </c>
      <c r="V1343" s="128" t="n">
        <v>1</v>
      </c>
      <c r="W1343" s="90" t="n">
        <f aca="false">IFERROR(O1343/V1343,0)</f>
        <v>4000</v>
      </c>
      <c r="X1343" s="91" t="n">
        <f aca="false">O1343/L1343</f>
        <v>1.10772639158128</v>
      </c>
      <c r="Y1343" s="92" t="str">
        <f aca="false">IFERROR(VLOOKUP(E:E,'Item Data Support Sheet'!A:J,6,0),0)</f>
        <v>Silicon</v>
      </c>
      <c r="Z1343" s="93" t="n">
        <f aca="false">IFERROR(VLOOKUP(E:E,'Item Data Support Sheet'!A:O,4,0),0)</f>
        <v>6.8</v>
      </c>
      <c r="AA1343" s="93" t="n">
        <f aca="false">IFERROR(((N1343)*(Z1343/1000))+P1343,0)</f>
        <v>27.88</v>
      </c>
      <c r="AB1343" s="94" t="n">
        <f aca="false">IFERROR((O1343*(Z1343/1000)/(AA1343))," ")</f>
        <v>0.975609756097561</v>
      </c>
      <c r="AC1343" s="95" t="n">
        <f aca="false">IFERROR((T1343)/((T1343)+O1343),0)</f>
        <v>0.0171990171990172</v>
      </c>
      <c r="AD1343" s="96" t="n">
        <f aca="false">IFERROR(Q1343/(Q1343+N1343),0)</f>
        <v>0.00726392251815981</v>
      </c>
      <c r="AE1343" s="91" t="n">
        <f aca="false">(N1343-T1343)/N1343</f>
        <v>0.982926829268293</v>
      </c>
      <c r="AF1343" s="97" t="n">
        <f aca="false">BR1343</f>
        <v>0</v>
      </c>
      <c r="AG1343" s="98" t="n">
        <f aca="false">K1343-AF1343</f>
        <v>8</v>
      </c>
      <c r="AH1343" s="99" t="n">
        <f aca="false">IFERROR(AG1343/K1343," ")</f>
        <v>1</v>
      </c>
      <c r="AI1343" s="100" t="n">
        <f aca="false">IFERROR(O1343/K1343,0)</f>
        <v>500</v>
      </c>
      <c r="AJ1343" s="101" t="n">
        <f aca="false">VLOOKUP(D1343,'Standard Cycle time'!C:D,2,0)</f>
        <v>5.25</v>
      </c>
      <c r="AK1343" s="101" t="n">
        <f aca="false">AG1343*V1343*3600/O1343</f>
        <v>7.2</v>
      </c>
      <c r="AL1343" s="102" t="n">
        <f aca="false">AJ1343/AK1343</f>
        <v>0.729166666666667</v>
      </c>
      <c r="AM1343" s="99" t="n">
        <f aca="false">AE1343*AL1343*AH1343</f>
        <v>0.716717479674797</v>
      </c>
      <c r="AN1343" s="103" t="n">
        <v>0.716717479674797</v>
      </c>
      <c r="AO1343" s="112"/>
      <c r="AP1343" s="105" t="n">
        <v>0</v>
      </c>
      <c r="AQ1343" s="105" t="n">
        <v>0</v>
      </c>
      <c r="AR1343" s="105" t="n">
        <v>0</v>
      </c>
      <c r="AS1343" s="105" t="n">
        <v>0</v>
      </c>
      <c r="AT1343" s="105" t="n">
        <v>0</v>
      </c>
      <c r="AU1343" s="105" t="n">
        <v>0</v>
      </c>
      <c r="AV1343" s="105" t="n">
        <v>0</v>
      </c>
      <c r="AW1343" s="105" t="n">
        <v>0</v>
      </c>
      <c r="AX1343" s="105" t="n">
        <v>0</v>
      </c>
      <c r="AY1343" s="105" t="n">
        <v>0</v>
      </c>
      <c r="AZ1343" s="105" t="n">
        <v>0</v>
      </c>
      <c r="BA1343" s="105" t="n">
        <v>0</v>
      </c>
      <c r="BB1343" s="105" t="n">
        <v>0</v>
      </c>
      <c r="BC1343" s="105" t="n">
        <v>0</v>
      </c>
      <c r="BD1343" s="105" t="n">
        <v>0</v>
      </c>
      <c r="BE1343" s="105" t="n">
        <v>0</v>
      </c>
      <c r="BF1343" s="105" t="n">
        <v>0</v>
      </c>
      <c r="BG1343" s="105" t="n">
        <v>0</v>
      </c>
      <c r="BH1343" s="105" t="n">
        <v>0</v>
      </c>
      <c r="BI1343" s="105" t="n">
        <v>0</v>
      </c>
      <c r="BJ1343" s="105" t="n">
        <v>0</v>
      </c>
      <c r="BK1343" s="105" t="n">
        <v>0</v>
      </c>
      <c r="BL1343" s="105" t="n">
        <v>0</v>
      </c>
      <c r="BM1343" s="105" t="n">
        <v>0</v>
      </c>
      <c r="BN1343" s="105" t="n">
        <v>0</v>
      </c>
      <c r="BO1343" s="105" t="n">
        <v>0</v>
      </c>
      <c r="BP1343" s="105" t="n">
        <v>0</v>
      </c>
      <c r="BQ1343" s="105" t="n">
        <v>0</v>
      </c>
      <c r="BR1343" s="106" t="n">
        <v>0</v>
      </c>
      <c r="BS1343" s="106" t="n">
        <v>0</v>
      </c>
      <c r="BT1343" s="107"/>
      <c r="BU1343" s="107"/>
      <c r="BV1343" s="107"/>
      <c r="BW1343" s="107"/>
      <c r="BX1343" s="107"/>
      <c r="BY1343" s="107"/>
      <c r="BZ1343" s="107"/>
      <c r="CA1343" s="107"/>
      <c r="CB1343" s="107"/>
      <c r="CC1343" s="107"/>
      <c r="CD1343" s="107"/>
      <c r="CE1343" s="107"/>
      <c r="CF1343" s="107"/>
      <c r="CG1343" s="107"/>
      <c r="CH1343" s="107"/>
      <c r="CI1343" s="107"/>
      <c r="CJ1343" s="107"/>
      <c r="CK1343" s="107"/>
      <c r="CL1343" s="107"/>
      <c r="CM1343" s="107"/>
      <c r="CN1343" s="107"/>
      <c r="CO1343" s="107"/>
      <c r="CP1343" s="107"/>
      <c r="CQ1343" s="107"/>
      <c r="CR1343" s="107"/>
      <c r="CS1343" s="107"/>
      <c r="CT1343" s="107"/>
      <c r="CU1343" s="107"/>
      <c r="CV1343" s="107"/>
    </row>
    <row r="1344" customFormat="false" ht="14.9" hidden="false" customHeight="false" outlineLevel="0" collapsed="false">
      <c r="A1344" s="74" t="n">
        <f aca="false">MONTH(B1344)</f>
        <v>11</v>
      </c>
      <c r="B1344" s="135" t="n">
        <v>44522</v>
      </c>
      <c r="C1344" s="128" t="s">
        <v>70</v>
      </c>
      <c r="D1344" s="77" t="str">
        <f aca="false">IFERROR(VLOOKUP(E:E,'Item Data Support Sheet'!A:O,7,0),"")</f>
        <v>NIPPLE MOLDED</v>
      </c>
      <c r="E1344" s="80" t="s">
        <v>661</v>
      </c>
      <c r="F1344" s="122" t="s">
        <v>137</v>
      </c>
      <c r="G1344" s="137" t="s">
        <v>138</v>
      </c>
      <c r="H1344" s="79" t="str">
        <f aca="false">IFERROR(VLOOKUP(E:E,'Item Data Support Sheet'!A:O,2,0),"")</f>
        <v>NIPPLE S TYPE L SIZE INJECTION</v>
      </c>
      <c r="I1344" s="80" t="s">
        <v>2135</v>
      </c>
      <c r="J1344" s="80" t="s">
        <v>155</v>
      </c>
      <c r="K1344" s="124" t="n">
        <v>8</v>
      </c>
      <c r="L1344" s="124" t="n">
        <v>4815</v>
      </c>
      <c r="M1344" s="83" t="n">
        <v>601.875</v>
      </c>
      <c r="N1344" s="84" t="n">
        <f aca="false">+O1344+Q1344+T1344+U1344</f>
        <v>5720</v>
      </c>
      <c r="O1344" s="85" t="n">
        <v>5600</v>
      </c>
      <c r="P1344" s="86" t="n">
        <v>0</v>
      </c>
      <c r="Q1344" s="86" t="n">
        <v>80</v>
      </c>
      <c r="R1344" s="132" t="n">
        <v>0</v>
      </c>
      <c r="S1344" s="128" t="n">
        <v>0</v>
      </c>
      <c r="T1344" s="132" t="n">
        <v>40</v>
      </c>
      <c r="U1344" s="128" t="n">
        <v>0</v>
      </c>
      <c r="V1344" s="128" t="n">
        <v>1</v>
      </c>
      <c r="W1344" s="90" t="n">
        <f aca="false">IFERROR(O1344/V1344,0)</f>
        <v>5600</v>
      </c>
      <c r="X1344" s="91" t="n">
        <f aca="false">O1344/L1344</f>
        <v>1.16303219106957</v>
      </c>
      <c r="Y1344" s="92" t="str">
        <f aca="false">IFERROR(VLOOKUP(E:E,'Item Data Support Sheet'!A:J,6,0),0)</f>
        <v>Silicon</v>
      </c>
      <c r="Z1344" s="93" t="n">
        <f aca="false">IFERROR(VLOOKUP(E:E,'Item Data Support Sheet'!A:O,4,0),0)</f>
        <v>6.8</v>
      </c>
      <c r="AA1344" s="93" t="n">
        <f aca="false">IFERROR(((N1344)*(Z1344/1000))+P1344,0)</f>
        <v>38.896</v>
      </c>
      <c r="AB1344" s="94" t="n">
        <f aca="false">IFERROR((O1344*(Z1344/1000)/(AA1344))," ")</f>
        <v>0.979020979020979</v>
      </c>
      <c r="AC1344" s="95" t="n">
        <f aca="false">IFERROR((T1344)/((T1344)+O1344),0)</f>
        <v>0.00709219858156028</v>
      </c>
      <c r="AD1344" s="96" t="n">
        <f aca="false">IFERROR(Q1344/(Q1344+N1344),0)</f>
        <v>0.0137931034482759</v>
      </c>
      <c r="AE1344" s="91" t="n">
        <f aca="false">(N1344-T1344)/N1344</f>
        <v>0.993006993006993</v>
      </c>
      <c r="AF1344" s="97" t="n">
        <f aca="false">BR1344</f>
        <v>0</v>
      </c>
      <c r="AG1344" s="98" t="n">
        <f aca="false">K1344-AF1344</f>
        <v>8</v>
      </c>
      <c r="AH1344" s="99" t="n">
        <f aca="false">IFERROR(AG1344/K1344," ")</f>
        <v>1</v>
      </c>
      <c r="AI1344" s="100" t="n">
        <f aca="false">IFERROR(O1344/K1344,0)</f>
        <v>700</v>
      </c>
      <c r="AJ1344" s="101" t="n">
        <f aca="false">VLOOKUP(D1344,'Standard Cycle time'!C:D,2,0)</f>
        <v>5.25</v>
      </c>
      <c r="AK1344" s="101" t="n">
        <f aca="false">AG1344*V1344*3600/O1344</f>
        <v>5.14285714285714</v>
      </c>
      <c r="AL1344" s="102" t="n">
        <f aca="false">AJ1344/AK1344</f>
        <v>1.02083333333333</v>
      </c>
      <c r="AM1344" s="99" t="n">
        <f aca="false">AE1344*AL1344*AH1344</f>
        <v>1.01369463869464</v>
      </c>
      <c r="AN1344" s="103" t="n">
        <v>1.01369463869464</v>
      </c>
      <c r="AO1344" s="112"/>
      <c r="AP1344" s="105" t="n">
        <v>0</v>
      </c>
      <c r="AQ1344" s="105" t="n">
        <v>0</v>
      </c>
      <c r="AR1344" s="105" t="n">
        <v>0</v>
      </c>
      <c r="AS1344" s="105" t="n">
        <v>0</v>
      </c>
      <c r="AT1344" s="105" t="n">
        <v>0</v>
      </c>
      <c r="AU1344" s="105" t="n">
        <v>0</v>
      </c>
      <c r="AV1344" s="105" t="n">
        <v>0</v>
      </c>
      <c r="AW1344" s="105" t="n">
        <v>0</v>
      </c>
      <c r="AX1344" s="105" t="n">
        <v>0</v>
      </c>
      <c r="AY1344" s="105" t="n">
        <v>0</v>
      </c>
      <c r="AZ1344" s="105" t="n">
        <v>0</v>
      </c>
      <c r="BA1344" s="105" t="n">
        <v>0</v>
      </c>
      <c r="BB1344" s="105" t="n">
        <v>0</v>
      </c>
      <c r="BC1344" s="105" t="n">
        <v>0</v>
      </c>
      <c r="BD1344" s="105" t="n">
        <v>0</v>
      </c>
      <c r="BE1344" s="105" t="n">
        <v>0</v>
      </c>
      <c r="BF1344" s="105" t="n">
        <v>0</v>
      </c>
      <c r="BG1344" s="105" t="n">
        <v>0</v>
      </c>
      <c r="BH1344" s="105" t="n">
        <v>0</v>
      </c>
      <c r="BI1344" s="105" t="n">
        <v>0</v>
      </c>
      <c r="BJ1344" s="105" t="n">
        <v>0</v>
      </c>
      <c r="BK1344" s="105" t="n">
        <v>0</v>
      </c>
      <c r="BL1344" s="105" t="n">
        <v>0</v>
      </c>
      <c r="BM1344" s="105" t="n">
        <v>0</v>
      </c>
      <c r="BN1344" s="105" t="n">
        <v>0</v>
      </c>
      <c r="BO1344" s="105" t="n">
        <v>0</v>
      </c>
      <c r="BP1344" s="105" t="n">
        <v>0</v>
      </c>
      <c r="BQ1344" s="105" t="n">
        <v>0</v>
      </c>
      <c r="BR1344" s="106" t="n">
        <v>0</v>
      </c>
      <c r="BS1344" s="106" t="n">
        <v>0</v>
      </c>
      <c r="BT1344" s="107"/>
      <c r="BU1344" s="107"/>
      <c r="BV1344" s="107"/>
      <c r="BW1344" s="107"/>
      <c r="BX1344" s="107"/>
      <c r="BY1344" s="107"/>
      <c r="BZ1344" s="107"/>
      <c r="CA1344" s="107"/>
      <c r="CB1344" s="107"/>
      <c r="CC1344" s="107"/>
      <c r="CD1344" s="107"/>
      <c r="CE1344" s="107"/>
      <c r="CF1344" s="107"/>
      <c r="CG1344" s="107"/>
      <c r="CH1344" s="107"/>
      <c r="CI1344" s="107"/>
      <c r="CJ1344" s="107"/>
      <c r="CK1344" s="107"/>
      <c r="CL1344" s="107"/>
      <c r="CM1344" s="107"/>
      <c r="CN1344" s="107"/>
      <c r="CO1344" s="107"/>
      <c r="CP1344" s="107"/>
      <c r="CQ1344" s="107"/>
      <c r="CR1344" s="107"/>
      <c r="CS1344" s="107"/>
      <c r="CT1344" s="107"/>
      <c r="CU1344" s="107"/>
      <c r="CV1344" s="107"/>
    </row>
    <row r="1345" customFormat="false" ht="14.9" hidden="false" customHeight="false" outlineLevel="0" collapsed="false">
      <c r="A1345" s="74" t="n">
        <f aca="false">MONTH(B1345)</f>
        <v>11</v>
      </c>
      <c r="B1345" s="135" t="n">
        <v>44522</v>
      </c>
      <c r="C1345" s="128" t="s">
        <v>70</v>
      </c>
      <c r="D1345" s="77" t="str">
        <f aca="false">IFERROR(VLOOKUP(E:E,'Item Data Support Sheet'!A:O,7,0),"")</f>
        <v>NIPPLE PUNCH</v>
      </c>
      <c r="E1345" s="80" t="s">
        <v>666</v>
      </c>
      <c r="F1345" s="122"/>
      <c r="G1345" s="137" t="s">
        <v>54</v>
      </c>
      <c r="H1345" s="79" t="str">
        <f aca="false">IFERROR(VLOOKUP(E:E,'Item Data Support Sheet'!A:O,2,0),"")</f>
        <v>NIPPLE S TYPE L SIZE PUNCHED</v>
      </c>
      <c r="I1345" s="80" t="s">
        <v>2136</v>
      </c>
      <c r="J1345" s="80" t="s">
        <v>155</v>
      </c>
      <c r="K1345" s="124" t="n">
        <v>8</v>
      </c>
      <c r="L1345" s="124" t="n">
        <v>7000</v>
      </c>
      <c r="M1345" s="83" t="n">
        <v>875</v>
      </c>
      <c r="N1345" s="84" t="n">
        <f aca="false">+O1345+Q1345+T1345+U1345</f>
        <v>4250</v>
      </c>
      <c r="O1345" s="85" t="n">
        <v>4250</v>
      </c>
      <c r="P1345" s="86" t="n">
        <v>0</v>
      </c>
      <c r="Q1345" s="86" t="n">
        <v>0</v>
      </c>
      <c r="R1345" s="132" t="n">
        <v>0</v>
      </c>
      <c r="S1345" s="128" t="n">
        <v>0</v>
      </c>
      <c r="T1345" s="132" t="n">
        <v>0</v>
      </c>
      <c r="U1345" s="128" t="n">
        <v>0</v>
      </c>
      <c r="V1345" s="128" t="n">
        <v>1</v>
      </c>
      <c r="W1345" s="90" t="n">
        <f aca="false">IFERROR(O1345/V1345,0)</f>
        <v>4250</v>
      </c>
      <c r="X1345" s="91" t="n">
        <f aca="false">O1345/L1345</f>
        <v>0.607142857142857</v>
      </c>
      <c r="Y1345" s="92" t="str">
        <f aca="false">IFERROR(VLOOKUP(E:E,'Item Data Support Sheet'!A:J,6,0),0)</f>
        <v>FO017</v>
      </c>
      <c r="Z1345" s="93" t="n">
        <f aca="false">IFERROR(VLOOKUP(E:E,'Item Data Support Sheet'!A:O,4,0),0)</f>
        <v>0</v>
      </c>
      <c r="AA1345" s="93" t="n">
        <f aca="false">IFERROR(((N1345)*(Z1345/1000))+P1345,0)</f>
        <v>0</v>
      </c>
      <c r="AB1345" s="94" t="str">
        <f aca="false">IFERROR((O1345*(Z1345/1000)/(AA1345))," ")</f>
        <v> </v>
      </c>
      <c r="AC1345" s="95" t="n">
        <f aca="false">IFERROR((T1345)/((T1345)+O1345),0)</f>
        <v>0</v>
      </c>
      <c r="AD1345" s="96" t="n">
        <f aca="false">IFERROR(Q1345/(Q1345+N1345),0)</f>
        <v>0</v>
      </c>
      <c r="AE1345" s="91" t="n">
        <f aca="false">(N1345-T1345)/N1345</f>
        <v>1</v>
      </c>
      <c r="AF1345" s="97" t="n">
        <f aca="false">BR1345</f>
        <v>0.666666666666667</v>
      </c>
      <c r="AG1345" s="98" t="n">
        <f aca="false">K1345-AF1345</f>
        <v>7.33333333333333</v>
      </c>
      <c r="AH1345" s="99" t="n">
        <f aca="false">IFERROR(AG1345/K1345," ")</f>
        <v>0.916666666666667</v>
      </c>
      <c r="AI1345" s="100" t="n">
        <f aca="false">IFERROR(O1345/K1345,0)</f>
        <v>531.25</v>
      </c>
      <c r="AJ1345" s="101" t="n">
        <f aca="false">VLOOKUP(D1345,'Standard Cycle time'!C:D,2,0)</f>
        <v>3.5</v>
      </c>
      <c r="AK1345" s="101" t="n">
        <f aca="false">AG1345*V1345*3600/O1345</f>
        <v>6.21176470588235</v>
      </c>
      <c r="AL1345" s="102" t="n">
        <f aca="false">AJ1345/AK1345</f>
        <v>0.56344696969697</v>
      </c>
      <c r="AM1345" s="99" t="n">
        <f aca="false">AE1345*AL1345*AH1345</f>
        <v>0.516493055555556</v>
      </c>
      <c r="AN1345" s="103" t="s">
        <v>2137</v>
      </c>
      <c r="AO1345" s="112"/>
      <c r="AP1345" s="105" t="n">
        <v>40</v>
      </c>
      <c r="AQ1345" s="105" t="n">
        <v>0</v>
      </c>
      <c r="AR1345" s="105" t="n">
        <v>0</v>
      </c>
      <c r="AS1345" s="105" t="n">
        <v>0</v>
      </c>
      <c r="AT1345" s="105" t="n">
        <v>0</v>
      </c>
      <c r="AU1345" s="105" t="n">
        <v>0</v>
      </c>
      <c r="AV1345" s="105" t="n">
        <v>0</v>
      </c>
      <c r="AW1345" s="105" t="n">
        <v>0</v>
      </c>
      <c r="AX1345" s="105" t="n">
        <v>0</v>
      </c>
      <c r="AY1345" s="105" t="n">
        <v>0</v>
      </c>
      <c r="AZ1345" s="105" t="n">
        <v>0</v>
      </c>
      <c r="BA1345" s="105" t="n">
        <v>0</v>
      </c>
      <c r="BB1345" s="105" t="n">
        <v>0</v>
      </c>
      <c r="BC1345" s="105" t="n">
        <v>0</v>
      </c>
      <c r="BD1345" s="105" t="n">
        <v>0</v>
      </c>
      <c r="BE1345" s="105" t="n">
        <v>0</v>
      </c>
      <c r="BF1345" s="105" t="n">
        <v>0</v>
      </c>
      <c r="BG1345" s="105" t="n">
        <v>0</v>
      </c>
      <c r="BH1345" s="105" t="n">
        <v>0</v>
      </c>
      <c r="BI1345" s="105" t="n">
        <v>0</v>
      </c>
      <c r="BJ1345" s="105" t="n">
        <v>0</v>
      </c>
      <c r="BK1345" s="105" t="n">
        <v>0</v>
      </c>
      <c r="BL1345" s="105" t="n">
        <v>0</v>
      </c>
      <c r="BM1345" s="105" t="n">
        <v>0</v>
      </c>
      <c r="BN1345" s="105" t="n">
        <v>0</v>
      </c>
      <c r="BO1345" s="105" t="n">
        <v>0</v>
      </c>
      <c r="BP1345" s="105" t="n">
        <v>0</v>
      </c>
      <c r="BQ1345" s="105" t="n">
        <v>0</v>
      </c>
      <c r="BR1345" s="106" t="n">
        <v>0.666666666666667</v>
      </c>
      <c r="BS1345" s="106" t="n">
        <v>0.666666666666667</v>
      </c>
      <c r="BT1345" s="107"/>
      <c r="BU1345" s="107"/>
      <c r="BV1345" s="107"/>
      <c r="BW1345" s="107"/>
      <c r="BX1345" s="107"/>
      <c r="BY1345" s="107"/>
      <c r="BZ1345" s="107"/>
      <c r="CA1345" s="107"/>
      <c r="CB1345" s="107"/>
      <c r="CC1345" s="107"/>
      <c r="CD1345" s="107"/>
      <c r="CE1345" s="107"/>
      <c r="CF1345" s="107"/>
      <c r="CG1345" s="107"/>
      <c r="CH1345" s="107"/>
      <c r="CI1345" s="107"/>
      <c r="CJ1345" s="107"/>
      <c r="CK1345" s="107"/>
      <c r="CL1345" s="107"/>
      <c r="CM1345" s="107"/>
      <c r="CN1345" s="107"/>
      <c r="CO1345" s="107"/>
      <c r="CP1345" s="107"/>
      <c r="CQ1345" s="107"/>
      <c r="CR1345" s="107"/>
      <c r="CS1345" s="107"/>
      <c r="CT1345" s="107"/>
      <c r="CU1345" s="107"/>
      <c r="CV1345" s="107"/>
    </row>
    <row r="1346" customFormat="false" ht="14.9" hidden="false" customHeight="false" outlineLevel="0" collapsed="false">
      <c r="A1346" s="74" t="n">
        <f aca="false">MONTH(B1346)</f>
        <v>11</v>
      </c>
      <c r="B1346" s="135" t="n">
        <v>44522</v>
      </c>
      <c r="C1346" s="128" t="s">
        <v>70</v>
      </c>
      <c r="D1346" s="77" t="str">
        <f aca="false">IFERROR(VLOOKUP(E:E,'Item Data Support Sheet'!A:O,7,0),"")</f>
        <v>NIPPLE LASER MARKING</v>
      </c>
      <c r="E1346" s="80" t="s">
        <v>681</v>
      </c>
      <c r="F1346" s="122"/>
      <c r="G1346" s="137" t="s">
        <v>517</v>
      </c>
      <c r="H1346" s="79" t="str">
        <f aca="false">IFERROR(VLOOKUP(E:E,'Item Data Support Sheet'!A:O,2,0),"")</f>
        <v>NIPPLE S TYPE L SIZE PUNCHED LASER MARKED</v>
      </c>
      <c r="I1346" s="80" t="s">
        <v>2138</v>
      </c>
      <c r="J1346" s="80" t="s">
        <v>155</v>
      </c>
      <c r="K1346" s="124" t="n">
        <v>8</v>
      </c>
      <c r="L1346" s="124" t="n">
        <v>7000</v>
      </c>
      <c r="M1346" s="83" t="n">
        <v>875</v>
      </c>
      <c r="N1346" s="84" t="n">
        <f aca="false">+O1346+Q1346+T1346+U1346</f>
        <v>6500</v>
      </c>
      <c r="O1346" s="85" t="n">
        <v>6500</v>
      </c>
      <c r="P1346" s="86" t="n">
        <v>0</v>
      </c>
      <c r="Q1346" s="86" t="n">
        <v>0</v>
      </c>
      <c r="R1346" s="132" t="n">
        <v>0</v>
      </c>
      <c r="S1346" s="128" t="n">
        <v>0</v>
      </c>
      <c r="T1346" s="132" t="n">
        <v>0</v>
      </c>
      <c r="U1346" s="128" t="n">
        <v>0</v>
      </c>
      <c r="V1346" s="128" t="n">
        <v>1</v>
      </c>
      <c r="W1346" s="90" t="n">
        <f aca="false">IFERROR(O1346/V1346,0)</f>
        <v>6500</v>
      </c>
      <c r="X1346" s="91" t="n">
        <f aca="false">O1346/L1346</f>
        <v>0.928571428571429</v>
      </c>
      <c r="Y1346" s="92" t="str">
        <f aca="false">IFERROR(VLOOKUP(E:E,'Item Data Support Sheet'!A:J,6,0),0)</f>
        <v>FO021</v>
      </c>
      <c r="Z1346" s="93" t="n">
        <f aca="false">IFERROR(VLOOKUP(E:E,'Item Data Support Sheet'!A:O,4,0),0)</f>
        <v>0</v>
      </c>
      <c r="AA1346" s="93" t="n">
        <f aca="false">IFERROR(((N1346)*(Z1346/1000))+P1346,0)</f>
        <v>0</v>
      </c>
      <c r="AB1346" s="94" t="str">
        <f aca="false">IFERROR((O1346*(Z1346/1000)/(AA1346))," ")</f>
        <v> </v>
      </c>
      <c r="AC1346" s="95" t="n">
        <f aca="false">IFERROR((T1346)/((T1346)+O1346),0)</f>
        <v>0</v>
      </c>
      <c r="AD1346" s="96" t="n">
        <f aca="false">IFERROR(Q1346/(Q1346+N1346),0)</f>
        <v>0</v>
      </c>
      <c r="AE1346" s="91" t="n">
        <f aca="false">(N1346-T1346)/N1346</f>
        <v>1</v>
      </c>
      <c r="AF1346" s="97" t="n">
        <f aca="false">BR1346</f>
        <v>0.666666666666667</v>
      </c>
      <c r="AG1346" s="98" t="n">
        <f aca="false">K1346-AF1346</f>
        <v>7.33333333333333</v>
      </c>
      <c r="AH1346" s="99" t="n">
        <f aca="false">IFERROR(AG1346/K1346," ")</f>
        <v>0.916666666666667</v>
      </c>
      <c r="AI1346" s="100" t="n">
        <f aca="false">IFERROR(O1346/K1346,0)</f>
        <v>812.5</v>
      </c>
      <c r="AJ1346" s="101" t="n">
        <f aca="false">VLOOKUP(D1346,'Standard Cycle time'!C:D,2,0)</f>
        <v>3.5</v>
      </c>
      <c r="AK1346" s="101" t="n">
        <f aca="false">AG1346*V1346*3600/O1346</f>
        <v>4.06153846153846</v>
      </c>
      <c r="AL1346" s="102" t="n">
        <f aca="false">AJ1346/AK1346</f>
        <v>0.861742424242424</v>
      </c>
      <c r="AM1346" s="99" t="n">
        <f aca="false">AE1346*AL1346*AH1346</f>
        <v>0.789930555555556</v>
      </c>
      <c r="AN1346" s="103" t="n">
        <v>0.789930555555556</v>
      </c>
      <c r="AO1346" s="112" t="s">
        <v>2130</v>
      </c>
      <c r="AP1346" s="105" t="n">
        <v>40</v>
      </c>
      <c r="AQ1346" s="105" t="n">
        <v>0</v>
      </c>
      <c r="AR1346" s="105" t="n">
        <v>0</v>
      </c>
      <c r="AS1346" s="105" t="n">
        <v>0</v>
      </c>
      <c r="AT1346" s="105" t="n">
        <v>0</v>
      </c>
      <c r="AU1346" s="105" t="n">
        <v>0</v>
      </c>
      <c r="AV1346" s="105" t="n">
        <v>0</v>
      </c>
      <c r="AW1346" s="105" t="n">
        <v>0</v>
      </c>
      <c r="AX1346" s="105" t="n">
        <v>0</v>
      </c>
      <c r="AY1346" s="105" t="n">
        <v>0</v>
      </c>
      <c r="AZ1346" s="105" t="n">
        <v>0</v>
      </c>
      <c r="BA1346" s="105" t="n">
        <v>0</v>
      </c>
      <c r="BB1346" s="105" t="n">
        <v>0</v>
      </c>
      <c r="BC1346" s="105" t="n">
        <v>0</v>
      </c>
      <c r="BD1346" s="105" t="n">
        <v>0</v>
      </c>
      <c r="BE1346" s="105" t="n">
        <v>0</v>
      </c>
      <c r="BF1346" s="105" t="n">
        <v>0</v>
      </c>
      <c r="BG1346" s="105" t="n">
        <v>0</v>
      </c>
      <c r="BH1346" s="105" t="n">
        <v>0</v>
      </c>
      <c r="BI1346" s="105" t="n">
        <v>0</v>
      </c>
      <c r="BJ1346" s="105" t="n">
        <v>0</v>
      </c>
      <c r="BK1346" s="105" t="n">
        <v>0</v>
      </c>
      <c r="BL1346" s="105" t="n">
        <v>0</v>
      </c>
      <c r="BM1346" s="105" t="n">
        <v>0</v>
      </c>
      <c r="BN1346" s="105" t="n">
        <v>0</v>
      </c>
      <c r="BO1346" s="105" t="n">
        <v>0</v>
      </c>
      <c r="BP1346" s="105" t="n">
        <v>0</v>
      </c>
      <c r="BQ1346" s="105" t="n">
        <v>0</v>
      </c>
      <c r="BR1346" s="106" t="n">
        <v>0.666666666666667</v>
      </c>
      <c r="BS1346" s="106" t="n">
        <v>0.666666666666667</v>
      </c>
      <c r="BT1346" s="107"/>
      <c r="BU1346" s="107"/>
      <c r="BV1346" s="107"/>
      <c r="BW1346" s="107"/>
      <c r="BX1346" s="107"/>
      <c r="BY1346" s="107"/>
      <c r="BZ1346" s="107"/>
      <c r="CA1346" s="107"/>
      <c r="CB1346" s="107"/>
      <c r="CC1346" s="107"/>
      <c r="CD1346" s="107"/>
      <c r="CE1346" s="107"/>
      <c r="CF1346" s="107"/>
      <c r="CG1346" s="107"/>
      <c r="CH1346" s="107"/>
      <c r="CI1346" s="107"/>
      <c r="CJ1346" s="107"/>
      <c r="CK1346" s="107"/>
      <c r="CL1346" s="107"/>
      <c r="CM1346" s="107"/>
      <c r="CN1346" s="107"/>
      <c r="CO1346" s="107"/>
      <c r="CP1346" s="107"/>
      <c r="CQ1346" s="107"/>
      <c r="CR1346" s="107"/>
      <c r="CS1346" s="107"/>
      <c r="CT1346" s="107"/>
      <c r="CU1346" s="107"/>
      <c r="CV1346" s="107"/>
    </row>
    <row r="1347" customFormat="false" ht="14.9" hidden="false" customHeight="false" outlineLevel="0" collapsed="false">
      <c r="A1347" s="74" t="n">
        <f aca="false">MONTH(B1347)</f>
        <v>11</v>
      </c>
      <c r="B1347" s="135" t="n">
        <v>44522</v>
      </c>
      <c r="C1347" s="128" t="s">
        <v>152</v>
      </c>
      <c r="D1347" s="77" t="str">
        <f aca="false">IFERROR(VLOOKUP(E:E,'Item Data Support Sheet'!A:O,7,0),"")</f>
        <v>BOTTLE MOLDED</v>
      </c>
      <c r="E1347" s="80" t="s">
        <v>747</v>
      </c>
      <c r="F1347" s="122" t="s">
        <v>79</v>
      </c>
      <c r="G1347" s="137" t="s">
        <v>80</v>
      </c>
      <c r="H1347" s="79" t="str">
        <f aca="false">IFERROR(VLOOKUP(E:E,'Item Data Support Sheet'!A:O,2,0),"")</f>
        <v>RPP 120ML BLUE BOTTLE MOLDED (WM3GB)</v>
      </c>
      <c r="I1347" s="80" t="s">
        <v>2139</v>
      </c>
      <c r="J1347" s="80" t="s">
        <v>143</v>
      </c>
      <c r="K1347" s="124" t="n">
        <v>8</v>
      </c>
      <c r="L1347" s="124" t="n">
        <v>1000</v>
      </c>
      <c r="M1347" s="83" t="n">
        <v>125</v>
      </c>
      <c r="N1347" s="84" t="n">
        <f aca="false">+O1347+Q1347+T1347+U1347</f>
        <v>614</v>
      </c>
      <c r="O1347" s="85" t="n">
        <v>600</v>
      </c>
      <c r="P1347" s="86" t="n">
        <v>0</v>
      </c>
      <c r="Q1347" s="86" t="n">
        <v>0</v>
      </c>
      <c r="R1347" s="132" t="n">
        <v>0</v>
      </c>
      <c r="S1347" s="128" t="n">
        <v>0</v>
      </c>
      <c r="T1347" s="132" t="n">
        <v>14</v>
      </c>
      <c r="U1347" s="128" t="n">
        <v>0</v>
      </c>
      <c r="V1347" s="128" t="n">
        <v>1</v>
      </c>
      <c r="W1347" s="90" t="n">
        <f aca="false">IFERROR(O1347/V1347,0)</f>
        <v>600</v>
      </c>
      <c r="X1347" s="91" t="n">
        <f aca="false">O1347/L1347</f>
        <v>0.6</v>
      </c>
      <c r="Y1347" s="92" t="str">
        <f aca="false">IFERROR(VLOOKUP(E:E,'Item Data Support Sheet'!A:J,6,0),0)</f>
        <v>WMG3B</v>
      </c>
      <c r="Z1347" s="93" t="n">
        <f aca="false">IFERROR(VLOOKUP(E:E,'Item Data Support Sheet'!A:O,4,0),0)</f>
        <v>22.7</v>
      </c>
      <c r="AA1347" s="93" t="n">
        <f aca="false">IFERROR(((N1347)*(Z1347/1000))+P1347,0)</f>
        <v>13.9378</v>
      </c>
      <c r="AB1347" s="94" t="n">
        <f aca="false">IFERROR((O1347*(Z1347/1000)/(AA1347))," ")</f>
        <v>0.977198697068404</v>
      </c>
      <c r="AC1347" s="95" t="n">
        <f aca="false">IFERROR((T1347)/((T1347)+O1347),0)</f>
        <v>0.0228013029315961</v>
      </c>
      <c r="AD1347" s="96" t="n">
        <f aca="false">IFERROR(Q1347/(Q1347+N1347),0)</f>
        <v>0</v>
      </c>
      <c r="AE1347" s="91" t="n">
        <f aca="false">(N1347-T1347)/N1347</f>
        <v>0.977198697068404</v>
      </c>
      <c r="AF1347" s="97" t="n">
        <f aca="false">BR1347</f>
        <v>6.16666666666667</v>
      </c>
      <c r="AG1347" s="98" t="n">
        <f aca="false">K1347-AF1347</f>
        <v>1.83333333333333</v>
      </c>
      <c r="AH1347" s="99" t="n">
        <f aca="false">IFERROR(AG1347/K1347," ")</f>
        <v>0.229166666666666</v>
      </c>
      <c r="AI1347" s="100" t="n">
        <f aca="false">IFERROR(O1347/K1347,0)</f>
        <v>75</v>
      </c>
      <c r="AJ1347" s="101" t="n">
        <f aca="false">VLOOKUP(D1347,'Standard Cycle time'!C:D,2,0)</f>
        <v>9</v>
      </c>
      <c r="AK1347" s="101" t="n">
        <f aca="false">AG1347*V1347*3600/O1347</f>
        <v>11</v>
      </c>
      <c r="AL1347" s="102" t="n">
        <f aca="false">AJ1347/AK1347</f>
        <v>0.818181818181819</v>
      </c>
      <c r="AM1347" s="99" t="n">
        <f aca="false">AE1347*AL1347*AH1347</f>
        <v>0.183224755700326</v>
      </c>
      <c r="AN1347" s="103" t="n">
        <v>0.183224755700326</v>
      </c>
      <c r="AO1347" s="112" t="s">
        <v>2140</v>
      </c>
      <c r="AP1347" s="105" t="n">
        <v>0</v>
      </c>
      <c r="AQ1347" s="105" t="n">
        <v>170</v>
      </c>
      <c r="AR1347" s="105" t="n">
        <v>0</v>
      </c>
      <c r="AS1347" s="105" t="n">
        <v>0</v>
      </c>
      <c r="AT1347" s="105" t="n">
        <v>0</v>
      </c>
      <c r="AU1347" s="105" t="n">
        <v>0</v>
      </c>
      <c r="AV1347" s="105" t="n">
        <v>0</v>
      </c>
      <c r="AW1347" s="105" t="n">
        <v>0</v>
      </c>
      <c r="AX1347" s="105" t="n">
        <v>0</v>
      </c>
      <c r="AY1347" s="105" t="n">
        <v>0</v>
      </c>
      <c r="AZ1347" s="105" t="n">
        <v>0</v>
      </c>
      <c r="BA1347" s="105" t="n">
        <v>0</v>
      </c>
      <c r="BB1347" s="105" t="n">
        <v>0</v>
      </c>
      <c r="BC1347" s="105" t="n">
        <v>0</v>
      </c>
      <c r="BD1347" s="105" t="n">
        <v>0</v>
      </c>
      <c r="BE1347" s="105" t="n">
        <v>200</v>
      </c>
      <c r="BF1347" s="105" t="n">
        <v>0</v>
      </c>
      <c r="BG1347" s="105" t="n">
        <v>0</v>
      </c>
      <c r="BH1347" s="105" t="n">
        <v>0</v>
      </c>
      <c r="BI1347" s="105" t="n">
        <v>0</v>
      </c>
      <c r="BJ1347" s="105" t="n">
        <v>0</v>
      </c>
      <c r="BK1347" s="105" t="n">
        <v>0</v>
      </c>
      <c r="BL1347" s="105" t="n">
        <v>0</v>
      </c>
      <c r="BM1347" s="105" t="n">
        <v>0</v>
      </c>
      <c r="BN1347" s="105" t="n">
        <v>0</v>
      </c>
      <c r="BO1347" s="105" t="n">
        <v>0</v>
      </c>
      <c r="BP1347" s="105" t="n">
        <v>0</v>
      </c>
      <c r="BQ1347" s="105" t="n">
        <v>0</v>
      </c>
      <c r="BR1347" s="106" t="n">
        <v>6.16666666666667</v>
      </c>
      <c r="BS1347" s="106" t="n">
        <v>6.16666666666667</v>
      </c>
      <c r="BT1347" s="107"/>
      <c r="BU1347" s="107"/>
      <c r="BV1347" s="107"/>
      <c r="BW1347" s="107"/>
      <c r="BX1347" s="107"/>
      <c r="BY1347" s="107"/>
      <c r="BZ1347" s="107"/>
      <c r="CA1347" s="107"/>
      <c r="CB1347" s="107"/>
      <c r="CC1347" s="107"/>
      <c r="CD1347" s="107"/>
      <c r="CE1347" s="107"/>
      <c r="CF1347" s="107"/>
      <c r="CG1347" s="107"/>
      <c r="CH1347" s="107"/>
      <c r="CI1347" s="107"/>
      <c r="CJ1347" s="107"/>
      <c r="CK1347" s="107"/>
      <c r="CL1347" s="107"/>
      <c r="CM1347" s="107"/>
      <c r="CN1347" s="107"/>
      <c r="CO1347" s="107"/>
      <c r="CP1347" s="107"/>
      <c r="CQ1347" s="107"/>
      <c r="CR1347" s="107"/>
      <c r="CS1347" s="107"/>
      <c r="CT1347" s="107"/>
      <c r="CU1347" s="107"/>
      <c r="CV1347" s="107"/>
    </row>
    <row r="1348" customFormat="false" ht="14.9" hidden="false" customHeight="false" outlineLevel="0" collapsed="false">
      <c r="A1348" s="74" t="n">
        <f aca="false">MONTH(B1348)</f>
        <v>11</v>
      </c>
      <c r="B1348" s="135" t="n">
        <v>44522</v>
      </c>
      <c r="C1348" s="128" t="s">
        <v>152</v>
      </c>
      <c r="D1348" s="77" t="str">
        <f aca="false">IFERROR(VLOOKUP(E:E,'Item Data Support Sheet'!A:O,7,0),"")</f>
        <v>HOOD MOLDED</v>
      </c>
      <c r="E1348" s="80" t="s">
        <v>529</v>
      </c>
      <c r="F1348" s="122"/>
      <c r="G1348" s="137" t="s">
        <v>740</v>
      </c>
      <c r="H1348" s="79" t="str">
        <f aca="false">IFERROR(VLOOKUP(E:E,'Item Data Support Sheet'!A:O,2,0),"")</f>
        <v>HOOD S TYPE MOLDED</v>
      </c>
      <c r="I1348" s="80" t="s">
        <v>2127</v>
      </c>
      <c r="J1348" s="80" t="s">
        <v>143</v>
      </c>
      <c r="K1348" s="124" t="n">
        <v>8</v>
      </c>
      <c r="L1348" s="124" t="n">
        <v>4137</v>
      </c>
      <c r="M1348" s="83" t="n">
        <v>517.125</v>
      </c>
      <c r="N1348" s="84" t="n">
        <f aca="false">+O1348+Q1348+T1348+U1348</f>
        <v>4012</v>
      </c>
      <c r="O1348" s="85" t="n">
        <v>4000</v>
      </c>
      <c r="P1348" s="86" t="n">
        <v>0</v>
      </c>
      <c r="Q1348" s="86" t="n">
        <v>0</v>
      </c>
      <c r="R1348" s="132" t="n">
        <v>0</v>
      </c>
      <c r="S1348" s="128" t="n">
        <v>0</v>
      </c>
      <c r="T1348" s="132" t="n">
        <v>4</v>
      </c>
      <c r="U1348" s="128" t="n">
        <v>8</v>
      </c>
      <c r="V1348" s="128" t="n">
        <v>1</v>
      </c>
      <c r="W1348" s="90" t="n">
        <f aca="false">IFERROR(O1348/V1348,0)</f>
        <v>4000</v>
      </c>
      <c r="X1348" s="91" t="n">
        <f aca="false">O1348/L1348</f>
        <v>0.96688421561518</v>
      </c>
      <c r="Y1348" s="92" t="str">
        <f aca="false">IFERROR(VLOOKUP(E:E,'Item Data Support Sheet'!A:J,6,0),0)</f>
        <v>HMC</v>
      </c>
      <c r="Z1348" s="93" t="n">
        <f aca="false">IFERROR(VLOOKUP(E:E,'Item Data Support Sheet'!A:O,4,0),0)</f>
        <v>8.6</v>
      </c>
      <c r="AA1348" s="93" t="n">
        <f aca="false">IFERROR(((N1348)*(Z1348/1000))+P1348,0)</f>
        <v>34.5032</v>
      </c>
      <c r="AB1348" s="94" t="n">
        <f aca="false">IFERROR((O1348*(Z1348/1000)/(AA1348))," ")</f>
        <v>0.997008973080758</v>
      </c>
      <c r="AC1348" s="95" t="n">
        <f aca="false">IFERROR((T1348)/((T1348)+O1348),0)</f>
        <v>0.000999000999000999</v>
      </c>
      <c r="AD1348" s="96" t="n">
        <f aca="false">IFERROR(Q1348/(Q1348+N1348),0)</f>
        <v>0</v>
      </c>
      <c r="AE1348" s="91" t="n">
        <f aca="false">(N1348-T1348)/N1348</f>
        <v>0.999002991026919</v>
      </c>
      <c r="AF1348" s="97" t="n">
        <f aca="false">BR1348</f>
        <v>0</v>
      </c>
      <c r="AG1348" s="98" t="n">
        <f aca="false">K1348-AF1348</f>
        <v>8</v>
      </c>
      <c r="AH1348" s="99" t="n">
        <f aca="false">IFERROR(AG1348/K1348," ")</f>
        <v>1</v>
      </c>
      <c r="AI1348" s="100" t="n">
        <f aca="false">IFERROR(O1348/K1348,0)</f>
        <v>500</v>
      </c>
      <c r="AJ1348" s="101" t="n">
        <f aca="false">VLOOKUP(D1348,'Standard Cycle time'!C:D,2,0)</f>
        <v>6</v>
      </c>
      <c r="AK1348" s="101" t="n">
        <f aca="false">AG1348*V1348*3600/O1348</f>
        <v>7.2</v>
      </c>
      <c r="AL1348" s="102" t="n">
        <f aca="false">AJ1348/AK1348</f>
        <v>0.833333333333333</v>
      </c>
      <c r="AM1348" s="99" t="n">
        <f aca="false">AE1348*AL1348*AH1348</f>
        <v>0.832502492522433</v>
      </c>
      <c r="AN1348" s="103" t="n">
        <v>0.832502492522433</v>
      </c>
      <c r="AO1348" s="112" t="s">
        <v>461</v>
      </c>
      <c r="AP1348" s="105" t="n">
        <v>0</v>
      </c>
      <c r="AQ1348" s="105" t="n">
        <v>0</v>
      </c>
      <c r="AR1348" s="105" t="n">
        <v>0</v>
      </c>
      <c r="AS1348" s="105" t="n">
        <v>0</v>
      </c>
      <c r="AT1348" s="105" t="n">
        <v>0</v>
      </c>
      <c r="AU1348" s="105" t="n">
        <v>0</v>
      </c>
      <c r="AV1348" s="105" t="n">
        <v>0</v>
      </c>
      <c r="AW1348" s="105" t="n">
        <v>0</v>
      </c>
      <c r="AX1348" s="105" t="n">
        <v>0</v>
      </c>
      <c r="AY1348" s="105" t="n">
        <v>0</v>
      </c>
      <c r="AZ1348" s="105" t="n">
        <v>0</v>
      </c>
      <c r="BA1348" s="105" t="n">
        <v>0</v>
      </c>
      <c r="BB1348" s="105" t="n">
        <v>0</v>
      </c>
      <c r="BC1348" s="105" t="n">
        <v>0</v>
      </c>
      <c r="BD1348" s="105" t="n">
        <v>0</v>
      </c>
      <c r="BE1348" s="105" t="n">
        <v>0</v>
      </c>
      <c r="BF1348" s="105" t="n">
        <v>0</v>
      </c>
      <c r="BG1348" s="105" t="n">
        <v>0</v>
      </c>
      <c r="BH1348" s="105" t="n">
        <v>0</v>
      </c>
      <c r="BI1348" s="105" t="n">
        <v>0</v>
      </c>
      <c r="BJ1348" s="105" t="n">
        <v>0</v>
      </c>
      <c r="BK1348" s="105" t="n">
        <v>0</v>
      </c>
      <c r="BL1348" s="105" t="n">
        <v>0</v>
      </c>
      <c r="BM1348" s="105" t="n">
        <v>0</v>
      </c>
      <c r="BN1348" s="105" t="n">
        <v>0</v>
      </c>
      <c r="BO1348" s="105" t="n">
        <v>0</v>
      </c>
      <c r="BP1348" s="105" t="n">
        <v>0</v>
      </c>
      <c r="BQ1348" s="105" t="n">
        <v>0</v>
      </c>
      <c r="BR1348" s="106" t="n">
        <v>0</v>
      </c>
      <c r="BS1348" s="106" t="n">
        <v>0</v>
      </c>
      <c r="BT1348" s="107"/>
      <c r="BU1348" s="107"/>
      <c r="BV1348" s="107"/>
      <c r="BW1348" s="107"/>
      <c r="BX1348" s="107"/>
      <c r="BY1348" s="107"/>
      <c r="BZ1348" s="107"/>
      <c r="CA1348" s="107"/>
      <c r="CB1348" s="107"/>
      <c r="CC1348" s="107"/>
      <c r="CD1348" s="107"/>
      <c r="CE1348" s="107"/>
      <c r="CF1348" s="107"/>
      <c r="CG1348" s="107"/>
      <c r="CH1348" s="107"/>
      <c r="CI1348" s="107"/>
      <c r="CJ1348" s="107"/>
      <c r="CK1348" s="107"/>
      <c r="CL1348" s="107"/>
      <c r="CM1348" s="107"/>
      <c r="CN1348" s="107"/>
      <c r="CO1348" s="107"/>
      <c r="CP1348" s="107"/>
      <c r="CQ1348" s="107"/>
      <c r="CR1348" s="107"/>
      <c r="CS1348" s="107"/>
      <c r="CT1348" s="107"/>
      <c r="CU1348" s="107"/>
      <c r="CV1348" s="107"/>
    </row>
    <row r="1349" customFormat="false" ht="14.9" hidden="false" customHeight="false" outlineLevel="0" collapsed="false">
      <c r="A1349" s="74" t="n">
        <f aca="false">MONTH(B1349)</f>
        <v>11</v>
      </c>
      <c r="B1349" s="135" t="n">
        <v>44522</v>
      </c>
      <c r="C1349" s="128" t="s">
        <v>152</v>
      </c>
      <c r="D1349" s="77" t="str">
        <f aca="false">IFERROR(VLOOKUP(E:E,'Item Data Support Sheet'!A:O,7,0),"")</f>
        <v>NIPPLE MOLDED</v>
      </c>
      <c r="E1349" s="80" t="s">
        <v>136</v>
      </c>
      <c r="F1349" s="122" t="s">
        <v>1286</v>
      </c>
      <c r="G1349" s="137" t="s">
        <v>848</v>
      </c>
      <c r="H1349" s="79" t="str">
        <f aca="false">IFERROR(VLOOKUP(E:E,'Item Data Support Sheet'!A:O,2,0),"")</f>
        <v>NIPPLE S TYPE M SIZE INJECTION</v>
      </c>
      <c r="I1349" s="80" t="s">
        <v>2141</v>
      </c>
      <c r="J1349" s="80" t="s">
        <v>143</v>
      </c>
      <c r="K1349" s="124" t="n">
        <v>8</v>
      </c>
      <c r="L1349" s="124" t="n">
        <v>3611</v>
      </c>
      <c r="M1349" s="83" t="n">
        <v>451.375</v>
      </c>
      <c r="N1349" s="84" t="n">
        <f aca="false">+O1349+Q1349+T1349+U1349</f>
        <v>1239</v>
      </c>
      <c r="O1349" s="85" t="n">
        <v>1220</v>
      </c>
      <c r="P1349" s="86" t="n">
        <v>0</v>
      </c>
      <c r="Q1349" s="86" t="n">
        <v>0</v>
      </c>
      <c r="R1349" s="132" t="n">
        <v>0</v>
      </c>
      <c r="S1349" s="128" t="n">
        <v>0</v>
      </c>
      <c r="T1349" s="132" t="n">
        <v>19</v>
      </c>
      <c r="U1349" s="128" t="n">
        <v>0</v>
      </c>
      <c r="V1349" s="128" t="n">
        <v>1</v>
      </c>
      <c r="W1349" s="90" t="n">
        <f aca="false">IFERROR(O1349/V1349,0)</f>
        <v>1220</v>
      </c>
      <c r="X1349" s="91" t="n">
        <f aca="false">O1349/L1349</f>
        <v>0.33785654943229</v>
      </c>
      <c r="Y1349" s="92" t="str">
        <f aca="false">IFERROR(VLOOKUP(E:E,'Item Data Support Sheet'!A:J,6,0),0)</f>
        <v>Silicon</v>
      </c>
      <c r="Z1349" s="93" t="n">
        <f aca="false">IFERROR(VLOOKUP(E:E,'Item Data Support Sheet'!A:O,4,0),0)</f>
        <v>6.8</v>
      </c>
      <c r="AA1349" s="93" t="n">
        <f aca="false">IFERROR(((N1349)*(Z1349/1000))+P1349,0)</f>
        <v>8.4252</v>
      </c>
      <c r="AB1349" s="94" t="n">
        <f aca="false">IFERROR((O1349*(Z1349/1000)/(AA1349))," ")</f>
        <v>0.984665052461663</v>
      </c>
      <c r="AC1349" s="95" t="n">
        <f aca="false">IFERROR((T1349)/((T1349)+O1349),0)</f>
        <v>0.0153349475383374</v>
      </c>
      <c r="AD1349" s="96" t="n">
        <f aca="false">IFERROR(Q1349/(Q1349+N1349),0)</f>
        <v>0</v>
      </c>
      <c r="AE1349" s="91" t="n">
        <f aca="false">(N1349-T1349)/N1349</f>
        <v>0.984665052461663</v>
      </c>
      <c r="AF1349" s="97" t="n">
        <f aca="false">BR1349</f>
        <v>6</v>
      </c>
      <c r="AG1349" s="98" t="n">
        <f aca="false">K1349-AF1349</f>
        <v>2</v>
      </c>
      <c r="AH1349" s="99" t="n">
        <f aca="false">IFERROR(AG1349/K1349," ")</f>
        <v>0.25</v>
      </c>
      <c r="AI1349" s="100" t="n">
        <f aca="false">IFERROR(O1349/K1349,0)</f>
        <v>152.5</v>
      </c>
      <c r="AJ1349" s="101" t="n">
        <f aca="false">VLOOKUP(D1349,'Standard Cycle time'!C:D,2,0)</f>
        <v>5.25</v>
      </c>
      <c r="AK1349" s="101" t="n">
        <f aca="false">AG1349*V1349*3600/O1349</f>
        <v>5.9016393442623</v>
      </c>
      <c r="AL1349" s="102" t="n">
        <f aca="false">AJ1349/AK1349</f>
        <v>0.889583333333333</v>
      </c>
      <c r="AM1349" s="99" t="n">
        <f aca="false">AE1349*AL1349*AH1349</f>
        <v>0.218985404896422</v>
      </c>
      <c r="AN1349" s="103" t="n">
        <v>0.218985404896422</v>
      </c>
      <c r="AO1349" s="112" t="s">
        <v>2142</v>
      </c>
      <c r="AP1349" s="105" t="n">
        <v>0</v>
      </c>
      <c r="AQ1349" s="105" t="n">
        <v>0</v>
      </c>
      <c r="AR1349" s="105" t="n">
        <v>0</v>
      </c>
      <c r="AS1349" s="105" t="n">
        <v>0</v>
      </c>
      <c r="AT1349" s="105" t="n">
        <v>0</v>
      </c>
      <c r="AU1349" s="105" t="n">
        <v>0</v>
      </c>
      <c r="AV1349" s="105" t="n">
        <v>0</v>
      </c>
      <c r="AW1349" s="105" t="n">
        <v>0</v>
      </c>
      <c r="AX1349" s="105" t="n">
        <v>0</v>
      </c>
      <c r="AY1349" s="105" t="n">
        <v>0</v>
      </c>
      <c r="AZ1349" s="105" t="n">
        <v>0</v>
      </c>
      <c r="BA1349" s="105" t="n">
        <v>0</v>
      </c>
      <c r="BB1349" s="105" t="n">
        <v>0</v>
      </c>
      <c r="BC1349" s="105" t="n">
        <v>0</v>
      </c>
      <c r="BD1349" s="105" t="n">
        <v>0</v>
      </c>
      <c r="BE1349" s="105" t="n">
        <v>0</v>
      </c>
      <c r="BF1349" s="105" t="n">
        <v>0</v>
      </c>
      <c r="BG1349" s="105" t="n">
        <v>0</v>
      </c>
      <c r="BH1349" s="105" t="n">
        <v>0</v>
      </c>
      <c r="BI1349" s="105" t="n">
        <v>0</v>
      </c>
      <c r="BJ1349" s="105" t="n">
        <v>0</v>
      </c>
      <c r="BK1349" s="105" t="n">
        <v>360</v>
      </c>
      <c r="BL1349" s="105" t="n">
        <v>0</v>
      </c>
      <c r="BM1349" s="105" t="n">
        <v>0</v>
      </c>
      <c r="BN1349" s="105" t="n">
        <v>0</v>
      </c>
      <c r="BO1349" s="105" t="n">
        <v>0</v>
      </c>
      <c r="BP1349" s="105" t="n">
        <v>0</v>
      </c>
      <c r="BQ1349" s="105" t="n">
        <v>0</v>
      </c>
      <c r="BR1349" s="106" t="n">
        <v>6</v>
      </c>
      <c r="BS1349" s="106" t="n">
        <v>6</v>
      </c>
      <c r="BT1349" s="107"/>
      <c r="BU1349" s="107"/>
      <c r="BV1349" s="107"/>
      <c r="BW1349" s="107"/>
      <c r="BX1349" s="107"/>
      <c r="BY1349" s="107"/>
      <c r="BZ1349" s="107"/>
      <c r="CA1349" s="107"/>
      <c r="CB1349" s="107"/>
      <c r="CC1349" s="107"/>
      <c r="CD1349" s="107"/>
      <c r="CE1349" s="107"/>
      <c r="CF1349" s="107"/>
      <c r="CG1349" s="107"/>
      <c r="CH1349" s="107"/>
      <c r="CI1349" s="107"/>
      <c r="CJ1349" s="107"/>
      <c r="CK1349" s="107"/>
      <c r="CL1349" s="107"/>
      <c r="CM1349" s="107"/>
      <c r="CN1349" s="107"/>
      <c r="CO1349" s="107"/>
      <c r="CP1349" s="107"/>
      <c r="CQ1349" s="107"/>
      <c r="CR1349" s="107"/>
      <c r="CS1349" s="107"/>
      <c r="CT1349" s="107"/>
      <c r="CU1349" s="107"/>
      <c r="CV1349" s="107"/>
    </row>
    <row r="1350" customFormat="false" ht="14.9" hidden="false" customHeight="false" outlineLevel="0" collapsed="false">
      <c r="A1350" s="74" t="n">
        <f aca="false">MONTH(B1350)</f>
        <v>11</v>
      </c>
      <c r="B1350" s="135" t="n">
        <v>44522</v>
      </c>
      <c r="C1350" s="128" t="s">
        <v>152</v>
      </c>
      <c r="D1350" s="77" t="str">
        <f aca="false">IFERROR(VLOOKUP(E:E,'Item Data Support Sheet'!A:O,7,0),"")</f>
        <v>NIPPLE MOLDED</v>
      </c>
      <c r="E1350" s="80" t="s">
        <v>661</v>
      </c>
      <c r="F1350" s="122" t="s">
        <v>137</v>
      </c>
      <c r="G1350" s="137" t="s">
        <v>138</v>
      </c>
      <c r="H1350" s="79" t="str">
        <f aca="false">IFERROR(VLOOKUP(E:E,'Item Data Support Sheet'!A:O,2,0),"")</f>
        <v>NIPPLE S TYPE L SIZE INJECTION</v>
      </c>
      <c r="I1350" s="80" t="s">
        <v>2141</v>
      </c>
      <c r="J1350" s="80" t="s">
        <v>143</v>
      </c>
      <c r="K1350" s="124" t="n">
        <v>8</v>
      </c>
      <c r="L1350" s="124" t="n">
        <v>4815</v>
      </c>
      <c r="M1350" s="83" t="n">
        <v>601.875</v>
      </c>
      <c r="N1350" s="84" t="n">
        <f aca="false">+O1350+Q1350+T1350+U1350</f>
        <v>5659</v>
      </c>
      <c r="O1350" s="85" t="n">
        <v>5600</v>
      </c>
      <c r="P1350" s="86" t="n">
        <v>0</v>
      </c>
      <c r="Q1350" s="86" t="n">
        <v>0</v>
      </c>
      <c r="R1350" s="132" t="n">
        <v>0</v>
      </c>
      <c r="S1350" s="128" t="n">
        <v>0</v>
      </c>
      <c r="T1350" s="132" t="n">
        <v>51</v>
      </c>
      <c r="U1350" s="128" t="n">
        <v>8</v>
      </c>
      <c r="V1350" s="128" t="n">
        <v>1</v>
      </c>
      <c r="W1350" s="90" t="n">
        <f aca="false">IFERROR(O1350/V1350,0)</f>
        <v>5600</v>
      </c>
      <c r="X1350" s="91" t="n">
        <f aca="false">O1350/L1350</f>
        <v>1.16303219106957</v>
      </c>
      <c r="Y1350" s="92" t="str">
        <f aca="false">IFERROR(VLOOKUP(E:E,'Item Data Support Sheet'!A:J,6,0),0)</f>
        <v>Silicon</v>
      </c>
      <c r="Z1350" s="93" t="n">
        <f aca="false">IFERROR(VLOOKUP(E:E,'Item Data Support Sheet'!A:O,4,0),0)</f>
        <v>6.8</v>
      </c>
      <c r="AA1350" s="93" t="n">
        <f aca="false">IFERROR(((N1350)*(Z1350/1000))+P1350,0)</f>
        <v>38.4812</v>
      </c>
      <c r="AB1350" s="94" t="n">
        <f aca="false">IFERROR((O1350*(Z1350/1000)/(AA1350))," ")</f>
        <v>0.989574129704895</v>
      </c>
      <c r="AC1350" s="95" t="n">
        <f aca="false">IFERROR((T1350)/((T1350)+O1350),0)</f>
        <v>0.00902495133604672</v>
      </c>
      <c r="AD1350" s="96" t="n">
        <f aca="false">IFERROR(Q1350/(Q1350+N1350),0)</f>
        <v>0</v>
      </c>
      <c r="AE1350" s="91" t="n">
        <f aca="false">(N1350-T1350)/N1350</f>
        <v>0.990987807033045</v>
      </c>
      <c r="AF1350" s="97" t="n">
        <f aca="false">BR1350</f>
        <v>0</v>
      </c>
      <c r="AG1350" s="98" t="n">
        <f aca="false">K1350-AF1350</f>
        <v>8</v>
      </c>
      <c r="AH1350" s="99" t="n">
        <f aca="false">IFERROR(AG1350/K1350," ")</f>
        <v>1</v>
      </c>
      <c r="AI1350" s="100" t="n">
        <f aca="false">IFERROR(O1350/K1350,0)</f>
        <v>700</v>
      </c>
      <c r="AJ1350" s="101" t="n">
        <f aca="false">VLOOKUP(D1350,'Standard Cycle time'!C:D,2,0)</f>
        <v>5.25</v>
      </c>
      <c r="AK1350" s="101" t="n">
        <f aca="false">AG1350*V1350*3600/O1350</f>
        <v>5.14285714285714</v>
      </c>
      <c r="AL1350" s="102" t="n">
        <f aca="false">AJ1350/AK1350</f>
        <v>1.02083333333333</v>
      </c>
      <c r="AM1350" s="99" t="n">
        <f aca="false">AE1350*AL1350*AH1350</f>
        <v>1.01163338634623</v>
      </c>
      <c r="AN1350" s="103" t="n">
        <v>1.01163338634623</v>
      </c>
      <c r="AO1350" s="112"/>
      <c r="AP1350" s="105" t="n">
        <v>0</v>
      </c>
      <c r="AQ1350" s="105" t="n">
        <v>0</v>
      </c>
      <c r="AR1350" s="105" t="n">
        <v>0</v>
      </c>
      <c r="AS1350" s="105" t="n">
        <v>0</v>
      </c>
      <c r="AT1350" s="105" t="n">
        <v>0</v>
      </c>
      <c r="AU1350" s="105" t="n">
        <v>0</v>
      </c>
      <c r="AV1350" s="105" t="n">
        <v>0</v>
      </c>
      <c r="AW1350" s="105" t="n">
        <v>0</v>
      </c>
      <c r="AX1350" s="105" t="n">
        <v>0</v>
      </c>
      <c r="AY1350" s="105" t="n">
        <v>0</v>
      </c>
      <c r="AZ1350" s="105" t="n">
        <v>0</v>
      </c>
      <c r="BA1350" s="105" t="n">
        <v>0</v>
      </c>
      <c r="BB1350" s="105" t="n">
        <v>0</v>
      </c>
      <c r="BC1350" s="105" t="n">
        <v>0</v>
      </c>
      <c r="BD1350" s="105" t="n">
        <v>0</v>
      </c>
      <c r="BE1350" s="105" t="n">
        <v>0</v>
      </c>
      <c r="BF1350" s="105" t="n">
        <v>0</v>
      </c>
      <c r="BG1350" s="105" t="n">
        <v>0</v>
      </c>
      <c r="BH1350" s="105" t="n">
        <v>0</v>
      </c>
      <c r="BI1350" s="105" t="n">
        <v>0</v>
      </c>
      <c r="BJ1350" s="105" t="n">
        <v>0</v>
      </c>
      <c r="BK1350" s="105" t="n">
        <v>0</v>
      </c>
      <c r="BL1350" s="105" t="n">
        <v>0</v>
      </c>
      <c r="BM1350" s="105" t="n">
        <v>0</v>
      </c>
      <c r="BN1350" s="105" t="n">
        <v>0</v>
      </c>
      <c r="BO1350" s="105" t="n">
        <v>0</v>
      </c>
      <c r="BP1350" s="105" t="n">
        <v>0</v>
      </c>
      <c r="BQ1350" s="105" t="n">
        <v>0</v>
      </c>
      <c r="BR1350" s="106" t="n">
        <v>0</v>
      </c>
      <c r="BS1350" s="106" t="n">
        <v>0</v>
      </c>
      <c r="BT1350" s="107"/>
      <c r="BU1350" s="107"/>
      <c r="BV1350" s="107"/>
      <c r="BW1350" s="107"/>
      <c r="BX1350" s="107"/>
      <c r="BY1350" s="107"/>
      <c r="BZ1350" s="107"/>
      <c r="CA1350" s="107"/>
      <c r="CB1350" s="107"/>
      <c r="CC1350" s="107"/>
      <c r="CD1350" s="107"/>
      <c r="CE1350" s="107"/>
      <c r="CF1350" s="107"/>
      <c r="CG1350" s="107"/>
      <c r="CH1350" s="107"/>
      <c r="CI1350" s="107"/>
      <c r="CJ1350" s="107"/>
      <c r="CK1350" s="107"/>
      <c r="CL1350" s="107"/>
      <c r="CM1350" s="107"/>
      <c r="CN1350" s="107"/>
      <c r="CO1350" s="107"/>
      <c r="CP1350" s="107"/>
      <c r="CQ1350" s="107"/>
      <c r="CR1350" s="107"/>
      <c r="CS1350" s="107"/>
      <c r="CT1350" s="107"/>
      <c r="CU1350" s="107"/>
      <c r="CV1350" s="107"/>
    </row>
    <row r="1351" customFormat="false" ht="14.9" hidden="false" customHeight="false" outlineLevel="0" collapsed="false">
      <c r="A1351" s="74" t="n">
        <f aca="false">MONTH(B1351)</f>
        <v>11</v>
      </c>
      <c r="B1351" s="135" t="n">
        <v>44522</v>
      </c>
      <c r="C1351" s="128" t="s">
        <v>152</v>
      </c>
      <c r="D1351" s="77" t="str">
        <f aca="false">IFERROR(VLOOKUP(E:E,'Item Data Support Sheet'!A:O,7,0),"")</f>
        <v>NIPPLE PUNCH</v>
      </c>
      <c r="E1351" s="80" t="s">
        <v>666</v>
      </c>
      <c r="F1351" s="122"/>
      <c r="G1351" s="137" t="s">
        <v>54</v>
      </c>
      <c r="H1351" s="79" t="str">
        <f aca="false">IFERROR(VLOOKUP(E:E,'Item Data Support Sheet'!A:O,2,0),"")</f>
        <v>NIPPLE S TYPE L SIZE PUNCHED</v>
      </c>
      <c r="I1351" s="80" t="s">
        <v>2143</v>
      </c>
      <c r="J1351" s="80" t="s">
        <v>143</v>
      </c>
      <c r="K1351" s="124" t="n">
        <v>8</v>
      </c>
      <c r="L1351" s="124" t="n">
        <v>7000</v>
      </c>
      <c r="M1351" s="83" t="n">
        <v>875</v>
      </c>
      <c r="N1351" s="84" t="n">
        <f aca="false">+O1351+Q1351+T1351+U1351</f>
        <v>3000</v>
      </c>
      <c r="O1351" s="85" t="n">
        <v>3000</v>
      </c>
      <c r="P1351" s="86" t="n">
        <v>0</v>
      </c>
      <c r="Q1351" s="86" t="n">
        <v>0</v>
      </c>
      <c r="R1351" s="132" t="n">
        <v>0</v>
      </c>
      <c r="S1351" s="128" t="n">
        <v>0</v>
      </c>
      <c r="T1351" s="132" t="n">
        <v>0</v>
      </c>
      <c r="U1351" s="128" t="n">
        <v>0</v>
      </c>
      <c r="V1351" s="128" t="n">
        <v>1</v>
      </c>
      <c r="W1351" s="90" t="n">
        <f aca="false">IFERROR(O1351/V1351,0)</f>
        <v>3000</v>
      </c>
      <c r="X1351" s="91" t="n">
        <f aca="false">O1351/L1351</f>
        <v>0.428571428571429</v>
      </c>
      <c r="Y1351" s="92" t="str">
        <f aca="false">IFERROR(VLOOKUP(E:E,'Item Data Support Sheet'!A:J,6,0),0)</f>
        <v>FO017</v>
      </c>
      <c r="Z1351" s="93" t="n">
        <f aca="false">IFERROR(VLOOKUP(E:E,'Item Data Support Sheet'!A:O,4,0),0)</f>
        <v>0</v>
      </c>
      <c r="AA1351" s="93" t="n">
        <f aca="false">IFERROR(((N1351)*(Z1351/1000))+P1351,0)</f>
        <v>0</v>
      </c>
      <c r="AB1351" s="94" t="str">
        <f aca="false">IFERROR((O1351*(Z1351/1000)/(AA1351))," ")</f>
        <v> </v>
      </c>
      <c r="AC1351" s="95" t="n">
        <f aca="false">IFERROR((T1351)/((T1351)+O1351),0)</f>
        <v>0</v>
      </c>
      <c r="AD1351" s="96" t="n">
        <f aca="false">IFERROR(Q1351/(Q1351+N1351),0)</f>
        <v>0</v>
      </c>
      <c r="AE1351" s="91" t="n">
        <f aca="false">(N1351-T1351)/N1351</f>
        <v>1</v>
      </c>
      <c r="AF1351" s="97" t="n">
        <f aca="false">BR1351</f>
        <v>4.33333333333333</v>
      </c>
      <c r="AG1351" s="98" t="n">
        <f aca="false">K1351-AF1351</f>
        <v>3.66666666666667</v>
      </c>
      <c r="AH1351" s="99" t="n">
        <f aca="false">IFERROR(AG1351/K1351," ")</f>
        <v>0.458333333333334</v>
      </c>
      <c r="AI1351" s="100" t="n">
        <f aca="false">IFERROR(O1351/K1351,0)</f>
        <v>375</v>
      </c>
      <c r="AJ1351" s="101" t="n">
        <f aca="false">VLOOKUP(D1351,'Standard Cycle time'!C:D,2,0)</f>
        <v>3.5</v>
      </c>
      <c r="AK1351" s="101" t="n">
        <f aca="false">AG1351*V1351*3600/O1351</f>
        <v>4.4</v>
      </c>
      <c r="AL1351" s="102" t="n">
        <f aca="false">AJ1351/AK1351</f>
        <v>0.795454545454545</v>
      </c>
      <c r="AM1351" s="99" t="n">
        <f aca="false">AE1351*AL1351*AH1351</f>
        <v>0.364583333333333</v>
      </c>
      <c r="AN1351" s="103" t="n">
        <v>0.364583333333333</v>
      </c>
      <c r="AO1351" s="112" t="s">
        <v>2144</v>
      </c>
      <c r="AP1351" s="105" t="n">
        <v>20</v>
      </c>
      <c r="AQ1351" s="105" t="n">
        <v>0</v>
      </c>
      <c r="AR1351" s="105" t="n">
        <v>0</v>
      </c>
      <c r="AS1351" s="105" t="n">
        <v>0</v>
      </c>
      <c r="AT1351" s="105" t="n">
        <v>240</v>
      </c>
      <c r="AU1351" s="105" t="n">
        <v>0</v>
      </c>
      <c r="AV1351" s="105" t="n">
        <v>0</v>
      </c>
      <c r="AW1351" s="105" t="n">
        <v>0</v>
      </c>
      <c r="AX1351" s="105" t="n">
        <v>0</v>
      </c>
      <c r="AY1351" s="105" t="n">
        <v>0</v>
      </c>
      <c r="AZ1351" s="105" t="n">
        <v>0</v>
      </c>
      <c r="BA1351" s="105" t="n">
        <v>0</v>
      </c>
      <c r="BB1351" s="105" t="n">
        <v>0</v>
      </c>
      <c r="BC1351" s="105" t="n">
        <v>0</v>
      </c>
      <c r="BD1351" s="105" t="n">
        <v>0</v>
      </c>
      <c r="BE1351" s="105" t="n">
        <v>0</v>
      </c>
      <c r="BF1351" s="105" t="n">
        <v>0</v>
      </c>
      <c r="BG1351" s="105" t="n">
        <v>0</v>
      </c>
      <c r="BH1351" s="105" t="n">
        <v>0</v>
      </c>
      <c r="BI1351" s="105" t="n">
        <v>0</v>
      </c>
      <c r="BJ1351" s="105" t="n">
        <v>0</v>
      </c>
      <c r="BK1351" s="105" t="n">
        <v>0</v>
      </c>
      <c r="BL1351" s="105" t="n">
        <v>0</v>
      </c>
      <c r="BM1351" s="105" t="n">
        <v>0</v>
      </c>
      <c r="BN1351" s="105" t="n">
        <v>0</v>
      </c>
      <c r="BO1351" s="105" t="n">
        <v>0</v>
      </c>
      <c r="BP1351" s="105" t="n">
        <v>0</v>
      </c>
      <c r="BQ1351" s="105" t="n">
        <v>0</v>
      </c>
      <c r="BR1351" s="106" t="n">
        <v>4.33333333333333</v>
      </c>
      <c r="BS1351" s="106" t="n">
        <v>4.33333333333333</v>
      </c>
      <c r="BT1351" s="107"/>
      <c r="BU1351" s="107"/>
      <c r="BV1351" s="107"/>
      <c r="BW1351" s="107"/>
      <c r="BX1351" s="107"/>
      <c r="BY1351" s="107"/>
      <c r="BZ1351" s="107"/>
      <c r="CA1351" s="107"/>
      <c r="CB1351" s="107"/>
      <c r="CC1351" s="107"/>
      <c r="CD1351" s="107"/>
      <c r="CE1351" s="107"/>
      <c r="CF1351" s="107"/>
      <c r="CG1351" s="107"/>
      <c r="CH1351" s="107"/>
      <c r="CI1351" s="107"/>
      <c r="CJ1351" s="107"/>
      <c r="CK1351" s="107"/>
      <c r="CL1351" s="107"/>
      <c r="CM1351" s="107"/>
      <c r="CN1351" s="107"/>
      <c r="CO1351" s="107"/>
      <c r="CP1351" s="107"/>
      <c r="CQ1351" s="107"/>
      <c r="CR1351" s="107"/>
      <c r="CS1351" s="107"/>
      <c r="CT1351" s="107"/>
      <c r="CU1351" s="107"/>
      <c r="CV1351" s="107"/>
    </row>
    <row r="1352" customFormat="false" ht="14.9" hidden="false" customHeight="false" outlineLevel="0" collapsed="false">
      <c r="A1352" s="74" t="n">
        <f aca="false">MONTH(B1352)</f>
        <v>11</v>
      </c>
      <c r="B1352" s="135" t="n">
        <v>44522</v>
      </c>
      <c r="C1352" s="128" t="s">
        <v>152</v>
      </c>
      <c r="D1352" s="77" t="str">
        <f aca="false">IFERROR(VLOOKUP(E:E,'Item Data Support Sheet'!A:O,7,0),"")</f>
        <v>NIPPLE LASER MARKING</v>
      </c>
      <c r="E1352" s="80" t="s">
        <v>681</v>
      </c>
      <c r="F1352" s="122"/>
      <c r="G1352" s="137" t="s">
        <v>517</v>
      </c>
      <c r="H1352" s="79" t="str">
        <f aca="false">IFERROR(VLOOKUP(E:E,'Item Data Support Sheet'!A:O,2,0),"")</f>
        <v>NIPPLE S TYPE L SIZE PUNCHED LASER MARKED</v>
      </c>
      <c r="I1352" s="80" t="s">
        <v>2145</v>
      </c>
      <c r="J1352" s="80" t="s">
        <v>143</v>
      </c>
      <c r="K1352" s="124" t="n">
        <v>8</v>
      </c>
      <c r="L1352" s="124" t="n">
        <v>7000</v>
      </c>
      <c r="M1352" s="83" t="n">
        <v>875</v>
      </c>
      <c r="N1352" s="84" t="n">
        <f aca="false">+O1352+Q1352+T1352+U1352</f>
        <v>4698</v>
      </c>
      <c r="O1352" s="85" t="n">
        <v>4698</v>
      </c>
      <c r="P1352" s="86" t="n">
        <v>0</v>
      </c>
      <c r="Q1352" s="86" t="n">
        <v>0</v>
      </c>
      <c r="R1352" s="132" t="n">
        <v>0</v>
      </c>
      <c r="S1352" s="128" t="n">
        <v>0</v>
      </c>
      <c r="T1352" s="132" t="n">
        <v>0</v>
      </c>
      <c r="U1352" s="128" t="n">
        <v>0</v>
      </c>
      <c r="V1352" s="128" t="n">
        <v>1</v>
      </c>
      <c r="W1352" s="90" t="n">
        <f aca="false">IFERROR(O1352/V1352,0)</f>
        <v>4698</v>
      </c>
      <c r="X1352" s="91" t="n">
        <f aca="false">O1352/L1352</f>
        <v>0.671142857142857</v>
      </c>
      <c r="Y1352" s="92" t="str">
        <f aca="false">IFERROR(VLOOKUP(E:E,'Item Data Support Sheet'!A:J,6,0),0)</f>
        <v>FO021</v>
      </c>
      <c r="Z1352" s="93" t="n">
        <f aca="false">IFERROR(VLOOKUP(E:E,'Item Data Support Sheet'!A:O,4,0),0)</f>
        <v>0</v>
      </c>
      <c r="AA1352" s="93" t="n">
        <f aca="false">IFERROR(((N1352)*(Z1352/1000))+P1352,0)</f>
        <v>0</v>
      </c>
      <c r="AB1352" s="94" t="str">
        <f aca="false">IFERROR((O1352*(Z1352/1000)/(AA1352))," ")</f>
        <v> </v>
      </c>
      <c r="AC1352" s="95" t="n">
        <f aca="false">IFERROR((T1352)/((T1352)+O1352),0)</f>
        <v>0</v>
      </c>
      <c r="AD1352" s="96" t="n">
        <f aca="false">IFERROR(Q1352/(Q1352+N1352),0)</f>
        <v>0</v>
      </c>
      <c r="AE1352" s="91" t="n">
        <f aca="false">(N1352-T1352)/N1352</f>
        <v>1</v>
      </c>
      <c r="AF1352" s="97" t="n">
        <f aca="false">BR1352</f>
        <v>0.333333333333333</v>
      </c>
      <c r="AG1352" s="98" t="n">
        <f aca="false">K1352-AF1352</f>
        <v>7.66666666666667</v>
      </c>
      <c r="AH1352" s="99" t="n">
        <f aca="false">IFERROR(AG1352/K1352," ")</f>
        <v>0.958333333333333</v>
      </c>
      <c r="AI1352" s="100" t="n">
        <f aca="false">IFERROR(O1352/K1352,0)</f>
        <v>587.25</v>
      </c>
      <c r="AJ1352" s="101" t="n">
        <f aca="false">VLOOKUP(D1352,'Standard Cycle time'!C:D,2,0)</f>
        <v>3.5</v>
      </c>
      <c r="AK1352" s="101" t="n">
        <f aca="false">AG1352*V1352*3600/O1352</f>
        <v>5.87484035759898</v>
      </c>
      <c r="AL1352" s="102" t="n">
        <f aca="false">AJ1352/AK1352</f>
        <v>0.595760869565217</v>
      </c>
      <c r="AM1352" s="99" t="n">
        <f aca="false">AE1352*AL1352*AH1352</f>
        <v>0.5709375</v>
      </c>
      <c r="AN1352" s="103" t="n">
        <v>0.5709375</v>
      </c>
      <c r="AO1352" s="112" t="s">
        <v>2146</v>
      </c>
      <c r="AP1352" s="105" t="n">
        <v>20</v>
      </c>
      <c r="AQ1352" s="105" t="n">
        <v>0</v>
      </c>
      <c r="AR1352" s="105" t="n">
        <v>0</v>
      </c>
      <c r="AS1352" s="105" t="n">
        <v>0</v>
      </c>
      <c r="AT1352" s="105" t="n">
        <v>0</v>
      </c>
      <c r="AU1352" s="105" t="n">
        <v>0</v>
      </c>
      <c r="AV1352" s="105" t="n">
        <v>0</v>
      </c>
      <c r="AW1352" s="105" t="n">
        <v>0</v>
      </c>
      <c r="AX1352" s="105" t="n">
        <v>0</v>
      </c>
      <c r="AY1352" s="105" t="n">
        <v>0</v>
      </c>
      <c r="AZ1352" s="105" t="n">
        <v>0</v>
      </c>
      <c r="BA1352" s="105" t="n">
        <v>0</v>
      </c>
      <c r="BB1352" s="105" t="n">
        <v>0</v>
      </c>
      <c r="BC1352" s="105" t="n">
        <v>0</v>
      </c>
      <c r="BD1352" s="105" t="n">
        <v>0</v>
      </c>
      <c r="BE1352" s="105" t="n">
        <v>0</v>
      </c>
      <c r="BF1352" s="105" t="n">
        <v>0</v>
      </c>
      <c r="BG1352" s="105" t="n">
        <v>0</v>
      </c>
      <c r="BH1352" s="105" t="n">
        <v>0</v>
      </c>
      <c r="BI1352" s="105" t="n">
        <v>0</v>
      </c>
      <c r="BJ1352" s="105" t="n">
        <v>0</v>
      </c>
      <c r="BK1352" s="105" t="n">
        <v>0</v>
      </c>
      <c r="BL1352" s="105" t="n">
        <v>0</v>
      </c>
      <c r="BM1352" s="105" t="n">
        <v>0</v>
      </c>
      <c r="BN1352" s="105" t="n">
        <v>0</v>
      </c>
      <c r="BO1352" s="105" t="n">
        <v>0</v>
      </c>
      <c r="BP1352" s="105" t="n">
        <v>0</v>
      </c>
      <c r="BQ1352" s="105" t="n">
        <v>0</v>
      </c>
      <c r="BR1352" s="106" t="n">
        <v>0.333333333333333</v>
      </c>
      <c r="BS1352" s="106" t="n">
        <v>0.333333333333333</v>
      </c>
      <c r="BT1352" s="107"/>
      <c r="BU1352" s="107"/>
      <c r="BV1352" s="107"/>
      <c r="BW1352" s="107"/>
      <c r="BX1352" s="107"/>
      <c r="BY1352" s="107"/>
      <c r="BZ1352" s="107"/>
      <c r="CA1352" s="107"/>
      <c r="CB1352" s="107"/>
      <c r="CC1352" s="107"/>
      <c r="CD1352" s="107"/>
      <c r="CE1352" s="107"/>
      <c r="CF1352" s="107"/>
      <c r="CG1352" s="107"/>
      <c r="CH1352" s="107"/>
      <c r="CI1352" s="107"/>
      <c r="CJ1352" s="107"/>
      <c r="CK1352" s="107"/>
      <c r="CL1352" s="107"/>
      <c r="CM1352" s="107"/>
      <c r="CN1352" s="107"/>
      <c r="CO1352" s="107"/>
      <c r="CP1352" s="107"/>
      <c r="CQ1352" s="107"/>
      <c r="CR1352" s="107"/>
      <c r="CS1352" s="107"/>
      <c r="CT1352" s="107"/>
      <c r="CU1352" s="107"/>
      <c r="CV1352" s="107"/>
    </row>
    <row r="1353" customFormat="false" ht="14.9" hidden="false" customHeight="false" outlineLevel="0" collapsed="false">
      <c r="A1353" s="74" t="n">
        <f aca="false">MONTH(B1353)</f>
        <v>11</v>
      </c>
      <c r="B1353" s="135" t="n">
        <v>44523</v>
      </c>
      <c r="C1353" s="128" t="s">
        <v>51</v>
      </c>
      <c r="D1353" s="77" t="str">
        <f aca="false">IFERROR(VLOOKUP(E:E,'Item Data Support Sheet'!A:O,7,0),"")</f>
        <v>NIPPLE MOLDED</v>
      </c>
      <c r="E1353" s="80" t="s">
        <v>661</v>
      </c>
      <c r="F1353" s="122" t="s">
        <v>137</v>
      </c>
      <c r="G1353" s="137" t="s">
        <v>138</v>
      </c>
      <c r="H1353" s="79" t="str">
        <f aca="false">IFERROR(VLOOKUP(E:E,'Item Data Support Sheet'!A:O,2,0),"")</f>
        <v>NIPPLE S TYPE L SIZE INJECTION</v>
      </c>
      <c r="I1353" s="80" t="s">
        <v>2147</v>
      </c>
      <c r="J1353" s="80" t="s">
        <v>155</v>
      </c>
      <c r="K1353" s="124" t="n">
        <v>8</v>
      </c>
      <c r="L1353" s="124" t="n">
        <v>4815</v>
      </c>
      <c r="M1353" s="83" t="n">
        <v>601.875</v>
      </c>
      <c r="N1353" s="84" t="n">
        <f aca="false">+O1353+Q1353+T1353+U1353</f>
        <v>5649</v>
      </c>
      <c r="O1353" s="85" t="n">
        <v>5600</v>
      </c>
      <c r="P1353" s="86" t="n">
        <v>0</v>
      </c>
      <c r="Q1353" s="86" t="n">
        <v>0</v>
      </c>
      <c r="R1353" s="132" t="n">
        <v>0</v>
      </c>
      <c r="S1353" s="128" t="n">
        <v>0</v>
      </c>
      <c r="T1353" s="132" t="n">
        <v>41</v>
      </c>
      <c r="U1353" s="128" t="n">
        <v>8</v>
      </c>
      <c r="V1353" s="128" t="n">
        <v>1</v>
      </c>
      <c r="W1353" s="90" t="n">
        <f aca="false">IFERROR(O1353/V1353,0)</f>
        <v>5600</v>
      </c>
      <c r="X1353" s="91" t="n">
        <f aca="false">O1353/L1353</f>
        <v>1.16303219106957</v>
      </c>
      <c r="Y1353" s="92" t="str">
        <f aca="false">IFERROR(VLOOKUP(E:E,'Item Data Support Sheet'!A:J,6,0),0)</f>
        <v>Silicon</v>
      </c>
      <c r="Z1353" s="93" t="n">
        <f aca="false">IFERROR(VLOOKUP(E:E,'Item Data Support Sheet'!A:O,4,0),0)</f>
        <v>6.8</v>
      </c>
      <c r="AA1353" s="93" t="n">
        <f aca="false">IFERROR(((N1353)*(Z1353/1000))+P1353,0)</f>
        <v>38.4132</v>
      </c>
      <c r="AB1353" s="94" t="n">
        <f aca="false">IFERROR((O1353*(Z1353/1000)/(AA1353))," ")</f>
        <v>0.991325898389095</v>
      </c>
      <c r="AC1353" s="95" t="n">
        <f aca="false">IFERROR((T1353)/((T1353)+O1353),0)</f>
        <v>0.00726821485552207</v>
      </c>
      <c r="AD1353" s="96" t="n">
        <f aca="false">IFERROR(Q1353/(Q1353+N1353),0)</f>
        <v>0</v>
      </c>
      <c r="AE1353" s="91" t="n">
        <f aca="false">(N1353-T1353)/N1353</f>
        <v>0.992742078243937</v>
      </c>
      <c r="AF1353" s="97" t="n">
        <f aca="false">BR1353</f>
        <v>0</v>
      </c>
      <c r="AG1353" s="98" t="n">
        <f aca="false">K1353-AF1353</f>
        <v>8</v>
      </c>
      <c r="AH1353" s="99" t="n">
        <f aca="false">IFERROR(AG1353/K1353," ")</f>
        <v>1</v>
      </c>
      <c r="AI1353" s="100" t="n">
        <f aca="false">IFERROR(O1353/K1353,0)</f>
        <v>700</v>
      </c>
      <c r="AJ1353" s="101" t="n">
        <f aca="false">VLOOKUP(D1353,'Standard Cycle time'!C:D,2,0)</f>
        <v>5.25</v>
      </c>
      <c r="AK1353" s="101" t="n">
        <f aca="false">AG1353*V1353*3600/O1353</f>
        <v>5.14285714285714</v>
      </c>
      <c r="AL1353" s="102" t="n">
        <f aca="false">AJ1353/AK1353</f>
        <v>1.02083333333333</v>
      </c>
      <c r="AM1353" s="99" t="n">
        <f aca="false">AE1353*AL1353*AH1353</f>
        <v>1.01342420487402</v>
      </c>
      <c r="AN1353" s="103" t="n">
        <v>1.01342420487402</v>
      </c>
      <c r="AO1353" s="112"/>
      <c r="AP1353" s="105" t="n">
        <v>0</v>
      </c>
      <c r="AQ1353" s="105" t="n">
        <v>0</v>
      </c>
      <c r="AR1353" s="105" t="n">
        <v>0</v>
      </c>
      <c r="AS1353" s="105" t="n">
        <v>0</v>
      </c>
      <c r="AT1353" s="105" t="n">
        <v>0</v>
      </c>
      <c r="AU1353" s="105" t="n">
        <v>0</v>
      </c>
      <c r="AV1353" s="105" t="n">
        <v>0</v>
      </c>
      <c r="AW1353" s="105" t="n">
        <v>0</v>
      </c>
      <c r="AX1353" s="105" t="n">
        <v>0</v>
      </c>
      <c r="AY1353" s="105" t="n">
        <v>0</v>
      </c>
      <c r="AZ1353" s="105" t="n">
        <v>0</v>
      </c>
      <c r="BA1353" s="105" t="n">
        <v>0</v>
      </c>
      <c r="BB1353" s="105" t="n">
        <v>0</v>
      </c>
      <c r="BC1353" s="105" t="n">
        <v>0</v>
      </c>
      <c r="BD1353" s="105" t="n">
        <v>0</v>
      </c>
      <c r="BE1353" s="105" t="n">
        <v>0</v>
      </c>
      <c r="BF1353" s="105" t="n">
        <v>0</v>
      </c>
      <c r="BG1353" s="105" t="n">
        <v>0</v>
      </c>
      <c r="BH1353" s="105" t="n">
        <v>0</v>
      </c>
      <c r="BI1353" s="105" t="n">
        <v>0</v>
      </c>
      <c r="BJ1353" s="105" t="n">
        <v>0</v>
      </c>
      <c r="BK1353" s="105" t="n">
        <v>0</v>
      </c>
      <c r="BL1353" s="105" t="n">
        <v>0</v>
      </c>
      <c r="BM1353" s="105" t="n">
        <v>0</v>
      </c>
      <c r="BN1353" s="105" t="n">
        <v>0</v>
      </c>
      <c r="BO1353" s="105" t="n">
        <v>0</v>
      </c>
      <c r="BP1353" s="105" t="n">
        <v>0</v>
      </c>
      <c r="BQ1353" s="105" t="n">
        <v>0</v>
      </c>
      <c r="BR1353" s="106" t="n">
        <v>0</v>
      </c>
      <c r="BS1353" s="106" t="n">
        <v>0</v>
      </c>
      <c r="BT1353" s="107"/>
      <c r="BU1353" s="107"/>
      <c r="BV1353" s="107"/>
      <c r="BW1353" s="107"/>
      <c r="BX1353" s="107"/>
      <c r="BY1353" s="107"/>
      <c r="BZ1353" s="107"/>
      <c r="CA1353" s="107"/>
      <c r="CB1353" s="107"/>
      <c r="CC1353" s="107"/>
      <c r="CD1353" s="107"/>
      <c r="CE1353" s="107"/>
      <c r="CF1353" s="107"/>
      <c r="CG1353" s="107"/>
      <c r="CH1353" s="107"/>
      <c r="CI1353" s="107"/>
      <c r="CJ1353" s="107"/>
      <c r="CK1353" s="107"/>
      <c r="CL1353" s="107"/>
      <c r="CM1353" s="107"/>
      <c r="CN1353" s="107"/>
      <c r="CO1353" s="107"/>
      <c r="CP1353" s="107"/>
      <c r="CQ1353" s="107"/>
      <c r="CR1353" s="107"/>
      <c r="CS1353" s="107"/>
      <c r="CT1353" s="107"/>
      <c r="CU1353" s="107"/>
      <c r="CV1353" s="107"/>
    </row>
    <row r="1354" customFormat="false" ht="14.9" hidden="false" customHeight="false" outlineLevel="0" collapsed="false">
      <c r="A1354" s="74" t="n">
        <f aca="false">MONTH(B1354)</f>
        <v>11</v>
      </c>
      <c r="B1354" s="135" t="n">
        <v>44523</v>
      </c>
      <c r="C1354" s="128" t="s">
        <v>51</v>
      </c>
      <c r="D1354" s="77" t="str">
        <f aca="false">IFERROR(VLOOKUP(E:E,'Item Data Support Sheet'!A:O,7,0),"")</f>
        <v>NIPPLE PUNCH</v>
      </c>
      <c r="E1354" s="80" t="s">
        <v>666</v>
      </c>
      <c r="F1354" s="122"/>
      <c r="G1354" s="137" t="s">
        <v>54</v>
      </c>
      <c r="H1354" s="79" t="str">
        <f aca="false">IFERROR(VLOOKUP(E:E,'Item Data Support Sheet'!A:O,2,0),"")</f>
        <v>NIPPLE S TYPE L SIZE PUNCHED</v>
      </c>
      <c r="I1354" s="80" t="s">
        <v>2148</v>
      </c>
      <c r="J1354" s="80" t="s">
        <v>155</v>
      </c>
      <c r="K1354" s="124" t="n">
        <v>8</v>
      </c>
      <c r="L1354" s="124" t="n">
        <v>7000</v>
      </c>
      <c r="M1354" s="83" t="n">
        <v>875</v>
      </c>
      <c r="N1354" s="84" t="n">
        <f aca="false">+O1354+Q1354+T1354+U1354</f>
        <v>2000</v>
      </c>
      <c r="O1354" s="85" t="n">
        <v>2000</v>
      </c>
      <c r="P1354" s="86" t="n">
        <v>0</v>
      </c>
      <c r="Q1354" s="86" t="n">
        <v>0</v>
      </c>
      <c r="R1354" s="132" t="n">
        <v>0</v>
      </c>
      <c r="S1354" s="128" t="n">
        <v>0</v>
      </c>
      <c r="T1354" s="132" t="n">
        <v>0</v>
      </c>
      <c r="U1354" s="128" t="n">
        <v>0</v>
      </c>
      <c r="V1354" s="128" t="n">
        <v>1</v>
      </c>
      <c r="W1354" s="90" t="n">
        <f aca="false">IFERROR(O1354/V1354,0)</f>
        <v>2000</v>
      </c>
      <c r="X1354" s="91" t="n">
        <f aca="false">O1354/L1354</f>
        <v>0.285714285714286</v>
      </c>
      <c r="Y1354" s="92" t="str">
        <f aca="false">IFERROR(VLOOKUP(E:E,'Item Data Support Sheet'!A:J,6,0),0)</f>
        <v>FO017</v>
      </c>
      <c r="Z1354" s="93" t="n">
        <f aca="false">IFERROR(VLOOKUP(E:E,'Item Data Support Sheet'!A:O,4,0),0)</f>
        <v>0</v>
      </c>
      <c r="AA1354" s="93" t="n">
        <f aca="false">IFERROR(((N1354)*(Z1354/1000))+P1354,0)</f>
        <v>0</v>
      </c>
      <c r="AB1354" s="94" t="str">
        <f aca="false">IFERROR((O1354*(Z1354/1000)/(AA1354))," ")</f>
        <v> </v>
      </c>
      <c r="AC1354" s="95" t="n">
        <f aca="false">IFERROR((T1354)/((T1354)+O1354),0)</f>
        <v>0</v>
      </c>
      <c r="AD1354" s="96" t="n">
        <f aca="false">IFERROR(Q1354/(Q1354+N1354),0)</f>
        <v>0</v>
      </c>
      <c r="AE1354" s="91" t="n">
        <f aca="false">(N1354-T1354)/N1354</f>
        <v>1</v>
      </c>
      <c r="AF1354" s="97" t="n">
        <f aca="false">BR1354</f>
        <v>0.666666666666667</v>
      </c>
      <c r="AG1354" s="98" t="n">
        <f aca="false">K1354-AF1354</f>
        <v>7.33333333333333</v>
      </c>
      <c r="AH1354" s="99" t="n">
        <f aca="false">IFERROR(AG1354/K1354," ")</f>
        <v>0.916666666666667</v>
      </c>
      <c r="AI1354" s="100" t="n">
        <f aca="false">IFERROR(O1354/K1354,0)</f>
        <v>250</v>
      </c>
      <c r="AJ1354" s="101" t="n">
        <f aca="false">VLOOKUP(D1354,'Standard Cycle time'!C:D,2,0)</f>
        <v>3.5</v>
      </c>
      <c r="AK1354" s="101" t="n">
        <f aca="false">AG1354*V1354*3600/O1354</f>
        <v>13.2</v>
      </c>
      <c r="AL1354" s="102" t="n">
        <f aca="false">AJ1354/AK1354</f>
        <v>0.265151515151515</v>
      </c>
      <c r="AM1354" s="99" t="n">
        <f aca="false">AE1354*AL1354*AH1354</f>
        <v>0.243055555555555</v>
      </c>
      <c r="AN1354" s="103" t="n">
        <v>0.243055555555555</v>
      </c>
      <c r="AO1354" s="112"/>
      <c r="AP1354" s="105" t="n">
        <v>40</v>
      </c>
      <c r="AQ1354" s="105" t="n">
        <v>0</v>
      </c>
      <c r="AR1354" s="105" t="n">
        <v>0</v>
      </c>
      <c r="AS1354" s="105" t="n">
        <v>0</v>
      </c>
      <c r="AT1354" s="105" t="n">
        <v>0</v>
      </c>
      <c r="AU1354" s="105" t="n">
        <v>0</v>
      </c>
      <c r="AV1354" s="105" t="n">
        <v>0</v>
      </c>
      <c r="AW1354" s="105" t="n">
        <v>0</v>
      </c>
      <c r="AX1354" s="105" t="n">
        <v>0</v>
      </c>
      <c r="AY1354" s="105" t="n">
        <v>0</v>
      </c>
      <c r="AZ1354" s="105" t="n">
        <v>0</v>
      </c>
      <c r="BA1354" s="105" t="n">
        <v>0</v>
      </c>
      <c r="BB1354" s="105" t="n">
        <v>0</v>
      </c>
      <c r="BC1354" s="105" t="n">
        <v>0</v>
      </c>
      <c r="BD1354" s="105" t="n">
        <v>0</v>
      </c>
      <c r="BE1354" s="105" t="n">
        <v>0</v>
      </c>
      <c r="BF1354" s="105" t="n">
        <v>0</v>
      </c>
      <c r="BG1354" s="105" t="n">
        <v>0</v>
      </c>
      <c r="BH1354" s="105" t="n">
        <v>0</v>
      </c>
      <c r="BI1354" s="105" t="n">
        <v>0</v>
      </c>
      <c r="BJ1354" s="105" t="n">
        <v>0</v>
      </c>
      <c r="BK1354" s="105" t="n">
        <v>0</v>
      </c>
      <c r="BL1354" s="105" t="n">
        <v>0</v>
      </c>
      <c r="BM1354" s="105" t="n">
        <v>0</v>
      </c>
      <c r="BN1354" s="105" t="n">
        <v>0</v>
      </c>
      <c r="BO1354" s="105" t="n">
        <v>0</v>
      </c>
      <c r="BP1354" s="105" t="n">
        <v>0</v>
      </c>
      <c r="BQ1354" s="105" t="n">
        <v>0</v>
      </c>
      <c r="BR1354" s="106" t="n">
        <v>0.666666666666667</v>
      </c>
      <c r="BS1354" s="106" t="n">
        <v>0.666666666666667</v>
      </c>
      <c r="BT1354" s="107"/>
      <c r="BU1354" s="107"/>
      <c r="BV1354" s="107"/>
      <c r="BW1354" s="107"/>
      <c r="BX1354" s="107"/>
      <c r="BY1354" s="107"/>
      <c r="BZ1354" s="107"/>
      <c r="CA1354" s="107"/>
      <c r="CB1354" s="107"/>
      <c r="CC1354" s="107"/>
      <c r="CD1354" s="107"/>
      <c r="CE1354" s="107"/>
      <c r="CF1354" s="107"/>
      <c r="CG1354" s="107"/>
      <c r="CH1354" s="107"/>
      <c r="CI1354" s="107"/>
      <c r="CJ1354" s="107"/>
      <c r="CK1354" s="107"/>
      <c r="CL1354" s="107"/>
      <c r="CM1354" s="107"/>
      <c r="CN1354" s="107"/>
      <c r="CO1354" s="107"/>
      <c r="CP1354" s="107"/>
      <c r="CQ1354" s="107"/>
      <c r="CR1354" s="107"/>
      <c r="CS1354" s="107"/>
      <c r="CT1354" s="107"/>
      <c r="CU1354" s="107"/>
      <c r="CV1354" s="107"/>
    </row>
    <row r="1355" customFormat="false" ht="14.9" hidden="false" customHeight="false" outlineLevel="0" collapsed="false">
      <c r="A1355" s="74" t="n">
        <f aca="false">MONTH(B1355)</f>
        <v>11</v>
      </c>
      <c r="B1355" s="135" t="n">
        <v>44523</v>
      </c>
      <c r="C1355" s="128" t="s">
        <v>51</v>
      </c>
      <c r="D1355" s="77" t="str">
        <f aca="false">IFERROR(VLOOKUP(E:E,'Item Data Support Sheet'!A:O,7,0),"")</f>
        <v>NIPPLE LASER MARKING</v>
      </c>
      <c r="E1355" s="80" t="s">
        <v>681</v>
      </c>
      <c r="F1355" s="122"/>
      <c r="G1355" s="137" t="s">
        <v>517</v>
      </c>
      <c r="H1355" s="79" t="str">
        <f aca="false">IFERROR(VLOOKUP(E:E,'Item Data Support Sheet'!A:O,2,0),"")</f>
        <v>NIPPLE S TYPE L SIZE PUNCHED LASER MARKED</v>
      </c>
      <c r="I1355" s="80" t="s">
        <v>2149</v>
      </c>
      <c r="J1355" s="80" t="s">
        <v>155</v>
      </c>
      <c r="K1355" s="124" t="n">
        <v>8</v>
      </c>
      <c r="L1355" s="124" t="n">
        <v>3500</v>
      </c>
      <c r="M1355" s="83" t="n">
        <v>437.5</v>
      </c>
      <c r="N1355" s="84" t="n">
        <f aca="false">+O1355+Q1355+T1355+U1355</f>
        <v>3000</v>
      </c>
      <c r="O1355" s="85" t="n">
        <v>3000</v>
      </c>
      <c r="P1355" s="86" t="n">
        <v>0</v>
      </c>
      <c r="Q1355" s="86" t="n">
        <v>0</v>
      </c>
      <c r="R1355" s="132" t="n">
        <v>0</v>
      </c>
      <c r="S1355" s="128" t="n">
        <v>0</v>
      </c>
      <c r="T1355" s="132" t="n">
        <v>0</v>
      </c>
      <c r="U1355" s="128" t="n">
        <v>0</v>
      </c>
      <c r="V1355" s="128" t="n">
        <v>1</v>
      </c>
      <c r="W1355" s="90" t="n">
        <f aca="false">IFERROR(O1355/V1355,0)</f>
        <v>3000</v>
      </c>
      <c r="X1355" s="91" t="n">
        <f aca="false">O1355/L1355</f>
        <v>0.857142857142857</v>
      </c>
      <c r="Y1355" s="92" t="str">
        <f aca="false">IFERROR(VLOOKUP(E:E,'Item Data Support Sheet'!A:J,6,0),0)</f>
        <v>FO021</v>
      </c>
      <c r="Z1355" s="93" t="n">
        <f aca="false">IFERROR(VLOOKUP(E:E,'Item Data Support Sheet'!A:O,4,0),0)</f>
        <v>0</v>
      </c>
      <c r="AA1355" s="93" t="n">
        <f aca="false">IFERROR(((N1355)*(Z1355/1000))+P1355,0)</f>
        <v>0</v>
      </c>
      <c r="AB1355" s="94" t="str">
        <f aca="false">IFERROR((O1355*(Z1355/1000)/(AA1355))," ")</f>
        <v> </v>
      </c>
      <c r="AC1355" s="95" t="n">
        <f aca="false">IFERROR((T1355)/((T1355)+O1355),0)</f>
        <v>0</v>
      </c>
      <c r="AD1355" s="96" t="n">
        <f aca="false">IFERROR(Q1355/(Q1355+N1355),0)</f>
        <v>0</v>
      </c>
      <c r="AE1355" s="91" t="n">
        <f aca="false">(N1355-T1355)/N1355</f>
        <v>1</v>
      </c>
      <c r="AF1355" s="97" t="n">
        <f aca="false">BR1355</f>
        <v>4.66666666666667</v>
      </c>
      <c r="AG1355" s="98" t="n">
        <f aca="false">K1355-AF1355</f>
        <v>3.33333333333333</v>
      </c>
      <c r="AH1355" s="99" t="n">
        <f aca="false">IFERROR(AG1355/K1355," ")</f>
        <v>0.416666666666666</v>
      </c>
      <c r="AI1355" s="100" t="n">
        <f aca="false">IFERROR(O1355/K1355,0)</f>
        <v>375</v>
      </c>
      <c r="AJ1355" s="101" t="n">
        <f aca="false">VLOOKUP(D1355,'Standard Cycle time'!C:D,2,0)</f>
        <v>3.5</v>
      </c>
      <c r="AK1355" s="101" t="n">
        <f aca="false">AG1355*V1355*3600/O1355</f>
        <v>4</v>
      </c>
      <c r="AL1355" s="102" t="n">
        <f aca="false">AJ1355/AK1355</f>
        <v>0.875000000000001</v>
      </c>
      <c r="AM1355" s="99" t="n">
        <f aca="false">AE1355*AL1355*AH1355</f>
        <v>0.364583333333333</v>
      </c>
      <c r="AN1355" s="103" t="n">
        <v>0.364583333333333</v>
      </c>
      <c r="AO1355" s="112" t="s">
        <v>1659</v>
      </c>
      <c r="AP1355" s="105" t="n">
        <v>40</v>
      </c>
      <c r="AQ1355" s="105" t="n">
        <v>0</v>
      </c>
      <c r="AR1355" s="105" t="n">
        <v>0</v>
      </c>
      <c r="AS1355" s="105" t="n">
        <v>0</v>
      </c>
      <c r="AT1355" s="105" t="n">
        <v>240</v>
      </c>
      <c r="AU1355" s="105" t="n">
        <v>0</v>
      </c>
      <c r="AV1355" s="105" t="n">
        <v>0</v>
      </c>
      <c r="AW1355" s="105" t="n">
        <v>0</v>
      </c>
      <c r="AX1355" s="105" t="n">
        <v>0</v>
      </c>
      <c r="AY1355" s="105" t="n">
        <v>0</v>
      </c>
      <c r="AZ1355" s="105" t="n">
        <v>0</v>
      </c>
      <c r="BA1355" s="105" t="n">
        <v>0</v>
      </c>
      <c r="BB1355" s="105" t="n">
        <v>0</v>
      </c>
      <c r="BC1355" s="105" t="n">
        <v>0</v>
      </c>
      <c r="BD1355" s="105" t="n">
        <v>0</v>
      </c>
      <c r="BE1355" s="105" t="n">
        <v>0</v>
      </c>
      <c r="BF1355" s="105" t="n">
        <v>0</v>
      </c>
      <c r="BG1355" s="105" t="n">
        <v>0</v>
      </c>
      <c r="BH1355" s="105" t="n">
        <v>0</v>
      </c>
      <c r="BI1355" s="105" t="n">
        <v>0</v>
      </c>
      <c r="BJ1355" s="105" t="n">
        <v>0</v>
      </c>
      <c r="BK1355" s="105" t="n">
        <v>0</v>
      </c>
      <c r="BL1355" s="105" t="n">
        <v>0</v>
      </c>
      <c r="BM1355" s="105" t="n">
        <v>0</v>
      </c>
      <c r="BN1355" s="105" t="n">
        <v>0</v>
      </c>
      <c r="BO1355" s="105" t="n">
        <v>0</v>
      </c>
      <c r="BP1355" s="105" t="n">
        <v>0</v>
      </c>
      <c r="BQ1355" s="105" t="n">
        <v>0</v>
      </c>
      <c r="BR1355" s="106" t="n">
        <v>4.66666666666667</v>
      </c>
      <c r="BS1355" s="106" t="n">
        <v>4.66666666666667</v>
      </c>
      <c r="BT1355" s="107"/>
      <c r="BU1355" s="107"/>
      <c r="BV1355" s="107"/>
      <c r="BW1355" s="107"/>
      <c r="BX1355" s="107"/>
      <c r="BY1355" s="107"/>
      <c r="BZ1355" s="107"/>
      <c r="CA1355" s="107"/>
      <c r="CB1355" s="107"/>
      <c r="CC1355" s="107"/>
      <c r="CD1355" s="107"/>
      <c r="CE1355" s="107"/>
      <c r="CF1355" s="107"/>
      <c r="CG1355" s="107"/>
      <c r="CH1355" s="107"/>
      <c r="CI1355" s="107"/>
      <c r="CJ1355" s="107"/>
      <c r="CK1355" s="107"/>
      <c r="CL1355" s="107"/>
      <c r="CM1355" s="107"/>
      <c r="CN1355" s="107"/>
      <c r="CO1355" s="107"/>
      <c r="CP1355" s="107"/>
      <c r="CQ1355" s="107"/>
      <c r="CR1355" s="107"/>
      <c r="CS1355" s="107"/>
      <c r="CT1355" s="107"/>
      <c r="CU1355" s="107"/>
      <c r="CV1355" s="107"/>
    </row>
    <row r="1356" customFormat="false" ht="14.9" hidden="false" customHeight="false" outlineLevel="0" collapsed="false">
      <c r="A1356" s="74" t="n">
        <f aca="false">MONTH(B1356)</f>
        <v>11</v>
      </c>
      <c r="B1356" s="135" t="n">
        <v>44523</v>
      </c>
      <c r="C1356" s="128" t="s">
        <v>63</v>
      </c>
      <c r="D1356" s="77" t="str">
        <f aca="false">IFERROR(VLOOKUP(E:E,'Item Data Support Sheet'!A:O,7,0),"")</f>
        <v>NIPPLE PUNCH INSPECTED</v>
      </c>
      <c r="E1356" s="80" t="s">
        <v>688</v>
      </c>
      <c r="F1356" s="122"/>
      <c r="G1356" s="137"/>
      <c r="H1356" s="79" t="str">
        <f aca="false">IFERROR(VLOOKUP(E:E,'Item Data Support Sheet'!A:O,2,0),"")</f>
        <v>NIPPLE S TYPE L SIZE PUNCHED INSPECTED</v>
      </c>
      <c r="I1356" s="80" t="s">
        <v>2150</v>
      </c>
      <c r="J1356" s="80" t="s">
        <v>155</v>
      </c>
      <c r="K1356" s="124" t="n">
        <v>8</v>
      </c>
      <c r="L1356" s="124" t="n">
        <v>19000</v>
      </c>
      <c r="M1356" s="83" t="n">
        <v>2375</v>
      </c>
      <c r="N1356" s="84" t="n">
        <f aca="false">+O1356+Q1356+T1356+U1356</f>
        <v>13948</v>
      </c>
      <c r="O1356" s="85" t="n">
        <v>13893</v>
      </c>
      <c r="P1356" s="86" t="n">
        <v>0</v>
      </c>
      <c r="Q1356" s="86" t="n">
        <v>0</v>
      </c>
      <c r="R1356" s="132" t="n">
        <v>0</v>
      </c>
      <c r="S1356" s="128" t="n">
        <v>0</v>
      </c>
      <c r="T1356" s="132" t="n">
        <v>55</v>
      </c>
      <c r="U1356" s="128" t="n">
        <v>0</v>
      </c>
      <c r="V1356" s="128" t="n">
        <v>2</v>
      </c>
      <c r="W1356" s="90" t="n">
        <f aca="false">IFERROR(O1356/V1356,0)</f>
        <v>6946.5</v>
      </c>
      <c r="X1356" s="91" t="n">
        <f aca="false">O1356/L1356</f>
        <v>0.731210526315789</v>
      </c>
      <c r="Y1356" s="92" t="str">
        <f aca="false">IFERROR(VLOOKUP(E:E,'Item Data Support Sheet'!A:J,6,0),0)</f>
        <v>FO106</v>
      </c>
      <c r="Z1356" s="93" t="n">
        <f aca="false">IFERROR(VLOOKUP(E:E,'Item Data Support Sheet'!A:O,4,0),0)</f>
        <v>0</v>
      </c>
      <c r="AA1356" s="93" t="n">
        <f aca="false">IFERROR(((N1356)*(Z1356/1000))+P1356,0)</f>
        <v>0</v>
      </c>
      <c r="AB1356" s="94" t="str">
        <f aca="false">IFERROR((O1356*(Z1356/1000)/(AA1356))," ")</f>
        <v> </v>
      </c>
      <c r="AC1356" s="95" t="n">
        <f aca="false">IFERROR((T1356)/((T1356)+O1356),0)</f>
        <v>0.00394321766561514</v>
      </c>
      <c r="AD1356" s="96" t="n">
        <f aca="false">IFERROR(Q1356/(Q1356+N1356),0)</f>
        <v>0</v>
      </c>
      <c r="AE1356" s="91" t="n">
        <f aca="false">(N1356-T1356)/N1356</f>
        <v>0.996056782334385</v>
      </c>
      <c r="AF1356" s="97" t="n">
        <f aca="false">BR1356</f>
        <v>0.833333333333333</v>
      </c>
      <c r="AG1356" s="98" t="n">
        <f aca="false">K1356-AF1356</f>
        <v>7.16666666666667</v>
      </c>
      <c r="AH1356" s="99" t="n">
        <f aca="false">IFERROR(AG1356/K1356," ")</f>
        <v>0.895833333333333</v>
      </c>
      <c r="AI1356" s="100" t="n">
        <f aca="false">IFERROR(O1356/K1356,0)</f>
        <v>1736.625</v>
      </c>
      <c r="AJ1356" s="101" t="n">
        <f aca="false">VLOOKUP(D1356,'Standard Cycle time'!C:D,2,0)</f>
        <v>4</v>
      </c>
      <c r="AK1356" s="101" t="n">
        <f aca="false">AG1356*V1356*3600/O1356</f>
        <v>3.71410062621464</v>
      </c>
      <c r="AL1356" s="102" t="n">
        <f aca="false">AJ1356/AK1356</f>
        <v>1.07697674418605</v>
      </c>
      <c r="AM1356" s="99" t="n">
        <f aca="false">AE1356*AL1356*AH1356</f>
        <v>0.960987283123028</v>
      </c>
      <c r="AN1356" s="103" t="n">
        <v>0.960987283123028</v>
      </c>
      <c r="AO1356" s="112" t="s">
        <v>2151</v>
      </c>
      <c r="AP1356" s="105" t="n">
        <v>50</v>
      </c>
      <c r="AQ1356" s="105" t="n">
        <v>0</v>
      </c>
      <c r="AR1356" s="105" t="n">
        <v>0</v>
      </c>
      <c r="AS1356" s="105" t="n">
        <v>0</v>
      </c>
      <c r="AT1356" s="105" t="n">
        <v>0</v>
      </c>
      <c r="AU1356" s="105" t="n">
        <v>0</v>
      </c>
      <c r="AV1356" s="105" t="n">
        <v>0</v>
      </c>
      <c r="AW1356" s="105" t="n">
        <v>0</v>
      </c>
      <c r="AX1356" s="105" t="n">
        <v>0</v>
      </c>
      <c r="AY1356" s="105" t="n">
        <v>0</v>
      </c>
      <c r="AZ1356" s="105" t="n">
        <v>0</v>
      </c>
      <c r="BA1356" s="105" t="n">
        <v>0</v>
      </c>
      <c r="BB1356" s="105" t="n">
        <v>0</v>
      </c>
      <c r="BC1356" s="105" t="n">
        <v>0</v>
      </c>
      <c r="BD1356" s="105" t="n">
        <v>0</v>
      </c>
      <c r="BE1356" s="105" t="n">
        <v>0</v>
      </c>
      <c r="BF1356" s="105" t="n">
        <v>0</v>
      </c>
      <c r="BG1356" s="105" t="n">
        <v>0</v>
      </c>
      <c r="BH1356" s="105" t="n">
        <v>0</v>
      </c>
      <c r="BI1356" s="105" t="n">
        <v>0</v>
      </c>
      <c r="BJ1356" s="105" t="n">
        <v>0</v>
      </c>
      <c r="BK1356" s="105" t="n">
        <v>0</v>
      </c>
      <c r="BL1356" s="105" t="n">
        <v>0</v>
      </c>
      <c r="BM1356" s="105" t="n">
        <v>0</v>
      </c>
      <c r="BN1356" s="105" t="n">
        <v>0</v>
      </c>
      <c r="BO1356" s="105" t="n">
        <v>0</v>
      </c>
      <c r="BP1356" s="105" t="n">
        <v>0</v>
      </c>
      <c r="BQ1356" s="105" t="n">
        <v>0</v>
      </c>
      <c r="BR1356" s="106" t="n">
        <v>0.833333333333333</v>
      </c>
      <c r="BS1356" s="106" t="n">
        <v>0.833333333333333</v>
      </c>
      <c r="BT1356" s="107"/>
      <c r="BU1356" s="107"/>
      <c r="BV1356" s="107"/>
      <c r="BW1356" s="107"/>
      <c r="BX1356" s="107"/>
      <c r="BY1356" s="107"/>
      <c r="BZ1356" s="107"/>
      <c r="CA1356" s="107"/>
      <c r="CB1356" s="107"/>
      <c r="CC1356" s="107"/>
      <c r="CD1356" s="107"/>
      <c r="CE1356" s="107"/>
      <c r="CF1356" s="107"/>
      <c r="CG1356" s="107"/>
      <c r="CH1356" s="107"/>
      <c r="CI1356" s="107"/>
      <c r="CJ1356" s="107"/>
      <c r="CK1356" s="107"/>
      <c r="CL1356" s="107"/>
      <c r="CM1356" s="107"/>
      <c r="CN1356" s="107"/>
      <c r="CO1356" s="107"/>
      <c r="CP1356" s="107"/>
      <c r="CQ1356" s="107"/>
      <c r="CR1356" s="107"/>
      <c r="CS1356" s="107"/>
      <c r="CT1356" s="107"/>
      <c r="CU1356" s="107"/>
      <c r="CV1356" s="107"/>
    </row>
    <row r="1357" customFormat="false" ht="14.9" hidden="false" customHeight="false" outlineLevel="0" collapsed="false">
      <c r="A1357" s="74" t="n">
        <f aca="false">MONTH(B1357)</f>
        <v>11</v>
      </c>
      <c r="B1357" s="135" t="n">
        <v>44523</v>
      </c>
      <c r="C1357" s="128" t="s">
        <v>63</v>
      </c>
      <c r="D1357" s="77" t="str">
        <f aca="false">IFERROR(VLOOKUP(E:E,'Item Data Support Sheet'!A:O,7,0),"")</f>
        <v>BOTTLE PRINTED</v>
      </c>
      <c r="E1357" s="80" t="s">
        <v>2152</v>
      </c>
      <c r="F1357" s="122"/>
      <c r="G1357" s="137"/>
      <c r="H1357" s="79" t="str">
        <f aca="false">IFERROR(VLOOKUP(E:E,'Item Data Support Sheet'!A:O,2,0),"")</f>
        <v>50 ML RPP BOTTLE PRINTED - WHALES</v>
      </c>
      <c r="I1357" s="80" t="s">
        <v>2153</v>
      </c>
      <c r="J1357" s="80" t="s">
        <v>155</v>
      </c>
      <c r="K1357" s="124" t="n">
        <v>8</v>
      </c>
      <c r="L1357" s="124" t="n">
        <v>2600</v>
      </c>
      <c r="M1357" s="83" t="n">
        <v>325</v>
      </c>
      <c r="N1357" s="84" t="n">
        <f aca="false">+O1357+Q1357+T1357+U1357</f>
        <v>2006</v>
      </c>
      <c r="O1357" s="85" t="n">
        <v>1970</v>
      </c>
      <c r="P1357" s="86" t="n">
        <v>0</v>
      </c>
      <c r="Q1357" s="86" t="n">
        <v>0</v>
      </c>
      <c r="R1357" s="132" t="n">
        <v>42</v>
      </c>
      <c r="S1357" s="128" t="n">
        <v>0</v>
      </c>
      <c r="T1357" s="132" t="n">
        <v>36</v>
      </c>
      <c r="U1357" s="128" t="n">
        <v>0</v>
      </c>
      <c r="V1357" s="128" t="n">
        <v>5</v>
      </c>
      <c r="W1357" s="90" t="n">
        <f aca="false">IFERROR(O1357/V1357,0)</f>
        <v>394</v>
      </c>
      <c r="X1357" s="91" t="n">
        <f aca="false">O1357/L1357</f>
        <v>0.757692307692308</v>
      </c>
      <c r="Y1357" s="92" t="str">
        <f aca="false">IFERROR(VLOOKUP(E:E,'Item Data Support Sheet'!A:J,6,0),0)</f>
        <v>FO112</v>
      </c>
      <c r="Z1357" s="93" t="n">
        <f aca="false">IFERROR(VLOOKUP(E:E,'Item Data Support Sheet'!A:O,4,0),0)</f>
        <v>17.015</v>
      </c>
      <c r="AA1357" s="93" t="n">
        <f aca="false">IFERROR(((N1357)*(Z1357/1000))+P1357,0)</f>
        <v>34.13209</v>
      </c>
      <c r="AB1357" s="94" t="n">
        <f aca="false">IFERROR((O1357*(Z1357/1000)/(AA1357))," ")</f>
        <v>0.982053838484546</v>
      </c>
      <c r="AC1357" s="95" t="n">
        <f aca="false">IFERROR((T1357)/((T1357)+O1357),0)</f>
        <v>0.0179461615154536</v>
      </c>
      <c r="AD1357" s="96" t="n">
        <f aca="false">IFERROR(Q1357/(Q1357+N1357),0)</f>
        <v>0</v>
      </c>
      <c r="AE1357" s="91" t="n">
        <f aca="false">(N1357-T1357)/N1357</f>
        <v>0.982053838484546</v>
      </c>
      <c r="AF1357" s="97" t="n">
        <f aca="false">BR1357</f>
        <v>3.16666666666667</v>
      </c>
      <c r="AG1357" s="98" t="n">
        <f aca="false">K1357-AF1357</f>
        <v>4.83333333333333</v>
      </c>
      <c r="AH1357" s="99" t="n">
        <f aca="false">IFERROR(AG1357/K1357," ")</f>
        <v>0.604166666666666</v>
      </c>
      <c r="AI1357" s="100" t="n">
        <f aca="false">IFERROR(O1357/K1357,0)</f>
        <v>246.25</v>
      </c>
      <c r="AJ1357" s="101" t="n">
        <f aca="false">VLOOKUP(D1357,'Standard Cycle time'!C:D,2,0)</f>
        <v>32.4</v>
      </c>
      <c r="AK1357" s="101" t="n">
        <f aca="false">AG1357*V1357*3600/O1357</f>
        <v>44.1624365482233</v>
      </c>
      <c r="AL1357" s="102" t="n">
        <f aca="false">AJ1357/AK1357</f>
        <v>0.733655172413794</v>
      </c>
      <c r="AM1357" s="99" t="n">
        <f aca="false">AE1357*AL1357*AH1357</f>
        <v>0.435295363908275</v>
      </c>
      <c r="AN1357" s="103" t="n">
        <v>0.435295363908275</v>
      </c>
      <c r="AO1357" s="112" t="s">
        <v>2154</v>
      </c>
      <c r="AP1357" s="105" t="n">
        <v>50</v>
      </c>
      <c r="AQ1357" s="105" t="n">
        <v>140</v>
      </c>
      <c r="AR1357" s="105" t="n">
        <v>0</v>
      </c>
      <c r="AS1357" s="105" t="n">
        <v>0</v>
      </c>
      <c r="AT1357" s="105" t="n">
        <v>0</v>
      </c>
      <c r="AU1357" s="105" t="n">
        <v>0</v>
      </c>
      <c r="AV1357" s="105" t="n">
        <v>0</v>
      </c>
      <c r="AW1357" s="105" t="n">
        <v>0</v>
      </c>
      <c r="AX1357" s="105" t="n">
        <v>0</v>
      </c>
      <c r="AY1357" s="105" t="n">
        <v>0</v>
      </c>
      <c r="AZ1357" s="105" t="n">
        <v>0</v>
      </c>
      <c r="BA1357" s="105" t="n">
        <v>0</v>
      </c>
      <c r="BB1357" s="105" t="n">
        <v>0</v>
      </c>
      <c r="BC1357" s="105" t="n">
        <v>0</v>
      </c>
      <c r="BD1357" s="105" t="n">
        <v>0</v>
      </c>
      <c r="BE1357" s="105" t="n">
        <v>0</v>
      </c>
      <c r="BF1357" s="105" t="n">
        <v>0</v>
      </c>
      <c r="BG1357" s="105" t="n">
        <v>0</v>
      </c>
      <c r="BH1357" s="105" t="n">
        <v>0</v>
      </c>
      <c r="BI1357" s="105" t="n">
        <v>0</v>
      </c>
      <c r="BJ1357" s="105" t="n">
        <v>0</v>
      </c>
      <c r="BK1357" s="105" t="n">
        <v>0</v>
      </c>
      <c r="BL1357" s="105" t="n">
        <v>0</v>
      </c>
      <c r="BM1357" s="105" t="n">
        <v>0</v>
      </c>
      <c r="BN1357" s="105" t="n">
        <v>0</v>
      </c>
      <c r="BO1357" s="105" t="n">
        <v>0</v>
      </c>
      <c r="BP1357" s="105" t="n">
        <v>0</v>
      </c>
      <c r="BQ1357" s="105" t="n">
        <v>0</v>
      </c>
      <c r="BR1357" s="106" t="n">
        <v>3.16666666666667</v>
      </c>
      <c r="BS1357" s="106" t="n">
        <v>3.16666666666667</v>
      </c>
      <c r="BT1357" s="107"/>
      <c r="BU1357" s="107"/>
      <c r="BV1357" s="107"/>
      <c r="BW1357" s="107"/>
      <c r="BX1357" s="107"/>
      <c r="BY1357" s="107"/>
      <c r="BZ1357" s="107"/>
      <c r="CA1357" s="107"/>
      <c r="CB1357" s="107"/>
      <c r="CC1357" s="107"/>
      <c r="CD1357" s="107"/>
      <c r="CE1357" s="107"/>
      <c r="CF1357" s="107"/>
      <c r="CG1357" s="107"/>
      <c r="CH1357" s="107"/>
      <c r="CI1357" s="107"/>
      <c r="CJ1357" s="107"/>
      <c r="CK1357" s="107"/>
      <c r="CL1357" s="107"/>
      <c r="CM1357" s="107"/>
      <c r="CN1357" s="107"/>
      <c r="CO1357" s="107"/>
      <c r="CP1357" s="107"/>
      <c r="CQ1357" s="107"/>
      <c r="CR1357" s="107"/>
      <c r="CS1357" s="107"/>
      <c r="CT1357" s="107"/>
      <c r="CU1357" s="107"/>
      <c r="CV1357" s="107"/>
    </row>
    <row r="1358" customFormat="false" ht="14.9" hidden="false" customHeight="false" outlineLevel="0" collapsed="false">
      <c r="A1358" s="74" t="n">
        <f aca="false">MONTH(B1358)</f>
        <v>11</v>
      </c>
      <c r="B1358" s="135" t="n">
        <v>44523</v>
      </c>
      <c r="C1358" s="128" t="s">
        <v>70</v>
      </c>
      <c r="D1358" s="77" t="str">
        <f aca="false">IFERROR(VLOOKUP(E:E,'Item Data Support Sheet'!A:O,7,0),"")</f>
        <v>NIPPLE PUNCH</v>
      </c>
      <c r="E1358" s="80" t="s">
        <v>666</v>
      </c>
      <c r="F1358" s="122"/>
      <c r="G1358" s="137" t="s">
        <v>54</v>
      </c>
      <c r="H1358" s="79" t="str">
        <f aca="false">IFERROR(VLOOKUP(E:E,'Item Data Support Sheet'!A:O,2,0),"")</f>
        <v>NIPPLE S TYPE L SIZE PUNCHED</v>
      </c>
      <c r="I1358" s="80" t="s">
        <v>2155</v>
      </c>
      <c r="J1358" s="80" t="s">
        <v>155</v>
      </c>
      <c r="K1358" s="124" t="n">
        <v>4</v>
      </c>
      <c r="L1358" s="124" t="n">
        <v>3500</v>
      </c>
      <c r="M1358" s="83" t="n">
        <v>875</v>
      </c>
      <c r="N1358" s="84" t="n">
        <f aca="false">+O1358+Q1358+T1358+U1358</f>
        <v>2000</v>
      </c>
      <c r="O1358" s="85" t="n">
        <v>2000</v>
      </c>
      <c r="P1358" s="86" t="n">
        <v>0</v>
      </c>
      <c r="Q1358" s="86" t="n">
        <v>0</v>
      </c>
      <c r="R1358" s="132" t="n">
        <v>0</v>
      </c>
      <c r="S1358" s="128" t="n">
        <v>0</v>
      </c>
      <c r="T1358" s="132" t="n">
        <v>0</v>
      </c>
      <c r="U1358" s="128" t="n">
        <v>0</v>
      </c>
      <c r="V1358" s="128" t="n">
        <v>1</v>
      </c>
      <c r="W1358" s="90" t="n">
        <f aca="false">IFERROR(O1358/V1358,0)</f>
        <v>2000</v>
      </c>
      <c r="X1358" s="91" t="n">
        <f aca="false">O1358/L1358</f>
        <v>0.571428571428571</v>
      </c>
      <c r="Y1358" s="92" t="str">
        <f aca="false">IFERROR(VLOOKUP(E:E,'Item Data Support Sheet'!A:J,6,0),0)</f>
        <v>FO017</v>
      </c>
      <c r="Z1358" s="93" t="n">
        <f aca="false">IFERROR(VLOOKUP(E:E,'Item Data Support Sheet'!A:O,4,0),0)</f>
        <v>0</v>
      </c>
      <c r="AA1358" s="93" t="n">
        <f aca="false">IFERROR(((N1358)*(Z1358/1000))+P1358,0)</f>
        <v>0</v>
      </c>
      <c r="AB1358" s="94" t="str">
        <f aca="false">IFERROR((O1358*(Z1358/1000)/(AA1358))," ")</f>
        <v> </v>
      </c>
      <c r="AC1358" s="95" t="n">
        <f aca="false">IFERROR((T1358)/((T1358)+O1358),0)</f>
        <v>0</v>
      </c>
      <c r="AD1358" s="96" t="n">
        <f aca="false">IFERROR(Q1358/(Q1358+N1358),0)</f>
        <v>0</v>
      </c>
      <c r="AE1358" s="91" t="n">
        <f aca="false">(N1358-T1358)/N1358</f>
        <v>1</v>
      </c>
      <c r="AF1358" s="97" t="n">
        <f aca="false">BR1358</f>
        <v>0.666666666666667</v>
      </c>
      <c r="AG1358" s="98" t="n">
        <f aca="false">K1358-AF1358</f>
        <v>3.33333333333333</v>
      </c>
      <c r="AH1358" s="99" t="n">
        <f aca="false">IFERROR(AG1358/K1358," ")</f>
        <v>0.833333333333333</v>
      </c>
      <c r="AI1358" s="100" t="n">
        <f aca="false">IFERROR(O1358/K1358,0)</f>
        <v>500</v>
      </c>
      <c r="AJ1358" s="101" t="n">
        <f aca="false">VLOOKUP(D1358,'Standard Cycle time'!C:D,2,0)</f>
        <v>3.5</v>
      </c>
      <c r="AK1358" s="101" t="n">
        <f aca="false">AG1358*V1358*3600/O1358</f>
        <v>6</v>
      </c>
      <c r="AL1358" s="102" t="n">
        <f aca="false">AJ1358/AK1358</f>
        <v>0.583333333333333</v>
      </c>
      <c r="AM1358" s="99" t="n">
        <f aca="false">AE1358*AL1358*AH1358</f>
        <v>0.486111111111111</v>
      </c>
      <c r="AN1358" s="103" t="n">
        <v>0.486111111111111</v>
      </c>
      <c r="AO1358" s="112" t="s">
        <v>2156</v>
      </c>
      <c r="AP1358" s="105"/>
      <c r="AQ1358" s="105"/>
      <c r="AR1358" s="105" t="n">
        <v>0</v>
      </c>
      <c r="AS1358" s="105" t="n">
        <v>0</v>
      </c>
      <c r="AT1358" s="105" t="n">
        <v>0</v>
      </c>
      <c r="AU1358" s="105" t="n">
        <v>0</v>
      </c>
      <c r="AV1358" s="105" t="n">
        <v>0</v>
      </c>
      <c r="AW1358" s="105" t="n">
        <v>0</v>
      </c>
      <c r="AX1358" s="105" t="n">
        <v>0</v>
      </c>
      <c r="AY1358" s="105" t="n">
        <v>0</v>
      </c>
      <c r="AZ1358" s="105" t="n">
        <v>0</v>
      </c>
      <c r="BA1358" s="105" t="n">
        <v>0</v>
      </c>
      <c r="BB1358" s="105" t="n">
        <v>0</v>
      </c>
      <c r="BC1358" s="105" t="n">
        <v>0</v>
      </c>
      <c r="BD1358" s="105" t="n">
        <v>0</v>
      </c>
      <c r="BE1358" s="105" t="n">
        <v>0</v>
      </c>
      <c r="BF1358" s="105" t="n">
        <v>0</v>
      </c>
      <c r="BG1358" s="105" t="n">
        <v>0</v>
      </c>
      <c r="BH1358" s="105" t="n">
        <v>0</v>
      </c>
      <c r="BI1358" s="105" t="n">
        <v>0</v>
      </c>
      <c r="BJ1358" s="105" t="n">
        <v>0</v>
      </c>
      <c r="BK1358" s="105" t="n">
        <v>0</v>
      </c>
      <c r="BL1358" s="105" t="n">
        <v>40</v>
      </c>
      <c r="BM1358" s="105" t="n">
        <v>0</v>
      </c>
      <c r="BN1358" s="105" t="n">
        <v>0</v>
      </c>
      <c r="BO1358" s="105" t="n">
        <v>0</v>
      </c>
      <c r="BP1358" s="105" t="n">
        <v>0</v>
      </c>
      <c r="BQ1358" s="105" t="n">
        <v>0</v>
      </c>
      <c r="BR1358" s="106" t="n">
        <v>0.666666666666667</v>
      </c>
      <c r="BS1358" s="106" t="n">
        <v>0.666666666666667</v>
      </c>
      <c r="BT1358" s="107"/>
      <c r="BU1358" s="107"/>
      <c r="BV1358" s="107"/>
      <c r="BW1358" s="107"/>
      <c r="BX1358" s="107"/>
      <c r="BY1358" s="107"/>
      <c r="BZ1358" s="107"/>
      <c r="CA1358" s="107"/>
      <c r="CB1358" s="107"/>
      <c r="CC1358" s="107"/>
      <c r="CD1358" s="107"/>
      <c r="CE1358" s="107"/>
      <c r="CF1358" s="107"/>
      <c r="CG1358" s="107"/>
      <c r="CH1358" s="107"/>
      <c r="CI1358" s="107"/>
      <c r="CJ1358" s="107"/>
      <c r="CK1358" s="107"/>
      <c r="CL1358" s="107"/>
      <c r="CM1358" s="107"/>
      <c r="CN1358" s="107"/>
      <c r="CO1358" s="107"/>
      <c r="CP1358" s="107"/>
      <c r="CQ1358" s="107"/>
      <c r="CR1358" s="107"/>
      <c r="CS1358" s="107"/>
      <c r="CT1358" s="107"/>
      <c r="CU1358" s="107"/>
      <c r="CV1358" s="107"/>
    </row>
    <row r="1359" customFormat="false" ht="14.9" hidden="false" customHeight="false" outlineLevel="0" collapsed="false">
      <c r="A1359" s="74" t="n">
        <f aca="false">MONTH(B1359)</f>
        <v>11</v>
      </c>
      <c r="B1359" s="135" t="n">
        <v>44523</v>
      </c>
      <c r="C1359" s="128" t="s">
        <v>70</v>
      </c>
      <c r="D1359" s="77" t="str">
        <f aca="false">IFERROR(VLOOKUP(E:E,'Item Data Support Sheet'!A:O,7,0),"")</f>
        <v>NIPPLE LASER MARKING</v>
      </c>
      <c r="E1359" s="80" t="s">
        <v>681</v>
      </c>
      <c r="F1359" s="122"/>
      <c r="G1359" s="137" t="s">
        <v>517</v>
      </c>
      <c r="H1359" s="79" t="str">
        <f aca="false">IFERROR(VLOOKUP(E:E,'Item Data Support Sheet'!A:O,2,0),"")</f>
        <v>NIPPLE S TYPE L SIZE PUNCHED LASER MARKED</v>
      </c>
      <c r="I1359" s="80" t="s">
        <v>2149</v>
      </c>
      <c r="J1359" s="80" t="s">
        <v>155</v>
      </c>
      <c r="K1359" s="124" t="n">
        <v>4</v>
      </c>
      <c r="L1359" s="124" t="n">
        <v>3500</v>
      </c>
      <c r="M1359" s="83" t="n">
        <v>875</v>
      </c>
      <c r="N1359" s="84" t="n">
        <f aca="false">+O1359+Q1359+T1359+U1359</f>
        <v>4250</v>
      </c>
      <c r="O1359" s="85" t="n">
        <v>4250</v>
      </c>
      <c r="P1359" s="86" t="n">
        <v>0</v>
      </c>
      <c r="Q1359" s="86" t="n">
        <v>0</v>
      </c>
      <c r="R1359" s="132" t="n">
        <v>0</v>
      </c>
      <c r="S1359" s="128" t="n">
        <v>0</v>
      </c>
      <c r="T1359" s="132" t="n">
        <v>0</v>
      </c>
      <c r="U1359" s="128" t="n">
        <v>0</v>
      </c>
      <c r="V1359" s="128" t="n">
        <v>1</v>
      </c>
      <c r="W1359" s="90" t="n">
        <f aca="false">IFERROR(O1359/V1359,0)</f>
        <v>4250</v>
      </c>
      <c r="X1359" s="91" t="n">
        <f aca="false">O1359/L1359</f>
        <v>1.21428571428571</v>
      </c>
      <c r="Y1359" s="92" t="str">
        <f aca="false">IFERROR(VLOOKUP(E:E,'Item Data Support Sheet'!A:J,6,0),0)</f>
        <v>FO021</v>
      </c>
      <c r="Z1359" s="93" t="n">
        <f aca="false">IFERROR(VLOOKUP(E:E,'Item Data Support Sheet'!A:O,4,0),0)</f>
        <v>0</v>
      </c>
      <c r="AA1359" s="93" t="n">
        <f aca="false">IFERROR(((N1359)*(Z1359/1000))+P1359,0)</f>
        <v>0</v>
      </c>
      <c r="AB1359" s="94" t="str">
        <f aca="false">IFERROR((O1359*(Z1359/1000)/(AA1359))," ")</f>
        <v> </v>
      </c>
      <c r="AC1359" s="95" t="n">
        <f aca="false">IFERROR((T1359)/((T1359)+O1359),0)</f>
        <v>0</v>
      </c>
      <c r="AD1359" s="96" t="n">
        <f aca="false">IFERROR(Q1359/(Q1359+N1359),0)</f>
        <v>0</v>
      </c>
      <c r="AE1359" s="91" t="n">
        <f aca="false">(N1359-T1359)/N1359</f>
        <v>1</v>
      </c>
      <c r="AF1359" s="97" t="n">
        <f aca="false">BR1359</f>
        <v>0</v>
      </c>
      <c r="AG1359" s="98" t="n">
        <f aca="false">K1359-AF1359</f>
        <v>4</v>
      </c>
      <c r="AH1359" s="99" t="n">
        <f aca="false">IFERROR(AG1359/K1359," ")</f>
        <v>1</v>
      </c>
      <c r="AI1359" s="100" t="n">
        <f aca="false">IFERROR(O1359/K1359,0)</f>
        <v>1062.5</v>
      </c>
      <c r="AJ1359" s="101" t="n">
        <f aca="false">VLOOKUP(D1359,'Standard Cycle time'!C:D,2,0)</f>
        <v>3.5</v>
      </c>
      <c r="AK1359" s="101" t="n">
        <f aca="false">AG1359*V1359*3600/O1359</f>
        <v>3.38823529411765</v>
      </c>
      <c r="AL1359" s="102" t="n">
        <f aca="false">AJ1359/AK1359</f>
        <v>1.03298611111111</v>
      </c>
      <c r="AM1359" s="99" t="n">
        <f aca="false">AE1359*AL1359*AH1359</f>
        <v>1.03298611111111</v>
      </c>
      <c r="AN1359" s="103" t="n">
        <v>1.03298611111111</v>
      </c>
      <c r="AO1359" s="112" t="s">
        <v>824</v>
      </c>
      <c r="AP1359" s="105" t="n">
        <v>0</v>
      </c>
      <c r="AQ1359" s="105" t="n">
        <v>0</v>
      </c>
      <c r="AR1359" s="105" t="n">
        <v>0</v>
      </c>
      <c r="AS1359" s="105" t="n">
        <v>0</v>
      </c>
      <c r="AT1359" s="105" t="n">
        <v>0</v>
      </c>
      <c r="AU1359" s="105" t="n">
        <v>0</v>
      </c>
      <c r="AV1359" s="105" t="n">
        <v>0</v>
      </c>
      <c r="AW1359" s="105" t="n">
        <v>0</v>
      </c>
      <c r="AX1359" s="105" t="n">
        <v>0</v>
      </c>
      <c r="AY1359" s="105" t="n">
        <v>0</v>
      </c>
      <c r="AZ1359" s="105" t="n">
        <v>0</v>
      </c>
      <c r="BA1359" s="105" t="n">
        <v>0</v>
      </c>
      <c r="BB1359" s="105" t="n">
        <v>0</v>
      </c>
      <c r="BC1359" s="105" t="n">
        <v>0</v>
      </c>
      <c r="BD1359" s="105" t="n">
        <v>0</v>
      </c>
      <c r="BE1359" s="105" t="n">
        <v>0</v>
      </c>
      <c r="BF1359" s="105" t="n">
        <v>0</v>
      </c>
      <c r="BG1359" s="105" t="n">
        <v>0</v>
      </c>
      <c r="BH1359" s="105" t="n">
        <v>0</v>
      </c>
      <c r="BI1359" s="105" t="n">
        <v>0</v>
      </c>
      <c r="BJ1359" s="105" t="n">
        <v>0</v>
      </c>
      <c r="BK1359" s="105" t="n">
        <v>0</v>
      </c>
      <c r="BL1359" s="105" t="n">
        <v>0</v>
      </c>
      <c r="BM1359" s="105" t="n">
        <v>0</v>
      </c>
      <c r="BN1359" s="105" t="n">
        <v>0</v>
      </c>
      <c r="BO1359" s="105" t="n">
        <v>0</v>
      </c>
      <c r="BP1359" s="105" t="n">
        <v>0</v>
      </c>
      <c r="BQ1359" s="105" t="n">
        <v>0</v>
      </c>
      <c r="BR1359" s="106" t="n">
        <v>0</v>
      </c>
      <c r="BS1359" s="106" t="n">
        <v>0</v>
      </c>
      <c r="BT1359" s="107"/>
      <c r="BU1359" s="107"/>
      <c r="BV1359" s="107"/>
      <c r="BW1359" s="107"/>
      <c r="BX1359" s="107"/>
      <c r="BY1359" s="107"/>
      <c r="BZ1359" s="107"/>
      <c r="CA1359" s="107"/>
      <c r="CB1359" s="107"/>
      <c r="CC1359" s="107"/>
      <c r="CD1359" s="107"/>
      <c r="CE1359" s="107"/>
      <c r="CF1359" s="107"/>
      <c r="CG1359" s="107"/>
      <c r="CH1359" s="107"/>
      <c r="CI1359" s="107"/>
      <c r="CJ1359" s="107"/>
      <c r="CK1359" s="107"/>
      <c r="CL1359" s="107"/>
      <c r="CM1359" s="107"/>
      <c r="CN1359" s="107"/>
      <c r="CO1359" s="107"/>
      <c r="CP1359" s="107"/>
      <c r="CQ1359" s="107"/>
      <c r="CR1359" s="107"/>
      <c r="CS1359" s="107"/>
      <c r="CT1359" s="107"/>
      <c r="CU1359" s="107"/>
      <c r="CV1359" s="107"/>
    </row>
    <row r="1360" customFormat="false" ht="14.9" hidden="false" customHeight="false" outlineLevel="0" collapsed="false">
      <c r="A1360" s="74" t="n">
        <f aca="false">MONTH(B1360)</f>
        <v>11</v>
      </c>
      <c r="B1360" s="135" t="n">
        <v>44523</v>
      </c>
      <c r="C1360" s="128" t="s">
        <v>70</v>
      </c>
      <c r="D1360" s="77" t="str">
        <f aca="false">IFERROR(VLOOKUP(E:E,'Item Data Support Sheet'!A:O,7,0),"")</f>
        <v>NIPPLE PUNCH</v>
      </c>
      <c r="E1360" s="80" t="s">
        <v>60</v>
      </c>
      <c r="F1360" s="122"/>
      <c r="G1360" s="137" t="s">
        <v>54</v>
      </c>
      <c r="H1360" s="79" t="str">
        <f aca="false">IFERROR(VLOOKUP(E:E,'Item Data Support Sheet'!A:O,2,0),"")</f>
        <v>NIPPLE S TYPE M SIZE PUNCHED</v>
      </c>
      <c r="I1360" s="80" t="s">
        <v>2157</v>
      </c>
      <c r="J1360" s="80" t="s">
        <v>155</v>
      </c>
      <c r="K1360" s="124" t="n">
        <v>4</v>
      </c>
      <c r="L1360" s="124" t="n">
        <v>3500</v>
      </c>
      <c r="M1360" s="83" t="n">
        <v>875</v>
      </c>
      <c r="N1360" s="84" t="n">
        <f aca="false">+O1360+Q1360+T1360+U1360</f>
        <v>2000</v>
      </c>
      <c r="O1360" s="85" t="n">
        <v>2000</v>
      </c>
      <c r="P1360" s="86" t="n">
        <v>0</v>
      </c>
      <c r="Q1360" s="86" t="n">
        <v>0</v>
      </c>
      <c r="R1360" s="132" t="n">
        <v>0</v>
      </c>
      <c r="S1360" s="128" t="n">
        <v>0</v>
      </c>
      <c r="T1360" s="132" t="n">
        <v>0</v>
      </c>
      <c r="U1360" s="128" t="n">
        <v>0</v>
      </c>
      <c r="V1360" s="128" t="n">
        <v>1</v>
      </c>
      <c r="W1360" s="90" t="n">
        <f aca="false">IFERROR(O1360/V1360,0)</f>
        <v>2000</v>
      </c>
      <c r="X1360" s="91" t="n">
        <f aca="false">O1360/L1360</f>
        <v>0.571428571428571</v>
      </c>
      <c r="Y1360" s="92" t="str">
        <f aca="false">IFERROR(VLOOKUP(E:E,'Item Data Support Sheet'!A:J,6,0),0)</f>
        <v>FO016</v>
      </c>
      <c r="Z1360" s="93" t="n">
        <f aca="false">IFERROR(VLOOKUP(E:E,'Item Data Support Sheet'!A:O,4,0),0)</f>
        <v>0</v>
      </c>
      <c r="AA1360" s="93" t="n">
        <f aca="false">IFERROR(((N1360)*(Z1360/1000))+P1360,0)</f>
        <v>0</v>
      </c>
      <c r="AB1360" s="94" t="str">
        <f aca="false">IFERROR((O1360*(Z1360/1000)/(AA1360))," ")</f>
        <v> </v>
      </c>
      <c r="AC1360" s="95" t="n">
        <f aca="false">IFERROR((T1360)/((T1360)+O1360),0)</f>
        <v>0</v>
      </c>
      <c r="AD1360" s="96" t="n">
        <f aca="false">IFERROR(Q1360/(Q1360+N1360),0)</f>
        <v>0</v>
      </c>
      <c r="AE1360" s="91" t="n">
        <f aca="false">(N1360-T1360)/N1360</f>
        <v>1</v>
      </c>
      <c r="AF1360" s="97" t="n">
        <f aca="false">BR1360</f>
        <v>0.666666666666667</v>
      </c>
      <c r="AG1360" s="98" t="n">
        <f aca="false">K1360-AF1360</f>
        <v>3.33333333333333</v>
      </c>
      <c r="AH1360" s="99" t="n">
        <f aca="false">IFERROR(AG1360/K1360," ")</f>
        <v>0.833333333333333</v>
      </c>
      <c r="AI1360" s="100" t="n">
        <f aca="false">IFERROR(O1360/K1360,0)</f>
        <v>500</v>
      </c>
      <c r="AJ1360" s="101" t="n">
        <f aca="false">VLOOKUP(D1360,'Standard Cycle time'!C:D,2,0)</f>
        <v>3.5</v>
      </c>
      <c r="AK1360" s="101" t="n">
        <f aca="false">AG1360*V1360*3600/O1360</f>
        <v>6</v>
      </c>
      <c r="AL1360" s="102" t="n">
        <f aca="false">AJ1360/AK1360</f>
        <v>0.583333333333333</v>
      </c>
      <c r="AM1360" s="99" t="n">
        <f aca="false">AE1360*AL1360*AH1360</f>
        <v>0.486111111111111</v>
      </c>
      <c r="AN1360" s="103" t="n">
        <v>0.486111111111111</v>
      </c>
      <c r="AO1360" s="112" t="s">
        <v>2158</v>
      </c>
      <c r="AP1360" s="105" t="n">
        <v>40</v>
      </c>
      <c r="AQ1360" s="105" t="n">
        <v>0</v>
      </c>
      <c r="AR1360" s="105" t="n">
        <v>0</v>
      </c>
      <c r="AS1360" s="105" t="n">
        <v>0</v>
      </c>
      <c r="AT1360" s="105" t="n">
        <v>0</v>
      </c>
      <c r="AU1360" s="105" t="n">
        <v>0</v>
      </c>
      <c r="AV1360" s="105" t="n">
        <v>0</v>
      </c>
      <c r="AW1360" s="105" t="n">
        <v>0</v>
      </c>
      <c r="AX1360" s="105" t="n">
        <v>0</v>
      </c>
      <c r="AY1360" s="105" t="n">
        <v>0</v>
      </c>
      <c r="AZ1360" s="105" t="n">
        <v>0</v>
      </c>
      <c r="BA1360" s="105" t="n">
        <v>0</v>
      </c>
      <c r="BB1360" s="105" t="n">
        <v>0</v>
      </c>
      <c r="BC1360" s="105" t="n">
        <v>0</v>
      </c>
      <c r="BD1360" s="105" t="n">
        <v>0</v>
      </c>
      <c r="BE1360" s="105" t="n">
        <v>0</v>
      </c>
      <c r="BF1360" s="105" t="n">
        <v>0</v>
      </c>
      <c r="BG1360" s="105" t="n">
        <v>0</v>
      </c>
      <c r="BH1360" s="105" t="n">
        <v>0</v>
      </c>
      <c r="BI1360" s="105" t="n">
        <v>0</v>
      </c>
      <c r="BJ1360" s="105" t="n">
        <v>0</v>
      </c>
      <c r="BK1360" s="105" t="n">
        <v>0</v>
      </c>
      <c r="BL1360" s="105" t="n">
        <v>0</v>
      </c>
      <c r="BM1360" s="105" t="n">
        <v>0</v>
      </c>
      <c r="BN1360" s="105" t="n">
        <v>0</v>
      </c>
      <c r="BO1360" s="105" t="n">
        <v>0</v>
      </c>
      <c r="BP1360" s="105" t="n">
        <v>0</v>
      </c>
      <c r="BQ1360" s="105" t="n">
        <v>0</v>
      </c>
      <c r="BR1360" s="106" t="n">
        <v>0.666666666666667</v>
      </c>
      <c r="BS1360" s="106" t="n">
        <v>0.666666666666667</v>
      </c>
      <c r="BT1360" s="107"/>
      <c r="BU1360" s="107"/>
      <c r="BV1360" s="107"/>
      <c r="BW1360" s="107"/>
      <c r="BX1360" s="107"/>
      <c r="BY1360" s="107"/>
      <c r="BZ1360" s="107"/>
      <c r="CA1360" s="107"/>
      <c r="CB1360" s="107"/>
      <c r="CC1360" s="107"/>
      <c r="CD1360" s="107"/>
      <c r="CE1360" s="107"/>
      <c r="CF1360" s="107"/>
      <c r="CG1360" s="107"/>
      <c r="CH1360" s="107"/>
      <c r="CI1360" s="107"/>
      <c r="CJ1360" s="107"/>
      <c r="CK1360" s="107"/>
      <c r="CL1360" s="107"/>
      <c r="CM1360" s="107"/>
      <c r="CN1360" s="107"/>
      <c r="CO1360" s="107"/>
      <c r="CP1360" s="107"/>
      <c r="CQ1360" s="107"/>
      <c r="CR1360" s="107"/>
      <c r="CS1360" s="107"/>
      <c r="CT1360" s="107"/>
      <c r="CU1360" s="107"/>
      <c r="CV1360" s="107"/>
    </row>
    <row r="1361" customFormat="false" ht="14.9" hidden="false" customHeight="false" outlineLevel="0" collapsed="false">
      <c r="A1361" s="74" t="n">
        <f aca="false">MONTH(B1361)</f>
        <v>11</v>
      </c>
      <c r="B1361" s="135" t="n">
        <v>44523</v>
      </c>
      <c r="C1361" s="128" t="s">
        <v>70</v>
      </c>
      <c r="D1361" s="77" t="str">
        <f aca="false">IFERROR(VLOOKUP(E:E,'Item Data Support Sheet'!A:O,7,0),"")</f>
        <v>NIPPLE LASER MARKING</v>
      </c>
      <c r="E1361" s="80" t="s">
        <v>932</v>
      </c>
      <c r="F1361" s="122"/>
      <c r="G1361" s="137" t="s">
        <v>517</v>
      </c>
      <c r="H1361" s="79" t="str">
        <f aca="false">IFERROR(VLOOKUP(E:E,'Item Data Support Sheet'!A:O,2,0),"")</f>
        <v>NIPPLE S TYPE M SIZE PUNCHED LASER MARKED</v>
      </c>
      <c r="I1361" s="80" t="s">
        <v>2159</v>
      </c>
      <c r="J1361" s="80" t="s">
        <v>155</v>
      </c>
      <c r="K1361" s="124" t="n">
        <v>4</v>
      </c>
      <c r="L1361" s="124" t="n">
        <v>3500</v>
      </c>
      <c r="M1361" s="83" t="n">
        <v>875</v>
      </c>
      <c r="N1361" s="84" t="n">
        <f aca="false">+O1361+Q1361+T1361+U1361</f>
        <v>2000</v>
      </c>
      <c r="O1361" s="85" t="n">
        <v>2000</v>
      </c>
      <c r="P1361" s="86" t="n">
        <v>0</v>
      </c>
      <c r="Q1361" s="86" t="n">
        <v>0</v>
      </c>
      <c r="R1361" s="132" t="n">
        <v>0</v>
      </c>
      <c r="S1361" s="128" t="n">
        <v>0</v>
      </c>
      <c r="T1361" s="132" t="n">
        <v>0</v>
      </c>
      <c r="U1361" s="128" t="n">
        <v>0</v>
      </c>
      <c r="V1361" s="128" t="n">
        <v>1</v>
      </c>
      <c r="W1361" s="90" t="n">
        <f aca="false">IFERROR(O1361/V1361,0)</f>
        <v>2000</v>
      </c>
      <c r="X1361" s="91" t="n">
        <f aca="false">O1361/L1361</f>
        <v>0.571428571428571</v>
      </c>
      <c r="Y1361" s="92" t="str">
        <f aca="false">IFERROR(VLOOKUP(E:E,'Item Data Support Sheet'!A:J,6,0),0)</f>
        <v>FO020</v>
      </c>
      <c r="Z1361" s="93" t="n">
        <f aca="false">IFERROR(VLOOKUP(E:E,'Item Data Support Sheet'!A:O,4,0),0)</f>
        <v>0</v>
      </c>
      <c r="AA1361" s="93" t="n">
        <f aca="false">IFERROR(((N1361)*(Z1361/1000))+P1361,0)</f>
        <v>0</v>
      </c>
      <c r="AB1361" s="94" t="str">
        <f aca="false">IFERROR((O1361*(Z1361/1000)/(AA1361))," ")</f>
        <v> </v>
      </c>
      <c r="AC1361" s="95" t="n">
        <f aca="false">IFERROR((T1361)/((T1361)+O1361),0)</f>
        <v>0</v>
      </c>
      <c r="AD1361" s="96" t="n">
        <f aca="false">IFERROR(Q1361/(Q1361+N1361),0)</f>
        <v>0</v>
      </c>
      <c r="AE1361" s="91" t="n">
        <f aca="false">(N1361-T1361)/N1361</f>
        <v>1</v>
      </c>
      <c r="AF1361" s="97" t="n">
        <f aca="false">BR1361</f>
        <v>0.666666666666667</v>
      </c>
      <c r="AG1361" s="98" t="n">
        <f aca="false">K1361-AF1361</f>
        <v>3.33333333333333</v>
      </c>
      <c r="AH1361" s="99" t="n">
        <f aca="false">IFERROR(AG1361/K1361," ")</f>
        <v>0.833333333333333</v>
      </c>
      <c r="AI1361" s="100" t="n">
        <f aca="false">IFERROR(O1361/K1361,0)</f>
        <v>500</v>
      </c>
      <c r="AJ1361" s="101" t="n">
        <f aca="false">VLOOKUP(D1361,'Standard Cycle time'!C:D,2,0)</f>
        <v>3.5</v>
      </c>
      <c r="AK1361" s="101" t="n">
        <f aca="false">AG1361*V1361*3600/O1361</f>
        <v>6</v>
      </c>
      <c r="AL1361" s="102" t="n">
        <f aca="false">AJ1361/AK1361</f>
        <v>0.583333333333333</v>
      </c>
      <c r="AM1361" s="99" t="n">
        <f aca="false">AE1361*AL1361*AH1361</f>
        <v>0.486111111111111</v>
      </c>
      <c r="AN1361" s="103" t="n">
        <v>0.486111111111111</v>
      </c>
      <c r="AO1361" s="112" t="s">
        <v>824</v>
      </c>
      <c r="AP1361" s="105" t="n">
        <v>40</v>
      </c>
      <c r="AQ1361" s="105" t="n">
        <v>0</v>
      </c>
      <c r="AR1361" s="105" t="n">
        <v>0</v>
      </c>
      <c r="AS1361" s="105" t="n">
        <v>0</v>
      </c>
      <c r="AT1361" s="105" t="n">
        <v>0</v>
      </c>
      <c r="AU1361" s="105" t="n">
        <v>0</v>
      </c>
      <c r="AV1361" s="105" t="n">
        <v>0</v>
      </c>
      <c r="AW1361" s="105" t="n">
        <v>0</v>
      </c>
      <c r="AX1361" s="105" t="n">
        <v>0</v>
      </c>
      <c r="AY1361" s="105" t="n">
        <v>0</v>
      </c>
      <c r="AZ1361" s="105" t="n">
        <v>0</v>
      </c>
      <c r="BA1361" s="105" t="n">
        <v>0</v>
      </c>
      <c r="BB1361" s="105" t="n">
        <v>0</v>
      </c>
      <c r="BC1361" s="105" t="n">
        <v>0</v>
      </c>
      <c r="BD1361" s="105" t="n">
        <v>0</v>
      </c>
      <c r="BE1361" s="105" t="n">
        <v>0</v>
      </c>
      <c r="BF1361" s="105" t="n">
        <v>0</v>
      </c>
      <c r="BG1361" s="105" t="n">
        <v>0</v>
      </c>
      <c r="BH1361" s="105" t="n">
        <v>0</v>
      </c>
      <c r="BI1361" s="105" t="n">
        <v>0</v>
      </c>
      <c r="BJ1361" s="105" t="n">
        <v>0</v>
      </c>
      <c r="BK1361" s="105" t="n">
        <v>0</v>
      </c>
      <c r="BL1361" s="105" t="n">
        <v>0</v>
      </c>
      <c r="BM1361" s="105" t="n">
        <v>0</v>
      </c>
      <c r="BN1361" s="105" t="n">
        <v>0</v>
      </c>
      <c r="BO1361" s="105" t="n">
        <v>0</v>
      </c>
      <c r="BP1361" s="105" t="n">
        <v>0</v>
      </c>
      <c r="BQ1361" s="105" t="n">
        <v>0</v>
      </c>
      <c r="BR1361" s="106" t="n">
        <v>0.666666666666667</v>
      </c>
      <c r="BS1361" s="106" t="n">
        <v>0.666666666666667</v>
      </c>
      <c r="BT1361" s="107"/>
      <c r="BU1361" s="107"/>
      <c r="BV1361" s="107"/>
      <c r="BW1361" s="107"/>
      <c r="BX1361" s="107"/>
      <c r="BY1361" s="107"/>
      <c r="BZ1361" s="107"/>
      <c r="CA1361" s="107"/>
      <c r="CB1361" s="107"/>
      <c r="CC1361" s="107"/>
      <c r="CD1361" s="107"/>
      <c r="CE1361" s="107"/>
      <c r="CF1361" s="107"/>
      <c r="CG1361" s="107"/>
      <c r="CH1361" s="107"/>
      <c r="CI1361" s="107"/>
      <c r="CJ1361" s="107"/>
      <c r="CK1361" s="107"/>
      <c r="CL1361" s="107"/>
      <c r="CM1361" s="107"/>
      <c r="CN1361" s="107"/>
      <c r="CO1361" s="107"/>
      <c r="CP1361" s="107"/>
      <c r="CQ1361" s="107"/>
      <c r="CR1361" s="107"/>
      <c r="CS1361" s="107"/>
      <c r="CT1361" s="107"/>
      <c r="CU1361" s="107"/>
      <c r="CV1361" s="107"/>
    </row>
    <row r="1362" customFormat="false" ht="14.9" hidden="false" customHeight="false" outlineLevel="0" collapsed="false">
      <c r="A1362" s="74" t="n">
        <f aca="false">MONTH(B1362)</f>
        <v>11</v>
      </c>
      <c r="B1362" s="135" t="n">
        <v>44523</v>
      </c>
      <c r="C1362" s="128" t="s">
        <v>70</v>
      </c>
      <c r="D1362" s="77" t="str">
        <f aca="false">IFERROR(VLOOKUP(E:E,'Item Data Support Sheet'!A:O,7,0),"")</f>
        <v>NIPPLE MOLDED</v>
      </c>
      <c r="E1362" s="80" t="s">
        <v>661</v>
      </c>
      <c r="F1362" s="122" t="s">
        <v>137</v>
      </c>
      <c r="G1362" s="137" t="s">
        <v>138</v>
      </c>
      <c r="H1362" s="79" t="str">
        <f aca="false">IFERROR(VLOOKUP(E:E,'Item Data Support Sheet'!A:O,2,0),"")</f>
        <v>NIPPLE S TYPE L SIZE INJECTION</v>
      </c>
      <c r="I1362" s="80" t="s">
        <v>2160</v>
      </c>
      <c r="J1362" s="80" t="s">
        <v>155</v>
      </c>
      <c r="K1362" s="124" t="n">
        <v>8</v>
      </c>
      <c r="L1362" s="124" t="n">
        <v>4815</v>
      </c>
      <c r="M1362" s="83" t="n">
        <v>602</v>
      </c>
      <c r="N1362" s="84" t="n">
        <f aca="false">+O1362+Q1362+T1362+U1362</f>
        <v>5310</v>
      </c>
      <c r="O1362" s="85" t="n">
        <v>5200</v>
      </c>
      <c r="P1362" s="86" t="n">
        <v>0</v>
      </c>
      <c r="Q1362" s="86" t="n">
        <v>44</v>
      </c>
      <c r="R1362" s="132" t="n">
        <v>0</v>
      </c>
      <c r="S1362" s="128" t="n">
        <v>0</v>
      </c>
      <c r="T1362" s="132" t="n">
        <v>66</v>
      </c>
      <c r="U1362" s="128" t="n">
        <v>0</v>
      </c>
      <c r="V1362" s="128" t="n">
        <v>1</v>
      </c>
      <c r="W1362" s="90" t="n">
        <f aca="false">IFERROR(O1362/V1362,0)</f>
        <v>5200</v>
      </c>
      <c r="X1362" s="91" t="n">
        <f aca="false">O1362/L1362</f>
        <v>1.07995846313603</v>
      </c>
      <c r="Y1362" s="92" t="str">
        <f aca="false">IFERROR(VLOOKUP(E:E,'Item Data Support Sheet'!A:J,6,0),0)</f>
        <v>Silicon</v>
      </c>
      <c r="Z1362" s="93" t="n">
        <f aca="false">IFERROR(VLOOKUP(E:E,'Item Data Support Sheet'!A:O,4,0),0)</f>
        <v>6.8</v>
      </c>
      <c r="AA1362" s="93" t="n">
        <f aca="false">IFERROR(((N1362)*(Z1362/1000))+P1362,0)</f>
        <v>36.108</v>
      </c>
      <c r="AB1362" s="94" t="n">
        <f aca="false">IFERROR((O1362*(Z1362/1000)/(AA1362))," ")</f>
        <v>0.979284369114878</v>
      </c>
      <c r="AC1362" s="95" t="n">
        <f aca="false">IFERROR((T1362)/((T1362)+O1362),0)</f>
        <v>0.0125332320546905</v>
      </c>
      <c r="AD1362" s="96" t="n">
        <f aca="false">IFERROR(Q1362/(Q1362+N1362),0)</f>
        <v>0.00821815465072843</v>
      </c>
      <c r="AE1362" s="91" t="n">
        <f aca="false">(N1362-T1362)/N1362</f>
        <v>0.987570621468927</v>
      </c>
      <c r="AF1362" s="97" t="n">
        <f aca="false">BR1362</f>
        <v>0</v>
      </c>
      <c r="AG1362" s="98" t="n">
        <f aca="false">K1362-AF1362</f>
        <v>8</v>
      </c>
      <c r="AH1362" s="99" t="n">
        <f aca="false">IFERROR(AG1362/K1362," ")</f>
        <v>1</v>
      </c>
      <c r="AI1362" s="100" t="n">
        <f aca="false">IFERROR(O1362/K1362,0)</f>
        <v>650</v>
      </c>
      <c r="AJ1362" s="101" t="n">
        <f aca="false">VLOOKUP(D1362,'Standard Cycle time'!C:D,2,0)</f>
        <v>5.25</v>
      </c>
      <c r="AK1362" s="101" t="n">
        <f aca="false">AG1362*V1362*3600/O1362</f>
        <v>5.53846153846154</v>
      </c>
      <c r="AL1362" s="102" t="n">
        <f aca="false">AJ1362/AK1362</f>
        <v>0.947916666666667</v>
      </c>
      <c r="AM1362" s="99" t="n">
        <f aca="false">AE1362*AL1362*AH1362</f>
        <v>0.936134651600753</v>
      </c>
      <c r="AN1362" s="103" t="n">
        <v>0.936134651600753</v>
      </c>
      <c r="AO1362" s="112"/>
      <c r="AP1362" s="105" t="n">
        <v>0</v>
      </c>
      <c r="AQ1362" s="105" t="n">
        <v>0</v>
      </c>
      <c r="AR1362" s="105" t="n">
        <v>0</v>
      </c>
      <c r="AS1362" s="105" t="n">
        <v>0</v>
      </c>
      <c r="AT1362" s="105" t="n">
        <v>0</v>
      </c>
      <c r="AU1362" s="105" t="n">
        <v>0</v>
      </c>
      <c r="AV1362" s="105" t="n">
        <v>0</v>
      </c>
      <c r="AW1362" s="105" t="n">
        <v>0</v>
      </c>
      <c r="AX1362" s="105" t="n">
        <v>0</v>
      </c>
      <c r="AY1362" s="105" t="n">
        <v>0</v>
      </c>
      <c r="AZ1362" s="105" t="n">
        <v>0</v>
      </c>
      <c r="BA1362" s="105" t="n">
        <v>0</v>
      </c>
      <c r="BB1362" s="105" t="n">
        <v>0</v>
      </c>
      <c r="BC1362" s="105" t="n">
        <v>0</v>
      </c>
      <c r="BD1362" s="105" t="n">
        <v>0</v>
      </c>
      <c r="BE1362" s="105" t="n">
        <v>0</v>
      </c>
      <c r="BF1362" s="105" t="n">
        <v>0</v>
      </c>
      <c r="BG1362" s="105" t="n">
        <v>0</v>
      </c>
      <c r="BH1362" s="105" t="n">
        <v>0</v>
      </c>
      <c r="BI1362" s="105" t="n">
        <v>0</v>
      </c>
      <c r="BJ1362" s="105" t="n">
        <v>0</v>
      </c>
      <c r="BK1362" s="105" t="n">
        <v>0</v>
      </c>
      <c r="BL1362" s="105" t="n">
        <v>0</v>
      </c>
      <c r="BM1362" s="105" t="n">
        <v>0</v>
      </c>
      <c r="BN1362" s="105" t="n">
        <v>0</v>
      </c>
      <c r="BO1362" s="105" t="n">
        <v>0</v>
      </c>
      <c r="BP1362" s="105" t="n">
        <v>0</v>
      </c>
      <c r="BQ1362" s="105" t="n">
        <v>0</v>
      </c>
      <c r="BR1362" s="106" t="n">
        <v>0</v>
      </c>
      <c r="BS1362" s="106" t="n">
        <v>0</v>
      </c>
      <c r="BT1362" s="107"/>
      <c r="BU1362" s="107"/>
      <c r="BV1362" s="107"/>
      <c r="BW1362" s="107"/>
      <c r="BX1362" s="107"/>
      <c r="BY1362" s="107"/>
      <c r="BZ1362" s="107"/>
      <c r="CA1362" s="107"/>
      <c r="CB1362" s="107"/>
      <c r="CC1362" s="107"/>
      <c r="CD1362" s="107"/>
      <c r="CE1362" s="107"/>
      <c r="CF1362" s="107"/>
      <c r="CG1362" s="107"/>
      <c r="CH1362" s="107"/>
      <c r="CI1362" s="107"/>
      <c r="CJ1362" s="107"/>
      <c r="CK1362" s="107"/>
      <c r="CL1362" s="107"/>
      <c r="CM1362" s="107"/>
      <c r="CN1362" s="107"/>
      <c r="CO1362" s="107"/>
      <c r="CP1362" s="107"/>
      <c r="CQ1362" s="107"/>
      <c r="CR1362" s="107"/>
      <c r="CS1362" s="107"/>
      <c r="CT1362" s="107"/>
      <c r="CU1362" s="107"/>
      <c r="CV1362" s="107"/>
    </row>
    <row r="1363" customFormat="false" ht="14.9" hidden="false" customHeight="false" outlineLevel="0" collapsed="false">
      <c r="A1363" s="74" t="n">
        <f aca="false">MONTH(B1363)</f>
        <v>11</v>
      </c>
      <c r="B1363" s="135" t="n">
        <v>44523</v>
      </c>
      <c r="C1363" s="128" t="s">
        <v>70</v>
      </c>
      <c r="D1363" s="77" t="str">
        <f aca="false">IFERROR(VLOOKUP(E:E,'Item Data Support Sheet'!A:O,7,0),"")</f>
        <v>NIPPLE MOLDED</v>
      </c>
      <c r="E1363" s="80" t="s">
        <v>492</v>
      </c>
      <c r="F1363" s="122" t="s">
        <v>1286</v>
      </c>
      <c r="G1363" s="137" t="s">
        <v>848</v>
      </c>
      <c r="H1363" s="79" t="str">
        <f aca="false">IFERROR(VLOOKUP(E:E,'Item Data Support Sheet'!A:O,2,0),"")</f>
        <v>NIPPLE S TYPE LL SIZE INJECTION</v>
      </c>
      <c r="I1363" s="80" t="s">
        <v>2160</v>
      </c>
      <c r="J1363" s="80" t="s">
        <v>155</v>
      </c>
      <c r="K1363" s="124" t="n">
        <v>8</v>
      </c>
      <c r="L1363" s="124" t="n">
        <v>3611</v>
      </c>
      <c r="M1363" s="83" t="n">
        <v>451.375</v>
      </c>
      <c r="N1363" s="84" t="n">
        <f aca="false">+O1363+Q1363+T1363+U1363</f>
        <v>4254</v>
      </c>
      <c r="O1363" s="85" t="n">
        <v>4000</v>
      </c>
      <c r="P1363" s="86" t="n">
        <v>0</v>
      </c>
      <c r="Q1363" s="86" t="n">
        <v>150</v>
      </c>
      <c r="R1363" s="132" t="n">
        <v>0</v>
      </c>
      <c r="S1363" s="128" t="n">
        <v>0</v>
      </c>
      <c r="T1363" s="132" t="n">
        <v>104</v>
      </c>
      <c r="U1363" s="128" t="n">
        <v>0</v>
      </c>
      <c r="V1363" s="128" t="n">
        <v>1</v>
      </c>
      <c r="W1363" s="90" t="n">
        <f aca="false">IFERROR(O1363/V1363,0)</f>
        <v>4000</v>
      </c>
      <c r="X1363" s="91" t="n">
        <f aca="false">O1363/L1363</f>
        <v>1.10772639158128</v>
      </c>
      <c r="Y1363" s="92" t="str">
        <f aca="false">IFERROR(VLOOKUP(E:E,'Item Data Support Sheet'!A:J,6,0),0)</f>
        <v>FO148</v>
      </c>
      <c r="Z1363" s="93" t="n">
        <f aca="false">IFERROR(VLOOKUP(E:E,'Item Data Support Sheet'!A:O,4,0),0)</f>
        <v>6.8</v>
      </c>
      <c r="AA1363" s="93" t="n">
        <f aca="false">IFERROR(((N1363)*(Z1363/1000))+P1363,0)</f>
        <v>28.9272</v>
      </c>
      <c r="AB1363" s="94" t="n">
        <f aca="false">IFERROR((O1363*(Z1363/1000)/(AA1363))," ")</f>
        <v>0.940291490362012</v>
      </c>
      <c r="AC1363" s="95" t="n">
        <f aca="false">IFERROR((T1363)/((T1363)+O1363),0)</f>
        <v>0.0253411306042885</v>
      </c>
      <c r="AD1363" s="96" t="n">
        <f aca="false">IFERROR(Q1363/(Q1363+N1363),0)</f>
        <v>0.0340599455040872</v>
      </c>
      <c r="AE1363" s="91" t="n">
        <f aca="false">(N1363-T1363)/N1363</f>
        <v>0.975552421250588</v>
      </c>
      <c r="AF1363" s="97" t="n">
        <f aca="false">BR1363</f>
        <v>0</v>
      </c>
      <c r="AG1363" s="98" t="n">
        <f aca="false">K1363-AF1363</f>
        <v>8</v>
      </c>
      <c r="AH1363" s="99" t="n">
        <f aca="false">IFERROR(AG1363/K1363," ")</f>
        <v>1</v>
      </c>
      <c r="AI1363" s="100" t="n">
        <f aca="false">IFERROR(O1363/K1363,0)</f>
        <v>500</v>
      </c>
      <c r="AJ1363" s="101" t="n">
        <f aca="false">VLOOKUP(D1363,'Standard Cycle time'!C:D,2,0)</f>
        <v>5.25</v>
      </c>
      <c r="AK1363" s="101" t="n">
        <f aca="false">AG1363*V1363*3600/O1363</f>
        <v>7.2</v>
      </c>
      <c r="AL1363" s="102" t="n">
        <f aca="false">AJ1363/AK1363</f>
        <v>0.729166666666667</v>
      </c>
      <c r="AM1363" s="99" t="n">
        <f aca="false">AE1363*AL1363*AH1363</f>
        <v>0.711340307161887</v>
      </c>
      <c r="AN1363" s="103" t="n">
        <v>0.711340307161887</v>
      </c>
      <c r="AO1363" s="112"/>
      <c r="AP1363" s="105" t="n">
        <v>0</v>
      </c>
      <c r="AQ1363" s="105" t="n">
        <v>0</v>
      </c>
      <c r="AR1363" s="105" t="n">
        <v>0</v>
      </c>
      <c r="AS1363" s="105" t="n">
        <v>0</v>
      </c>
      <c r="AT1363" s="105" t="n">
        <v>0</v>
      </c>
      <c r="AU1363" s="105" t="n">
        <v>0</v>
      </c>
      <c r="AV1363" s="105" t="n">
        <v>0</v>
      </c>
      <c r="AW1363" s="105" t="n">
        <v>0</v>
      </c>
      <c r="AX1363" s="105" t="n">
        <v>0</v>
      </c>
      <c r="AY1363" s="105" t="n">
        <v>0</v>
      </c>
      <c r="AZ1363" s="105" t="n">
        <v>0</v>
      </c>
      <c r="BA1363" s="105" t="n">
        <v>0</v>
      </c>
      <c r="BB1363" s="105" t="n">
        <v>0</v>
      </c>
      <c r="BC1363" s="105" t="n">
        <v>0</v>
      </c>
      <c r="BD1363" s="105" t="n">
        <v>0</v>
      </c>
      <c r="BE1363" s="105" t="n">
        <v>0</v>
      </c>
      <c r="BF1363" s="105" t="n">
        <v>0</v>
      </c>
      <c r="BG1363" s="105" t="n">
        <v>0</v>
      </c>
      <c r="BH1363" s="105" t="n">
        <v>0</v>
      </c>
      <c r="BI1363" s="105" t="n">
        <v>0</v>
      </c>
      <c r="BJ1363" s="105" t="n">
        <v>0</v>
      </c>
      <c r="BK1363" s="105" t="n">
        <v>0</v>
      </c>
      <c r="BL1363" s="105" t="n">
        <v>0</v>
      </c>
      <c r="BM1363" s="105" t="n">
        <v>0</v>
      </c>
      <c r="BN1363" s="105" t="n">
        <v>0</v>
      </c>
      <c r="BO1363" s="105" t="n">
        <v>0</v>
      </c>
      <c r="BP1363" s="105" t="n">
        <v>0</v>
      </c>
      <c r="BQ1363" s="105" t="n">
        <v>0</v>
      </c>
      <c r="BR1363" s="106" t="n">
        <v>0</v>
      </c>
      <c r="BS1363" s="106" t="n">
        <v>0</v>
      </c>
      <c r="BT1363" s="107"/>
      <c r="BU1363" s="107"/>
      <c r="BV1363" s="107"/>
      <c r="BW1363" s="107"/>
      <c r="BX1363" s="107"/>
      <c r="BY1363" s="107"/>
      <c r="BZ1363" s="107"/>
      <c r="CA1363" s="107"/>
      <c r="CB1363" s="107"/>
      <c r="CC1363" s="107"/>
      <c r="CD1363" s="107"/>
      <c r="CE1363" s="107"/>
      <c r="CF1363" s="107"/>
      <c r="CG1363" s="107"/>
      <c r="CH1363" s="107"/>
      <c r="CI1363" s="107"/>
      <c r="CJ1363" s="107"/>
      <c r="CK1363" s="107"/>
      <c r="CL1363" s="107"/>
      <c r="CM1363" s="107"/>
      <c r="CN1363" s="107"/>
      <c r="CO1363" s="107"/>
      <c r="CP1363" s="107"/>
      <c r="CQ1363" s="107"/>
      <c r="CR1363" s="107"/>
      <c r="CS1363" s="107"/>
      <c r="CT1363" s="107"/>
      <c r="CU1363" s="107"/>
      <c r="CV1363" s="107"/>
    </row>
    <row r="1364" customFormat="false" ht="14.9" hidden="false" customHeight="false" outlineLevel="0" collapsed="false">
      <c r="A1364" s="74" t="n">
        <f aca="false">MONTH(B1364)</f>
        <v>11</v>
      </c>
      <c r="B1364" s="135" t="n">
        <v>44523</v>
      </c>
      <c r="C1364" s="128" t="s">
        <v>70</v>
      </c>
      <c r="D1364" s="77" t="str">
        <f aca="false">IFERROR(VLOOKUP(E:E,'Item Data Support Sheet'!A:O,7,0),"")</f>
        <v>CAP MOLDED</v>
      </c>
      <c r="E1364" s="80" t="s">
        <v>199</v>
      </c>
      <c r="F1364" s="122" t="s">
        <v>2161</v>
      </c>
      <c r="G1364" s="137" t="s">
        <v>740</v>
      </c>
      <c r="H1364" s="79" t="str">
        <f aca="false">IFERROR(VLOOKUP(E:E,'Item Data Support Sheet'!A:O,2,0),"")</f>
        <v>CAP S TYPE MOLDED RED</v>
      </c>
      <c r="I1364" s="80" t="s">
        <v>2162</v>
      </c>
      <c r="J1364" s="80" t="s">
        <v>155</v>
      </c>
      <c r="K1364" s="124" t="n">
        <v>8</v>
      </c>
      <c r="L1364" s="124" t="n">
        <v>4137</v>
      </c>
      <c r="M1364" s="83" t="n">
        <v>517.125</v>
      </c>
      <c r="N1364" s="84" t="n">
        <f aca="false">+O1364+Q1364+T1364+U1364</f>
        <v>4504</v>
      </c>
      <c r="O1364" s="85" t="n">
        <v>4500</v>
      </c>
      <c r="P1364" s="86" t="n">
        <v>0</v>
      </c>
      <c r="Q1364" s="86" t="n">
        <v>2</v>
      </c>
      <c r="R1364" s="132" t="n">
        <v>0</v>
      </c>
      <c r="S1364" s="128" t="n">
        <v>0</v>
      </c>
      <c r="T1364" s="132" t="n">
        <v>2</v>
      </c>
      <c r="U1364" s="128" t="n">
        <v>0</v>
      </c>
      <c r="V1364" s="128" t="n">
        <v>1</v>
      </c>
      <c r="W1364" s="90" t="n">
        <f aca="false">IFERROR(O1364/V1364,0)</f>
        <v>4500</v>
      </c>
      <c r="X1364" s="91" t="n">
        <f aca="false">O1364/L1364</f>
        <v>1.08774474256708</v>
      </c>
      <c r="Y1364" s="92" t="str">
        <f aca="false">IFERROR(VLOOKUP(E:E,'Item Data Support Sheet'!A:J,6,0),0)</f>
        <v>FO153</v>
      </c>
      <c r="Z1364" s="93" t="n">
        <f aca="false">IFERROR(VLOOKUP(E:E,'Item Data Support Sheet'!A:O,4,0),0)</f>
        <v>7.3</v>
      </c>
      <c r="AA1364" s="93" t="n">
        <f aca="false">IFERROR(((N1364)*(Z1364/1000))+P1364,0)</f>
        <v>32.8792</v>
      </c>
      <c r="AB1364" s="94" t="n">
        <f aca="false">IFERROR((O1364*(Z1364/1000)/(AA1364))," ")</f>
        <v>0.99911190053286</v>
      </c>
      <c r="AC1364" s="95" t="n">
        <f aca="false">IFERROR((T1364)/((T1364)+O1364),0)</f>
        <v>0.000444247001332741</v>
      </c>
      <c r="AD1364" s="96" t="n">
        <f aca="false">IFERROR(Q1364/(Q1364+N1364),0)</f>
        <v>0.000443852640923214</v>
      </c>
      <c r="AE1364" s="91" t="n">
        <f aca="false">(N1364-T1364)/N1364</f>
        <v>0.99955595026643</v>
      </c>
      <c r="AF1364" s="97" t="n">
        <f aca="false">BR1364</f>
        <v>0</v>
      </c>
      <c r="AG1364" s="98" t="n">
        <f aca="false">K1364-AF1364</f>
        <v>8</v>
      </c>
      <c r="AH1364" s="99" t="n">
        <f aca="false">IFERROR(AG1364/K1364," ")</f>
        <v>1</v>
      </c>
      <c r="AI1364" s="100" t="n">
        <f aca="false">IFERROR(O1364/K1364,0)</f>
        <v>562.5</v>
      </c>
      <c r="AJ1364" s="101" t="n">
        <f aca="false">VLOOKUP(D1364,'Standard Cycle time'!C:D,2,0)</f>
        <v>6</v>
      </c>
      <c r="AK1364" s="101" t="n">
        <f aca="false">AG1364*V1364*3600/O1364</f>
        <v>6.4</v>
      </c>
      <c r="AL1364" s="102" t="n">
        <f aca="false">AJ1364/AK1364</f>
        <v>0.9375</v>
      </c>
      <c r="AM1364" s="99" t="n">
        <f aca="false">AE1364*AL1364*AH1364</f>
        <v>0.937083703374778</v>
      </c>
      <c r="AN1364" s="103" t="n">
        <v>0.937083703374778</v>
      </c>
      <c r="AO1364" s="112"/>
      <c r="AP1364" s="105" t="n">
        <v>0</v>
      </c>
      <c r="AQ1364" s="105" t="n">
        <v>0</v>
      </c>
      <c r="AR1364" s="105" t="n">
        <v>0</v>
      </c>
      <c r="AS1364" s="105" t="n">
        <v>0</v>
      </c>
      <c r="AT1364" s="105" t="n">
        <v>0</v>
      </c>
      <c r="AU1364" s="105" t="n">
        <v>0</v>
      </c>
      <c r="AV1364" s="105" t="n">
        <v>0</v>
      </c>
      <c r="AW1364" s="105" t="n">
        <v>0</v>
      </c>
      <c r="AX1364" s="105" t="n">
        <v>0</v>
      </c>
      <c r="AY1364" s="105" t="n">
        <v>0</v>
      </c>
      <c r="AZ1364" s="105" t="n">
        <v>0</v>
      </c>
      <c r="BA1364" s="105" t="n">
        <v>0</v>
      </c>
      <c r="BB1364" s="105" t="n">
        <v>0</v>
      </c>
      <c r="BC1364" s="105" t="n">
        <v>0</v>
      </c>
      <c r="BD1364" s="105" t="n">
        <v>0</v>
      </c>
      <c r="BE1364" s="105" t="n">
        <v>0</v>
      </c>
      <c r="BF1364" s="105" t="n">
        <v>0</v>
      </c>
      <c r="BG1364" s="105" t="n">
        <v>0</v>
      </c>
      <c r="BH1364" s="105" t="n">
        <v>0</v>
      </c>
      <c r="BI1364" s="105" t="n">
        <v>0</v>
      </c>
      <c r="BJ1364" s="105" t="n">
        <v>0</v>
      </c>
      <c r="BK1364" s="105" t="n">
        <v>0</v>
      </c>
      <c r="BL1364" s="105" t="n">
        <v>0</v>
      </c>
      <c r="BM1364" s="105" t="n">
        <v>0</v>
      </c>
      <c r="BN1364" s="105" t="n">
        <v>0</v>
      </c>
      <c r="BO1364" s="105" t="n">
        <v>0</v>
      </c>
      <c r="BP1364" s="105" t="n">
        <v>0</v>
      </c>
      <c r="BQ1364" s="105" t="n">
        <v>0</v>
      </c>
      <c r="BR1364" s="106" t="n">
        <v>0</v>
      </c>
      <c r="BS1364" s="106" t="n">
        <v>0</v>
      </c>
      <c r="BT1364" s="107"/>
      <c r="BU1364" s="107"/>
      <c r="BV1364" s="107"/>
      <c r="BW1364" s="107"/>
      <c r="BX1364" s="107"/>
      <c r="BY1364" s="107"/>
      <c r="BZ1364" s="107"/>
      <c r="CA1364" s="107"/>
      <c r="CB1364" s="107"/>
      <c r="CC1364" s="107"/>
      <c r="CD1364" s="107"/>
      <c r="CE1364" s="107"/>
      <c r="CF1364" s="107"/>
      <c r="CG1364" s="107"/>
      <c r="CH1364" s="107"/>
      <c r="CI1364" s="107"/>
      <c r="CJ1364" s="107"/>
      <c r="CK1364" s="107"/>
      <c r="CL1364" s="107"/>
      <c r="CM1364" s="107"/>
      <c r="CN1364" s="107"/>
      <c r="CO1364" s="107"/>
      <c r="CP1364" s="107"/>
      <c r="CQ1364" s="107"/>
      <c r="CR1364" s="107"/>
      <c r="CS1364" s="107"/>
      <c r="CT1364" s="107"/>
      <c r="CU1364" s="107"/>
      <c r="CV1364" s="107"/>
    </row>
    <row r="1365" customFormat="false" ht="14.9" hidden="false" customHeight="false" outlineLevel="0" collapsed="false">
      <c r="A1365" s="74" t="n">
        <f aca="false">MONTH(B1365)</f>
        <v>11</v>
      </c>
      <c r="B1365" s="135" t="n">
        <v>44523</v>
      </c>
      <c r="C1365" s="128" t="s">
        <v>152</v>
      </c>
      <c r="D1365" s="77" t="str">
        <f aca="false">IFERROR(VLOOKUP(E:E,'Item Data Support Sheet'!A:O,7,0),"")</f>
        <v>NIPPLE MOLDED</v>
      </c>
      <c r="E1365" s="80" t="s">
        <v>492</v>
      </c>
      <c r="F1365" s="122" t="s">
        <v>1286</v>
      </c>
      <c r="G1365" s="137" t="s">
        <v>848</v>
      </c>
      <c r="H1365" s="79" t="str">
        <f aca="false">IFERROR(VLOOKUP(E:E,'Item Data Support Sheet'!A:O,2,0),"")</f>
        <v>NIPPLE S TYPE LL SIZE INJECTION</v>
      </c>
      <c r="I1365" s="80" t="s">
        <v>2163</v>
      </c>
      <c r="J1365" s="80" t="s">
        <v>143</v>
      </c>
      <c r="K1365" s="124" t="n">
        <v>8</v>
      </c>
      <c r="L1365" s="124" t="n">
        <v>3611</v>
      </c>
      <c r="M1365" s="83" t="n">
        <v>451.375</v>
      </c>
      <c r="N1365" s="84" t="n">
        <f aca="false">+O1365+Q1365+T1365+U1365</f>
        <v>4051</v>
      </c>
      <c r="O1365" s="85" t="n">
        <v>4000</v>
      </c>
      <c r="P1365" s="86" t="n">
        <v>0</v>
      </c>
      <c r="Q1365" s="86" t="n">
        <v>0</v>
      </c>
      <c r="R1365" s="132" t="n">
        <v>0</v>
      </c>
      <c r="S1365" s="128" t="n">
        <v>0</v>
      </c>
      <c r="T1365" s="132" t="n">
        <v>45</v>
      </c>
      <c r="U1365" s="128" t="n">
        <v>6</v>
      </c>
      <c r="V1365" s="128" t="n">
        <v>1</v>
      </c>
      <c r="W1365" s="90" t="n">
        <f aca="false">IFERROR(O1365/V1365,0)</f>
        <v>4000</v>
      </c>
      <c r="X1365" s="91" t="n">
        <f aca="false">O1365/L1365</f>
        <v>1.10772639158128</v>
      </c>
      <c r="Y1365" s="92" t="str">
        <f aca="false">IFERROR(VLOOKUP(E:E,'Item Data Support Sheet'!A:J,6,0),0)</f>
        <v>FO148</v>
      </c>
      <c r="Z1365" s="93" t="n">
        <f aca="false">IFERROR(VLOOKUP(E:E,'Item Data Support Sheet'!A:O,4,0),0)</f>
        <v>6.8</v>
      </c>
      <c r="AA1365" s="93" t="n">
        <f aca="false">IFERROR(((N1365)*(Z1365/1000))+P1365,0)</f>
        <v>27.5468</v>
      </c>
      <c r="AB1365" s="94" t="n">
        <f aca="false">IFERROR((O1365*(Z1365/1000)/(AA1365))," ")</f>
        <v>0.987410515921995</v>
      </c>
      <c r="AC1365" s="95" t="n">
        <f aca="false">IFERROR((T1365)/((T1365)+O1365),0)</f>
        <v>0.0111248454882571</v>
      </c>
      <c r="AD1365" s="96" t="n">
        <f aca="false">IFERROR(Q1365/(Q1365+N1365),0)</f>
        <v>0</v>
      </c>
      <c r="AE1365" s="91" t="n">
        <f aca="false">(N1365-T1365)/N1365</f>
        <v>0.988891631695878</v>
      </c>
      <c r="AF1365" s="97" t="n">
        <f aca="false">BR1365</f>
        <v>0</v>
      </c>
      <c r="AG1365" s="98" t="n">
        <f aca="false">K1365-AF1365</f>
        <v>8</v>
      </c>
      <c r="AH1365" s="99" t="n">
        <f aca="false">IFERROR(AG1365/K1365," ")</f>
        <v>1</v>
      </c>
      <c r="AI1365" s="100" t="n">
        <f aca="false">IFERROR(O1365/K1365,0)</f>
        <v>500</v>
      </c>
      <c r="AJ1365" s="101" t="n">
        <f aca="false">VLOOKUP(D1365,'Standard Cycle time'!C:D,2,0)</f>
        <v>5.25</v>
      </c>
      <c r="AK1365" s="101" t="n">
        <f aca="false">AG1365*V1365*3600/O1365</f>
        <v>7.2</v>
      </c>
      <c r="AL1365" s="102" t="n">
        <f aca="false">AJ1365/AK1365</f>
        <v>0.729166666666667</v>
      </c>
      <c r="AM1365" s="99" t="n">
        <f aca="false">AE1365*AL1365*AH1365</f>
        <v>0.721066814778244</v>
      </c>
      <c r="AN1365" s="103" t="n">
        <v>0.721066814778244</v>
      </c>
      <c r="AO1365" s="112"/>
      <c r="AP1365" s="105" t="n">
        <v>0</v>
      </c>
      <c r="AQ1365" s="105" t="n">
        <v>0</v>
      </c>
      <c r="AR1365" s="105" t="n">
        <v>0</v>
      </c>
      <c r="AS1365" s="105" t="n">
        <v>0</v>
      </c>
      <c r="AT1365" s="105" t="n">
        <v>0</v>
      </c>
      <c r="AU1365" s="105" t="n">
        <v>0</v>
      </c>
      <c r="AV1365" s="105" t="n">
        <v>0</v>
      </c>
      <c r="AW1365" s="105" t="n">
        <v>0</v>
      </c>
      <c r="AX1365" s="105" t="n">
        <v>0</v>
      </c>
      <c r="AY1365" s="105" t="n">
        <v>0</v>
      </c>
      <c r="AZ1365" s="105" t="n">
        <v>0</v>
      </c>
      <c r="BA1365" s="105" t="n">
        <v>0</v>
      </c>
      <c r="BB1365" s="105" t="n">
        <v>0</v>
      </c>
      <c r="BC1365" s="105" t="n">
        <v>0</v>
      </c>
      <c r="BD1365" s="105" t="n">
        <v>0</v>
      </c>
      <c r="BE1365" s="105" t="n">
        <v>0</v>
      </c>
      <c r="BF1365" s="105" t="n">
        <v>0</v>
      </c>
      <c r="BG1365" s="105" t="n">
        <v>0</v>
      </c>
      <c r="BH1365" s="105" t="n">
        <v>0</v>
      </c>
      <c r="BI1365" s="105" t="n">
        <v>0</v>
      </c>
      <c r="BJ1365" s="105" t="n">
        <v>0</v>
      </c>
      <c r="BK1365" s="105" t="n">
        <v>0</v>
      </c>
      <c r="BL1365" s="105" t="n">
        <v>0</v>
      </c>
      <c r="BM1365" s="105" t="n">
        <v>0</v>
      </c>
      <c r="BN1365" s="105" t="n">
        <v>0</v>
      </c>
      <c r="BO1365" s="105" t="n">
        <v>0</v>
      </c>
      <c r="BP1365" s="105" t="n">
        <v>0</v>
      </c>
      <c r="BQ1365" s="105" t="n">
        <v>0</v>
      </c>
      <c r="BR1365" s="106" t="n">
        <v>0</v>
      </c>
      <c r="BS1365" s="106" t="n">
        <v>0</v>
      </c>
      <c r="BT1365" s="107"/>
      <c r="BU1365" s="107"/>
      <c r="BV1365" s="107"/>
      <c r="BW1365" s="107"/>
      <c r="BX1365" s="107"/>
      <c r="BY1365" s="107"/>
      <c r="BZ1365" s="107"/>
      <c r="CA1365" s="107"/>
      <c r="CB1365" s="107"/>
      <c r="CC1365" s="107"/>
      <c r="CD1365" s="107"/>
      <c r="CE1365" s="107"/>
      <c r="CF1365" s="107"/>
      <c r="CG1365" s="107"/>
      <c r="CH1365" s="107"/>
      <c r="CI1365" s="107"/>
      <c r="CJ1365" s="107"/>
      <c r="CK1365" s="107"/>
      <c r="CL1365" s="107"/>
      <c r="CM1365" s="107"/>
      <c r="CN1365" s="107"/>
      <c r="CO1365" s="107"/>
      <c r="CP1365" s="107"/>
      <c r="CQ1365" s="107"/>
      <c r="CR1365" s="107"/>
      <c r="CS1365" s="107"/>
      <c r="CT1365" s="107"/>
      <c r="CU1365" s="107"/>
      <c r="CV1365" s="107"/>
    </row>
    <row r="1366" customFormat="false" ht="14.9" hidden="false" customHeight="false" outlineLevel="0" collapsed="false">
      <c r="A1366" s="74" t="n">
        <f aca="false">MONTH(B1366)</f>
        <v>11</v>
      </c>
      <c r="B1366" s="135" t="n">
        <v>44523</v>
      </c>
      <c r="C1366" s="128" t="s">
        <v>152</v>
      </c>
      <c r="D1366" s="77" t="str">
        <f aca="false">IFERROR(VLOOKUP(E:E,'Item Data Support Sheet'!A:O,7,0),"")</f>
        <v>NIPPLE MOLDED</v>
      </c>
      <c r="E1366" s="80" t="s">
        <v>661</v>
      </c>
      <c r="F1366" s="122" t="s">
        <v>137</v>
      </c>
      <c r="G1366" s="137" t="s">
        <v>138</v>
      </c>
      <c r="H1366" s="79" t="str">
        <f aca="false">IFERROR(VLOOKUP(E:E,'Item Data Support Sheet'!A:O,2,0),"")</f>
        <v>NIPPLE S TYPE L SIZE INJECTION</v>
      </c>
      <c r="I1366" s="80" t="s">
        <v>2163</v>
      </c>
      <c r="J1366" s="80" t="s">
        <v>143</v>
      </c>
      <c r="K1366" s="124" t="n">
        <v>8</v>
      </c>
      <c r="L1366" s="124" t="n">
        <v>4815</v>
      </c>
      <c r="M1366" s="83" t="n">
        <v>601.875</v>
      </c>
      <c r="N1366" s="84" t="n">
        <f aca="false">+O1366+Q1366+T1366+U1366</f>
        <v>4418</v>
      </c>
      <c r="O1366" s="85" t="n">
        <v>4300</v>
      </c>
      <c r="P1366" s="86" t="n">
        <v>5.91</v>
      </c>
      <c r="Q1366" s="86" t="n">
        <v>70</v>
      </c>
      <c r="R1366" s="132" t="n">
        <v>0</v>
      </c>
      <c r="S1366" s="128" t="n">
        <v>0</v>
      </c>
      <c r="T1366" s="132" t="n">
        <v>40</v>
      </c>
      <c r="U1366" s="128" t="n">
        <v>8</v>
      </c>
      <c r="V1366" s="128" t="n">
        <v>1</v>
      </c>
      <c r="W1366" s="90" t="n">
        <f aca="false">IFERROR(O1366/V1366,0)</f>
        <v>4300</v>
      </c>
      <c r="X1366" s="91" t="n">
        <f aca="false">O1366/L1366</f>
        <v>0.893042575285566</v>
      </c>
      <c r="Y1366" s="92" t="str">
        <f aca="false">IFERROR(VLOOKUP(E:E,'Item Data Support Sheet'!A:J,6,0),0)</f>
        <v>Silicon</v>
      </c>
      <c r="Z1366" s="93" t="n">
        <f aca="false">IFERROR(VLOOKUP(E:E,'Item Data Support Sheet'!A:O,4,0),0)</f>
        <v>6.8</v>
      </c>
      <c r="AA1366" s="93" t="n">
        <f aca="false">IFERROR(((N1366)*(Z1366/1000))+P1366,0)</f>
        <v>35.9524</v>
      </c>
      <c r="AB1366" s="94" t="n">
        <f aca="false">IFERROR((O1366*(Z1366/1000)/(AA1366))," ")</f>
        <v>0.813297582358897</v>
      </c>
      <c r="AC1366" s="95" t="n">
        <f aca="false">IFERROR((T1366)/((T1366)+O1366),0)</f>
        <v>0.00921658986175115</v>
      </c>
      <c r="AD1366" s="96" t="n">
        <f aca="false">IFERROR(Q1366/(Q1366+N1366),0)</f>
        <v>0.0155971479500891</v>
      </c>
      <c r="AE1366" s="91" t="n">
        <f aca="false">(N1366-T1366)/N1366</f>
        <v>0.990946129470349</v>
      </c>
      <c r="AF1366" s="97" t="n">
        <f aca="false">BR1366</f>
        <v>0</v>
      </c>
      <c r="AG1366" s="98" t="n">
        <f aca="false">K1366-AF1366</f>
        <v>8</v>
      </c>
      <c r="AH1366" s="99" t="n">
        <f aca="false">IFERROR(AG1366/K1366," ")</f>
        <v>1</v>
      </c>
      <c r="AI1366" s="100" t="n">
        <f aca="false">IFERROR(O1366/K1366,0)</f>
        <v>537.5</v>
      </c>
      <c r="AJ1366" s="101" t="n">
        <f aca="false">VLOOKUP(D1366,'Standard Cycle time'!C:D,2,0)</f>
        <v>5.25</v>
      </c>
      <c r="AK1366" s="101" t="n">
        <f aca="false">AG1366*V1366*3600/O1366</f>
        <v>6.69767441860465</v>
      </c>
      <c r="AL1366" s="102" t="n">
        <f aca="false">AJ1366/AK1366</f>
        <v>0.783854166666667</v>
      </c>
      <c r="AM1366" s="99" t="n">
        <f aca="false">AE1366*AL1366*AH1366</f>
        <v>0.776757252527539</v>
      </c>
      <c r="AN1366" s="103" t="n">
        <v>0.776757252527539</v>
      </c>
      <c r="AO1366" s="112" t="s">
        <v>1164</v>
      </c>
      <c r="AP1366" s="105" t="n">
        <v>0</v>
      </c>
      <c r="AQ1366" s="105" t="n">
        <v>0</v>
      </c>
      <c r="AR1366" s="105" t="n">
        <v>0</v>
      </c>
      <c r="AS1366" s="105" t="n">
        <v>0</v>
      </c>
      <c r="AT1366" s="105" t="n">
        <v>0</v>
      </c>
      <c r="AU1366" s="105" t="n">
        <v>0</v>
      </c>
      <c r="AV1366" s="105" t="n">
        <v>0</v>
      </c>
      <c r="AW1366" s="105" t="n">
        <v>0</v>
      </c>
      <c r="AX1366" s="105" t="n">
        <v>0</v>
      </c>
      <c r="AY1366" s="105" t="n">
        <v>0</v>
      </c>
      <c r="AZ1366" s="105" t="n">
        <v>0</v>
      </c>
      <c r="BA1366" s="105" t="n">
        <v>0</v>
      </c>
      <c r="BB1366" s="105" t="n">
        <v>0</v>
      </c>
      <c r="BC1366" s="105" t="n">
        <v>0</v>
      </c>
      <c r="BD1366" s="105" t="n">
        <v>0</v>
      </c>
      <c r="BE1366" s="105" t="n">
        <v>0</v>
      </c>
      <c r="BF1366" s="105" t="n">
        <v>0</v>
      </c>
      <c r="BG1366" s="105" t="n">
        <v>0</v>
      </c>
      <c r="BH1366" s="105" t="n">
        <v>0</v>
      </c>
      <c r="BI1366" s="105" t="n">
        <v>0</v>
      </c>
      <c r="BJ1366" s="105" t="n">
        <v>0</v>
      </c>
      <c r="BK1366" s="105" t="n">
        <v>0</v>
      </c>
      <c r="BL1366" s="105" t="n">
        <v>0</v>
      </c>
      <c r="BM1366" s="105" t="n">
        <v>0</v>
      </c>
      <c r="BN1366" s="105" t="n">
        <v>0</v>
      </c>
      <c r="BO1366" s="105" t="n">
        <v>0</v>
      </c>
      <c r="BP1366" s="105" t="n">
        <v>0</v>
      </c>
      <c r="BQ1366" s="105" t="n">
        <v>0</v>
      </c>
      <c r="BR1366" s="106" t="n">
        <v>0</v>
      </c>
      <c r="BS1366" s="106" t="n">
        <v>0</v>
      </c>
      <c r="BT1366" s="107"/>
      <c r="BU1366" s="107"/>
      <c r="BV1366" s="107"/>
      <c r="BW1366" s="107"/>
      <c r="BX1366" s="107"/>
      <c r="BY1366" s="107"/>
      <c r="BZ1366" s="107"/>
      <c r="CA1366" s="107"/>
      <c r="CB1366" s="107"/>
      <c r="CC1366" s="107"/>
      <c r="CD1366" s="107"/>
      <c r="CE1366" s="107"/>
      <c r="CF1366" s="107"/>
      <c r="CG1366" s="107"/>
      <c r="CH1366" s="107"/>
      <c r="CI1366" s="107"/>
      <c r="CJ1366" s="107"/>
      <c r="CK1366" s="107"/>
      <c r="CL1366" s="107"/>
      <c r="CM1366" s="107"/>
      <c r="CN1366" s="107"/>
      <c r="CO1366" s="107"/>
      <c r="CP1366" s="107"/>
      <c r="CQ1366" s="107"/>
      <c r="CR1366" s="107"/>
      <c r="CS1366" s="107"/>
      <c r="CT1366" s="107"/>
      <c r="CU1366" s="107"/>
      <c r="CV1366" s="107"/>
    </row>
    <row r="1367" customFormat="false" ht="14.9" hidden="false" customHeight="false" outlineLevel="0" collapsed="false">
      <c r="A1367" s="74" t="n">
        <f aca="false">MONTH(B1367)</f>
        <v>11</v>
      </c>
      <c r="B1367" s="135" t="n">
        <v>44523</v>
      </c>
      <c r="C1367" s="128" t="s">
        <v>152</v>
      </c>
      <c r="D1367" s="77" t="str">
        <f aca="false">IFERROR(VLOOKUP(E:E,'Item Data Support Sheet'!A:O,7,0),"")</f>
        <v>NIPPLE PUNCH</v>
      </c>
      <c r="E1367" s="80" t="s">
        <v>60</v>
      </c>
      <c r="F1367" s="122"/>
      <c r="G1367" s="137" t="s">
        <v>54</v>
      </c>
      <c r="H1367" s="79" t="str">
        <f aca="false">IFERROR(VLOOKUP(E:E,'Item Data Support Sheet'!A:O,2,0),"")</f>
        <v>NIPPLE S TYPE M SIZE PUNCHED</v>
      </c>
      <c r="I1367" s="80" t="s">
        <v>2164</v>
      </c>
      <c r="J1367" s="80" t="s">
        <v>143</v>
      </c>
      <c r="K1367" s="124" t="n">
        <v>8</v>
      </c>
      <c r="L1367" s="124" t="n">
        <v>7000</v>
      </c>
      <c r="M1367" s="83" t="n">
        <v>875</v>
      </c>
      <c r="N1367" s="84" t="n">
        <f aca="false">+O1367+Q1367+T1367+U1367</f>
        <v>5924</v>
      </c>
      <c r="O1367" s="85" t="n">
        <v>5924</v>
      </c>
      <c r="P1367" s="86" t="n">
        <v>0</v>
      </c>
      <c r="Q1367" s="86" t="n">
        <v>0</v>
      </c>
      <c r="R1367" s="132" t="n">
        <v>0</v>
      </c>
      <c r="S1367" s="128" t="n">
        <v>0</v>
      </c>
      <c r="T1367" s="132" t="n">
        <v>0</v>
      </c>
      <c r="U1367" s="128" t="n">
        <v>0</v>
      </c>
      <c r="V1367" s="128" t="n">
        <v>1</v>
      </c>
      <c r="W1367" s="90" t="n">
        <f aca="false">IFERROR(O1367/V1367,0)</f>
        <v>5924</v>
      </c>
      <c r="X1367" s="91" t="n">
        <f aca="false">O1367/L1367</f>
        <v>0.846285714285714</v>
      </c>
      <c r="Y1367" s="92" t="str">
        <f aca="false">IFERROR(VLOOKUP(E:E,'Item Data Support Sheet'!A:J,6,0),0)</f>
        <v>FO016</v>
      </c>
      <c r="Z1367" s="93" t="n">
        <f aca="false">IFERROR(VLOOKUP(E:E,'Item Data Support Sheet'!A:O,4,0),0)</f>
        <v>0</v>
      </c>
      <c r="AA1367" s="93" t="n">
        <f aca="false">IFERROR(((N1367)*(Z1367/1000))+P1367,0)</f>
        <v>0</v>
      </c>
      <c r="AB1367" s="94" t="str">
        <f aca="false">IFERROR((O1367*(Z1367/1000)/(AA1367))," ")</f>
        <v> </v>
      </c>
      <c r="AC1367" s="95" t="n">
        <f aca="false">IFERROR((T1367)/((T1367)+O1367),0)</f>
        <v>0</v>
      </c>
      <c r="AD1367" s="96" t="n">
        <f aca="false">IFERROR(Q1367/(Q1367+N1367),0)</f>
        <v>0</v>
      </c>
      <c r="AE1367" s="91" t="n">
        <f aca="false">(N1367-T1367)/N1367</f>
        <v>1</v>
      </c>
      <c r="AF1367" s="97" t="n">
        <f aca="false">BR1367</f>
        <v>0</v>
      </c>
      <c r="AG1367" s="98" t="n">
        <f aca="false">K1367-AF1367</f>
        <v>8</v>
      </c>
      <c r="AH1367" s="99" t="n">
        <f aca="false">IFERROR(AG1367/K1367," ")</f>
        <v>1</v>
      </c>
      <c r="AI1367" s="100" t="n">
        <f aca="false">IFERROR(O1367/K1367,0)</f>
        <v>740.5</v>
      </c>
      <c r="AJ1367" s="101" t="n">
        <f aca="false">VLOOKUP(D1367,'Standard Cycle time'!C:D,2,0)</f>
        <v>3.5</v>
      </c>
      <c r="AK1367" s="101" t="n">
        <f aca="false">AG1367*V1367*3600/O1367</f>
        <v>4.86158001350439</v>
      </c>
      <c r="AL1367" s="102" t="n">
        <f aca="false">AJ1367/AK1367</f>
        <v>0.719930555555556</v>
      </c>
      <c r="AM1367" s="99" t="n">
        <f aca="false">AE1367*AL1367*AH1367</f>
        <v>0.719930555555556</v>
      </c>
      <c r="AN1367" s="103" t="n">
        <v>0.719930555555556</v>
      </c>
      <c r="AO1367" s="112" t="s">
        <v>2165</v>
      </c>
      <c r="AP1367" s="105" t="n">
        <v>0</v>
      </c>
      <c r="AQ1367" s="105" t="n">
        <v>0</v>
      </c>
      <c r="AR1367" s="105" t="n">
        <v>0</v>
      </c>
      <c r="AS1367" s="105" t="n">
        <v>0</v>
      </c>
      <c r="AT1367" s="105" t="n">
        <v>0</v>
      </c>
      <c r="AU1367" s="105" t="n">
        <v>0</v>
      </c>
      <c r="AV1367" s="105" t="n">
        <v>0</v>
      </c>
      <c r="AW1367" s="105" t="n">
        <v>0</v>
      </c>
      <c r="AX1367" s="105" t="n">
        <v>0</v>
      </c>
      <c r="AY1367" s="105" t="n">
        <v>0</v>
      </c>
      <c r="AZ1367" s="105" t="n">
        <v>0</v>
      </c>
      <c r="BA1367" s="105" t="n">
        <v>0</v>
      </c>
      <c r="BB1367" s="105" t="n">
        <v>0</v>
      </c>
      <c r="BC1367" s="105" t="n">
        <v>0</v>
      </c>
      <c r="BD1367" s="105" t="n">
        <v>0</v>
      </c>
      <c r="BE1367" s="105" t="n">
        <v>0</v>
      </c>
      <c r="BF1367" s="105" t="n">
        <v>0</v>
      </c>
      <c r="BG1367" s="105" t="n">
        <v>0</v>
      </c>
      <c r="BH1367" s="105" t="n">
        <v>0</v>
      </c>
      <c r="BI1367" s="105" t="n">
        <v>0</v>
      </c>
      <c r="BJ1367" s="105" t="n">
        <v>0</v>
      </c>
      <c r="BK1367" s="105" t="n">
        <v>0</v>
      </c>
      <c r="BL1367" s="105" t="n">
        <v>0</v>
      </c>
      <c r="BM1367" s="105" t="n">
        <v>0</v>
      </c>
      <c r="BN1367" s="105" t="n">
        <v>0</v>
      </c>
      <c r="BO1367" s="105" t="n">
        <v>0</v>
      </c>
      <c r="BP1367" s="105" t="n">
        <v>0</v>
      </c>
      <c r="BQ1367" s="105" t="n">
        <v>0</v>
      </c>
      <c r="BR1367" s="106"/>
      <c r="BS1367" s="106"/>
      <c r="BT1367" s="107"/>
      <c r="BU1367" s="107"/>
      <c r="BV1367" s="107"/>
      <c r="BW1367" s="107"/>
      <c r="BX1367" s="107"/>
      <c r="BY1367" s="107"/>
      <c r="BZ1367" s="107"/>
      <c r="CA1367" s="107"/>
      <c r="CB1367" s="107"/>
      <c r="CC1367" s="107"/>
      <c r="CD1367" s="107"/>
      <c r="CE1367" s="107"/>
      <c r="CF1367" s="107"/>
      <c r="CG1367" s="107"/>
      <c r="CH1367" s="107"/>
      <c r="CI1367" s="107"/>
      <c r="CJ1367" s="107"/>
      <c r="CK1367" s="107"/>
      <c r="CL1367" s="107"/>
      <c r="CM1367" s="107"/>
      <c r="CN1367" s="107"/>
      <c r="CO1367" s="107"/>
      <c r="CP1367" s="107"/>
      <c r="CQ1367" s="107"/>
      <c r="CR1367" s="107"/>
      <c r="CS1367" s="107"/>
      <c r="CT1367" s="107"/>
      <c r="CU1367" s="107"/>
      <c r="CV1367" s="107"/>
    </row>
    <row r="1368" customFormat="false" ht="14.9" hidden="false" customHeight="false" outlineLevel="0" collapsed="false">
      <c r="A1368" s="74" t="n">
        <f aca="false">MONTH(B1368)</f>
        <v>11</v>
      </c>
      <c r="B1368" s="135" t="n">
        <v>44523</v>
      </c>
      <c r="C1368" s="128" t="s">
        <v>152</v>
      </c>
      <c r="D1368" s="77" t="str">
        <f aca="false">IFERROR(VLOOKUP(E:E,'Item Data Support Sheet'!A:O,7,0),"")</f>
        <v>NIPPLE LASER MARKING</v>
      </c>
      <c r="E1368" s="80" t="s">
        <v>932</v>
      </c>
      <c r="F1368" s="122"/>
      <c r="G1368" s="137" t="s">
        <v>517</v>
      </c>
      <c r="H1368" s="79" t="str">
        <f aca="false">IFERROR(VLOOKUP(E:E,'Item Data Support Sheet'!A:O,2,0),"")</f>
        <v>NIPPLE S TYPE M SIZE PUNCHED LASER MARKED</v>
      </c>
      <c r="I1368" s="80" t="s">
        <v>2166</v>
      </c>
      <c r="J1368" s="80" t="s">
        <v>143</v>
      </c>
      <c r="K1368" s="124" t="n">
        <v>8</v>
      </c>
      <c r="L1368" s="124" t="n">
        <v>7000</v>
      </c>
      <c r="M1368" s="83" t="n">
        <v>875</v>
      </c>
      <c r="N1368" s="84" t="n">
        <f aca="false">+O1368+Q1368+T1368+U1368</f>
        <v>4924</v>
      </c>
      <c r="O1368" s="85" t="n">
        <v>4924</v>
      </c>
      <c r="P1368" s="86" t="n">
        <v>0</v>
      </c>
      <c r="Q1368" s="86" t="n">
        <v>0</v>
      </c>
      <c r="R1368" s="132" t="n">
        <v>0</v>
      </c>
      <c r="S1368" s="128" t="n">
        <v>0</v>
      </c>
      <c r="T1368" s="132" t="n">
        <v>0</v>
      </c>
      <c r="U1368" s="128" t="n">
        <v>0</v>
      </c>
      <c r="V1368" s="128" t="n">
        <v>1</v>
      </c>
      <c r="W1368" s="90" t="n">
        <f aca="false">IFERROR(O1368/V1368,0)</f>
        <v>4924</v>
      </c>
      <c r="X1368" s="91" t="n">
        <f aca="false">O1368/L1368</f>
        <v>0.703428571428571</v>
      </c>
      <c r="Y1368" s="92" t="str">
        <f aca="false">IFERROR(VLOOKUP(E:E,'Item Data Support Sheet'!A:J,6,0),0)</f>
        <v>FO020</v>
      </c>
      <c r="Z1368" s="93" t="n">
        <f aca="false">IFERROR(VLOOKUP(E:E,'Item Data Support Sheet'!A:O,4,0),0)</f>
        <v>0</v>
      </c>
      <c r="AA1368" s="93" t="n">
        <f aca="false">IFERROR(((N1368)*(Z1368/1000))+P1368,0)</f>
        <v>0</v>
      </c>
      <c r="AB1368" s="94" t="str">
        <f aca="false">IFERROR((O1368*(Z1368/1000)/(AA1368))," ")</f>
        <v> </v>
      </c>
      <c r="AC1368" s="95" t="n">
        <f aca="false">IFERROR((T1368)/((T1368)+O1368),0)</f>
        <v>0</v>
      </c>
      <c r="AD1368" s="96" t="n">
        <f aca="false">IFERROR(Q1368/(Q1368+N1368),0)</f>
        <v>0</v>
      </c>
      <c r="AE1368" s="91" t="n">
        <f aca="false">(N1368-T1368)/N1368</f>
        <v>1</v>
      </c>
      <c r="AF1368" s="97" t="n">
        <f aca="false">BR1368</f>
        <v>0</v>
      </c>
      <c r="AG1368" s="98" t="n">
        <f aca="false">K1368-AF1368</f>
        <v>8</v>
      </c>
      <c r="AH1368" s="99" t="n">
        <f aca="false">IFERROR(AG1368/K1368," ")</f>
        <v>1</v>
      </c>
      <c r="AI1368" s="100" t="n">
        <f aca="false">IFERROR(O1368/K1368,0)</f>
        <v>615.5</v>
      </c>
      <c r="AJ1368" s="101" t="n">
        <f aca="false">VLOOKUP(D1368,'Standard Cycle time'!C:D,2,0)</f>
        <v>3.5</v>
      </c>
      <c r="AK1368" s="101" t="n">
        <f aca="false">AG1368*V1368*3600/O1368</f>
        <v>5.84890333062551</v>
      </c>
      <c r="AL1368" s="102" t="n">
        <f aca="false">AJ1368/AK1368</f>
        <v>0.598402777777778</v>
      </c>
      <c r="AM1368" s="99" t="n">
        <f aca="false">AE1368*AL1368*AH1368</f>
        <v>0.598402777777778</v>
      </c>
      <c r="AN1368" s="103" t="n">
        <v>0.598402777777778</v>
      </c>
      <c r="AO1368" s="112" t="s">
        <v>2146</v>
      </c>
      <c r="AP1368" s="105" t="n">
        <v>0</v>
      </c>
      <c r="AQ1368" s="105" t="n">
        <v>0</v>
      </c>
      <c r="AR1368" s="105" t="n">
        <v>0</v>
      </c>
      <c r="AS1368" s="105" t="n">
        <v>0</v>
      </c>
      <c r="AT1368" s="105" t="n">
        <v>0</v>
      </c>
      <c r="AU1368" s="105" t="n">
        <v>0</v>
      </c>
      <c r="AV1368" s="105" t="n">
        <v>0</v>
      </c>
      <c r="AW1368" s="105" t="n">
        <v>0</v>
      </c>
      <c r="AX1368" s="105" t="n">
        <v>0</v>
      </c>
      <c r="AY1368" s="105" t="n">
        <v>0</v>
      </c>
      <c r="AZ1368" s="105" t="n">
        <v>0</v>
      </c>
      <c r="BA1368" s="105" t="n">
        <v>0</v>
      </c>
      <c r="BB1368" s="105" t="n">
        <v>0</v>
      </c>
      <c r="BC1368" s="105" t="n">
        <v>0</v>
      </c>
      <c r="BD1368" s="105" t="n">
        <v>0</v>
      </c>
      <c r="BE1368" s="105" t="n">
        <v>0</v>
      </c>
      <c r="BF1368" s="105" t="n">
        <v>0</v>
      </c>
      <c r="BG1368" s="105" t="n">
        <v>0</v>
      </c>
      <c r="BH1368" s="105" t="n">
        <v>0</v>
      </c>
      <c r="BI1368" s="105" t="n">
        <v>0</v>
      </c>
      <c r="BJ1368" s="105" t="n">
        <v>0</v>
      </c>
      <c r="BK1368" s="105" t="n">
        <v>0</v>
      </c>
      <c r="BL1368" s="105" t="n">
        <v>0</v>
      </c>
      <c r="BM1368" s="105" t="n">
        <v>0</v>
      </c>
      <c r="BN1368" s="105" t="n">
        <v>0</v>
      </c>
      <c r="BO1368" s="105" t="n">
        <v>0</v>
      </c>
      <c r="BP1368" s="105" t="n">
        <v>0</v>
      </c>
      <c r="BQ1368" s="105" t="n">
        <v>0</v>
      </c>
      <c r="BR1368" s="106"/>
      <c r="BS1368" s="106"/>
      <c r="BT1368" s="107"/>
      <c r="BU1368" s="107"/>
      <c r="BV1368" s="107"/>
      <c r="BW1368" s="107"/>
      <c r="BX1368" s="107"/>
      <c r="BY1368" s="107"/>
      <c r="BZ1368" s="107"/>
      <c r="CA1368" s="107"/>
      <c r="CB1368" s="107"/>
      <c r="CC1368" s="107"/>
      <c r="CD1368" s="107"/>
      <c r="CE1368" s="107"/>
      <c r="CF1368" s="107"/>
      <c r="CG1368" s="107"/>
      <c r="CH1368" s="107"/>
      <c r="CI1368" s="107"/>
      <c r="CJ1368" s="107"/>
      <c r="CK1368" s="107"/>
      <c r="CL1368" s="107"/>
      <c r="CM1368" s="107"/>
      <c r="CN1368" s="107"/>
      <c r="CO1368" s="107"/>
      <c r="CP1368" s="107"/>
      <c r="CQ1368" s="107"/>
      <c r="CR1368" s="107"/>
      <c r="CS1368" s="107"/>
      <c r="CT1368" s="107"/>
      <c r="CU1368" s="107"/>
      <c r="CV1368" s="107"/>
    </row>
    <row r="1369" customFormat="false" ht="14.9" hidden="false" customHeight="false" outlineLevel="0" collapsed="false">
      <c r="A1369" s="74" t="n">
        <f aca="false">MONTH(B1369)</f>
        <v>11</v>
      </c>
      <c r="B1369" s="135" t="n">
        <v>44523</v>
      </c>
      <c r="C1369" s="128" t="s">
        <v>152</v>
      </c>
      <c r="D1369" s="77" t="str">
        <f aca="false">IFERROR(VLOOKUP(E:E,'Item Data Support Sheet'!A:O,7,0),"")</f>
        <v>CAP MOLDED</v>
      </c>
      <c r="E1369" s="80" t="s">
        <v>199</v>
      </c>
      <c r="F1369" s="122" t="s">
        <v>2161</v>
      </c>
      <c r="G1369" s="137" t="s">
        <v>740</v>
      </c>
      <c r="H1369" s="79" t="str">
        <f aca="false">IFERROR(VLOOKUP(E:E,'Item Data Support Sheet'!A:O,2,0),"")</f>
        <v>CAP S TYPE MOLDED RED</v>
      </c>
      <c r="I1369" s="80" t="s">
        <v>2167</v>
      </c>
      <c r="J1369" s="80" t="s">
        <v>143</v>
      </c>
      <c r="K1369" s="124" t="n">
        <v>8</v>
      </c>
      <c r="L1369" s="124" t="n">
        <v>4137</v>
      </c>
      <c r="M1369" s="83" t="n">
        <v>517.125</v>
      </c>
      <c r="N1369" s="84" t="n">
        <f aca="false">+O1369+Q1369+T1369+U1369</f>
        <v>3400</v>
      </c>
      <c r="O1369" s="85" t="n">
        <v>3400</v>
      </c>
      <c r="P1369" s="86" t="n">
        <v>0</v>
      </c>
      <c r="Q1369" s="86" t="n">
        <v>0</v>
      </c>
      <c r="R1369" s="132" t="n">
        <v>0</v>
      </c>
      <c r="S1369" s="128" t="n">
        <v>0</v>
      </c>
      <c r="T1369" s="132" t="n">
        <v>0</v>
      </c>
      <c r="U1369" s="128" t="n">
        <v>0</v>
      </c>
      <c r="V1369" s="128" t="n">
        <v>1</v>
      </c>
      <c r="W1369" s="90" t="n">
        <f aca="false">IFERROR(O1369/V1369,0)</f>
        <v>3400</v>
      </c>
      <c r="X1369" s="91" t="n">
        <f aca="false">O1369/L1369</f>
        <v>0.821851583272903</v>
      </c>
      <c r="Y1369" s="92" t="str">
        <f aca="false">IFERROR(VLOOKUP(E:E,'Item Data Support Sheet'!A:J,6,0),0)</f>
        <v>FO153</v>
      </c>
      <c r="Z1369" s="93" t="n">
        <f aca="false">IFERROR(VLOOKUP(E:E,'Item Data Support Sheet'!A:O,4,0),0)</f>
        <v>7.3</v>
      </c>
      <c r="AA1369" s="93" t="n">
        <f aca="false">IFERROR(((N1369)*(Z1369/1000))+P1369,0)</f>
        <v>24.82</v>
      </c>
      <c r="AB1369" s="94" t="n">
        <f aca="false">IFERROR((O1369*(Z1369/1000)/(AA1369))," ")</f>
        <v>1</v>
      </c>
      <c r="AC1369" s="95" t="n">
        <f aca="false">IFERROR((T1369)/((T1369)+O1369),0)</f>
        <v>0</v>
      </c>
      <c r="AD1369" s="96" t="n">
        <f aca="false">IFERROR(Q1369/(Q1369+N1369),0)</f>
        <v>0</v>
      </c>
      <c r="AE1369" s="91" t="n">
        <f aca="false">(N1369-T1369)/N1369</f>
        <v>1</v>
      </c>
      <c r="AF1369" s="97" t="n">
        <f aca="false">BR1369</f>
        <v>2</v>
      </c>
      <c r="AG1369" s="98" t="n">
        <f aca="false">K1369-AF1369</f>
        <v>6</v>
      </c>
      <c r="AH1369" s="99" t="n">
        <f aca="false">IFERROR(AG1369/K1369," ")</f>
        <v>0.75</v>
      </c>
      <c r="AI1369" s="100" t="n">
        <f aca="false">IFERROR(O1369/K1369,0)</f>
        <v>425</v>
      </c>
      <c r="AJ1369" s="101" t="n">
        <f aca="false">VLOOKUP(D1369,'Standard Cycle time'!C:D,2,0)</f>
        <v>6</v>
      </c>
      <c r="AK1369" s="101" t="n">
        <f aca="false">AG1369*V1369*3600/O1369</f>
        <v>6.35294117647059</v>
      </c>
      <c r="AL1369" s="102" t="n">
        <f aca="false">AJ1369/AK1369</f>
        <v>0.944444444444444</v>
      </c>
      <c r="AM1369" s="99" t="n">
        <f aca="false">AE1369*AL1369*AH1369</f>
        <v>0.708333333333333</v>
      </c>
      <c r="AN1369" s="103" t="n">
        <v>0.708333333333333</v>
      </c>
      <c r="AO1369" s="112" t="s">
        <v>2168</v>
      </c>
      <c r="AP1369" s="105" t="n">
        <v>0</v>
      </c>
      <c r="AQ1369" s="105" t="n">
        <v>0</v>
      </c>
      <c r="AR1369" s="105" t="n">
        <v>0</v>
      </c>
      <c r="AS1369" s="105" t="n">
        <v>0</v>
      </c>
      <c r="AT1369" s="105" t="n">
        <v>0</v>
      </c>
      <c r="AU1369" s="105" t="n">
        <v>0</v>
      </c>
      <c r="AV1369" s="105" t="n">
        <v>0</v>
      </c>
      <c r="AW1369" s="105" t="n">
        <v>0</v>
      </c>
      <c r="AX1369" s="105" t="n">
        <v>0</v>
      </c>
      <c r="AY1369" s="105" t="n">
        <v>0</v>
      </c>
      <c r="AZ1369" s="105" t="n">
        <v>0</v>
      </c>
      <c r="BA1369" s="105" t="n">
        <v>0</v>
      </c>
      <c r="BB1369" s="105" t="n">
        <v>0</v>
      </c>
      <c r="BC1369" s="105" t="n">
        <v>0</v>
      </c>
      <c r="BD1369" s="105" t="n">
        <v>0</v>
      </c>
      <c r="BE1369" s="105" t="n">
        <v>0</v>
      </c>
      <c r="BF1369" s="105" t="n">
        <v>0</v>
      </c>
      <c r="BG1369" s="105" t="n">
        <v>0</v>
      </c>
      <c r="BH1369" s="105" t="n">
        <v>0</v>
      </c>
      <c r="BI1369" s="105" t="n">
        <v>0</v>
      </c>
      <c r="BJ1369" s="105" t="n">
        <v>0</v>
      </c>
      <c r="BK1369" s="105" t="n">
        <v>120</v>
      </c>
      <c r="BL1369" s="105" t="n">
        <v>0</v>
      </c>
      <c r="BM1369" s="105" t="n">
        <v>0</v>
      </c>
      <c r="BN1369" s="105" t="n">
        <v>0</v>
      </c>
      <c r="BO1369" s="105" t="n">
        <v>0</v>
      </c>
      <c r="BP1369" s="105" t="n">
        <v>0</v>
      </c>
      <c r="BQ1369" s="105" t="n">
        <v>0</v>
      </c>
      <c r="BR1369" s="106" t="n">
        <v>2</v>
      </c>
      <c r="BS1369" s="106" t="n">
        <v>2</v>
      </c>
      <c r="BT1369" s="107"/>
      <c r="BU1369" s="107"/>
      <c r="BV1369" s="107"/>
      <c r="BW1369" s="107"/>
      <c r="BX1369" s="107"/>
      <c r="BY1369" s="107"/>
      <c r="BZ1369" s="107"/>
      <c r="CA1369" s="107"/>
      <c r="CB1369" s="107"/>
      <c r="CC1369" s="107"/>
      <c r="CD1369" s="107"/>
      <c r="CE1369" s="107"/>
      <c r="CF1369" s="107"/>
      <c r="CG1369" s="107"/>
      <c r="CH1369" s="107"/>
      <c r="CI1369" s="107"/>
      <c r="CJ1369" s="107"/>
      <c r="CK1369" s="107"/>
      <c r="CL1369" s="107"/>
      <c r="CM1369" s="107"/>
      <c r="CN1369" s="107"/>
      <c r="CO1369" s="107"/>
      <c r="CP1369" s="107"/>
      <c r="CQ1369" s="107"/>
      <c r="CR1369" s="107"/>
      <c r="CS1369" s="107"/>
      <c r="CT1369" s="107"/>
      <c r="CU1369" s="107"/>
      <c r="CV1369" s="107"/>
    </row>
    <row r="1370" customFormat="false" ht="14.9" hidden="false" customHeight="false" outlineLevel="0" collapsed="false">
      <c r="A1370" s="74" t="n">
        <f aca="false">MONTH(B1370)</f>
        <v>11</v>
      </c>
      <c r="B1370" s="135" t="n">
        <v>44524</v>
      </c>
      <c r="C1370" s="128" t="s">
        <v>51</v>
      </c>
      <c r="D1370" s="77" t="str">
        <f aca="false">IFERROR(VLOOKUP(E:E,'Item Data Support Sheet'!A:O,7,0),"")</f>
        <v>NIPPLE MOLDED</v>
      </c>
      <c r="E1370" s="80" t="s">
        <v>661</v>
      </c>
      <c r="F1370" s="122" t="s">
        <v>137</v>
      </c>
      <c r="G1370" s="137" t="s">
        <v>138</v>
      </c>
      <c r="H1370" s="79" t="str">
        <f aca="false">IFERROR(VLOOKUP(E:E,'Item Data Support Sheet'!A:O,2,0),"")</f>
        <v>NIPPLE S TYPE L SIZE INJECTION</v>
      </c>
      <c r="I1370" s="80" t="s">
        <v>2169</v>
      </c>
      <c r="J1370" s="80" t="s">
        <v>148</v>
      </c>
      <c r="K1370" s="124" t="n">
        <v>8</v>
      </c>
      <c r="L1370" s="124" t="n">
        <v>4815</v>
      </c>
      <c r="M1370" s="83" t="n">
        <v>601.875</v>
      </c>
      <c r="N1370" s="84" t="n">
        <f aca="false">+O1370+Q1370+T1370+U1370</f>
        <v>5525</v>
      </c>
      <c r="O1370" s="85" t="n">
        <v>5400</v>
      </c>
      <c r="P1370" s="86" t="n">
        <v>0</v>
      </c>
      <c r="Q1370" s="86" t="n">
        <v>40</v>
      </c>
      <c r="R1370" s="132" t="n">
        <v>0</v>
      </c>
      <c r="S1370" s="128" t="n">
        <v>0</v>
      </c>
      <c r="T1370" s="132" t="n">
        <v>77</v>
      </c>
      <c r="U1370" s="128" t="n">
        <v>8</v>
      </c>
      <c r="V1370" s="128" t="n">
        <v>1</v>
      </c>
      <c r="W1370" s="90" t="n">
        <f aca="false">IFERROR(O1370/V1370,0)</f>
        <v>5400</v>
      </c>
      <c r="X1370" s="91" t="n">
        <f aca="false">O1370/L1370</f>
        <v>1.1214953271028</v>
      </c>
      <c r="Y1370" s="92" t="str">
        <f aca="false">IFERROR(VLOOKUP(E:E,'Item Data Support Sheet'!A:J,6,0),0)</f>
        <v>Silicon</v>
      </c>
      <c r="Z1370" s="93" t="n">
        <f aca="false">IFERROR(VLOOKUP(E:E,'Item Data Support Sheet'!A:O,4,0),0)</f>
        <v>6.8</v>
      </c>
      <c r="AA1370" s="93" t="n">
        <f aca="false">IFERROR(((N1370)*(Z1370/1000))+P1370,0)</f>
        <v>37.57</v>
      </c>
      <c r="AB1370" s="94" t="n">
        <f aca="false">IFERROR((O1370*(Z1370/1000)/(AA1370))," ")</f>
        <v>0.97737556561086</v>
      </c>
      <c r="AC1370" s="95" t="n">
        <f aca="false">IFERROR((T1370)/((T1370)+O1370),0)</f>
        <v>0.0140587913091108</v>
      </c>
      <c r="AD1370" s="96" t="n">
        <f aca="false">IFERROR(Q1370/(Q1370+N1370),0)</f>
        <v>0.00718778077268643</v>
      </c>
      <c r="AE1370" s="91" t="n">
        <f aca="false">(N1370-T1370)/N1370</f>
        <v>0.98606334841629</v>
      </c>
      <c r="AF1370" s="97" t="n">
        <f aca="false">BR1370</f>
        <v>0</v>
      </c>
      <c r="AG1370" s="98" t="n">
        <f aca="false">K1370-AF1370</f>
        <v>8</v>
      </c>
      <c r="AH1370" s="99" t="n">
        <f aca="false">IFERROR(AG1370/K1370," ")</f>
        <v>1</v>
      </c>
      <c r="AI1370" s="100" t="n">
        <f aca="false">IFERROR(O1370/K1370,0)</f>
        <v>675</v>
      </c>
      <c r="AJ1370" s="101" t="n">
        <f aca="false">VLOOKUP(D1370,'Standard Cycle time'!C:D,2,0)</f>
        <v>5.25</v>
      </c>
      <c r="AK1370" s="101" t="n">
        <f aca="false">AG1370*V1370*3600/O1370</f>
        <v>5.33333333333333</v>
      </c>
      <c r="AL1370" s="102" t="n">
        <f aca="false">AJ1370/AK1370</f>
        <v>0.984375</v>
      </c>
      <c r="AM1370" s="99" t="n">
        <f aca="false">AE1370*AL1370*AH1370</f>
        <v>0.970656108597285</v>
      </c>
      <c r="AN1370" s="103" t="n">
        <v>0.970656108597285</v>
      </c>
      <c r="AO1370" s="112"/>
      <c r="AP1370" s="105" t="n">
        <v>0</v>
      </c>
      <c r="AQ1370" s="105" t="n">
        <v>0</v>
      </c>
      <c r="AR1370" s="105" t="n">
        <v>0</v>
      </c>
      <c r="AS1370" s="105" t="n">
        <v>0</v>
      </c>
      <c r="AT1370" s="105" t="n">
        <v>0</v>
      </c>
      <c r="AU1370" s="105" t="n">
        <v>0</v>
      </c>
      <c r="AV1370" s="105" t="n">
        <v>0</v>
      </c>
      <c r="AW1370" s="105" t="n">
        <v>0</v>
      </c>
      <c r="AX1370" s="105" t="n">
        <v>0</v>
      </c>
      <c r="AY1370" s="105" t="n">
        <v>0</v>
      </c>
      <c r="AZ1370" s="105" t="n">
        <v>0</v>
      </c>
      <c r="BA1370" s="105" t="n">
        <v>0</v>
      </c>
      <c r="BB1370" s="105" t="n">
        <v>0</v>
      </c>
      <c r="BC1370" s="105" t="n">
        <v>0</v>
      </c>
      <c r="BD1370" s="105" t="n">
        <v>0</v>
      </c>
      <c r="BE1370" s="105" t="n">
        <v>0</v>
      </c>
      <c r="BF1370" s="105" t="n">
        <v>0</v>
      </c>
      <c r="BG1370" s="105" t="n">
        <v>0</v>
      </c>
      <c r="BH1370" s="105" t="n">
        <v>0</v>
      </c>
      <c r="BI1370" s="105" t="n">
        <v>0</v>
      </c>
      <c r="BJ1370" s="105" t="n">
        <v>0</v>
      </c>
      <c r="BK1370" s="105" t="n">
        <v>0</v>
      </c>
      <c r="BL1370" s="105" t="n">
        <v>0</v>
      </c>
      <c r="BM1370" s="105" t="n">
        <v>0</v>
      </c>
      <c r="BN1370" s="105" t="n">
        <v>0</v>
      </c>
      <c r="BO1370" s="105" t="n">
        <v>0</v>
      </c>
      <c r="BP1370" s="105" t="n">
        <v>0</v>
      </c>
      <c r="BQ1370" s="105" t="n">
        <v>0</v>
      </c>
      <c r="BR1370" s="106" t="n">
        <v>0</v>
      </c>
      <c r="BS1370" s="106" t="n">
        <v>0</v>
      </c>
      <c r="BT1370" s="107"/>
      <c r="BU1370" s="107"/>
      <c r="BV1370" s="107"/>
      <c r="BW1370" s="107"/>
      <c r="BX1370" s="107"/>
      <c r="BY1370" s="107"/>
      <c r="BZ1370" s="107"/>
      <c r="CA1370" s="107"/>
      <c r="CB1370" s="107"/>
      <c r="CC1370" s="107"/>
      <c r="CD1370" s="107"/>
      <c r="CE1370" s="107"/>
      <c r="CF1370" s="107"/>
      <c r="CG1370" s="107"/>
      <c r="CH1370" s="107"/>
      <c r="CI1370" s="107"/>
      <c r="CJ1370" s="107"/>
      <c r="CK1370" s="107"/>
      <c r="CL1370" s="107"/>
      <c r="CM1370" s="107"/>
      <c r="CN1370" s="107"/>
      <c r="CO1370" s="107"/>
      <c r="CP1370" s="107"/>
      <c r="CQ1370" s="107"/>
      <c r="CR1370" s="107"/>
      <c r="CS1370" s="107"/>
      <c r="CT1370" s="107"/>
      <c r="CU1370" s="107"/>
      <c r="CV1370" s="107"/>
    </row>
    <row r="1371" customFormat="false" ht="14.9" hidden="false" customHeight="false" outlineLevel="0" collapsed="false">
      <c r="A1371" s="74" t="n">
        <f aca="false">MONTH(B1371)</f>
        <v>11</v>
      </c>
      <c r="B1371" s="135" t="n">
        <v>44524</v>
      </c>
      <c r="C1371" s="128" t="s">
        <v>51</v>
      </c>
      <c r="D1371" s="77" t="str">
        <f aca="false">IFERROR(VLOOKUP(E:E,'Item Data Support Sheet'!A:O,7,0),"")</f>
        <v>NIPPLE MOLDED</v>
      </c>
      <c r="E1371" s="80" t="s">
        <v>492</v>
      </c>
      <c r="F1371" s="122" t="s">
        <v>1286</v>
      </c>
      <c r="G1371" s="137" t="s">
        <v>848</v>
      </c>
      <c r="H1371" s="79" t="str">
        <f aca="false">IFERROR(VLOOKUP(E:E,'Item Data Support Sheet'!A:O,2,0),"")</f>
        <v>NIPPLE S TYPE LL SIZE INJECTION</v>
      </c>
      <c r="I1371" s="80" t="s">
        <v>2169</v>
      </c>
      <c r="J1371" s="80" t="s">
        <v>148</v>
      </c>
      <c r="K1371" s="124" t="n">
        <v>8</v>
      </c>
      <c r="L1371" s="124" t="n">
        <v>3611</v>
      </c>
      <c r="M1371" s="83" t="n">
        <v>451.375</v>
      </c>
      <c r="N1371" s="84" t="n">
        <f aca="false">+O1371+Q1371+T1371+U1371</f>
        <v>3138</v>
      </c>
      <c r="O1371" s="85" t="n">
        <v>3000</v>
      </c>
      <c r="P1371" s="86" t="n">
        <v>6.1</v>
      </c>
      <c r="Q1371" s="86" t="n">
        <v>40</v>
      </c>
      <c r="R1371" s="132" t="n">
        <v>0</v>
      </c>
      <c r="S1371" s="128" t="n">
        <v>0</v>
      </c>
      <c r="T1371" s="132" t="n">
        <v>90</v>
      </c>
      <c r="U1371" s="128" t="n">
        <v>8</v>
      </c>
      <c r="V1371" s="128" t="n">
        <v>1</v>
      </c>
      <c r="W1371" s="90" t="n">
        <f aca="false">IFERROR(O1371/V1371,0)</f>
        <v>3000</v>
      </c>
      <c r="X1371" s="91" t="n">
        <f aca="false">O1371/L1371</f>
        <v>0.83079479368596</v>
      </c>
      <c r="Y1371" s="92" t="str">
        <f aca="false">IFERROR(VLOOKUP(E:E,'Item Data Support Sheet'!A:J,6,0),0)</f>
        <v>FO148</v>
      </c>
      <c r="Z1371" s="93" t="n">
        <f aca="false">IFERROR(VLOOKUP(E:E,'Item Data Support Sheet'!A:O,4,0),0)</f>
        <v>6.8</v>
      </c>
      <c r="AA1371" s="93" t="n">
        <f aca="false">IFERROR(((N1371)*(Z1371/1000))+P1371,0)</f>
        <v>27.4384</v>
      </c>
      <c r="AB1371" s="94" t="n">
        <f aca="false">IFERROR((O1371*(Z1371/1000)/(AA1371))," ")</f>
        <v>0.743483585048691</v>
      </c>
      <c r="AC1371" s="95" t="n">
        <f aca="false">IFERROR((T1371)/((T1371)+O1371),0)</f>
        <v>0.029126213592233</v>
      </c>
      <c r="AD1371" s="96" t="n">
        <f aca="false">IFERROR(Q1371/(Q1371+N1371),0)</f>
        <v>0.012586532410321</v>
      </c>
      <c r="AE1371" s="91" t="n">
        <f aca="false">(N1371-T1371)/N1371</f>
        <v>0.97131931166348</v>
      </c>
      <c r="AF1371" s="97" t="n">
        <f aca="false">BR1371</f>
        <v>0</v>
      </c>
      <c r="AG1371" s="98" t="n">
        <f aca="false">K1371-AF1371</f>
        <v>8</v>
      </c>
      <c r="AH1371" s="99" t="n">
        <f aca="false">IFERROR(AG1371/K1371," ")</f>
        <v>1</v>
      </c>
      <c r="AI1371" s="100" t="n">
        <f aca="false">IFERROR(O1371/K1371,0)</f>
        <v>375</v>
      </c>
      <c r="AJ1371" s="101" t="n">
        <f aca="false">VLOOKUP(D1371,'Standard Cycle time'!C:D,2,0)</f>
        <v>5.25</v>
      </c>
      <c r="AK1371" s="101" t="n">
        <f aca="false">AG1371*V1371*3600/O1371</f>
        <v>9.6</v>
      </c>
      <c r="AL1371" s="102" t="n">
        <f aca="false">AJ1371/AK1371</f>
        <v>0.546875</v>
      </c>
      <c r="AM1371" s="99" t="n">
        <f aca="false">AE1371*AL1371*AH1371</f>
        <v>0.531190248565966</v>
      </c>
      <c r="AN1371" s="103" t="n">
        <v>0.531190248565966</v>
      </c>
      <c r="AO1371" s="112" t="s">
        <v>2170</v>
      </c>
      <c r="AP1371" s="105" t="n">
        <v>0</v>
      </c>
      <c r="AQ1371" s="105" t="n">
        <v>0</v>
      </c>
      <c r="AR1371" s="105" t="n">
        <v>0</v>
      </c>
      <c r="AS1371" s="105" t="n">
        <v>0</v>
      </c>
      <c r="AT1371" s="105" t="n">
        <v>0</v>
      </c>
      <c r="AU1371" s="105" t="n">
        <v>0</v>
      </c>
      <c r="AV1371" s="105" t="n">
        <v>0</v>
      </c>
      <c r="AW1371" s="105" t="n">
        <v>0</v>
      </c>
      <c r="AX1371" s="105" t="n">
        <v>0</v>
      </c>
      <c r="AY1371" s="105" t="n">
        <v>0</v>
      </c>
      <c r="AZ1371" s="105" t="n">
        <v>0</v>
      </c>
      <c r="BA1371" s="105" t="n">
        <v>0</v>
      </c>
      <c r="BB1371" s="105" t="n">
        <v>0</v>
      </c>
      <c r="BC1371" s="105" t="n">
        <v>0</v>
      </c>
      <c r="BD1371" s="105" t="n">
        <v>0</v>
      </c>
      <c r="BE1371" s="105" t="n">
        <v>0</v>
      </c>
      <c r="BF1371" s="105" t="n">
        <v>0</v>
      </c>
      <c r="BG1371" s="105" t="n">
        <v>0</v>
      </c>
      <c r="BH1371" s="105" t="n">
        <v>0</v>
      </c>
      <c r="BI1371" s="105" t="n">
        <v>0</v>
      </c>
      <c r="BJ1371" s="105" t="n">
        <v>0</v>
      </c>
      <c r="BK1371" s="105" t="n">
        <v>0</v>
      </c>
      <c r="BL1371" s="105" t="n">
        <v>0</v>
      </c>
      <c r="BM1371" s="105" t="n">
        <v>0</v>
      </c>
      <c r="BN1371" s="105" t="n">
        <v>0</v>
      </c>
      <c r="BO1371" s="105" t="n">
        <v>0</v>
      </c>
      <c r="BP1371" s="105" t="n">
        <v>0</v>
      </c>
      <c r="BQ1371" s="105" t="n">
        <v>0</v>
      </c>
      <c r="BR1371" s="106" t="n">
        <v>0</v>
      </c>
      <c r="BS1371" s="106" t="n">
        <v>0</v>
      </c>
      <c r="BT1371" s="107"/>
      <c r="BU1371" s="107"/>
      <c r="BV1371" s="107"/>
      <c r="BW1371" s="107"/>
      <c r="BX1371" s="107"/>
      <c r="BY1371" s="107"/>
      <c r="BZ1371" s="107"/>
      <c r="CA1371" s="107"/>
      <c r="CB1371" s="107"/>
      <c r="CC1371" s="107"/>
      <c r="CD1371" s="107"/>
      <c r="CE1371" s="107"/>
      <c r="CF1371" s="107"/>
      <c r="CG1371" s="107"/>
      <c r="CH1371" s="107"/>
      <c r="CI1371" s="107"/>
      <c r="CJ1371" s="107"/>
      <c r="CK1371" s="107"/>
      <c r="CL1371" s="107"/>
      <c r="CM1371" s="107"/>
      <c r="CN1371" s="107"/>
      <c r="CO1371" s="107"/>
      <c r="CP1371" s="107"/>
      <c r="CQ1371" s="107"/>
      <c r="CR1371" s="107"/>
      <c r="CS1371" s="107"/>
      <c r="CT1371" s="107"/>
      <c r="CU1371" s="107"/>
      <c r="CV1371" s="107"/>
    </row>
    <row r="1372" customFormat="false" ht="14.9" hidden="false" customHeight="false" outlineLevel="0" collapsed="false">
      <c r="A1372" s="74" t="n">
        <f aca="false">MONTH(B1372)</f>
        <v>11</v>
      </c>
      <c r="B1372" s="135" t="n">
        <v>44524</v>
      </c>
      <c r="C1372" s="128" t="s">
        <v>51</v>
      </c>
      <c r="D1372" s="77" t="str">
        <f aca="false">IFERROR(VLOOKUP(E:E,'Item Data Support Sheet'!A:O,7,0),"")</f>
        <v>CAP MOLDED</v>
      </c>
      <c r="E1372" s="80" t="s">
        <v>199</v>
      </c>
      <c r="F1372" s="122" t="s">
        <v>2161</v>
      </c>
      <c r="G1372" s="137" t="s">
        <v>740</v>
      </c>
      <c r="H1372" s="79" t="str">
        <f aca="false">IFERROR(VLOOKUP(E:E,'Item Data Support Sheet'!A:O,2,0),"")</f>
        <v>CAP S TYPE MOLDED RED</v>
      </c>
      <c r="I1372" s="80" t="s">
        <v>2171</v>
      </c>
      <c r="J1372" s="80" t="s">
        <v>148</v>
      </c>
      <c r="K1372" s="124" t="n">
        <v>8</v>
      </c>
      <c r="L1372" s="124" t="n">
        <v>4137</v>
      </c>
      <c r="M1372" s="83" t="n">
        <v>517.125</v>
      </c>
      <c r="N1372" s="84" t="n">
        <f aca="false">+O1372+Q1372+T1372+U1372</f>
        <v>3608</v>
      </c>
      <c r="O1372" s="85" t="n">
        <v>3600</v>
      </c>
      <c r="P1372" s="86" t="n">
        <v>0</v>
      </c>
      <c r="Q1372" s="86" t="n">
        <v>0</v>
      </c>
      <c r="R1372" s="132" t="n">
        <v>0</v>
      </c>
      <c r="S1372" s="128" t="n">
        <v>0</v>
      </c>
      <c r="T1372" s="132" t="n">
        <v>0</v>
      </c>
      <c r="U1372" s="128" t="n">
        <v>8</v>
      </c>
      <c r="V1372" s="128" t="n">
        <v>1</v>
      </c>
      <c r="W1372" s="90" t="n">
        <f aca="false">IFERROR(O1372/V1372,0)</f>
        <v>3600</v>
      </c>
      <c r="X1372" s="91" t="n">
        <f aca="false">O1372/L1372</f>
        <v>0.870195794053662</v>
      </c>
      <c r="Y1372" s="92" t="str">
        <f aca="false">IFERROR(VLOOKUP(E:E,'Item Data Support Sheet'!A:J,6,0),0)</f>
        <v>FO153</v>
      </c>
      <c r="Z1372" s="93" t="n">
        <f aca="false">IFERROR(VLOOKUP(E:E,'Item Data Support Sheet'!A:O,4,0),0)</f>
        <v>7.3</v>
      </c>
      <c r="AA1372" s="93" t="n">
        <f aca="false">IFERROR(((N1372)*(Z1372/1000))+P1372,0)</f>
        <v>26.3384</v>
      </c>
      <c r="AB1372" s="94" t="n">
        <f aca="false">IFERROR((O1372*(Z1372/1000)/(AA1372))," ")</f>
        <v>0.997782705099778</v>
      </c>
      <c r="AC1372" s="95" t="n">
        <f aca="false">IFERROR((T1372)/((T1372)+O1372),0)</f>
        <v>0</v>
      </c>
      <c r="AD1372" s="96" t="n">
        <f aca="false">IFERROR(Q1372/(Q1372+N1372),0)</f>
        <v>0</v>
      </c>
      <c r="AE1372" s="91" t="n">
        <f aca="false">(N1372-T1372)/N1372</f>
        <v>1</v>
      </c>
      <c r="AF1372" s="97" t="n">
        <f aca="false">BR1372</f>
        <v>0</v>
      </c>
      <c r="AG1372" s="98" t="n">
        <f aca="false">K1372-AF1372</f>
        <v>8</v>
      </c>
      <c r="AH1372" s="99" t="n">
        <f aca="false">IFERROR(AG1372/K1372," ")</f>
        <v>1</v>
      </c>
      <c r="AI1372" s="100" t="n">
        <f aca="false">IFERROR(O1372/K1372,0)</f>
        <v>450</v>
      </c>
      <c r="AJ1372" s="101" t="n">
        <f aca="false">VLOOKUP(D1372,'Standard Cycle time'!C:D,2,0)</f>
        <v>6</v>
      </c>
      <c r="AK1372" s="101" t="n">
        <f aca="false">AG1372*V1372*3600/O1372</f>
        <v>8</v>
      </c>
      <c r="AL1372" s="102" t="n">
        <f aca="false">AJ1372/AK1372</f>
        <v>0.75</v>
      </c>
      <c r="AM1372" s="99" t="n">
        <f aca="false">AE1372*AL1372*AH1372</f>
        <v>0.75</v>
      </c>
      <c r="AN1372" s="103" t="n">
        <v>0.75</v>
      </c>
      <c r="AO1372" s="112"/>
      <c r="AP1372" s="105" t="n">
        <v>0</v>
      </c>
      <c r="AQ1372" s="105" t="n">
        <v>0</v>
      </c>
      <c r="AR1372" s="105" t="n">
        <v>0</v>
      </c>
      <c r="AS1372" s="105" t="n">
        <v>0</v>
      </c>
      <c r="AT1372" s="105" t="n">
        <v>0</v>
      </c>
      <c r="AU1372" s="105" t="n">
        <v>0</v>
      </c>
      <c r="AV1372" s="105" t="n">
        <v>0</v>
      </c>
      <c r="AW1372" s="105" t="n">
        <v>0</v>
      </c>
      <c r="AX1372" s="105" t="n">
        <v>0</v>
      </c>
      <c r="AY1372" s="105" t="n">
        <v>0</v>
      </c>
      <c r="AZ1372" s="105" t="n">
        <v>0</v>
      </c>
      <c r="BA1372" s="105" t="n">
        <v>0</v>
      </c>
      <c r="BB1372" s="105" t="n">
        <v>0</v>
      </c>
      <c r="BC1372" s="105" t="n">
        <v>0</v>
      </c>
      <c r="BD1372" s="105" t="n">
        <v>0</v>
      </c>
      <c r="BE1372" s="105" t="n">
        <v>0</v>
      </c>
      <c r="BF1372" s="105" t="n">
        <v>0</v>
      </c>
      <c r="BG1372" s="105" t="n">
        <v>0</v>
      </c>
      <c r="BH1372" s="105" t="n">
        <v>0</v>
      </c>
      <c r="BI1372" s="105" t="n">
        <v>0</v>
      </c>
      <c r="BJ1372" s="105" t="n">
        <v>0</v>
      </c>
      <c r="BK1372" s="105" t="n">
        <v>0</v>
      </c>
      <c r="BL1372" s="105" t="n">
        <v>0</v>
      </c>
      <c r="BM1372" s="105" t="n">
        <v>0</v>
      </c>
      <c r="BN1372" s="105" t="n">
        <v>0</v>
      </c>
      <c r="BO1372" s="105" t="n">
        <v>0</v>
      </c>
      <c r="BP1372" s="105" t="n">
        <v>0</v>
      </c>
      <c r="BQ1372" s="105" t="n">
        <v>0</v>
      </c>
      <c r="BR1372" s="106" t="n">
        <v>0</v>
      </c>
      <c r="BS1372" s="106" t="n">
        <v>0</v>
      </c>
      <c r="BT1372" s="107"/>
      <c r="BU1372" s="107"/>
      <c r="BV1372" s="107"/>
      <c r="BW1372" s="107"/>
      <c r="BX1372" s="107"/>
      <c r="BY1372" s="107"/>
      <c r="BZ1372" s="107"/>
      <c r="CA1372" s="107"/>
      <c r="CB1372" s="107"/>
      <c r="CC1372" s="107"/>
      <c r="CD1372" s="107"/>
      <c r="CE1372" s="107"/>
      <c r="CF1372" s="107"/>
      <c r="CG1372" s="107"/>
      <c r="CH1372" s="107"/>
      <c r="CI1372" s="107"/>
      <c r="CJ1372" s="107"/>
      <c r="CK1372" s="107"/>
      <c r="CL1372" s="107"/>
      <c r="CM1372" s="107"/>
      <c r="CN1372" s="107"/>
      <c r="CO1372" s="107"/>
      <c r="CP1372" s="107"/>
      <c r="CQ1372" s="107"/>
      <c r="CR1372" s="107"/>
      <c r="CS1372" s="107"/>
      <c r="CT1372" s="107"/>
      <c r="CU1372" s="107"/>
      <c r="CV1372" s="107"/>
    </row>
    <row r="1373" customFormat="false" ht="14.9" hidden="false" customHeight="false" outlineLevel="0" collapsed="false">
      <c r="A1373" s="74" t="n">
        <f aca="false">MONTH(B1373)</f>
        <v>11</v>
      </c>
      <c r="B1373" s="135" t="n">
        <v>44524</v>
      </c>
      <c r="C1373" s="128" t="s">
        <v>51</v>
      </c>
      <c r="D1373" s="77" t="str">
        <f aca="false">IFERROR(VLOOKUP(E:E,'Item Data Support Sheet'!A:O,7,0),"")</f>
        <v>BOTTLE MOLDED</v>
      </c>
      <c r="E1373" s="80" t="s">
        <v>357</v>
      </c>
      <c r="F1373" s="122" t="s">
        <v>1286</v>
      </c>
      <c r="G1373" s="137" t="s">
        <v>80</v>
      </c>
      <c r="H1373" s="79" t="str">
        <f aca="false">IFERROR(VLOOKUP(E:E,'Item Data Support Sheet'!A:O,2,0),"")</f>
        <v>KPP 120 ML BOTTLE MOLDED</v>
      </c>
      <c r="I1373" s="80" t="s">
        <v>2172</v>
      </c>
      <c r="J1373" s="80" t="s">
        <v>148</v>
      </c>
      <c r="K1373" s="124" t="n">
        <v>8</v>
      </c>
      <c r="L1373" s="124" t="n">
        <v>2574</v>
      </c>
      <c r="M1373" s="83" t="n">
        <v>321.75</v>
      </c>
      <c r="N1373" s="84" t="n">
        <f aca="false">+O1373+Q1373+T1373+U1373</f>
        <v>945</v>
      </c>
      <c r="O1373" s="85" t="n">
        <v>720</v>
      </c>
      <c r="P1373" s="86" t="n">
        <v>0</v>
      </c>
      <c r="Q1373" s="86" t="n">
        <v>167</v>
      </c>
      <c r="R1373" s="132" t="n">
        <v>0</v>
      </c>
      <c r="S1373" s="128" t="n">
        <v>0</v>
      </c>
      <c r="T1373" s="132" t="n">
        <v>40</v>
      </c>
      <c r="U1373" s="128" t="n">
        <v>18</v>
      </c>
      <c r="V1373" s="128" t="n">
        <v>1</v>
      </c>
      <c r="W1373" s="90" t="n">
        <f aca="false">IFERROR(O1373/V1373,0)</f>
        <v>720</v>
      </c>
      <c r="X1373" s="91" t="n">
        <f aca="false">O1373/L1373</f>
        <v>0.27972027972028</v>
      </c>
      <c r="Y1373" s="92" t="str">
        <f aca="false">IFERROR(VLOOKUP(E:E,'Item Data Support Sheet'!A:J,6,0),0)</f>
        <v>HMC</v>
      </c>
      <c r="Z1373" s="93" t="n">
        <f aca="false">IFERROR(VLOOKUP(E:E,'Item Data Support Sheet'!A:O,4,0),0)</f>
        <v>21.3</v>
      </c>
      <c r="AA1373" s="93" t="n">
        <f aca="false">IFERROR(((N1373)*(Z1373/1000))+P1373,0)</f>
        <v>20.1285</v>
      </c>
      <c r="AB1373" s="94" t="n">
        <f aca="false">IFERROR((O1373*(Z1373/1000)/(AA1373))," ")</f>
        <v>0.761904761904762</v>
      </c>
      <c r="AC1373" s="95" t="n">
        <f aca="false">IFERROR((T1373)/((T1373)+O1373),0)</f>
        <v>0.0526315789473684</v>
      </c>
      <c r="AD1373" s="96" t="n">
        <f aca="false">IFERROR(Q1373/(Q1373+N1373),0)</f>
        <v>0.150179856115108</v>
      </c>
      <c r="AE1373" s="91" t="n">
        <f aca="false">(N1373-T1373)/N1373</f>
        <v>0.957671957671958</v>
      </c>
      <c r="AF1373" s="97" t="n">
        <f aca="false">BR1373</f>
        <v>0</v>
      </c>
      <c r="AG1373" s="98" t="n">
        <f aca="false">K1373-AF1373</f>
        <v>8</v>
      </c>
      <c r="AH1373" s="99" t="n">
        <f aca="false">IFERROR(AG1373/K1373," ")</f>
        <v>1</v>
      </c>
      <c r="AI1373" s="100" t="n">
        <f aca="false">IFERROR(O1373/K1373,0)</f>
        <v>90</v>
      </c>
      <c r="AJ1373" s="101" t="n">
        <f aca="false">VLOOKUP(D1373,'Standard Cycle time'!C:D,2,0)</f>
        <v>9</v>
      </c>
      <c r="AK1373" s="101" t="n">
        <f aca="false">AG1373*V1373*3600/O1373</f>
        <v>40</v>
      </c>
      <c r="AL1373" s="102" t="n">
        <f aca="false">AJ1373/AK1373</f>
        <v>0.225</v>
      </c>
      <c r="AM1373" s="99" t="n">
        <f aca="false">AE1373*AL1373*AH1373</f>
        <v>0.21547619047619</v>
      </c>
      <c r="AN1373" s="103" t="n">
        <v>0.21547619047619</v>
      </c>
      <c r="AO1373" s="112" t="s">
        <v>2173</v>
      </c>
      <c r="AP1373" s="105" t="n">
        <v>0</v>
      </c>
      <c r="AQ1373" s="105" t="n">
        <v>0</v>
      </c>
      <c r="AR1373" s="105" t="n">
        <v>0</v>
      </c>
      <c r="AS1373" s="105" t="n">
        <v>0</v>
      </c>
      <c r="AT1373" s="105" t="n">
        <v>0</v>
      </c>
      <c r="AU1373" s="105" t="n">
        <v>0</v>
      </c>
      <c r="AV1373" s="105" t="n">
        <v>0</v>
      </c>
      <c r="AW1373" s="105" t="n">
        <v>0</v>
      </c>
      <c r="AX1373" s="105" t="n">
        <v>0</v>
      </c>
      <c r="AY1373" s="105" t="n">
        <v>0</v>
      </c>
      <c r="AZ1373" s="105" t="n">
        <v>0</v>
      </c>
      <c r="BA1373" s="105" t="n">
        <v>0</v>
      </c>
      <c r="BB1373" s="105" t="n">
        <v>0</v>
      </c>
      <c r="BC1373" s="105" t="n">
        <v>0</v>
      </c>
      <c r="BD1373" s="105" t="n">
        <v>0</v>
      </c>
      <c r="BE1373" s="105" t="n">
        <v>0</v>
      </c>
      <c r="BF1373" s="105" t="n">
        <v>0</v>
      </c>
      <c r="BG1373" s="105" t="n">
        <v>0</v>
      </c>
      <c r="BH1373" s="105" t="n">
        <v>0</v>
      </c>
      <c r="BI1373" s="105" t="n">
        <v>0</v>
      </c>
      <c r="BJ1373" s="105" t="n">
        <v>0</v>
      </c>
      <c r="BK1373" s="105" t="n">
        <v>0</v>
      </c>
      <c r="BL1373" s="105" t="n">
        <v>0</v>
      </c>
      <c r="BM1373" s="105" t="n">
        <v>0</v>
      </c>
      <c r="BN1373" s="105" t="n">
        <v>0</v>
      </c>
      <c r="BO1373" s="105" t="n">
        <v>0</v>
      </c>
      <c r="BP1373" s="105" t="n">
        <v>0</v>
      </c>
      <c r="BQ1373" s="105" t="n">
        <v>0</v>
      </c>
      <c r="BR1373" s="106" t="n">
        <v>0</v>
      </c>
      <c r="BS1373" s="106" t="n">
        <v>0</v>
      </c>
      <c r="BT1373" s="107"/>
      <c r="BU1373" s="107"/>
      <c r="BV1373" s="107"/>
      <c r="BW1373" s="107"/>
      <c r="BX1373" s="107"/>
      <c r="BY1373" s="107"/>
      <c r="BZ1373" s="107"/>
      <c r="CA1373" s="107"/>
      <c r="CB1373" s="107"/>
      <c r="CC1373" s="107"/>
      <c r="CD1373" s="107"/>
      <c r="CE1373" s="107"/>
      <c r="CF1373" s="107"/>
      <c r="CG1373" s="107"/>
      <c r="CH1373" s="107"/>
      <c r="CI1373" s="107"/>
      <c r="CJ1373" s="107"/>
      <c r="CK1373" s="107"/>
      <c r="CL1373" s="107"/>
      <c r="CM1373" s="107"/>
      <c r="CN1373" s="107"/>
      <c r="CO1373" s="107"/>
      <c r="CP1373" s="107"/>
      <c r="CQ1373" s="107"/>
      <c r="CR1373" s="107"/>
      <c r="CS1373" s="107"/>
      <c r="CT1373" s="107"/>
      <c r="CU1373" s="107"/>
      <c r="CV1373" s="107"/>
    </row>
    <row r="1374" customFormat="false" ht="14.9" hidden="false" customHeight="false" outlineLevel="0" collapsed="false">
      <c r="A1374" s="74" t="n">
        <f aca="false">MONTH(B1374)</f>
        <v>11</v>
      </c>
      <c r="B1374" s="135" t="n">
        <v>44524</v>
      </c>
      <c r="C1374" s="128" t="s">
        <v>51</v>
      </c>
      <c r="D1374" s="77" t="str">
        <f aca="false">IFERROR(VLOOKUP(E:E,'Item Data Support Sheet'!A:O,7,0),"")</f>
        <v>NIPPLE PUNCH</v>
      </c>
      <c r="E1374" s="80" t="s">
        <v>60</v>
      </c>
      <c r="F1374" s="122"/>
      <c r="G1374" s="137" t="s">
        <v>54</v>
      </c>
      <c r="H1374" s="79" t="str">
        <f aca="false">IFERROR(VLOOKUP(E:E,'Item Data Support Sheet'!A:O,2,0),"")</f>
        <v>NIPPLE S TYPE M SIZE PUNCHED</v>
      </c>
      <c r="I1374" s="80" t="s">
        <v>2174</v>
      </c>
      <c r="J1374" s="80" t="s">
        <v>148</v>
      </c>
      <c r="K1374" s="124" t="n">
        <v>8</v>
      </c>
      <c r="L1374" s="124" t="n">
        <v>7000</v>
      </c>
      <c r="M1374" s="83" t="n">
        <v>875</v>
      </c>
      <c r="N1374" s="84" t="n">
        <f aca="false">+O1374+Q1374+T1374+U1374</f>
        <v>4946</v>
      </c>
      <c r="O1374" s="85" t="n">
        <v>4936</v>
      </c>
      <c r="P1374" s="86" t="n">
        <v>0</v>
      </c>
      <c r="Q1374" s="86" t="n">
        <v>0</v>
      </c>
      <c r="R1374" s="132" t="n">
        <v>0</v>
      </c>
      <c r="S1374" s="128" t="n">
        <v>0</v>
      </c>
      <c r="T1374" s="132" t="n">
        <v>10</v>
      </c>
      <c r="U1374" s="128" t="n">
        <v>0</v>
      </c>
      <c r="V1374" s="128" t="n">
        <v>1</v>
      </c>
      <c r="W1374" s="90" t="n">
        <f aca="false">IFERROR(O1374/V1374,0)</f>
        <v>4936</v>
      </c>
      <c r="X1374" s="91" t="n">
        <f aca="false">O1374/L1374</f>
        <v>0.705142857142857</v>
      </c>
      <c r="Y1374" s="92" t="str">
        <f aca="false">IFERROR(VLOOKUP(E:E,'Item Data Support Sheet'!A:J,6,0),0)</f>
        <v>FO016</v>
      </c>
      <c r="Z1374" s="93" t="n">
        <f aca="false">IFERROR(VLOOKUP(E:E,'Item Data Support Sheet'!A:O,4,0),0)</f>
        <v>0</v>
      </c>
      <c r="AA1374" s="93" t="n">
        <f aca="false">IFERROR(((N1374)*(Z1374/1000))+P1374,0)</f>
        <v>0</v>
      </c>
      <c r="AB1374" s="94" t="str">
        <f aca="false">IFERROR((O1374*(Z1374/1000)/(AA1374))," ")</f>
        <v> </v>
      </c>
      <c r="AC1374" s="95" t="n">
        <f aca="false">IFERROR((T1374)/((T1374)+O1374),0)</f>
        <v>0.00202183582693085</v>
      </c>
      <c r="AD1374" s="96" t="n">
        <f aca="false">IFERROR(Q1374/(Q1374+N1374),0)</f>
        <v>0</v>
      </c>
      <c r="AE1374" s="91" t="n">
        <f aca="false">(N1374-T1374)/N1374</f>
        <v>0.997978164173069</v>
      </c>
      <c r="AF1374" s="97" t="n">
        <f aca="false">BR1374</f>
        <v>0.716666666666667</v>
      </c>
      <c r="AG1374" s="98" t="n">
        <f aca="false">K1374-AF1374</f>
        <v>7.28333333333333</v>
      </c>
      <c r="AH1374" s="99" t="n">
        <f aca="false">IFERROR(AG1374/K1374," ")</f>
        <v>0.910416666666667</v>
      </c>
      <c r="AI1374" s="100" t="n">
        <f aca="false">IFERROR(O1374/K1374,0)</f>
        <v>617</v>
      </c>
      <c r="AJ1374" s="101" t="n">
        <f aca="false">VLOOKUP(D1374,'Standard Cycle time'!C:D,2,0)</f>
        <v>3.5</v>
      </c>
      <c r="AK1374" s="101" t="n">
        <f aca="false">AG1374*V1374*3600/O1374</f>
        <v>5.31199351701783</v>
      </c>
      <c r="AL1374" s="102" t="n">
        <f aca="false">AJ1374/AK1374</f>
        <v>0.658886346300534</v>
      </c>
      <c r="AM1374" s="99" t="n">
        <f aca="false">AE1374*AL1374*AH1374</f>
        <v>0.598648290425484</v>
      </c>
      <c r="AN1374" s="103" t="n">
        <v>0.598648290425484</v>
      </c>
      <c r="AO1374" s="112" t="s">
        <v>2175</v>
      </c>
      <c r="AP1374" s="105" t="n">
        <v>40</v>
      </c>
      <c r="AQ1374" s="105" t="n">
        <v>0</v>
      </c>
      <c r="AR1374" s="105" t="n">
        <v>0</v>
      </c>
      <c r="AS1374" s="105" t="n">
        <v>0</v>
      </c>
      <c r="AT1374" s="105" t="n">
        <v>0</v>
      </c>
      <c r="AU1374" s="105" t="n">
        <v>0</v>
      </c>
      <c r="AV1374" s="105" t="n">
        <v>0</v>
      </c>
      <c r="AW1374" s="105" t="n">
        <v>0</v>
      </c>
      <c r="AX1374" s="105" t="n">
        <v>0</v>
      </c>
      <c r="AY1374" s="105" t="n">
        <v>0</v>
      </c>
      <c r="AZ1374" s="105" t="n">
        <v>0</v>
      </c>
      <c r="BA1374" s="105" t="n">
        <v>0</v>
      </c>
      <c r="BB1374" s="105" t="n">
        <v>0</v>
      </c>
      <c r="BC1374" s="105" t="n">
        <v>0</v>
      </c>
      <c r="BD1374" s="105" t="n">
        <v>0</v>
      </c>
      <c r="BE1374" s="105" t="n">
        <v>0</v>
      </c>
      <c r="BF1374" s="105" t="n">
        <v>0</v>
      </c>
      <c r="BG1374" s="105" t="n">
        <v>0</v>
      </c>
      <c r="BH1374" s="105" t="n">
        <v>0</v>
      </c>
      <c r="BI1374" s="105" t="n">
        <v>0</v>
      </c>
      <c r="BJ1374" s="105" t="n">
        <v>0</v>
      </c>
      <c r="BK1374" s="105" t="n">
        <v>0</v>
      </c>
      <c r="BL1374" s="105" t="n">
        <v>0</v>
      </c>
      <c r="BM1374" s="105" t="n">
        <v>0</v>
      </c>
      <c r="BN1374" s="105" t="n">
        <v>0</v>
      </c>
      <c r="BO1374" s="105" t="n">
        <v>0</v>
      </c>
      <c r="BP1374" s="105" t="n">
        <v>0</v>
      </c>
      <c r="BQ1374" s="105" t="n">
        <v>3</v>
      </c>
      <c r="BR1374" s="106" t="n">
        <v>0.716666666666667</v>
      </c>
      <c r="BS1374" s="106" t="n">
        <v>0.716666666666667</v>
      </c>
      <c r="BT1374" s="107"/>
      <c r="BU1374" s="107"/>
      <c r="BV1374" s="107"/>
      <c r="BW1374" s="107"/>
      <c r="BX1374" s="107"/>
      <c r="BY1374" s="107"/>
      <c r="BZ1374" s="107"/>
      <c r="CA1374" s="107"/>
      <c r="CB1374" s="107"/>
      <c r="CC1374" s="107"/>
      <c r="CD1374" s="107"/>
      <c r="CE1374" s="107"/>
      <c r="CF1374" s="107"/>
      <c r="CG1374" s="107"/>
      <c r="CH1374" s="107"/>
      <c r="CI1374" s="107"/>
      <c r="CJ1374" s="107"/>
      <c r="CK1374" s="107"/>
      <c r="CL1374" s="107"/>
      <c r="CM1374" s="107"/>
      <c r="CN1374" s="107"/>
      <c r="CO1374" s="107"/>
      <c r="CP1374" s="107"/>
      <c r="CQ1374" s="107"/>
      <c r="CR1374" s="107"/>
      <c r="CS1374" s="107"/>
      <c r="CT1374" s="107"/>
      <c r="CU1374" s="107"/>
      <c r="CV1374" s="107"/>
    </row>
    <row r="1375" customFormat="false" ht="14.9" hidden="false" customHeight="false" outlineLevel="0" collapsed="false">
      <c r="A1375" s="74" t="n">
        <f aca="false">MONTH(B1375)</f>
        <v>11</v>
      </c>
      <c r="B1375" s="135" t="n">
        <v>44524</v>
      </c>
      <c r="C1375" s="128" t="s">
        <v>51</v>
      </c>
      <c r="D1375" s="77" t="str">
        <f aca="false">IFERROR(VLOOKUP(E:E,'Item Data Support Sheet'!A:O,7,0),"")</f>
        <v>NIPPLE LASER MARKING</v>
      </c>
      <c r="E1375" s="80" t="s">
        <v>932</v>
      </c>
      <c r="F1375" s="122"/>
      <c r="G1375" s="137" t="s">
        <v>517</v>
      </c>
      <c r="H1375" s="79" t="str">
        <f aca="false">IFERROR(VLOOKUP(E:E,'Item Data Support Sheet'!A:O,2,0),"")</f>
        <v>NIPPLE S TYPE M SIZE PUNCHED LASER MARKED</v>
      </c>
      <c r="I1375" s="80" t="s">
        <v>2176</v>
      </c>
      <c r="J1375" s="80" t="s">
        <v>148</v>
      </c>
      <c r="K1375" s="124" t="n">
        <v>8</v>
      </c>
      <c r="L1375" s="124" t="n">
        <v>7000</v>
      </c>
      <c r="M1375" s="83" t="n">
        <v>875</v>
      </c>
      <c r="N1375" s="84" t="n">
        <f aca="false">+O1375+Q1375+T1375+U1375</f>
        <v>4000</v>
      </c>
      <c r="O1375" s="85" t="n">
        <v>4000</v>
      </c>
      <c r="P1375" s="86" t="n">
        <v>0</v>
      </c>
      <c r="Q1375" s="86" t="n">
        <v>0</v>
      </c>
      <c r="R1375" s="132" t="n">
        <v>0</v>
      </c>
      <c r="S1375" s="128" t="n">
        <v>0</v>
      </c>
      <c r="T1375" s="132" t="n">
        <v>0</v>
      </c>
      <c r="U1375" s="128" t="n">
        <v>0</v>
      </c>
      <c r="V1375" s="128" t="n">
        <v>1</v>
      </c>
      <c r="W1375" s="90" t="n">
        <f aca="false">IFERROR(O1375/V1375,0)</f>
        <v>4000</v>
      </c>
      <c r="X1375" s="91" t="n">
        <f aca="false">O1375/L1375</f>
        <v>0.571428571428571</v>
      </c>
      <c r="Y1375" s="92" t="str">
        <f aca="false">IFERROR(VLOOKUP(E:E,'Item Data Support Sheet'!A:J,6,0),0)</f>
        <v>FO020</v>
      </c>
      <c r="Z1375" s="93" t="n">
        <f aca="false">IFERROR(VLOOKUP(E:E,'Item Data Support Sheet'!A:O,4,0),0)</f>
        <v>0</v>
      </c>
      <c r="AA1375" s="93" t="n">
        <f aca="false">IFERROR(((N1375)*(Z1375/1000))+P1375,0)</f>
        <v>0</v>
      </c>
      <c r="AB1375" s="94" t="str">
        <f aca="false">IFERROR((O1375*(Z1375/1000)/(AA1375))," ")</f>
        <v> </v>
      </c>
      <c r="AC1375" s="95" t="n">
        <f aca="false">IFERROR((T1375)/((T1375)+O1375),0)</f>
        <v>0</v>
      </c>
      <c r="AD1375" s="96" t="n">
        <f aca="false">IFERROR(Q1375/(Q1375+N1375),0)</f>
        <v>0</v>
      </c>
      <c r="AE1375" s="91" t="n">
        <f aca="false">(N1375-T1375)/N1375</f>
        <v>1</v>
      </c>
      <c r="AF1375" s="97" t="n">
        <f aca="false">BR1375</f>
        <v>0.666666666666667</v>
      </c>
      <c r="AG1375" s="98" t="n">
        <f aca="false">K1375-AF1375</f>
        <v>7.33333333333333</v>
      </c>
      <c r="AH1375" s="99" t="n">
        <f aca="false">IFERROR(AG1375/K1375," ")</f>
        <v>0.916666666666667</v>
      </c>
      <c r="AI1375" s="100" t="n">
        <f aca="false">IFERROR(O1375/K1375,0)</f>
        <v>500</v>
      </c>
      <c r="AJ1375" s="101" t="n">
        <f aca="false">VLOOKUP(D1375,'Standard Cycle time'!C:D,2,0)</f>
        <v>3.5</v>
      </c>
      <c r="AK1375" s="101" t="n">
        <f aca="false">AG1375*V1375*3600/O1375</f>
        <v>6.6</v>
      </c>
      <c r="AL1375" s="102" t="n">
        <f aca="false">AJ1375/AK1375</f>
        <v>0.53030303030303</v>
      </c>
      <c r="AM1375" s="99" t="n">
        <f aca="false">AE1375*AL1375*AH1375</f>
        <v>0.486111111111111</v>
      </c>
      <c r="AN1375" s="103" t="n">
        <v>0.486111111111111</v>
      </c>
      <c r="AO1375" s="112" t="s">
        <v>2177</v>
      </c>
      <c r="AP1375" s="105" t="n">
        <v>40</v>
      </c>
      <c r="AQ1375" s="105" t="n">
        <v>0</v>
      </c>
      <c r="AR1375" s="105" t="n">
        <v>0</v>
      </c>
      <c r="AS1375" s="105" t="n">
        <v>0</v>
      </c>
      <c r="AT1375" s="105" t="n">
        <v>0</v>
      </c>
      <c r="AU1375" s="105" t="n">
        <v>0</v>
      </c>
      <c r="AV1375" s="105" t="n">
        <v>0</v>
      </c>
      <c r="AW1375" s="105" t="n">
        <v>0</v>
      </c>
      <c r="AX1375" s="105" t="n">
        <v>0</v>
      </c>
      <c r="AY1375" s="105" t="n">
        <v>0</v>
      </c>
      <c r="AZ1375" s="105" t="n">
        <v>0</v>
      </c>
      <c r="BA1375" s="105" t="n">
        <v>0</v>
      </c>
      <c r="BB1375" s="105" t="n">
        <v>0</v>
      </c>
      <c r="BC1375" s="105" t="n">
        <v>0</v>
      </c>
      <c r="BD1375" s="105" t="n">
        <v>0</v>
      </c>
      <c r="BE1375" s="105" t="n">
        <v>0</v>
      </c>
      <c r="BF1375" s="105" t="n">
        <v>0</v>
      </c>
      <c r="BG1375" s="105" t="n">
        <v>0</v>
      </c>
      <c r="BH1375" s="105" t="n">
        <v>0</v>
      </c>
      <c r="BI1375" s="105" t="n">
        <v>0</v>
      </c>
      <c r="BJ1375" s="105" t="n">
        <v>0</v>
      </c>
      <c r="BK1375" s="105" t="n">
        <v>0</v>
      </c>
      <c r="BL1375" s="105" t="n">
        <v>0</v>
      </c>
      <c r="BM1375" s="105" t="n">
        <v>0</v>
      </c>
      <c r="BN1375" s="105" t="n">
        <v>0</v>
      </c>
      <c r="BO1375" s="105" t="n">
        <v>0</v>
      </c>
      <c r="BP1375" s="105" t="n">
        <v>0</v>
      </c>
      <c r="BQ1375" s="105" t="n">
        <v>0</v>
      </c>
      <c r="BR1375" s="106" t="n">
        <v>0.666666666666667</v>
      </c>
      <c r="BS1375" s="106" t="n">
        <v>0.666666666666667</v>
      </c>
      <c r="BT1375" s="107"/>
      <c r="BU1375" s="107"/>
      <c r="BV1375" s="107"/>
      <c r="BW1375" s="107"/>
      <c r="BX1375" s="107"/>
      <c r="BY1375" s="107"/>
      <c r="BZ1375" s="107"/>
      <c r="CA1375" s="107"/>
      <c r="CB1375" s="107"/>
      <c r="CC1375" s="107"/>
      <c r="CD1375" s="107"/>
      <c r="CE1375" s="107"/>
      <c r="CF1375" s="107"/>
      <c r="CG1375" s="107"/>
      <c r="CH1375" s="107"/>
      <c r="CI1375" s="107"/>
      <c r="CJ1375" s="107"/>
      <c r="CK1375" s="107"/>
      <c r="CL1375" s="107"/>
      <c r="CM1375" s="107"/>
      <c r="CN1375" s="107"/>
      <c r="CO1375" s="107"/>
      <c r="CP1375" s="107"/>
      <c r="CQ1375" s="107"/>
      <c r="CR1375" s="107"/>
      <c r="CS1375" s="107"/>
      <c r="CT1375" s="107"/>
      <c r="CU1375" s="107"/>
      <c r="CV1375" s="107"/>
    </row>
    <row r="1376" customFormat="false" ht="14.9" hidden="false" customHeight="false" outlineLevel="0" collapsed="false">
      <c r="A1376" s="74" t="n">
        <f aca="false">MONTH(B1376)</f>
        <v>11</v>
      </c>
      <c r="B1376" s="135" t="n">
        <v>44524</v>
      </c>
      <c r="C1376" s="128" t="s">
        <v>63</v>
      </c>
      <c r="D1376" s="77" t="str">
        <f aca="false">IFERROR(VLOOKUP(E:E,'Item Data Support Sheet'!A:O,7,0),"")</f>
        <v>NIPPLE PUNCH INSPECTED</v>
      </c>
      <c r="E1376" s="80" t="s">
        <v>688</v>
      </c>
      <c r="F1376" s="122"/>
      <c r="G1376" s="137"/>
      <c r="H1376" s="79" t="str">
        <f aca="false">IFERROR(VLOOKUP(E:E,'Item Data Support Sheet'!A:O,2,0),"")</f>
        <v>NIPPLE S TYPE L SIZE PUNCHED INSPECTED</v>
      </c>
      <c r="I1376" s="80" t="s">
        <v>2178</v>
      </c>
      <c r="J1376" s="80" t="s">
        <v>158</v>
      </c>
      <c r="K1376" s="124" t="n">
        <v>1</v>
      </c>
      <c r="L1376" s="124" t="n">
        <v>1750</v>
      </c>
      <c r="M1376" s="83" t="n">
        <v>1750</v>
      </c>
      <c r="N1376" s="84" t="n">
        <f aca="false">+O1376+Q1376+T1376+U1376</f>
        <v>2000</v>
      </c>
      <c r="O1376" s="85" t="n">
        <v>1983</v>
      </c>
      <c r="P1376" s="86" t="n">
        <v>0</v>
      </c>
      <c r="Q1376" s="86" t="n">
        <v>0</v>
      </c>
      <c r="R1376" s="132" t="n">
        <v>0</v>
      </c>
      <c r="S1376" s="128" t="n">
        <v>0</v>
      </c>
      <c r="T1376" s="132" t="n">
        <v>17</v>
      </c>
      <c r="U1376" s="128" t="n">
        <v>0</v>
      </c>
      <c r="V1376" s="128" t="n">
        <v>2</v>
      </c>
      <c r="W1376" s="90" t="n">
        <f aca="false">IFERROR(O1376/V1376,0)</f>
        <v>991.5</v>
      </c>
      <c r="X1376" s="91" t="n">
        <f aca="false">O1376/L1376</f>
        <v>1.13314285714286</v>
      </c>
      <c r="Y1376" s="92" t="str">
        <f aca="false">IFERROR(VLOOKUP(E:E,'Item Data Support Sheet'!A:J,6,0),0)</f>
        <v>FO106</v>
      </c>
      <c r="Z1376" s="93" t="n">
        <f aca="false">IFERROR(VLOOKUP(E:E,'Item Data Support Sheet'!A:O,4,0),0)</f>
        <v>0</v>
      </c>
      <c r="AA1376" s="93" t="n">
        <f aca="false">IFERROR(((N1376)*(Z1376/1000))+P1376,0)</f>
        <v>0</v>
      </c>
      <c r="AB1376" s="94" t="str">
        <f aca="false">IFERROR((O1376*(Z1376/1000)/(AA1376))," ")</f>
        <v> </v>
      </c>
      <c r="AC1376" s="95" t="n">
        <f aca="false">IFERROR((T1376)/((T1376)+O1376),0)</f>
        <v>0.0085</v>
      </c>
      <c r="AD1376" s="96" t="n">
        <f aca="false">IFERROR(Q1376/(Q1376+N1376),0)</f>
        <v>0</v>
      </c>
      <c r="AE1376" s="91" t="n">
        <f aca="false">(N1376-T1376)/N1376</f>
        <v>0.9915</v>
      </c>
      <c r="AF1376" s="97" t="n">
        <f aca="false">BR1376</f>
        <v>0</v>
      </c>
      <c r="AG1376" s="98" t="n">
        <f aca="false">K1376-AF1376</f>
        <v>1</v>
      </c>
      <c r="AH1376" s="99" t="n">
        <f aca="false">IFERROR(AG1376/K1376," ")</f>
        <v>1</v>
      </c>
      <c r="AI1376" s="100" t="n">
        <f aca="false">IFERROR(O1376/K1376,0)</f>
        <v>1983</v>
      </c>
      <c r="AJ1376" s="101" t="n">
        <f aca="false">VLOOKUP(D1376,'Standard Cycle time'!C:D,2,0)</f>
        <v>4</v>
      </c>
      <c r="AK1376" s="101" t="n">
        <f aca="false">AG1376*V1376*3600/O1376</f>
        <v>3.63086232980333</v>
      </c>
      <c r="AL1376" s="102" t="n">
        <f aca="false">AJ1376/AK1376</f>
        <v>1.10166666666667</v>
      </c>
      <c r="AM1376" s="99" t="n">
        <f aca="false">AE1376*AL1376*AH1376</f>
        <v>1.0923025</v>
      </c>
      <c r="AN1376" s="103" t="n">
        <v>1.0923025</v>
      </c>
      <c r="AO1376" s="112"/>
      <c r="AP1376" s="105" t="n">
        <v>0</v>
      </c>
      <c r="AQ1376" s="105" t="n">
        <v>0</v>
      </c>
      <c r="AR1376" s="105" t="n">
        <v>0</v>
      </c>
      <c r="AS1376" s="105" t="n">
        <v>0</v>
      </c>
      <c r="AT1376" s="105" t="n">
        <v>0</v>
      </c>
      <c r="AU1376" s="105" t="n">
        <v>0</v>
      </c>
      <c r="AV1376" s="105" t="n">
        <v>0</v>
      </c>
      <c r="AW1376" s="105" t="n">
        <v>0</v>
      </c>
      <c r="AX1376" s="105" t="n">
        <v>0</v>
      </c>
      <c r="AY1376" s="105" t="n">
        <v>0</v>
      </c>
      <c r="AZ1376" s="105" t="n">
        <v>0</v>
      </c>
      <c r="BA1376" s="105" t="n">
        <v>0</v>
      </c>
      <c r="BB1376" s="105" t="n">
        <v>0</v>
      </c>
      <c r="BC1376" s="105" t="n">
        <v>0</v>
      </c>
      <c r="BD1376" s="105" t="n">
        <v>0</v>
      </c>
      <c r="BE1376" s="105" t="n">
        <v>0</v>
      </c>
      <c r="BF1376" s="105" t="n">
        <v>0</v>
      </c>
      <c r="BG1376" s="105" t="n">
        <v>0</v>
      </c>
      <c r="BH1376" s="105" t="n">
        <v>0</v>
      </c>
      <c r="BI1376" s="105" t="n">
        <v>0</v>
      </c>
      <c r="BJ1376" s="105" t="n">
        <v>0</v>
      </c>
      <c r="BK1376" s="105" t="n">
        <v>0</v>
      </c>
      <c r="BL1376" s="105" t="n">
        <v>0</v>
      </c>
      <c r="BM1376" s="105" t="n">
        <v>0</v>
      </c>
      <c r="BN1376" s="105" t="n">
        <v>0</v>
      </c>
      <c r="BO1376" s="105" t="n">
        <v>0</v>
      </c>
      <c r="BP1376" s="105" t="n">
        <v>0</v>
      </c>
      <c r="BQ1376" s="105" t="n">
        <v>0</v>
      </c>
      <c r="BR1376" s="106" t="n">
        <v>0</v>
      </c>
      <c r="BS1376" s="106" t="n">
        <v>0</v>
      </c>
      <c r="BT1376" s="107"/>
      <c r="BU1376" s="107"/>
      <c r="BV1376" s="107"/>
      <c r="BW1376" s="107"/>
      <c r="BX1376" s="107"/>
      <c r="BY1376" s="107"/>
      <c r="BZ1376" s="107"/>
      <c r="CA1376" s="107"/>
      <c r="CB1376" s="107"/>
      <c r="CC1376" s="107"/>
      <c r="CD1376" s="107"/>
      <c r="CE1376" s="107"/>
      <c r="CF1376" s="107"/>
      <c r="CG1376" s="107"/>
      <c r="CH1376" s="107"/>
      <c r="CI1376" s="107"/>
      <c r="CJ1376" s="107"/>
      <c r="CK1376" s="107"/>
      <c r="CL1376" s="107"/>
      <c r="CM1376" s="107"/>
      <c r="CN1376" s="107"/>
      <c r="CO1376" s="107"/>
      <c r="CP1376" s="107"/>
      <c r="CQ1376" s="107"/>
      <c r="CR1376" s="107"/>
      <c r="CS1376" s="107"/>
      <c r="CT1376" s="107"/>
      <c r="CU1376" s="107"/>
      <c r="CV1376" s="107"/>
    </row>
    <row r="1377" customFormat="false" ht="14.9" hidden="false" customHeight="false" outlineLevel="0" collapsed="false">
      <c r="A1377" s="74" t="n">
        <f aca="false">MONTH(B1377)</f>
        <v>11</v>
      </c>
      <c r="B1377" s="135" t="n">
        <v>44524</v>
      </c>
      <c r="C1377" s="128" t="s">
        <v>63</v>
      </c>
      <c r="D1377" s="77" t="str">
        <f aca="false">IFERROR(VLOOKUP(E:E,'Item Data Support Sheet'!A:O,7,0),"")</f>
        <v>NIPPLE PUNCH INSPECTED</v>
      </c>
      <c r="E1377" s="80" t="s">
        <v>182</v>
      </c>
      <c r="F1377" s="122"/>
      <c r="G1377" s="137"/>
      <c r="H1377" s="79" t="str">
        <f aca="false">IFERROR(VLOOKUP(E:E,'Item Data Support Sheet'!A:O,2,0),"")</f>
        <v>NIPPLE S TYPE M SIZE PUNCHED INSPECTED</v>
      </c>
      <c r="I1377" s="80" t="s">
        <v>2179</v>
      </c>
      <c r="J1377" s="80" t="s">
        <v>158</v>
      </c>
      <c r="K1377" s="124" t="n">
        <v>7</v>
      </c>
      <c r="L1377" s="124" t="n">
        <v>12250</v>
      </c>
      <c r="M1377" s="83" t="n">
        <v>1750</v>
      </c>
      <c r="N1377" s="84" t="n">
        <f aca="false">+O1377+Q1377+T1377+U1377</f>
        <v>13860</v>
      </c>
      <c r="O1377" s="85" t="n">
        <v>13791</v>
      </c>
      <c r="P1377" s="86" t="n">
        <v>0</v>
      </c>
      <c r="Q1377" s="86" t="n">
        <v>0</v>
      </c>
      <c r="R1377" s="132" t="n">
        <v>0</v>
      </c>
      <c r="S1377" s="128" t="n">
        <v>0</v>
      </c>
      <c r="T1377" s="132" t="n">
        <v>69</v>
      </c>
      <c r="U1377" s="128" t="n">
        <v>0</v>
      </c>
      <c r="V1377" s="128" t="n">
        <v>2</v>
      </c>
      <c r="W1377" s="90" t="n">
        <f aca="false">IFERROR(O1377/V1377,0)</f>
        <v>6895.5</v>
      </c>
      <c r="X1377" s="91" t="n">
        <f aca="false">O1377/L1377</f>
        <v>1.12579591836735</v>
      </c>
      <c r="Y1377" s="92" t="str">
        <f aca="false">IFERROR(VLOOKUP(E:E,'Item Data Support Sheet'!A:J,6,0),0)</f>
        <v>FO105</v>
      </c>
      <c r="Z1377" s="93" t="n">
        <f aca="false">IFERROR(VLOOKUP(E:E,'Item Data Support Sheet'!A:O,4,0),0)</f>
        <v>0</v>
      </c>
      <c r="AA1377" s="93" t="n">
        <f aca="false">IFERROR(((N1377)*(Z1377/1000))+P1377,0)</f>
        <v>0</v>
      </c>
      <c r="AB1377" s="94" t="str">
        <f aca="false">IFERROR((O1377*(Z1377/1000)/(AA1377))," ")</f>
        <v> </v>
      </c>
      <c r="AC1377" s="95" t="n">
        <f aca="false">IFERROR((T1377)/((T1377)+O1377),0)</f>
        <v>0.00497835497835498</v>
      </c>
      <c r="AD1377" s="96" t="n">
        <f aca="false">IFERROR(Q1377/(Q1377+N1377),0)</f>
        <v>0</v>
      </c>
      <c r="AE1377" s="91" t="n">
        <f aca="false">(N1377-T1377)/N1377</f>
        <v>0.995021645021645</v>
      </c>
      <c r="AF1377" s="97" t="n">
        <f aca="false">BR1377</f>
        <v>0.833333333333333</v>
      </c>
      <c r="AG1377" s="98" t="n">
        <f aca="false">K1377-AF1377</f>
        <v>6.16666666666667</v>
      </c>
      <c r="AH1377" s="99" t="n">
        <f aca="false">IFERROR(AG1377/K1377," ")</f>
        <v>0.880952380952381</v>
      </c>
      <c r="AI1377" s="100" t="n">
        <f aca="false">IFERROR(O1377/K1377,0)</f>
        <v>1970.14285714286</v>
      </c>
      <c r="AJ1377" s="101" t="n">
        <f aca="false">VLOOKUP(D1377,'Standard Cycle time'!C:D,2,0)</f>
        <v>4</v>
      </c>
      <c r="AK1377" s="101" t="n">
        <f aca="false">AG1377*V1377*3600/O1377</f>
        <v>3.21949097237329</v>
      </c>
      <c r="AL1377" s="102" t="n">
        <f aca="false">AJ1377/AK1377</f>
        <v>1.24243243243243</v>
      </c>
      <c r="AM1377" s="99" t="n">
        <f aca="false">AE1377*AL1377*AH1377</f>
        <v>1.08907488146774</v>
      </c>
      <c r="AN1377" s="103" t="n">
        <v>1.08907488146774</v>
      </c>
      <c r="AO1377" s="112"/>
      <c r="AP1377" s="105" t="n">
        <v>50</v>
      </c>
      <c r="AQ1377" s="105" t="n">
        <v>0</v>
      </c>
      <c r="AR1377" s="105" t="n">
        <v>0</v>
      </c>
      <c r="AS1377" s="105" t="n">
        <v>0</v>
      </c>
      <c r="AT1377" s="105" t="n">
        <v>0</v>
      </c>
      <c r="AU1377" s="105" t="n">
        <v>0</v>
      </c>
      <c r="AV1377" s="105" t="n">
        <v>0</v>
      </c>
      <c r="AW1377" s="105" t="n">
        <v>0</v>
      </c>
      <c r="AX1377" s="105" t="n">
        <v>0</v>
      </c>
      <c r="AY1377" s="105" t="n">
        <v>0</v>
      </c>
      <c r="AZ1377" s="105" t="n">
        <v>0</v>
      </c>
      <c r="BA1377" s="105" t="n">
        <v>0</v>
      </c>
      <c r="BB1377" s="105" t="n">
        <v>0</v>
      </c>
      <c r="BC1377" s="105" t="n">
        <v>0</v>
      </c>
      <c r="BD1377" s="105" t="n">
        <v>0</v>
      </c>
      <c r="BE1377" s="105" t="n">
        <v>0</v>
      </c>
      <c r="BF1377" s="105" t="n">
        <v>0</v>
      </c>
      <c r="BG1377" s="105" t="n">
        <v>0</v>
      </c>
      <c r="BH1377" s="105" t="n">
        <v>0</v>
      </c>
      <c r="BI1377" s="105" t="n">
        <v>0</v>
      </c>
      <c r="BJ1377" s="105" t="n">
        <v>0</v>
      </c>
      <c r="BK1377" s="105" t="n">
        <v>0</v>
      </c>
      <c r="BL1377" s="105" t="n">
        <v>0</v>
      </c>
      <c r="BM1377" s="105" t="n">
        <v>0</v>
      </c>
      <c r="BN1377" s="105" t="n">
        <v>0</v>
      </c>
      <c r="BO1377" s="105" t="n">
        <v>0</v>
      </c>
      <c r="BP1377" s="105" t="n">
        <v>0</v>
      </c>
      <c r="BQ1377" s="105" t="n">
        <v>0</v>
      </c>
      <c r="BR1377" s="106" t="n">
        <v>0.833333333333333</v>
      </c>
      <c r="BS1377" s="106" t="n">
        <v>0.833333333333333</v>
      </c>
      <c r="BT1377" s="107"/>
      <c r="BU1377" s="107"/>
      <c r="BV1377" s="107"/>
      <c r="BW1377" s="107"/>
      <c r="BX1377" s="107"/>
      <c r="BY1377" s="107"/>
      <c r="BZ1377" s="107"/>
      <c r="CA1377" s="107"/>
      <c r="CB1377" s="107"/>
      <c r="CC1377" s="107"/>
      <c r="CD1377" s="107"/>
      <c r="CE1377" s="107"/>
      <c r="CF1377" s="107"/>
      <c r="CG1377" s="107"/>
      <c r="CH1377" s="107"/>
      <c r="CI1377" s="107"/>
      <c r="CJ1377" s="107"/>
      <c r="CK1377" s="107"/>
      <c r="CL1377" s="107"/>
      <c r="CM1377" s="107"/>
      <c r="CN1377" s="107"/>
      <c r="CO1377" s="107"/>
      <c r="CP1377" s="107"/>
      <c r="CQ1377" s="107"/>
      <c r="CR1377" s="107"/>
      <c r="CS1377" s="107"/>
      <c r="CT1377" s="107"/>
      <c r="CU1377" s="107"/>
      <c r="CV1377" s="107"/>
    </row>
    <row r="1378" customFormat="false" ht="14.9" hidden="false" customHeight="false" outlineLevel="0" collapsed="false">
      <c r="A1378" s="74" t="n">
        <f aca="false">MONTH(B1378)</f>
        <v>11</v>
      </c>
      <c r="B1378" s="135" t="n">
        <v>44524</v>
      </c>
      <c r="C1378" s="128" t="s">
        <v>63</v>
      </c>
      <c r="D1378" s="77" t="str">
        <f aca="false">IFERROR(VLOOKUP(E:E,'Item Data Support Sheet'!A:O,7,0),"")</f>
        <v>BOTTLE PRINTED</v>
      </c>
      <c r="E1378" s="80" t="s">
        <v>2180</v>
      </c>
      <c r="F1378" s="122"/>
      <c r="G1378" s="137"/>
      <c r="H1378" s="79" t="str">
        <f aca="false">IFERROR(VLOOKUP(E:E,'Item Data Support Sheet'!A:O,2,0),"")</f>
        <v>50 ML RPP BOTTLE PRINTED - RABBIT</v>
      </c>
      <c r="I1378" s="80" t="s">
        <v>2181</v>
      </c>
      <c r="J1378" s="80" t="s">
        <v>161</v>
      </c>
      <c r="K1378" s="124" t="n">
        <v>8</v>
      </c>
      <c r="L1378" s="124" t="n">
        <v>3400</v>
      </c>
      <c r="M1378" s="83" t="n">
        <v>425</v>
      </c>
      <c r="N1378" s="84" t="n">
        <f aca="false">+O1378+Q1378+T1378+U1378</f>
        <v>2280</v>
      </c>
      <c r="O1378" s="85" t="n">
        <v>2248</v>
      </c>
      <c r="P1378" s="86" t="n">
        <v>0</v>
      </c>
      <c r="Q1378" s="86" t="n">
        <v>0</v>
      </c>
      <c r="R1378" s="132" t="n">
        <v>41</v>
      </c>
      <c r="S1378" s="128" t="n">
        <v>0</v>
      </c>
      <c r="T1378" s="132" t="n">
        <v>32</v>
      </c>
      <c r="U1378" s="128" t="n">
        <v>0</v>
      </c>
      <c r="V1378" s="128" t="n">
        <v>5</v>
      </c>
      <c r="W1378" s="90" t="n">
        <f aca="false">IFERROR(O1378/V1378,0)</f>
        <v>449.6</v>
      </c>
      <c r="X1378" s="91" t="n">
        <f aca="false">O1378/L1378</f>
        <v>0.661176470588235</v>
      </c>
      <c r="Y1378" s="92" t="str">
        <f aca="false">IFERROR(VLOOKUP(E:E,'Item Data Support Sheet'!A:J,6,0),0)</f>
        <v>FO112</v>
      </c>
      <c r="Z1378" s="93" t="n">
        <f aca="false">IFERROR(VLOOKUP(E:E,'Item Data Support Sheet'!A:O,4,0),0)</f>
        <v>17.015</v>
      </c>
      <c r="AA1378" s="93" t="n">
        <f aca="false">IFERROR(((N1378)*(Z1378/1000))+P1378,0)</f>
        <v>38.7942</v>
      </c>
      <c r="AB1378" s="94" t="n">
        <f aca="false">IFERROR((O1378*(Z1378/1000)/(AA1378))," ")</f>
        <v>0.985964912280702</v>
      </c>
      <c r="AC1378" s="95" t="n">
        <f aca="false">IFERROR((T1378)/((T1378)+O1378),0)</f>
        <v>0.0140350877192982</v>
      </c>
      <c r="AD1378" s="96" t="n">
        <f aca="false">IFERROR(Q1378/(Q1378+N1378),0)</f>
        <v>0</v>
      </c>
      <c r="AE1378" s="91" t="n">
        <f aca="false">(N1378-T1378)/N1378</f>
        <v>0.985964912280702</v>
      </c>
      <c r="AF1378" s="97" t="n">
        <f aca="false">BR1378</f>
        <v>0.833333333333333</v>
      </c>
      <c r="AG1378" s="98" t="n">
        <f aca="false">K1378-AF1378</f>
        <v>7.16666666666667</v>
      </c>
      <c r="AH1378" s="99" t="n">
        <f aca="false">IFERROR(AG1378/K1378," ")</f>
        <v>0.895833333333333</v>
      </c>
      <c r="AI1378" s="100" t="n">
        <f aca="false">IFERROR(O1378/K1378,0)</f>
        <v>281</v>
      </c>
      <c r="AJ1378" s="101" t="n">
        <f aca="false">VLOOKUP(D1378,'Standard Cycle time'!C:D,2,0)</f>
        <v>32.4</v>
      </c>
      <c r="AK1378" s="101" t="n">
        <f aca="false">AG1378*V1378*3600/O1378</f>
        <v>57.3843416370107</v>
      </c>
      <c r="AL1378" s="102" t="n">
        <f aca="false">AJ1378/AK1378</f>
        <v>0.564613953488372</v>
      </c>
      <c r="AM1378" s="99" t="n">
        <f aca="false">AE1378*AL1378*AH1378</f>
        <v>0.498701052631579</v>
      </c>
      <c r="AN1378" s="103" t="n">
        <v>0.498701052631579</v>
      </c>
      <c r="AO1378" s="112" t="s">
        <v>2182</v>
      </c>
      <c r="AP1378" s="105" t="n">
        <v>50</v>
      </c>
      <c r="AQ1378" s="105" t="n">
        <v>0</v>
      </c>
      <c r="AR1378" s="105" t="n">
        <v>0</v>
      </c>
      <c r="AS1378" s="105" t="n">
        <v>0</v>
      </c>
      <c r="AT1378" s="105" t="n">
        <v>0</v>
      </c>
      <c r="AU1378" s="105" t="n">
        <v>0</v>
      </c>
      <c r="AV1378" s="105" t="n">
        <v>0</v>
      </c>
      <c r="AW1378" s="105" t="n">
        <v>0</v>
      </c>
      <c r="AX1378" s="105" t="n">
        <v>0</v>
      </c>
      <c r="AY1378" s="105" t="n">
        <v>0</v>
      </c>
      <c r="AZ1378" s="105" t="n">
        <v>0</v>
      </c>
      <c r="BA1378" s="105" t="n">
        <v>0</v>
      </c>
      <c r="BB1378" s="105" t="n">
        <v>0</v>
      </c>
      <c r="BC1378" s="105" t="n">
        <v>0</v>
      </c>
      <c r="BD1378" s="105" t="n">
        <v>0</v>
      </c>
      <c r="BE1378" s="105" t="n">
        <v>0</v>
      </c>
      <c r="BF1378" s="105" t="n">
        <v>0</v>
      </c>
      <c r="BG1378" s="105" t="n">
        <v>0</v>
      </c>
      <c r="BH1378" s="105" t="n">
        <v>0</v>
      </c>
      <c r="BI1378" s="105" t="n">
        <v>0</v>
      </c>
      <c r="BJ1378" s="105" t="n">
        <v>0</v>
      </c>
      <c r="BK1378" s="105" t="n">
        <v>0</v>
      </c>
      <c r="BL1378" s="105" t="n">
        <v>0</v>
      </c>
      <c r="BM1378" s="105" t="n">
        <v>0</v>
      </c>
      <c r="BN1378" s="105" t="n">
        <v>0</v>
      </c>
      <c r="BO1378" s="105" t="n">
        <v>0</v>
      </c>
      <c r="BP1378" s="105" t="n">
        <v>0</v>
      </c>
      <c r="BQ1378" s="105" t="n">
        <v>0</v>
      </c>
      <c r="BR1378" s="106" t="n">
        <v>0.833333333333333</v>
      </c>
      <c r="BS1378" s="106" t="n">
        <v>0.833333333333333</v>
      </c>
      <c r="BT1378" s="107"/>
      <c r="BU1378" s="107"/>
      <c r="BV1378" s="107"/>
      <c r="BW1378" s="107"/>
      <c r="BX1378" s="107"/>
      <c r="BY1378" s="107"/>
      <c r="BZ1378" s="107"/>
      <c r="CA1378" s="107"/>
      <c r="CB1378" s="107"/>
      <c r="CC1378" s="107"/>
      <c r="CD1378" s="107"/>
      <c r="CE1378" s="107"/>
      <c r="CF1378" s="107"/>
      <c r="CG1378" s="107"/>
      <c r="CH1378" s="107"/>
      <c r="CI1378" s="107"/>
      <c r="CJ1378" s="107"/>
      <c r="CK1378" s="107"/>
      <c r="CL1378" s="107"/>
      <c r="CM1378" s="107"/>
      <c r="CN1378" s="107"/>
      <c r="CO1378" s="107"/>
      <c r="CP1378" s="107"/>
      <c r="CQ1378" s="107"/>
      <c r="CR1378" s="107"/>
      <c r="CS1378" s="107"/>
      <c r="CT1378" s="107"/>
      <c r="CU1378" s="107"/>
      <c r="CV1378" s="107"/>
    </row>
    <row r="1379" customFormat="false" ht="14.9" hidden="false" customHeight="false" outlineLevel="0" collapsed="false">
      <c r="A1379" s="74" t="n">
        <f aca="false">MONTH(B1379)</f>
        <v>11</v>
      </c>
      <c r="B1379" s="135" t="n">
        <v>44524</v>
      </c>
      <c r="C1379" s="128" t="s">
        <v>70</v>
      </c>
      <c r="D1379" s="77" t="str">
        <f aca="false">IFERROR(VLOOKUP(E:E,'Item Data Support Sheet'!A:O,7,0),"")</f>
        <v>NIPPLE PUNCH</v>
      </c>
      <c r="E1379" s="80" t="s">
        <v>60</v>
      </c>
      <c r="F1379" s="122"/>
      <c r="G1379" s="137" t="s">
        <v>54</v>
      </c>
      <c r="H1379" s="79" t="str">
        <f aca="false">IFERROR(VLOOKUP(E:E,'Item Data Support Sheet'!A:O,2,0),"")</f>
        <v>NIPPLE S TYPE M SIZE PUNCHED</v>
      </c>
      <c r="I1379" s="80" t="s">
        <v>2183</v>
      </c>
      <c r="J1379" s="80" t="s">
        <v>155</v>
      </c>
      <c r="K1379" s="124" t="n">
        <v>8</v>
      </c>
      <c r="L1379" s="124" t="n">
        <v>7000</v>
      </c>
      <c r="M1379" s="83" t="n">
        <v>875</v>
      </c>
      <c r="N1379" s="84" t="n">
        <f aca="false">+O1379+Q1379+T1379+U1379</f>
        <v>5013</v>
      </c>
      <c r="O1379" s="85" t="n">
        <v>5013</v>
      </c>
      <c r="P1379" s="86" t="n">
        <v>0</v>
      </c>
      <c r="Q1379" s="86" t="n">
        <v>0</v>
      </c>
      <c r="R1379" s="132" t="n">
        <v>0</v>
      </c>
      <c r="S1379" s="128" t="n">
        <v>0</v>
      </c>
      <c r="T1379" s="132" t="n">
        <v>0</v>
      </c>
      <c r="U1379" s="128" t="n">
        <v>0</v>
      </c>
      <c r="V1379" s="128" t="n">
        <v>1</v>
      </c>
      <c r="W1379" s="90" t="n">
        <f aca="false">IFERROR(O1379/V1379,0)</f>
        <v>5013</v>
      </c>
      <c r="X1379" s="91" t="n">
        <f aca="false">O1379/L1379</f>
        <v>0.716142857142857</v>
      </c>
      <c r="Y1379" s="92" t="str">
        <f aca="false">IFERROR(VLOOKUP(E:E,'Item Data Support Sheet'!A:J,6,0),0)</f>
        <v>FO016</v>
      </c>
      <c r="Z1379" s="93" t="n">
        <f aca="false">IFERROR(VLOOKUP(E:E,'Item Data Support Sheet'!A:O,4,0),0)</f>
        <v>0</v>
      </c>
      <c r="AA1379" s="93" t="n">
        <f aca="false">IFERROR(((N1379)*(Z1379/1000))+P1379,0)</f>
        <v>0</v>
      </c>
      <c r="AB1379" s="94" t="str">
        <f aca="false">IFERROR((O1379*(Z1379/1000)/(AA1379))," ")</f>
        <v> </v>
      </c>
      <c r="AC1379" s="95" t="n">
        <f aca="false">IFERROR((T1379)/((T1379)+O1379),0)</f>
        <v>0</v>
      </c>
      <c r="AD1379" s="96" t="n">
        <f aca="false">IFERROR(Q1379/(Q1379+N1379),0)</f>
        <v>0</v>
      </c>
      <c r="AE1379" s="91" t="n">
        <f aca="false">(N1379-T1379)/N1379</f>
        <v>1</v>
      </c>
      <c r="AF1379" s="97" t="n">
        <f aca="false">BR1379</f>
        <v>2.66666666666667</v>
      </c>
      <c r="AG1379" s="98" t="n">
        <f aca="false">K1379-AF1379</f>
        <v>5.33333333333333</v>
      </c>
      <c r="AH1379" s="99" t="n">
        <f aca="false">IFERROR(AG1379/K1379," ")</f>
        <v>0.666666666666666</v>
      </c>
      <c r="AI1379" s="100" t="n">
        <f aca="false">IFERROR(O1379/K1379,0)</f>
        <v>626.625</v>
      </c>
      <c r="AJ1379" s="101" t="n">
        <f aca="false">VLOOKUP(D1379,'Standard Cycle time'!C:D,2,0)</f>
        <v>3.5</v>
      </c>
      <c r="AK1379" s="101" t="n">
        <f aca="false">AG1379*V1379*3600/O1379</f>
        <v>3.83004189108318</v>
      </c>
      <c r="AL1379" s="102" t="n">
        <f aca="false">AJ1379/AK1379</f>
        <v>0.913828125000001</v>
      </c>
      <c r="AM1379" s="99" t="n">
        <f aca="false">AE1379*AL1379*AH1379</f>
        <v>0.60921875</v>
      </c>
      <c r="AN1379" s="103" t="n">
        <v>0.60921875</v>
      </c>
      <c r="AO1379" s="112" t="s">
        <v>2184</v>
      </c>
      <c r="AP1379" s="105" t="n">
        <v>40</v>
      </c>
      <c r="AQ1379" s="105" t="n">
        <v>0</v>
      </c>
      <c r="AR1379" s="105" t="n">
        <v>0</v>
      </c>
      <c r="AS1379" s="105" t="n">
        <v>0</v>
      </c>
      <c r="AT1379" s="105" t="n">
        <v>0</v>
      </c>
      <c r="AU1379" s="105" t="n">
        <v>0</v>
      </c>
      <c r="AV1379" s="105" t="n">
        <v>0</v>
      </c>
      <c r="AW1379" s="105" t="n">
        <v>0</v>
      </c>
      <c r="AX1379" s="105" t="n">
        <v>0</v>
      </c>
      <c r="AY1379" s="105" t="n">
        <v>0</v>
      </c>
      <c r="AZ1379" s="105" t="n">
        <v>0</v>
      </c>
      <c r="BA1379" s="105" t="n">
        <v>0</v>
      </c>
      <c r="BB1379" s="105" t="n">
        <v>0</v>
      </c>
      <c r="BC1379" s="105" t="n">
        <v>0</v>
      </c>
      <c r="BD1379" s="105" t="n">
        <v>0</v>
      </c>
      <c r="BE1379" s="105" t="n">
        <v>0</v>
      </c>
      <c r="BF1379" s="105" t="n">
        <v>0</v>
      </c>
      <c r="BG1379" s="105" t="n">
        <v>0</v>
      </c>
      <c r="BH1379" s="105" t="n">
        <v>0</v>
      </c>
      <c r="BI1379" s="105" t="n">
        <v>0</v>
      </c>
      <c r="BJ1379" s="105" t="n">
        <v>0</v>
      </c>
      <c r="BK1379" s="105" t="n">
        <v>0</v>
      </c>
      <c r="BL1379" s="105" t="n">
        <v>120</v>
      </c>
      <c r="BM1379" s="105" t="n">
        <v>0</v>
      </c>
      <c r="BN1379" s="105" t="n">
        <v>0</v>
      </c>
      <c r="BO1379" s="105" t="n">
        <v>0</v>
      </c>
      <c r="BP1379" s="105" t="n">
        <v>0</v>
      </c>
      <c r="BQ1379" s="105" t="n">
        <v>0</v>
      </c>
      <c r="BR1379" s="106" t="n">
        <v>2.66666666666667</v>
      </c>
      <c r="BS1379" s="106" t="n">
        <v>2.66666666666667</v>
      </c>
      <c r="BT1379" s="107"/>
      <c r="BU1379" s="107"/>
      <c r="BV1379" s="107"/>
      <c r="BW1379" s="107"/>
      <c r="BX1379" s="107"/>
      <c r="BY1379" s="107"/>
      <c r="BZ1379" s="107"/>
      <c r="CA1379" s="107"/>
      <c r="CB1379" s="107"/>
      <c r="CC1379" s="107"/>
      <c r="CD1379" s="107"/>
      <c r="CE1379" s="107"/>
      <c r="CF1379" s="107"/>
      <c r="CG1379" s="107"/>
      <c r="CH1379" s="107"/>
      <c r="CI1379" s="107"/>
      <c r="CJ1379" s="107"/>
      <c r="CK1379" s="107"/>
      <c r="CL1379" s="107"/>
      <c r="CM1379" s="107"/>
      <c r="CN1379" s="107"/>
      <c r="CO1379" s="107"/>
      <c r="CP1379" s="107"/>
      <c r="CQ1379" s="107"/>
      <c r="CR1379" s="107"/>
      <c r="CS1379" s="107"/>
      <c r="CT1379" s="107"/>
      <c r="CU1379" s="107"/>
      <c r="CV1379" s="107"/>
    </row>
    <row r="1380" customFormat="false" ht="14.9" hidden="false" customHeight="false" outlineLevel="0" collapsed="false">
      <c r="A1380" s="74" t="n">
        <f aca="false">MONTH(B1380)</f>
        <v>11</v>
      </c>
      <c r="B1380" s="135" t="n">
        <v>44524</v>
      </c>
      <c r="C1380" s="128" t="s">
        <v>70</v>
      </c>
      <c r="D1380" s="77" t="str">
        <f aca="false">IFERROR(VLOOKUP(E:E,'Item Data Support Sheet'!A:O,7,0),"")</f>
        <v>NIPPLE LASER MARKING</v>
      </c>
      <c r="E1380" s="80" t="s">
        <v>932</v>
      </c>
      <c r="F1380" s="122"/>
      <c r="G1380" s="137" t="s">
        <v>517</v>
      </c>
      <c r="H1380" s="79" t="str">
        <f aca="false">IFERROR(VLOOKUP(E:E,'Item Data Support Sheet'!A:O,2,0),"")</f>
        <v>NIPPLE S TYPE M SIZE PUNCHED LASER MARKED</v>
      </c>
      <c r="I1380" s="80" t="s">
        <v>2185</v>
      </c>
      <c r="J1380" s="80" t="s">
        <v>155</v>
      </c>
      <c r="K1380" s="124" t="n">
        <v>8</v>
      </c>
      <c r="L1380" s="124" t="n">
        <v>7000</v>
      </c>
      <c r="M1380" s="83" t="n">
        <v>875</v>
      </c>
      <c r="N1380" s="84" t="n">
        <f aca="false">+O1380+Q1380+T1380+U1380</f>
        <v>6949</v>
      </c>
      <c r="O1380" s="85" t="n">
        <v>6949</v>
      </c>
      <c r="P1380" s="86" t="n">
        <v>0</v>
      </c>
      <c r="Q1380" s="86" t="n">
        <v>0</v>
      </c>
      <c r="R1380" s="132" t="n">
        <v>0</v>
      </c>
      <c r="S1380" s="128" t="n">
        <v>0</v>
      </c>
      <c r="T1380" s="132" t="n">
        <v>0</v>
      </c>
      <c r="U1380" s="128" t="n">
        <v>0</v>
      </c>
      <c r="V1380" s="128" t="n">
        <v>1</v>
      </c>
      <c r="W1380" s="90" t="n">
        <f aca="false">IFERROR(O1380/V1380,0)</f>
        <v>6949</v>
      </c>
      <c r="X1380" s="91" t="n">
        <f aca="false">O1380/L1380</f>
        <v>0.992714285714286</v>
      </c>
      <c r="Y1380" s="92" t="str">
        <f aca="false">IFERROR(VLOOKUP(E:E,'Item Data Support Sheet'!A:J,6,0),0)</f>
        <v>FO020</v>
      </c>
      <c r="Z1380" s="93" t="n">
        <f aca="false">IFERROR(VLOOKUP(E:E,'Item Data Support Sheet'!A:O,4,0),0)</f>
        <v>0</v>
      </c>
      <c r="AA1380" s="93" t="n">
        <f aca="false">IFERROR(((N1380)*(Z1380/1000))+P1380,0)</f>
        <v>0</v>
      </c>
      <c r="AB1380" s="94" t="str">
        <f aca="false">IFERROR((O1380*(Z1380/1000)/(AA1380))," ")</f>
        <v> </v>
      </c>
      <c r="AC1380" s="95" t="n">
        <f aca="false">IFERROR((T1380)/((T1380)+O1380),0)</f>
        <v>0</v>
      </c>
      <c r="AD1380" s="96" t="n">
        <f aca="false">IFERROR(Q1380/(Q1380+N1380),0)</f>
        <v>0</v>
      </c>
      <c r="AE1380" s="91" t="n">
        <f aca="false">(N1380-T1380)/N1380</f>
        <v>1</v>
      </c>
      <c r="AF1380" s="97" t="n">
        <f aca="false">BR1380</f>
        <v>0.666666666666667</v>
      </c>
      <c r="AG1380" s="98" t="n">
        <f aca="false">K1380-AF1380</f>
        <v>7.33333333333333</v>
      </c>
      <c r="AH1380" s="99" t="n">
        <f aca="false">IFERROR(AG1380/K1380," ")</f>
        <v>0.916666666666667</v>
      </c>
      <c r="AI1380" s="100" t="n">
        <f aca="false">IFERROR(O1380/K1380,0)</f>
        <v>868.625</v>
      </c>
      <c r="AJ1380" s="101" t="n">
        <f aca="false">VLOOKUP(D1380,'Standard Cycle time'!C:D,2,0)</f>
        <v>3.5</v>
      </c>
      <c r="AK1380" s="101" t="n">
        <f aca="false">AG1380*V1380*3600/O1380</f>
        <v>3.79910778529285</v>
      </c>
      <c r="AL1380" s="102" t="n">
        <f aca="false">AJ1380/AK1380</f>
        <v>0.921268939393939</v>
      </c>
      <c r="AM1380" s="99" t="n">
        <f aca="false">AE1380*AL1380*AH1380</f>
        <v>0.844496527777778</v>
      </c>
      <c r="AN1380" s="103" t="n">
        <v>0.844496527777778</v>
      </c>
      <c r="AO1380" s="112"/>
      <c r="AP1380" s="105" t="n">
        <v>40</v>
      </c>
      <c r="AQ1380" s="105" t="n">
        <v>0</v>
      </c>
      <c r="AR1380" s="105" t="n">
        <v>0</v>
      </c>
      <c r="AS1380" s="105" t="n">
        <v>0</v>
      </c>
      <c r="AT1380" s="105" t="n">
        <v>0</v>
      </c>
      <c r="AU1380" s="105" t="n">
        <v>0</v>
      </c>
      <c r="AV1380" s="105" t="n">
        <v>0</v>
      </c>
      <c r="AW1380" s="105" t="n">
        <v>0</v>
      </c>
      <c r="AX1380" s="105" t="n">
        <v>0</v>
      </c>
      <c r="AY1380" s="105" t="n">
        <v>0</v>
      </c>
      <c r="AZ1380" s="105" t="n">
        <v>0</v>
      </c>
      <c r="BA1380" s="105" t="n">
        <v>0</v>
      </c>
      <c r="BB1380" s="105" t="n">
        <v>0</v>
      </c>
      <c r="BC1380" s="105" t="n">
        <v>0</v>
      </c>
      <c r="BD1380" s="105" t="n">
        <v>0</v>
      </c>
      <c r="BE1380" s="105" t="n">
        <v>0</v>
      </c>
      <c r="BF1380" s="105" t="n">
        <v>0</v>
      </c>
      <c r="BG1380" s="105" t="n">
        <v>0</v>
      </c>
      <c r="BH1380" s="105" t="n">
        <v>0</v>
      </c>
      <c r="BI1380" s="105" t="n">
        <v>0</v>
      </c>
      <c r="BJ1380" s="105" t="n">
        <v>0</v>
      </c>
      <c r="BK1380" s="105" t="n">
        <v>0</v>
      </c>
      <c r="BL1380" s="105" t="n">
        <v>0</v>
      </c>
      <c r="BM1380" s="105" t="n">
        <v>0</v>
      </c>
      <c r="BN1380" s="105" t="n">
        <v>0</v>
      </c>
      <c r="BO1380" s="105" t="n">
        <v>0</v>
      </c>
      <c r="BP1380" s="105" t="n">
        <v>0</v>
      </c>
      <c r="BQ1380" s="105" t="n">
        <v>0</v>
      </c>
      <c r="BR1380" s="106" t="n">
        <v>0.666666666666667</v>
      </c>
      <c r="BS1380" s="106" t="n">
        <v>0.666666666666667</v>
      </c>
      <c r="BT1380" s="107"/>
      <c r="BU1380" s="107"/>
      <c r="BV1380" s="107"/>
      <c r="BW1380" s="107"/>
      <c r="BX1380" s="107"/>
      <c r="BY1380" s="107"/>
      <c r="BZ1380" s="107"/>
      <c r="CA1380" s="107"/>
      <c r="CB1380" s="107"/>
      <c r="CC1380" s="107"/>
      <c r="CD1380" s="107"/>
      <c r="CE1380" s="107"/>
      <c r="CF1380" s="107"/>
      <c r="CG1380" s="107"/>
      <c r="CH1380" s="107"/>
      <c r="CI1380" s="107"/>
      <c r="CJ1380" s="107"/>
      <c r="CK1380" s="107"/>
      <c r="CL1380" s="107"/>
      <c r="CM1380" s="107"/>
      <c r="CN1380" s="107"/>
      <c r="CO1380" s="107"/>
      <c r="CP1380" s="107"/>
      <c r="CQ1380" s="107"/>
      <c r="CR1380" s="107"/>
      <c r="CS1380" s="107"/>
      <c r="CT1380" s="107"/>
      <c r="CU1380" s="107"/>
      <c r="CV1380" s="107"/>
    </row>
    <row r="1381" customFormat="false" ht="14.9" hidden="false" customHeight="false" outlineLevel="0" collapsed="false">
      <c r="A1381" s="74" t="n">
        <f aca="false">MONTH(B1381)</f>
        <v>11</v>
      </c>
      <c r="B1381" s="135" t="n">
        <v>44524</v>
      </c>
      <c r="C1381" s="128" t="s">
        <v>70</v>
      </c>
      <c r="D1381" s="77" t="str">
        <f aca="false">IFERROR(VLOOKUP(E:E,'Item Data Support Sheet'!A:O,7,0),"")</f>
        <v>CAP MOLDED</v>
      </c>
      <c r="E1381" s="80" t="s">
        <v>199</v>
      </c>
      <c r="F1381" s="122" t="s">
        <v>2161</v>
      </c>
      <c r="G1381" s="137" t="s">
        <v>740</v>
      </c>
      <c r="H1381" s="79" t="str">
        <f aca="false">IFERROR(VLOOKUP(E:E,'Item Data Support Sheet'!A:O,2,0),"")</f>
        <v>CAP S TYPE MOLDED RED</v>
      </c>
      <c r="I1381" s="80" t="s">
        <v>2186</v>
      </c>
      <c r="J1381" s="80" t="s">
        <v>155</v>
      </c>
      <c r="K1381" s="124" t="n">
        <v>8</v>
      </c>
      <c r="L1381" s="124" t="n">
        <v>4137</v>
      </c>
      <c r="M1381" s="83" t="n">
        <v>517.125</v>
      </c>
      <c r="N1381" s="84" t="n">
        <f aca="false">+O1381+Q1381+T1381+U1381</f>
        <v>4015</v>
      </c>
      <c r="O1381" s="85" t="n">
        <v>4000</v>
      </c>
      <c r="P1381" s="86" t="n">
        <v>0</v>
      </c>
      <c r="Q1381" s="86" t="n">
        <v>5</v>
      </c>
      <c r="R1381" s="132" t="n">
        <v>0</v>
      </c>
      <c r="S1381" s="128" t="n">
        <v>0</v>
      </c>
      <c r="T1381" s="132" t="n">
        <v>10</v>
      </c>
      <c r="U1381" s="128" t="n">
        <v>0</v>
      </c>
      <c r="V1381" s="128" t="n">
        <v>1</v>
      </c>
      <c r="W1381" s="90" t="n">
        <f aca="false">IFERROR(O1381/V1381,0)</f>
        <v>4000</v>
      </c>
      <c r="X1381" s="91" t="n">
        <f aca="false">O1381/L1381</f>
        <v>0.96688421561518</v>
      </c>
      <c r="Y1381" s="92" t="str">
        <f aca="false">IFERROR(VLOOKUP(E:E,'Item Data Support Sheet'!A:J,6,0),0)</f>
        <v>FO153</v>
      </c>
      <c r="Z1381" s="93" t="n">
        <f aca="false">IFERROR(VLOOKUP(E:E,'Item Data Support Sheet'!A:O,4,0),0)</f>
        <v>7.3</v>
      </c>
      <c r="AA1381" s="93" t="n">
        <f aca="false">IFERROR(((N1381)*(Z1381/1000))+P1381,0)</f>
        <v>29.3095</v>
      </c>
      <c r="AB1381" s="94" t="n">
        <f aca="false">IFERROR((O1381*(Z1381/1000)/(AA1381))," ")</f>
        <v>0.99626400996264</v>
      </c>
      <c r="AC1381" s="95" t="n">
        <f aca="false">IFERROR((T1381)/((T1381)+O1381),0)</f>
        <v>0.00249376558603491</v>
      </c>
      <c r="AD1381" s="96" t="n">
        <f aca="false">IFERROR(Q1381/(Q1381+N1381),0)</f>
        <v>0.00124378109452736</v>
      </c>
      <c r="AE1381" s="91" t="n">
        <f aca="false">(N1381-T1381)/N1381</f>
        <v>0.997509339975093</v>
      </c>
      <c r="AF1381" s="97" t="n">
        <f aca="false">BR1381</f>
        <v>0</v>
      </c>
      <c r="AG1381" s="98" t="n">
        <f aca="false">K1381-AF1381</f>
        <v>8</v>
      </c>
      <c r="AH1381" s="99" t="n">
        <f aca="false">IFERROR(AG1381/K1381," ")</f>
        <v>1</v>
      </c>
      <c r="AI1381" s="100" t="n">
        <f aca="false">IFERROR(O1381/K1381,0)</f>
        <v>500</v>
      </c>
      <c r="AJ1381" s="101" t="n">
        <f aca="false">VLOOKUP(D1381,'Standard Cycle time'!C:D,2,0)</f>
        <v>6</v>
      </c>
      <c r="AK1381" s="101" t="n">
        <f aca="false">AG1381*V1381*3600/O1381</f>
        <v>7.2</v>
      </c>
      <c r="AL1381" s="102" t="n">
        <f aca="false">AJ1381/AK1381</f>
        <v>0.833333333333333</v>
      </c>
      <c r="AM1381" s="99" t="n">
        <f aca="false">AE1381*AL1381*AH1381</f>
        <v>0.831257783312578</v>
      </c>
      <c r="AN1381" s="103" t="n">
        <v>0.831257783312578</v>
      </c>
      <c r="AO1381" s="112"/>
      <c r="AP1381" s="105" t="n">
        <v>0</v>
      </c>
      <c r="AQ1381" s="105" t="n">
        <v>0</v>
      </c>
      <c r="AR1381" s="105" t="n">
        <v>0</v>
      </c>
      <c r="AS1381" s="105" t="n">
        <v>0</v>
      </c>
      <c r="AT1381" s="105" t="n">
        <v>0</v>
      </c>
      <c r="AU1381" s="105" t="n">
        <v>0</v>
      </c>
      <c r="AV1381" s="105" t="n">
        <v>0</v>
      </c>
      <c r="AW1381" s="105" t="n">
        <v>0</v>
      </c>
      <c r="AX1381" s="105" t="n">
        <v>0</v>
      </c>
      <c r="AY1381" s="105" t="n">
        <v>0</v>
      </c>
      <c r="AZ1381" s="105" t="n">
        <v>0</v>
      </c>
      <c r="BA1381" s="105" t="n">
        <v>0</v>
      </c>
      <c r="BB1381" s="105" t="n">
        <v>0</v>
      </c>
      <c r="BC1381" s="105" t="n">
        <v>0</v>
      </c>
      <c r="BD1381" s="105" t="n">
        <v>0</v>
      </c>
      <c r="BE1381" s="105" t="n">
        <v>0</v>
      </c>
      <c r="BF1381" s="105" t="n">
        <v>0</v>
      </c>
      <c r="BG1381" s="105" t="n">
        <v>0</v>
      </c>
      <c r="BH1381" s="105" t="n">
        <v>0</v>
      </c>
      <c r="BI1381" s="105" t="n">
        <v>0</v>
      </c>
      <c r="BJ1381" s="105" t="n">
        <v>0</v>
      </c>
      <c r="BK1381" s="105" t="n">
        <v>0</v>
      </c>
      <c r="BL1381" s="105" t="n">
        <v>0</v>
      </c>
      <c r="BM1381" s="105" t="n">
        <v>0</v>
      </c>
      <c r="BN1381" s="105" t="n">
        <v>0</v>
      </c>
      <c r="BO1381" s="105" t="n">
        <v>0</v>
      </c>
      <c r="BP1381" s="105" t="n">
        <v>0</v>
      </c>
      <c r="BQ1381" s="105" t="n">
        <v>0</v>
      </c>
      <c r="BR1381" s="106" t="n">
        <v>0</v>
      </c>
      <c r="BS1381" s="106" t="n">
        <v>0</v>
      </c>
      <c r="BT1381" s="107"/>
      <c r="BU1381" s="107"/>
      <c r="BV1381" s="107"/>
      <c r="BW1381" s="107"/>
      <c r="BX1381" s="107"/>
      <c r="BY1381" s="107"/>
      <c r="BZ1381" s="107"/>
      <c r="CA1381" s="107"/>
      <c r="CB1381" s="107"/>
      <c r="CC1381" s="107"/>
      <c r="CD1381" s="107"/>
      <c r="CE1381" s="107"/>
      <c r="CF1381" s="107"/>
      <c r="CG1381" s="107"/>
      <c r="CH1381" s="107"/>
      <c r="CI1381" s="107"/>
      <c r="CJ1381" s="107"/>
      <c r="CK1381" s="107"/>
      <c r="CL1381" s="107"/>
      <c r="CM1381" s="107"/>
      <c r="CN1381" s="107"/>
      <c r="CO1381" s="107"/>
      <c r="CP1381" s="107"/>
      <c r="CQ1381" s="107"/>
      <c r="CR1381" s="107"/>
      <c r="CS1381" s="107"/>
      <c r="CT1381" s="107"/>
      <c r="CU1381" s="107"/>
      <c r="CV1381" s="107"/>
    </row>
    <row r="1382" customFormat="false" ht="14.9" hidden="false" customHeight="false" outlineLevel="0" collapsed="false">
      <c r="A1382" s="74" t="n">
        <f aca="false">MONTH(B1382)</f>
        <v>11</v>
      </c>
      <c r="B1382" s="135" t="n">
        <v>44524</v>
      </c>
      <c r="C1382" s="128" t="s">
        <v>70</v>
      </c>
      <c r="D1382" s="77" t="str">
        <f aca="false">IFERROR(VLOOKUP(E:E,'Item Data Support Sheet'!A:O,7,0),"")</f>
        <v>NIPPLE MOLDED</v>
      </c>
      <c r="E1382" s="80" t="s">
        <v>492</v>
      </c>
      <c r="F1382" s="122" t="s">
        <v>1286</v>
      </c>
      <c r="G1382" s="137" t="s">
        <v>848</v>
      </c>
      <c r="H1382" s="79" t="str">
        <f aca="false">IFERROR(VLOOKUP(E:E,'Item Data Support Sheet'!A:O,2,0),"")</f>
        <v>NIPPLE S TYPE LL SIZE INJECTION</v>
      </c>
      <c r="I1382" s="80" t="s">
        <v>2187</v>
      </c>
      <c r="J1382" s="80" t="s">
        <v>155</v>
      </c>
      <c r="K1382" s="124" t="n">
        <v>8</v>
      </c>
      <c r="L1382" s="124" t="n">
        <v>3611</v>
      </c>
      <c r="M1382" s="83" t="n">
        <v>451.375</v>
      </c>
      <c r="N1382" s="84" t="n">
        <f aca="false">+O1382+Q1382+T1382+U1382</f>
        <v>3150</v>
      </c>
      <c r="O1382" s="85" t="n">
        <v>3000</v>
      </c>
      <c r="P1382" s="86" t="n">
        <v>0</v>
      </c>
      <c r="Q1382" s="86" t="n">
        <v>70</v>
      </c>
      <c r="R1382" s="132" t="n">
        <v>0</v>
      </c>
      <c r="S1382" s="128" t="n">
        <v>0</v>
      </c>
      <c r="T1382" s="132" t="n">
        <v>80</v>
      </c>
      <c r="U1382" s="128" t="n">
        <v>0</v>
      </c>
      <c r="V1382" s="128" t="n">
        <v>1</v>
      </c>
      <c r="W1382" s="90" t="n">
        <f aca="false">IFERROR(O1382/V1382,0)</f>
        <v>3000</v>
      </c>
      <c r="X1382" s="91" t="n">
        <f aca="false">O1382/L1382</f>
        <v>0.83079479368596</v>
      </c>
      <c r="Y1382" s="92" t="str">
        <f aca="false">IFERROR(VLOOKUP(E:E,'Item Data Support Sheet'!A:J,6,0),0)</f>
        <v>FO148</v>
      </c>
      <c r="Z1382" s="93" t="n">
        <f aca="false">IFERROR(VLOOKUP(E:E,'Item Data Support Sheet'!A:O,4,0),0)</f>
        <v>6.8</v>
      </c>
      <c r="AA1382" s="93" t="n">
        <f aca="false">IFERROR(((N1382)*(Z1382/1000))+P1382,0)</f>
        <v>21.42</v>
      </c>
      <c r="AB1382" s="94" t="n">
        <f aca="false">IFERROR((O1382*(Z1382/1000)/(AA1382))," ")</f>
        <v>0.952380952380952</v>
      </c>
      <c r="AC1382" s="95" t="n">
        <f aca="false">IFERROR((T1382)/((T1382)+O1382),0)</f>
        <v>0.025974025974026</v>
      </c>
      <c r="AD1382" s="96" t="n">
        <f aca="false">IFERROR(Q1382/(Q1382+N1382),0)</f>
        <v>0.0217391304347826</v>
      </c>
      <c r="AE1382" s="91" t="n">
        <f aca="false">(N1382-T1382)/N1382</f>
        <v>0.974603174603175</v>
      </c>
      <c r="AF1382" s="97" t="n">
        <f aca="false">BR1382</f>
        <v>0</v>
      </c>
      <c r="AG1382" s="98" t="n">
        <f aca="false">K1382-AF1382</f>
        <v>8</v>
      </c>
      <c r="AH1382" s="99" t="n">
        <f aca="false">IFERROR(AG1382/K1382," ")</f>
        <v>1</v>
      </c>
      <c r="AI1382" s="100" t="n">
        <f aca="false">IFERROR(O1382/K1382,0)</f>
        <v>375</v>
      </c>
      <c r="AJ1382" s="101" t="n">
        <f aca="false">VLOOKUP(D1382,'Standard Cycle time'!C:D,2,0)</f>
        <v>5.25</v>
      </c>
      <c r="AK1382" s="101" t="n">
        <f aca="false">AG1382*V1382*3600/O1382</f>
        <v>9.6</v>
      </c>
      <c r="AL1382" s="102" t="n">
        <f aca="false">AJ1382/AK1382</f>
        <v>0.546875</v>
      </c>
      <c r="AM1382" s="99" t="n">
        <f aca="false">AE1382*AL1382*AH1382</f>
        <v>0.532986111111111</v>
      </c>
      <c r="AN1382" s="103" t="n">
        <v>0.532986111111111</v>
      </c>
      <c r="AO1382" s="112"/>
      <c r="AP1382" s="105" t="n">
        <v>0</v>
      </c>
      <c r="AQ1382" s="105" t="n">
        <v>0</v>
      </c>
      <c r="AR1382" s="105" t="n">
        <v>0</v>
      </c>
      <c r="AS1382" s="105" t="n">
        <v>0</v>
      </c>
      <c r="AT1382" s="105" t="n">
        <v>0</v>
      </c>
      <c r="AU1382" s="105" t="n">
        <v>0</v>
      </c>
      <c r="AV1382" s="105" t="n">
        <v>0</v>
      </c>
      <c r="AW1382" s="105" t="n">
        <v>0</v>
      </c>
      <c r="AX1382" s="105" t="n">
        <v>0</v>
      </c>
      <c r="AY1382" s="105" t="n">
        <v>0</v>
      </c>
      <c r="AZ1382" s="105" t="n">
        <v>0</v>
      </c>
      <c r="BA1382" s="105" t="n">
        <v>0</v>
      </c>
      <c r="BB1382" s="105" t="n">
        <v>0</v>
      </c>
      <c r="BC1382" s="105" t="n">
        <v>0</v>
      </c>
      <c r="BD1382" s="105" t="n">
        <v>0</v>
      </c>
      <c r="BE1382" s="105" t="n">
        <v>0</v>
      </c>
      <c r="BF1382" s="105" t="n">
        <v>0</v>
      </c>
      <c r="BG1382" s="105" t="n">
        <v>0</v>
      </c>
      <c r="BH1382" s="105" t="n">
        <v>0</v>
      </c>
      <c r="BI1382" s="105" t="n">
        <v>0</v>
      </c>
      <c r="BJ1382" s="105" t="n">
        <v>0</v>
      </c>
      <c r="BK1382" s="105" t="n">
        <v>0</v>
      </c>
      <c r="BL1382" s="105" t="n">
        <v>0</v>
      </c>
      <c r="BM1382" s="105" t="n">
        <v>0</v>
      </c>
      <c r="BN1382" s="105" t="n">
        <v>0</v>
      </c>
      <c r="BO1382" s="105" t="n">
        <v>0</v>
      </c>
      <c r="BP1382" s="105" t="n">
        <v>0</v>
      </c>
      <c r="BQ1382" s="105" t="n">
        <v>0</v>
      </c>
      <c r="BR1382" s="106" t="n">
        <v>0</v>
      </c>
      <c r="BS1382" s="106" t="n">
        <v>0</v>
      </c>
      <c r="BT1382" s="107"/>
      <c r="BU1382" s="107"/>
      <c r="BV1382" s="107"/>
      <c r="BW1382" s="107"/>
      <c r="BX1382" s="107"/>
      <c r="BY1382" s="107"/>
      <c r="BZ1382" s="107"/>
      <c r="CA1382" s="107"/>
      <c r="CB1382" s="107"/>
      <c r="CC1382" s="107"/>
      <c r="CD1382" s="107"/>
      <c r="CE1382" s="107"/>
      <c r="CF1382" s="107"/>
      <c r="CG1382" s="107"/>
      <c r="CH1382" s="107"/>
      <c r="CI1382" s="107"/>
      <c r="CJ1382" s="107"/>
      <c r="CK1382" s="107"/>
      <c r="CL1382" s="107"/>
      <c r="CM1382" s="107"/>
      <c r="CN1382" s="107"/>
      <c r="CO1382" s="107"/>
      <c r="CP1382" s="107"/>
      <c r="CQ1382" s="107"/>
      <c r="CR1382" s="107"/>
      <c r="CS1382" s="107"/>
      <c r="CT1382" s="107"/>
      <c r="CU1382" s="107"/>
      <c r="CV1382" s="107"/>
    </row>
    <row r="1383" customFormat="false" ht="14.9" hidden="false" customHeight="false" outlineLevel="0" collapsed="false">
      <c r="A1383" s="74" t="n">
        <f aca="false">MONTH(B1383)</f>
        <v>11</v>
      </c>
      <c r="B1383" s="135" t="n">
        <v>44524</v>
      </c>
      <c r="C1383" s="128" t="s">
        <v>70</v>
      </c>
      <c r="D1383" s="77" t="str">
        <f aca="false">IFERROR(VLOOKUP(E:E,'Item Data Support Sheet'!A:O,7,0),"")</f>
        <v>NIPPLE MOLDED</v>
      </c>
      <c r="E1383" s="80" t="s">
        <v>661</v>
      </c>
      <c r="F1383" s="122" t="s">
        <v>137</v>
      </c>
      <c r="G1383" s="137" t="s">
        <v>138</v>
      </c>
      <c r="H1383" s="79" t="str">
        <f aca="false">IFERROR(VLOOKUP(E:E,'Item Data Support Sheet'!A:O,2,0),"")</f>
        <v>NIPPLE S TYPE L SIZE INJECTION</v>
      </c>
      <c r="I1383" s="80" t="s">
        <v>2187</v>
      </c>
      <c r="J1383" s="80" t="s">
        <v>155</v>
      </c>
      <c r="K1383" s="124" t="n">
        <v>8</v>
      </c>
      <c r="L1383" s="124" t="n">
        <v>4815</v>
      </c>
      <c r="M1383" s="83" t="n">
        <v>601.875</v>
      </c>
      <c r="N1383" s="84" t="n">
        <f aca="false">+O1383+Q1383+T1383+U1383</f>
        <v>5482</v>
      </c>
      <c r="O1383" s="85" t="n">
        <v>5400</v>
      </c>
      <c r="P1383" s="86" t="n">
        <v>0</v>
      </c>
      <c r="Q1383" s="86" t="n">
        <v>20</v>
      </c>
      <c r="R1383" s="132" t="n">
        <v>0</v>
      </c>
      <c r="S1383" s="128" t="n">
        <v>0</v>
      </c>
      <c r="T1383" s="132" t="n">
        <v>62</v>
      </c>
      <c r="U1383" s="128" t="n">
        <v>0</v>
      </c>
      <c r="V1383" s="128" t="n">
        <v>1</v>
      </c>
      <c r="W1383" s="90" t="n">
        <f aca="false">IFERROR(O1383/V1383,0)</f>
        <v>5400</v>
      </c>
      <c r="X1383" s="91" t="n">
        <f aca="false">O1383/L1383</f>
        <v>1.1214953271028</v>
      </c>
      <c r="Y1383" s="92" t="str">
        <f aca="false">IFERROR(VLOOKUP(E:E,'Item Data Support Sheet'!A:J,6,0),0)</f>
        <v>Silicon</v>
      </c>
      <c r="Z1383" s="93" t="n">
        <f aca="false">IFERROR(VLOOKUP(E:E,'Item Data Support Sheet'!A:O,4,0),0)</f>
        <v>6.8</v>
      </c>
      <c r="AA1383" s="93" t="n">
        <f aca="false">IFERROR(((N1383)*(Z1383/1000))+P1383,0)</f>
        <v>37.2776</v>
      </c>
      <c r="AB1383" s="94" t="n">
        <f aca="false">IFERROR((O1383*(Z1383/1000)/(AA1383))," ")</f>
        <v>0.985041955490697</v>
      </c>
      <c r="AC1383" s="95" t="n">
        <f aca="false">IFERROR((T1383)/((T1383)+O1383),0)</f>
        <v>0.0113511534236543</v>
      </c>
      <c r="AD1383" s="96" t="n">
        <f aca="false">IFERROR(Q1383/(Q1383+N1383),0)</f>
        <v>0.00363504180298073</v>
      </c>
      <c r="AE1383" s="91" t="n">
        <f aca="false">(N1383-T1383)/N1383</f>
        <v>0.988690259029551</v>
      </c>
      <c r="AF1383" s="97" t="n">
        <f aca="false">BR1383</f>
        <v>0</v>
      </c>
      <c r="AG1383" s="98" t="n">
        <f aca="false">K1383-AF1383</f>
        <v>8</v>
      </c>
      <c r="AH1383" s="99" t="n">
        <f aca="false">IFERROR(AG1383/K1383," ")</f>
        <v>1</v>
      </c>
      <c r="AI1383" s="100" t="n">
        <f aca="false">IFERROR(O1383/K1383,0)</f>
        <v>675</v>
      </c>
      <c r="AJ1383" s="101" t="n">
        <f aca="false">VLOOKUP(D1383,'Standard Cycle time'!C:D,2,0)</f>
        <v>5.25</v>
      </c>
      <c r="AK1383" s="101" t="n">
        <f aca="false">AG1383*V1383*3600/O1383</f>
        <v>5.33333333333333</v>
      </c>
      <c r="AL1383" s="102" t="n">
        <f aca="false">AJ1383/AK1383</f>
        <v>0.984375</v>
      </c>
      <c r="AM1383" s="99" t="n">
        <f aca="false">AE1383*AL1383*AH1383</f>
        <v>0.973241973732214</v>
      </c>
      <c r="AN1383" s="103" t="n">
        <v>0.973241973732214</v>
      </c>
      <c r="AO1383" s="112"/>
      <c r="AP1383" s="105" t="n">
        <v>0</v>
      </c>
      <c r="AQ1383" s="105" t="n">
        <v>0</v>
      </c>
      <c r="AR1383" s="105" t="n">
        <v>0</v>
      </c>
      <c r="AS1383" s="105" t="n">
        <v>0</v>
      </c>
      <c r="AT1383" s="105" t="n">
        <v>0</v>
      </c>
      <c r="AU1383" s="105" t="n">
        <v>0</v>
      </c>
      <c r="AV1383" s="105" t="n">
        <v>0</v>
      </c>
      <c r="AW1383" s="105" t="n">
        <v>0</v>
      </c>
      <c r="AX1383" s="105" t="n">
        <v>0</v>
      </c>
      <c r="AY1383" s="105" t="n">
        <v>0</v>
      </c>
      <c r="AZ1383" s="105" t="n">
        <v>0</v>
      </c>
      <c r="BA1383" s="105" t="n">
        <v>0</v>
      </c>
      <c r="BB1383" s="105" t="n">
        <v>0</v>
      </c>
      <c r="BC1383" s="105" t="n">
        <v>0</v>
      </c>
      <c r="BD1383" s="105" t="n">
        <v>0</v>
      </c>
      <c r="BE1383" s="105" t="n">
        <v>0</v>
      </c>
      <c r="BF1383" s="105" t="n">
        <v>0</v>
      </c>
      <c r="BG1383" s="105" t="n">
        <v>0</v>
      </c>
      <c r="BH1383" s="105" t="n">
        <v>0</v>
      </c>
      <c r="BI1383" s="105" t="n">
        <v>0</v>
      </c>
      <c r="BJ1383" s="105" t="n">
        <v>0</v>
      </c>
      <c r="BK1383" s="105" t="n">
        <v>0</v>
      </c>
      <c r="BL1383" s="105" t="n">
        <v>0</v>
      </c>
      <c r="BM1383" s="105" t="n">
        <v>0</v>
      </c>
      <c r="BN1383" s="105" t="n">
        <v>0</v>
      </c>
      <c r="BO1383" s="105" t="n">
        <v>0</v>
      </c>
      <c r="BP1383" s="105" t="n">
        <v>0</v>
      </c>
      <c r="BQ1383" s="105" t="n">
        <v>0</v>
      </c>
      <c r="BR1383" s="106" t="n">
        <v>0</v>
      </c>
      <c r="BS1383" s="106" t="n">
        <v>0</v>
      </c>
      <c r="BT1383" s="107"/>
      <c r="BU1383" s="107"/>
      <c r="BV1383" s="107"/>
      <c r="BW1383" s="107"/>
      <c r="BX1383" s="107"/>
      <c r="BY1383" s="107"/>
      <c r="BZ1383" s="107"/>
      <c r="CA1383" s="107"/>
      <c r="CB1383" s="107"/>
      <c r="CC1383" s="107"/>
      <c r="CD1383" s="107"/>
      <c r="CE1383" s="107"/>
      <c r="CF1383" s="107"/>
      <c r="CG1383" s="107"/>
      <c r="CH1383" s="107"/>
      <c r="CI1383" s="107"/>
      <c r="CJ1383" s="107"/>
      <c r="CK1383" s="107"/>
      <c r="CL1383" s="107"/>
      <c r="CM1383" s="107"/>
      <c r="CN1383" s="107"/>
      <c r="CO1383" s="107"/>
      <c r="CP1383" s="107"/>
      <c r="CQ1383" s="107"/>
      <c r="CR1383" s="107"/>
      <c r="CS1383" s="107"/>
      <c r="CT1383" s="107"/>
      <c r="CU1383" s="107"/>
      <c r="CV1383" s="107"/>
    </row>
    <row r="1384" customFormat="false" ht="14.9" hidden="false" customHeight="false" outlineLevel="0" collapsed="false">
      <c r="A1384" s="74" t="n">
        <f aca="false">MONTH(B1384)</f>
        <v>11</v>
      </c>
      <c r="B1384" s="135" t="n">
        <v>44524</v>
      </c>
      <c r="C1384" s="128" t="s">
        <v>152</v>
      </c>
      <c r="D1384" s="77" t="str">
        <f aca="false">IFERROR(VLOOKUP(E:E,'Item Data Support Sheet'!A:O,7,0),"")</f>
        <v>NIPPLE MOLDED</v>
      </c>
      <c r="E1384" s="80" t="s">
        <v>492</v>
      </c>
      <c r="F1384" s="122" t="s">
        <v>1286</v>
      </c>
      <c r="G1384" s="137" t="s">
        <v>848</v>
      </c>
      <c r="H1384" s="79" t="str">
        <f aca="false">IFERROR(VLOOKUP(E:E,'Item Data Support Sheet'!A:O,2,0),"")</f>
        <v>NIPPLE S TYPE LL SIZE INJECTION</v>
      </c>
      <c r="I1384" s="80" t="s">
        <v>2188</v>
      </c>
      <c r="J1384" s="80" t="s">
        <v>143</v>
      </c>
      <c r="K1384" s="124" t="n">
        <v>8</v>
      </c>
      <c r="L1384" s="124" t="n">
        <v>3611</v>
      </c>
      <c r="M1384" s="83" t="n">
        <v>451.375</v>
      </c>
      <c r="N1384" s="84" t="n">
        <f aca="false">+O1384+Q1384+T1384+U1384</f>
        <v>3990</v>
      </c>
      <c r="O1384" s="85" t="n">
        <v>3900</v>
      </c>
      <c r="P1384" s="86" t="n">
        <v>0</v>
      </c>
      <c r="Q1384" s="86" t="n">
        <v>0</v>
      </c>
      <c r="R1384" s="132" t="n">
        <v>0</v>
      </c>
      <c r="S1384" s="128" t="n">
        <v>0</v>
      </c>
      <c r="T1384" s="132" t="n">
        <v>74</v>
      </c>
      <c r="U1384" s="128" t="n">
        <v>16</v>
      </c>
      <c r="V1384" s="128" t="n">
        <v>1</v>
      </c>
      <c r="W1384" s="90" t="n">
        <f aca="false">IFERROR(O1384/V1384,0)</f>
        <v>3900</v>
      </c>
      <c r="X1384" s="91" t="n">
        <f aca="false">O1384/L1384</f>
        <v>1.08003323179175</v>
      </c>
      <c r="Y1384" s="92" t="str">
        <f aca="false">IFERROR(VLOOKUP(E:E,'Item Data Support Sheet'!A:J,6,0),0)</f>
        <v>FO148</v>
      </c>
      <c r="Z1384" s="93" t="n">
        <f aca="false">IFERROR(VLOOKUP(E:E,'Item Data Support Sheet'!A:O,4,0),0)</f>
        <v>6.8</v>
      </c>
      <c r="AA1384" s="93" t="n">
        <f aca="false">IFERROR(((N1384)*(Z1384/1000))+P1384,0)</f>
        <v>27.132</v>
      </c>
      <c r="AB1384" s="94" t="n">
        <f aca="false">IFERROR((O1384*(Z1384/1000)/(AA1384))," ")</f>
        <v>0.977443609022556</v>
      </c>
      <c r="AC1384" s="95" t="n">
        <f aca="false">IFERROR((T1384)/((T1384)+O1384),0)</f>
        <v>0.0186210367388022</v>
      </c>
      <c r="AD1384" s="96" t="n">
        <f aca="false">IFERROR(Q1384/(Q1384+N1384),0)</f>
        <v>0</v>
      </c>
      <c r="AE1384" s="91" t="n">
        <f aca="false">(N1384-T1384)/N1384</f>
        <v>0.981453634085213</v>
      </c>
      <c r="AF1384" s="97" t="n">
        <f aca="false">BR1384</f>
        <v>0</v>
      </c>
      <c r="AG1384" s="98" t="n">
        <f aca="false">K1384-AF1384</f>
        <v>8</v>
      </c>
      <c r="AH1384" s="99" t="n">
        <f aca="false">IFERROR(AG1384/K1384," ")</f>
        <v>1</v>
      </c>
      <c r="AI1384" s="100" t="n">
        <f aca="false">IFERROR(O1384/K1384,0)</f>
        <v>487.5</v>
      </c>
      <c r="AJ1384" s="101" t="n">
        <f aca="false">VLOOKUP(D1384,'Standard Cycle time'!C:D,2,0)</f>
        <v>5.25</v>
      </c>
      <c r="AK1384" s="101" t="n">
        <f aca="false">AG1384*V1384*3600/O1384</f>
        <v>7.38461538461539</v>
      </c>
      <c r="AL1384" s="102" t="n">
        <f aca="false">AJ1384/AK1384</f>
        <v>0.7109375</v>
      </c>
      <c r="AM1384" s="99" t="n">
        <f aca="false">AE1384*AL1384*AH1384</f>
        <v>0.697752192982456</v>
      </c>
      <c r="AN1384" s="103" t="n">
        <v>0.697752192982456</v>
      </c>
      <c r="AO1384" s="112"/>
      <c r="AP1384" s="105" t="n">
        <v>0</v>
      </c>
      <c r="AQ1384" s="105" t="n">
        <v>0</v>
      </c>
      <c r="AR1384" s="105" t="n">
        <v>0</v>
      </c>
      <c r="AS1384" s="105" t="n">
        <v>0</v>
      </c>
      <c r="AT1384" s="105" t="n">
        <v>0</v>
      </c>
      <c r="AU1384" s="105" t="n">
        <v>0</v>
      </c>
      <c r="AV1384" s="105" t="n">
        <v>0</v>
      </c>
      <c r="AW1384" s="105" t="n">
        <v>0</v>
      </c>
      <c r="AX1384" s="105" t="n">
        <v>0</v>
      </c>
      <c r="AY1384" s="105" t="n">
        <v>0</v>
      </c>
      <c r="AZ1384" s="105" t="n">
        <v>0</v>
      </c>
      <c r="BA1384" s="105" t="n">
        <v>0</v>
      </c>
      <c r="BB1384" s="105" t="n">
        <v>0</v>
      </c>
      <c r="BC1384" s="105" t="n">
        <v>0</v>
      </c>
      <c r="BD1384" s="105" t="n">
        <v>0</v>
      </c>
      <c r="BE1384" s="105" t="n">
        <v>0</v>
      </c>
      <c r="BF1384" s="105" t="n">
        <v>0</v>
      </c>
      <c r="BG1384" s="105" t="n">
        <v>0</v>
      </c>
      <c r="BH1384" s="105" t="n">
        <v>0</v>
      </c>
      <c r="BI1384" s="105" t="n">
        <v>0</v>
      </c>
      <c r="BJ1384" s="105" t="n">
        <v>0</v>
      </c>
      <c r="BK1384" s="105" t="n">
        <v>0</v>
      </c>
      <c r="BL1384" s="105" t="n">
        <v>0</v>
      </c>
      <c r="BM1384" s="105" t="n">
        <v>0</v>
      </c>
      <c r="BN1384" s="105" t="n">
        <v>0</v>
      </c>
      <c r="BO1384" s="105" t="n">
        <v>0</v>
      </c>
      <c r="BP1384" s="105" t="n">
        <v>0</v>
      </c>
      <c r="BQ1384" s="105" t="n">
        <v>0</v>
      </c>
      <c r="BR1384" s="106" t="n">
        <v>0</v>
      </c>
      <c r="BS1384" s="106" t="n">
        <v>0</v>
      </c>
      <c r="BT1384" s="107"/>
      <c r="BU1384" s="107"/>
      <c r="BV1384" s="107"/>
      <c r="BW1384" s="107"/>
      <c r="BX1384" s="107"/>
      <c r="BY1384" s="107"/>
      <c r="BZ1384" s="107"/>
      <c r="CA1384" s="107"/>
      <c r="CB1384" s="107"/>
      <c r="CC1384" s="107"/>
      <c r="CD1384" s="107"/>
      <c r="CE1384" s="107"/>
      <c r="CF1384" s="107"/>
      <c r="CG1384" s="107"/>
      <c r="CH1384" s="107"/>
      <c r="CI1384" s="107"/>
      <c r="CJ1384" s="107"/>
      <c r="CK1384" s="107"/>
      <c r="CL1384" s="107"/>
      <c r="CM1384" s="107"/>
      <c r="CN1384" s="107"/>
      <c r="CO1384" s="107"/>
      <c r="CP1384" s="107"/>
      <c r="CQ1384" s="107"/>
      <c r="CR1384" s="107"/>
      <c r="CS1384" s="107"/>
      <c r="CT1384" s="107"/>
      <c r="CU1384" s="107"/>
      <c r="CV1384" s="107"/>
    </row>
    <row r="1385" customFormat="false" ht="14.9" hidden="false" customHeight="false" outlineLevel="0" collapsed="false">
      <c r="A1385" s="74" t="n">
        <f aca="false">MONTH(B1385)</f>
        <v>11</v>
      </c>
      <c r="B1385" s="135" t="n">
        <v>44524</v>
      </c>
      <c r="C1385" s="128" t="s">
        <v>152</v>
      </c>
      <c r="D1385" s="77" t="str">
        <f aca="false">IFERROR(VLOOKUP(E:E,'Item Data Support Sheet'!A:O,7,0),"")</f>
        <v>NIPPLE MOLDED</v>
      </c>
      <c r="E1385" s="80" t="s">
        <v>661</v>
      </c>
      <c r="F1385" s="122" t="s">
        <v>137</v>
      </c>
      <c r="G1385" s="137" t="s">
        <v>138</v>
      </c>
      <c r="H1385" s="79" t="str">
        <f aca="false">IFERROR(VLOOKUP(E:E,'Item Data Support Sheet'!A:O,2,0),"")</f>
        <v>NIPPLE S TYPE L SIZE INJECTION</v>
      </c>
      <c r="I1385" s="80" t="s">
        <v>2188</v>
      </c>
      <c r="J1385" s="80" t="s">
        <v>143</v>
      </c>
      <c r="K1385" s="124" t="n">
        <v>8</v>
      </c>
      <c r="L1385" s="124" t="n">
        <v>4815</v>
      </c>
      <c r="M1385" s="83" t="n">
        <v>601.875</v>
      </c>
      <c r="N1385" s="84" t="n">
        <f aca="false">+O1385+Q1385+T1385+U1385</f>
        <v>5516</v>
      </c>
      <c r="O1385" s="85" t="n">
        <v>5400</v>
      </c>
      <c r="P1385" s="86" t="n">
        <v>0</v>
      </c>
      <c r="Q1385" s="86" t="n">
        <v>30</v>
      </c>
      <c r="R1385" s="132" t="n">
        <v>0</v>
      </c>
      <c r="S1385" s="128" t="n">
        <v>0</v>
      </c>
      <c r="T1385" s="132" t="n">
        <v>70</v>
      </c>
      <c r="U1385" s="128" t="n">
        <v>16</v>
      </c>
      <c r="V1385" s="128" t="n">
        <v>1</v>
      </c>
      <c r="W1385" s="90" t="n">
        <f aca="false">IFERROR(O1385/V1385,0)</f>
        <v>5400</v>
      </c>
      <c r="X1385" s="91" t="n">
        <f aca="false">O1385/L1385</f>
        <v>1.1214953271028</v>
      </c>
      <c r="Y1385" s="92" t="str">
        <f aca="false">IFERROR(VLOOKUP(E:E,'Item Data Support Sheet'!A:J,6,0),0)</f>
        <v>Silicon</v>
      </c>
      <c r="Z1385" s="93" t="n">
        <f aca="false">IFERROR(VLOOKUP(E:E,'Item Data Support Sheet'!A:O,4,0),0)</f>
        <v>6.8</v>
      </c>
      <c r="AA1385" s="93" t="n">
        <f aca="false">IFERROR(((N1385)*(Z1385/1000))+P1385,0)</f>
        <v>37.5088</v>
      </c>
      <c r="AB1385" s="94" t="n">
        <f aca="false">IFERROR((O1385*(Z1385/1000)/(AA1385))," ")</f>
        <v>0.97897026831037</v>
      </c>
      <c r="AC1385" s="95" t="n">
        <f aca="false">IFERROR((T1385)/((T1385)+O1385),0)</f>
        <v>0.0127970749542962</v>
      </c>
      <c r="AD1385" s="96" t="n">
        <f aca="false">IFERROR(Q1385/(Q1385+N1385),0)</f>
        <v>0.00540930400288496</v>
      </c>
      <c r="AE1385" s="91" t="n">
        <f aca="false">(N1385-T1385)/N1385</f>
        <v>0.987309644670051</v>
      </c>
      <c r="AF1385" s="97" t="n">
        <f aca="false">BR1385</f>
        <v>0</v>
      </c>
      <c r="AG1385" s="98" t="n">
        <f aca="false">K1385-AF1385</f>
        <v>8</v>
      </c>
      <c r="AH1385" s="99" t="n">
        <f aca="false">IFERROR(AG1385/K1385," ")</f>
        <v>1</v>
      </c>
      <c r="AI1385" s="100" t="n">
        <f aca="false">IFERROR(O1385/K1385,0)</f>
        <v>675</v>
      </c>
      <c r="AJ1385" s="101" t="n">
        <f aca="false">VLOOKUP(D1385,'Standard Cycle time'!C:D,2,0)</f>
        <v>5.25</v>
      </c>
      <c r="AK1385" s="101" t="n">
        <f aca="false">AG1385*V1385*3600/O1385</f>
        <v>5.33333333333333</v>
      </c>
      <c r="AL1385" s="102" t="n">
        <f aca="false">AJ1385/AK1385</f>
        <v>0.984375</v>
      </c>
      <c r="AM1385" s="99" t="n">
        <f aca="false">AE1385*AL1385*AH1385</f>
        <v>0.971882931472081</v>
      </c>
      <c r="AN1385" s="103" t="n">
        <v>0.971882931472081</v>
      </c>
      <c r="AO1385" s="112"/>
      <c r="AP1385" s="105" t="n">
        <v>0</v>
      </c>
      <c r="AQ1385" s="105" t="n">
        <v>0</v>
      </c>
      <c r="AR1385" s="105" t="n">
        <v>0</v>
      </c>
      <c r="AS1385" s="105" t="n">
        <v>0</v>
      </c>
      <c r="AT1385" s="105" t="n">
        <v>0</v>
      </c>
      <c r="AU1385" s="105" t="n">
        <v>0</v>
      </c>
      <c r="AV1385" s="105" t="n">
        <v>0</v>
      </c>
      <c r="AW1385" s="105" t="n">
        <v>0</v>
      </c>
      <c r="AX1385" s="105" t="n">
        <v>0</v>
      </c>
      <c r="AY1385" s="105" t="n">
        <v>0</v>
      </c>
      <c r="AZ1385" s="105" t="n">
        <v>0</v>
      </c>
      <c r="BA1385" s="105" t="n">
        <v>0</v>
      </c>
      <c r="BB1385" s="105" t="n">
        <v>0</v>
      </c>
      <c r="BC1385" s="105" t="n">
        <v>0</v>
      </c>
      <c r="BD1385" s="105" t="n">
        <v>0</v>
      </c>
      <c r="BE1385" s="105" t="n">
        <v>0</v>
      </c>
      <c r="BF1385" s="105" t="n">
        <v>0</v>
      </c>
      <c r="BG1385" s="105" t="n">
        <v>0</v>
      </c>
      <c r="BH1385" s="105" t="n">
        <v>0</v>
      </c>
      <c r="BI1385" s="105" t="n">
        <v>0</v>
      </c>
      <c r="BJ1385" s="105" t="n">
        <v>0</v>
      </c>
      <c r="BK1385" s="105" t="n">
        <v>0</v>
      </c>
      <c r="BL1385" s="105" t="n">
        <v>0</v>
      </c>
      <c r="BM1385" s="105" t="n">
        <v>0</v>
      </c>
      <c r="BN1385" s="105" t="n">
        <v>0</v>
      </c>
      <c r="BO1385" s="105" t="n">
        <v>0</v>
      </c>
      <c r="BP1385" s="105" t="n">
        <v>0</v>
      </c>
      <c r="BQ1385" s="105" t="n">
        <v>0</v>
      </c>
      <c r="BR1385" s="106" t="n">
        <v>0</v>
      </c>
      <c r="BS1385" s="106" t="n">
        <v>0</v>
      </c>
      <c r="BT1385" s="107"/>
      <c r="BU1385" s="107"/>
      <c r="BV1385" s="107"/>
      <c r="BW1385" s="107"/>
      <c r="BX1385" s="107"/>
      <c r="BY1385" s="107"/>
      <c r="BZ1385" s="107"/>
      <c r="CA1385" s="107"/>
      <c r="CB1385" s="107"/>
      <c r="CC1385" s="107"/>
      <c r="CD1385" s="107"/>
      <c r="CE1385" s="107"/>
      <c r="CF1385" s="107"/>
      <c r="CG1385" s="107"/>
      <c r="CH1385" s="107"/>
      <c r="CI1385" s="107"/>
      <c r="CJ1385" s="107"/>
      <c r="CK1385" s="107"/>
      <c r="CL1385" s="107"/>
      <c r="CM1385" s="107"/>
      <c r="CN1385" s="107"/>
      <c r="CO1385" s="107"/>
      <c r="CP1385" s="107"/>
      <c r="CQ1385" s="107"/>
      <c r="CR1385" s="107"/>
      <c r="CS1385" s="107"/>
      <c r="CT1385" s="107"/>
      <c r="CU1385" s="107"/>
      <c r="CV1385" s="107"/>
    </row>
    <row r="1386" customFormat="false" ht="14.9" hidden="false" customHeight="false" outlineLevel="0" collapsed="false">
      <c r="A1386" s="74" t="n">
        <f aca="false">MONTH(B1386)</f>
        <v>11</v>
      </c>
      <c r="B1386" s="135" t="n">
        <v>44524</v>
      </c>
      <c r="C1386" s="128" t="s">
        <v>152</v>
      </c>
      <c r="D1386" s="77" t="str">
        <f aca="false">IFERROR(VLOOKUP(E:E,'Item Data Support Sheet'!A:O,7,0),"")</f>
        <v>NIPPLE PUNCH</v>
      </c>
      <c r="E1386" s="80" t="s">
        <v>60</v>
      </c>
      <c r="F1386" s="122"/>
      <c r="G1386" s="137" t="s">
        <v>54</v>
      </c>
      <c r="H1386" s="79" t="str">
        <f aca="false">IFERROR(VLOOKUP(E:E,'Item Data Support Sheet'!A:O,2,0),"")</f>
        <v>NIPPLE S TYPE M SIZE PUNCHED</v>
      </c>
      <c r="I1386" s="80" t="s">
        <v>2189</v>
      </c>
      <c r="J1386" s="80" t="s">
        <v>143</v>
      </c>
      <c r="K1386" s="124" t="n">
        <v>6</v>
      </c>
      <c r="L1386" s="124" t="n">
        <v>5000</v>
      </c>
      <c r="M1386" s="83" t="n">
        <v>833.333333333333</v>
      </c>
      <c r="N1386" s="84" t="n">
        <f aca="false">+O1386+Q1386+T1386+U1386</f>
        <v>4820</v>
      </c>
      <c r="O1386" s="85" t="n">
        <v>4820</v>
      </c>
      <c r="P1386" s="86" t="n">
        <v>0</v>
      </c>
      <c r="Q1386" s="86" t="n">
        <v>0</v>
      </c>
      <c r="R1386" s="132" t="n">
        <v>0</v>
      </c>
      <c r="S1386" s="128" t="n">
        <v>0</v>
      </c>
      <c r="T1386" s="132" t="n">
        <v>0</v>
      </c>
      <c r="U1386" s="128" t="n">
        <v>0</v>
      </c>
      <c r="V1386" s="128" t="n">
        <v>1</v>
      </c>
      <c r="W1386" s="90" t="n">
        <f aca="false">IFERROR(O1386/V1386,0)</f>
        <v>4820</v>
      </c>
      <c r="X1386" s="91" t="n">
        <f aca="false">O1386/L1386</f>
        <v>0.964</v>
      </c>
      <c r="Y1386" s="92" t="str">
        <f aca="false">IFERROR(VLOOKUP(E:E,'Item Data Support Sheet'!A:J,6,0),0)</f>
        <v>FO016</v>
      </c>
      <c r="Z1386" s="93" t="n">
        <f aca="false">IFERROR(VLOOKUP(E:E,'Item Data Support Sheet'!A:O,4,0),0)</f>
        <v>0</v>
      </c>
      <c r="AA1386" s="93" t="n">
        <f aca="false">IFERROR(((N1386)*(Z1386/1000))+P1386,0)</f>
        <v>0</v>
      </c>
      <c r="AB1386" s="94" t="str">
        <f aca="false">IFERROR((O1386*(Z1386/1000)/(AA1386))," ")</f>
        <v> </v>
      </c>
      <c r="AC1386" s="95" t="n">
        <f aca="false">IFERROR((T1386)/((T1386)+O1386),0)</f>
        <v>0</v>
      </c>
      <c r="AD1386" s="96" t="n">
        <f aca="false">IFERROR(Q1386/(Q1386+N1386),0)</f>
        <v>0</v>
      </c>
      <c r="AE1386" s="91" t="n">
        <f aca="false">(N1386-T1386)/N1386</f>
        <v>1</v>
      </c>
      <c r="AF1386" s="97" t="n">
        <f aca="false">BR1386</f>
        <v>0.666666666666667</v>
      </c>
      <c r="AG1386" s="98" t="n">
        <f aca="false">K1386-AF1386</f>
        <v>5.33333333333333</v>
      </c>
      <c r="AH1386" s="99" t="n">
        <f aca="false">IFERROR(AG1386/K1386," ")</f>
        <v>0.888888888888889</v>
      </c>
      <c r="AI1386" s="100" t="n">
        <f aca="false">IFERROR(O1386/K1386,0)</f>
        <v>803.333333333333</v>
      </c>
      <c r="AJ1386" s="101" t="n">
        <f aca="false">VLOOKUP(D1386,'Standard Cycle time'!C:D,2,0)</f>
        <v>3.5</v>
      </c>
      <c r="AK1386" s="101" t="n">
        <f aca="false">AG1386*V1386*3600/O1386</f>
        <v>3.98340248962656</v>
      </c>
      <c r="AL1386" s="102" t="n">
        <f aca="false">AJ1386/AK1386</f>
        <v>0.878645833333333</v>
      </c>
      <c r="AM1386" s="99" t="n">
        <f aca="false">AE1386*AL1386*AH1386</f>
        <v>0.781018518518518</v>
      </c>
      <c r="AN1386" s="103" t="n">
        <v>0.781018518518518</v>
      </c>
      <c r="AO1386" s="112"/>
      <c r="AP1386" s="105" t="n">
        <v>40</v>
      </c>
      <c r="AQ1386" s="105" t="n">
        <v>0</v>
      </c>
      <c r="AR1386" s="105" t="n">
        <v>0</v>
      </c>
      <c r="AS1386" s="105" t="n">
        <v>0</v>
      </c>
      <c r="AT1386" s="105" t="n">
        <v>0</v>
      </c>
      <c r="AU1386" s="105" t="n">
        <v>0</v>
      </c>
      <c r="AV1386" s="105" t="n">
        <v>0</v>
      </c>
      <c r="AW1386" s="105" t="n">
        <v>0</v>
      </c>
      <c r="AX1386" s="105" t="n">
        <v>0</v>
      </c>
      <c r="AY1386" s="105" t="n">
        <v>0</v>
      </c>
      <c r="AZ1386" s="105" t="n">
        <v>0</v>
      </c>
      <c r="BA1386" s="105" t="n">
        <v>0</v>
      </c>
      <c r="BB1386" s="105" t="n">
        <v>0</v>
      </c>
      <c r="BC1386" s="105" t="n">
        <v>0</v>
      </c>
      <c r="BD1386" s="105" t="n">
        <v>0</v>
      </c>
      <c r="BE1386" s="105" t="n">
        <v>0</v>
      </c>
      <c r="BF1386" s="105" t="n">
        <v>0</v>
      </c>
      <c r="BG1386" s="105" t="n">
        <v>0</v>
      </c>
      <c r="BH1386" s="105" t="n">
        <v>0</v>
      </c>
      <c r="BI1386" s="105" t="n">
        <v>0</v>
      </c>
      <c r="BJ1386" s="105" t="n">
        <v>0</v>
      </c>
      <c r="BK1386" s="105" t="n">
        <v>0</v>
      </c>
      <c r="BL1386" s="105" t="n">
        <v>0</v>
      </c>
      <c r="BM1386" s="105" t="n">
        <v>0</v>
      </c>
      <c r="BN1386" s="105" t="n">
        <v>0</v>
      </c>
      <c r="BO1386" s="105" t="n">
        <v>0</v>
      </c>
      <c r="BP1386" s="105" t="n">
        <v>0</v>
      </c>
      <c r="BQ1386" s="105" t="n">
        <v>0</v>
      </c>
      <c r="BR1386" s="106" t="n">
        <v>0.666666666666667</v>
      </c>
      <c r="BS1386" s="106" t="n">
        <v>0.666666666666667</v>
      </c>
      <c r="BT1386" s="107"/>
      <c r="BU1386" s="107"/>
      <c r="BV1386" s="107"/>
      <c r="BW1386" s="107"/>
      <c r="BX1386" s="107"/>
      <c r="BY1386" s="107"/>
      <c r="BZ1386" s="107"/>
      <c r="CA1386" s="107"/>
      <c r="CB1386" s="107"/>
      <c r="CC1386" s="107"/>
      <c r="CD1386" s="107"/>
      <c r="CE1386" s="107"/>
      <c r="CF1386" s="107"/>
      <c r="CG1386" s="107"/>
      <c r="CH1386" s="107"/>
      <c r="CI1386" s="107"/>
      <c r="CJ1386" s="107"/>
      <c r="CK1386" s="107"/>
      <c r="CL1386" s="107"/>
      <c r="CM1386" s="107"/>
      <c r="CN1386" s="107"/>
      <c r="CO1386" s="107"/>
      <c r="CP1386" s="107"/>
      <c r="CQ1386" s="107"/>
      <c r="CR1386" s="107"/>
      <c r="CS1386" s="107"/>
      <c r="CT1386" s="107"/>
      <c r="CU1386" s="107"/>
      <c r="CV1386" s="107"/>
    </row>
    <row r="1387" customFormat="false" ht="14.9" hidden="false" customHeight="false" outlineLevel="0" collapsed="false">
      <c r="A1387" s="74" t="n">
        <f aca="false">MONTH(B1387)</f>
        <v>11</v>
      </c>
      <c r="B1387" s="135" t="n">
        <v>44524</v>
      </c>
      <c r="C1387" s="128" t="s">
        <v>152</v>
      </c>
      <c r="D1387" s="77" t="str">
        <f aca="false">IFERROR(VLOOKUP(E:E,'Item Data Support Sheet'!A:O,7,0),"")</f>
        <v>NIPPLE PUNCH</v>
      </c>
      <c r="E1387" s="80" t="s">
        <v>666</v>
      </c>
      <c r="F1387" s="122"/>
      <c r="G1387" s="137" t="s">
        <v>54</v>
      </c>
      <c r="H1387" s="79" t="str">
        <f aca="false">IFERROR(VLOOKUP(E:E,'Item Data Support Sheet'!A:O,2,0),"")</f>
        <v>NIPPLE S TYPE L SIZE PUNCHED</v>
      </c>
      <c r="I1387" s="80" t="s">
        <v>2190</v>
      </c>
      <c r="J1387" s="80" t="s">
        <v>143</v>
      </c>
      <c r="K1387" s="124" t="n">
        <v>2</v>
      </c>
      <c r="L1387" s="124" t="n">
        <v>2000</v>
      </c>
      <c r="M1387" s="83" t="n">
        <v>1000</v>
      </c>
      <c r="N1387" s="84" t="n">
        <f aca="false">+O1387+Q1387+T1387+U1387</f>
        <v>2000</v>
      </c>
      <c r="O1387" s="85" t="n">
        <v>2000</v>
      </c>
      <c r="P1387" s="86" t="n">
        <v>0</v>
      </c>
      <c r="Q1387" s="86" t="n">
        <v>0</v>
      </c>
      <c r="R1387" s="132" t="n">
        <v>0</v>
      </c>
      <c r="S1387" s="128" t="n">
        <v>0</v>
      </c>
      <c r="T1387" s="132" t="n">
        <v>0</v>
      </c>
      <c r="U1387" s="128" t="n">
        <v>0</v>
      </c>
      <c r="V1387" s="128" t="n">
        <v>1</v>
      </c>
      <c r="W1387" s="90" t="n">
        <f aca="false">IFERROR(O1387/V1387,0)</f>
        <v>2000</v>
      </c>
      <c r="X1387" s="91" t="n">
        <f aca="false">O1387/L1387</f>
        <v>1</v>
      </c>
      <c r="Y1387" s="92" t="str">
        <f aca="false">IFERROR(VLOOKUP(E:E,'Item Data Support Sheet'!A:J,6,0),0)</f>
        <v>FO017</v>
      </c>
      <c r="Z1387" s="93" t="n">
        <f aca="false">IFERROR(VLOOKUP(E:E,'Item Data Support Sheet'!A:O,4,0),0)</f>
        <v>0</v>
      </c>
      <c r="AA1387" s="93" t="n">
        <f aca="false">IFERROR(((N1387)*(Z1387/1000))+P1387,0)</f>
        <v>0</v>
      </c>
      <c r="AB1387" s="94" t="str">
        <f aca="false">IFERROR((O1387*(Z1387/1000)/(AA1387))," ")</f>
        <v> </v>
      </c>
      <c r="AC1387" s="95" t="n">
        <f aca="false">IFERROR((T1387)/((T1387)+O1387),0)</f>
        <v>0</v>
      </c>
      <c r="AD1387" s="96" t="n">
        <f aca="false">IFERROR(Q1387/(Q1387+N1387),0)</f>
        <v>0</v>
      </c>
      <c r="AE1387" s="91" t="n">
        <f aca="false">(N1387-T1387)/N1387</f>
        <v>1</v>
      </c>
      <c r="AF1387" s="97" t="n">
        <f aca="false">BR1387</f>
        <v>0.333333333333333</v>
      </c>
      <c r="AG1387" s="98" t="n">
        <f aca="false">K1387-AF1387</f>
        <v>1.66666666666667</v>
      </c>
      <c r="AH1387" s="99" t="n">
        <f aca="false">IFERROR(AG1387/K1387," ")</f>
        <v>0.833333333333333</v>
      </c>
      <c r="AI1387" s="100" t="n">
        <f aca="false">IFERROR(O1387/K1387,0)</f>
        <v>1000</v>
      </c>
      <c r="AJ1387" s="101" t="n">
        <f aca="false">VLOOKUP(D1387,'Standard Cycle time'!C:D,2,0)</f>
        <v>3.5</v>
      </c>
      <c r="AK1387" s="101" t="n">
        <f aca="false">AG1387*V1387*3600/O1387</f>
        <v>3</v>
      </c>
      <c r="AL1387" s="102" t="n">
        <f aca="false">AJ1387/AK1387</f>
        <v>1.16666666666667</v>
      </c>
      <c r="AM1387" s="99" t="n">
        <f aca="false">AE1387*AL1387*AH1387</f>
        <v>0.972222222222222</v>
      </c>
      <c r="AN1387" s="103" t="n">
        <v>0.972222222222222</v>
      </c>
      <c r="AO1387" s="112" t="s">
        <v>2191</v>
      </c>
      <c r="AP1387" s="105" t="n">
        <v>0</v>
      </c>
      <c r="AQ1387" s="105" t="n">
        <v>20</v>
      </c>
      <c r="AR1387" s="105" t="n">
        <v>0</v>
      </c>
      <c r="AS1387" s="105" t="n">
        <v>0</v>
      </c>
      <c r="AT1387" s="105" t="n">
        <v>0</v>
      </c>
      <c r="AU1387" s="105" t="n">
        <v>0</v>
      </c>
      <c r="AV1387" s="105" t="n">
        <v>0</v>
      </c>
      <c r="AW1387" s="105" t="n">
        <v>0</v>
      </c>
      <c r="AX1387" s="105" t="n">
        <v>0</v>
      </c>
      <c r="AY1387" s="105" t="n">
        <v>0</v>
      </c>
      <c r="AZ1387" s="105" t="n">
        <v>0</v>
      </c>
      <c r="BA1387" s="105" t="n">
        <v>0</v>
      </c>
      <c r="BB1387" s="105" t="n">
        <v>0</v>
      </c>
      <c r="BC1387" s="105" t="n">
        <v>0</v>
      </c>
      <c r="BD1387" s="105" t="n">
        <v>0</v>
      </c>
      <c r="BE1387" s="105" t="n">
        <v>0</v>
      </c>
      <c r="BF1387" s="105" t="n">
        <v>0</v>
      </c>
      <c r="BG1387" s="105" t="n">
        <v>0</v>
      </c>
      <c r="BH1387" s="105" t="n">
        <v>0</v>
      </c>
      <c r="BI1387" s="105" t="n">
        <v>0</v>
      </c>
      <c r="BJ1387" s="105" t="n">
        <v>0</v>
      </c>
      <c r="BK1387" s="105" t="n">
        <v>0</v>
      </c>
      <c r="BL1387" s="105" t="n">
        <v>0</v>
      </c>
      <c r="BM1387" s="105" t="n">
        <v>0</v>
      </c>
      <c r="BN1387" s="105" t="n">
        <v>0</v>
      </c>
      <c r="BO1387" s="105" t="n">
        <v>0</v>
      </c>
      <c r="BP1387" s="105" t="n">
        <v>0</v>
      </c>
      <c r="BQ1387" s="105" t="n">
        <v>0</v>
      </c>
      <c r="BR1387" s="106" t="n">
        <v>0.333333333333333</v>
      </c>
      <c r="BS1387" s="106" t="n">
        <v>0.333333333333333</v>
      </c>
      <c r="BT1387" s="107"/>
      <c r="BU1387" s="107"/>
      <c r="BV1387" s="107"/>
      <c r="BW1387" s="107"/>
      <c r="BX1387" s="107"/>
      <c r="BY1387" s="107"/>
      <c r="BZ1387" s="107"/>
      <c r="CA1387" s="107"/>
      <c r="CB1387" s="107"/>
      <c r="CC1387" s="107"/>
      <c r="CD1387" s="107"/>
      <c r="CE1387" s="107"/>
      <c r="CF1387" s="107"/>
      <c r="CG1387" s="107"/>
      <c r="CH1387" s="107"/>
      <c r="CI1387" s="107"/>
      <c r="CJ1387" s="107"/>
      <c r="CK1387" s="107"/>
      <c r="CL1387" s="107"/>
      <c r="CM1387" s="107"/>
      <c r="CN1387" s="107"/>
      <c r="CO1387" s="107"/>
      <c r="CP1387" s="107"/>
      <c r="CQ1387" s="107"/>
      <c r="CR1387" s="107"/>
      <c r="CS1387" s="107"/>
      <c r="CT1387" s="107"/>
      <c r="CU1387" s="107"/>
      <c r="CV1387" s="107"/>
    </row>
    <row r="1388" customFormat="false" ht="14.9" hidden="false" customHeight="false" outlineLevel="0" collapsed="false">
      <c r="A1388" s="74" t="n">
        <f aca="false">MONTH(B1388)</f>
        <v>11</v>
      </c>
      <c r="B1388" s="135" t="n">
        <v>44524</v>
      </c>
      <c r="C1388" s="128" t="s">
        <v>152</v>
      </c>
      <c r="D1388" s="77" t="str">
        <f aca="false">IFERROR(VLOOKUP(E:E,'Item Data Support Sheet'!A:O,7,0),"")</f>
        <v>NIPPLE LASER MARKING</v>
      </c>
      <c r="E1388" s="80" t="s">
        <v>932</v>
      </c>
      <c r="F1388" s="122"/>
      <c r="G1388" s="137" t="s">
        <v>517</v>
      </c>
      <c r="H1388" s="79" t="str">
        <f aca="false">IFERROR(VLOOKUP(E:E,'Item Data Support Sheet'!A:O,2,0),"")</f>
        <v>NIPPLE S TYPE M SIZE PUNCHED LASER MARKED</v>
      </c>
      <c r="I1388" s="80" t="s">
        <v>2179</v>
      </c>
      <c r="J1388" s="80" t="s">
        <v>143</v>
      </c>
      <c r="K1388" s="124" t="n">
        <v>6</v>
      </c>
      <c r="L1388" s="124" t="n">
        <v>5000</v>
      </c>
      <c r="M1388" s="83" t="n">
        <v>833.333333333333</v>
      </c>
      <c r="N1388" s="84" t="n">
        <f aca="false">+O1388+Q1388+T1388+U1388</f>
        <v>4820</v>
      </c>
      <c r="O1388" s="85" t="n">
        <v>4820</v>
      </c>
      <c r="P1388" s="86" t="n">
        <v>0</v>
      </c>
      <c r="Q1388" s="86" t="n">
        <v>0</v>
      </c>
      <c r="R1388" s="132" t="n">
        <v>0</v>
      </c>
      <c r="S1388" s="128" t="n">
        <v>0</v>
      </c>
      <c r="T1388" s="132" t="n">
        <v>0</v>
      </c>
      <c r="U1388" s="128" t="n">
        <v>0</v>
      </c>
      <c r="V1388" s="128" t="n">
        <v>1</v>
      </c>
      <c r="W1388" s="90" t="n">
        <f aca="false">IFERROR(O1388/V1388,0)</f>
        <v>4820</v>
      </c>
      <c r="X1388" s="91" t="n">
        <f aca="false">O1388/L1388</f>
        <v>0.964</v>
      </c>
      <c r="Y1388" s="92" t="str">
        <f aca="false">IFERROR(VLOOKUP(E:E,'Item Data Support Sheet'!A:J,6,0),0)</f>
        <v>FO020</v>
      </c>
      <c r="Z1388" s="93" t="n">
        <f aca="false">IFERROR(VLOOKUP(E:E,'Item Data Support Sheet'!A:O,4,0),0)</f>
        <v>0</v>
      </c>
      <c r="AA1388" s="93" t="n">
        <f aca="false">IFERROR(((N1388)*(Z1388/1000))+P1388,0)</f>
        <v>0</v>
      </c>
      <c r="AB1388" s="94" t="str">
        <f aca="false">IFERROR((O1388*(Z1388/1000)/(AA1388))," ")</f>
        <v> </v>
      </c>
      <c r="AC1388" s="95" t="n">
        <f aca="false">IFERROR((T1388)/((T1388)+O1388),0)</f>
        <v>0</v>
      </c>
      <c r="AD1388" s="96" t="n">
        <f aca="false">IFERROR(Q1388/(Q1388+N1388),0)</f>
        <v>0</v>
      </c>
      <c r="AE1388" s="91" t="n">
        <f aca="false">(N1388-T1388)/N1388</f>
        <v>1</v>
      </c>
      <c r="AF1388" s="97" t="n">
        <f aca="false">BR1388</f>
        <v>0</v>
      </c>
      <c r="AG1388" s="98" t="n">
        <f aca="false">K1388-AF1388</f>
        <v>6</v>
      </c>
      <c r="AH1388" s="99" t="n">
        <f aca="false">IFERROR(AG1388/K1388," ")</f>
        <v>1</v>
      </c>
      <c r="AI1388" s="100" t="n">
        <f aca="false">IFERROR(O1388/K1388,0)</f>
        <v>803.333333333333</v>
      </c>
      <c r="AJ1388" s="101" t="n">
        <f aca="false">VLOOKUP(D1388,'Standard Cycle time'!C:D,2,0)</f>
        <v>3.5</v>
      </c>
      <c r="AK1388" s="101" t="n">
        <f aca="false">AG1388*V1388*3600/O1388</f>
        <v>4.48132780082988</v>
      </c>
      <c r="AL1388" s="102" t="n">
        <f aca="false">AJ1388/AK1388</f>
        <v>0.781018518518519</v>
      </c>
      <c r="AM1388" s="99" t="n">
        <f aca="false">AE1388*AL1388*AH1388</f>
        <v>0.781018518518519</v>
      </c>
      <c r="AN1388" s="103" t="n">
        <v>0.781018518518519</v>
      </c>
      <c r="AO1388" s="112"/>
      <c r="AP1388" s="105" t="n">
        <v>0</v>
      </c>
      <c r="AQ1388" s="105" t="n">
        <v>0</v>
      </c>
      <c r="AR1388" s="105" t="n">
        <v>0</v>
      </c>
      <c r="AS1388" s="105" t="n">
        <v>0</v>
      </c>
      <c r="AT1388" s="105" t="n">
        <v>0</v>
      </c>
      <c r="AU1388" s="105" t="n">
        <v>0</v>
      </c>
      <c r="AV1388" s="105" t="n">
        <v>0</v>
      </c>
      <c r="AW1388" s="105" t="n">
        <v>0</v>
      </c>
      <c r="AX1388" s="105" t="n">
        <v>0</v>
      </c>
      <c r="AY1388" s="105" t="n">
        <v>0</v>
      </c>
      <c r="AZ1388" s="105" t="n">
        <v>0</v>
      </c>
      <c r="BA1388" s="105" t="n">
        <v>0</v>
      </c>
      <c r="BB1388" s="105" t="n">
        <v>0</v>
      </c>
      <c r="BC1388" s="105" t="n">
        <v>0</v>
      </c>
      <c r="BD1388" s="105" t="n">
        <v>0</v>
      </c>
      <c r="BE1388" s="105" t="n">
        <v>0</v>
      </c>
      <c r="BF1388" s="105" t="n">
        <v>0</v>
      </c>
      <c r="BG1388" s="105" t="n">
        <v>0</v>
      </c>
      <c r="BH1388" s="105" t="n">
        <v>0</v>
      </c>
      <c r="BI1388" s="105" t="n">
        <v>0</v>
      </c>
      <c r="BJ1388" s="105" t="n">
        <v>0</v>
      </c>
      <c r="BK1388" s="105" t="n">
        <v>0</v>
      </c>
      <c r="BL1388" s="105" t="n">
        <v>0</v>
      </c>
      <c r="BM1388" s="105" t="n">
        <v>0</v>
      </c>
      <c r="BN1388" s="105" t="n">
        <v>0</v>
      </c>
      <c r="BO1388" s="105" t="n">
        <v>0</v>
      </c>
      <c r="BP1388" s="105" t="n">
        <v>0</v>
      </c>
      <c r="BQ1388" s="105" t="n">
        <v>0</v>
      </c>
      <c r="BR1388" s="106" t="n">
        <v>0</v>
      </c>
      <c r="BS1388" s="106" t="n">
        <v>0</v>
      </c>
      <c r="BT1388" s="107"/>
      <c r="BU1388" s="107"/>
      <c r="BV1388" s="107"/>
      <c r="BW1388" s="107"/>
      <c r="BX1388" s="107"/>
      <c r="BY1388" s="107"/>
      <c r="BZ1388" s="107"/>
      <c r="CA1388" s="107"/>
      <c r="CB1388" s="107"/>
      <c r="CC1388" s="107"/>
      <c r="CD1388" s="107"/>
      <c r="CE1388" s="107"/>
      <c r="CF1388" s="107"/>
      <c r="CG1388" s="107"/>
      <c r="CH1388" s="107"/>
      <c r="CI1388" s="107"/>
      <c r="CJ1388" s="107"/>
      <c r="CK1388" s="107"/>
      <c r="CL1388" s="107"/>
      <c r="CM1388" s="107"/>
      <c r="CN1388" s="107"/>
      <c r="CO1388" s="107"/>
      <c r="CP1388" s="107"/>
      <c r="CQ1388" s="107"/>
      <c r="CR1388" s="107"/>
      <c r="CS1388" s="107"/>
      <c r="CT1388" s="107"/>
      <c r="CU1388" s="107"/>
      <c r="CV1388" s="107"/>
    </row>
    <row r="1389" customFormat="false" ht="14.9" hidden="false" customHeight="false" outlineLevel="0" collapsed="false">
      <c r="A1389" s="74" t="n">
        <f aca="false">MONTH(B1389)</f>
        <v>11</v>
      </c>
      <c r="B1389" s="135" t="n">
        <v>44524</v>
      </c>
      <c r="C1389" s="128" t="s">
        <v>152</v>
      </c>
      <c r="D1389" s="77" t="str">
        <f aca="false">IFERROR(VLOOKUP(E:E,'Item Data Support Sheet'!A:O,7,0),"")</f>
        <v>NIPPLE LASER MARKING</v>
      </c>
      <c r="E1389" s="80" t="s">
        <v>681</v>
      </c>
      <c r="F1389" s="122"/>
      <c r="G1389" s="137" t="s">
        <v>517</v>
      </c>
      <c r="H1389" s="79" t="str">
        <f aca="false">IFERROR(VLOOKUP(E:E,'Item Data Support Sheet'!A:O,2,0),"")</f>
        <v>NIPPLE S TYPE L SIZE PUNCHED LASER MARKED</v>
      </c>
      <c r="I1389" s="80" t="s">
        <v>2178</v>
      </c>
      <c r="J1389" s="80" t="s">
        <v>143</v>
      </c>
      <c r="K1389" s="124" t="n">
        <v>2</v>
      </c>
      <c r="L1389" s="124" t="n">
        <v>2000</v>
      </c>
      <c r="M1389" s="83" t="n">
        <v>1000</v>
      </c>
      <c r="N1389" s="84" t="n">
        <f aca="false">+O1389+Q1389+T1389+U1389</f>
        <v>1000</v>
      </c>
      <c r="O1389" s="85" t="n">
        <v>1000</v>
      </c>
      <c r="P1389" s="86" t="n">
        <v>0</v>
      </c>
      <c r="Q1389" s="86" t="n">
        <v>0</v>
      </c>
      <c r="R1389" s="132" t="n">
        <v>0</v>
      </c>
      <c r="S1389" s="128" t="n">
        <v>0</v>
      </c>
      <c r="T1389" s="132" t="n">
        <v>0</v>
      </c>
      <c r="U1389" s="128" t="n">
        <v>0</v>
      </c>
      <c r="V1389" s="128" t="n">
        <v>1</v>
      </c>
      <c r="W1389" s="90" t="n">
        <f aca="false">IFERROR(O1389/V1389,0)</f>
        <v>1000</v>
      </c>
      <c r="X1389" s="91" t="n">
        <f aca="false">O1389/L1389</f>
        <v>0.5</v>
      </c>
      <c r="Y1389" s="92" t="str">
        <f aca="false">IFERROR(VLOOKUP(E:E,'Item Data Support Sheet'!A:J,6,0),0)</f>
        <v>FO021</v>
      </c>
      <c r="Z1389" s="93" t="n">
        <f aca="false">IFERROR(VLOOKUP(E:E,'Item Data Support Sheet'!A:O,4,0),0)</f>
        <v>0</v>
      </c>
      <c r="AA1389" s="93" t="n">
        <f aca="false">IFERROR(((N1389)*(Z1389/1000))+P1389,0)</f>
        <v>0</v>
      </c>
      <c r="AB1389" s="94" t="str">
        <f aca="false">IFERROR((O1389*(Z1389/1000)/(AA1389))," ")</f>
        <v> </v>
      </c>
      <c r="AC1389" s="95" t="n">
        <f aca="false">IFERROR((T1389)/((T1389)+O1389),0)</f>
        <v>0</v>
      </c>
      <c r="AD1389" s="96" t="n">
        <f aca="false">IFERROR(Q1389/(Q1389+N1389),0)</f>
        <v>0</v>
      </c>
      <c r="AE1389" s="91" t="n">
        <f aca="false">(N1389-T1389)/N1389</f>
        <v>1</v>
      </c>
      <c r="AF1389" s="97" t="n">
        <f aca="false">BR1389</f>
        <v>0.666666666666667</v>
      </c>
      <c r="AG1389" s="98" t="n">
        <f aca="false">K1389-AF1389</f>
        <v>1.33333333333333</v>
      </c>
      <c r="AH1389" s="99" t="n">
        <f aca="false">IFERROR(AG1389/K1389," ")</f>
        <v>0.666666666666667</v>
      </c>
      <c r="AI1389" s="100" t="n">
        <f aca="false">IFERROR(O1389/K1389,0)</f>
        <v>500</v>
      </c>
      <c r="AJ1389" s="101" t="n">
        <f aca="false">VLOOKUP(D1389,'Standard Cycle time'!C:D,2,0)</f>
        <v>3.5</v>
      </c>
      <c r="AK1389" s="101" t="n">
        <f aca="false">AG1389*V1389*3600/O1389</f>
        <v>4.8</v>
      </c>
      <c r="AL1389" s="102" t="n">
        <f aca="false">AJ1389/AK1389</f>
        <v>0.729166666666667</v>
      </c>
      <c r="AM1389" s="99" t="n">
        <f aca="false">AE1389*AL1389*AH1389</f>
        <v>0.486111111111111</v>
      </c>
      <c r="AN1389" s="103" t="n">
        <v>0.486111111111111</v>
      </c>
      <c r="AO1389" s="112"/>
      <c r="AP1389" s="105" t="n">
        <v>40</v>
      </c>
      <c r="AQ1389" s="105" t="n">
        <v>0</v>
      </c>
      <c r="AR1389" s="105" t="n">
        <v>0</v>
      </c>
      <c r="AS1389" s="105" t="n">
        <v>0</v>
      </c>
      <c r="AT1389" s="105" t="n">
        <v>0</v>
      </c>
      <c r="AU1389" s="105" t="n">
        <v>0</v>
      </c>
      <c r="AV1389" s="105" t="n">
        <v>0</v>
      </c>
      <c r="AW1389" s="105" t="n">
        <v>0</v>
      </c>
      <c r="AX1389" s="105" t="n">
        <v>0</v>
      </c>
      <c r="AY1389" s="105" t="n">
        <v>0</v>
      </c>
      <c r="AZ1389" s="105" t="n">
        <v>0</v>
      </c>
      <c r="BA1389" s="105" t="n">
        <v>0</v>
      </c>
      <c r="BB1389" s="105" t="n">
        <v>0</v>
      </c>
      <c r="BC1389" s="105" t="n">
        <v>0</v>
      </c>
      <c r="BD1389" s="105" t="n">
        <v>0</v>
      </c>
      <c r="BE1389" s="105" t="n">
        <v>0</v>
      </c>
      <c r="BF1389" s="105" t="n">
        <v>0</v>
      </c>
      <c r="BG1389" s="105" t="n">
        <v>0</v>
      </c>
      <c r="BH1389" s="105" t="n">
        <v>0</v>
      </c>
      <c r="BI1389" s="105" t="n">
        <v>0</v>
      </c>
      <c r="BJ1389" s="105" t="n">
        <v>0</v>
      </c>
      <c r="BK1389" s="105" t="n">
        <v>0</v>
      </c>
      <c r="BL1389" s="105" t="n">
        <v>0</v>
      </c>
      <c r="BM1389" s="105" t="n">
        <v>0</v>
      </c>
      <c r="BN1389" s="105" t="n">
        <v>0</v>
      </c>
      <c r="BO1389" s="105" t="n">
        <v>0</v>
      </c>
      <c r="BP1389" s="105" t="n">
        <v>0</v>
      </c>
      <c r="BQ1389" s="105" t="n">
        <v>0</v>
      </c>
      <c r="BR1389" s="106" t="n">
        <v>0.666666666666667</v>
      </c>
      <c r="BS1389" s="106" t="n">
        <v>0.666666666666667</v>
      </c>
      <c r="BT1389" s="107"/>
      <c r="BU1389" s="107"/>
      <c r="BV1389" s="107"/>
      <c r="BW1389" s="107"/>
      <c r="BX1389" s="107"/>
      <c r="BY1389" s="107"/>
      <c r="BZ1389" s="107"/>
      <c r="CA1389" s="107"/>
      <c r="CB1389" s="107"/>
      <c r="CC1389" s="107"/>
      <c r="CD1389" s="107"/>
      <c r="CE1389" s="107"/>
      <c r="CF1389" s="107"/>
      <c r="CG1389" s="107"/>
      <c r="CH1389" s="107"/>
      <c r="CI1389" s="107"/>
      <c r="CJ1389" s="107"/>
      <c r="CK1389" s="107"/>
      <c r="CL1389" s="107"/>
      <c r="CM1389" s="107"/>
      <c r="CN1389" s="107"/>
      <c r="CO1389" s="107"/>
      <c r="CP1389" s="107"/>
      <c r="CQ1389" s="107"/>
      <c r="CR1389" s="107"/>
      <c r="CS1389" s="107"/>
      <c r="CT1389" s="107"/>
      <c r="CU1389" s="107"/>
      <c r="CV1389" s="107"/>
    </row>
    <row r="1390" customFormat="false" ht="14.9" hidden="false" customHeight="false" outlineLevel="0" collapsed="false">
      <c r="A1390" s="74" t="n">
        <f aca="false">MONTH(B1390)</f>
        <v>11</v>
      </c>
      <c r="B1390" s="135" t="n">
        <v>44524</v>
      </c>
      <c r="C1390" s="128" t="s">
        <v>152</v>
      </c>
      <c r="D1390" s="77" t="str">
        <f aca="false">IFERROR(VLOOKUP(E:E,'Item Data Support Sheet'!A:O,7,0),"")</f>
        <v>CAP MOLDED</v>
      </c>
      <c r="E1390" s="80" t="s">
        <v>199</v>
      </c>
      <c r="F1390" s="122" t="s">
        <v>2161</v>
      </c>
      <c r="G1390" s="137" t="s">
        <v>740</v>
      </c>
      <c r="H1390" s="79" t="str">
        <f aca="false">IFERROR(VLOOKUP(E:E,'Item Data Support Sheet'!A:O,2,0),"")</f>
        <v>CAP S TYPE MOLDED RED</v>
      </c>
      <c r="I1390" s="80" t="s">
        <v>2192</v>
      </c>
      <c r="J1390" s="80" t="s">
        <v>143</v>
      </c>
      <c r="K1390" s="124" t="n">
        <v>8</v>
      </c>
      <c r="L1390" s="124" t="n">
        <v>4137</v>
      </c>
      <c r="M1390" s="83" t="n">
        <v>517.125</v>
      </c>
      <c r="N1390" s="84" t="n">
        <f aca="false">+O1390+Q1390+T1390+U1390</f>
        <v>4010</v>
      </c>
      <c r="O1390" s="85" t="n">
        <v>4000</v>
      </c>
      <c r="P1390" s="86" t="n">
        <v>0</v>
      </c>
      <c r="Q1390" s="86" t="n">
        <v>0</v>
      </c>
      <c r="R1390" s="132" t="n">
        <v>0</v>
      </c>
      <c r="S1390" s="128" t="n">
        <v>0</v>
      </c>
      <c r="T1390" s="132" t="n">
        <v>2</v>
      </c>
      <c r="U1390" s="128" t="n">
        <v>8</v>
      </c>
      <c r="V1390" s="128" t="n">
        <v>1</v>
      </c>
      <c r="W1390" s="90" t="n">
        <f aca="false">IFERROR(O1390/V1390,0)</f>
        <v>4000</v>
      </c>
      <c r="X1390" s="91" t="n">
        <f aca="false">O1390/L1390</f>
        <v>0.96688421561518</v>
      </c>
      <c r="Y1390" s="92" t="str">
        <f aca="false">IFERROR(VLOOKUP(E:E,'Item Data Support Sheet'!A:J,6,0),0)</f>
        <v>FO153</v>
      </c>
      <c r="Z1390" s="93" t="n">
        <f aca="false">IFERROR(VLOOKUP(E:E,'Item Data Support Sheet'!A:O,4,0),0)</f>
        <v>7.3</v>
      </c>
      <c r="AA1390" s="93" t="n">
        <f aca="false">IFERROR(((N1390)*(Z1390/1000))+P1390,0)</f>
        <v>29.273</v>
      </c>
      <c r="AB1390" s="94" t="n">
        <f aca="false">IFERROR((O1390*(Z1390/1000)/(AA1390))," ")</f>
        <v>0.997506234413965</v>
      </c>
      <c r="AC1390" s="95" t="n">
        <f aca="false">IFERROR((T1390)/((T1390)+O1390),0)</f>
        <v>0.000499750124937531</v>
      </c>
      <c r="AD1390" s="96" t="n">
        <f aca="false">IFERROR(Q1390/(Q1390+N1390),0)</f>
        <v>0</v>
      </c>
      <c r="AE1390" s="91" t="n">
        <f aca="false">(N1390-T1390)/N1390</f>
        <v>0.999501246882793</v>
      </c>
      <c r="AF1390" s="97" t="n">
        <f aca="false">BR1390</f>
        <v>0</v>
      </c>
      <c r="AG1390" s="98" t="n">
        <f aca="false">K1390-AF1390</f>
        <v>8</v>
      </c>
      <c r="AH1390" s="99" t="n">
        <f aca="false">IFERROR(AG1390/K1390," ")</f>
        <v>1</v>
      </c>
      <c r="AI1390" s="100" t="n">
        <f aca="false">IFERROR(O1390/K1390,0)</f>
        <v>500</v>
      </c>
      <c r="AJ1390" s="101" t="n">
        <f aca="false">VLOOKUP(D1390,'Standard Cycle time'!C:D,2,0)</f>
        <v>6</v>
      </c>
      <c r="AK1390" s="101" t="n">
        <f aca="false">AG1390*V1390*3600/O1390</f>
        <v>7.2</v>
      </c>
      <c r="AL1390" s="102" t="n">
        <f aca="false">AJ1390/AK1390</f>
        <v>0.833333333333333</v>
      </c>
      <c r="AM1390" s="99" t="n">
        <f aca="false">AE1390*AL1390*AH1390</f>
        <v>0.832917705735661</v>
      </c>
      <c r="AN1390" s="103" t="n">
        <v>0.832917705735661</v>
      </c>
      <c r="AO1390" s="112" t="s">
        <v>2193</v>
      </c>
      <c r="AP1390" s="105" t="n">
        <v>0</v>
      </c>
      <c r="AQ1390" s="105" t="n">
        <v>0</v>
      </c>
      <c r="AR1390" s="105" t="n">
        <v>0</v>
      </c>
      <c r="AS1390" s="105" t="n">
        <v>0</v>
      </c>
      <c r="AT1390" s="105" t="n">
        <v>0</v>
      </c>
      <c r="AU1390" s="105" t="n">
        <v>0</v>
      </c>
      <c r="AV1390" s="105" t="n">
        <v>0</v>
      </c>
      <c r="AW1390" s="105" t="n">
        <v>0</v>
      </c>
      <c r="AX1390" s="105" t="n">
        <v>0</v>
      </c>
      <c r="AY1390" s="105" t="n">
        <v>0</v>
      </c>
      <c r="AZ1390" s="105" t="n">
        <v>0</v>
      </c>
      <c r="BA1390" s="105" t="n">
        <v>0</v>
      </c>
      <c r="BB1390" s="105" t="n">
        <v>0</v>
      </c>
      <c r="BC1390" s="105" t="n">
        <v>0</v>
      </c>
      <c r="BD1390" s="105" t="n">
        <v>0</v>
      </c>
      <c r="BE1390" s="105" t="n">
        <v>0</v>
      </c>
      <c r="BF1390" s="105" t="n">
        <v>0</v>
      </c>
      <c r="BG1390" s="105" t="n">
        <v>0</v>
      </c>
      <c r="BH1390" s="105" t="n">
        <v>0</v>
      </c>
      <c r="BI1390" s="105" t="n">
        <v>0</v>
      </c>
      <c r="BJ1390" s="105" t="n">
        <v>0</v>
      </c>
      <c r="BK1390" s="105" t="n">
        <v>0</v>
      </c>
      <c r="BL1390" s="105" t="n">
        <v>0</v>
      </c>
      <c r="BM1390" s="105" t="n">
        <v>0</v>
      </c>
      <c r="BN1390" s="105" t="n">
        <v>0</v>
      </c>
      <c r="BO1390" s="105" t="n">
        <v>0</v>
      </c>
      <c r="BP1390" s="105" t="n">
        <v>0</v>
      </c>
      <c r="BQ1390" s="105" t="n">
        <v>0</v>
      </c>
      <c r="BR1390" s="106" t="n">
        <v>0</v>
      </c>
      <c r="BS1390" s="106" t="n">
        <v>0</v>
      </c>
      <c r="BT1390" s="107"/>
      <c r="BU1390" s="107"/>
      <c r="BV1390" s="107"/>
      <c r="BW1390" s="107"/>
      <c r="BX1390" s="107"/>
      <c r="BY1390" s="107"/>
      <c r="BZ1390" s="107"/>
      <c r="CA1390" s="107"/>
      <c r="CB1390" s="107"/>
      <c r="CC1390" s="107"/>
      <c r="CD1390" s="107"/>
      <c r="CE1390" s="107"/>
      <c r="CF1390" s="107"/>
      <c r="CG1390" s="107"/>
      <c r="CH1390" s="107"/>
      <c r="CI1390" s="107"/>
      <c r="CJ1390" s="107"/>
      <c r="CK1390" s="107"/>
      <c r="CL1390" s="107"/>
      <c r="CM1390" s="107"/>
      <c r="CN1390" s="107"/>
      <c r="CO1390" s="107"/>
      <c r="CP1390" s="107"/>
      <c r="CQ1390" s="107"/>
      <c r="CR1390" s="107"/>
      <c r="CS1390" s="107"/>
      <c r="CT1390" s="107"/>
      <c r="CU1390" s="107"/>
      <c r="CV1390" s="107"/>
    </row>
    <row r="1391" customFormat="false" ht="14.9" hidden="false" customHeight="false" outlineLevel="0" collapsed="false">
      <c r="A1391" s="74" t="n">
        <f aca="false">MONTH(B1391)</f>
        <v>11</v>
      </c>
      <c r="B1391" s="135" t="n">
        <v>44525</v>
      </c>
      <c r="C1391" s="128" t="s">
        <v>51</v>
      </c>
      <c r="D1391" s="77" t="str">
        <f aca="false">IFERROR(VLOOKUP(E:E,'Item Data Support Sheet'!A:O,7,0),"")</f>
        <v>CAP MOLDED</v>
      </c>
      <c r="E1391" s="80" t="s">
        <v>199</v>
      </c>
      <c r="F1391" s="122" t="s">
        <v>2161</v>
      </c>
      <c r="G1391" s="137" t="s">
        <v>740</v>
      </c>
      <c r="H1391" s="79" t="str">
        <f aca="false">IFERROR(VLOOKUP(E:E,'Item Data Support Sheet'!A:O,2,0),"")</f>
        <v>CAP S TYPE MOLDED RED</v>
      </c>
      <c r="I1391" s="80" t="s">
        <v>2194</v>
      </c>
      <c r="J1391" s="80" t="s">
        <v>148</v>
      </c>
      <c r="K1391" s="124" t="n">
        <v>8</v>
      </c>
      <c r="L1391" s="124" t="n">
        <v>4137</v>
      </c>
      <c r="M1391" s="83" t="n">
        <v>517.125</v>
      </c>
      <c r="N1391" s="84" t="n">
        <f aca="false">+O1391+Q1391+T1391+U1391</f>
        <v>4508</v>
      </c>
      <c r="O1391" s="85" t="n">
        <v>4500</v>
      </c>
      <c r="P1391" s="86" t="n">
        <v>0</v>
      </c>
      <c r="Q1391" s="86" t="n">
        <v>0</v>
      </c>
      <c r="R1391" s="132" t="n">
        <v>0</v>
      </c>
      <c r="S1391" s="128" t="n">
        <v>0</v>
      </c>
      <c r="T1391" s="132" t="n">
        <v>0</v>
      </c>
      <c r="U1391" s="128" t="n">
        <v>8</v>
      </c>
      <c r="V1391" s="128" t="n">
        <v>1</v>
      </c>
      <c r="W1391" s="90" t="n">
        <f aca="false">IFERROR(O1391/V1391,0)</f>
        <v>4500</v>
      </c>
      <c r="X1391" s="91" t="n">
        <f aca="false">O1391/L1391</f>
        <v>1.08774474256708</v>
      </c>
      <c r="Y1391" s="92" t="str">
        <f aca="false">IFERROR(VLOOKUP(E:E,'Item Data Support Sheet'!A:J,6,0),0)</f>
        <v>FO153</v>
      </c>
      <c r="Z1391" s="93" t="n">
        <f aca="false">IFERROR(VLOOKUP(E:E,'Item Data Support Sheet'!A:O,4,0),0)</f>
        <v>7.3</v>
      </c>
      <c r="AA1391" s="93" t="n">
        <f aca="false">IFERROR(((N1391)*(Z1391/1000))+P1391,0)</f>
        <v>32.9084</v>
      </c>
      <c r="AB1391" s="94" t="n">
        <f aca="false">IFERROR((O1391*(Z1391/1000)/(AA1391))," ")</f>
        <v>0.998225377107365</v>
      </c>
      <c r="AC1391" s="95" t="n">
        <f aca="false">IFERROR((T1391)/((T1391)+O1391),0)</f>
        <v>0</v>
      </c>
      <c r="AD1391" s="96" t="n">
        <f aca="false">IFERROR(Q1391/(Q1391+N1391),0)</f>
        <v>0</v>
      </c>
      <c r="AE1391" s="91" t="n">
        <f aca="false">(N1391-T1391)/N1391</f>
        <v>1</v>
      </c>
      <c r="AF1391" s="97" t="n">
        <f aca="false">BR1391</f>
        <v>0</v>
      </c>
      <c r="AG1391" s="98" t="n">
        <f aca="false">K1391-AF1391</f>
        <v>8</v>
      </c>
      <c r="AH1391" s="99" t="n">
        <f aca="false">IFERROR(AG1391/K1391," ")</f>
        <v>1</v>
      </c>
      <c r="AI1391" s="100" t="n">
        <f aca="false">IFERROR(O1391/K1391,0)</f>
        <v>562.5</v>
      </c>
      <c r="AJ1391" s="101" t="n">
        <f aca="false">VLOOKUP(D1391,'Standard Cycle time'!C:D,2,0)</f>
        <v>6</v>
      </c>
      <c r="AK1391" s="101" t="n">
        <f aca="false">AG1391*V1391*3600/O1391</f>
        <v>6.4</v>
      </c>
      <c r="AL1391" s="102" t="n">
        <f aca="false">AJ1391/AK1391</f>
        <v>0.9375</v>
      </c>
      <c r="AM1391" s="99" t="n">
        <f aca="false">AE1391*AL1391*AH1391</f>
        <v>0.9375</v>
      </c>
      <c r="AN1391" s="103" t="n">
        <v>0.9375</v>
      </c>
      <c r="AO1391" s="112"/>
      <c r="AP1391" s="105" t="n">
        <v>0</v>
      </c>
      <c r="AQ1391" s="105" t="n">
        <v>0</v>
      </c>
      <c r="AR1391" s="105" t="n">
        <v>0</v>
      </c>
      <c r="AS1391" s="105" t="n">
        <v>0</v>
      </c>
      <c r="AT1391" s="105" t="n">
        <v>0</v>
      </c>
      <c r="AU1391" s="105" t="n">
        <v>0</v>
      </c>
      <c r="AV1391" s="105" t="n">
        <v>0</v>
      </c>
      <c r="AW1391" s="105" t="n">
        <v>0</v>
      </c>
      <c r="AX1391" s="105" t="n">
        <v>0</v>
      </c>
      <c r="AY1391" s="105" t="n">
        <v>0</v>
      </c>
      <c r="AZ1391" s="105" t="n">
        <v>0</v>
      </c>
      <c r="BA1391" s="105" t="n">
        <v>0</v>
      </c>
      <c r="BB1391" s="105" t="n">
        <v>0</v>
      </c>
      <c r="BC1391" s="105" t="n">
        <v>0</v>
      </c>
      <c r="BD1391" s="105" t="n">
        <v>0</v>
      </c>
      <c r="BE1391" s="105" t="n">
        <v>0</v>
      </c>
      <c r="BF1391" s="105" t="n">
        <v>0</v>
      </c>
      <c r="BG1391" s="105" t="n">
        <v>0</v>
      </c>
      <c r="BH1391" s="105" t="n">
        <v>0</v>
      </c>
      <c r="BI1391" s="105" t="n">
        <v>0</v>
      </c>
      <c r="BJ1391" s="105" t="n">
        <v>0</v>
      </c>
      <c r="BK1391" s="105" t="n">
        <v>0</v>
      </c>
      <c r="BL1391" s="105" t="n">
        <v>0</v>
      </c>
      <c r="BM1391" s="105" t="n">
        <v>0</v>
      </c>
      <c r="BN1391" s="105" t="n">
        <v>0</v>
      </c>
      <c r="BO1391" s="105" t="n">
        <v>0</v>
      </c>
      <c r="BP1391" s="105" t="n">
        <v>0</v>
      </c>
      <c r="BQ1391" s="105" t="n">
        <v>0</v>
      </c>
      <c r="BR1391" s="106" t="n">
        <v>0</v>
      </c>
      <c r="BS1391" s="106" t="n">
        <v>0</v>
      </c>
      <c r="BT1391" s="107"/>
      <c r="BU1391" s="107"/>
      <c r="BV1391" s="107"/>
      <c r="BW1391" s="107"/>
      <c r="BX1391" s="107"/>
      <c r="BY1391" s="107"/>
      <c r="BZ1391" s="107"/>
      <c r="CA1391" s="107"/>
      <c r="CB1391" s="107"/>
      <c r="CC1391" s="107"/>
      <c r="CD1391" s="107"/>
      <c r="CE1391" s="107"/>
      <c r="CF1391" s="107"/>
      <c r="CG1391" s="107"/>
      <c r="CH1391" s="107"/>
      <c r="CI1391" s="107"/>
      <c r="CJ1391" s="107"/>
      <c r="CK1391" s="107"/>
      <c r="CL1391" s="107"/>
      <c r="CM1391" s="107"/>
      <c r="CN1391" s="107"/>
      <c r="CO1391" s="107"/>
      <c r="CP1391" s="107"/>
      <c r="CQ1391" s="107"/>
      <c r="CR1391" s="107"/>
      <c r="CS1391" s="107"/>
      <c r="CT1391" s="107"/>
      <c r="CU1391" s="107"/>
      <c r="CV1391" s="107"/>
    </row>
    <row r="1392" customFormat="false" ht="14.9" hidden="false" customHeight="false" outlineLevel="0" collapsed="false">
      <c r="A1392" s="74" t="n">
        <f aca="false">MONTH(B1392)</f>
        <v>11</v>
      </c>
      <c r="B1392" s="135" t="n">
        <v>44525</v>
      </c>
      <c r="C1392" s="128" t="s">
        <v>51</v>
      </c>
      <c r="D1392" s="77" t="str">
        <f aca="false">IFERROR(VLOOKUP(E:E,'Item Data Support Sheet'!A:O,7,0),"")</f>
        <v>NIPPLE MOLDED</v>
      </c>
      <c r="E1392" s="80" t="s">
        <v>492</v>
      </c>
      <c r="F1392" s="122" t="s">
        <v>1286</v>
      </c>
      <c r="G1392" s="137" t="s">
        <v>848</v>
      </c>
      <c r="H1392" s="79" t="str">
        <f aca="false">IFERROR(VLOOKUP(E:E,'Item Data Support Sheet'!A:O,2,0),"")</f>
        <v>NIPPLE S TYPE LL SIZE INJECTION</v>
      </c>
      <c r="I1392" s="80" t="s">
        <v>2195</v>
      </c>
      <c r="J1392" s="80" t="s">
        <v>148</v>
      </c>
      <c r="K1392" s="124" t="n">
        <v>8</v>
      </c>
      <c r="L1392" s="124" t="n">
        <v>3611</v>
      </c>
      <c r="M1392" s="83" t="n">
        <v>451.375</v>
      </c>
      <c r="N1392" s="84" t="n">
        <f aca="false">+O1392+Q1392+T1392+U1392</f>
        <v>3160</v>
      </c>
      <c r="O1392" s="85" t="n">
        <v>3000</v>
      </c>
      <c r="P1392" s="86" t="n">
        <v>0</v>
      </c>
      <c r="Q1392" s="86" t="n">
        <v>100</v>
      </c>
      <c r="R1392" s="132" t="n">
        <v>0</v>
      </c>
      <c r="S1392" s="128" t="n">
        <v>0</v>
      </c>
      <c r="T1392" s="132" t="n">
        <v>48</v>
      </c>
      <c r="U1392" s="128" t="n">
        <v>12</v>
      </c>
      <c r="V1392" s="128" t="n">
        <v>1</v>
      </c>
      <c r="W1392" s="90" t="n">
        <f aca="false">IFERROR(O1392/V1392,0)</f>
        <v>3000</v>
      </c>
      <c r="X1392" s="91" t="n">
        <f aca="false">O1392/L1392</f>
        <v>0.83079479368596</v>
      </c>
      <c r="Y1392" s="92" t="str">
        <f aca="false">IFERROR(VLOOKUP(E:E,'Item Data Support Sheet'!A:J,6,0),0)</f>
        <v>FO148</v>
      </c>
      <c r="Z1392" s="93" t="n">
        <f aca="false">IFERROR(VLOOKUP(E:E,'Item Data Support Sheet'!A:O,4,0),0)</f>
        <v>6.8</v>
      </c>
      <c r="AA1392" s="93" t="n">
        <f aca="false">IFERROR(((N1392)*(Z1392/1000))+P1392,0)</f>
        <v>21.488</v>
      </c>
      <c r="AB1392" s="94" t="n">
        <f aca="false">IFERROR((O1392*(Z1392/1000)/(AA1392))," ")</f>
        <v>0.949367088607595</v>
      </c>
      <c r="AC1392" s="95" t="n">
        <f aca="false">IFERROR((T1392)/((T1392)+O1392),0)</f>
        <v>0.015748031496063</v>
      </c>
      <c r="AD1392" s="96" t="n">
        <f aca="false">IFERROR(Q1392/(Q1392+N1392),0)</f>
        <v>0.0306748466257669</v>
      </c>
      <c r="AE1392" s="91" t="n">
        <f aca="false">(N1392-T1392)/N1392</f>
        <v>0.984810126582278</v>
      </c>
      <c r="AF1392" s="97" t="n">
        <f aca="false">BR1392</f>
        <v>0</v>
      </c>
      <c r="AG1392" s="98" t="n">
        <f aca="false">K1392-AF1392</f>
        <v>8</v>
      </c>
      <c r="AH1392" s="99" t="n">
        <f aca="false">IFERROR(AG1392/K1392," ")</f>
        <v>1</v>
      </c>
      <c r="AI1392" s="100" t="n">
        <f aca="false">IFERROR(O1392/K1392,0)</f>
        <v>375</v>
      </c>
      <c r="AJ1392" s="101" t="n">
        <f aca="false">VLOOKUP(D1392,'Standard Cycle time'!C:D,2,0)</f>
        <v>5.25</v>
      </c>
      <c r="AK1392" s="101" t="n">
        <f aca="false">AG1392*V1392*3600/O1392</f>
        <v>9.6</v>
      </c>
      <c r="AL1392" s="102" t="n">
        <f aca="false">AJ1392/AK1392</f>
        <v>0.546875</v>
      </c>
      <c r="AM1392" s="99" t="n">
        <f aca="false">AE1392*AL1392*AH1392</f>
        <v>0.538568037974684</v>
      </c>
      <c r="AN1392" s="103" t="n">
        <v>0.538568037974684</v>
      </c>
      <c r="AO1392" s="112"/>
      <c r="AP1392" s="105" t="n">
        <v>0</v>
      </c>
      <c r="AQ1392" s="105" t="n">
        <v>0</v>
      </c>
      <c r="AR1392" s="105" t="n">
        <v>0</v>
      </c>
      <c r="AS1392" s="105" t="n">
        <v>0</v>
      </c>
      <c r="AT1392" s="105" t="n">
        <v>0</v>
      </c>
      <c r="AU1392" s="105" t="n">
        <v>0</v>
      </c>
      <c r="AV1392" s="105" t="n">
        <v>0</v>
      </c>
      <c r="AW1392" s="105" t="n">
        <v>0</v>
      </c>
      <c r="AX1392" s="105" t="n">
        <v>0</v>
      </c>
      <c r="AY1392" s="105" t="n">
        <v>0</v>
      </c>
      <c r="AZ1392" s="105" t="n">
        <v>0</v>
      </c>
      <c r="BA1392" s="105" t="n">
        <v>0</v>
      </c>
      <c r="BB1392" s="105" t="n">
        <v>0</v>
      </c>
      <c r="BC1392" s="105" t="n">
        <v>0</v>
      </c>
      <c r="BD1392" s="105" t="n">
        <v>0</v>
      </c>
      <c r="BE1392" s="105" t="n">
        <v>0</v>
      </c>
      <c r="BF1392" s="105" t="n">
        <v>0</v>
      </c>
      <c r="BG1392" s="105" t="n">
        <v>0</v>
      </c>
      <c r="BH1392" s="105" t="n">
        <v>0</v>
      </c>
      <c r="BI1392" s="105" t="n">
        <v>0</v>
      </c>
      <c r="BJ1392" s="105" t="n">
        <v>0</v>
      </c>
      <c r="BK1392" s="105" t="n">
        <v>0</v>
      </c>
      <c r="BL1392" s="105" t="n">
        <v>0</v>
      </c>
      <c r="BM1392" s="105" t="n">
        <v>0</v>
      </c>
      <c r="BN1392" s="105" t="n">
        <v>0</v>
      </c>
      <c r="BO1392" s="105" t="n">
        <v>0</v>
      </c>
      <c r="BP1392" s="105" t="n">
        <v>0</v>
      </c>
      <c r="BQ1392" s="105" t="n">
        <v>0</v>
      </c>
      <c r="BR1392" s="106" t="n">
        <v>0</v>
      </c>
      <c r="BS1392" s="106" t="n">
        <v>0</v>
      </c>
      <c r="BT1392" s="107"/>
      <c r="BU1392" s="107"/>
      <c r="BV1392" s="107"/>
      <c r="BW1392" s="107"/>
      <c r="BX1392" s="107"/>
      <c r="BY1392" s="107"/>
      <c r="BZ1392" s="107"/>
      <c r="CA1392" s="107"/>
      <c r="CB1392" s="107"/>
      <c r="CC1392" s="107"/>
      <c r="CD1392" s="107"/>
      <c r="CE1392" s="107"/>
      <c r="CF1392" s="107"/>
      <c r="CG1392" s="107"/>
      <c r="CH1392" s="107"/>
      <c r="CI1392" s="107"/>
      <c r="CJ1392" s="107"/>
      <c r="CK1392" s="107"/>
      <c r="CL1392" s="107"/>
      <c r="CM1392" s="107"/>
      <c r="CN1392" s="107"/>
      <c r="CO1392" s="107"/>
      <c r="CP1392" s="107"/>
      <c r="CQ1392" s="107"/>
      <c r="CR1392" s="107"/>
      <c r="CS1392" s="107"/>
      <c r="CT1392" s="107"/>
      <c r="CU1392" s="107"/>
      <c r="CV1392" s="107"/>
    </row>
    <row r="1393" customFormat="false" ht="14.9" hidden="false" customHeight="false" outlineLevel="0" collapsed="false">
      <c r="A1393" s="74" t="n">
        <f aca="false">MONTH(B1393)</f>
        <v>11</v>
      </c>
      <c r="B1393" s="135" t="n">
        <v>44525</v>
      </c>
      <c r="C1393" s="128" t="s">
        <v>51</v>
      </c>
      <c r="D1393" s="77" t="str">
        <f aca="false">IFERROR(VLOOKUP(E:E,'Item Data Support Sheet'!A:O,7,0),"")</f>
        <v>NIPPLE MOLDED</v>
      </c>
      <c r="E1393" s="80" t="s">
        <v>661</v>
      </c>
      <c r="F1393" s="122" t="s">
        <v>137</v>
      </c>
      <c r="G1393" s="137" t="s">
        <v>138</v>
      </c>
      <c r="H1393" s="79" t="str">
        <f aca="false">IFERROR(VLOOKUP(E:E,'Item Data Support Sheet'!A:O,2,0),"")</f>
        <v>NIPPLE S TYPE L SIZE INJECTION</v>
      </c>
      <c r="I1393" s="80" t="s">
        <v>2195</v>
      </c>
      <c r="J1393" s="80" t="s">
        <v>148</v>
      </c>
      <c r="K1393" s="124" t="n">
        <v>8</v>
      </c>
      <c r="L1393" s="124" t="n">
        <v>4815</v>
      </c>
      <c r="M1393" s="83" t="n">
        <v>601.875</v>
      </c>
      <c r="N1393" s="84" t="n">
        <f aca="false">+O1393+Q1393+T1393+U1393</f>
        <v>4741</v>
      </c>
      <c r="O1393" s="85" t="n">
        <v>4600</v>
      </c>
      <c r="P1393" s="86" t="n">
        <v>0</v>
      </c>
      <c r="Q1393" s="86" t="n">
        <v>80</v>
      </c>
      <c r="R1393" s="132" t="n">
        <v>0</v>
      </c>
      <c r="S1393" s="128" t="n">
        <v>0</v>
      </c>
      <c r="T1393" s="132" t="n">
        <v>45</v>
      </c>
      <c r="U1393" s="128" t="n">
        <v>16</v>
      </c>
      <c r="V1393" s="128" t="n">
        <v>1</v>
      </c>
      <c r="W1393" s="90" t="n">
        <f aca="false">IFERROR(O1393/V1393,0)</f>
        <v>4600</v>
      </c>
      <c r="X1393" s="91" t="n">
        <f aca="false">O1393/L1393</f>
        <v>0.955347871235722</v>
      </c>
      <c r="Y1393" s="92" t="str">
        <f aca="false">IFERROR(VLOOKUP(E:E,'Item Data Support Sheet'!A:J,6,0),0)</f>
        <v>Silicon</v>
      </c>
      <c r="Z1393" s="93" t="n">
        <f aca="false">IFERROR(VLOOKUP(E:E,'Item Data Support Sheet'!A:O,4,0),0)</f>
        <v>6.8</v>
      </c>
      <c r="AA1393" s="93" t="n">
        <f aca="false">IFERROR(((N1393)*(Z1393/1000))+P1393,0)</f>
        <v>32.2388</v>
      </c>
      <c r="AB1393" s="94" t="n">
        <f aca="false">IFERROR((O1393*(Z1393/1000)/(AA1393))," ")</f>
        <v>0.970259438936933</v>
      </c>
      <c r="AC1393" s="95" t="n">
        <f aca="false">IFERROR((T1393)/((T1393)+O1393),0)</f>
        <v>0.00968783638320775</v>
      </c>
      <c r="AD1393" s="96" t="n">
        <f aca="false">IFERROR(Q1393/(Q1393+N1393),0)</f>
        <v>0.0165940676208256</v>
      </c>
      <c r="AE1393" s="91" t="n">
        <f aca="false">(N1393-T1393)/N1393</f>
        <v>0.990508331575617</v>
      </c>
      <c r="AF1393" s="97" t="n">
        <f aca="false">BR1393</f>
        <v>0</v>
      </c>
      <c r="AG1393" s="98" t="n">
        <f aca="false">K1393-AF1393</f>
        <v>8</v>
      </c>
      <c r="AH1393" s="99" t="n">
        <f aca="false">IFERROR(AG1393/K1393," ")</f>
        <v>1</v>
      </c>
      <c r="AI1393" s="100" t="n">
        <f aca="false">IFERROR(O1393/K1393,0)</f>
        <v>575</v>
      </c>
      <c r="AJ1393" s="101" t="n">
        <f aca="false">VLOOKUP(D1393,'Standard Cycle time'!C:D,2,0)</f>
        <v>5.25</v>
      </c>
      <c r="AK1393" s="101" t="n">
        <f aca="false">AG1393*V1393*3600/O1393</f>
        <v>6.26086956521739</v>
      </c>
      <c r="AL1393" s="102" t="n">
        <f aca="false">AJ1393/AK1393</f>
        <v>0.838541666666667</v>
      </c>
      <c r="AM1393" s="99" t="n">
        <f aca="false">AE1393*AL1393*AH1393</f>
        <v>0.830582507206637</v>
      </c>
      <c r="AN1393" s="103" t="n">
        <v>0.830582507206637</v>
      </c>
      <c r="AO1393" s="112"/>
      <c r="AP1393" s="105" t="n">
        <v>0</v>
      </c>
      <c r="AQ1393" s="105" t="n">
        <v>0</v>
      </c>
      <c r="AR1393" s="105" t="n">
        <v>0</v>
      </c>
      <c r="AS1393" s="105" t="n">
        <v>0</v>
      </c>
      <c r="AT1393" s="105" t="n">
        <v>0</v>
      </c>
      <c r="AU1393" s="105" t="n">
        <v>0</v>
      </c>
      <c r="AV1393" s="105" t="n">
        <v>0</v>
      </c>
      <c r="AW1393" s="105" t="n">
        <v>0</v>
      </c>
      <c r="AX1393" s="105" t="n">
        <v>0</v>
      </c>
      <c r="AY1393" s="105" t="n">
        <v>0</v>
      </c>
      <c r="AZ1393" s="105" t="n">
        <v>0</v>
      </c>
      <c r="BA1393" s="105" t="n">
        <v>0</v>
      </c>
      <c r="BB1393" s="105" t="n">
        <v>0</v>
      </c>
      <c r="BC1393" s="105" t="n">
        <v>0</v>
      </c>
      <c r="BD1393" s="105" t="n">
        <v>0</v>
      </c>
      <c r="BE1393" s="105" t="n">
        <v>0</v>
      </c>
      <c r="BF1393" s="105" t="n">
        <v>0</v>
      </c>
      <c r="BG1393" s="105" t="n">
        <v>0</v>
      </c>
      <c r="BH1393" s="105" t="n">
        <v>0</v>
      </c>
      <c r="BI1393" s="105" t="n">
        <v>0</v>
      </c>
      <c r="BJ1393" s="105" t="n">
        <v>0</v>
      </c>
      <c r="BK1393" s="105" t="n">
        <v>0</v>
      </c>
      <c r="BL1393" s="105" t="n">
        <v>0</v>
      </c>
      <c r="BM1393" s="105" t="n">
        <v>0</v>
      </c>
      <c r="BN1393" s="105" t="n">
        <v>0</v>
      </c>
      <c r="BO1393" s="105" t="n">
        <v>0</v>
      </c>
      <c r="BP1393" s="105" t="n">
        <v>0</v>
      </c>
      <c r="BQ1393" s="105" t="n">
        <v>0</v>
      </c>
      <c r="BR1393" s="106" t="n">
        <v>0</v>
      </c>
      <c r="BS1393" s="106" t="n">
        <v>0</v>
      </c>
      <c r="BT1393" s="107"/>
      <c r="BU1393" s="107"/>
      <c r="BV1393" s="107"/>
      <c r="BW1393" s="107"/>
      <c r="BX1393" s="107"/>
      <c r="BY1393" s="107"/>
      <c r="BZ1393" s="107"/>
      <c r="CA1393" s="107"/>
      <c r="CB1393" s="107"/>
      <c r="CC1393" s="107"/>
      <c r="CD1393" s="107"/>
      <c r="CE1393" s="107"/>
      <c r="CF1393" s="107"/>
      <c r="CG1393" s="107"/>
      <c r="CH1393" s="107"/>
      <c r="CI1393" s="107"/>
      <c r="CJ1393" s="107"/>
      <c r="CK1393" s="107"/>
      <c r="CL1393" s="107"/>
      <c r="CM1393" s="107"/>
      <c r="CN1393" s="107"/>
      <c r="CO1393" s="107"/>
      <c r="CP1393" s="107"/>
      <c r="CQ1393" s="107"/>
      <c r="CR1393" s="107"/>
      <c r="CS1393" s="107"/>
      <c r="CT1393" s="107"/>
      <c r="CU1393" s="107"/>
      <c r="CV1393" s="107"/>
    </row>
    <row r="1394" customFormat="false" ht="14.9" hidden="false" customHeight="false" outlineLevel="0" collapsed="false">
      <c r="A1394" s="74" t="n">
        <f aca="false">MONTH(B1394)</f>
        <v>11</v>
      </c>
      <c r="B1394" s="135" t="n">
        <v>44525</v>
      </c>
      <c r="C1394" s="128" t="s">
        <v>51</v>
      </c>
      <c r="D1394" s="77" t="str">
        <f aca="false">IFERROR(VLOOKUP(E:E,'Item Data Support Sheet'!A:O,7,0),"")</f>
        <v>BOTTLE MOLDED</v>
      </c>
      <c r="E1394" s="80" t="s">
        <v>235</v>
      </c>
      <c r="F1394" s="122" t="s">
        <v>589</v>
      </c>
      <c r="G1394" s="137" t="s">
        <v>74</v>
      </c>
      <c r="H1394" s="79" t="str">
        <f aca="false">IFERROR(VLOOKUP(E:E,'Item Data Support Sheet'!A:O,2,0),"")</f>
        <v>KPP 200 ML BOTTLE MOLDED</v>
      </c>
      <c r="I1394" s="80" t="s">
        <v>2196</v>
      </c>
      <c r="J1394" s="80" t="s">
        <v>148</v>
      </c>
      <c r="K1394" s="124" t="n">
        <v>8</v>
      </c>
      <c r="L1394" s="124" t="n">
        <v>2574</v>
      </c>
      <c r="M1394" s="83" t="n">
        <v>321.75</v>
      </c>
      <c r="N1394" s="84" t="n">
        <f aca="false">+O1394+Q1394+T1394+U1394</f>
        <v>3360</v>
      </c>
      <c r="O1394" s="85" t="n">
        <v>3240</v>
      </c>
      <c r="P1394" s="86" t="n">
        <v>0.92</v>
      </c>
      <c r="Q1394" s="86" t="n">
        <v>70</v>
      </c>
      <c r="R1394" s="132" t="n">
        <v>0</v>
      </c>
      <c r="S1394" s="128" t="n">
        <v>0</v>
      </c>
      <c r="T1394" s="132" t="n">
        <v>42</v>
      </c>
      <c r="U1394" s="128" t="n">
        <v>8</v>
      </c>
      <c r="V1394" s="128" t="n">
        <v>1</v>
      </c>
      <c r="W1394" s="90" t="n">
        <f aca="false">IFERROR(O1394/V1394,0)</f>
        <v>3240</v>
      </c>
      <c r="X1394" s="91" t="n">
        <f aca="false">O1394/L1394</f>
        <v>1.25874125874126</v>
      </c>
      <c r="Y1394" s="92" t="str">
        <f aca="false">IFERROR(VLOOKUP(E:E,'Item Data Support Sheet'!A:J,6,0),0)</f>
        <v>HMC</v>
      </c>
      <c r="Z1394" s="93" t="n">
        <f aca="false">IFERROR(VLOOKUP(E:E,'Item Data Support Sheet'!A:O,4,0),0)</f>
        <v>28.1</v>
      </c>
      <c r="AA1394" s="93" t="n">
        <f aca="false">IFERROR(((N1394)*(Z1394/1000))+P1394,0)</f>
        <v>95.336</v>
      </c>
      <c r="AB1394" s="94" t="n">
        <f aca="false">IFERROR((O1394*(Z1394/1000)/(AA1394))," ")</f>
        <v>0.954980280271881</v>
      </c>
      <c r="AC1394" s="95" t="n">
        <f aca="false">IFERROR((T1394)/((T1394)+O1394),0)</f>
        <v>0.0127970749542962</v>
      </c>
      <c r="AD1394" s="96" t="n">
        <f aca="false">IFERROR(Q1394/(Q1394+N1394),0)</f>
        <v>0.0204081632653061</v>
      </c>
      <c r="AE1394" s="91" t="n">
        <f aca="false">(N1394-T1394)/N1394</f>
        <v>0.9875</v>
      </c>
      <c r="AF1394" s="97" t="n">
        <f aca="false">BR1394</f>
        <v>0</v>
      </c>
      <c r="AG1394" s="98" t="n">
        <f aca="false">K1394-AF1394</f>
        <v>8</v>
      </c>
      <c r="AH1394" s="99" t="n">
        <f aca="false">IFERROR(AG1394/K1394," ")</f>
        <v>1</v>
      </c>
      <c r="AI1394" s="100" t="n">
        <f aca="false">IFERROR(O1394/K1394,0)</f>
        <v>405</v>
      </c>
      <c r="AJ1394" s="101" t="n">
        <f aca="false">VLOOKUP(D1394,'Standard Cycle time'!C:D,2,0)</f>
        <v>9</v>
      </c>
      <c r="AK1394" s="101" t="n">
        <f aca="false">AG1394*V1394*3600/O1394</f>
        <v>8.88888888888889</v>
      </c>
      <c r="AL1394" s="102" t="n">
        <f aca="false">AJ1394/AK1394</f>
        <v>1.0125</v>
      </c>
      <c r="AM1394" s="99" t="n">
        <f aca="false">AE1394*AL1394*AH1394</f>
        <v>0.99984375</v>
      </c>
      <c r="AN1394" s="103" t="n">
        <v>0.99984375</v>
      </c>
      <c r="AO1394" s="112"/>
      <c r="AP1394" s="105" t="n">
        <v>0</v>
      </c>
      <c r="AQ1394" s="105" t="n">
        <v>0</v>
      </c>
      <c r="AR1394" s="105" t="n">
        <v>0</v>
      </c>
      <c r="AS1394" s="105" t="n">
        <v>0</v>
      </c>
      <c r="AT1394" s="105" t="n">
        <v>0</v>
      </c>
      <c r="AU1394" s="105" t="n">
        <v>0</v>
      </c>
      <c r="AV1394" s="105" t="n">
        <v>0</v>
      </c>
      <c r="AW1394" s="105" t="n">
        <v>0</v>
      </c>
      <c r="AX1394" s="105" t="n">
        <v>0</v>
      </c>
      <c r="AY1394" s="105" t="n">
        <v>0</v>
      </c>
      <c r="AZ1394" s="105" t="n">
        <v>0</v>
      </c>
      <c r="BA1394" s="105" t="n">
        <v>0</v>
      </c>
      <c r="BB1394" s="105" t="n">
        <v>0</v>
      </c>
      <c r="BC1394" s="105" t="n">
        <v>0</v>
      </c>
      <c r="BD1394" s="105" t="n">
        <v>0</v>
      </c>
      <c r="BE1394" s="105" t="n">
        <v>0</v>
      </c>
      <c r="BF1394" s="105" t="n">
        <v>0</v>
      </c>
      <c r="BG1394" s="105" t="n">
        <v>0</v>
      </c>
      <c r="BH1394" s="105" t="n">
        <v>0</v>
      </c>
      <c r="BI1394" s="105" t="n">
        <v>0</v>
      </c>
      <c r="BJ1394" s="105" t="n">
        <v>0</v>
      </c>
      <c r="BK1394" s="105" t="n">
        <v>0</v>
      </c>
      <c r="BL1394" s="105" t="n">
        <v>0</v>
      </c>
      <c r="BM1394" s="105" t="n">
        <v>0</v>
      </c>
      <c r="BN1394" s="105" t="n">
        <v>0</v>
      </c>
      <c r="BO1394" s="105" t="n">
        <v>0</v>
      </c>
      <c r="BP1394" s="105" t="n">
        <v>0</v>
      </c>
      <c r="BQ1394" s="105" t="n">
        <v>0</v>
      </c>
      <c r="BR1394" s="106" t="n">
        <v>0</v>
      </c>
      <c r="BS1394" s="106" t="n">
        <v>0</v>
      </c>
      <c r="BT1394" s="107"/>
      <c r="BU1394" s="107"/>
      <c r="BV1394" s="107"/>
      <c r="BW1394" s="107"/>
      <c r="BX1394" s="107"/>
      <c r="BY1394" s="107"/>
      <c r="BZ1394" s="107"/>
      <c r="CA1394" s="107"/>
      <c r="CB1394" s="107"/>
      <c r="CC1394" s="107"/>
      <c r="CD1394" s="107"/>
      <c r="CE1394" s="107"/>
      <c r="CF1394" s="107"/>
      <c r="CG1394" s="107"/>
      <c r="CH1394" s="107"/>
      <c r="CI1394" s="107"/>
      <c r="CJ1394" s="107"/>
      <c r="CK1394" s="107"/>
      <c r="CL1394" s="107"/>
      <c r="CM1394" s="107"/>
      <c r="CN1394" s="107"/>
      <c r="CO1394" s="107"/>
      <c r="CP1394" s="107"/>
      <c r="CQ1394" s="107"/>
      <c r="CR1394" s="107"/>
      <c r="CS1394" s="107"/>
      <c r="CT1394" s="107"/>
      <c r="CU1394" s="107"/>
      <c r="CV1394" s="107"/>
    </row>
    <row r="1395" customFormat="false" ht="14.9" hidden="false" customHeight="false" outlineLevel="0" collapsed="false">
      <c r="A1395" s="74" t="n">
        <f aca="false">MONTH(B1395)</f>
        <v>11</v>
      </c>
      <c r="B1395" s="135" t="n">
        <v>44525</v>
      </c>
      <c r="C1395" s="128" t="s">
        <v>51</v>
      </c>
      <c r="D1395" s="77" t="str">
        <f aca="false">IFERROR(VLOOKUP(E:E,'Item Data Support Sheet'!A:O,7,0),"")</f>
        <v>NIPPLE PUNCH</v>
      </c>
      <c r="E1395" s="80" t="s">
        <v>666</v>
      </c>
      <c r="F1395" s="122"/>
      <c r="G1395" s="137" t="s">
        <v>54</v>
      </c>
      <c r="H1395" s="79" t="str">
        <f aca="false">IFERROR(VLOOKUP(E:E,'Item Data Support Sheet'!A:O,2,0),"")</f>
        <v>NIPPLE S TYPE L SIZE PUNCHED</v>
      </c>
      <c r="I1395" s="80" t="s">
        <v>2197</v>
      </c>
      <c r="J1395" s="80" t="s">
        <v>148</v>
      </c>
      <c r="K1395" s="124" t="n">
        <v>4</v>
      </c>
      <c r="L1395" s="124" t="n">
        <v>3500</v>
      </c>
      <c r="M1395" s="83" t="n">
        <v>875</v>
      </c>
      <c r="N1395" s="84" t="n">
        <f aca="false">+O1395+Q1395+T1395+U1395</f>
        <v>3600</v>
      </c>
      <c r="O1395" s="85" t="n">
        <v>3580</v>
      </c>
      <c r="P1395" s="86" t="n">
        <v>0</v>
      </c>
      <c r="Q1395" s="86" t="n">
        <v>0</v>
      </c>
      <c r="R1395" s="132" t="n">
        <v>0</v>
      </c>
      <c r="S1395" s="128" t="n">
        <v>0</v>
      </c>
      <c r="T1395" s="132" t="n">
        <v>20</v>
      </c>
      <c r="U1395" s="128" t="n">
        <v>0</v>
      </c>
      <c r="V1395" s="128" t="n">
        <v>1</v>
      </c>
      <c r="W1395" s="90" t="n">
        <f aca="false">IFERROR(O1395/V1395,0)</f>
        <v>3580</v>
      </c>
      <c r="X1395" s="91" t="n">
        <f aca="false">O1395/L1395</f>
        <v>1.02285714285714</v>
      </c>
      <c r="Y1395" s="92" t="str">
        <f aca="false">IFERROR(VLOOKUP(E:E,'Item Data Support Sheet'!A:J,6,0),0)</f>
        <v>FO017</v>
      </c>
      <c r="Z1395" s="93" t="n">
        <f aca="false">IFERROR(VLOOKUP(E:E,'Item Data Support Sheet'!A:O,4,0),0)</f>
        <v>0</v>
      </c>
      <c r="AA1395" s="93" t="n">
        <f aca="false">IFERROR(((N1395)*(Z1395/1000))+P1395,0)</f>
        <v>0</v>
      </c>
      <c r="AB1395" s="94" t="str">
        <f aca="false">IFERROR((O1395*(Z1395/1000)/(AA1395))," ")</f>
        <v> </v>
      </c>
      <c r="AC1395" s="95" t="n">
        <f aca="false">IFERROR((T1395)/((T1395)+O1395),0)</f>
        <v>0.00555555555555556</v>
      </c>
      <c r="AD1395" s="96" t="n">
        <f aca="false">IFERROR(Q1395/(Q1395+N1395),0)</f>
        <v>0</v>
      </c>
      <c r="AE1395" s="91" t="n">
        <f aca="false">(N1395-T1395)/N1395</f>
        <v>0.994444444444444</v>
      </c>
      <c r="AF1395" s="97" t="n">
        <f aca="false">BR1395</f>
        <v>0</v>
      </c>
      <c r="AG1395" s="98" t="n">
        <f aca="false">K1395-AF1395</f>
        <v>4</v>
      </c>
      <c r="AH1395" s="99" t="n">
        <f aca="false">IFERROR(AG1395/K1395," ")</f>
        <v>1</v>
      </c>
      <c r="AI1395" s="100" t="n">
        <f aca="false">IFERROR(O1395/K1395,0)</f>
        <v>895</v>
      </c>
      <c r="AJ1395" s="101" t="n">
        <f aca="false">VLOOKUP(D1395,'Standard Cycle time'!C:D,2,0)</f>
        <v>3.5</v>
      </c>
      <c r="AK1395" s="101" t="n">
        <f aca="false">AG1395*V1395*3600/O1395</f>
        <v>4.02234636871508</v>
      </c>
      <c r="AL1395" s="102" t="n">
        <f aca="false">AJ1395/AK1395</f>
        <v>0.870138888888889</v>
      </c>
      <c r="AM1395" s="99" t="n">
        <f aca="false">AE1395*AL1395*AH1395</f>
        <v>0.865304783950617</v>
      </c>
      <c r="AN1395" s="103" t="n">
        <v>0.865304783950617</v>
      </c>
      <c r="AO1395" s="112"/>
      <c r="AP1395" s="105" t="n">
        <v>0</v>
      </c>
      <c r="AQ1395" s="105" t="n">
        <v>0</v>
      </c>
      <c r="AR1395" s="105" t="n">
        <v>0</v>
      </c>
      <c r="AS1395" s="105" t="n">
        <v>0</v>
      </c>
      <c r="AT1395" s="105" t="n">
        <v>0</v>
      </c>
      <c r="AU1395" s="105" t="n">
        <v>0</v>
      </c>
      <c r="AV1395" s="105" t="n">
        <v>0</v>
      </c>
      <c r="AW1395" s="105" t="n">
        <v>0</v>
      </c>
      <c r="AX1395" s="105" t="n">
        <v>0</v>
      </c>
      <c r="AY1395" s="105" t="n">
        <v>0</v>
      </c>
      <c r="AZ1395" s="105" t="n">
        <v>0</v>
      </c>
      <c r="BA1395" s="105" t="n">
        <v>0</v>
      </c>
      <c r="BB1395" s="105" t="n">
        <v>0</v>
      </c>
      <c r="BC1395" s="105" t="n">
        <v>0</v>
      </c>
      <c r="BD1395" s="105" t="n">
        <v>0</v>
      </c>
      <c r="BE1395" s="105" t="n">
        <v>0</v>
      </c>
      <c r="BF1395" s="105" t="n">
        <v>0</v>
      </c>
      <c r="BG1395" s="105" t="n">
        <v>0</v>
      </c>
      <c r="BH1395" s="105" t="n">
        <v>0</v>
      </c>
      <c r="BI1395" s="105" t="n">
        <v>0</v>
      </c>
      <c r="BJ1395" s="105" t="n">
        <v>0</v>
      </c>
      <c r="BK1395" s="105" t="n">
        <v>0</v>
      </c>
      <c r="BL1395" s="105" t="n">
        <v>0</v>
      </c>
      <c r="BM1395" s="105" t="n">
        <v>0</v>
      </c>
      <c r="BN1395" s="105" t="n">
        <v>0</v>
      </c>
      <c r="BO1395" s="105" t="n">
        <v>0</v>
      </c>
      <c r="BP1395" s="105" t="n">
        <v>0</v>
      </c>
      <c r="BQ1395" s="105" t="n">
        <v>0</v>
      </c>
      <c r="BR1395" s="106" t="n">
        <v>0</v>
      </c>
      <c r="BS1395" s="106" t="n">
        <v>0</v>
      </c>
      <c r="BT1395" s="107"/>
      <c r="BU1395" s="107"/>
      <c r="BV1395" s="107"/>
      <c r="BW1395" s="107"/>
      <c r="BX1395" s="107"/>
      <c r="BY1395" s="107"/>
      <c r="BZ1395" s="107"/>
      <c r="CA1395" s="107"/>
      <c r="CB1395" s="107"/>
      <c r="CC1395" s="107"/>
      <c r="CD1395" s="107"/>
      <c r="CE1395" s="107"/>
      <c r="CF1395" s="107"/>
      <c r="CG1395" s="107"/>
      <c r="CH1395" s="107"/>
      <c r="CI1395" s="107"/>
      <c r="CJ1395" s="107"/>
      <c r="CK1395" s="107"/>
      <c r="CL1395" s="107"/>
      <c r="CM1395" s="107"/>
      <c r="CN1395" s="107"/>
      <c r="CO1395" s="107"/>
      <c r="CP1395" s="107"/>
      <c r="CQ1395" s="107"/>
      <c r="CR1395" s="107"/>
      <c r="CS1395" s="107"/>
      <c r="CT1395" s="107"/>
      <c r="CU1395" s="107"/>
      <c r="CV1395" s="107"/>
    </row>
    <row r="1396" customFormat="false" ht="14.9" hidden="false" customHeight="false" outlineLevel="0" collapsed="false">
      <c r="A1396" s="74" t="n">
        <f aca="false">MONTH(B1396)</f>
        <v>11</v>
      </c>
      <c r="B1396" s="135" t="n">
        <v>44525</v>
      </c>
      <c r="C1396" s="128" t="s">
        <v>51</v>
      </c>
      <c r="D1396" s="77" t="str">
        <f aca="false">IFERROR(VLOOKUP(E:E,'Item Data Support Sheet'!A:O,7,0),"")</f>
        <v>NIPPLE PUNCH</v>
      </c>
      <c r="E1396" s="80" t="s">
        <v>563</v>
      </c>
      <c r="F1396" s="122"/>
      <c r="G1396" s="137" t="s">
        <v>54</v>
      </c>
      <c r="H1396" s="79" t="str">
        <f aca="false">IFERROR(VLOOKUP(E:E,'Item Data Support Sheet'!A:O,2,0),"")</f>
        <v>NIPPLE S TYPE LL SIZE PUNCHED</v>
      </c>
      <c r="I1396" s="80" t="s">
        <v>2198</v>
      </c>
      <c r="J1396" s="80" t="s">
        <v>148</v>
      </c>
      <c r="K1396" s="124" t="n">
        <v>4</v>
      </c>
      <c r="L1396" s="124" t="n">
        <v>3500</v>
      </c>
      <c r="M1396" s="83" t="n">
        <v>875</v>
      </c>
      <c r="N1396" s="84" t="n">
        <f aca="false">+O1396+Q1396+T1396+U1396</f>
        <v>2000</v>
      </c>
      <c r="O1396" s="85" t="n">
        <v>2000</v>
      </c>
      <c r="P1396" s="86" t="n">
        <v>0</v>
      </c>
      <c r="Q1396" s="86" t="n">
        <v>0</v>
      </c>
      <c r="R1396" s="132" t="n">
        <v>0</v>
      </c>
      <c r="S1396" s="128" t="n">
        <v>0</v>
      </c>
      <c r="T1396" s="132" t="n">
        <v>0</v>
      </c>
      <c r="U1396" s="128" t="n">
        <v>0</v>
      </c>
      <c r="V1396" s="128" t="n">
        <v>1</v>
      </c>
      <c r="W1396" s="90" t="n">
        <f aca="false">IFERROR(O1396/V1396,0)</f>
        <v>2000</v>
      </c>
      <c r="X1396" s="91" t="n">
        <f aca="false">O1396/L1396</f>
        <v>0.571428571428571</v>
      </c>
      <c r="Y1396" s="92" t="str">
        <f aca="false">IFERROR(VLOOKUP(E:E,'Item Data Support Sheet'!A:J,6,0),0)</f>
        <v>FO150</v>
      </c>
      <c r="Z1396" s="93" t="n">
        <f aca="false">IFERROR(VLOOKUP(E:E,'Item Data Support Sheet'!A:O,4,0),0)</f>
        <v>0</v>
      </c>
      <c r="AA1396" s="93" t="n">
        <f aca="false">IFERROR(((N1396)*(Z1396/1000))+P1396,0)</f>
        <v>0</v>
      </c>
      <c r="AB1396" s="94" t="str">
        <f aca="false">IFERROR((O1396*(Z1396/1000)/(AA1396))," ")</f>
        <v> </v>
      </c>
      <c r="AC1396" s="95" t="n">
        <f aca="false">IFERROR((T1396)/((T1396)+O1396),0)</f>
        <v>0</v>
      </c>
      <c r="AD1396" s="96" t="n">
        <f aca="false">IFERROR(Q1396/(Q1396+N1396),0)</f>
        <v>0</v>
      </c>
      <c r="AE1396" s="91" t="n">
        <f aca="false">(N1396-T1396)/N1396</f>
        <v>1</v>
      </c>
      <c r="AF1396" s="97" t="n">
        <f aca="false">BR1396</f>
        <v>0.666666666666667</v>
      </c>
      <c r="AG1396" s="98" t="n">
        <f aca="false">K1396-AF1396</f>
        <v>3.33333333333333</v>
      </c>
      <c r="AH1396" s="99" t="n">
        <f aca="false">IFERROR(AG1396/K1396," ")</f>
        <v>0.833333333333333</v>
      </c>
      <c r="AI1396" s="100" t="n">
        <f aca="false">IFERROR(O1396/K1396,0)</f>
        <v>500</v>
      </c>
      <c r="AJ1396" s="101" t="n">
        <f aca="false">VLOOKUP(D1396,'Standard Cycle time'!C:D,2,0)</f>
        <v>3.5</v>
      </c>
      <c r="AK1396" s="101" t="n">
        <f aca="false">AG1396*V1396*3600/O1396</f>
        <v>6</v>
      </c>
      <c r="AL1396" s="102" t="n">
        <f aca="false">AJ1396/AK1396</f>
        <v>0.583333333333333</v>
      </c>
      <c r="AM1396" s="99" t="n">
        <f aca="false">AE1396*AL1396*AH1396</f>
        <v>0.486111111111111</v>
      </c>
      <c r="AN1396" s="103" t="n">
        <v>0.486111111111111</v>
      </c>
      <c r="AO1396" s="112" t="s">
        <v>2199</v>
      </c>
      <c r="AP1396" s="105" t="n">
        <v>40</v>
      </c>
      <c r="AQ1396" s="105" t="n">
        <v>0</v>
      </c>
      <c r="AR1396" s="105" t="n">
        <v>0</v>
      </c>
      <c r="AS1396" s="105" t="n">
        <v>0</v>
      </c>
      <c r="AT1396" s="105" t="n">
        <v>0</v>
      </c>
      <c r="AU1396" s="105" t="n">
        <v>0</v>
      </c>
      <c r="AV1396" s="105" t="n">
        <v>0</v>
      </c>
      <c r="AW1396" s="105" t="n">
        <v>0</v>
      </c>
      <c r="AX1396" s="105" t="n">
        <v>0</v>
      </c>
      <c r="AY1396" s="105" t="n">
        <v>0</v>
      </c>
      <c r="AZ1396" s="105" t="n">
        <v>0</v>
      </c>
      <c r="BA1396" s="105" t="n">
        <v>0</v>
      </c>
      <c r="BB1396" s="105" t="n">
        <v>0</v>
      </c>
      <c r="BC1396" s="105" t="n">
        <v>0</v>
      </c>
      <c r="BD1396" s="105" t="n">
        <v>0</v>
      </c>
      <c r="BE1396" s="105" t="n">
        <v>0</v>
      </c>
      <c r="BF1396" s="105" t="n">
        <v>0</v>
      </c>
      <c r="BG1396" s="105" t="n">
        <v>0</v>
      </c>
      <c r="BH1396" s="105" t="n">
        <v>0</v>
      </c>
      <c r="BI1396" s="105" t="n">
        <v>0</v>
      </c>
      <c r="BJ1396" s="105" t="n">
        <v>0</v>
      </c>
      <c r="BK1396" s="105" t="n">
        <v>0</v>
      </c>
      <c r="BL1396" s="105" t="n">
        <v>0</v>
      </c>
      <c r="BM1396" s="105" t="n">
        <v>0</v>
      </c>
      <c r="BN1396" s="105" t="n">
        <v>0</v>
      </c>
      <c r="BO1396" s="105" t="n">
        <v>0</v>
      </c>
      <c r="BP1396" s="105" t="n">
        <v>0</v>
      </c>
      <c r="BQ1396" s="105" t="n">
        <v>0</v>
      </c>
      <c r="BR1396" s="106" t="n">
        <v>0.666666666666667</v>
      </c>
      <c r="BS1396" s="106" t="n">
        <v>0.666666666666667</v>
      </c>
      <c r="BT1396" s="107"/>
      <c r="BU1396" s="107"/>
      <c r="BV1396" s="107"/>
      <c r="BW1396" s="107"/>
      <c r="BX1396" s="107"/>
      <c r="BY1396" s="107"/>
      <c r="BZ1396" s="107"/>
      <c r="CA1396" s="107"/>
      <c r="CB1396" s="107"/>
      <c r="CC1396" s="107"/>
      <c r="CD1396" s="107"/>
      <c r="CE1396" s="107"/>
      <c r="CF1396" s="107"/>
      <c r="CG1396" s="107"/>
      <c r="CH1396" s="107"/>
      <c r="CI1396" s="107"/>
      <c r="CJ1396" s="107"/>
      <c r="CK1396" s="107"/>
      <c r="CL1396" s="107"/>
      <c r="CM1396" s="107"/>
      <c r="CN1396" s="107"/>
      <c r="CO1396" s="107"/>
      <c r="CP1396" s="107"/>
      <c r="CQ1396" s="107"/>
      <c r="CR1396" s="107"/>
      <c r="CS1396" s="107"/>
      <c r="CT1396" s="107"/>
      <c r="CU1396" s="107"/>
      <c r="CV1396" s="107"/>
    </row>
    <row r="1397" customFormat="false" ht="14.9" hidden="false" customHeight="false" outlineLevel="0" collapsed="false">
      <c r="A1397" s="74" t="n">
        <f aca="false">MONTH(B1397)</f>
        <v>11</v>
      </c>
      <c r="B1397" s="135" t="n">
        <v>44525</v>
      </c>
      <c r="C1397" s="128" t="s">
        <v>51</v>
      </c>
      <c r="D1397" s="77" t="str">
        <f aca="false">IFERROR(VLOOKUP(E:E,'Item Data Support Sheet'!A:O,7,0),"")</f>
        <v>NIPPLE LASER MARKING</v>
      </c>
      <c r="E1397" s="80" t="s">
        <v>681</v>
      </c>
      <c r="F1397" s="122"/>
      <c r="G1397" s="137" t="s">
        <v>517</v>
      </c>
      <c r="H1397" s="79" t="str">
        <f aca="false">IFERROR(VLOOKUP(E:E,'Item Data Support Sheet'!A:O,2,0),"")</f>
        <v>NIPPLE S TYPE L SIZE PUNCHED LASER MARKED</v>
      </c>
      <c r="I1397" s="80" t="s">
        <v>2200</v>
      </c>
      <c r="J1397" s="80" t="s">
        <v>148</v>
      </c>
      <c r="K1397" s="124" t="n">
        <v>7</v>
      </c>
      <c r="L1397" s="124" t="n">
        <v>6125</v>
      </c>
      <c r="M1397" s="83" t="n">
        <v>875</v>
      </c>
      <c r="N1397" s="84" t="n">
        <f aca="false">+O1397+Q1397+T1397+U1397</f>
        <v>5000</v>
      </c>
      <c r="O1397" s="85" t="n">
        <v>5000</v>
      </c>
      <c r="P1397" s="86" t="n">
        <v>0</v>
      </c>
      <c r="Q1397" s="86" t="n">
        <v>0</v>
      </c>
      <c r="R1397" s="132" t="n">
        <v>0</v>
      </c>
      <c r="S1397" s="128" t="n">
        <v>0</v>
      </c>
      <c r="T1397" s="132" t="n">
        <v>0</v>
      </c>
      <c r="U1397" s="128" t="n">
        <v>0</v>
      </c>
      <c r="V1397" s="128" t="n">
        <v>1</v>
      </c>
      <c r="W1397" s="90" t="n">
        <f aca="false">IFERROR(O1397/V1397,0)</f>
        <v>5000</v>
      </c>
      <c r="X1397" s="91" t="n">
        <f aca="false">O1397/L1397</f>
        <v>0.816326530612245</v>
      </c>
      <c r="Y1397" s="92" t="str">
        <f aca="false">IFERROR(VLOOKUP(E:E,'Item Data Support Sheet'!A:J,6,0),0)</f>
        <v>FO021</v>
      </c>
      <c r="Z1397" s="93" t="n">
        <f aca="false">IFERROR(VLOOKUP(E:E,'Item Data Support Sheet'!A:O,4,0),0)</f>
        <v>0</v>
      </c>
      <c r="AA1397" s="93" t="n">
        <f aca="false">IFERROR(((N1397)*(Z1397/1000))+P1397,0)</f>
        <v>0</v>
      </c>
      <c r="AB1397" s="94" t="str">
        <f aca="false">IFERROR((O1397*(Z1397/1000)/(AA1397))," ")</f>
        <v> </v>
      </c>
      <c r="AC1397" s="95" t="n">
        <f aca="false">IFERROR((T1397)/((T1397)+O1397),0)</f>
        <v>0</v>
      </c>
      <c r="AD1397" s="96" t="n">
        <f aca="false">IFERROR(Q1397/(Q1397+N1397),0)</f>
        <v>0</v>
      </c>
      <c r="AE1397" s="91" t="n">
        <f aca="false">(N1397-T1397)/N1397</f>
        <v>1</v>
      </c>
      <c r="AF1397" s="97" t="n">
        <f aca="false">BR1397</f>
        <v>0.666666666666667</v>
      </c>
      <c r="AG1397" s="98" t="n">
        <f aca="false">K1397-AF1397</f>
        <v>6.33333333333333</v>
      </c>
      <c r="AH1397" s="99" t="n">
        <f aca="false">IFERROR(AG1397/K1397," ")</f>
        <v>0.904761904761905</v>
      </c>
      <c r="AI1397" s="100" t="n">
        <f aca="false">IFERROR(O1397/K1397,0)</f>
        <v>714.285714285714</v>
      </c>
      <c r="AJ1397" s="101" t="n">
        <f aca="false">VLOOKUP(D1397,'Standard Cycle time'!C:D,2,0)</f>
        <v>3.5</v>
      </c>
      <c r="AK1397" s="101" t="n">
        <f aca="false">AG1397*V1397*3600/O1397</f>
        <v>4.56</v>
      </c>
      <c r="AL1397" s="102" t="n">
        <f aca="false">AJ1397/AK1397</f>
        <v>0.767543859649123</v>
      </c>
      <c r="AM1397" s="99" t="n">
        <f aca="false">AE1397*AL1397*AH1397</f>
        <v>0.694444444444444</v>
      </c>
      <c r="AN1397" s="103" t="n">
        <v>0.694444444444444</v>
      </c>
      <c r="AO1397" s="112"/>
      <c r="AP1397" s="105" t="n">
        <v>40</v>
      </c>
      <c r="AQ1397" s="105" t="n">
        <v>0</v>
      </c>
      <c r="AR1397" s="105" t="n">
        <v>0</v>
      </c>
      <c r="AS1397" s="105" t="n">
        <v>0</v>
      </c>
      <c r="AT1397" s="105" t="n">
        <v>0</v>
      </c>
      <c r="AU1397" s="105" t="n">
        <v>0</v>
      </c>
      <c r="AV1397" s="105" t="n">
        <v>0</v>
      </c>
      <c r="AW1397" s="105" t="n">
        <v>0</v>
      </c>
      <c r="AX1397" s="105" t="n">
        <v>0</v>
      </c>
      <c r="AY1397" s="105" t="n">
        <v>0</v>
      </c>
      <c r="AZ1397" s="105" t="n">
        <v>0</v>
      </c>
      <c r="BA1397" s="105" t="n">
        <v>0</v>
      </c>
      <c r="BB1397" s="105" t="n">
        <v>0</v>
      </c>
      <c r="BC1397" s="105" t="n">
        <v>0</v>
      </c>
      <c r="BD1397" s="105" t="n">
        <v>0</v>
      </c>
      <c r="BE1397" s="105" t="n">
        <v>0</v>
      </c>
      <c r="BF1397" s="105" t="n">
        <v>0</v>
      </c>
      <c r="BG1397" s="105" t="n">
        <v>0</v>
      </c>
      <c r="BH1397" s="105" t="n">
        <v>0</v>
      </c>
      <c r="BI1397" s="105" t="n">
        <v>0</v>
      </c>
      <c r="BJ1397" s="105" t="n">
        <v>0</v>
      </c>
      <c r="BK1397" s="105" t="n">
        <v>0</v>
      </c>
      <c r="BL1397" s="105" t="n">
        <v>0</v>
      </c>
      <c r="BM1397" s="105" t="n">
        <v>0</v>
      </c>
      <c r="BN1397" s="105" t="n">
        <v>0</v>
      </c>
      <c r="BO1397" s="105" t="n">
        <v>0</v>
      </c>
      <c r="BP1397" s="105" t="n">
        <v>0</v>
      </c>
      <c r="BQ1397" s="105" t="n">
        <v>0</v>
      </c>
      <c r="BR1397" s="106" t="n">
        <v>0.666666666666667</v>
      </c>
      <c r="BS1397" s="106" t="n">
        <v>0.666666666666667</v>
      </c>
      <c r="BT1397" s="107"/>
      <c r="BU1397" s="107"/>
      <c r="BV1397" s="107"/>
      <c r="BW1397" s="107"/>
      <c r="BX1397" s="107"/>
      <c r="BY1397" s="107"/>
      <c r="BZ1397" s="107"/>
      <c r="CA1397" s="107"/>
      <c r="CB1397" s="107"/>
      <c r="CC1397" s="107"/>
      <c r="CD1397" s="107"/>
      <c r="CE1397" s="107"/>
      <c r="CF1397" s="107"/>
      <c r="CG1397" s="107"/>
      <c r="CH1397" s="107"/>
      <c r="CI1397" s="107"/>
      <c r="CJ1397" s="107"/>
      <c r="CK1397" s="107"/>
      <c r="CL1397" s="107"/>
      <c r="CM1397" s="107"/>
      <c r="CN1397" s="107"/>
      <c r="CO1397" s="107"/>
      <c r="CP1397" s="107"/>
      <c r="CQ1397" s="107"/>
      <c r="CR1397" s="107"/>
      <c r="CS1397" s="107"/>
      <c r="CT1397" s="107"/>
      <c r="CU1397" s="107"/>
      <c r="CV1397" s="107"/>
    </row>
    <row r="1398" customFormat="false" ht="14.9" hidden="false" customHeight="false" outlineLevel="0" collapsed="false">
      <c r="A1398" s="74" t="n">
        <f aca="false">MONTH(B1398)</f>
        <v>11</v>
      </c>
      <c r="B1398" s="135" t="n">
        <v>44525</v>
      </c>
      <c r="C1398" s="128" t="s">
        <v>51</v>
      </c>
      <c r="D1398" s="77" t="str">
        <f aca="false">IFERROR(VLOOKUP(E:E,'Item Data Support Sheet'!A:O,7,0),"")</f>
        <v>NIPPLE LASER MARKING</v>
      </c>
      <c r="E1398" s="80" t="s">
        <v>600</v>
      </c>
      <c r="F1398" s="122"/>
      <c r="G1398" s="137" t="s">
        <v>517</v>
      </c>
      <c r="H1398" s="79" t="str">
        <f aca="false">IFERROR(VLOOKUP(E:E,'Item Data Support Sheet'!A:O,2,0),"")</f>
        <v>NIPPLE S TYPE LL SIZE LASER MARKED</v>
      </c>
      <c r="I1398" s="80" t="s">
        <v>2201</v>
      </c>
      <c r="J1398" s="80" t="s">
        <v>148</v>
      </c>
      <c r="K1398" s="124" t="n">
        <v>1</v>
      </c>
      <c r="L1398" s="124" t="n">
        <v>875</v>
      </c>
      <c r="M1398" s="83" t="n">
        <v>875</v>
      </c>
      <c r="N1398" s="84" t="n">
        <f aca="false">+O1398+Q1398+T1398+U1398</f>
        <v>1000</v>
      </c>
      <c r="O1398" s="85" t="n">
        <v>1000</v>
      </c>
      <c r="P1398" s="86" t="n">
        <v>0</v>
      </c>
      <c r="Q1398" s="86" t="n">
        <v>0</v>
      </c>
      <c r="R1398" s="132" t="n">
        <v>0</v>
      </c>
      <c r="S1398" s="128" t="n">
        <v>0</v>
      </c>
      <c r="T1398" s="132" t="n">
        <v>0</v>
      </c>
      <c r="U1398" s="128" t="n">
        <v>0</v>
      </c>
      <c r="V1398" s="128" t="n">
        <v>1</v>
      </c>
      <c r="W1398" s="90" t="n">
        <f aca="false">IFERROR(O1398/V1398,0)</f>
        <v>1000</v>
      </c>
      <c r="X1398" s="91" t="n">
        <f aca="false">O1398/L1398</f>
        <v>1.14285714285714</v>
      </c>
      <c r="Y1398" s="92" t="str">
        <f aca="false">IFERROR(VLOOKUP(E:E,'Item Data Support Sheet'!A:J,6,0),0)</f>
        <v>FO151</v>
      </c>
      <c r="Z1398" s="93" t="n">
        <f aca="false">IFERROR(VLOOKUP(E:E,'Item Data Support Sheet'!A:O,4,0),0)</f>
        <v>0</v>
      </c>
      <c r="AA1398" s="93" t="n">
        <f aca="false">IFERROR(((N1398)*(Z1398/1000))+P1398,0)</f>
        <v>0</v>
      </c>
      <c r="AB1398" s="94" t="str">
        <f aca="false">IFERROR((O1398*(Z1398/1000)/(AA1398))," ")</f>
        <v> </v>
      </c>
      <c r="AC1398" s="95" t="n">
        <f aca="false">IFERROR((T1398)/((T1398)+O1398),0)</f>
        <v>0</v>
      </c>
      <c r="AD1398" s="96" t="n">
        <f aca="false">IFERROR(Q1398/(Q1398+N1398),0)</f>
        <v>0</v>
      </c>
      <c r="AE1398" s="91" t="n">
        <f aca="false">(N1398-T1398)/N1398</f>
        <v>1</v>
      </c>
      <c r="AF1398" s="97" t="n">
        <f aca="false">BR1398</f>
        <v>0</v>
      </c>
      <c r="AG1398" s="98" t="n">
        <f aca="false">K1398-AF1398</f>
        <v>1</v>
      </c>
      <c r="AH1398" s="99" t="n">
        <f aca="false">IFERROR(AG1398/K1398," ")</f>
        <v>1</v>
      </c>
      <c r="AI1398" s="100" t="n">
        <f aca="false">IFERROR(O1398/K1398,0)</f>
        <v>1000</v>
      </c>
      <c r="AJ1398" s="101" t="n">
        <f aca="false">VLOOKUP(D1398,'Standard Cycle time'!C:D,2,0)</f>
        <v>3.5</v>
      </c>
      <c r="AK1398" s="101" t="n">
        <f aca="false">AG1398*V1398*3600/O1398</f>
        <v>3.6</v>
      </c>
      <c r="AL1398" s="102" t="n">
        <f aca="false">AJ1398/AK1398</f>
        <v>0.972222222222222</v>
      </c>
      <c r="AM1398" s="99" t="n">
        <f aca="false">AE1398*AL1398*AH1398</f>
        <v>0.972222222222222</v>
      </c>
      <c r="AN1398" s="103" t="n">
        <v>0.972222222222222</v>
      </c>
      <c r="AO1398" s="112"/>
      <c r="AP1398" s="105" t="n">
        <v>0</v>
      </c>
      <c r="AQ1398" s="105" t="n">
        <v>0</v>
      </c>
      <c r="AR1398" s="105" t="n">
        <v>0</v>
      </c>
      <c r="AS1398" s="105" t="n">
        <v>0</v>
      </c>
      <c r="AT1398" s="105" t="n">
        <v>0</v>
      </c>
      <c r="AU1398" s="105" t="n">
        <v>0</v>
      </c>
      <c r="AV1398" s="105" t="n">
        <v>0</v>
      </c>
      <c r="AW1398" s="105" t="n">
        <v>0</v>
      </c>
      <c r="AX1398" s="105" t="n">
        <v>0</v>
      </c>
      <c r="AY1398" s="105" t="n">
        <v>0</v>
      </c>
      <c r="AZ1398" s="105" t="n">
        <v>0</v>
      </c>
      <c r="BA1398" s="105" t="n">
        <v>0</v>
      </c>
      <c r="BB1398" s="105" t="n">
        <v>0</v>
      </c>
      <c r="BC1398" s="105" t="n">
        <v>0</v>
      </c>
      <c r="BD1398" s="105" t="n">
        <v>0</v>
      </c>
      <c r="BE1398" s="105" t="n">
        <v>0</v>
      </c>
      <c r="BF1398" s="105" t="n">
        <v>0</v>
      </c>
      <c r="BG1398" s="105" t="n">
        <v>0</v>
      </c>
      <c r="BH1398" s="105" t="n">
        <v>0</v>
      </c>
      <c r="BI1398" s="105" t="n">
        <v>0</v>
      </c>
      <c r="BJ1398" s="105" t="n">
        <v>0</v>
      </c>
      <c r="BK1398" s="105" t="n">
        <v>0</v>
      </c>
      <c r="BL1398" s="105" t="n">
        <v>0</v>
      </c>
      <c r="BM1398" s="105" t="n">
        <v>0</v>
      </c>
      <c r="BN1398" s="105" t="n">
        <v>0</v>
      </c>
      <c r="BO1398" s="105" t="n">
        <v>0</v>
      </c>
      <c r="BP1398" s="105" t="n">
        <v>0</v>
      </c>
      <c r="BQ1398" s="105" t="n">
        <v>0</v>
      </c>
      <c r="BR1398" s="106" t="n">
        <v>0</v>
      </c>
      <c r="BS1398" s="106" t="n">
        <v>0</v>
      </c>
      <c r="BT1398" s="107"/>
      <c r="BU1398" s="107"/>
      <c r="BV1398" s="107"/>
      <c r="BW1398" s="107"/>
      <c r="BX1398" s="107"/>
      <c r="BY1398" s="107"/>
      <c r="BZ1398" s="107"/>
      <c r="CA1398" s="107"/>
      <c r="CB1398" s="107"/>
      <c r="CC1398" s="107"/>
      <c r="CD1398" s="107"/>
      <c r="CE1398" s="107"/>
      <c r="CF1398" s="107"/>
      <c r="CG1398" s="107"/>
      <c r="CH1398" s="107"/>
      <c r="CI1398" s="107"/>
      <c r="CJ1398" s="107"/>
      <c r="CK1398" s="107"/>
      <c r="CL1398" s="107"/>
      <c r="CM1398" s="107"/>
      <c r="CN1398" s="107"/>
      <c r="CO1398" s="107"/>
      <c r="CP1398" s="107"/>
      <c r="CQ1398" s="107"/>
      <c r="CR1398" s="107"/>
      <c r="CS1398" s="107"/>
      <c r="CT1398" s="107"/>
      <c r="CU1398" s="107"/>
      <c r="CV1398" s="107"/>
    </row>
    <row r="1399" customFormat="false" ht="14.9" hidden="false" customHeight="false" outlineLevel="0" collapsed="false">
      <c r="A1399" s="74" t="n">
        <f aca="false">MONTH(B1399)</f>
        <v>11</v>
      </c>
      <c r="B1399" s="135" t="n">
        <v>44525</v>
      </c>
      <c r="C1399" s="128" t="s">
        <v>63</v>
      </c>
      <c r="D1399" s="77" t="str">
        <f aca="false">IFERROR(VLOOKUP(E:E,'Item Data Support Sheet'!A:O,7,0),"")</f>
        <v>NIPPLE PUNCH INSPECTED</v>
      </c>
      <c r="E1399" s="80" t="s">
        <v>182</v>
      </c>
      <c r="F1399" s="122"/>
      <c r="G1399" s="137"/>
      <c r="H1399" s="79" t="str">
        <f aca="false">IFERROR(VLOOKUP(E:E,'Item Data Support Sheet'!A:O,2,0),"")</f>
        <v>NIPPLE S TYPE M SIZE PUNCHED INSPECTED</v>
      </c>
      <c r="I1399" s="80" t="s">
        <v>2202</v>
      </c>
      <c r="J1399" s="80" t="s">
        <v>155</v>
      </c>
      <c r="K1399" s="124" t="n">
        <v>3</v>
      </c>
      <c r="L1399" s="124" t="n">
        <v>7125</v>
      </c>
      <c r="M1399" s="83" t="n">
        <v>2375</v>
      </c>
      <c r="N1399" s="84" t="n">
        <f aca="false">+O1399+Q1399+T1399+U1399</f>
        <v>8833</v>
      </c>
      <c r="O1399" s="85" t="n">
        <v>8782</v>
      </c>
      <c r="P1399" s="86" t="n">
        <v>0</v>
      </c>
      <c r="Q1399" s="86" t="n">
        <v>0</v>
      </c>
      <c r="R1399" s="132" t="n">
        <v>0</v>
      </c>
      <c r="S1399" s="128" t="n">
        <v>0</v>
      </c>
      <c r="T1399" s="132" t="n">
        <v>51</v>
      </c>
      <c r="U1399" s="128" t="n">
        <v>0</v>
      </c>
      <c r="V1399" s="128" t="n">
        <v>1</v>
      </c>
      <c r="W1399" s="90" t="n">
        <f aca="false">IFERROR(O1399/V1399,0)</f>
        <v>8782</v>
      </c>
      <c r="X1399" s="91" t="n">
        <f aca="false">O1399/L1399</f>
        <v>1.23256140350877</v>
      </c>
      <c r="Y1399" s="92" t="str">
        <f aca="false">IFERROR(VLOOKUP(E:E,'Item Data Support Sheet'!A:J,6,0),0)</f>
        <v>FO105</v>
      </c>
      <c r="Z1399" s="93" t="n">
        <f aca="false">IFERROR(VLOOKUP(E:E,'Item Data Support Sheet'!A:O,4,0),0)</f>
        <v>0</v>
      </c>
      <c r="AA1399" s="93" t="n">
        <f aca="false">IFERROR(((N1399)*(Z1399/1000))+P1399,0)</f>
        <v>0</v>
      </c>
      <c r="AB1399" s="94" t="str">
        <f aca="false">IFERROR((O1399*(Z1399/1000)/(AA1399))," ")</f>
        <v> </v>
      </c>
      <c r="AC1399" s="95" t="n">
        <f aca="false">IFERROR((T1399)/((T1399)+O1399),0)</f>
        <v>0.00577380278501076</v>
      </c>
      <c r="AD1399" s="96" t="n">
        <f aca="false">IFERROR(Q1399/(Q1399+N1399),0)</f>
        <v>0</v>
      </c>
      <c r="AE1399" s="91" t="n">
        <f aca="false">(N1399-T1399)/N1399</f>
        <v>0.994226197214989</v>
      </c>
      <c r="AF1399" s="97" t="n">
        <f aca="false">BR1399</f>
        <v>0</v>
      </c>
      <c r="AG1399" s="98" t="n">
        <f aca="false">K1399-AF1399</f>
        <v>3</v>
      </c>
      <c r="AH1399" s="99" t="n">
        <f aca="false">IFERROR(AG1399/K1399," ")</f>
        <v>1</v>
      </c>
      <c r="AI1399" s="100" t="n">
        <f aca="false">IFERROR(O1399/K1399,0)</f>
        <v>2927.33333333333</v>
      </c>
      <c r="AJ1399" s="101" t="n">
        <f aca="false">VLOOKUP(D1399,'Standard Cycle time'!C:D,2,0)</f>
        <v>4</v>
      </c>
      <c r="AK1399" s="101" t="n">
        <f aca="false">AG1399*V1399*3600/O1399</f>
        <v>1.22978820314279</v>
      </c>
      <c r="AL1399" s="102" t="n">
        <f aca="false">AJ1399/AK1399</f>
        <v>3.25259259259259</v>
      </c>
      <c r="AM1399" s="99" t="n">
        <f aca="false">AE1399*AL1399*AH1399</f>
        <v>3.23381276442298</v>
      </c>
      <c r="AN1399" s="103" t="n">
        <v>3.23381276442298</v>
      </c>
      <c r="AO1399" s="112"/>
      <c r="AP1399" s="105"/>
      <c r="AQ1399" s="105" t="n">
        <v>0</v>
      </c>
      <c r="AR1399" s="105" t="n">
        <v>0</v>
      </c>
      <c r="AS1399" s="105" t="n">
        <v>0</v>
      </c>
      <c r="AT1399" s="105" t="n">
        <v>0</v>
      </c>
      <c r="AU1399" s="105" t="n">
        <v>0</v>
      </c>
      <c r="AV1399" s="105" t="n">
        <v>0</v>
      </c>
      <c r="AW1399" s="105" t="n">
        <v>0</v>
      </c>
      <c r="AX1399" s="105" t="n">
        <v>0</v>
      </c>
      <c r="AY1399" s="105" t="n">
        <v>0</v>
      </c>
      <c r="AZ1399" s="105" t="n">
        <v>0</v>
      </c>
      <c r="BA1399" s="105" t="n">
        <v>0</v>
      </c>
      <c r="BB1399" s="105" t="n">
        <v>0</v>
      </c>
      <c r="BC1399" s="105" t="n">
        <v>0</v>
      </c>
      <c r="BD1399" s="105" t="n">
        <v>0</v>
      </c>
      <c r="BE1399" s="105" t="n">
        <v>0</v>
      </c>
      <c r="BF1399" s="105" t="n">
        <v>0</v>
      </c>
      <c r="BG1399" s="105" t="n">
        <v>0</v>
      </c>
      <c r="BH1399" s="105" t="n">
        <v>0</v>
      </c>
      <c r="BI1399" s="105" t="n">
        <v>0</v>
      </c>
      <c r="BJ1399" s="105" t="n">
        <v>0</v>
      </c>
      <c r="BK1399" s="105" t="n">
        <v>0</v>
      </c>
      <c r="BL1399" s="105" t="n">
        <v>0</v>
      </c>
      <c r="BM1399" s="105" t="n">
        <v>0</v>
      </c>
      <c r="BN1399" s="105" t="n">
        <v>0</v>
      </c>
      <c r="BO1399" s="105" t="n">
        <v>0</v>
      </c>
      <c r="BP1399" s="105" t="n">
        <v>0</v>
      </c>
      <c r="BQ1399" s="105" t="n">
        <v>0</v>
      </c>
      <c r="BR1399" s="106" t="n">
        <v>0</v>
      </c>
      <c r="BS1399" s="106" t="n">
        <v>0</v>
      </c>
      <c r="BT1399" s="107"/>
      <c r="BU1399" s="107"/>
      <c r="BV1399" s="107"/>
      <c r="BW1399" s="107"/>
      <c r="BX1399" s="107"/>
      <c r="BY1399" s="107"/>
      <c r="BZ1399" s="107"/>
      <c r="CA1399" s="107"/>
      <c r="CB1399" s="107"/>
      <c r="CC1399" s="107"/>
      <c r="CD1399" s="107"/>
      <c r="CE1399" s="107"/>
      <c r="CF1399" s="107"/>
      <c r="CG1399" s="107"/>
      <c r="CH1399" s="107"/>
      <c r="CI1399" s="107"/>
      <c r="CJ1399" s="107"/>
      <c r="CK1399" s="107"/>
      <c r="CL1399" s="107"/>
      <c r="CM1399" s="107"/>
      <c r="CN1399" s="107"/>
      <c r="CO1399" s="107"/>
      <c r="CP1399" s="107"/>
      <c r="CQ1399" s="107"/>
      <c r="CR1399" s="107"/>
      <c r="CS1399" s="107"/>
      <c r="CT1399" s="107"/>
      <c r="CU1399" s="107"/>
      <c r="CV1399" s="107"/>
    </row>
    <row r="1400" customFormat="false" ht="14.9" hidden="false" customHeight="false" outlineLevel="0" collapsed="false">
      <c r="A1400" s="74" t="n">
        <f aca="false">MONTH(B1400)</f>
        <v>11</v>
      </c>
      <c r="B1400" s="135" t="n">
        <v>44525</v>
      </c>
      <c r="C1400" s="128" t="s">
        <v>63</v>
      </c>
      <c r="D1400" s="77" t="str">
        <f aca="false">IFERROR(VLOOKUP(E:E,'Item Data Support Sheet'!A:O,7,0),"")</f>
        <v>NIPPLE PUNCH INSPECTED</v>
      </c>
      <c r="E1400" s="80" t="s">
        <v>688</v>
      </c>
      <c r="F1400" s="122"/>
      <c r="G1400" s="137"/>
      <c r="H1400" s="79" t="str">
        <f aca="false">IFERROR(VLOOKUP(E:E,'Item Data Support Sheet'!A:O,2,0),"")</f>
        <v>NIPPLE S TYPE L SIZE PUNCHED INSPECTED</v>
      </c>
      <c r="I1400" s="80" t="s">
        <v>2178</v>
      </c>
      <c r="J1400" s="80" t="s">
        <v>155</v>
      </c>
      <c r="K1400" s="124" t="n">
        <v>3</v>
      </c>
      <c r="L1400" s="124" t="n">
        <v>7125</v>
      </c>
      <c r="M1400" s="83" t="n">
        <v>2375</v>
      </c>
      <c r="N1400" s="84" t="n">
        <f aca="false">+O1400+Q1400+T1400+U1400</f>
        <v>6000</v>
      </c>
      <c r="O1400" s="85" t="n">
        <v>5934</v>
      </c>
      <c r="P1400" s="86" t="n">
        <v>0</v>
      </c>
      <c r="Q1400" s="86" t="n">
        <v>0</v>
      </c>
      <c r="R1400" s="132" t="n">
        <v>0</v>
      </c>
      <c r="S1400" s="128" t="n">
        <v>0</v>
      </c>
      <c r="T1400" s="132" t="n">
        <v>66</v>
      </c>
      <c r="U1400" s="128" t="n">
        <v>0</v>
      </c>
      <c r="V1400" s="128" t="n">
        <v>1</v>
      </c>
      <c r="W1400" s="90" t="n">
        <f aca="false">IFERROR(O1400/V1400,0)</f>
        <v>5934</v>
      </c>
      <c r="X1400" s="91" t="n">
        <f aca="false">O1400/L1400</f>
        <v>0.832842105263158</v>
      </c>
      <c r="Y1400" s="92" t="str">
        <f aca="false">IFERROR(VLOOKUP(E:E,'Item Data Support Sheet'!A:J,6,0),0)</f>
        <v>FO106</v>
      </c>
      <c r="Z1400" s="93" t="n">
        <f aca="false">IFERROR(VLOOKUP(E:E,'Item Data Support Sheet'!A:O,4,0),0)</f>
        <v>0</v>
      </c>
      <c r="AA1400" s="93" t="n">
        <f aca="false">IFERROR(((N1400)*(Z1400/1000))+P1400,0)</f>
        <v>0</v>
      </c>
      <c r="AB1400" s="94" t="str">
        <f aca="false">IFERROR((O1400*(Z1400/1000)/(AA1400))," ")</f>
        <v> </v>
      </c>
      <c r="AC1400" s="95" t="n">
        <f aca="false">IFERROR((T1400)/((T1400)+O1400),0)</f>
        <v>0.011</v>
      </c>
      <c r="AD1400" s="96" t="n">
        <f aca="false">IFERROR(Q1400/(Q1400+N1400),0)</f>
        <v>0</v>
      </c>
      <c r="AE1400" s="91" t="n">
        <f aca="false">(N1400-T1400)/N1400</f>
        <v>0.989</v>
      </c>
      <c r="AF1400" s="97" t="n">
        <f aca="false">BR1400</f>
        <v>0.833333333333333</v>
      </c>
      <c r="AG1400" s="98" t="n">
        <f aca="false">K1400-AF1400</f>
        <v>2.16666666666667</v>
      </c>
      <c r="AH1400" s="99" t="n">
        <f aca="false">IFERROR(AG1400/K1400," ")</f>
        <v>0.722222222222222</v>
      </c>
      <c r="AI1400" s="100" t="n">
        <f aca="false">IFERROR(O1400/K1400,0)</f>
        <v>1978</v>
      </c>
      <c r="AJ1400" s="101" t="n">
        <f aca="false">VLOOKUP(D1400,'Standard Cycle time'!C:D,2,0)</f>
        <v>4</v>
      </c>
      <c r="AK1400" s="101" t="n">
        <f aca="false">AG1400*V1400*3600/O1400</f>
        <v>1.314459049545</v>
      </c>
      <c r="AL1400" s="102" t="n">
        <f aca="false">AJ1400/AK1400</f>
        <v>3.04307692307692</v>
      </c>
      <c r="AM1400" s="99" t="n">
        <f aca="false">AE1400*AL1400*AH1400</f>
        <v>2.17360222222222</v>
      </c>
      <c r="AN1400" s="103" t="n">
        <v>2.17360222222222</v>
      </c>
      <c r="AO1400" s="112"/>
      <c r="AP1400" s="105" t="n">
        <v>50</v>
      </c>
      <c r="AQ1400" s="105" t="n">
        <v>0</v>
      </c>
      <c r="AR1400" s="105" t="n">
        <v>0</v>
      </c>
      <c r="AS1400" s="105" t="n">
        <v>0</v>
      </c>
      <c r="AT1400" s="105" t="n">
        <v>0</v>
      </c>
      <c r="AU1400" s="105" t="n">
        <v>0</v>
      </c>
      <c r="AV1400" s="105" t="n">
        <v>0</v>
      </c>
      <c r="AW1400" s="105" t="n">
        <v>0</v>
      </c>
      <c r="AX1400" s="105" t="n">
        <v>0</v>
      </c>
      <c r="AY1400" s="105" t="n">
        <v>0</v>
      </c>
      <c r="AZ1400" s="105" t="n">
        <v>0</v>
      </c>
      <c r="BA1400" s="105" t="n">
        <v>0</v>
      </c>
      <c r="BB1400" s="105" t="n">
        <v>0</v>
      </c>
      <c r="BC1400" s="105" t="n">
        <v>0</v>
      </c>
      <c r="BD1400" s="105" t="n">
        <v>0</v>
      </c>
      <c r="BE1400" s="105" t="n">
        <v>0</v>
      </c>
      <c r="BF1400" s="105" t="n">
        <v>0</v>
      </c>
      <c r="BG1400" s="105" t="n">
        <v>0</v>
      </c>
      <c r="BH1400" s="105" t="n">
        <v>0</v>
      </c>
      <c r="BI1400" s="105" t="n">
        <v>0</v>
      </c>
      <c r="BJ1400" s="105" t="n">
        <v>0</v>
      </c>
      <c r="BK1400" s="105" t="n">
        <v>0</v>
      </c>
      <c r="BL1400" s="105" t="n">
        <v>0</v>
      </c>
      <c r="BM1400" s="105" t="n">
        <v>0</v>
      </c>
      <c r="BN1400" s="105" t="n">
        <v>0</v>
      </c>
      <c r="BO1400" s="105" t="n">
        <v>0</v>
      </c>
      <c r="BP1400" s="105" t="n">
        <v>0</v>
      </c>
      <c r="BQ1400" s="105" t="n">
        <v>0</v>
      </c>
      <c r="BR1400" s="106" t="n">
        <v>0.833333333333333</v>
      </c>
      <c r="BS1400" s="106" t="n">
        <v>0.833333333333333</v>
      </c>
      <c r="BT1400" s="107"/>
      <c r="BU1400" s="107"/>
      <c r="BV1400" s="107"/>
      <c r="BW1400" s="107"/>
      <c r="BX1400" s="107"/>
      <c r="BY1400" s="107"/>
      <c r="BZ1400" s="107"/>
      <c r="CA1400" s="107"/>
      <c r="CB1400" s="107"/>
      <c r="CC1400" s="107"/>
      <c r="CD1400" s="107"/>
      <c r="CE1400" s="107"/>
      <c r="CF1400" s="107"/>
      <c r="CG1400" s="107"/>
      <c r="CH1400" s="107"/>
      <c r="CI1400" s="107"/>
      <c r="CJ1400" s="107"/>
      <c r="CK1400" s="107"/>
      <c r="CL1400" s="107"/>
      <c r="CM1400" s="107"/>
      <c r="CN1400" s="107"/>
      <c r="CO1400" s="107"/>
      <c r="CP1400" s="107"/>
      <c r="CQ1400" s="107"/>
      <c r="CR1400" s="107"/>
      <c r="CS1400" s="107"/>
      <c r="CT1400" s="107"/>
      <c r="CU1400" s="107"/>
      <c r="CV1400" s="107"/>
    </row>
    <row r="1401" customFormat="false" ht="14.9" hidden="false" customHeight="false" outlineLevel="0" collapsed="false">
      <c r="A1401" s="74" t="n">
        <f aca="false">MONTH(B1401)</f>
        <v>11</v>
      </c>
      <c r="B1401" s="135" t="n">
        <v>44525</v>
      </c>
      <c r="C1401" s="128" t="s">
        <v>63</v>
      </c>
      <c r="D1401" s="77" t="str">
        <f aca="false">IFERROR(VLOOKUP(E:E,'Item Data Support Sheet'!A:O,7,0),"")</f>
        <v>NIPPLE PUNCH INSPECTED</v>
      </c>
      <c r="E1401" s="80" t="s">
        <v>621</v>
      </c>
      <c r="F1401" s="122"/>
      <c r="G1401" s="137"/>
      <c r="H1401" s="79" t="str">
        <f aca="false">IFERROR(VLOOKUP(E:E,'Item Data Support Sheet'!A:O,2,0),"")</f>
        <v>NIPPLE S TYPE LL SIZE INSPECTED</v>
      </c>
      <c r="I1401" s="80" t="s">
        <v>2201</v>
      </c>
      <c r="J1401" s="80" t="s">
        <v>155</v>
      </c>
      <c r="K1401" s="124" t="n">
        <v>2</v>
      </c>
      <c r="L1401" s="124" t="n">
        <v>4750</v>
      </c>
      <c r="M1401" s="83" t="n">
        <v>2375</v>
      </c>
      <c r="N1401" s="84" t="n">
        <f aca="false">+O1401+Q1401+T1401+U1401</f>
        <v>4000</v>
      </c>
      <c r="O1401" s="85" t="n">
        <v>3984</v>
      </c>
      <c r="P1401" s="86" t="n">
        <v>0</v>
      </c>
      <c r="Q1401" s="86" t="n">
        <v>0</v>
      </c>
      <c r="R1401" s="132" t="n">
        <v>0</v>
      </c>
      <c r="S1401" s="128" t="n">
        <v>0</v>
      </c>
      <c r="T1401" s="132" t="n">
        <v>16</v>
      </c>
      <c r="U1401" s="128" t="n">
        <v>0</v>
      </c>
      <c r="V1401" s="128" t="n">
        <v>1</v>
      </c>
      <c r="W1401" s="90" t="n">
        <f aca="false">IFERROR(O1401/V1401,0)</f>
        <v>3984</v>
      </c>
      <c r="X1401" s="91" t="n">
        <f aca="false">O1401/L1401</f>
        <v>0.838736842105263</v>
      </c>
      <c r="Y1401" s="92" t="str">
        <f aca="false">IFERROR(VLOOKUP(E:E,'Item Data Support Sheet'!A:J,6,0),0)</f>
        <v>FO152</v>
      </c>
      <c r="Z1401" s="93" t="n">
        <f aca="false">IFERROR(VLOOKUP(E:E,'Item Data Support Sheet'!A:O,4,0),0)</f>
        <v>0</v>
      </c>
      <c r="AA1401" s="93" t="n">
        <f aca="false">IFERROR(((N1401)*(Z1401/1000))+P1401,0)</f>
        <v>0</v>
      </c>
      <c r="AB1401" s="94" t="str">
        <f aca="false">IFERROR((O1401*(Z1401/1000)/(AA1401))," ")</f>
        <v> </v>
      </c>
      <c r="AC1401" s="95" t="n">
        <f aca="false">IFERROR((T1401)/((T1401)+O1401),0)</f>
        <v>0.004</v>
      </c>
      <c r="AD1401" s="96" t="n">
        <f aca="false">IFERROR(Q1401/(Q1401+N1401),0)</f>
        <v>0</v>
      </c>
      <c r="AE1401" s="91" t="n">
        <f aca="false">(N1401-T1401)/N1401</f>
        <v>0.996</v>
      </c>
      <c r="AF1401" s="97" t="n">
        <f aca="false">BR1401</f>
        <v>0</v>
      </c>
      <c r="AG1401" s="98" t="n">
        <f aca="false">K1401-AF1401</f>
        <v>2</v>
      </c>
      <c r="AH1401" s="99" t="n">
        <f aca="false">IFERROR(AG1401/K1401," ")</f>
        <v>1</v>
      </c>
      <c r="AI1401" s="100" t="n">
        <f aca="false">IFERROR(O1401/K1401,0)</f>
        <v>1992</v>
      </c>
      <c r="AJ1401" s="101" t="n">
        <f aca="false">VLOOKUP(D1401,'Standard Cycle time'!C:D,2,0)</f>
        <v>4</v>
      </c>
      <c r="AK1401" s="101" t="n">
        <f aca="false">AG1401*V1401*3600/O1401</f>
        <v>1.80722891566265</v>
      </c>
      <c r="AL1401" s="102" t="n">
        <f aca="false">AJ1401/AK1401</f>
        <v>2.21333333333333</v>
      </c>
      <c r="AM1401" s="99" t="n">
        <f aca="false">AE1401*AL1401*AH1401</f>
        <v>2.20448</v>
      </c>
      <c r="AN1401" s="103" t="n">
        <v>2.20448</v>
      </c>
      <c r="AO1401" s="112"/>
      <c r="AP1401" s="105" t="n">
        <v>0</v>
      </c>
      <c r="AQ1401" s="105" t="n">
        <v>0</v>
      </c>
      <c r="AR1401" s="105" t="n">
        <v>0</v>
      </c>
      <c r="AS1401" s="105" t="n">
        <v>0</v>
      </c>
      <c r="AT1401" s="105" t="n">
        <v>0</v>
      </c>
      <c r="AU1401" s="105" t="n">
        <v>0</v>
      </c>
      <c r="AV1401" s="105" t="n">
        <v>0</v>
      </c>
      <c r="AW1401" s="105" t="n">
        <v>0</v>
      </c>
      <c r="AX1401" s="105" t="n">
        <v>0</v>
      </c>
      <c r="AY1401" s="105" t="n">
        <v>0</v>
      </c>
      <c r="AZ1401" s="105" t="n">
        <v>0</v>
      </c>
      <c r="BA1401" s="105" t="n">
        <v>0</v>
      </c>
      <c r="BB1401" s="105" t="n">
        <v>0</v>
      </c>
      <c r="BC1401" s="105" t="n">
        <v>0</v>
      </c>
      <c r="BD1401" s="105" t="n">
        <v>0</v>
      </c>
      <c r="BE1401" s="105" t="n">
        <v>0</v>
      </c>
      <c r="BF1401" s="105" t="n">
        <v>0</v>
      </c>
      <c r="BG1401" s="105" t="n">
        <v>0</v>
      </c>
      <c r="BH1401" s="105" t="n">
        <v>0</v>
      </c>
      <c r="BI1401" s="105" t="n">
        <v>0</v>
      </c>
      <c r="BJ1401" s="105" t="n">
        <v>0</v>
      </c>
      <c r="BK1401" s="105" t="n">
        <v>0</v>
      </c>
      <c r="BL1401" s="105" t="n">
        <v>0</v>
      </c>
      <c r="BM1401" s="105" t="n">
        <v>0</v>
      </c>
      <c r="BN1401" s="105" t="n">
        <v>0</v>
      </c>
      <c r="BO1401" s="105" t="n">
        <v>0</v>
      </c>
      <c r="BP1401" s="105" t="n">
        <v>0</v>
      </c>
      <c r="BQ1401" s="105" t="n">
        <v>0</v>
      </c>
      <c r="BR1401" s="106" t="n">
        <v>0</v>
      </c>
      <c r="BS1401" s="106" t="n">
        <v>0</v>
      </c>
      <c r="BT1401" s="107"/>
      <c r="BU1401" s="107"/>
      <c r="BV1401" s="107"/>
      <c r="BW1401" s="107"/>
      <c r="BX1401" s="107"/>
      <c r="BY1401" s="107"/>
      <c r="BZ1401" s="107"/>
      <c r="CA1401" s="107"/>
      <c r="CB1401" s="107"/>
      <c r="CC1401" s="107"/>
      <c r="CD1401" s="107"/>
      <c r="CE1401" s="107"/>
      <c r="CF1401" s="107"/>
      <c r="CG1401" s="107"/>
      <c r="CH1401" s="107"/>
      <c r="CI1401" s="107"/>
      <c r="CJ1401" s="107"/>
      <c r="CK1401" s="107"/>
      <c r="CL1401" s="107"/>
      <c r="CM1401" s="107"/>
      <c r="CN1401" s="107"/>
      <c r="CO1401" s="107"/>
      <c r="CP1401" s="107"/>
      <c r="CQ1401" s="107"/>
      <c r="CR1401" s="107"/>
      <c r="CS1401" s="107"/>
      <c r="CT1401" s="107"/>
      <c r="CU1401" s="107"/>
      <c r="CV1401" s="107"/>
    </row>
    <row r="1402" customFormat="false" ht="14.9" hidden="false" customHeight="false" outlineLevel="0" collapsed="false">
      <c r="A1402" s="74" t="n">
        <f aca="false">MONTH(B1402)</f>
        <v>11</v>
      </c>
      <c r="B1402" s="135" t="n">
        <v>44525</v>
      </c>
      <c r="C1402" s="128" t="s">
        <v>63</v>
      </c>
      <c r="D1402" s="77" t="str">
        <f aca="false">IFERROR(VLOOKUP(E:E,'Item Data Support Sheet'!A:O,7,0),"")</f>
        <v>NIPPLE WRAP PRINTED</v>
      </c>
      <c r="E1402" s="80" t="s">
        <v>431</v>
      </c>
      <c r="F1402" s="122"/>
      <c r="G1402" s="137" t="s">
        <v>432</v>
      </c>
      <c r="H1402" s="79" t="str">
        <f aca="false">IFERROR(VLOOKUP(E:E,'Item Data Support Sheet'!A:O,2,0),"")</f>
        <v>NIPPLE S TYPE M SIZE WITH PRINTED WRAP</v>
      </c>
      <c r="I1402" s="80" t="s">
        <v>2203</v>
      </c>
      <c r="J1402" s="80" t="s">
        <v>155</v>
      </c>
      <c r="K1402" s="124" t="n">
        <v>8</v>
      </c>
      <c r="L1402" s="124" t="n">
        <v>10000</v>
      </c>
      <c r="M1402" s="83" t="n">
        <v>1250</v>
      </c>
      <c r="N1402" s="84" t="n">
        <f aca="false">+O1402+Q1402+T1402+U1402</f>
        <v>4405</v>
      </c>
      <c r="O1402" s="85" t="n">
        <v>4405</v>
      </c>
      <c r="P1402" s="86" t="n">
        <v>0</v>
      </c>
      <c r="Q1402" s="86" t="n">
        <v>0</v>
      </c>
      <c r="R1402" s="132"/>
      <c r="S1402" s="128" t="n">
        <v>0</v>
      </c>
      <c r="T1402" s="132" t="n">
        <v>0</v>
      </c>
      <c r="U1402" s="128" t="n">
        <v>0</v>
      </c>
      <c r="V1402" s="128" t="n">
        <v>2</v>
      </c>
      <c r="W1402" s="90" t="n">
        <f aca="false">IFERROR(O1402/V1402,0)</f>
        <v>2202.5</v>
      </c>
      <c r="X1402" s="91" t="n">
        <f aca="false">O1402/L1402</f>
        <v>0.4405</v>
      </c>
      <c r="Y1402" s="92" t="str">
        <f aca="false">IFERROR(VLOOKUP(E:E,'Item Data Support Sheet'!A:J,6,0),0)</f>
        <v>FO020</v>
      </c>
      <c r="Z1402" s="93" t="n">
        <f aca="false">IFERROR(VLOOKUP(E:E,'Item Data Support Sheet'!A:O,4,0),0)</f>
        <v>0</v>
      </c>
      <c r="AA1402" s="93" t="n">
        <f aca="false">IFERROR(((N1402)*(Z1402/1000))+P1402,0)</f>
        <v>0</v>
      </c>
      <c r="AB1402" s="94" t="str">
        <f aca="false">IFERROR((O1402*(Z1402/1000)/(AA1402))," ")</f>
        <v> </v>
      </c>
      <c r="AC1402" s="95" t="n">
        <f aca="false">IFERROR((T1402)/((T1402)+O1402),0)</f>
        <v>0</v>
      </c>
      <c r="AD1402" s="96" t="n">
        <f aca="false">IFERROR(Q1402/(Q1402+N1402),0)</f>
        <v>0</v>
      </c>
      <c r="AE1402" s="91" t="n">
        <f aca="false">(N1402-T1402)/N1402</f>
        <v>1</v>
      </c>
      <c r="AF1402" s="97" t="n">
        <f aca="false">BR1402</f>
        <v>0.833333333333333</v>
      </c>
      <c r="AG1402" s="98" t="n">
        <f aca="false">K1402-AF1402</f>
        <v>7.16666666666667</v>
      </c>
      <c r="AH1402" s="99" t="n">
        <f aca="false">IFERROR(AG1402/K1402," ")</f>
        <v>0.895833333333333</v>
      </c>
      <c r="AI1402" s="100" t="n">
        <f aca="false">IFERROR(O1402/K1402,0)</f>
        <v>550.625</v>
      </c>
      <c r="AJ1402" s="101" t="n">
        <f aca="false">VLOOKUP(D1402,'Standard Cycle time'!C:D,2,0)</f>
        <v>2.5</v>
      </c>
      <c r="AK1402" s="101" t="n">
        <f aca="false">AG1402*V1402*3600/O1402</f>
        <v>11.7139614074915</v>
      </c>
      <c r="AL1402" s="102" t="n">
        <f aca="false">AJ1402/AK1402</f>
        <v>0.213420542635659</v>
      </c>
      <c r="AM1402" s="99" t="n">
        <f aca="false">AE1402*AL1402*AH1402</f>
        <v>0.191189236111111</v>
      </c>
      <c r="AN1402" s="103" t="n">
        <v>0.191189236111111</v>
      </c>
      <c r="AO1402" s="112"/>
      <c r="AP1402" s="105" t="n">
        <v>50</v>
      </c>
      <c r="AQ1402" s="105"/>
      <c r="AR1402" s="105" t="n">
        <v>0</v>
      </c>
      <c r="AS1402" s="105" t="n">
        <v>0</v>
      </c>
      <c r="AT1402" s="105" t="n">
        <v>0</v>
      </c>
      <c r="AU1402" s="105" t="n">
        <v>0</v>
      </c>
      <c r="AV1402" s="105" t="n">
        <v>0</v>
      </c>
      <c r="AW1402" s="105" t="n">
        <v>0</v>
      </c>
      <c r="AX1402" s="105" t="n">
        <v>0</v>
      </c>
      <c r="AY1402" s="105" t="n">
        <v>0</v>
      </c>
      <c r="AZ1402" s="105" t="n">
        <v>0</v>
      </c>
      <c r="BA1402" s="105" t="n">
        <v>0</v>
      </c>
      <c r="BB1402" s="105" t="n">
        <v>0</v>
      </c>
      <c r="BC1402" s="105" t="n">
        <v>0</v>
      </c>
      <c r="BD1402" s="105" t="n">
        <v>0</v>
      </c>
      <c r="BE1402" s="105" t="n">
        <v>0</v>
      </c>
      <c r="BF1402" s="105" t="n">
        <v>0</v>
      </c>
      <c r="BG1402" s="105" t="n">
        <v>0</v>
      </c>
      <c r="BH1402" s="105" t="n">
        <v>0</v>
      </c>
      <c r="BI1402" s="105" t="n">
        <v>0</v>
      </c>
      <c r="BJ1402" s="105" t="n">
        <v>0</v>
      </c>
      <c r="BK1402" s="105" t="n">
        <v>0</v>
      </c>
      <c r="BL1402" s="105" t="n">
        <v>0</v>
      </c>
      <c r="BM1402" s="105" t="n">
        <v>0</v>
      </c>
      <c r="BN1402" s="105" t="n">
        <v>0</v>
      </c>
      <c r="BO1402" s="105" t="n">
        <v>0</v>
      </c>
      <c r="BP1402" s="105" t="n">
        <v>0</v>
      </c>
      <c r="BQ1402" s="105" t="n">
        <v>0</v>
      </c>
      <c r="BR1402" s="106" t="n">
        <v>0.833333333333333</v>
      </c>
      <c r="BS1402" s="106" t="n">
        <v>0.833333333333333</v>
      </c>
      <c r="BT1402" s="107"/>
      <c r="BU1402" s="107"/>
      <c r="BV1402" s="107"/>
      <c r="BW1402" s="107"/>
      <c r="BX1402" s="107"/>
      <c r="BY1402" s="107"/>
      <c r="BZ1402" s="107"/>
      <c r="CA1402" s="107"/>
      <c r="CB1402" s="107"/>
      <c r="CC1402" s="107"/>
      <c r="CD1402" s="107"/>
      <c r="CE1402" s="107"/>
      <c r="CF1402" s="107"/>
      <c r="CG1402" s="107"/>
      <c r="CH1402" s="107"/>
      <c r="CI1402" s="107"/>
      <c r="CJ1402" s="107"/>
      <c r="CK1402" s="107"/>
      <c r="CL1402" s="107"/>
      <c r="CM1402" s="107"/>
      <c r="CN1402" s="107"/>
      <c r="CO1402" s="107"/>
      <c r="CP1402" s="107"/>
      <c r="CQ1402" s="107"/>
      <c r="CR1402" s="107"/>
      <c r="CS1402" s="107"/>
      <c r="CT1402" s="107"/>
      <c r="CU1402" s="107"/>
      <c r="CV1402" s="107"/>
    </row>
    <row r="1403" customFormat="false" ht="14.9" hidden="false" customHeight="false" outlineLevel="0" collapsed="false">
      <c r="A1403" s="74" t="n">
        <f aca="false">MONTH(B1403)</f>
        <v>11</v>
      </c>
      <c r="B1403" s="135" t="n">
        <v>44525</v>
      </c>
      <c r="C1403" s="128" t="s">
        <v>63</v>
      </c>
      <c r="D1403" s="77" t="str">
        <f aca="false">IFERROR(VLOOKUP(E:E,'Item Data Support Sheet'!A:O,7,0),"")</f>
        <v>BOTTLE PRINTED</v>
      </c>
      <c r="E1403" s="80" t="s">
        <v>1326</v>
      </c>
      <c r="F1403" s="122"/>
      <c r="G1403" s="137"/>
      <c r="H1403" s="79" t="str">
        <f aca="false">IFERROR(VLOOKUP(E:E,'Item Data Support Sheet'!A:O,2,0),"")</f>
        <v>RPP 120ML ABSTRCT BLU BOTLE PNTD WM3GB W/BIS LOGO</v>
      </c>
      <c r="I1403" s="80" t="s">
        <v>2204</v>
      </c>
      <c r="J1403" s="80" t="s">
        <v>155</v>
      </c>
      <c r="K1403" s="124" t="n">
        <v>2</v>
      </c>
      <c r="L1403" s="124" t="n">
        <v>992</v>
      </c>
      <c r="M1403" s="83" t="n">
        <v>496</v>
      </c>
      <c r="N1403" s="84" t="n">
        <f aca="false">+O1403+Q1403+T1403+U1403</f>
        <v>552</v>
      </c>
      <c r="O1403" s="85" t="n">
        <v>542</v>
      </c>
      <c r="P1403" s="86" t="n">
        <v>0</v>
      </c>
      <c r="Q1403" s="86" t="n">
        <v>0</v>
      </c>
      <c r="R1403" s="132" t="n">
        <v>12</v>
      </c>
      <c r="S1403" s="128" t="n">
        <v>0</v>
      </c>
      <c r="T1403" s="132" t="n">
        <v>10</v>
      </c>
      <c r="U1403" s="128" t="n">
        <v>0</v>
      </c>
      <c r="V1403" s="128" t="n">
        <v>5</v>
      </c>
      <c r="W1403" s="90" t="n">
        <f aca="false">IFERROR(O1403/V1403,0)</f>
        <v>108.4</v>
      </c>
      <c r="X1403" s="91" t="n">
        <f aca="false">O1403/L1403</f>
        <v>0.546370967741936</v>
      </c>
      <c r="Y1403" s="92" t="str">
        <f aca="false">IFERROR(VLOOKUP(E:E,'Item Data Support Sheet'!A:J,6,0),0)</f>
        <v>FO054</v>
      </c>
      <c r="Z1403" s="93" t="n">
        <f aca="false">IFERROR(VLOOKUP(E:E,'Item Data Support Sheet'!A:O,4,0),0)</f>
        <v>0</v>
      </c>
      <c r="AA1403" s="93" t="n">
        <f aca="false">IFERROR(((N1403)*(Z1403/1000))+P1403,0)</f>
        <v>0</v>
      </c>
      <c r="AB1403" s="94" t="str">
        <f aca="false">IFERROR((O1403*(Z1403/1000)/(AA1403))," ")</f>
        <v> </v>
      </c>
      <c r="AC1403" s="95" t="n">
        <f aca="false">IFERROR((T1403)/((T1403)+O1403),0)</f>
        <v>0.0181159420289855</v>
      </c>
      <c r="AD1403" s="96" t="n">
        <f aca="false">IFERROR(Q1403/(Q1403+N1403),0)</f>
        <v>0</v>
      </c>
      <c r="AE1403" s="91" t="n">
        <f aca="false">(N1403-T1403)/N1403</f>
        <v>0.981884057971014</v>
      </c>
      <c r="AF1403" s="97" t="n">
        <f aca="false">BR1403</f>
        <v>1</v>
      </c>
      <c r="AG1403" s="98" t="n">
        <f aca="false">K1403-AF1403</f>
        <v>1</v>
      </c>
      <c r="AH1403" s="99" t="n">
        <f aca="false">IFERROR(AG1403/K1403," ")</f>
        <v>0.5</v>
      </c>
      <c r="AI1403" s="100" t="n">
        <f aca="false">IFERROR(O1403/K1403,0)</f>
        <v>271</v>
      </c>
      <c r="AJ1403" s="101" t="n">
        <f aca="false">VLOOKUP(D1403,'Standard Cycle time'!C:D,2,0)</f>
        <v>32.4</v>
      </c>
      <c r="AK1403" s="101" t="n">
        <f aca="false">AG1403*V1403*3600/O1403</f>
        <v>33.210332103321</v>
      </c>
      <c r="AL1403" s="102" t="n">
        <f aca="false">AJ1403/AK1403</f>
        <v>0.9756</v>
      </c>
      <c r="AM1403" s="99" t="n">
        <f aca="false">AE1403*AL1403*AH1403</f>
        <v>0.478963043478261</v>
      </c>
      <c r="AN1403" s="103" t="n">
        <v>0.478963043478261</v>
      </c>
      <c r="AO1403" s="112" t="s">
        <v>2205</v>
      </c>
      <c r="AP1403" s="105" t="n">
        <v>0</v>
      </c>
      <c r="AQ1403" s="105" t="n">
        <v>60</v>
      </c>
      <c r="AR1403" s="105" t="n">
        <v>0</v>
      </c>
      <c r="AS1403" s="105" t="n">
        <v>0</v>
      </c>
      <c r="AT1403" s="105" t="n">
        <v>0</v>
      </c>
      <c r="AU1403" s="105" t="n">
        <v>0</v>
      </c>
      <c r="AV1403" s="105" t="n">
        <v>0</v>
      </c>
      <c r="AW1403" s="105" t="n">
        <v>0</v>
      </c>
      <c r="AX1403" s="105" t="n">
        <v>0</v>
      </c>
      <c r="AY1403" s="105" t="n">
        <v>0</v>
      </c>
      <c r="AZ1403" s="105" t="n">
        <v>0</v>
      </c>
      <c r="BA1403" s="105" t="n">
        <v>0</v>
      </c>
      <c r="BB1403" s="105" t="n">
        <v>0</v>
      </c>
      <c r="BC1403" s="105" t="n">
        <v>0</v>
      </c>
      <c r="BD1403" s="105" t="n">
        <v>0</v>
      </c>
      <c r="BE1403" s="105" t="n">
        <v>0</v>
      </c>
      <c r="BF1403" s="105" t="n">
        <v>0</v>
      </c>
      <c r="BG1403" s="105" t="n">
        <v>0</v>
      </c>
      <c r="BH1403" s="105" t="n">
        <v>0</v>
      </c>
      <c r="BI1403" s="105" t="n">
        <v>0</v>
      </c>
      <c r="BJ1403" s="105" t="n">
        <v>0</v>
      </c>
      <c r="BK1403" s="105" t="n">
        <v>0</v>
      </c>
      <c r="BL1403" s="105" t="n">
        <v>0</v>
      </c>
      <c r="BM1403" s="105" t="n">
        <v>0</v>
      </c>
      <c r="BN1403" s="105" t="n">
        <v>0</v>
      </c>
      <c r="BO1403" s="105" t="n">
        <v>0</v>
      </c>
      <c r="BP1403" s="105" t="n">
        <v>0</v>
      </c>
      <c r="BQ1403" s="105" t="n">
        <v>0</v>
      </c>
      <c r="BR1403" s="106" t="n">
        <v>1</v>
      </c>
      <c r="BS1403" s="106" t="n">
        <v>1</v>
      </c>
      <c r="BT1403" s="107"/>
      <c r="BU1403" s="107"/>
      <c r="BV1403" s="107"/>
      <c r="BW1403" s="107"/>
      <c r="BX1403" s="107"/>
      <c r="BY1403" s="107"/>
      <c r="BZ1403" s="107"/>
      <c r="CA1403" s="107"/>
      <c r="CB1403" s="107"/>
      <c r="CC1403" s="107"/>
      <c r="CD1403" s="107"/>
      <c r="CE1403" s="107"/>
      <c r="CF1403" s="107"/>
      <c r="CG1403" s="107"/>
      <c r="CH1403" s="107"/>
      <c r="CI1403" s="107"/>
      <c r="CJ1403" s="107"/>
      <c r="CK1403" s="107"/>
      <c r="CL1403" s="107"/>
      <c r="CM1403" s="107"/>
      <c r="CN1403" s="107"/>
      <c r="CO1403" s="107"/>
      <c r="CP1403" s="107"/>
      <c r="CQ1403" s="107"/>
      <c r="CR1403" s="107"/>
      <c r="CS1403" s="107"/>
      <c r="CT1403" s="107"/>
      <c r="CU1403" s="107"/>
      <c r="CV1403" s="107"/>
    </row>
    <row r="1404" customFormat="false" ht="14.9" hidden="false" customHeight="false" outlineLevel="0" collapsed="false">
      <c r="A1404" s="74" t="n">
        <f aca="false">MONTH(B1404)</f>
        <v>11</v>
      </c>
      <c r="B1404" s="135" t="n">
        <v>44525</v>
      </c>
      <c r="C1404" s="128" t="s">
        <v>63</v>
      </c>
      <c r="D1404" s="77" t="str">
        <f aca="false">IFERROR(VLOOKUP(E:E,'Item Data Support Sheet'!A:O,7,0),"")</f>
        <v>BOTTLE PRINTED</v>
      </c>
      <c r="E1404" s="80" t="s">
        <v>547</v>
      </c>
      <c r="F1404" s="122"/>
      <c r="G1404" s="137"/>
      <c r="H1404" s="79" t="str">
        <f aca="false">IFERROR(VLOOKUP(E:E,'Item Data Support Sheet'!A:O,2,0),"")</f>
        <v>RPP 240 ML RPP PRINTED ELEPHANT</v>
      </c>
      <c r="I1404" s="80" t="s">
        <v>2206</v>
      </c>
      <c r="J1404" s="80" t="s">
        <v>155</v>
      </c>
      <c r="K1404" s="124" t="n">
        <v>2</v>
      </c>
      <c r="L1404" s="124" t="n">
        <v>850</v>
      </c>
      <c r="M1404" s="83" t="n">
        <v>425</v>
      </c>
      <c r="N1404" s="84" t="n">
        <f aca="false">+O1404+Q1404+T1404+U1404</f>
        <v>418</v>
      </c>
      <c r="O1404" s="85" t="n">
        <v>410</v>
      </c>
      <c r="P1404" s="86" t="n">
        <v>0</v>
      </c>
      <c r="Q1404" s="86" t="n">
        <v>0</v>
      </c>
      <c r="R1404" s="132" t="n">
        <v>16</v>
      </c>
      <c r="S1404" s="128" t="n">
        <v>0</v>
      </c>
      <c r="T1404" s="132" t="n">
        <v>8</v>
      </c>
      <c r="U1404" s="128" t="n">
        <v>0</v>
      </c>
      <c r="V1404" s="128" t="n">
        <v>5</v>
      </c>
      <c r="W1404" s="90" t="n">
        <f aca="false">IFERROR(O1404/V1404,0)</f>
        <v>82</v>
      </c>
      <c r="X1404" s="91" t="n">
        <f aca="false">O1404/L1404</f>
        <v>0.482352941176471</v>
      </c>
      <c r="Y1404" s="92" t="str">
        <f aca="false">IFERROR(VLOOKUP(E:E,'Item Data Support Sheet'!A:J,6,0),0)</f>
        <v>FO005</v>
      </c>
      <c r="Z1404" s="93" t="n">
        <f aca="false">IFERROR(VLOOKUP(E:E,'Item Data Support Sheet'!A:O,4,0),0)</f>
        <v>32</v>
      </c>
      <c r="AA1404" s="93" t="n">
        <f aca="false">IFERROR(((N1404)*(Z1404/1000))+P1404,0)</f>
        <v>13.376</v>
      </c>
      <c r="AB1404" s="94" t="n">
        <f aca="false">IFERROR((O1404*(Z1404/1000)/(AA1404))," ")</f>
        <v>0.980861244019139</v>
      </c>
      <c r="AC1404" s="95" t="n">
        <f aca="false">IFERROR((T1404)/((T1404)+O1404),0)</f>
        <v>0.0191387559808612</v>
      </c>
      <c r="AD1404" s="96" t="n">
        <f aca="false">IFERROR(Q1404/(Q1404+N1404),0)</f>
        <v>0</v>
      </c>
      <c r="AE1404" s="91" t="n">
        <f aca="false">(N1404-T1404)/N1404</f>
        <v>0.980861244019139</v>
      </c>
      <c r="AF1404" s="97" t="n">
        <f aca="false">BR1404</f>
        <v>1.16666666666667</v>
      </c>
      <c r="AG1404" s="98" t="n">
        <f aca="false">K1404-AF1404</f>
        <v>0.83333333333333</v>
      </c>
      <c r="AH1404" s="99" t="n">
        <f aca="false">IFERROR(AG1404/K1404," ")</f>
        <v>0.416666666666665</v>
      </c>
      <c r="AI1404" s="100" t="n">
        <f aca="false">IFERROR(O1404/K1404,0)</f>
        <v>205</v>
      </c>
      <c r="AJ1404" s="101" t="n">
        <f aca="false">VLOOKUP(D1404,'Standard Cycle time'!C:D,2,0)</f>
        <v>32.4</v>
      </c>
      <c r="AK1404" s="101" t="n">
        <f aca="false">AG1404*V1404*3600/O1404</f>
        <v>36.5853658536584</v>
      </c>
      <c r="AL1404" s="102" t="n">
        <f aca="false">AJ1404/AK1404</f>
        <v>0.885600000000004</v>
      </c>
      <c r="AM1404" s="99" t="n">
        <f aca="false">AE1404*AL1404*AH1404</f>
        <v>0.361937799043062</v>
      </c>
      <c r="AN1404" s="103" t="n">
        <v>0.361937799043062</v>
      </c>
      <c r="AO1404" s="112" t="s">
        <v>2205</v>
      </c>
      <c r="AP1404" s="105" t="n">
        <v>0</v>
      </c>
      <c r="AQ1404" s="105" t="n">
        <v>70</v>
      </c>
      <c r="AR1404" s="105" t="n">
        <v>0</v>
      </c>
      <c r="AS1404" s="105" t="n">
        <v>0</v>
      </c>
      <c r="AT1404" s="105" t="n">
        <v>0</v>
      </c>
      <c r="AU1404" s="105" t="n">
        <v>0</v>
      </c>
      <c r="AV1404" s="105" t="n">
        <v>0</v>
      </c>
      <c r="AW1404" s="105" t="n">
        <v>0</v>
      </c>
      <c r="AX1404" s="105" t="n">
        <v>0</v>
      </c>
      <c r="AY1404" s="105" t="n">
        <v>0</v>
      </c>
      <c r="AZ1404" s="105" t="n">
        <v>0</v>
      </c>
      <c r="BA1404" s="105" t="n">
        <v>0</v>
      </c>
      <c r="BB1404" s="105" t="n">
        <v>0</v>
      </c>
      <c r="BC1404" s="105" t="n">
        <v>0</v>
      </c>
      <c r="BD1404" s="105" t="n">
        <v>0</v>
      </c>
      <c r="BE1404" s="105" t="n">
        <v>0</v>
      </c>
      <c r="BF1404" s="105" t="n">
        <v>0</v>
      </c>
      <c r="BG1404" s="105" t="n">
        <v>0</v>
      </c>
      <c r="BH1404" s="105" t="n">
        <v>0</v>
      </c>
      <c r="BI1404" s="105" t="n">
        <v>0</v>
      </c>
      <c r="BJ1404" s="105" t="n">
        <v>0</v>
      </c>
      <c r="BK1404" s="105" t="n">
        <v>0</v>
      </c>
      <c r="BL1404" s="105" t="n">
        <v>0</v>
      </c>
      <c r="BM1404" s="105" t="n">
        <v>0</v>
      </c>
      <c r="BN1404" s="105" t="n">
        <v>0</v>
      </c>
      <c r="BO1404" s="105" t="n">
        <v>0</v>
      </c>
      <c r="BP1404" s="105" t="n">
        <v>0</v>
      </c>
      <c r="BQ1404" s="105" t="n">
        <v>0</v>
      </c>
      <c r="BR1404" s="106" t="n">
        <v>1.16666666666667</v>
      </c>
      <c r="BS1404" s="106" t="n">
        <v>1.16666666666667</v>
      </c>
      <c r="BT1404" s="107"/>
      <c r="BU1404" s="107"/>
      <c r="BV1404" s="107"/>
      <c r="BW1404" s="107"/>
      <c r="BX1404" s="107"/>
      <c r="BY1404" s="107"/>
      <c r="BZ1404" s="107"/>
      <c r="CA1404" s="107"/>
      <c r="CB1404" s="107"/>
      <c r="CC1404" s="107"/>
      <c r="CD1404" s="107"/>
      <c r="CE1404" s="107"/>
      <c r="CF1404" s="107"/>
      <c r="CG1404" s="107"/>
      <c r="CH1404" s="107"/>
      <c r="CI1404" s="107"/>
      <c r="CJ1404" s="107"/>
      <c r="CK1404" s="107"/>
      <c r="CL1404" s="107"/>
      <c r="CM1404" s="107"/>
      <c r="CN1404" s="107"/>
      <c r="CO1404" s="107"/>
      <c r="CP1404" s="107"/>
      <c r="CQ1404" s="107"/>
      <c r="CR1404" s="107"/>
      <c r="CS1404" s="107"/>
      <c r="CT1404" s="107"/>
      <c r="CU1404" s="107"/>
      <c r="CV1404" s="107"/>
    </row>
    <row r="1405" customFormat="false" ht="14.9" hidden="false" customHeight="false" outlineLevel="0" collapsed="false">
      <c r="A1405" s="74" t="n">
        <f aca="false">MONTH(B1405)</f>
        <v>11</v>
      </c>
      <c r="B1405" s="135" t="n">
        <v>44525</v>
      </c>
      <c r="C1405" s="128" t="s">
        <v>63</v>
      </c>
      <c r="D1405" s="77" t="str">
        <f aca="false">IFERROR(VLOOKUP(E:E,'Item Data Support Sheet'!A:O,7,0),"")</f>
        <v>BOTTLE PRINTED</v>
      </c>
      <c r="E1405" s="80" t="s">
        <v>608</v>
      </c>
      <c r="F1405" s="122"/>
      <c r="G1405" s="137"/>
      <c r="H1405" s="79" t="str">
        <f aca="false">IFERROR(VLOOKUP(E:E,'Item Data Support Sheet'!A:O,2,0),"")</f>
        <v>RPP 120ML BOY BLUE BOTLE PNTD WM3GB W/BIS LOGO</v>
      </c>
      <c r="I1405" s="80" t="s">
        <v>2207</v>
      </c>
      <c r="J1405" s="80" t="s">
        <v>155</v>
      </c>
      <c r="K1405" s="124" t="n">
        <v>4</v>
      </c>
      <c r="L1405" s="124" t="n">
        <v>1558</v>
      </c>
      <c r="M1405" s="83" t="n">
        <v>389.5</v>
      </c>
      <c r="N1405" s="84" t="n">
        <f aca="false">+O1405+Q1405+T1405+U1405</f>
        <v>1045</v>
      </c>
      <c r="O1405" s="85" t="n">
        <v>1032</v>
      </c>
      <c r="P1405" s="86" t="n">
        <v>0</v>
      </c>
      <c r="Q1405" s="86" t="n">
        <v>0</v>
      </c>
      <c r="R1405" s="132" t="n">
        <v>0</v>
      </c>
      <c r="S1405" s="128" t="n">
        <v>0</v>
      </c>
      <c r="T1405" s="132" t="n">
        <v>13</v>
      </c>
      <c r="U1405" s="128" t="n">
        <v>0</v>
      </c>
      <c r="V1405" s="128" t="n">
        <v>5</v>
      </c>
      <c r="W1405" s="90" t="n">
        <f aca="false">IFERROR(O1405/V1405,0)</f>
        <v>206.4</v>
      </c>
      <c r="X1405" s="91" t="n">
        <f aca="false">O1405/L1405</f>
        <v>0.662387676508344</v>
      </c>
      <c r="Y1405" s="92" t="str">
        <f aca="false">IFERROR(VLOOKUP(E:E,'Item Data Support Sheet'!A:J,6,0),0)</f>
        <v>FO054</v>
      </c>
      <c r="Z1405" s="93" t="n">
        <f aca="false">IFERROR(VLOOKUP(E:E,'Item Data Support Sheet'!A:O,4,0),0)</f>
        <v>0</v>
      </c>
      <c r="AA1405" s="93" t="n">
        <f aca="false">IFERROR(((N1405)*(Z1405/1000))+P1405,0)</f>
        <v>0</v>
      </c>
      <c r="AB1405" s="94" t="str">
        <f aca="false">IFERROR((O1405*(Z1405/1000)/(AA1405))," ")</f>
        <v> </v>
      </c>
      <c r="AC1405" s="95" t="n">
        <f aca="false">IFERROR((T1405)/((T1405)+O1405),0)</f>
        <v>0.0124401913875598</v>
      </c>
      <c r="AD1405" s="96" t="n">
        <f aca="false">IFERROR(Q1405/(Q1405+N1405),0)</f>
        <v>0</v>
      </c>
      <c r="AE1405" s="91" t="n">
        <f aca="false">(N1405-T1405)/N1405</f>
        <v>0.98755980861244</v>
      </c>
      <c r="AF1405" s="97" t="n">
        <f aca="false">BR1405</f>
        <v>2.5</v>
      </c>
      <c r="AG1405" s="98" t="n">
        <f aca="false">K1405-AF1405</f>
        <v>1.5</v>
      </c>
      <c r="AH1405" s="99" t="n">
        <f aca="false">IFERROR(AG1405/K1405," ")</f>
        <v>0.375</v>
      </c>
      <c r="AI1405" s="100" t="n">
        <f aca="false">IFERROR(O1405/K1405,0)</f>
        <v>258</v>
      </c>
      <c r="AJ1405" s="101" t="n">
        <f aca="false">VLOOKUP(D1405,'Standard Cycle time'!C:D,2,0)</f>
        <v>32.4</v>
      </c>
      <c r="AK1405" s="101" t="n">
        <f aca="false">AG1405*V1405*3600/O1405</f>
        <v>26.1627906976744</v>
      </c>
      <c r="AL1405" s="102" t="n">
        <f aca="false">AJ1405/AK1405</f>
        <v>1.2384</v>
      </c>
      <c r="AM1405" s="99" t="n">
        <f aca="false">AE1405*AL1405*AH1405</f>
        <v>0.458622775119617</v>
      </c>
      <c r="AN1405" s="103" t="n">
        <v>0.458622775119617</v>
      </c>
      <c r="AO1405" s="112" t="s">
        <v>2205</v>
      </c>
      <c r="AP1405" s="105" t="n">
        <v>0</v>
      </c>
      <c r="AQ1405" s="105" t="n">
        <v>150</v>
      </c>
      <c r="AR1405" s="105" t="n">
        <v>0</v>
      </c>
      <c r="AS1405" s="105" t="n">
        <v>0</v>
      </c>
      <c r="AT1405" s="105" t="n">
        <v>0</v>
      </c>
      <c r="AU1405" s="105" t="n">
        <v>0</v>
      </c>
      <c r="AV1405" s="105" t="n">
        <v>0</v>
      </c>
      <c r="AW1405" s="105" t="n">
        <v>0</v>
      </c>
      <c r="AX1405" s="105" t="n">
        <v>0</v>
      </c>
      <c r="AY1405" s="105" t="n">
        <v>0</v>
      </c>
      <c r="AZ1405" s="105" t="n">
        <v>0</v>
      </c>
      <c r="BA1405" s="105" t="n">
        <v>0</v>
      </c>
      <c r="BB1405" s="105" t="n">
        <v>0</v>
      </c>
      <c r="BC1405" s="105" t="n">
        <v>0</v>
      </c>
      <c r="BD1405" s="105" t="n">
        <v>0</v>
      </c>
      <c r="BE1405" s="105" t="n">
        <v>0</v>
      </c>
      <c r="BF1405" s="105" t="n">
        <v>0</v>
      </c>
      <c r="BG1405" s="105" t="n">
        <v>0</v>
      </c>
      <c r="BH1405" s="105" t="n">
        <v>0</v>
      </c>
      <c r="BI1405" s="105" t="n">
        <v>0</v>
      </c>
      <c r="BJ1405" s="105" t="n">
        <v>0</v>
      </c>
      <c r="BK1405" s="105" t="n">
        <v>0</v>
      </c>
      <c r="BL1405" s="105" t="n">
        <v>0</v>
      </c>
      <c r="BM1405" s="105" t="n">
        <v>0</v>
      </c>
      <c r="BN1405" s="105" t="n">
        <v>0</v>
      </c>
      <c r="BO1405" s="105" t="n">
        <v>0</v>
      </c>
      <c r="BP1405" s="105" t="n">
        <v>0</v>
      </c>
      <c r="BQ1405" s="105" t="n">
        <v>0</v>
      </c>
      <c r="BR1405" s="106" t="n">
        <v>2.5</v>
      </c>
      <c r="BS1405" s="106" t="n">
        <v>2.5</v>
      </c>
      <c r="BT1405" s="107"/>
      <c r="BU1405" s="107"/>
      <c r="BV1405" s="107"/>
      <c r="BW1405" s="107"/>
      <c r="BX1405" s="107"/>
      <c r="BY1405" s="107"/>
      <c r="BZ1405" s="107"/>
      <c r="CA1405" s="107"/>
      <c r="CB1405" s="107"/>
      <c r="CC1405" s="107"/>
      <c r="CD1405" s="107"/>
      <c r="CE1405" s="107"/>
      <c r="CF1405" s="107"/>
      <c r="CG1405" s="107"/>
      <c r="CH1405" s="107"/>
      <c r="CI1405" s="107"/>
      <c r="CJ1405" s="107"/>
      <c r="CK1405" s="107"/>
      <c r="CL1405" s="107"/>
      <c r="CM1405" s="107"/>
      <c r="CN1405" s="107"/>
      <c r="CO1405" s="107"/>
      <c r="CP1405" s="107"/>
      <c r="CQ1405" s="107"/>
      <c r="CR1405" s="107"/>
      <c r="CS1405" s="107"/>
      <c r="CT1405" s="107"/>
      <c r="CU1405" s="107"/>
      <c r="CV1405" s="107"/>
    </row>
    <row r="1406" customFormat="false" ht="14.9" hidden="false" customHeight="false" outlineLevel="0" collapsed="false">
      <c r="A1406" s="74" t="n">
        <f aca="false">MONTH(B1406)</f>
        <v>11</v>
      </c>
      <c r="B1406" s="135" t="n">
        <v>44525</v>
      </c>
      <c r="C1406" s="128" t="s">
        <v>70</v>
      </c>
      <c r="D1406" s="77" t="str">
        <f aca="false">IFERROR(VLOOKUP(E:E,'Item Data Support Sheet'!A:O,7,0),"")</f>
        <v>CAP MOLDED</v>
      </c>
      <c r="E1406" s="80" t="s">
        <v>199</v>
      </c>
      <c r="F1406" s="122" t="s">
        <v>2161</v>
      </c>
      <c r="G1406" s="137" t="s">
        <v>740</v>
      </c>
      <c r="H1406" s="79" t="str">
        <f aca="false">IFERROR(VLOOKUP(E:E,'Item Data Support Sheet'!A:O,2,0),"")</f>
        <v>CAP S TYPE MOLDED RED</v>
      </c>
      <c r="I1406" s="80" t="s">
        <v>2194</v>
      </c>
      <c r="J1406" s="80" t="s">
        <v>155</v>
      </c>
      <c r="K1406" s="124" t="n">
        <v>8</v>
      </c>
      <c r="L1406" s="124" t="n">
        <v>4137</v>
      </c>
      <c r="M1406" s="83" t="n">
        <v>517.125</v>
      </c>
      <c r="N1406" s="84" t="n">
        <f aca="false">+O1406+Q1406+T1406+U1406</f>
        <v>4516</v>
      </c>
      <c r="O1406" s="85" t="n">
        <v>4500</v>
      </c>
      <c r="P1406" s="86" t="n">
        <v>0</v>
      </c>
      <c r="Q1406" s="86" t="n">
        <v>8</v>
      </c>
      <c r="R1406" s="132" t="n">
        <v>0</v>
      </c>
      <c r="S1406" s="128" t="n">
        <v>0</v>
      </c>
      <c r="T1406" s="132" t="n">
        <v>8</v>
      </c>
      <c r="U1406" s="128" t="n">
        <v>0</v>
      </c>
      <c r="V1406" s="128" t="n">
        <v>1</v>
      </c>
      <c r="W1406" s="90" t="n">
        <f aca="false">IFERROR(O1406/V1406,0)</f>
        <v>4500</v>
      </c>
      <c r="X1406" s="91" t="n">
        <f aca="false">O1406/L1406</f>
        <v>1.08774474256708</v>
      </c>
      <c r="Y1406" s="92" t="str">
        <f aca="false">IFERROR(VLOOKUP(E:E,'Item Data Support Sheet'!A:J,6,0),0)</f>
        <v>FO153</v>
      </c>
      <c r="Z1406" s="93" t="n">
        <f aca="false">IFERROR(VLOOKUP(E:E,'Item Data Support Sheet'!A:O,4,0),0)</f>
        <v>7.3</v>
      </c>
      <c r="AA1406" s="93" t="n">
        <f aca="false">IFERROR(((N1406)*(Z1406/1000))+P1406,0)</f>
        <v>32.9668</v>
      </c>
      <c r="AB1406" s="94" t="n">
        <f aca="false">IFERROR((O1406*(Z1406/1000)/(AA1406))," ")</f>
        <v>0.996457041629761</v>
      </c>
      <c r="AC1406" s="95" t="n">
        <f aca="false">IFERROR((T1406)/((T1406)+O1406),0)</f>
        <v>0.00177462289263532</v>
      </c>
      <c r="AD1406" s="96" t="n">
        <f aca="false">IFERROR(Q1406/(Q1406+N1406),0)</f>
        <v>0.0017683465959328</v>
      </c>
      <c r="AE1406" s="91" t="n">
        <f aca="false">(N1406-T1406)/N1406</f>
        <v>0.99822852081488</v>
      </c>
      <c r="AF1406" s="97" t="n">
        <f aca="false">BR1406</f>
        <v>0</v>
      </c>
      <c r="AG1406" s="98" t="n">
        <f aca="false">K1406-AF1406</f>
        <v>8</v>
      </c>
      <c r="AH1406" s="99" t="n">
        <f aca="false">IFERROR(AG1406/K1406," ")</f>
        <v>1</v>
      </c>
      <c r="AI1406" s="100" t="n">
        <f aca="false">IFERROR(O1406/K1406,0)</f>
        <v>562.5</v>
      </c>
      <c r="AJ1406" s="101" t="n">
        <f aca="false">VLOOKUP(D1406,'Standard Cycle time'!C:D,2,0)</f>
        <v>6</v>
      </c>
      <c r="AK1406" s="101" t="n">
        <f aca="false">AG1406*V1406*3600/O1406</f>
        <v>6.4</v>
      </c>
      <c r="AL1406" s="102" t="n">
        <f aca="false">AJ1406/AK1406</f>
        <v>0.9375</v>
      </c>
      <c r="AM1406" s="99" t="n">
        <f aca="false">AE1406*AL1406*AH1406</f>
        <v>0.93583923826395</v>
      </c>
      <c r="AN1406" s="103" t="n">
        <v>0.93583923826395</v>
      </c>
      <c r="AO1406" s="112"/>
      <c r="AP1406" s="105" t="n">
        <v>0</v>
      </c>
      <c r="AQ1406" s="105" t="n">
        <v>0</v>
      </c>
      <c r="AR1406" s="105" t="n">
        <v>0</v>
      </c>
      <c r="AS1406" s="105" t="n">
        <v>0</v>
      </c>
      <c r="AT1406" s="105" t="n">
        <v>0</v>
      </c>
      <c r="AU1406" s="105" t="n">
        <v>0</v>
      </c>
      <c r="AV1406" s="105" t="n">
        <v>0</v>
      </c>
      <c r="AW1406" s="105" t="n">
        <v>0</v>
      </c>
      <c r="AX1406" s="105" t="n">
        <v>0</v>
      </c>
      <c r="AY1406" s="105" t="n">
        <v>0</v>
      </c>
      <c r="AZ1406" s="105" t="n">
        <v>0</v>
      </c>
      <c r="BA1406" s="105" t="n">
        <v>0</v>
      </c>
      <c r="BB1406" s="105" t="n">
        <v>0</v>
      </c>
      <c r="BC1406" s="105" t="n">
        <v>0</v>
      </c>
      <c r="BD1406" s="105" t="n">
        <v>0</v>
      </c>
      <c r="BE1406" s="105" t="n">
        <v>0</v>
      </c>
      <c r="BF1406" s="105" t="n">
        <v>0</v>
      </c>
      <c r="BG1406" s="105" t="n">
        <v>0</v>
      </c>
      <c r="BH1406" s="105" t="n">
        <v>0</v>
      </c>
      <c r="BI1406" s="105" t="n">
        <v>0</v>
      </c>
      <c r="BJ1406" s="105" t="n">
        <v>0</v>
      </c>
      <c r="BK1406" s="105" t="n">
        <v>0</v>
      </c>
      <c r="BL1406" s="105" t="n">
        <v>0</v>
      </c>
      <c r="BM1406" s="105" t="n">
        <v>0</v>
      </c>
      <c r="BN1406" s="105" t="n">
        <v>0</v>
      </c>
      <c r="BO1406" s="105" t="n">
        <v>0</v>
      </c>
      <c r="BP1406" s="105" t="n">
        <v>0</v>
      </c>
      <c r="BQ1406" s="105" t="n">
        <v>0</v>
      </c>
      <c r="BR1406" s="106" t="n">
        <v>0</v>
      </c>
      <c r="BS1406" s="106" t="n">
        <v>0</v>
      </c>
      <c r="BT1406" s="107"/>
      <c r="BU1406" s="107"/>
      <c r="BV1406" s="107"/>
      <c r="BW1406" s="107"/>
      <c r="BX1406" s="107"/>
      <c r="BY1406" s="107"/>
      <c r="BZ1406" s="107"/>
      <c r="CA1406" s="107"/>
      <c r="CB1406" s="107"/>
      <c r="CC1406" s="107"/>
      <c r="CD1406" s="107"/>
      <c r="CE1406" s="107"/>
      <c r="CF1406" s="107"/>
      <c r="CG1406" s="107"/>
      <c r="CH1406" s="107"/>
      <c r="CI1406" s="107"/>
      <c r="CJ1406" s="107"/>
      <c r="CK1406" s="107"/>
      <c r="CL1406" s="107"/>
      <c r="CM1406" s="107"/>
      <c r="CN1406" s="107"/>
      <c r="CO1406" s="107"/>
      <c r="CP1406" s="107"/>
      <c r="CQ1406" s="107"/>
      <c r="CR1406" s="107"/>
      <c r="CS1406" s="107"/>
      <c r="CT1406" s="107"/>
      <c r="CU1406" s="107"/>
      <c r="CV1406" s="107"/>
    </row>
    <row r="1407" customFormat="false" ht="14.9" hidden="false" customHeight="false" outlineLevel="0" collapsed="false">
      <c r="A1407" s="74" t="n">
        <f aca="false">MONTH(B1407)</f>
        <v>11</v>
      </c>
      <c r="B1407" s="135" t="n">
        <v>44525</v>
      </c>
      <c r="C1407" s="128" t="s">
        <v>70</v>
      </c>
      <c r="D1407" s="77" t="str">
        <f aca="false">IFERROR(VLOOKUP(E:E,'Item Data Support Sheet'!A:O,7,0),"")</f>
        <v>NIPPLE MOLDED</v>
      </c>
      <c r="E1407" s="80" t="s">
        <v>661</v>
      </c>
      <c r="F1407" s="122" t="s">
        <v>137</v>
      </c>
      <c r="G1407" s="137" t="s">
        <v>138</v>
      </c>
      <c r="H1407" s="79" t="str">
        <f aca="false">IFERROR(VLOOKUP(E:E,'Item Data Support Sheet'!A:O,2,0),"")</f>
        <v>NIPPLE S TYPE L SIZE INJECTION</v>
      </c>
      <c r="I1407" s="80" t="s">
        <v>2208</v>
      </c>
      <c r="J1407" s="80" t="s">
        <v>155</v>
      </c>
      <c r="K1407" s="124" t="n">
        <v>8</v>
      </c>
      <c r="L1407" s="124" t="n">
        <v>4815</v>
      </c>
      <c r="M1407" s="83" t="n">
        <v>601.875</v>
      </c>
      <c r="N1407" s="84" t="n">
        <f aca="false">+O1407+Q1407+T1407+U1407</f>
        <v>5310</v>
      </c>
      <c r="O1407" s="85" t="n">
        <v>5200</v>
      </c>
      <c r="P1407" s="86" t="n">
        <v>0</v>
      </c>
      <c r="Q1407" s="86" t="n">
        <v>40</v>
      </c>
      <c r="R1407" s="132" t="n">
        <v>0</v>
      </c>
      <c r="S1407" s="128" t="n">
        <v>0</v>
      </c>
      <c r="T1407" s="132" t="n">
        <v>70</v>
      </c>
      <c r="U1407" s="128" t="n">
        <v>0</v>
      </c>
      <c r="V1407" s="128" t="n">
        <v>1</v>
      </c>
      <c r="W1407" s="90" t="n">
        <f aca="false">IFERROR(O1407/V1407,0)</f>
        <v>5200</v>
      </c>
      <c r="X1407" s="91" t="n">
        <f aca="false">O1407/L1407</f>
        <v>1.07995846313603</v>
      </c>
      <c r="Y1407" s="92" t="str">
        <f aca="false">IFERROR(VLOOKUP(E:E,'Item Data Support Sheet'!A:J,6,0),0)</f>
        <v>Silicon</v>
      </c>
      <c r="Z1407" s="93" t="n">
        <f aca="false">IFERROR(VLOOKUP(E:E,'Item Data Support Sheet'!A:O,4,0),0)</f>
        <v>6.8</v>
      </c>
      <c r="AA1407" s="93" t="n">
        <f aca="false">IFERROR(((N1407)*(Z1407/1000))+P1407,0)</f>
        <v>36.108</v>
      </c>
      <c r="AB1407" s="94" t="n">
        <f aca="false">IFERROR((O1407*(Z1407/1000)/(AA1407))," ")</f>
        <v>0.979284369114878</v>
      </c>
      <c r="AC1407" s="95" t="n">
        <f aca="false">IFERROR((T1407)/((T1407)+O1407),0)</f>
        <v>0.0132827324478178</v>
      </c>
      <c r="AD1407" s="96" t="n">
        <f aca="false">IFERROR(Q1407/(Q1407+N1407),0)</f>
        <v>0.00747663551401869</v>
      </c>
      <c r="AE1407" s="91" t="n">
        <f aca="false">(N1407-T1407)/N1407</f>
        <v>0.986817325800377</v>
      </c>
      <c r="AF1407" s="97" t="n">
        <f aca="false">BR1407</f>
        <v>0</v>
      </c>
      <c r="AG1407" s="98" t="n">
        <f aca="false">K1407-AF1407</f>
        <v>8</v>
      </c>
      <c r="AH1407" s="99" t="n">
        <f aca="false">IFERROR(AG1407/K1407," ")</f>
        <v>1</v>
      </c>
      <c r="AI1407" s="100" t="n">
        <f aca="false">IFERROR(O1407/K1407,0)</f>
        <v>650</v>
      </c>
      <c r="AJ1407" s="101" t="n">
        <f aca="false">VLOOKUP(D1407,'Standard Cycle time'!C:D,2,0)</f>
        <v>5.25</v>
      </c>
      <c r="AK1407" s="101" t="n">
        <f aca="false">AG1407*V1407*3600/O1407</f>
        <v>5.53846153846154</v>
      </c>
      <c r="AL1407" s="102" t="n">
        <f aca="false">AJ1407/AK1407</f>
        <v>0.947916666666667</v>
      </c>
      <c r="AM1407" s="99" t="n">
        <f aca="false">AE1407*AL1407*AH1407</f>
        <v>0.935420590081607</v>
      </c>
      <c r="AN1407" s="103" t="n">
        <v>0.935420590081607</v>
      </c>
      <c r="AO1407" s="112"/>
      <c r="AP1407" s="105" t="n">
        <v>0</v>
      </c>
      <c r="AQ1407" s="105" t="n">
        <v>0</v>
      </c>
      <c r="AR1407" s="105" t="n">
        <v>0</v>
      </c>
      <c r="AS1407" s="105" t="n">
        <v>0</v>
      </c>
      <c r="AT1407" s="105" t="n">
        <v>0</v>
      </c>
      <c r="AU1407" s="105" t="n">
        <v>0</v>
      </c>
      <c r="AV1407" s="105" t="n">
        <v>0</v>
      </c>
      <c r="AW1407" s="105" t="n">
        <v>0</v>
      </c>
      <c r="AX1407" s="105" t="n">
        <v>0</v>
      </c>
      <c r="AY1407" s="105" t="n">
        <v>0</v>
      </c>
      <c r="AZ1407" s="105" t="n">
        <v>0</v>
      </c>
      <c r="BA1407" s="105" t="n">
        <v>0</v>
      </c>
      <c r="BB1407" s="105" t="n">
        <v>0</v>
      </c>
      <c r="BC1407" s="105" t="n">
        <v>0</v>
      </c>
      <c r="BD1407" s="105" t="n">
        <v>0</v>
      </c>
      <c r="BE1407" s="105" t="n">
        <v>0</v>
      </c>
      <c r="BF1407" s="105" t="n">
        <v>0</v>
      </c>
      <c r="BG1407" s="105" t="n">
        <v>0</v>
      </c>
      <c r="BH1407" s="105" t="n">
        <v>0</v>
      </c>
      <c r="BI1407" s="105" t="n">
        <v>0</v>
      </c>
      <c r="BJ1407" s="105" t="n">
        <v>0</v>
      </c>
      <c r="BK1407" s="105" t="n">
        <v>0</v>
      </c>
      <c r="BL1407" s="105" t="n">
        <v>0</v>
      </c>
      <c r="BM1407" s="105" t="n">
        <v>0</v>
      </c>
      <c r="BN1407" s="105" t="n">
        <v>0</v>
      </c>
      <c r="BO1407" s="105" t="n">
        <v>0</v>
      </c>
      <c r="BP1407" s="105" t="n">
        <v>0</v>
      </c>
      <c r="BQ1407" s="105" t="n">
        <v>0</v>
      </c>
      <c r="BR1407" s="106" t="n">
        <v>0</v>
      </c>
      <c r="BS1407" s="106" t="n">
        <v>0</v>
      </c>
      <c r="BT1407" s="107"/>
      <c r="BU1407" s="107"/>
      <c r="BV1407" s="107"/>
      <c r="BW1407" s="107"/>
      <c r="BX1407" s="107"/>
      <c r="BY1407" s="107"/>
      <c r="BZ1407" s="107"/>
      <c r="CA1407" s="107"/>
      <c r="CB1407" s="107"/>
      <c r="CC1407" s="107"/>
      <c r="CD1407" s="107"/>
      <c r="CE1407" s="107"/>
      <c r="CF1407" s="107"/>
      <c r="CG1407" s="107"/>
      <c r="CH1407" s="107"/>
      <c r="CI1407" s="107"/>
      <c r="CJ1407" s="107"/>
      <c r="CK1407" s="107"/>
      <c r="CL1407" s="107"/>
      <c r="CM1407" s="107"/>
      <c r="CN1407" s="107"/>
      <c r="CO1407" s="107"/>
      <c r="CP1407" s="107"/>
      <c r="CQ1407" s="107"/>
      <c r="CR1407" s="107"/>
      <c r="CS1407" s="107"/>
      <c r="CT1407" s="107"/>
      <c r="CU1407" s="107"/>
      <c r="CV1407" s="107"/>
    </row>
    <row r="1408" customFormat="false" ht="14.9" hidden="false" customHeight="false" outlineLevel="0" collapsed="false">
      <c r="A1408" s="74" t="n">
        <f aca="false">MONTH(B1408)</f>
        <v>11</v>
      </c>
      <c r="B1408" s="135" t="n">
        <v>44525</v>
      </c>
      <c r="C1408" s="128" t="s">
        <v>70</v>
      </c>
      <c r="D1408" s="77" t="str">
        <f aca="false">IFERROR(VLOOKUP(E:E,'Item Data Support Sheet'!A:O,7,0),"")</f>
        <v>NIPPLE MOLDED</v>
      </c>
      <c r="E1408" s="80" t="s">
        <v>492</v>
      </c>
      <c r="F1408" s="122" t="s">
        <v>1286</v>
      </c>
      <c r="G1408" s="137" t="s">
        <v>848</v>
      </c>
      <c r="H1408" s="79" t="str">
        <f aca="false">IFERROR(VLOOKUP(E:E,'Item Data Support Sheet'!A:O,2,0),"")</f>
        <v>NIPPLE S TYPE LL SIZE INJECTION</v>
      </c>
      <c r="I1408" s="80" t="s">
        <v>2208</v>
      </c>
      <c r="J1408" s="80" t="s">
        <v>155</v>
      </c>
      <c r="K1408" s="124" t="n">
        <v>8</v>
      </c>
      <c r="L1408" s="124" t="n">
        <v>3611</v>
      </c>
      <c r="M1408" s="83" t="n">
        <v>451.375</v>
      </c>
      <c r="N1408" s="84" t="n">
        <f aca="false">+O1408+Q1408+T1408+U1408</f>
        <v>2670</v>
      </c>
      <c r="O1408" s="85" t="n">
        <v>2500</v>
      </c>
      <c r="P1408" s="86" t="n">
        <v>0</v>
      </c>
      <c r="Q1408" s="86" t="n">
        <v>102</v>
      </c>
      <c r="R1408" s="132" t="n">
        <v>0</v>
      </c>
      <c r="S1408" s="128" t="n">
        <v>0</v>
      </c>
      <c r="T1408" s="132" t="n">
        <v>68</v>
      </c>
      <c r="U1408" s="128" t="n">
        <v>0</v>
      </c>
      <c r="V1408" s="128" t="n">
        <v>1</v>
      </c>
      <c r="W1408" s="90" t="n">
        <f aca="false">IFERROR(O1408/V1408,0)</f>
        <v>2500</v>
      </c>
      <c r="X1408" s="91" t="n">
        <f aca="false">O1408/L1408</f>
        <v>0.6923289947383</v>
      </c>
      <c r="Y1408" s="92" t="str">
        <f aca="false">IFERROR(VLOOKUP(E:E,'Item Data Support Sheet'!A:J,6,0),0)</f>
        <v>FO148</v>
      </c>
      <c r="Z1408" s="93" t="n">
        <f aca="false">IFERROR(VLOOKUP(E:E,'Item Data Support Sheet'!A:O,4,0),0)</f>
        <v>6.8</v>
      </c>
      <c r="AA1408" s="93" t="n">
        <f aca="false">IFERROR(((N1408)*(Z1408/1000))+P1408,0)</f>
        <v>18.156</v>
      </c>
      <c r="AB1408" s="94" t="n">
        <f aca="false">IFERROR((O1408*(Z1408/1000)/(AA1408))," ")</f>
        <v>0.936329588014981</v>
      </c>
      <c r="AC1408" s="95" t="n">
        <f aca="false">IFERROR((T1408)/((T1408)+O1408),0)</f>
        <v>0.0264797507788162</v>
      </c>
      <c r="AD1408" s="96" t="n">
        <f aca="false">IFERROR(Q1408/(Q1408+N1408),0)</f>
        <v>0.0367965367965368</v>
      </c>
      <c r="AE1408" s="91" t="n">
        <f aca="false">(N1408-T1408)/N1408</f>
        <v>0.974531835205993</v>
      </c>
      <c r="AF1408" s="97" t="n">
        <f aca="false">BR1408</f>
        <v>0</v>
      </c>
      <c r="AG1408" s="98" t="n">
        <f aca="false">K1408-AF1408</f>
        <v>8</v>
      </c>
      <c r="AH1408" s="99" t="n">
        <f aca="false">IFERROR(AG1408/K1408," ")</f>
        <v>1</v>
      </c>
      <c r="AI1408" s="100" t="n">
        <f aca="false">IFERROR(O1408/K1408,0)</f>
        <v>312.5</v>
      </c>
      <c r="AJ1408" s="101" t="n">
        <f aca="false">VLOOKUP(D1408,'Standard Cycle time'!C:D,2,0)</f>
        <v>5.25</v>
      </c>
      <c r="AK1408" s="101" t="n">
        <f aca="false">AG1408*V1408*3600/O1408</f>
        <v>11.52</v>
      </c>
      <c r="AL1408" s="102" t="n">
        <f aca="false">AJ1408/AK1408</f>
        <v>0.455729166666667</v>
      </c>
      <c r="AM1408" s="99" t="n">
        <f aca="false">AE1408*AL1408*AH1408</f>
        <v>0.444122581148564</v>
      </c>
      <c r="AN1408" s="103" t="n">
        <v>0.444122581148564</v>
      </c>
      <c r="AO1408" s="112"/>
      <c r="AP1408" s="105" t="n">
        <v>0</v>
      </c>
      <c r="AQ1408" s="105" t="n">
        <v>0</v>
      </c>
      <c r="AR1408" s="105" t="n">
        <v>0</v>
      </c>
      <c r="AS1408" s="105" t="n">
        <v>0</v>
      </c>
      <c r="AT1408" s="105" t="n">
        <v>0</v>
      </c>
      <c r="AU1408" s="105" t="n">
        <v>0</v>
      </c>
      <c r="AV1408" s="105" t="n">
        <v>0</v>
      </c>
      <c r="AW1408" s="105" t="n">
        <v>0</v>
      </c>
      <c r="AX1408" s="105" t="n">
        <v>0</v>
      </c>
      <c r="AY1408" s="105" t="n">
        <v>0</v>
      </c>
      <c r="AZ1408" s="105" t="n">
        <v>0</v>
      </c>
      <c r="BA1408" s="105" t="n">
        <v>0</v>
      </c>
      <c r="BB1408" s="105" t="n">
        <v>0</v>
      </c>
      <c r="BC1408" s="105" t="n">
        <v>0</v>
      </c>
      <c r="BD1408" s="105" t="n">
        <v>0</v>
      </c>
      <c r="BE1408" s="105" t="n">
        <v>0</v>
      </c>
      <c r="BF1408" s="105" t="n">
        <v>0</v>
      </c>
      <c r="BG1408" s="105" t="n">
        <v>0</v>
      </c>
      <c r="BH1408" s="105" t="n">
        <v>0</v>
      </c>
      <c r="BI1408" s="105" t="n">
        <v>0</v>
      </c>
      <c r="BJ1408" s="105" t="n">
        <v>0</v>
      </c>
      <c r="BK1408" s="105" t="n">
        <v>0</v>
      </c>
      <c r="BL1408" s="105" t="n">
        <v>0</v>
      </c>
      <c r="BM1408" s="105" t="n">
        <v>0</v>
      </c>
      <c r="BN1408" s="105" t="n">
        <v>0</v>
      </c>
      <c r="BO1408" s="105" t="n">
        <v>0</v>
      </c>
      <c r="BP1408" s="105" t="n">
        <v>0</v>
      </c>
      <c r="BQ1408" s="105" t="n">
        <v>0</v>
      </c>
      <c r="BR1408" s="106" t="n">
        <v>0</v>
      </c>
      <c r="BS1408" s="106" t="n">
        <v>0</v>
      </c>
      <c r="BT1408" s="107"/>
      <c r="BU1408" s="107"/>
      <c r="BV1408" s="107"/>
      <c r="BW1408" s="107"/>
      <c r="BX1408" s="107"/>
      <c r="BY1408" s="107"/>
      <c r="BZ1408" s="107"/>
      <c r="CA1408" s="107"/>
      <c r="CB1408" s="107"/>
      <c r="CC1408" s="107"/>
      <c r="CD1408" s="107"/>
      <c r="CE1408" s="107"/>
      <c r="CF1408" s="107"/>
      <c r="CG1408" s="107"/>
      <c r="CH1408" s="107"/>
      <c r="CI1408" s="107"/>
      <c r="CJ1408" s="107"/>
      <c r="CK1408" s="107"/>
      <c r="CL1408" s="107"/>
      <c r="CM1408" s="107"/>
      <c r="CN1408" s="107"/>
      <c r="CO1408" s="107"/>
      <c r="CP1408" s="107"/>
      <c r="CQ1408" s="107"/>
      <c r="CR1408" s="107"/>
      <c r="CS1408" s="107"/>
      <c r="CT1408" s="107"/>
      <c r="CU1408" s="107"/>
      <c r="CV1408" s="107"/>
    </row>
    <row r="1409" customFormat="false" ht="14.9" hidden="false" customHeight="false" outlineLevel="0" collapsed="false">
      <c r="A1409" s="74" t="n">
        <f aca="false">MONTH(B1409)</f>
        <v>11</v>
      </c>
      <c r="B1409" s="135" t="n">
        <v>44525</v>
      </c>
      <c r="C1409" s="128" t="s">
        <v>70</v>
      </c>
      <c r="D1409" s="77" t="str">
        <f aca="false">IFERROR(VLOOKUP(E:E,'Item Data Support Sheet'!A:O,7,0),"")</f>
        <v>BOTTLE MOLDED</v>
      </c>
      <c r="E1409" s="80" t="s">
        <v>235</v>
      </c>
      <c r="F1409" s="122" t="s">
        <v>589</v>
      </c>
      <c r="G1409" s="137" t="s">
        <v>74</v>
      </c>
      <c r="H1409" s="79" t="str">
        <f aca="false">IFERROR(VLOOKUP(E:E,'Item Data Support Sheet'!A:O,2,0),"")</f>
        <v>KPP 200 ML BOTTLE MOLDED</v>
      </c>
      <c r="I1409" s="80" t="s">
        <v>2209</v>
      </c>
      <c r="J1409" s="80" t="s">
        <v>155</v>
      </c>
      <c r="K1409" s="124" t="n">
        <v>8</v>
      </c>
      <c r="L1409" s="124" t="n">
        <v>2574</v>
      </c>
      <c r="M1409" s="83" t="n">
        <v>321.75</v>
      </c>
      <c r="N1409" s="84" t="n">
        <f aca="false">+O1409+Q1409+T1409+U1409</f>
        <v>2976</v>
      </c>
      <c r="O1409" s="85" t="n">
        <v>2916</v>
      </c>
      <c r="P1409" s="86" t="n">
        <v>0.4</v>
      </c>
      <c r="Q1409" s="86" t="n">
        <v>20</v>
      </c>
      <c r="R1409" s="132" t="n">
        <v>0</v>
      </c>
      <c r="S1409" s="128" t="n">
        <v>0</v>
      </c>
      <c r="T1409" s="132" t="n">
        <v>40</v>
      </c>
      <c r="U1409" s="128" t="n">
        <v>0</v>
      </c>
      <c r="V1409" s="128" t="n">
        <v>1</v>
      </c>
      <c r="W1409" s="90" t="n">
        <f aca="false">IFERROR(O1409/V1409,0)</f>
        <v>2916</v>
      </c>
      <c r="X1409" s="91" t="n">
        <f aca="false">O1409/L1409</f>
        <v>1.13286713286713</v>
      </c>
      <c r="Y1409" s="92" t="str">
        <f aca="false">IFERROR(VLOOKUP(E:E,'Item Data Support Sheet'!A:J,6,0),0)</f>
        <v>HMC</v>
      </c>
      <c r="Z1409" s="93" t="n">
        <f aca="false">IFERROR(VLOOKUP(E:E,'Item Data Support Sheet'!A:O,4,0),0)</f>
        <v>28.1</v>
      </c>
      <c r="AA1409" s="93" t="n">
        <f aca="false">IFERROR(((N1409)*(Z1409/1000))+P1409,0)</f>
        <v>84.0256</v>
      </c>
      <c r="AB1409" s="94" t="n">
        <f aca="false">IFERROR((O1409*(Z1409/1000)/(AA1409))," ")</f>
        <v>0.975174232614822</v>
      </c>
      <c r="AC1409" s="95" t="n">
        <f aca="false">IFERROR((T1409)/((T1409)+O1409),0)</f>
        <v>0.013531799729364</v>
      </c>
      <c r="AD1409" s="96" t="n">
        <f aca="false">IFERROR(Q1409/(Q1409+N1409),0)</f>
        <v>0.00667556742323098</v>
      </c>
      <c r="AE1409" s="91" t="n">
        <f aca="false">(N1409-T1409)/N1409</f>
        <v>0.986559139784946</v>
      </c>
      <c r="AF1409" s="97" t="n">
        <f aca="false">BR1409</f>
        <v>0</v>
      </c>
      <c r="AG1409" s="98" t="n">
        <f aca="false">K1409-AF1409</f>
        <v>8</v>
      </c>
      <c r="AH1409" s="99" t="n">
        <f aca="false">IFERROR(AG1409/K1409," ")</f>
        <v>1</v>
      </c>
      <c r="AI1409" s="100" t="n">
        <f aca="false">IFERROR(O1409/K1409,0)</f>
        <v>364.5</v>
      </c>
      <c r="AJ1409" s="101" t="n">
        <f aca="false">VLOOKUP(D1409,'Standard Cycle time'!C:D,2,0)</f>
        <v>9</v>
      </c>
      <c r="AK1409" s="101" t="n">
        <f aca="false">AG1409*V1409*3600/O1409</f>
        <v>9.87654320987654</v>
      </c>
      <c r="AL1409" s="102" t="n">
        <f aca="false">AJ1409/AK1409</f>
        <v>0.91125</v>
      </c>
      <c r="AM1409" s="99" t="n">
        <f aca="false">AE1409*AL1409*AH1409</f>
        <v>0.899002016129032</v>
      </c>
      <c r="AN1409" s="103" t="n">
        <v>0.899002016129032</v>
      </c>
      <c r="AO1409" s="112"/>
      <c r="AP1409" s="105" t="n">
        <v>0</v>
      </c>
      <c r="AQ1409" s="105" t="n">
        <v>0</v>
      </c>
      <c r="AR1409" s="105" t="n">
        <v>0</v>
      </c>
      <c r="AS1409" s="105" t="n">
        <v>0</v>
      </c>
      <c r="AT1409" s="105" t="n">
        <v>0</v>
      </c>
      <c r="AU1409" s="105" t="n">
        <v>0</v>
      </c>
      <c r="AV1409" s="105" t="n">
        <v>0</v>
      </c>
      <c r="AW1409" s="105" t="n">
        <v>0</v>
      </c>
      <c r="AX1409" s="105" t="n">
        <v>0</v>
      </c>
      <c r="AY1409" s="105" t="n">
        <v>0</v>
      </c>
      <c r="AZ1409" s="105" t="n">
        <v>0</v>
      </c>
      <c r="BA1409" s="105" t="n">
        <v>0</v>
      </c>
      <c r="BB1409" s="105" t="n">
        <v>0</v>
      </c>
      <c r="BC1409" s="105" t="n">
        <v>0</v>
      </c>
      <c r="BD1409" s="105" t="n">
        <v>0</v>
      </c>
      <c r="BE1409" s="105" t="n">
        <v>0</v>
      </c>
      <c r="BF1409" s="105" t="n">
        <v>0</v>
      </c>
      <c r="BG1409" s="105" t="n">
        <v>0</v>
      </c>
      <c r="BH1409" s="105" t="n">
        <v>0</v>
      </c>
      <c r="BI1409" s="105" t="n">
        <v>0</v>
      </c>
      <c r="BJ1409" s="105" t="n">
        <v>0</v>
      </c>
      <c r="BK1409" s="105" t="n">
        <v>0</v>
      </c>
      <c r="BL1409" s="105" t="n">
        <v>0</v>
      </c>
      <c r="BM1409" s="105" t="n">
        <v>0</v>
      </c>
      <c r="BN1409" s="105" t="n">
        <v>0</v>
      </c>
      <c r="BO1409" s="105" t="n">
        <v>0</v>
      </c>
      <c r="BP1409" s="105" t="n">
        <v>0</v>
      </c>
      <c r="BQ1409" s="105" t="n">
        <v>0</v>
      </c>
      <c r="BR1409" s="106" t="n">
        <v>0</v>
      </c>
      <c r="BS1409" s="106" t="n">
        <v>0</v>
      </c>
      <c r="BT1409" s="107"/>
      <c r="BU1409" s="107"/>
      <c r="BV1409" s="107"/>
      <c r="BW1409" s="107"/>
      <c r="BX1409" s="107"/>
      <c r="BY1409" s="107"/>
      <c r="BZ1409" s="107"/>
      <c r="CA1409" s="107"/>
      <c r="CB1409" s="107"/>
      <c r="CC1409" s="107"/>
      <c r="CD1409" s="107"/>
      <c r="CE1409" s="107"/>
      <c r="CF1409" s="107"/>
      <c r="CG1409" s="107"/>
      <c r="CH1409" s="107"/>
      <c r="CI1409" s="107"/>
      <c r="CJ1409" s="107"/>
      <c r="CK1409" s="107"/>
      <c r="CL1409" s="107"/>
      <c r="CM1409" s="107"/>
      <c r="CN1409" s="107"/>
      <c r="CO1409" s="107"/>
      <c r="CP1409" s="107"/>
      <c r="CQ1409" s="107"/>
      <c r="CR1409" s="107"/>
      <c r="CS1409" s="107"/>
      <c r="CT1409" s="107"/>
      <c r="CU1409" s="107"/>
      <c r="CV1409" s="107"/>
    </row>
    <row r="1410" customFormat="false" ht="14.9" hidden="false" customHeight="false" outlineLevel="0" collapsed="false">
      <c r="A1410" s="74" t="n">
        <f aca="false">MONTH(B1410)</f>
        <v>11</v>
      </c>
      <c r="B1410" s="135" t="n">
        <v>44525</v>
      </c>
      <c r="C1410" s="128" t="s">
        <v>70</v>
      </c>
      <c r="D1410" s="77" t="str">
        <f aca="false">IFERROR(VLOOKUP(E:E,'Item Data Support Sheet'!A:O,7,0),"")</f>
        <v>NIPPLE PUNCH</v>
      </c>
      <c r="E1410" s="80" t="s">
        <v>563</v>
      </c>
      <c r="F1410" s="122"/>
      <c r="G1410" s="137" t="s">
        <v>54</v>
      </c>
      <c r="H1410" s="79" t="str">
        <f aca="false">IFERROR(VLOOKUP(E:E,'Item Data Support Sheet'!A:O,2,0),"")</f>
        <v>NIPPLE S TYPE LL SIZE PUNCHED</v>
      </c>
      <c r="I1410" s="80" t="s">
        <v>2210</v>
      </c>
      <c r="J1410" s="80" t="s">
        <v>155</v>
      </c>
      <c r="K1410" s="124" t="n">
        <v>8</v>
      </c>
      <c r="L1410" s="124" t="n">
        <v>7000</v>
      </c>
      <c r="M1410" s="83" t="n">
        <v>875</v>
      </c>
      <c r="N1410" s="84" t="n">
        <f aca="false">+O1410+Q1410+T1410+U1410</f>
        <v>7000</v>
      </c>
      <c r="O1410" s="85" t="n">
        <v>7000</v>
      </c>
      <c r="P1410" s="86" t="n">
        <v>0</v>
      </c>
      <c r="Q1410" s="86" t="n">
        <v>0</v>
      </c>
      <c r="R1410" s="132" t="n">
        <v>0</v>
      </c>
      <c r="S1410" s="128" t="n">
        <v>0</v>
      </c>
      <c r="T1410" s="132" t="n">
        <v>0</v>
      </c>
      <c r="U1410" s="128" t="n">
        <v>0</v>
      </c>
      <c r="V1410" s="128" t="n">
        <v>1</v>
      </c>
      <c r="W1410" s="90" t="n">
        <f aca="false">IFERROR(O1410/V1410,0)</f>
        <v>7000</v>
      </c>
      <c r="X1410" s="91" t="n">
        <f aca="false">O1410/L1410</f>
        <v>1</v>
      </c>
      <c r="Y1410" s="92" t="str">
        <f aca="false">IFERROR(VLOOKUP(E:E,'Item Data Support Sheet'!A:J,6,0),0)</f>
        <v>FO150</v>
      </c>
      <c r="Z1410" s="93" t="n">
        <f aca="false">IFERROR(VLOOKUP(E:E,'Item Data Support Sheet'!A:O,4,0),0)</f>
        <v>0</v>
      </c>
      <c r="AA1410" s="93" t="n">
        <f aca="false">IFERROR(((N1410)*(Z1410/1000))+P1410,0)</f>
        <v>0</v>
      </c>
      <c r="AB1410" s="94" t="str">
        <f aca="false">IFERROR((O1410*(Z1410/1000)/(AA1410))," ")</f>
        <v> </v>
      </c>
      <c r="AC1410" s="95" t="n">
        <f aca="false">IFERROR((T1410)/((T1410)+O1410),0)</f>
        <v>0</v>
      </c>
      <c r="AD1410" s="96" t="n">
        <f aca="false">IFERROR(Q1410/(Q1410+N1410),0)</f>
        <v>0</v>
      </c>
      <c r="AE1410" s="91" t="n">
        <f aca="false">(N1410-T1410)/N1410</f>
        <v>1</v>
      </c>
      <c r="AF1410" s="97" t="n">
        <f aca="false">BR1410</f>
        <v>0.666666666666667</v>
      </c>
      <c r="AG1410" s="98" t="n">
        <f aca="false">K1410-AF1410</f>
        <v>7.33333333333333</v>
      </c>
      <c r="AH1410" s="99" t="n">
        <f aca="false">IFERROR(AG1410/K1410," ")</f>
        <v>0.916666666666667</v>
      </c>
      <c r="AI1410" s="100" t="n">
        <f aca="false">IFERROR(O1410/K1410,0)</f>
        <v>875</v>
      </c>
      <c r="AJ1410" s="101" t="n">
        <f aca="false">VLOOKUP(D1410,'Standard Cycle time'!C:D,2,0)</f>
        <v>3.5</v>
      </c>
      <c r="AK1410" s="101" t="n">
        <f aca="false">AG1410*V1410*3600/O1410</f>
        <v>3.77142857142857</v>
      </c>
      <c r="AL1410" s="102" t="n">
        <f aca="false">AJ1410/AK1410</f>
        <v>0.928030303030303</v>
      </c>
      <c r="AM1410" s="99" t="n">
        <f aca="false">AE1410*AL1410*AH1410</f>
        <v>0.850694444444444</v>
      </c>
      <c r="AN1410" s="103" t="n">
        <v>0.850694444444444</v>
      </c>
      <c r="AO1410" s="112"/>
      <c r="AP1410" s="105" t="n">
        <v>40</v>
      </c>
      <c r="AQ1410" s="105" t="n">
        <v>0</v>
      </c>
      <c r="AR1410" s="105" t="n">
        <v>0</v>
      </c>
      <c r="AS1410" s="105" t="n">
        <v>0</v>
      </c>
      <c r="AT1410" s="105" t="n">
        <v>0</v>
      </c>
      <c r="AU1410" s="105" t="n">
        <v>0</v>
      </c>
      <c r="AV1410" s="105" t="n">
        <v>0</v>
      </c>
      <c r="AW1410" s="105" t="n">
        <v>0</v>
      </c>
      <c r="AX1410" s="105" t="n">
        <v>0</v>
      </c>
      <c r="AY1410" s="105" t="n">
        <v>0</v>
      </c>
      <c r="AZ1410" s="105" t="n">
        <v>0</v>
      </c>
      <c r="BA1410" s="105" t="n">
        <v>0</v>
      </c>
      <c r="BB1410" s="105" t="n">
        <v>0</v>
      </c>
      <c r="BC1410" s="105" t="n">
        <v>0</v>
      </c>
      <c r="BD1410" s="105" t="n">
        <v>0</v>
      </c>
      <c r="BE1410" s="105" t="n">
        <v>0</v>
      </c>
      <c r="BF1410" s="105" t="n">
        <v>0</v>
      </c>
      <c r="BG1410" s="105" t="n">
        <v>0</v>
      </c>
      <c r="BH1410" s="105" t="n">
        <v>0</v>
      </c>
      <c r="BI1410" s="105" t="n">
        <v>0</v>
      </c>
      <c r="BJ1410" s="105" t="n">
        <v>0</v>
      </c>
      <c r="BK1410" s="105" t="n">
        <v>0</v>
      </c>
      <c r="BL1410" s="105" t="n">
        <v>0</v>
      </c>
      <c r="BM1410" s="105" t="n">
        <v>0</v>
      </c>
      <c r="BN1410" s="105" t="n">
        <v>0</v>
      </c>
      <c r="BO1410" s="105" t="n">
        <v>0</v>
      </c>
      <c r="BP1410" s="105" t="n">
        <v>0</v>
      </c>
      <c r="BQ1410" s="105" t="n">
        <v>0</v>
      </c>
      <c r="BR1410" s="106" t="n">
        <v>0.666666666666667</v>
      </c>
      <c r="BS1410" s="106" t="n">
        <v>0.666666666666667</v>
      </c>
      <c r="BT1410" s="107"/>
      <c r="BU1410" s="107"/>
      <c r="BV1410" s="107"/>
      <c r="BW1410" s="107"/>
      <c r="BX1410" s="107"/>
      <c r="BY1410" s="107"/>
      <c r="BZ1410" s="107"/>
      <c r="CA1410" s="107"/>
      <c r="CB1410" s="107"/>
      <c r="CC1410" s="107"/>
      <c r="CD1410" s="107"/>
      <c r="CE1410" s="107"/>
      <c r="CF1410" s="107"/>
      <c r="CG1410" s="107"/>
      <c r="CH1410" s="107"/>
      <c r="CI1410" s="107"/>
      <c r="CJ1410" s="107"/>
      <c r="CK1410" s="107"/>
      <c r="CL1410" s="107"/>
      <c r="CM1410" s="107"/>
      <c r="CN1410" s="107"/>
      <c r="CO1410" s="107"/>
      <c r="CP1410" s="107"/>
      <c r="CQ1410" s="107"/>
      <c r="CR1410" s="107"/>
      <c r="CS1410" s="107"/>
      <c r="CT1410" s="107"/>
      <c r="CU1410" s="107"/>
      <c r="CV1410" s="107"/>
    </row>
    <row r="1411" customFormat="false" ht="14.9" hidden="false" customHeight="false" outlineLevel="0" collapsed="false">
      <c r="A1411" s="74" t="n">
        <f aca="false">MONTH(B1411)</f>
        <v>11</v>
      </c>
      <c r="B1411" s="135" t="n">
        <v>44525</v>
      </c>
      <c r="C1411" s="128" t="s">
        <v>70</v>
      </c>
      <c r="D1411" s="77" t="str">
        <f aca="false">IFERROR(VLOOKUP(E:E,'Item Data Support Sheet'!A:O,7,0),"")</f>
        <v>NIPPLE LASER MARKING</v>
      </c>
      <c r="E1411" s="80" t="s">
        <v>600</v>
      </c>
      <c r="F1411" s="122"/>
      <c r="G1411" s="137" t="s">
        <v>517</v>
      </c>
      <c r="H1411" s="79" t="str">
        <f aca="false">IFERROR(VLOOKUP(E:E,'Item Data Support Sheet'!A:O,2,0),"")</f>
        <v>NIPPLE S TYPE LL SIZE LASER MARKED</v>
      </c>
      <c r="I1411" s="80" t="s">
        <v>2201</v>
      </c>
      <c r="J1411" s="80" t="s">
        <v>155</v>
      </c>
      <c r="K1411" s="124" t="n">
        <v>8</v>
      </c>
      <c r="L1411" s="124" t="n">
        <v>7000</v>
      </c>
      <c r="M1411" s="83" t="n">
        <v>875</v>
      </c>
      <c r="N1411" s="84" t="n">
        <f aca="false">+O1411+Q1411+T1411+U1411</f>
        <v>7000</v>
      </c>
      <c r="O1411" s="85" t="n">
        <v>7000</v>
      </c>
      <c r="P1411" s="86" t="n">
        <v>0</v>
      </c>
      <c r="Q1411" s="86" t="n">
        <v>0</v>
      </c>
      <c r="R1411" s="132" t="n">
        <v>0</v>
      </c>
      <c r="S1411" s="128" t="n">
        <v>0</v>
      </c>
      <c r="T1411" s="132" t="n">
        <v>0</v>
      </c>
      <c r="U1411" s="128" t="n">
        <v>0</v>
      </c>
      <c r="V1411" s="128" t="n">
        <v>1</v>
      </c>
      <c r="W1411" s="90" t="n">
        <f aca="false">IFERROR(O1411/V1411,0)</f>
        <v>7000</v>
      </c>
      <c r="X1411" s="91" t="n">
        <f aca="false">O1411/L1411</f>
        <v>1</v>
      </c>
      <c r="Y1411" s="92" t="str">
        <f aca="false">IFERROR(VLOOKUP(E:E,'Item Data Support Sheet'!A:J,6,0),0)</f>
        <v>FO151</v>
      </c>
      <c r="Z1411" s="93" t="n">
        <f aca="false">IFERROR(VLOOKUP(E:E,'Item Data Support Sheet'!A:O,4,0),0)</f>
        <v>0</v>
      </c>
      <c r="AA1411" s="93" t="n">
        <f aca="false">IFERROR(((N1411)*(Z1411/1000))+P1411,0)</f>
        <v>0</v>
      </c>
      <c r="AB1411" s="94" t="str">
        <f aca="false">IFERROR((O1411*(Z1411/1000)/(AA1411))," ")</f>
        <v> </v>
      </c>
      <c r="AC1411" s="95" t="n">
        <f aca="false">IFERROR((T1411)/((T1411)+O1411),0)</f>
        <v>0</v>
      </c>
      <c r="AD1411" s="96" t="n">
        <f aca="false">IFERROR(Q1411/(Q1411+N1411),0)</f>
        <v>0</v>
      </c>
      <c r="AE1411" s="91" t="n">
        <f aca="false">(N1411-T1411)/N1411</f>
        <v>1</v>
      </c>
      <c r="AF1411" s="97" t="n">
        <f aca="false">BR1411</f>
        <v>0.666666666666667</v>
      </c>
      <c r="AG1411" s="98" t="n">
        <f aca="false">K1411-AF1411</f>
        <v>7.33333333333333</v>
      </c>
      <c r="AH1411" s="99" t="n">
        <f aca="false">IFERROR(AG1411/K1411," ")</f>
        <v>0.916666666666667</v>
      </c>
      <c r="AI1411" s="100" t="n">
        <f aca="false">IFERROR(O1411/K1411,0)</f>
        <v>875</v>
      </c>
      <c r="AJ1411" s="101" t="n">
        <f aca="false">VLOOKUP(D1411,'Standard Cycle time'!C:D,2,0)</f>
        <v>3.5</v>
      </c>
      <c r="AK1411" s="101" t="n">
        <f aca="false">AG1411*V1411*3600/O1411</f>
        <v>3.77142857142857</v>
      </c>
      <c r="AL1411" s="102" t="n">
        <f aca="false">AJ1411/AK1411</f>
        <v>0.928030303030303</v>
      </c>
      <c r="AM1411" s="99" t="n">
        <f aca="false">AE1411*AL1411*AH1411</f>
        <v>0.850694444444444</v>
      </c>
      <c r="AN1411" s="103" t="n">
        <v>0.850694444444444</v>
      </c>
      <c r="AO1411" s="112"/>
      <c r="AP1411" s="105" t="n">
        <v>40</v>
      </c>
      <c r="AQ1411" s="105" t="n">
        <v>0</v>
      </c>
      <c r="AR1411" s="105" t="n">
        <v>0</v>
      </c>
      <c r="AS1411" s="105" t="n">
        <v>0</v>
      </c>
      <c r="AT1411" s="105" t="n">
        <v>0</v>
      </c>
      <c r="AU1411" s="105" t="n">
        <v>0</v>
      </c>
      <c r="AV1411" s="105" t="n">
        <v>0</v>
      </c>
      <c r="AW1411" s="105" t="n">
        <v>0</v>
      </c>
      <c r="AX1411" s="105" t="n">
        <v>0</v>
      </c>
      <c r="AY1411" s="105" t="n">
        <v>0</v>
      </c>
      <c r="AZ1411" s="105" t="n">
        <v>0</v>
      </c>
      <c r="BA1411" s="105" t="n">
        <v>0</v>
      </c>
      <c r="BB1411" s="105" t="n">
        <v>0</v>
      </c>
      <c r="BC1411" s="105" t="n">
        <v>0</v>
      </c>
      <c r="BD1411" s="105" t="n">
        <v>0</v>
      </c>
      <c r="BE1411" s="105" t="n">
        <v>0</v>
      </c>
      <c r="BF1411" s="105" t="n">
        <v>0</v>
      </c>
      <c r="BG1411" s="105" t="n">
        <v>0</v>
      </c>
      <c r="BH1411" s="105" t="n">
        <v>0</v>
      </c>
      <c r="BI1411" s="105" t="n">
        <v>0</v>
      </c>
      <c r="BJ1411" s="105" t="n">
        <v>0</v>
      </c>
      <c r="BK1411" s="105" t="n">
        <v>0</v>
      </c>
      <c r="BL1411" s="105" t="n">
        <v>0</v>
      </c>
      <c r="BM1411" s="105" t="n">
        <v>0</v>
      </c>
      <c r="BN1411" s="105" t="n">
        <v>0</v>
      </c>
      <c r="BO1411" s="105" t="n">
        <v>0</v>
      </c>
      <c r="BP1411" s="105" t="n">
        <v>0</v>
      </c>
      <c r="BQ1411" s="105" t="n">
        <v>0</v>
      </c>
      <c r="BR1411" s="106" t="n">
        <v>0.666666666666667</v>
      </c>
      <c r="BS1411" s="106" t="n">
        <v>0.666666666666667</v>
      </c>
      <c r="BT1411" s="107"/>
      <c r="BU1411" s="107"/>
      <c r="BV1411" s="107"/>
      <c r="BW1411" s="107"/>
      <c r="BX1411" s="107"/>
      <c r="BY1411" s="107"/>
      <c r="BZ1411" s="107"/>
      <c r="CA1411" s="107"/>
      <c r="CB1411" s="107"/>
      <c r="CC1411" s="107"/>
      <c r="CD1411" s="107"/>
      <c r="CE1411" s="107"/>
      <c r="CF1411" s="107"/>
      <c r="CG1411" s="107"/>
      <c r="CH1411" s="107"/>
      <c r="CI1411" s="107"/>
      <c r="CJ1411" s="107"/>
      <c r="CK1411" s="107"/>
      <c r="CL1411" s="107"/>
      <c r="CM1411" s="107"/>
      <c r="CN1411" s="107"/>
      <c r="CO1411" s="107"/>
      <c r="CP1411" s="107"/>
      <c r="CQ1411" s="107"/>
      <c r="CR1411" s="107"/>
      <c r="CS1411" s="107"/>
      <c r="CT1411" s="107"/>
      <c r="CU1411" s="107"/>
      <c r="CV1411" s="107"/>
    </row>
    <row r="1412" customFormat="false" ht="14.9" hidden="false" customHeight="false" outlineLevel="0" collapsed="false">
      <c r="A1412" s="74" t="n">
        <f aca="false">MONTH(B1412)</f>
        <v>11</v>
      </c>
      <c r="B1412" s="135" t="n">
        <v>44525</v>
      </c>
      <c r="C1412" s="128" t="s">
        <v>152</v>
      </c>
      <c r="D1412" s="77" t="str">
        <f aca="false">IFERROR(VLOOKUP(E:E,'Item Data Support Sheet'!A:O,7,0),"")</f>
        <v>CAP MOLDED</v>
      </c>
      <c r="E1412" s="80" t="s">
        <v>199</v>
      </c>
      <c r="F1412" s="122" t="s">
        <v>2161</v>
      </c>
      <c r="G1412" s="137" t="s">
        <v>740</v>
      </c>
      <c r="H1412" s="79" t="str">
        <f aca="false">IFERROR(VLOOKUP(E:E,'Item Data Support Sheet'!A:O,2,0),"")</f>
        <v>CAP S TYPE MOLDED RED</v>
      </c>
      <c r="I1412" s="80" t="s">
        <v>2211</v>
      </c>
      <c r="J1412" s="80" t="s">
        <v>143</v>
      </c>
      <c r="K1412" s="124" t="n">
        <v>2</v>
      </c>
      <c r="L1412" s="124" t="n">
        <v>1034</v>
      </c>
      <c r="M1412" s="83" t="n">
        <v>517</v>
      </c>
      <c r="N1412" s="84" t="n">
        <f aca="false">+O1412+Q1412+T1412+U1412</f>
        <v>1400</v>
      </c>
      <c r="O1412" s="85" t="n">
        <v>1390</v>
      </c>
      <c r="P1412" s="86" t="n">
        <v>0.7</v>
      </c>
      <c r="Q1412" s="86" t="n">
        <v>0</v>
      </c>
      <c r="R1412" s="132" t="n">
        <v>0</v>
      </c>
      <c r="S1412" s="128" t="n">
        <v>0</v>
      </c>
      <c r="T1412" s="132" t="n">
        <v>2</v>
      </c>
      <c r="U1412" s="128" t="n">
        <v>8</v>
      </c>
      <c r="V1412" s="128" t="n">
        <v>1</v>
      </c>
      <c r="W1412" s="90" t="n">
        <f aca="false">IFERROR(O1412/V1412,0)</f>
        <v>1390</v>
      </c>
      <c r="X1412" s="91" t="n">
        <f aca="false">O1412/L1412</f>
        <v>1.34429400386847</v>
      </c>
      <c r="Y1412" s="92" t="str">
        <f aca="false">IFERROR(VLOOKUP(E:E,'Item Data Support Sheet'!A:J,6,0),0)</f>
        <v>FO153</v>
      </c>
      <c r="Z1412" s="93" t="n">
        <f aca="false">IFERROR(VLOOKUP(E:E,'Item Data Support Sheet'!A:O,4,0),0)</f>
        <v>7.3</v>
      </c>
      <c r="AA1412" s="93" t="n">
        <f aca="false">IFERROR(((N1412)*(Z1412/1000))+P1412,0)</f>
        <v>10.92</v>
      </c>
      <c r="AB1412" s="94" t="n">
        <f aca="false">IFERROR((O1412*(Z1412/1000)/(AA1412))," ")</f>
        <v>0.929212454212454</v>
      </c>
      <c r="AC1412" s="95" t="n">
        <f aca="false">IFERROR((T1412)/((T1412)+O1412),0)</f>
        <v>0.0014367816091954</v>
      </c>
      <c r="AD1412" s="96" t="n">
        <f aca="false">IFERROR(Q1412/(Q1412+N1412),0)</f>
        <v>0</v>
      </c>
      <c r="AE1412" s="91" t="n">
        <f aca="false">(N1412-T1412)/N1412</f>
        <v>0.998571428571429</v>
      </c>
      <c r="AF1412" s="97" t="n">
        <f aca="false">BR1412</f>
        <v>0</v>
      </c>
      <c r="AG1412" s="98" t="n">
        <f aca="false">K1412-AF1412</f>
        <v>2</v>
      </c>
      <c r="AH1412" s="99" t="n">
        <f aca="false">IFERROR(AG1412/K1412," ")</f>
        <v>1</v>
      </c>
      <c r="AI1412" s="100" t="n">
        <f aca="false">IFERROR(O1412/K1412,0)</f>
        <v>695</v>
      </c>
      <c r="AJ1412" s="101" t="n">
        <f aca="false">VLOOKUP(D1412,'Standard Cycle time'!C:D,2,0)</f>
        <v>6</v>
      </c>
      <c r="AK1412" s="101" t="n">
        <f aca="false">AG1412*V1412*3600/O1412</f>
        <v>5.17985611510791</v>
      </c>
      <c r="AL1412" s="102" t="n">
        <f aca="false">AJ1412/AK1412</f>
        <v>1.15833333333333</v>
      </c>
      <c r="AM1412" s="99" t="n">
        <f aca="false">AE1412*AL1412*AH1412</f>
        <v>1.15667857142857</v>
      </c>
      <c r="AN1412" s="103" t="n">
        <v>1.15667857142857</v>
      </c>
      <c r="AO1412" s="112" t="s">
        <v>2212</v>
      </c>
      <c r="AP1412" s="105" t="n">
        <v>0</v>
      </c>
      <c r="AQ1412" s="105" t="n">
        <v>0</v>
      </c>
      <c r="AR1412" s="105" t="n">
        <v>0</v>
      </c>
      <c r="AS1412" s="105" t="n">
        <v>0</v>
      </c>
      <c r="AT1412" s="105" t="n">
        <v>0</v>
      </c>
      <c r="AU1412" s="105" t="n">
        <v>0</v>
      </c>
      <c r="AV1412" s="105" t="n">
        <v>0</v>
      </c>
      <c r="AW1412" s="105" t="n">
        <v>0</v>
      </c>
      <c r="AX1412" s="105" t="n">
        <v>0</v>
      </c>
      <c r="AY1412" s="105" t="n">
        <v>0</v>
      </c>
      <c r="AZ1412" s="105" t="n">
        <v>0</v>
      </c>
      <c r="BA1412" s="105" t="n">
        <v>0</v>
      </c>
      <c r="BB1412" s="105" t="n">
        <v>0</v>
      </c>
      <c r="BC1412" s="105" t="n">
        <v>0</v>
      </c>
      <c r="BD1412" s="105" t="n">
        <v>0</v>
      </c>
      <c r="BE1412" s="105" t="n">
        <v>0</v>
      </c>
      <c r="BF1412" s="105" t="n">
        <v>0</v>
      </c>
      <c r="BG1412" s="105" t="n">
        <v>0</v>
      </c>
      <c r="BH1412" s="105" t="n">
        <v>0</v>
      </c>
      <c r="BI1412" s="105" t="n">
        <v>0</v>
      </c>
      <c r="BJ1412" s="105" t="n">
        <v>0</v>
      </c>
      <c r="BK1412" s="105" t="n">
        <v>0</v>
      </c>
      <c r="BL1412" s="105" t="n">
        <v>0</v>
      </c>
      <c r="BM1412" s="105" t="n">
        <v>0</v>
      </c>
      <c r="BN1412" s="105" t="n">
        <v>0</v>
      </c>
      <c r="BO1412" s="105" t="n">
        <v>0</v>
      </c>
      <c r="BP1412" s="105" t="n">
        <v>0</v>
      </c>
      <c r="BQ1412" s="105" t="n">
        <v>0</v>
      </c>
      <c r="BR1412" s="106" t="n">
        <v>0</v>
      </c>
      <c r="BS1412" s="106" t="n">
        <v>0</v>
      </c>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c r="CO1412" s="107"/>
      <c r="CP1412" s="107"/>
      <c r="CQ1412" s="107"/>
      <c r="CR1412" s="107"/>
      <c r="CS1412" s="107"/>
      <c r="CT1412" s="107"/>
      <c r="CU1412" s="107"/>
      <c r="CV1412" s="107"/>
    </row>
    <row r="1413" customFormat="false" ht="14.9" hidden="false" customHeight="false" outlineLevel="0" collapsed="false">
      <c r="A1413" s="74" t="n">
        <f aca="false">MONTH(B1413)</f>
        <v>11</v>
      </c>
      <c r="B1413" s="135" t="n">
        <v>44525</v>
      </c>
      <c r="C1413" s="128" t="s">
        <v>152</v>
      </c>
      <c r="D1413" s="77" t="str">
        <f aca="false">IFERROR(VLOOKUP(E:E,'Item Data Support Sheet'!A:O,7,0),"")</f>
        <v>CAP MOLDED</v>
      </c>
      <c r="E1413" s="80" t="s">
        <v>261</v>
      </c>
      <c r="F1413" s="122" t="s">
        <v>2213</v>
      </c>
      <c r="G1413" s="137" t="s">
        <v>740</v>
      </c>
      <c r="H1413" s="79" t="str">
        <f aca="false">IFERROR(VLOOKUP(E:E,'Item Data Support Sheet'!A:O,2,0),"")</f>
        <v>CAP S TYPE MOLDED PINK</v>
      </c>
      <c r="I1413" s="80" t="s">
        <v>2214</v>
      </c>
      <c r="J1413" s="80" t="s">
        <v>143</v>
      </c>
      <c r="K1413" s="124" t="n">
        <v>6</v>
      </c>
      <c r="L1413" s="124" t="n">
        <v>3103</v>
      </c>
      <c r="M1413" s="83" t="n">
        <v>517.166666666667</v>
      </c>
      <c r="N1413" s="84" t="n">
        <f aca="false">+O1413+Q1413+T1413+U1413</f>
        <v>3616</v>
      </c>
      <c r="O1413" s="85" t="n">
        <v>3600</v>
      </c>
      <c r="P1413" s="86" t="n">
        <v>0</v>
      </c>
      <c r="Q1413" s="86" t="n">
        <v>0</v>
      </c>
      <c r="R1413" s="132" t="n">
        <v>0</v>
      </c>
      <c r="S1413" s="128" t="n">
        <v>0</v>
      </c>
      <c r="T1413" s="132" t="n">
        <v>8</v>
      </c>
      <c r="U1413" s="128" t="n">
        <v>8</v>
      </c>
      <c r="V1413" s="128" t="n">
        <v>1</v>
      </c>
      <c r="W1413" s="90" t="n">
        <f aca="false">IFERROR(O1413/V1413,0)</f>
        <v>3600</v>
      </c>
      <c r="X1413" s="91" t="n">
        <f aca="false">O1413/L1413</f>
        <v>1.16016757976152</v>
      </c>
      <c r="Y1413" s="92" t="str">
        <f aca="false">IFERROR(VLOOKUP(E:E,'Item Data Support Sheet'!A:J,6,0),0)</f>
        <v>RM000123</v>
      </c>
      <c r="Z1413" s="93" t="n">
        <f aca="false">IFERROR(VLOOKUP(E:E,'Item Data Support Sheet'!A:O,4,0),0)</f>
        <v>7.3</v>
      </c>
      <c r="AA1413" s="93" t="n">
        <f aca="false">IFERROR(((N1413)*(Z1413/1000))+P1413,0)</f>
        <v>26.3968</v>
      </c>
      <c r="AB1413" s="94" t="n">
        <f aca="false">IFERROR((O1413*(Z1413/1000)/(AA1413))," ")</f>
        <v>0.995575221238938</v>
      </c>
      <c r="AC1413" s="95" t="n">
        <f aca="false">IFERROR((T1413)/((T1413)+O1413),0)</f>
        <v>0.00221729490022173</v>
      </c>
      <c r="AD1413" s="96" t="n">
        <f aca="false">IFERROR(Q1413/(Q1413+N1413),0)</f>
        <v>0</v>
      </c>
      <c r="AE1413" s="91" t="n">
        <f aca="false">(N1413-T1413)/N1413</f>
        <v>0.997787610619469</v>
      </c>
      <c r="AF1413" s="97" t="n">
        <f aca="false">BR1413</f>
        <v>0.916666666666667</v>
      </c>
      <c r="AG1413" s="98" t="n">
        <f aca="false">K1413-AF1413</f>
        <v>5.08333333333333</v>
      </c>
      <c r="AH1413" s="99" t="n">
        <f aca="false">IFERROR(AG1413/K1413," ")</f>
        <v>0.847222222222222</v>
      </c>
      <c r="AI1413" s="100" t="n">
        <f aca="false">IFERROR(O1413/K1413,0)</f>
        <v>600</v>
      </c>
      <c r="AJ1413" s="101" t="n">
        <f aca="false">VLOOKUP(D1413,'Standard Cycle time'!C:D,2,0)</f>
        <v>6</v>
      </c>
      <c r="AK1413" s="101" t="n">
        <f aca="false">AG1413*V1413*3600/O1413</f>
        <v>5.08333333333333</v>
      </c>
      <c r="AL1413" s="102" t="n">
        <f aca="false">AJ1413/AK1413</f>
        <v>1.18032786885246</v>
      </c>
      <c r="AM1413" s="99" t="n">
        <f aca="false">AE1413*AL1413*AH1413</f>
        <v>0.997787610619469</v>
      </c>
      <c r="AN1413" s="103" t="n">
        <v>0.997787610619469</v>
      </c>
      <c r="AO1413" s="112"/>
      <c r="AP1413" s="105" t="n">
        <v>0</v>
      </c>
      <c r="AQ1413" s="105" t="n">
        <v>40</v>
      </c>
      <c r="AR1413" s="105" t="n">
        <v>0</v>
      </c>
      <c r="AS1413" s="105" t="n">
        <v>0</v>
      </c>
      <c r="AT1413" s="105" t="n">
        <v>0</v>
      </c>
      <c r="AU1413" s="105" t="n">
        <v>0</v>
      </c>
      <c r="AV1413" s="105" t="n">
        <v>0</v>
      </c>
      <c r="AW1413" s="105" t="n">
        <v>0</v>
      </c>
      <c r="AX1413" s="105" t="n">
        <v>0</v>
      </c>
      <c r="AY1413" s="105" t="n">
        <v>0</v>
      </c>
      <c r="AZ1413" s="105" t="n">
        <v>15</v>
      </c>
      <c r="BA1413" s="105" t="n">
        <v>0</v>
      </c>
      <c r="BB1413" s="105" t="n">
        <v>0</v>
      </c>
      <c r="BC1413" s="105" t="n">
        <v>0</v>
      </c>
      <c r="BD1413" s="105" t="n">
        <v>0</v>
      </c>
      <c r="BE1413" s="105" t="n">
        <v>0</v>
      </c>
      <c r="BF1413" s="105" t="n">
        <v>0</v>
      </c>
      <c r="BG1413" s="105" t="n">
        <v>0</v>
      </c>
      <c r="BH1413" s="105" t="n">
        <v>0</v>
      </c>
      <c r="BI1413" s="105" t="n">
        <v>0</v>
      </c>
      <c r="BJ1413" s="105" t="n">
        <v>0</v>
      </c>
      <c r="BK1413" s="105" t="n">
        <v>0</v>
      </c>
      <c r="BL1413" s="105" t="n">
        <v>0</v>
      </c>
      <c r="BM1413" s="105" t="n">
        <v>0</v>
      </c>
      <c r="BN1413" s="105" t="n">
        <v>0</v>
      </c>
      <c r="BO1413" s="105" t="n">
        <v>0</v>
      </c>
      <c r="BP1413" s="105" t="n">
        <v>0</v>
      </c>
      <c r="BQ1413" s="105" t="n">
        <v>0</v>
      </c>
      <c r="BR1413" s="106" t="n">
        <v>0.916666666666667</v>
      </c>
      <c r="BS1413" s="106" t="n">
        <v>0.916666666666667</v>
      </c>
      <c r="BT1413" s="107"/>
      <c r="BU1413" s="107"/>
      <c r="BV1413" s="107"/>
      <c r="BW1413" s="107"/>
      <c r="BX1413" s="107"/>
      <c r="BY1413" s="107"/>
      <c r="BZ1413" s="107"/>
      <c r="CA1413" s="107"/>
      <c r="CB1413" s="107"/>
      <c r="CC1413" s="107"/>
      <c r="CD1413" s="107"/>
      <c r="CE1413" s="107"/>
      <c r="CF1413" s="107"/>
      <c r="CG1413" s="107"/>
      <c r="CH1413" s="107"/>
      <c r="CI1413" s="107"/>
      <c r="CJ1413" s="107"/>
      <c r="CK1413" s="107"/>
      <c r="CL1413" s="107"/>
      <c r="CM1413" s="107"/>
      <c r="CN1413" s="107"/>
      <c r="CO1413" s="107"/>
      <c r="CP1413" s="107"/>
      <c r="CQ1413" s="107"/>
      <c r="CR1413" s="107"/>
      <c r="CS1413" s="107"/>
      <c r="CT1413" s="107"/>
      <c r="CU1413" s="107"/>
      <c r="CV1413" s="107"/>
    </row>
    <row r="1414" customFormat="false" ht="14.9" hidden="false" customHeight="false" outlineLevel="0" collapsed="false">
      <c r="A1414" s="74" t="n">
        <f aca="false">MONTH(B1414)</f>
        <v>11</v>
      </c>
      <c r="B1414" s="135" t="n">
        <v>44525</v>
      </c>
      <c r="C1414" s="128" t="s">
        <v>152</v>
      </c>
      <c r="D1414" s="77" t="str">
        <f aca="false">IFERROR(VLOOKUP(E:E,'Item Data Support Sheet'!A:O,7,0),"")</f>
        <v>NIPPLE MOLDED</v>
      </c>
      <c r="E1414" s="80" t="s">
        <v>492</v>
      </c>
      <c r="F1414" s="122" t="s">
        <v>1286</v>
      </c>
      <c r="G1414" s="137" t="s">
        <v>848</v>
      </c>
      <c r="H1414" s="79" t="str">
        <f aca="false">IFERROR(VLOOKUP(E:E,'Item Data Support Sheet'!A:O,2,0),"")</f>
        <v>NIPPLE S TYPE LL SIZE INJECTION</v>
      </c>
      <c r="I1414" s="80" t="s">
        <v>2215</v>
      </c>
      <c r="J1414" s="80" t="s">
        <v>143</v>
      </c>
      <c r="K1414" s="124" t="n">
        <v>8</v>
      </c>
      <c r="L1414" s="124" t="n">
        <v>3611</v>
      </c>
      <c r="M1414" s="83" t="n">
        <v>451.375</v>
      </c>
      <c r="N1414" s="84" t="n">
        <f aca="false">+O1414+Q1414+T1414+U1414</f>
        <v>4001</v>
      </c>
      <c r="O1414" s="85" t="n">
        <v>3900</v>
      </c>
      <c r="P1414" s="86" t="n">
        <v>0</v>
      </c>
      <c r="Q1414" s="86" t="n">
        <v>40</v>
      </c>
      <c r="R1414" s="132" t="n">
        <v>0</v>
      </c>
      <c r="S1414" s="128" t="n">
        <v>0</v>
      </c>
      <c r="T1414" s="132" t="n">
        <v>55</v>
      </c>
      <c r="U1414" s="128" t="n">
        <v>6</v>
      </c>
      <c r="V1414" s="128" t="n">
        <v>1</v>
      </c>
      <c r="W1414" s="90" t="n">
        <f aca="false">IFERROR(O1414/V1414,0)</f>
        <v>3900</v>
      </c>
      <c r="X1414" s="91" t="n">
        <f aca="false">O1414/L1414</f>
        <v>1.08003323179175</v>
      </c>
      <c r="Y1414" s="92" t="str">
        <f aca="false">IFERROR(VLOOKUP(E:E,'Item Data Support Sheet'!A:J,6,0),0)</f>
        <v>FO148</v>
      </c>
      <c r="Z1414" s="93" t="n">
        <f aca="false">IFERROR(VLOOKUP(E:E,'Item Data Support Sheet'!A:O,4,0),0)</f>
        <v>6.8</v>
      </c>
      <c r="AA1414" s="93" t="n">
        <f aca="false">IFERROR(((N1414)*(Z1414/1000))+P1414,0)</f>
        <v>27.2068</v>
      </c>
      <c r="AB1414" s="94" t="n">
        <f aca="false">IFERROR((O1414*(Z1414/1000)/(AA1414))," ")</f>
        <v>0.974756310922269</v>
      </c>
      <c r="AC1414" s="95" t="n">
        <f aca="false">IFERROR((T1414)/((T1414)+O1414),0)</f>
        <v>0.0139064475347661</v>
      </c>
      <c r="AD1414" s="96" t="n">
        <f aca="false">IFERROR(Q1414/(Q1414+N1414),0)</f>
        <v>0.00989853996535511</v>
      </c>
      <c r="AE1414" s="91" t="n">
        <f aca="false">(N1414-T1414)/N1414</f>
        <v>0.98625343664084</v>
      </c>
      <c r="AF1414" s="97" t="n">
        <f aca="false">BR1414</f>
        <v>0</v>
      </c>
      <c r="AG1414" s="98" t="n">
        <f aca="false">K1414-AF1414</f>
        <v>8</v>
      </c>
      <c r="AH1414" s="99" t="n">
        <f aca="false">IFERROR(AG1414/K1414," ")</f>
        <v>1</v>
      </c>
      <c r="AI1414" s="100" t="n">
        <f aca="false">IFERROR(O1414/K1414,0)</f>
        <v>487.5</v>
      </c>
      <c r="AJ1414" s="101" t="n">
        <f aca="false">VLOOKUP(D1414,'Standard Cycle time'!C:D,2,0)</f>
        <v>5.25</v>
      </c>
      <c r="AK1414" s="101" t="n">
        <f aca="false">AG1414*V1414*3600/O1414</f>
        <v>7.38461538461539</v>
      </c>
      <c r="AL1414" s="102" t="n">
        <f aca="false">AJ1414/AK1414</f>
        <v>0.7109375</v>
      </c>
      <c r="AM1414" s="99" t="n">
        <f aca="false">AE1414*AL1414*AH1414</f>
        <v>0.701164552611847</v>
      </c>
      <c r="AN1414" s="103" t="n">
        <v>0.701164552611847</v>
      </c>
      <c r="AO1414" s="112"/>
      <c r="AP1414" s="105" t="n">
        <v>0</v>
      </c>
      <c r="AQ1414" s="105" t="n">
        <v>0</v>
      </c>
      <c r="AR1414" s="105" t="n">
        <v>0</v>
      </c>
      <c r="AS1414" s="105" t="n">
        <v>0</v>
      </c>
      <c r="AT1414" s="105" t="n">
        <v>0</v>
      </c>
      <c r="AU1414" s="105" t="n">
        <v>0</v>
      </c>
      <c r="AV1414" s="105" t="n">
        <v>0</v>
      </c>
      <c r="AW1414" s="105" t="n">
        <v>0</v>
      </c>
      <c r="AX1414" s="105" t="n">
        <v>0</v>
      </c>
      <c r="AY1414" s="105" t="n">
        <v>0</v>
      </c>
      <c r="AZ1414" s="105" t="n">
        <v>0</v>
      </c>
      <c r="BA1414" s="105" t="n">
        <v>0</v>
      </c>
      <c r="BB1414" s="105" t="n">
        <v>0</v>
      </c>
      <c r="BC1414" s="105" t="n">
        <v>0</v>
      </c>
      <c r="BD1414" s="105" t="n">
        <v>0</v>
      </c>
      <c r="BE1414" s="105" t="n">
        <v>0</v>
      </c>
      <c r="BF1414" s="105" t="n">
        <v>0</v>
      </c>
      <c r="BG1414" s="105" t="n">
        <v>0</v>
      </c>
      <c r="BH1414" s="105" t="n">
        <v>0</v>
      </c>
      <c r="BI1414" s="105" t="n">
        <v>0</v>
      </c>
      <c r="BJ1414" s="105" t="n">
        <v>0</v>
      </c>
      <c r="BK1414" s="105" t="n">
        <v>0</v>
      </c>
      <c r="BL1414" s="105" t="n">
        <v>0</v>
      </c>
      <c r="BM1414" s="105" t="n">
        <v>0</v>
      </c>
      <c r="BN1414" s="105" t="n">
        <v>0</v>
      </c>
      <c r="BO1414" s="105" t="n">
        <v>0</v>
      </c>
      <c r="BP1414" s="105" t="n">
        <v>0</v>
      </c>
      <c r="BQ1414" s="105" t="n">
        <v>0</v>
      </c>
      <c r="BR1414" s="106" t="n">
        <v>0</v>
      </c>
      <c r="BS1414" s="106" t="n">
        <v>0</v>
      </c>
      <c r="BT1414" s="107"/>
      <c r="BU1414" s="107"/>
      <c r="BV1414" s="107"/>
      <c r="BW1414" s="107"/>
      <c r="BX1414" s="107"/>
      <c r="BY1414" s="107"/>
      <c r="BZ1414" s="107"/>
      <c r="CA1414" s="107"/>
      <c r="CB1414" s="107"/>
      <c r="CC1414" s="107"/>
      <c r="CD1414" s="107"/>
      <c r="CE1414" s="107"/>
      <c r="CF1414" s="107"/>
      <c r="CG1414" s="107"/>
      <c r="CH1414" s="107"/>
      <c r="CI1414" s="107"/>
      <c r="CJ1414" s="107"/>
      <c r="CK1414" s="107"/>
      <c r="CL1414" s="107"/>
      <c r="CM1414" s="107"/>
      <c r="CN1414" s="107"/>
      <c r="CO1414" s="107"/>
      <c r="CP1414" s="107"/>
      <c r="CQ1414" s="107"/>
      <c r="CR1414" s="107"/>
      <c r="CS1414" s="107"/>
      <c r="CT1414" s="107"/>
      <c r="CU1414" s="107"/>
      <c r="CV1414" s="107"/>
    </row>
    <row r="1415" customFormat="false" ht="14.9" hidden="false" customHeight="false" outlineLevel="0" collapsed="false">
      <c r="A1415" s="74" t="n">
        <f aca="false">MONTH(B1415)</f>
        <v>11</v>
      </c>
      <c r="B1415" s="135" t="n">
        <v>44525</v>
      </c>
      <c r="C1415" s="128" t="s">
        <v>152</v>
      </c>
      <c r="D1415" s="77" t="str">
        <f aca="false">IFERROR(VLOOKUP(E:E,'Item Data Support Sheet'!A:O,7,0),"")</f>
        <v>NIPPLE MOLDED</v>
      </c>
      <c r="E1415" s="80" t="s">
        <v>661</v>
      </c>
      <c r="F1415" s="122" t="s">
        <v>137</v>
      </c>
      <c r="G1415" s="137" t="s">
        <v>138</v>
      </c>
      <c r="H1415" s="79" t="str">
        <f aca="false">IFERROR(VLOOKUP(E:E,'Item Data Support Sheet'!A:O,2,0),"")</f>
        <v>NIPPLE S TYPE L SIZE INJECTION</v>
      </c>
      <c r="I1415" s="80" t="s">
        <v>2215</v>
      </c>
      <c r="J1415" s="80" t="s">
        <v>143</v>
      </c>
      <c r="K1415" s="124" t="n">
        <v>8</v>
      </c>
      <c r="L1415" s="124" t="n">
        <v>4815</v>
      </c>
      <c r="M1415" s="83" t="n">
        <v>601.875</v>
      </c>
      <c r="N1415" s="84" t="n">
        <f aca="false">+O1415+Q1415+T1415+U1415</f>
        <v>5095</v>
      </c>
      <c r="O1415" s="85" t="n">
        <v>5000</v>
      </c>
      <c r="P1415" s="86" t="n">
        <v>0</v>
      </c>
      <c r="Q1415" s="86" t="n">
        <v>35</v>
      </c>
      <c r="R1415" s="132" t="n">
        <v>0</v>
      </c>
      <c r="S1415" s="128" t="n">
        <v>0</v>
      </c>
      <c r="T1415" s="132" t="n">
        <v>52</v>
      </c>
      <c r="U1415" s="128" t="n">
        <v>8</v>
      </c>
      <c r="V1415" s="128" t="n">
        <v>1</v>
      </c>
      <c r="W1415" s="90" t="n">
        <f aca="false">IFERROR(O1415/V1415,0)</f>
        <v>5000</v>
      </c>
      <c r="X1415" s="91" t="n">
        <f aca="false">O1415/L1415</f>
        <v>1.03842159916926</v>
      </c>
      <c r="Y1415" s="92" t="str">
        <f aca="false">IFERROR(VLOOKUP(E:E,'Item Data Support Sheet'!A:J,6,0),0)</f>
        <v>Silicon</v>
      </c>
      <c r="Z1415" s="93" t="n">
        <f aca="false">IFERROR(VLOOKUP(E:E,'Item Data Support Sheet'!A:O,4,0),0)</f>
        <v>6.8</v>
      </c>
      <c r="AA1415" s="93" t="n">
        <f aca="false">IFERROR(((N1415)*(Z1415/1000))+P1415,0)</f>
        <v>34.646</v>
      </c>
      <c r="AB1415" s="94" t="n">
        <f aca="false">IFERROR((O1415*(Z1415/1000)/(AA1415))," ")</f>
        <v>0.98135426889107</v>
      </c>
      <c r="AC1415" s="95" t="n">
        <f aca="false">IFERROR((T1415)/((T1415)+O1415),0)</f>
        <v>0.0102929532858274</v>
      </c>
      <c r="AD1415" s="96" t="n">
        <f aca="false">IFERROR(Q1415/(Q1415+N1415),0)</f>
        <v>0.00682261208576998</v>
      </c>
      <c r="AE1415" s="91" t="n">
        <f aca="false">(N1415-T1415)/N1415</f>
        <v>0.989793915603533</v>
      </c>
      <c r="AF1415" s="97" t="n">
        <f aca="false">BR1415</f>
        <v>0</v>
      </c>
      <c r="AG1415" s="98" t="n">
        <f aca="false">K1415-AF1415</f>
        <v>8</v>
      </c>
      <c r="AH1415" s="99" t="n">
        <f aca="false">IFERROR(AG1415/K1415," ")</f>
        <v>1</v>
      </c>
      <c r="AI1415" s="100" t="n">
        <f aca="false">IFERROR(O1415/K1415,0)</f>
        <v>625</v>
      </c>
      <c r="AJ1415" s="101" t="n">
        <f aca="false">VLOOKUP(D1415,'Standard Cycle time'!C:D,2,0)</f>
        <v>5.25</v>
      </c>
      <c r="AK1415" s="101" t="n">
        <f aca="false">AG1415*V1415*3600/O1415</f>
        <v>5.76</v>
      </c>
      <c r="AL1415" s="102" t="n">
        <f aca="false">AJ1415/AK1415</f>
        <v>0.911458333333333</v>
      </c>
      <c r="AM1415" s="99" t="n">
        <f aca="false">AE1415*AL1415*AH1415</f>
        <v>0.90215591265947</v>
      </c>
      <c r="AN1415" s="103" t="n">
        <v>0.90215591265947</v>
      </c>
      <c r="AO1415" s="112"/>
      <c r="AP1415" s="105" t="n">
        <v>0</v>
      </c>
      <c r="AQ1415" s="105" t="n">
        <v>0</v>
      </c>
      <c r="AR1415" s="105" t="n">
        <v>0</v>
      </c>
      <c r="AS1415" s="105" t="n">
        <v>0</v>
      </c>
      <c r="AT1415" s="105" t="n">
        <v>0</v>
      </c>
      <c r="AU1415" s="105" t="n">
        <v>0</v>
      </c>
      <c r="AV1415" s="105" t="n">
        <v>0</v>
      </c>
      <c r="AW1415" s="105" t="n">
        <v>0</v>
      </c>
      <c r="AX1415" s="105" t="n">
        <v>0</v>
      </c>
      <c r="AY1415" s="105" t="n">
        <v>0</v>
      </c>
      <c r="AZ1415" s="105" t="n">
        <v>0</v>
      </c>
      <c r="BA1415" s="105" t="n">
        <v>0</v>
      </c>
      <c r="BB1415" s="105" t="n">
        <v>0</v>
      </c>
      <c r="BC1415" s="105" t="n">
        <v>0</v>
      </c>
      <c r="BD1415" s="105" t="n">
        <v>0</v>
      </c>
      <c r="BE1415" s="105" t="n">
        <v>0</v>
      </c>
      <c r="BF1415" s="105" t="n">
        <v>0</v>
      </c>
      <c r="BG1415" s="105" t="n">
        <v>0</v>
      </c>
      <c r="BH1415" s="105" t="n">
        <v>0</v>
      </c>
      <c r="BI1415" s="105" t="n">
        <v>0</v>
      </c>
      <c r="BJ1415" s="105" t="n">
        <v>0</v>
      </c>
      <c r="BK1415" s="105" t="n">
        <v>0</v>
      </c>
      <c r="BL1415" s="105" t="n">
        <v>0</v>
      </c>
      <c r="BM1415" s="105" t="n">
        <v>0</v>
      </c>
      <c r="BN1415" s="105" t="n">
        <v>0</v>
      </c>
      <c r="BO1415" s="105" t="n">
        <v>0</v>
      </c>
      <c r="BP1415" s="105" t="n">
        <v>0</v>
      </c>
      <c r="BQ1415" s="105" t="n">
        <v>0</v>
      </c>
      <c r="BR1415" s="106" t="n">
        <v>0</v>
      </c>
      <c r="BS1415" s="106" t="n">
        <v>0</v>
      </c>
      <c r="BT1415" s="107"/>
      <c r="BU1415" s="107"/>
      <c r="BV1415" s="107"/>
      <c r="BW1415" s="107"/>
      <c r="BX1415" s="107"/>
      <c r="BY1415" s="107"/>
      <c r="BZ1415" s="107"/>
      <c r="CA1415" s="107"/>
      <c r="CB1415" s="107"/>
      <c r="CC1415" s="107"/>
      <c r="CD1415" s="107"/>
      <c r="CE1415" s="107"/>
      <c r="CF1415" s="107"/>
      <c r="CG1415" s="107"/>
      <c r="CH1415" s="107"/>
      <c r="CI1415" s="107"/>
      <c r="CJ1415" s="107"/>
      <c r="CK1415" s="107"/>
      <c r="CL1415" s="107"/>
      <c r="CM1415" s="107"/>
      <c r="CN1415" s="107"/>
      <c r="CO1415" s="107"/>
      <c r="CP1415" s="107"/>
      <c r="CQ1415" s="107"/>
      <c r="CR1415" s="107"/>
      <c r="CS1415" s="107"/>
      <c r="CT1415" s="107"/>
      <c r="CU1415" s="107"/>
      <c r="CV1415" s="107"/>
    </row>
    <row r="1416" customFormat="false" ht="14.9" hidden="false" customHeight="false" outlineLevel="0" collapsed="false">
      <c r="A1416" s="74" t="n">
        <f aca="false">MONTH(B1416)</f>
        <v>11</v>
      </c>
      <c r="B1416" s="135" t="n">
        <v>44525</v>
      </c>
      <c r="C1416" s="128" t="s">
        <v>152</v>
      </c>
      <c r="D1416" s="77" t="str">
        <f aca="false">IFERROR(VLOOKUP(E:E,'Item Data Support Sheet'!A:O,7,0),"")</f>
        <v>BOTTLE MOLDED</v>
      </c>
      <c r="E1416" s="80" t="s">
        <v>235</v>
      </c>
      <c r="F1416" s="122" t="s">
        <v>589</v>
      </c>
      <c r="G1416" s="137" t="s">
        <v>74</v>
      </c>
      <c r="H1416" s="79" t="str">
        <f aca="false">IFERROR(VLOOKUP(E:E,'Item Data Support Sheet'!A:O,2,0),"")</f>
        <v>KPP 200 ML BOTTLE MOLDED</v>
      </c>
      <c r="I1416" s="80" t="s">
        <v>2216</v>
      </c>
      <c r="J1416" s="80" t="s">
        <v>143</v>
      </c>
      <c r="K1416" s="124" t="n">
        <v>8</v>
      </c>
      <c r="L1416" s="124" t="n">
        <v>2574</v>
      </c>
      <c r="M1416" s="83" t="n">
        <v>321.75</v>
      </c>
      <c r="N1416" s="84" t="n">
        <f aca="false">+O1416+Q1416+T1416+U1416</f>
        <v>3082</v>
      </c>
      <c r="O1416" s="85" t="n">
        <v>3024</v>
      </c>
      <c r="P1416" s="86" t="n">
        <v>0.7</v>
      </c>
      <c r="Q1416" s="86" t="n">
        <v>15</v>
      </c>
      <c r="R1416" s="132" t="n">
        <v>0</v>
      </c>
      <c r="S1416" s="128" t="n">
        <v>0</v>
      </c>
      <c r="T1416" s="132" t="n">
        <v>35</v>
      </c>
      <c r="U1416" s="128" t="n">
        <v>8</v>
      </c>
      <c r="V1416" s="128" t="n">
        <v>1</v>
      </c>
      <c r="W1416" s="90" t="n">
        <f aca="false">IFERROR(O1416/V1416,0)</f>
        <v>3024</v>
      </c>
      <c r="X1416" s="91" t="n">
        <f aca="false">O1416/L1416</f>
        <v>1.17482517482517</v>
      </c>
      <c r="Y1416" s="92" t="str">
        <f aca="false">IFERROR(VLOOKUP(E:E,'Item Data Support Sheet'!A:J,6,0),0)</f>
        <v>HMC</v>
      </c>
      <c r="Z1416" s="93" t="n">
        <f aca="false">IFERROR(VLOOKUP(E:E,'Item Data Support Sheet'!A:O,4,0),0)</f>
        <v>28.1</v>
      </c>
      <c r="AA1416" s="93" t="n">
        <f aca="false">IFERROR(((N1416)*(Z1416/1000))+P1416,0)</f>
        <v>87.3042</v>
      </c>
      <c r="AB1416" s="94" t="n">
        <f aca="false">IFERROR((O1416*(Z1416/1000)/(AA1416))," ")</f>
        <v>0.973313998639241</v>
      </c>
      <c r="AC1416" s="95" t="n">
        <f aca="false">IFERROR((T1416)/((T1416)+O1416),0)</f>
        <v>0.011441647597254</v>
      </c>
      <c r="AD1416" s="96" t="n">
        <f aca="false">IFERROR(Q1416/(Q1416+N1416),0)</f>
        <v>0.0048433968356474</v>
      </c>
      <c r="AE1416" s="91" t="n">
        <f aca="false">(N1416-T1416)/N1416</f>
        <v>0.988643737832576</v>
      </c>
      <c r="AF1416" s="97" t="n">
        <f aca="false">BR1416</f>
        <v>0</v>
      </c>
      <c r="AG1416" s="98" t="n">
        <f aca="false">K1416-AF1416</f>
        <v>8</v>
      </c>
      <c r="AH1416" s="99" t="n">
        <f aca="false">IFERROR(AG1416/K1416," ")</f>
        <v>1</v>
      </c>
      <c r="AI1416" s="100" t="n">
        <f aca="false">IFERROR(O1416/K1416,0)</f>
        <v>378</v>
      </c>
      <c r="AJ1416" s="101" t="n">
        <f aca="false">VLOOKUP(D1416,'Standard Cycle time'!C:D,2,0)</f>
        <v>9</v>
      </c>
      <c r="AK1416" s="101" t="n">
        <f aca="false">AG1416*V1416*3600/O1416</f>
        <v>9.52380952380952</v>
      </c>
      <c r="AL1416" s="102" t="n">
        <f aca="false">AJ1416/AK1416</f>
        <v>0.945</v>
      </c>
      <c r="AM1416" s="99" t="n">
        <f aca="false">AE1416*AL1416*AH1416</f>
        <v>0.934268332251784</v>
      </c>
      <c r="AN1416" s="103" t="n">
        <v>0.934268332251784</v>
      </c>
      <c r="AO1416" s="112"/>
      <c r="AP1416" s="105" t="n">
        <v>0</v>
      </c>
      <c r="AQ1416" s="105" t="n">
        <v>0</v>
      </c>
      <c r="AR1416" s="105" t="n">
        <v>0</v>
      </c>
      <c r="AS1416" s="105" t="n">
        <v>0</v>
      </c>
      <c r="AT1416" s="105" t="n">
        <v>0</v>
      </c>
      <c r="AU1416" s="105" t="n">
        <v>0</v>
      </c>
      <c r="AV1416" s="105" t="n">
        <v>0</v>
      </c>
      <c r="AW1416" s="105" t="n">
        <v>0</v>
      </c>
      <c r="AX1416" s="105" t="n">
        <v>0</v>
      </c>
      <c r="AY1416" s="105" t="n">
        <v>0</v>
      </c>
      <c r="AZ1416" s="105" t="n">
        <v>0</v>
      </c>
      <c r="BA1416" s="105" t="n">
        <v>0</v>
      </c>
      <c r="BB1416" s="105" t="n">
        <v>0</v>
      </c>
      <c r="BC1416" s="105" t="n">
        <v>0</v>
      </c>
      <c r="BD1416" s="105" t="n">
        <v>0</v>
      </c>
      <c r="BE1416" s="105" t="n">
        <v>0</v>
      </c>
      <c r="BF1416" s="105" t="n">
        <v>0</v>
      </c>
      <c r="BG1416" s="105" t="n">
        <v>0</v>
      </c>
      <c r="BH1416" s="105" t="n">
        <v>0</v>
      </c>
      <c r="BI1416" s="105" t="n">
        <v>0</v>
      </c>
      <c r="BJ1416" s="105" t="n">
        <v>0</v>
      </c>
      <c r="BK1416" s="105" t="n">
        <v>0</v>
      </c>
      <c r="BL1416" s="105" t="n">
        <v>0</v>
      </c>
      <c r="BM1416" s="105" t="n">
        <v>0</v>
      </c>
      <c r="BN1416" s="105" t="n">
        <v>0</v>
      </c>
      <c r="BO1416" s="105" t="n">
        <v>0</v>
      </c>
      <c r="BP1416" s="105" t="n">
        <v>0</v>
      </c>
      <c r="BQ1416" s="105" t="n">
        <v>0</v>
      </c>
      <c r="BR1416" s="106" t="n">
        <v>0</v>
      </c>
      <c r="BS1416" s="106" t="n">
        <v>0</v>
      </c>
      <c r="BT1416" s="107"/>
      <c r="BU1416" s="107"/>
      <c r="BV1416" s="107"/>
      <c r="BW1416" s="107"/>
      <c r="BX1416" s="107"/>
      <c r="BY1416" s="107"/>
      <c r="BZ1416" s="107"/>
      <c r="CA1416" s="107"/>
      <c r="CB1416" s="107"/>
      <c r="CC1416" s="107"/>
      <c r="CD1416" s="107"/>
      <c r="CE1416" s="107"/>
      <c r="CF1416" s="107"/>
      <c r="CG1416" s="107"/>
      <c r="CH1416" s="107"/>
      <c r="CI1416" s="107"/>
      <c r="CJ1416" s="107"/>
      <c r="CK1416" s="107"/>
      <c r="CL1416" s="107"/>
      <c r="CM1416" s="107"/>
      <c r="CN1416" s="107"/>
      <c r="CO1416" s="107"/>
      <c r="CP1416" s="107"/>
      <c r="CQ1416" s="107"/>
      <c r="CR1416" s="107"/>
      <c r="CS1416" s="107"/>
      <c r="CT1416" s="107"/>
      <c r="CU1416" s="107"/>
      <c r="CV1416" s="107"/>
    </row>
    <row r="1417" customFormat="false" ht="14.9" hidden="false" customHeight="false" outlineLevel="0" collapsed="false">
      <c r="A1417" s="74" t="n">
        <f aca="false">MONTH(B1417)</f>
        <v>11</v>
      </c>
      <c r="B1417" s="135" t="n">
        <v>44525</v>
      </c>
      <c r="C1417" s="128" t="s">
        <v>152</v>
      </c>
      <c r="D1417" s="77" t="str">
        <f aca="false">IFERROR(VLOOKUP(E:E,'Item Data Support Sheet'!A:O,7,0),"")</f>
        <v>NIPPLE PUNCH</v>
      </c>
      <c r="E1417" s="80" t="s">
        <v>563</v>
      </c>
      <c r="F1417" s="122"/>
      <c r="G1417" s="137" t="s">
        <v>54</v>
      </c>
      <c r="H1417" s="79" t="str">
        <f aca="false">IFERROR(VLOOKUP(E:E,'Item Data Support Sheet'!A:O,2,0),"")</f>
        <v>NIPPLE S TYPE LL SIZE PUNCHED</v>
      </c>
      <c r="I1417" s="80" t="s">
        <v>2217</v>
      </c>
      <c r="J1417" s="80" t="s">
        <v>143</v>
      </c>
      <c r="K1417" s="124" t="n">
        <v>8</v>
      </c>
      <c r="L1417" s="124" t="n">
        <v>7000</v>
      </c>
      <c r="M1417" s="83" t="n">
        <v>875</v>
      </c>
      <c r="N1417" s="84" t="n">
        <f aca="false">+O1417+Q1417+T1417+U1417</f>
        <v>6900</v>
      </c>
      <c r="O1417" s="85" t="n">
        <v>6900</v>
      </c>
      <c r="P1417" s="86" t="n">
        <v>0</v>
      </c>
      <c r="Q1417" s="86" t="n">
        <v>0</v>
      </c>
      <c r="R1417" s="132" t="n">
        <v>0</v>
      </c>
      <c r="S1417" s="128" t="n">
        <v>0</v>
      </c>
      <c r="T1417" s="132" t="n">
        <v>0</v>
      </c>
      <c r="U1417" s="128" t="n">
        <v>0</v>
      </c>
      <c r="V1417" s="128" t="n">
        <v>1</v>
      </c>
      <c r="W1417" s="90" t="n">
        <f aca="false">IFERROR(O1417/V1417,0)</f>
        <v>6900</v>
      </c>
      <c r="X1417" s="91" t="n">
        <f aca="false">O1417/L1417</f>
        <v>0.985714285714286</v>
      </c>
      <c r="Y1417" s="92" t="str">
        <f aca="false">IFERROR(VLOOKUP(E:E,'Item Data Support Sheet'!A:J,6,0),0)</f>
        <v>FO150</v>
      </c>
      <c r="Z1417" s="93" t="n">
        <f aca="false">IFERROR(VLOOKUP(E:E,'Item Data Support Sheet'!A:O,4,0),0)</f>
        <v>0</v>
      </c>
      <c r="AA1417" s="93" t="n">
        <f aca="false">IFERROR(((N1417)*(Z1417/1000))+P1417,0)</f>
        <v>0</v>
      </c>
      <c r="AB1417" s="94" t="str">
        <f aca="false">IFERROR((O1417*(Z1417/1000)/(AA1417))," ")</f>
        <v> </v>
      </c>
      <c r="AC1417" s="95" t="n">
        <f aca="false">IFERROR((T1417)/((T1417)+O1417),0)</f>
        <v>0</v>
      </c>
      <c r="AD1417" s="96" t="n">
        <f aca="false">IFERROR(Q1417/(Q1417+N1417),0)</f>
        <v>0</v>
      </c>
      <c r="AE1417" s="91" t="n">
        <f aca="false">(N1417-T1417)/N1417</f>
        <v>1</v>
      </c>
      <c r="AF1417" s="97" t="n">
        <f aca="false">BR1417</f>
        <v>0</v>
      </c>
      <c r="AG1417" s="98" t="n">
        <f aca="false">K1417-AF1417</f>
        <v>8</v>
      </c>
      <c r="AH1417" s="99" t="n">
        <f aca="false">IFERROR(AG1417/K1417," ")</f>
        <v>1</v>
      </c>
      <c r="AI1417" s="100" t="n">
        <f aca="false">IFERROR(O1417/K1417,0)</f>
        <v>862.5</v>
      </c>
      <c r="AJ1417" s="101" t="n">
        <f aca="false">VLOOKUP(D1417,'Standard Cycle time'!C:D,2,0)</f>
        <v>3.5</v>
      </c>
      <c r="AK1417" s="101" t="n">
        <f aca="false">AG1417*V1417*3600/O1417</f>
        <v>4.17391304347826</v>
      </c>
      <c r="AL1417" s="102" t="n">
        <f aca="false">AJ1417/AK1417</f>
        <v>0.838541666666667</v>
      </c>
      <c r="AM1417" s="99" t="n">
        <f aca="false">AE1417*AL1417*AH1417</f>
        <v>0.838541666666667</v>
      </c>
      <c r="AN1417" s="103" t="n">
        <v>0.838541666666667</v>
      </c>
      <c r="AO1417" s="112"/>
      <c r="AP1417" s="105" t="n">
        <v>0</v>
      </c>
      <c r="AQ1417" s="105" t="n">
        <v>0</v>
      </c>
      <c r="AR1417" s="105" t="n">
        <v>0</v>
      </c>
      <c r="AS1417" s="105" t="n">
        <v>0</v>
      </c>
      <c r="AT1417" s="105" t="n">
        <v>0</v>
      </c>
      <c r="AU1417" s="105" t="n">
        <v>0</v>
      </c>
      <c r="AV1417" s="105" t="n">
        <v>0</v>
      </c>
      <c r="AW1417" s="105" t="n">
        <v>0</v>
      </c>
      <c r="AX1417" s="105" t="n">
        <v>0</v>
      </c>
      <c r="AY1417" s="105" t="n">
        <v>0</v>
      </c>
      <c r="AZ1417" s="105" t="n">
        <v>0</v>
      </c>
      <c r="BA1417" s="105" t="n">
        <v>0</v>
      </c>
      <c r="BB1417" s="105" t="n">
        <v>0</v>
      </c>
      <c r="BC1417" s="105" t="n">
        <v>0</v>
      </c>
      <c r="BD1417" s="105" t="n">
        <v>0</v>
      </c>
      <c r="BE1417" s="105" t="n">
        <v>0</v>
      </c>
      <c r="BF1417" s="105" t="n">
        <v>0</v>
      </c>
      <c r="BG1417" s="105" t="n">
        <v>0</v>
      </c>
      <c r="BH1417" s="105" t="n">
        <v>0</v>
      </c>
      <c r="BI1417" s="105" t="n">
        <v>0</v>
      </c>
      <c r="BJ1417" s="105" t="n">
        <v>0</v>
      </c>
      <c r="BK1417" s="105" t="n">
        <v>0</v>
      </c>
      <c r="BL1417" s="105" t="n">
        <v>0</v>
      </c>
      <c r="BM1417" s="105" t="n">
        <v>0</v>
      </c>
      <c r="BN1417" s="105" t="n">
        <v>0</v>
      </c>
      <c r="BO1417" s="105" t="n">
        <v>0</v>
      </c>
      <c r="BP1417" s="105" t="n">
        <v>0</v>
      </c>
      <c r="BQ1417" s="105" t="n">
        <v>0</v>
      </c>
      <c r="BR1417" s="106" t="n">
        <v>0</v>
      </c>
      <c r="BS1417" s="106" t="n">
        <v>0</v>
      </c>
      <c r="BT1417" s="107"/>
      <c r="BU1417" s="107"/>
      <c r="BV1417" s="107"/>
      <c r="BW1417" s="107"/>
      <c r="BX1417" s="107"/>
      <c r="BY1417" s="107"/>
      <c r="BZ1417" s="107"/>
      <c r="CA1417" s="107"/>
      <c r="CB1417" s="107"/>
      <c r="CC1417" s="107"/>
      <c r="CD1417" s="107"/>
      <c r="CE1417" s="107"/>
      <c r="CF1417" s="107"/>
      <c r="CG1417" s="107"/>
      <c r="CH1417" s="107"/>
      <c r="CI1417" s="107"/>
      <c r="CJ1417" s="107"/>
      <c r="CK1417" s="107"/>
      <c r="CL1417" s="107"/>
      <c r="CM1417" s="107"/>
      <c r="CN1417" s="107"/>
      <c r="CO1417" s="107"/>
      <c r="CP1417" s="107"/>
      <c r="CQ1417" s="107"/>
      <c r="CR1417" s="107"/>
      <c r="CS1417" s="107"/>
      <c r="CT1417" s="107"/>
      <c r="CU1417" s="107"/>
      <c r="CV1417" s="107"/>
    </row>
    <row r="1418" customFormat="false" ht="14.9" hidden="false" customHeight="false" outlineLevel="0" collapsed="false">
      <c r="A1418" s="74" t="n">
        <f aca="false">MONTH(B1418)</f>
        <v>11</v>
      </c>
      <c r="B1418" s="135" t="n">
        <v>44525</v>
      </c>
      <c r="C1418" s="128" t="s">
        <v>152</v>
      </c>
      <c r="D1418" s="77" t="str">
        <f aca="false">IFERROR(VLOOKUP(E:E,'Item Data Support Sheet'!A:O,7,0),"")</f>
        <v>NIPPLE LASER MARKING</v>
      </c>
      <c r="E1418" s="80" t="s">
        <v>600</v>
      </c>
      <c r="F1418" s="122"/>
      <c r="G1418" s="137" t="s">
        <v>517</v>
      </c>
      <c r="H1418" s="79" t="str">
        <f aca="false">IFERROR(VLOOKUP(E:E,'Item Data Support Sheet'!A:O,2,0),"")</f>
        <v>NIPPLE S TYPE LL SIZE LASER MARKED</v>
      </c>
      <c r="I1418" s="80" t="s">
        <v>2218</v>
      </c>
      <c r="J1418" s="80" t="s">
        <v>143</v>
      </c>
      <c r="K1418" s="124" t="n">
        <v>8</v>
      </c>
      <c r="L1418" s="124" t="n">
        <v>7000</v>
      </c>
      <c r="M1418" s="83" t="n">
        <v>875</v>
      </c>
      <c r="N1418" s="84" t="n">
        <f aca="false">+O1418+Q1418+T1418+U1418</f>
        <v>6000</v>
      </c>
      <c r="O1418" s="85" t="n">
        <v>6000</v>
      </c>
      <c r="P1418" s="86" t="n">
        <v>0</v>
      </c>
      <c r="Q1418" s="86" t="n">
        <v>0</v>
      </c>
      <c r="R1418" s="132" t="n">
        <v>0</v>
      </c>
      <c r="S1418" s="128" t="n">
        <v>0</v>
      </c>
      <c r="T1418" s="132" t="n">
        <v>0</v>
      </c>
      <c r="U1418" s="128" t="n">
        <v>0</v>
      </c>
      <c r="V1418" s="128" t="n">
        <v>1</v>
      </c>
      <c r="W1418" s="90" t="n">
        <f aca="false">IFERROR(O1418/V1418,0)</f>
        <v>6000</v>
      </c>
      <c r="X1418" s="91" t="n">
        <f aca="false">O1418/L1418</f>
        <v>0.857142857142857</v>
      </c>
      <c r="Y1418" s="92" t="str">
        <f aca="false">IFERROR(VLOOKUP(E:E,'Item Data Support Sheet'!A:J,6,0),0)</f>
        <v>FO151</v>
      </c>
      <c r="Z1418" s="93" t="n">
        <f aca="false">IFERROR(VLOOKUP(E:E,'Item Data Support Sheet'!A:O,4,0),0)</f>
        <v>0</v>
      </c>
      <c r="AA1418" s="93" t="n">
        <f aca="false">IFERROR(((N1418)*(Z1418/1000))+P1418,0)</f>
        <v>0</v>
      </c>
      <c r="AB1418" s="94" t="str">
        <f aca="false">IFERROR((O1418*(Z1418/1000)/(AA1418))," ")</f>
        <v> </v>
      </c>
      <c r="AC1418" s="95" t="n">
        <f aca="false">IFERROR((T1418)/((T1418)+O1418),0)</f>
        <v>0</v>
      </c>
      <c r="AD1418" s="96" t="n">
        <f aca="false">IFERROR(Q1418/(Q1418+N1418),0)</f>
        <v>0</v>
      </c>
      <c r="AE1418" s="91" t="n">
        <f aca="false">(N1418-T1418)/N1418</f>
        <v>1</v>
      </c>
      <c r="AF1418" s="97" t="n">
        <f aca="false">BR1418</f>
        <v>0</v>
      </c>
      <c r="AG1418" s="98" t="n">
        <f aca="false">K1418-AF1418</f>
        <v>8</v>
      </c>
      <c r="AH1418" s="99" t="n">
        <f aca="false">IFERROR(AG1418/K1418," ")</f>
        <v>1</v>
      </c>
      <c r="AI1418" s="100" t="n">
        <f aca="false">IFERROR(O1418/K1418,0)</f>
        <v>750</v>
      </c>
      <c r="AJ1418" s="101" t="n">
        <f aca="false">VLOOKUP(D1418,'Standard Cycle time'!C:D,2,0)</f>
        <v>3.5</v>
      </c>
      <c r="AK1418" s="101" t="n">
        <f aca="false">AG1418*V1418*3600/O1418</f>
        <v>4.8</v>
      </c>
      <c r="AL1418" s="102" t="n">
        <f aca="false">AJ1418/AK1418</f>
        <v>0.729166666666667</v>
      </c>
      <c r="AM1418" s="99" t="n">
        <f aca="false">AE1418*AL1418*AH1418</f>
        <v>0.729166666666667</v>
      </c>
      <c r="AN1418" s="103" t="n">
        <v>0.729166666666667</v>
      </c>
      <c r="AO1418" s="112"/>
      <c r="AP1418" s="105" t="n">
        <v>0</v>
      </c>
      <c r="AQ1418" s="105" t="n">
        <v>0</v>
      </c>
      <c r="AR1418" s="105" t="n">
        <v>0</v>
      </c>
      <c r="AS1418" s="105" t="n">
        <v>0</v>
      </c>
      <c r="AT1418" s="105" t="n">
        <v>0</v>
      </c>
      <c r="AU1418" s="105" t="n">
        <v>0</v>
      </c>
      <c r="AV1418" s="105" t="n">
        <v>0</v>
      </c>
      <c r="AW1418" s="105" t="n">
        <v>0</v>
      </c>
      <c r="AX1418" s="105" t="n">
        <v>0</v>
      </c>
      <c r="AY1418" s="105" t="n">
        <v>0</v>
      </c>
      <c r="AZ1418" s="105" t="n">
        <v>0</v>
      </c>
      <c r="BA1418" s="105" t="n">
        <v>0</v>
      </c>
      <c r="BB1418" s="105" t="n">
        <v>0</v>
      </c>
      <c r="BC1418" s="105" t="n">
        <v>0</v>
      </c>
      <c r="BD1418" s="105" t="n">
        <v>0</v>
      </c>
      <c r="BE1418" s="105" t="n">
        <v>0</v>
      </c>
      <c r="BF1418" s="105" t="n">
        <v>0</v>
      </c>
      <c r="BG1418" s="105" t="n">
        <v>0</v>
      </c>
      <c r="BH1418" s="105" t="n">
        <v>0</v>
      </c>
      <c r="BI1418" s="105" t="n">
        <v>0</v>
      </c>
      <c r="BJ1418" s="105" t="n">
        <v>0</v>
      </c>
      <c r="BK1418" s="105" t="n">
        <v>0</v>
      </c>
      <c r="BL1418" s="105" t="n">
        <v>0</v>
      </c>
      <c r="BM1418" s="105" t="n">
        <v>0</v>
      </c>
      <c r="BN1418" s="105" t="n">
        <v>0</v>
      </c>
      <c r="BO1418" s="105" t="n">
        <v>0</v>
      </c>
      <c r="BP1418" s="105" t="n">
        <v>0</v>
      </c>
      <c r="BQ1418" s="105" t="n">
        <v>0</v>
      </c>
      <c r="BR1418" s="106" t="n">
        <v>0</v>
      </c>
      <c r="BS1418" s="106" t="n">
        <v>0</v>
      </c>
      <c r="BT1418" s="107"/>
      <c r="BU1418" s="107"/>
      <c r="BV1418" s="107"/>
      <c r="BW1418" s="107"/>
      <c r="BX1418" s="107"/>
      <c r="BY1418" s="107"/>
      <c r="BZ1418" s="107"/>
      <c r="CA1418" s="107"/>
      <c r="CB1418" s="107"/>
      <c r="CC1418" s="107"/>
      <c r="CD1418" s="107"/>
      <c r="CE1418" s="107"/>
      <c r="CF1418" s="107"/>
      <c r="CG1418" s="107"/>
      <c r="CH1418" s="107"/>
      <c r="CI1418" s="107"/>
      <c r="CJ1418" s="107"/>
      <c r="CK1418" s="107"/>
      <c r="CL1418" s="107"/>
      <c r="CM1418" s="107"/>
      <c r="CN1418" s="107"/>
      <c r="CO1418" s="107"/>
      <c r="CP1418" s="107"/>
      <c r="CQ1418" s="107"/>
      <c r="CR1418" s="107"/>
      <c r="CS1418" s="107"/>
      <c r="CT1418" s="107"/>
      <c r="CU1418" s="107"/>
      <c r="CV1418" s="107"/>
    </row>
    <row r="1419" customFormat="false" ht="14.9" hidden="false" customHeight="false" outlineLevel="0" collapsed="false">
      <c r="A1419" s="74" t="n">
        <f aca="false">MONTH(B1419)</f>
        <v>11</v>
      </c>
      <c r="B1419" s="135" t="n">
        <v>44526</v>
      </c>
      <c r="C1419" s="128" t="s">
        <v>51</v>
      </c>
      <c r="D1419" s="77" t="str">
        <f aca="false">IFERROR(VLOOKUP(E:E,'Item Data Support Sheet'!A:O,7,0),"")</f>
        <v>CAP MOLDED</v>
      </c>
      <c r="E1419" s="80" t="s">
        <v>261</v>
      </c>
      <c r="F1419" s="122" t="s">
        <v>2213</v>
      </c>
      <c r="G1419" s="137" t="s">
        <v>740</v>
      </c>
      <c r="H1419" s="79" t="str">
        <f aca="false">IFERROR(VLOOKUP(E:E,'Item Data Support Sheet'!A:O,2,0),"")</f>
        <v>CAP S TYPE MOLDED PINK</v>
      </c>
      <c r="I1419" s="80" t="s">
        <v>2219</v>
      </c>
      <c r="J1419" s="80" t="s">
        <v>143</v>
      </c>
      <c r="K1419" s="124" t="n">
        <v>6</v>
      </c>
      <c r="L1419" s="124" t="n">
        <v>3103</v>
      </c>
      <c r="M1419" s="83" t="n">
        <v>517.166666666667</v>
      </c>
      <c r="N1419" s="84" t="n">
        <f aca="false">+O1419+Q1419+T1419+U1419</f>
        <v>3223</v>
      </c>
      <c r="O1419" s="85" t="n">
        <v>3215</v>
      </c>
      <c r="P1419" s="86" t="n">
        <v>0</v>
      </c>
      <c r="Q1419" s="86" t="n">
        <v>0</v>
      </c>
      <c r="R1419" s="132" t="n">
        <v>0</v>
      </c>
      <c r="S1419" s="128" t="n">
        <v>0</v>
      </c>
      <c r="T1419" s="132" t="n">
        <v>0</v>
      </c>
      <c r="U1419" s="128" t="n">
        <v>8</v>
      </c>
      <c r="V1419" s="128" t="n">
        <v>1</v>
      </c>
      <c r="W1419" s="90" t="n">
        <f aca="false">IFERROR(O1419/V1419,0)</f>
        <v>3215</v>
      </c>
      <c r="X1419" s="91" t="n">
        <f aca="false">O1419/L1419</f>
        <v>1.03609410248147</v>
      </c>
      <c r="Y1419" s="92" t="str">
        <f aca="false">IFERROR(VLOOKUP(E:E,'Item Data Support Sheet'!A:J,6,0),0)</f>
        <v>RM000123</v>
      </c>
      <c r="Z1419" s="93" t="n">
        <f aca="false">IFERROR(VLOOKUP(E:E,'Item Data Support Sheet'!A:O,4,0),0)</f>
        <v>7.3</v>
      </c>
      <c r="AA1419" s="93" t="n">
        <f aca="false">IFERROR(((N1419)*(Z1419/1000))+P1419,0)</f>
        <v>23.5279</v>
      </c>
      <c r="AB1419" s="94" t="n">
        <f aca="false">IFERROR((O1419*(Z1419/1000)/(AA1419))," ")</f>
        <v>0.997517840521254</v>
      </c>
      <c r="AC1419" s="95" t="n">
        <f aca="false">IFERROR((T1419)/((T1419)+O1419),0)</f>
        <v>0</v>
      </c>
      <c r="AD1419" s="96" t="n">
        <f aca="false">IFERROR(Q1419/(Q1419+N1419),0)</f>
        <v>0</v>
      </c>
      <c r="AE1419" s="91" t="n">
        <f aca="false">(N1419-T1419)/N1419</f>
        <v>1</v>
      </c>
      <c r="AF1419" s="97" t="n">
        <f aca="false">BR1419</f>
        <v>0</v>
      </c>
      <c r="AG1419" s="98" t="n">
        <f aca="false">K1419-AF1419</f>
        <v>6</v>
      </c>
      <c r="AH1419" s="99" t="n">
        <f aca="false">IFERROR(AG1419/K1419," ")</f>
        <v>1</v>
      </c>
      <c r="AI1419" s="100" t="n">
        <f aca="false">IFERROR(O1419/K1419,0)</f>
        <v>535.833333333333</v>
      </c>
      <c r="AJ1419" s="101" t="n">
        <f aca="false">VLOOKUP(D1419,'Standard Cycle time'!C:D,2,0)</f>
        <v>6</v>
      </c>
      <c r="AK1419" s="101" t="n">
        <f aca="false">AG1419*V1419*3600/O1419</f>
        <v>6.71850699844479</v>
      </c>
      <c r="AL1419" s="102" t="n">
        <f aca="false">AJ1419/AK1419</f>
        <v>0.893055555555555</v>
      </c>
      <c r="AM1419" s="99" t="n">
        <f aca="false">AE1419*AL1419*AH1419</f>
        <v>0.893055555555555</v>
      </c>
      <c r="AN1419" s="103" t="n">
        <v>0.893055555555556</v>
      </c>
      <c r="AO1419" s="112"/>
      <c r="AP1419" s="105" t="n">
        <v>0</v>
      </c>
      <c r="AQ1419" s="105" t="n">
        <v>0</v>
      </c>
      <c r="AR1419" s="105" t="n">
        <v>0</v>
      </c>
      <c r="AS1419" s="105" t="n">
        <v>0</v>
      </c>
      <c r="AT1419" s="105" t="n">
        <v>0</v>
      </c>
      <c r="AU1419" s="105" t="n">
        <v>0</v>
      </c>
      <c r="AV1419" s="105" t="n">
        <v>0</v>
      </c>
      <c r="AW1419" s="105" t="n">
        <v>0</v>
      </c>
      <c r="AX1419" s="105" t="n">
        <v>0</v>
      </c>
      <c r="AY1419" s="105" t="n">
        <v>0</v>
      </c>
      <c r="AZ1419" s="105" t="n">
        <v>0</v>
      </c>
      <c r="BA1419" s="105" t="n">
        <v>0</v>
      </c>
      <c r="BB1419" s="105" t="n">
        <v>0</v>
      </c>
      <c r="BC1419" s="105" t="n">
        <v>0</v>
      </c>
      <c r="BD1419" s="105" t="n">
        <v>0</v>
      </c>
      <c r="BE1419" s="105" t="n">
        <v>0</v>
      </c>
      <c r="BF1419" s="105" t="n">
        <v>0</v>
      </c>
      <c r="BG1419" s="105" t="n">
        <v>0</v>
      </c>
      <c r="BH1419" s="105" t="n">
        <v>0</v>
      </c>
      <c r="BI1419" s="105" t="n">
        <v>0</v>
      </c>
      <c r="BJ1419" s="105" t="n">
        <v>0</v>
      </c>
      <c r="BK1419" s="105" t="n">
        <v>0</v>
      </c>
      <c r="BL1419" s="105" t="n">
        <v>0</v>
      </c>
      <c r="BM1419" s="105" t="n">
        <v>0</v>
      </c>
      <c r="BN1419" s="105" t="n">
        <v>0</v>
      </c>
      <c r="BO1419" s="105" t="n">
        <v>0</v>
      </c>
      <c r="BP1419" s="105" t="n">
        <v>0</v>
      </c>
      <c r="BQ1419" s="105" t="n">
        <v>0</v>
      </c>
      <c r="BR1419" s="106" t="n">
        <v>0</v>
      </c>
      <c r="BS1419" s="106" t="n">
        <v>0</v>
      </c>
      <c r="BT1419" s="107"/>
      <c r="BU1419" s="107"/>
      <c r="BV1419" s="107"/>
      <c r="BW1419" s="107"/>
      <c r="BX1419" s="107"/>
      <c r="BY1419" s="107"/>
      <c r="BZ1419" s="107"/>
      <c r="CA1419" s="107"/>
      <c r="CB1419" s="107"/>
      <c r="CC1419" s="107"/>
      <c r="CD1419" s="107"/>
      <c r="CE1419" s="107"/>
      <c r="CF1419" s="107"/>
      <c r="CG1419" s="107"/>
      <c r="CH1419" s="107"/>
      <c r="CI1419" s="107"/>
      <c r="CJ1419" s="107"/>
      <c r="CK1419" s="107"/>
      <c r="CL1419" s="107"/>
      <c r="CM1419" s="107"/>
      <c r="CN1419" s="107"/>
      <c r="CO1419" s="107"/>
      <c r="CP1419" s="107"/>
      <c r="CQ1419" s="107"/>
      <c r="CR1419" s="107"/>
      <c r="CS1419" s="107"/>
      <c r="CT1419" s="107"/>
      <c r="CU1419" s="107"/>
      <c r="CV1419" s="107"/>
    </row>
    <row r="1420" customFormat="false" ht="14.9" hidden="false" customHeight="false" outlineLevel="0" collapsed="false">
      <c r="A1420" s="74" t="n">
        <f aca="false">MONTH(B1420)</f>
        <v>11</v>
      </c>
      <c r="B1420" s="135" t="n">
        <v>44526</v>
      </c>
      <c r="C1420" s="128" t="s">
        <v>51</v>
      </c>
      <c r="D1420" s="77" t="str">
        <f aca="false">IFERROR(VLOOKUP(E:E,'Item Data Support Sheet'!A:O,7,0),"")</f>
        <v>CAP MOLDED</v>
      </c>
      <c r="E1420" s="80" t="s">
        <v>261</v>
      </c>
      <c r="F1420" s="122" t="s">
        <v>2161</v>
      </c>
      <c r="G1420" s="137" t="s">
        <v>740</v>
      </c>
      <c r="H1420" s="79" t="str">
        <f aca="false">IFERROR(VLOOKUP(E:E,'Item Data Support Sheet'!A:O,2,0),"")</f>
        <v>CAP S TYPE MOLDED PINK</v>
      </c>
      <c r="I1420" s="80" t="s">
        <v>2220</v>
      </c>
      <c r="J1420" s="80" t="s">
        <v>143</v>
      </c>
      <c r="K1420" s="124" t="n">
        <v>2</v>
      </c>
      <c r="L1420" s="124" t="n">
        <v>1034</v>
      </c>
      <c r="M1420" s="83" t="n">
        <v>517</v>
      </c>
      <c r="N1420" s="84" t="n">
        <f aca="false">+O1420+Q1420+T1420+U1420</f>
        <v>1906</v>
      </c>
      <c r="O1420" s="85" t="n">
        <v>1900</v>
      </c>
      <c r="P1420" s="86" t="n">
        <v>0</v>
      </c>
      <c r="Q1420" s="86" t="n">
        <v>0</v>
      </c>
      <c r="R1420" s="132" t="n">
        <v>0</v>
      </c>
      <c r="S1420" s="128" t="n">
        <v>0</v>
      </c>
      <c r="T1420" s="132" t="n">
        <v>6</v>
      </c>
      <c r="U1420" s="128" t="n">
        <v>0</v>
      </c>
      <c r="V1420" s="128" t="n">
        <v>1</v>
      </c>
      <c r="W1420" s="90" t="n">
        <f aca="false">IFERROR(O1420/V1420,0)</f>
        <v>1900</v>
      </c>
      <c r="X1420" s="91" t="n">
        <f aca="false">O1420/L1420</f>
        <v>1.83752417794971</v>
      </c>
      <c r="Y1420" s="92" t="str">
        <f aca="false">IFERROR(VLOOKUP(E:E,'Item Data Support Sheet'!A:J,6,0),0)</f>
        <v>RM000123</v>
      </c>
      <c r="Z1420" s="93" t="n">
        <f aca="false">IFERROR(VLOOKUP(E:E,'Item Data Support Sheet'!A:O,4,0),0)</f>
        <v>7.3</v>
      </c>
      <c r="AA1420" s="93" t="n">
        <f aca="false">IFERROR(((N1420)*(Z1420/1000))+P1420,0)</f>
        <v>13.9138</v>
      </c>
      <c r="AB1420" s="94" t="n">
        <f aca="false">IFERROR((O1420*(Z1420/1000)/(AA1420))," ")</f>
        <v>0.99685204616999</v>
      </c>
      <c r="AC1420" s="95" t="n">
        <f aca="false">IFERROR((T1420)/((T1420)+O1420),0)</f>
        <v>0.00314795383001049</v>
      </c>
      <c r="AD1420" s="96" t="n">
        <f aca="false">IFERROR(Q1420/(Q1420+N1420),0)</f>
        <v>0</v>
      </c>
      <c r="AE1420" s="91" t="n">
        <f aca="false">(N1420-T1420)/N1420</f>
        <v>0.996852046169989</v>
      </c>
      <c r="AF1420" s="97" t="n">
        <f aca="false">BR1420</f>
        <v>0</v>
      </c>
      <c r="AG1420" s="98" t="n">
        <f aca="false">K1420-AF1420</f>
        <v>2</v>
      </c>
      <c r="AH1420" s="99" t="n">
        <f aca="false">IFERROR(AG1420/K1420," ")</f>
        <v>1</v>
      </c>
      <c r="AI1420" s="100" t="n">
        <f aca="false">IFERROR(O1420/K1420,0)</f>
        <v>950</v>
      </c>
      <c r="AJ1420" s="101" t="n">
        <f aca="false">VLOOKUP(D1420,'Standard Cycle time'!C:D,2,0)</f>
        <v>6</v>
      </c>
      <c r="AK1420" s="101" t="n">
        <f aca="false">AG1420*V1420*3600/O1420</f>
        <v>3.78947368421053</v>
      </c>
      <c r="AL1420" s="102" t="n">
        <f aca="false">AJ1420/AK1420</f>
        <v>1.58333333333333</v>
      </c>
      <c r="AM1420" s="99" t="n">
        <f aca="false">AE1420*AL1420*AH1420</f>
        <v>1.57834907310248</v>
      </c>
      <c r="AN1420" s="103" t="n">
        <v>1.57834907310248</v>
      </c>
      <c r="AO1420" s="112"/>
      <c r="AP1420" s="105" t="n">
        <v>0</v>
      </c>
      <c r="AQ1420" s="105" t="n">
        <v>0</v>
      </c>
      <c r="AR1420" s="105" t="n">
        <v>0</v>
      </c>
      <c r="AS1420" s="105" t="n">
        <v>0</v>
      </c>
      <c r="AT1420" s="105" t="n">
        <v>0</v>
      </c>
      <c r="AU1420" s="105" t="n">
        <v>0</v>
      </c>
      <c r="AV1420" s="105" t="n">
        <v>0</v>
      </c>
      <c r="AW1420" s="105" t="n">
        <v>0</v>
      </c>
      <c r="AX1420" s="105" t="n">
        <v>0</v>
      </c>
      <c r="AY1420" s="105" t="n">
        <v>0</v>
      </c>
      <c r="AZ1420" s="105" t="n">
        <v>0</v>
      </c>
      <c r="BA1420" s="105" t="n">
        <v>0</v>
      </c>
      <c r="BB1420" s="105" t="n">
        <v>0</v>
      </c>
      <c r="BC1420" s="105" t="n">
        <v>0</v>
      </c>
      <c r="BD1420" s="105" t="n">
        <v>0</v>
      </c>
      <c r="BE1420" s="105" t="n">
        <v>0</v>
      </c>
      <c r="BF1420" s="105" t="n">
        <v>0</v>
      </c>
      <c r="BG1420" s="105" t="n">
        <v>0</v>
      </c>
      <c r="BH1420" s="105" t="n">
        <v>0</v>
      </c>
      <c r="BI1420" s="105" t="n">
        <v>0</v>
      </c>
      <c r="BJ1420" s="105" t="n">
        <v>0</v>
      </c>
      <c r="BK1420" s="105" t="n">
        <v>0</v>
      </c>
      <c r="BL1420" s="105" t="n">
        <v>0</v>
      </c>
      <c r="BM1420" s="105" t="n">
        <v>0</v>
      </c>
      <c r="BN1420" s="105" t="n">
        <v>0</v>
      </c>
      <c r="BO1420" s="105" t="n">
        <v>0</v>
      </c>
      <c r="BP1420" s="105" t="n">
        <v>0</v>
      </c>
      <c r="BQ1420" s="105" t="n">
        <v>0</v>
      </c>
      <c r="BR1420" s="106" t="n">
        <v>0</v>
      </c>
      <c r="BS1420" s="106" t="n">
        <v>0</v>
      </c>
      <c r="BT1420" s="107"/>
      <c r="BU1420" s="107"/>
      <c r="BV1420" s="107"/>
      <c r="BW1420" s="107"/>
      <c r="BX1420" s="107"/>
      <c r="BY1420" s="107"/>
      <c r="BZ1420" s="107"/>
      <c r="CA1420" s="107"/>
      <c r="CB1420" s="107"/>
      <c r="CC1420" s="107"/>
      <c r="CD1420" s="107"/>
      <c r="CE1420" s="107"/>
      <c r="CF1420" s="107"/>
      <c r="CG1420" s="107"/>
      <c r="CH1420" s="107"/>
      <c r="CI1420" s="107"/>
      <c r="CJ1420" s="107"/>
      <c r="CK1420" s="107"/>
      <c r="CL1420" s="107"/>
      <c r="CM1420" s="107"/>
      <c r="CN1420" s="107"/>
      <c r="CO1420" s="107"/>
      <c r="CP1420" s="107"/>
      <c r="CQ1420" s="107"/>
      <c r="CR1420" s="107"/>
      <c r="CS1420" s="107"/>
      <c r="CT1420" s="107"/>
      <c r="CU1420" s="107"/>
      <c r="CV1420" s="107"/>
    </row>
    <row r="1421" customFormat="false" ht="14.9" hidden="false" customHeight="false" outlineLevel="0" collapsed="false">
      <c r="A1421" s="74" t="n">
        <f aca="false">MONTH(B1421)</f>
        <v>11</v>
      </c>
      <c r="B1421" s="135" t="n">
        <v>44526</v>
      </c>
      <c r="C1421" s="128" t="s">
        <v>51</v>
      </c>
      <c r="D1421" s="77" t="str">
        <f aca="false">IFERROR(VLOOKUP(E:E,'Item Data Support Sheet'!A:O,7,0),"")</f>
        <v>NIPPLE MOLDED</v>
      </c>
      <c r="E1421" s="80" t="s">
        <v>492</v>
      </c>
      <c r="F1421" s="122" t="s">
        <v>1286</v>
      </c>
      <c r="G1421" s="137" t="s">
        <v>848</v>
      </c>
      <c r="H1421" s="79" t="str">
        <f aca="false">IFERROR(VLOOKUP(E:E,'Item Data Support Sheet'!A:O,2,0),"")</f>
        <v>NIPPLE S TYPE LL SIZE INJECTION</v>
      </c>
      <c r="I1421" s="80" t="s">
        <v>2221</v>
      </c>
      <c r="J1421" s="80" t="s">
        <v>143</v>
      </c>
      <c r="K1421" s="124" t="n">
        <v>8</v>
      </c>
      <c r="L1421" s="124" t="n">
        <v>3611</v>
      </c>
      <c r="M1421" s="83" t="n">
        <v>451.375</v>
      </c>
      <c r="N1421" s="84" t="n">
        <f aca="false">+O1421+Q1421+T1421+U1421</f>
        <v>3686</v>
      </c>
      <c r="O1421" s="85" t="n">
        <v>3600</v>
      </c>
      <c r="P1421" s="86" t="n">
        <v>0</v>
      </c>
      <c r="Q1421" s="86" t="n">
        <v>45</v>
      </c>
      <c r="R1421" s="132" t="n">
        <v>0</v>
      </c>
      <c r="S1421" s="128" t="n">
        <v>0</v>
      </c>
      <c r="T1421" s="132" t="n">
        <v>35</v>
      </c>
      <c r="U1421" s="128" t="n">
        <v>6</v>
      </c>
      <c r="V1421" s="128" t="n">
        <v>1</v>
      </c>
      <c r="W1421" s="90" t="n">
        <f aca="false">IFERROR(O1421/V1421,0)</f>
        <v>3600</v>
      </c>
      <c r="X1421" s="91" t="n">
        <f aca="false">O1421/L1421</f>
        <v>0.996953752423151</v>
      </c>
      <c r="Y1421" s="92" t="str">
        <f aca="false">IFERROR(VLOOKUP(E:E,'Item Data Support Sheet'!A:J,6,0),0)</f>
        <v>FO148</v>
      </c>
      <c r="Z1421" s="93" t="n">
        <f aca="false">IFERROR(VLOOKUP(E:E,'Item Data Support Sheet'!A:O,4,0),0)</f>
        <v>6.8</v>
      </c>
      <c r="AA1421" s="93" t="n">
        <f aca="false">IFERROR(((N1421)*(Z1421/1000))+P1421,0)</f>
        <v>25.0648</v>
      </c>
      <c r="AB1421" s="94" t="n">
        <f aca="false">IFERROR((O1421*(Z1421/1000)/(AA1421))," ")</f>
        <v>0.976668475311991</v>
      </c>
      <c r="AC1421" s="95" t="n">
        <f aca="false">IFERROR((T1421)/((T1421)+O1421),0)</f>
        <v>0.00962861072902338</v>
      </c>
      <c r="AD1421" s="96" t="n">
        <f aca="false">IFERROR(Q1421/(Q1421+N1421),0)</f>
        <v>0.0120611096220852</v>
      </c>
      <c r="AE1421" s="91" t="n">
        <f aca="false">(N1421-T1421)/N1421</f>
        <v>0.990504612045578</v>
      </c>
      <c r="AF1421" s="97" t="n">
        <f aca="false">BR1421</f>
        <v>0</v>
      </c>
      <c r="AG1421" s="98" t="n">
        <f aca="false">K1421-AF1421</f>
        <v>8</v>
      </c>
      <c r="AH1421" s="99" t="n">
        <f aca="false">IFERROR(AG1421/K1421," ")</f>
        <v>1</v>
      </c>
      <c r="AI1421" s="100" t="n">
        <f aca="false">IFERROR(O1421/K1421,0)</f>
        <v>450</v>
      </c>
      <c r="AJ1421" s="101" t="n">
        <f aca="false">VLOOKUP(D1421,'Standard Cycle time'!C:D,2,0)</f>
        <v>5.25</v>
      </c>
      <c r="AK1421" s="101" t="n">
        <f aca="false">AG1421*V1421*3600/O1421</f>
        <v>8</v>
      </c>
      <c r="AL1421" s="102" t="n">
        <f aca="false">AJ1421/AK1421</f>
        <v>0.65625</v>
      </c>
      <c r="AM1421" s="99" t="n">
        <f aca="false">AE1421*AL1421*AH1421</f>
        <v>0.65001865165491</v>
      </c>
      <c r="AN1421" s="103" t="n">
        <v>0.650018651654911</v>
      </c>
      <c r="AO1421" s="112"/>
      <c r="AP1421" s="105" t="n">
        <v>0</v>
      </c>
      <c r="AQ1421" s="105" t="n">
        <v>0</v>
      </c>
      <c r="AR1421" s="105" t="n">
        <v>0</v>
      </c>
      <c r="AS1421" s="105" t="n">
        <v>0</v>
      </c>
      <c r="AT1421" s="105" t="n">
        <v>0</v>
      </c>
      <c r="AU1421" s="105" t="n">
        <v>0</v>
      </c>
      <c r="AV1421" s="105" t="n">
        <v>0</v>
      </c>
      <c r="AW1421" s="105" t="n">
        <v>0</v>
      </c>
      <c r="AX1421" s="105" t="n">
        <v>0</v>
      </c>
      <c r="AY1421" s="105" t="n">
        <v>0</v>
      </c>
      <c r="AZ1421" s="105" t="n">
        <v>0</v>
      </c>
      <c r="BA1421" s="105" t="n">
        <v>0</v>
      </c>
      <c r="BB1421" s="105" t="n">
        <v>0</v>
      </c>
      <c r="BC1421" s="105" t="n">
        <v>0</v>
      </c>
      <c r="BD1421" s="105" t="n">
        <v>0</v>
      </c>
      <c r="BE1421" s="105" t="n">
        <v>0</v>
      </c>
      <c r="BF1421" s="105" t="n">
        <v>0</v>
      </c>
      <c r="BG1421" s="105" t="n">
        <v>0</v>
      </c>
      <c r="BH1421" s="105" t="n">
        <v>0</v>
      </c>
      <c r="BI1421" s="105" t="n">
        <v>0</v>
      </c>
      <c r="BJ1421" s="105" t="n">
        <v>0</v>
      </c>
      <c r="BK1421" s="105" t="n">
        <v>0</v>
      </c>
      <c r="BL1421" s="105" t="n">
        <v>0</v>
      </c>
      <c r="BM1421" s="105" t="n">
        <v>0</v>
      </c>
      <c r="BN1421" s="105" t="n">
        <v>0</v>
      </c>
      <c r="BO1421" s="105" t="n">
        <v>0</v>
      </c>
      <c r="BP1421" s="105" t="n">
        <v>0</v>
      </c>
      <c r="BQ1421" s="105" t="n">
        <v>0</v>
      </c>
      <c r="BR1421" s="106" t="n">
        <v>0</v>
      </c>
      <c r="BS1421" s="106" t="n">
        <v>0</v>
      </c>
      <c r="BT1421" s="107"/>
      <c r="BU1421" s="107"/>
      <c r="BV1421" s="107"/>
      <c r="BW1421" s="107"/>
      <c r="BX1421" s="107"/>
      <c r="BY1421" s="107"/>
      <c r="BZ1421" s="107"/>
      <c r="CA1421" s="107"/>
      <c r="CB1421" s="107"/>
      <c r="CC1421" s="107"/>
      <c r="CD1421" s="107"/>
      <c r="CE1421" s="107"/>
      <c r="CF1421" s="107"/>
      <c r="CG1421" s="107"/>
      <c r="CH1421" s="107"/>
      <c r="CI1421" s="107"/>
      <c r="CJ1421" s="107"/>
      <c r="CK1421" s="107"/>
      <c r="CL1421" s="107"/>
      <c r="CM1421" s="107"/>
      <c r="CN1421" s="107"/>
      <c r="CO1421" s="107"/>
      <c r="CP1421" s="107"/>
      <c r="CQ1421" s="107"/>
      <c r="CR1421" s="107"/>
      <c r="CS1421" s="107"/>
      <c r="CT1421" s="107"/>
      <c r="CU1421" s="107"/>
      <c r="CV1421" s="107"/>
    </row>
    <row r="1422" customFormat="false" ht="14.9" hidden="false" customHeight="false" outlineLevel="0" collapsed="false">
      <c r="A1422" s="74" t="n">
        <f aca="false">MONTH(B1422)</f>
        <v>11</v>
      </c>
      <c r="B1422" s="135" t="n">
        <v>44526</v>
      </c>
      <c r="C1422" s="128" t="s">
        <v>51</v>
      </c>
      <c r="D1422" s="77" t="str">
        <f aca="false">IFERROR(VLOOKUP(E:E,'Item Data Support Sheet'!A:O,7,0),"")</f>
        <v>NIPPLE MOLDED</v>
      </c>
      <c r="E1422" s="80" t="s">
        <v>661</v>
      </c>
      <c r="F1422" s="122" t="s">
        <v>137</v>
      </c>
      <c r="G1422" s="137" t="s">
        <v>138</v>
      </c>
      <c r="H1422" s="79" t="str">
        <f aca="false">IFERROR(VLOOKUP(E:E,'Item Data Support Sheet'!A:O,2,0),"")</f>
        <v>NIPPLE S TYPE L SIZE INJECTION</v>
      </c>
      <c r="I1422" s="80" t="s">
        <v>2221</v>
      </c>
      <c r="J1422" s="80" t="s">
        <v>143</v>
      </c>
      <c r="K1422" s="124" t="n">
        <v>8</v>
      </c>
      <c r="L1422" s="124" t="n">
        <v>4815</v>
      </c>
      <c r="M1422" s="83" t="n">
        <v>601.875</v>
      </c>
      <c r="N1422" s="84" t="n">
        <f aca="false">+O1422+Q1422+T1422+U1422</f>
        <v>5358</v>
      </c>
      <c r="O1422" s="85" t="n">
        <v>5300</v>
      </c>
      <c r="P1422" s="86" t="n">
        <v>0</v>
      </c>
      <c r="Q1422" s="86" t="n">
        <v>0</v>
      </c>
      <c r="R1422" s="132" t="n">
        <v>0</v>
      </c>
      <c r="S1422" s="128" t="n">
        <v>0</v>
      </c>
      <c r="T1422" s="132" t="n">
        <v>50</v>
      </c>
      <c r="U1422" s="128" t="n">
        <v>8</v>
      </c>
      <c r="V1422" s="128" t="n">
        <v>1</v>
      </c>
      <c r="W1422" s="90" t="n">
        <f aca="false">IFERROR(O1422/V1422,0)</f>
        <v>5300</v>
      </c>
      <c r="X1422" s="91" t="n">
        <f aca="false">O1422/L1422</f>
        <v>1.10072689511942</v>
      </c>
      <c r="Y1422" s="92" t="str">
        <f aca="false">IFERROR(VLOOKUP(E:E,'Item Data Support Sheet'!A:J,6,0),0)</f>
        <v>Silicon</v>
      </c>
      <c r="Z1422" s="93" t="n">
        <f aca="false">IFERROR(VLOOKUP(E:E,'Item Data Support Sheet'!A:O,4,0),0)</f>
        <v>6.8</v>
      </c>
      <c r="AA1422" s="93" t="n">
        <f aca="false">IFERROR(((N1422)*(Z1422/1000))+P1422,0)</f>
        <v>36.4344</v>
      </c>
      <c r="AB1422" s="94" t="n">
        <f aca="false">IFERROR((O1422*(Z1422/1000)/(AA1422))," ")</f>
        <v>0.989175065322882</v>
      </c>
      <c r="AC1422" s="95" t="n">
        <f aca="false">IFERROR((T1422)/((T1422)+O1422),0)</f>
        <v>0.00934579439252336</v>
      </c>
      <c r="AD1422" s="96" t="n">
        <f aca="false">IFERROR(Q1422/(Q1422+N1422),0)</f>
        <v>0</v>
      </c>
      <c r="AE1422" s="91" t="n">
        <f aca="false">(N1422-T1422)/N1422</f>
        <v>0.990668159761105</v>
      </c>
      <c r="AF1422" s="97" t="n">
        <f aca="false">BR1422</f>
        <v>0</v>
      </c>
      <c r="AG1422" s="98" t="n">
        <f aca="false">K1422-AF1422</f>
        <v>8</v>
      </c>
      <c r="AH1422" s="99" t="n">
        <f aca="false">IFERROR(AG1422/K1422," ")</f>
        <v>1</v>
      </c>
      <c r="AI1422" s="100" t="n">
        <f aca="false">IFERROR(O1422/K1422,0)</f>
        <v>662.5</v>
      </c>
      <c r="AJ1422" s="101" t="n">
        <f aca="false">VLOOKUP(D1422,'Standard Cycle time'!C:D,2,0)</f>
        <v>5.25</v>
      </c>
      <c r="AK1422" s="101" t="n">
        <f aca="false">AG1422*V1422*3600/O1422</f>
        <v>5.43396226415094</v>
      </c>
      <c r="AL1422" s="102" t="n">
        <f aca="false">AJ1422/AK1422</f>
        <v>0.966145833333333</v>
      </c>
      <c r="AM1422" s="99" t="n">
        <f aca="false">AE1422*AL1422*AH1422</f>
        <v>0.957129914769192</v>
      </c>
      <c r="AN1422" s="103" t="n">
        <v>0.957129914769192</v>
      </c>
      <c r="AO1422" s="112"/>
      <c r="AP1422" s="105" t="n">
        <v>0</v>
      </c>
      <c r="AQ1422" s="105" t="n">
        <v>0</v>
      </c>
      <c r="AR1422" s="105" t="n">
        <v>0</v>
      </c>
      <c r="AS1422" s="105" t="n">
        <v>0</v>
      </c>
      <c r="AT1422" s="105" t="n">
        <v>0</v>
      </c>
      <c r="AU1422" s="105" t="n">
        <v>0</v>
      </c>
      <c r="AV1422" s="105" t="n">
        <v>0</v>
      </c>
      <c r="AW1422" s="105" t="n">
        <v>0</v>
      </c>
      <c r="AX1422" s="105" t="n">
        <v>0</v>
      </c>
      <c r="AY1422" s="105" t="n">
        <v>0</v>
      </c>
      <c r="AZ1422" s="105" t="n">
        <v>0</v>
      </c>
      <c r="BA1422" s="105" t="n">
        <v>0</v>
      </c>
      <c r="BB1422" s="105" t="n">
        <v>0</v>
      </c>
      <c r="BC1422" s="105" t="n">
        <v>0</v>
      </c>
      <c r="BD1422" s="105" t="n">
        <v>0</v>
      </c>
      <c r="BE1422" s="105" t="n">
        <v>0</v>
      </c>
      <c r="BF1422" s="105" t="n">
        <v>0</v>
      </c>
      <c r="BG1422" s="105" t="n">
        <v>0</v>
      </c>
      <c r="BH1422" s="105" t="n">
        <v>0</v>
      </c>
      <c r="BI1422" s="105" t="n">
        <v>0</v>
      </c>
      <c r="BJ1422" s="105" t="n">
        <v>0</v>
      </c>
      <c r="BK1422" s="105" t="n">
        <v>0</v>
      </c>
      <c r="BL1422" s="105" t="n">
        <v>0</v>
      </c>
      <c r="BM1422" s="105" t="n">
        <v>0</v>
      </c>
      <c r="BN1422" s="105" t="n">
        <v>0</v>
      </c>
      <c r="BO1422" s="105" t="n">
        <v>0</v>
      </c>
      <c r="BP1422" s="105" t="n">
        <v>0</v>
      </c>
      <c r="BQ1422" s="105" t="n">
        <v>0</v>
      </c>
      <c r="BR1422" s="106" t="n">
        <v>0</v>
      </c>
      <c r="BS1422" s="106" t="n">
        <v>0</v>
      </c>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c r="CO1422" s="107"/>
      <c r="CP1422" s="107"/>
      <c r="CQ1422" s="107"/>
      <c r="CR1422" s="107"/>
      <c r="CS1422" s="107"/>
      <c r="CT1422" s="107"/>
      <c r="CU1422" s="107"/>
      <c r="CV1422" s="107"/>
    </row>
    <row r="1423" customFormat="false" ht="14.9" hidden="false" customHeight="false" outlineLevel="0" collapsed="false">
      <c r="A1423" s="74" t="n">
        <f aca="false">MONTH(B1423)</f>
        <v>11</v>
      </c>
      <c r="B1423" s="135" t="n">
        <v>44526</v>
      </c>
      <c r="C1423" s="128" t="s">
        <v>51</v>
      </c>
      <c r="D1423" s="77" t="str">
        <f aca="false">IFERROR(VLOOKUP(E:E,'Item Data Support Sheet'!A:O,7,0),"")</f>
        <v>BOTTLE MOLDED</v>
      </c>
      <c r="E1423" s="80" t="s">
        <v>235</v>
      </c>
      <c r="F1423" s="122" t="s">
        <v>589</v>
      </c>
      <c r="G1423" s="137" t="s">
        <v>74</v>
      </c>
      <c r="H1423" s="79" t="str">
        <f aca="false">IFERROR(VLOOKUP(E:E,'Item Data Support Sheet'!A:O,2,0),"")</f>
        <v>KPP 200 ML BOTTLE MOLDED</v>
      </c>
      <c r="I1423" s="80" t="s">
        <v>2222</v>
      </c>
      <c r="J1423" s="80" t="s">
        <v>143</v>
      </c>
      <c r="K1423" s="124" t="n">
        <v>8</v>
      </c>
      <c r="L1423" s="124" t="n">
        <v>2574</v>
      </c>
      <c r="M1423" s="83" t="n">
        <v>321.75</v>
      </c>
      <c r="N1423" s="84" t="n">
        <f aca="false">+O1423+Q1423+T1423+U1423</f>
        <v>2974</v>
      </c>
      <c r="O1423" s="85" t="n">
        <v>2916</v>
      </c>
      <c r="P1423" s="86" t="n">
        <v>0.3</v>
      </c>
      <c r="Q1423" s="86" t="n">
        <v>18</v>
      </c>
      <c r="R1423" s="132" t="n">
        <v>0</v>
      </c>
      <c r="S1423" s="128" t="n">
        <v>0</v>
      </c>
      <c r="T1423" s="132" t="n">
        <v>32</v>
      </c>
      <c r="U1423" s="128" t="n">
        <v>8</v>
      </c>
      <c r="V1423" s="128" t="n">
        <v>1</v>
      </c>
      <c r="W1423" s="90" t="n">
        <f aca="false">IFERROR(O1423/V1423,0)</f>
        <v>2916</v>
      </c>
      <c r="X1423" s="91" t="n">
        <f aca="false">O1423/L1423</f>
        <v>1.13286713286713</v>
      </c>
      <c r="Y1423" s="92" t="str">
        <f aca="false">IFERROR(VLOOKUP(E:E,'Item Data Support Sheet'!A:J,6,0),0)</f>
        <v>HMC</v>
      </c>
      <c r="Z1423" s="93" t="n">
        <f aca="false">IFERROR(VLOOKUP(E:E,'Item Data Support Sheet'!A:O,4,0),0)</f>
        <v>28.1</v>
      </c>
      <c r="AA1423" s="93" t="n">
        <f aca="false">IFERROR(((N1423)*(Z1423/1000))+P1423,0)</f>
        <v>83.8694</v>
      </c>
      <c r="AB1423" s="94" t="n">
        <f aca="false">IFERROR((O1423*(Z1423/1000)/(AA1423))," ")</f>
        <v>0.976990416051623</v>
      </c>
      <c r="AC1423" s="95" t="n">
        <f aca="false">IFERROR((T1423)/((T1423)+O1423),0)</f>
        <v>0.0108548168249661</v>
      </c>
      <c r="AD1423" s="96" t="n">
        <f aca="false">IFERROR(Q1423/(Q1423+N1423),0)</f>
        <v>0.00601604278074866</v>
      </c>
      <c r="AE1423" s="91" t="n">
        <f aca="false">(N1423-T1423)/N1423</f>
        <v>0.989240080699395</v>
      </c>
      <c r="AF1423" s="97" t="n">
        <f aca="false">BR1423</f>
        <v>0</v>
      </c>
      <c r="AG1423" s="98" t="n">
        <f aca="false">K1423-AF1423</f>
        <v>8</v>
      </c>
      <c r="AH1423" s="99" t="n">
        <f aca="false">IFERROR(AG1423/K1423," ")</f>
        <v>1</v>
      </c>
      <c r="AI1423" s="100" t="n">
        <f aca="false">IFERROR(O1423/K1423,0)</f>
        <v>364.5</v>
      </c>
      <c r="AJ1423" s="101" t="n">
        <f aca="false">VLOOKUP(D1423,'Standard Cycle time'!C:D,2,0)</f>
        <v>9</v>
      </c>
      <c r="AK1423" s="101" t="n">
        <f aca="false">AG1423*V1423*3600/O1423</f>
        <v>9.87654320987654</v>
      </c>
      <c r="AL1423" s="102" t="n">
        <f aca="false">AJ1423/AK1423</f>
        <v>0.91125</v>
      </c>
      <c r="AM1423" s="99" t="n">
        <f aca="false">AE1423*AL1423*AH1423</f>
        <v>0.901445023537323</v>
      </c>
      <c r="AN1423" s="103" t="n">
        <v>0.901445023537324</v>
      </c>
      <c r="AO1423" s="112"/>
      <c r="AP1423" s="105" t="n">
        <v>0</v>
      </c>
      <c r="AQ1423" s="105" t="n">
        <v>0</v>
      </c>
      <c r="AR1423" s="105" t="n">
        <v>0</v>
      </c>
      <c r="AS1423" s="105" t="n">
        <v>0</v>
      </c>
      <c r="AT1423" s="105" t="n">
        <v>0</v>
      </c>
      <c r="AU1423" s="105" t="n">
        <v>0</v>
      </c>
      <c r="AV1423" s="105" t="n">
        <v>0</v>
      </c>
      <c r="AW1423" s="105" t="n">
        <v>0</v>
      </c>
      <c r="AX1423" s="105" t="n">
        <v>0</v>
      </c>
      <c r="AY1423" s="105" t="n">
        <v>0</v>
      </c>
      <c r="AZ1423" s="105" t="n">
        <v>0</v>
      </c>
      <c r="BA1423" s="105" t="n">
        <v>0</v>
      </c>
      <c r="BB1423" s="105" t="n">
        <v>0</v>
      </c>
      <c r="BC1423" s="105" t="n">
        <v>0</v>
      </c>
      <c r="BD1423" s="105" t="n">
        <v>0</v>
      </c>
      <c r="BE1423" s="105" t="n">
        <v>0</v>
      </c>
      <c r="BF1423" s="105" t="n">
        <v>0</v>
      </c>
      <c r="BG1423" s="105" t="n">
        <v>0</v>
      </c>
      <c r="BH1423" s="105" t="n">
        <v>0</v>
      </c>
      <c r="BI1423" s="105" t="n">
        <v>0</v>
      </c>
      <c r="BJ1423" s="105" t="n">
        <v>0</v>
      </c>
      <c r="BK1423" s="105" t="n">
        <v>0</v>
      </c>
      <c r="BL1423" s="105" t="n">
        <v>0</v>
      </c>
      <c r="BM1423" s="105" t="n">
        <v>0</v>
      </c>
      <c r="BN1423" s="105" t="n">
        <v>0</v>
      </c>
      <c r="BO1423" s="105" t="n">
        <v>0</v>
      </c>
      <c r="BP1423" s="105" t="n">
        <v>0</v>
      </c>
      <c r="BQ1423" s="105" t="n">
        <v>0</v>
      </c>
      <c r="BR1423" s="106" t="n">
        <v>0</v>
      </c>
      <c r="BS1423" s="106" t="n">
        <v>0</v>
      </c>
      <c r="BT1423" s="107"/>
      <c r="BU1423" s="107"/>
      <c r="BV1423" s="107"/>
      <c r="BW1423" s="107"/>
      <c r="BX1423" s="107"/>
      <c r="BY1423" s="107"/>
      <c r="BZ1423" s="107"/>
      <c r="CA1423" s="107"/>
      <c r="CB1423" s="107"/>
      <c r="CC1423" s="107"/>
      <c r="CD1423" s="107"/>
      <c r="CE1423" s="107"/>
      <c r="CF1423" s="107"/>
      <c r="CG1423" s="107"/>
      <c r="CH1423" s="107"/>
      <c r="CI1423" s="107"/>
      <c r="CJ1423" s="107"/>
      <c r="CK1423" s="107"/>
      <c r="CL1423" s="107"/>
      <c r="CM1423" s="107"/>
      <c r="CN1423" s="107"/>
      <c r="CO1423" s="107"/>
      <c r="CP1423" s="107"/>
      <c r="CQ1423" s="107"/>
      <c r="CR1423" s="107"/>
      <c r="CS1423" s="107"/>
      <c r="CT1423" s="107"/>
      <c r="CU1423" s="107"/>
      <c r="CV1423" s="107"/>
    </row>
    <row r="1424" customFormat="false" ht="14.9" hidden="false" customHeight="false" outlineLevel="0" collapsed="false">
      <c r="A1424" s="74" t="n">
        <f aca="false">MONTH(B1424)</f>
        <v>11</v>
      </c>
      <c r="B1424" s="135" t="n">
        <v>44526</v>
      </c>
      <c r="C1424" s="128" t="s">
        <v>51</v>
      </c>
      <c r="D1424" s="77" t="str">
        <f aca="false">IFERROR(VLOOKUP(E:E,'Item Data Support Sheet'!A:O,7,0),"")</f>
        <v>NIPPLE PUNCH</v>
      </c>
      <c r="E1424" s="80" t="s">
        <v>563</v>
      </c>
      <c r="F1424" s="122"/>
      <c r="G1424" s="137" t="s">
        <v>54</v>
      </c>
      <c r="H1424" s="79" t="str">
        <f aca="false">IFERROR(VLOOKUP(E:E,'Item Data Support Sheet'!A:O,2,0),"")</f>
        <v>NIPPLE S TYPE LL SIZE PUNCHED</v>
      </c>
      <c r="I1424" s="80" t="s">
        <v>2223</v>
      </c>
      <c r="J1424" s="80" t="s">
        <v>143</v>
      </c>
      <c r="K1424" s="124" t="n">
        <v>8</v>
      </c>
      <c r="L1424" s="124" t="n">
        <v>7000</v>
      </c>
      <c r="M1424" s="83" t="n">
        <v>875</v>
      </c>
      <c r="N1424" s="84" t="n">
        <f aca="false">+O1424+Q1424+T1424+U1424</f>
        <v>7000</v>
      </c>
      <c r="O1424" s="85" t="n">
        <v>7000</v>
      </c>
      <c r="P1424" s="86" t="n">
        <v>0</v>
      </c>
      <c r="Q1424" s="86" t="n">
        <v>0</v>
      </c>
      <c r="R1424" s="132" t="n">
        <v>0</v>
      </c>
      <c r="S1424" s="128" t="n">
        <v>0</v>
      </c>
      <c r="T1424" s="132" t="n">
        <v>0</v>
      </c>
      <c r="U1424" s="128" t="n">
        <v>0</v>
      </c>
      <c r="V1424" s="128" t="n">
        <v>1</v>
      </c>
      <c r="W1424" s="90" t="n">
        <f aca="false">IFERROR(O1424/V1424,0)</f>
        <v>7000</v>
      </c>
      <c r="X1424" s="91" t="n">
        <f aca="false">O1424/L1424</f>
        <v>1</v>
      </c>
      <c r="Y1424" s="92" t="str">
        <f aca="false">IFERROR(VLOOKUP(E:E,'Item Data Support Sheet'!A:J,6,0),0)</f>
        <v>FO150</v>
      </c>
      <c r="Z1424" s="93" t="n">
        <f aca="false">IFERROR(VLOOKUP(E:E,'Item Data Support Sheet'!A:O,4,0),0)</f>
        <v>0</v>
      </c>
      <c r="AA1424" s="93" t="n">
        <f aca="false">IFERROR(((N1424)*(Z1424/1000))+P1424,0)</f>
        <v>0</v>
      </c>
      <c r="AB1424" s="94" t="str">
        <f aca="false">IFERROR((O1424*(Z1424/1000)/(AA1424))," ")</f>
        <v> </v>
      </c>
      <c r="AC1424" s="95" t="n">
        <f aca="false">IFERROR((T1424)/((T1424)+O1424),0)</f>
        <v>0</v>
      </c>
      <c r="AD1424" s="96" t="n">
        <f aca="false">IFERROR(Q1424/(Q1424+N1424),0)</f>
        <v>0</v>
      </c>
      <c r="AE1424" s="91" t="n">
        <f aca="false">(N1424-T1424)/N1424</f>
        <v>1</v>
      </c>
      <c r="AF1424" s="97" t="n">
        <f aca="false">BR1424</f>
        <v>0</v>
      </c>
      <c r="AG1424" s="98" t="n">
        <f aca="false">K1424-AF1424</f>
        <v>8</v>
      </c>
      <c r="AH1424" s="99" t="n">
        <f aca="false">IFERROR(AG1424/K1424," ")</f>
        <v>1</v>
      </c>
      <c r="AI1424" s="100" t="n">
        <f aca="false">IFERROR(O1424/K1424,0)</f>
        <v>875</v>
      </c>
      <c r="AJ1424" s="101" t="n">
        <f aca="false">VLOOKUP(D1424,'Standard Cycle time'!C:D,2,0)</f>
        <v>3.5</v>
      </c>
      <c r="AK1424" s="101" t="n">
        <f aca="false">AG1424*V1424*3600/O1424</f>
        <v>4.11428571428571</v>
      </c>
      <c r="AL1424" s="102" t="n">
        <f aca="false">AJ1424/AK1424</f>
        <v>0.850694444444444</v>
      </c>
      <c r="AM1424" s="99" t="n">
        <f aca="false">AE1424*AL1424*AH1424</f>
        <v>0.850694444444444</v>
      </c>
      <c r="AN1424" s="103" t="n">
        <v>0.850694444444444</v>
      </c>
      <c r="AO1424" s="112"/>
      <c r="AP1424" s="105" t="n">
        <v>0</v>
      </c>
      <c r="AQ1424" s="105" t="n">
        <v>0</v>
      </c>
      <c r="AR1424" s="105" t="n">
        <v>0</v>
      </c>
      <c r="AS1424" s="105" t="n">
        <v>0</v>
      </c>
      <c r="AT1424" s="105" t="n">
        <v>0</v>
      </c>
      <c r="AU1424" s="105" t="n">
        <v>0</v>
      </c>
      <c r="AV1424" s="105" t="n">
        <v>0</v>
      </c>
      <c r="AW1424" s="105" t="n">
        <v>0</v>
      </c>
      <c r="AX1424" s="105" t="n">
        <v>0</v>
      </c>
      <c r="AY1424" s="105" t="n">
        <v>0</v>
      </c>
      <c r="AZ1424" s="105" t="n">
        <v>0</v>
      </c>
      <c r="BA1424" s="105" t="n">
        <v>0</v>
      </c>
      <c r="BB1424" s="105" t="n">
        <v>0</v>
      </c>
      <c r="BC1424" s="105" t="n">
        <v>0</v>
      </c>
      <c r="BD1424" s="105" t="n">
        <v>0</v>
      </c>
      <c r="BE1424" s="105" t="n">
        <v>0</v>
      </c>
      <c r="BF1424" s="105" t="n">
        <v>0</v>
      </c>
      <c r="BG1424" s="105" t="n">
        <v>0</v>
      </c>
      <c r="BH1424" s="105" t="n">
        <v>0</v>
      </c>
      <c r="BI1424" s="105" t="n">
        <v>0</v>
      </c>
      <c r="BJ1424" s="105" t="n">
        <v>0</v>
      </c>
      <c r="BK1424" s="105" t="n">
        <v>0</v>
      </c>
      <c r="BL1424" s="105" t="n">
        <v>0</v>
      </c>
      <c r="BM1424" s="105" t="n">
        <v>0</v>
      </c>
      <c r="BN1424" s="105" t="n">
        <v>0</v>
      </c>
      <c r="BO1424" s="105" t="n">
        <v>0</v>
      </c>
      <c r="BP1424" s="105" t="n">
        <v>0</v>
      </c>
      <c r="BQ1424" s="105" t="n">
        <v>0</v>
      </c>
      <c r="BR1424" s="106" t="n">
        <v>0</v>
      </c>
      <c r="BS1424" s="106" t="n">
        <v>0</v>
      </c>
      <c r="BT1424" s="107"/>
      <c r="BU1424" s="107"/>
      <c r="BV1424" s="107"/>
      <c r="BW1424" s="107"/>
      <c r="BX1424" s="107"/>
      <c r="BY1424" s="107"/>
      <c r="BZ1424" s="107"/>
      <c r="CA1424" s="107"/>
      <c r="CB1424" s="107"/>
      <c r="CC1424" s="107"/>
      <c r="CD1424" s="107"/>
      <c r="CE1424" s="107"/>
      <c r="CF1424" s="107"/>
      <c r="CG1424" s="107"/>
      <c r="CH1424" s="107"/>
      <c r="CI1424" s="107"/>
      <c r="CJ1424" s="107"/>
      <c r="CK1424" s="107"/>
      <c r="CL1424" s="107"/>
      <c r="CM1424" s="107"/>
      <c r="CN1424" s="107"/>
      <c r="CO1424" s="107"/>
      <c r="CP1424" s="107"/>
      <c r="CQ1424" s="107"/>
      <c r="CR1424" s="107"/>
      <c r="CS1424" s="107"/>
      <c r="CT1424" s="107"/>
      <c r="CU1424" s="107"/>
      <c r="CV1424" s="107"/>
    </row>
    <row r="1425" customFormat="false" ht="14.9" hidden="false" customHeight="false" outlineLevel="0" collapsed="false">
      <c r="A1425" s="74" t="n">
        <f aca="false">MONTH(B1425)</f>
        <v>11</v>
      </c>
      <c r="B1425" s="135" t="n">
        <v>44526</v>
      </c>
      <c r="C1425" s="128" t="s">
        <v>51</v>
      </c>
      <c r="D1425" s="77" t="str">
        <f aca="false">IFERROR(VLOOKUP(E:E,'Item Data Support Sheet'!A:O,7,0),"")</f>
        <v>NIPPLE LASER MARKING</v>
      </c>
      <c r="E1425" s="80" t="s">
        <v>600</v>
      </c>
      <c r="F1425" s="122"/>
      <c r="G1425" s="137" t="s">
        <v>517</v>
      </c>
      <c r="H1425" s="79" t="str">
        <f aca="false">IFERROR(VLOOKUP(E:E,'Item Data Support Sheet'!A:O,2,0),"")</f>
        <v>NIPPLE S TYPE LL SIZE LASER MARKED</v>
      </c>
      <c r="I1425" s="80" t="s">
        <v>2224</v>
      </c>
      <c r="J1425" s="80" t="s">
        <v>143</v>
      </c>
      <c r="K1425" s="124" t="n">
        <v>8</v>
      </c>
      <c r="L1425" s="124" t="n">
        <v>7000</v>
      </c>
      <c r="M1425" s="83" t="n">
        <v>875</v>
      </c>
      <c r="N1425" s="84" t="n">
        <f aca="false">+O1425+Q1425+T1425+U1425</f>
        <v>6900</v>
      </c>
      <c r="O1425" s="85" t="n">
        <v>6900</v>
      </c>
      <c r="P1425" s="86" t="n">
        <v>0</v>
      </c>
      <c r="Q1425" s="86" t="n">
        <v>0</v>
      </c>
      <c r="R1425" s="132" t="n">
        <v>0</v>
      </c>
      <c r="S1425" s="128" t="n">
        <v>0</v>
      </c>
      <c r="T1425" s="132" t="n">
        <v>0</v>
      </c>
      <c r="U1425" s="128" t="n">
        <v>0</v>
      </c>
      <c r="V1425" s="128" t="n">
        <v>1</v>
      </c>
      <c r="W1425" s="90" t="n">
        <f aca="false">IFERROR(O1425/V1425,0)</f>
        <v>6900</v>
      </c>
      <c r="X1425" s="91" t="n">
        <f aca="false">O1425/L1425</f>
        <v>0.985714285714286</v>
      </c>
      <c r="Y1425" s="92" t="str">
        <f aca="false">IFERROR(VLOOKUP(E:E,'Item Data Support Sheet'!A:J,6,0),0)</f>
        <v>FO151</v>
      </c>
      <c r="Z1425" s="93" t="n">
        <f aca="false">IFERROR(VLOOKUP(E:E,'Item Data Support Sheet'!A:O,4,0),0)</f>
        <v>0</v>
      </c>
      <c r="AA1425" s="93" t="n">
        <f aca="false">IFERROR(((N1425)*(Z1425/1000))+P1425,0)</f>
        <v>0</v>
      </c>
      <c r="AB1425" s="94" t="str">
        <f aca="false">IFERROR((O1425*(Z1425/1000)/(AA1425))," ")</f>
        <v> </v>
      </c>
      <c r="AC1425" s="95" t="n">
        <f aca="false">IFERROR((T1425)/((T1425)+O1425),0)</f>
        <v>0</v>
      </c>
      <c r="AD1425" s="96" t="n">
        <f aca="false">IFERROR(Q1425/(Q1425+N1425),0)</f>
        <v>0</v>
      </c>
      <c r="AE1425" s="91" t="n">
        <f aca="false">(N1425-T1425)/N1425</f>
        <v>1</v>
      </c>
      <c r="AF1425" s="97" t="n">
        <f aca="false">BR1425</f>
        <v>0</v>
      </c>
      <c r="AG1425" s="98" t="n">
        <f aca="false">K1425-AF1425</f>
        <v>8</v>
      </c>
      <c r="AH1425" s="99" t="n">
        <f aca="false">IFERROR(AG1425/K1425," ")</f>
        <v>1</v>
      </c>
      <c r="AI1425" s="100" t="n">
        <f aca="false">IFERROR(O1425/K1425,0)</f>
        <v>862.5</v>
      </c>
      <c r="AJ1425" s="101" t="n">
        <f aca="false">VLOOKUP(D1425,'Standard Cycle time'!C:D,2,0)</f>
        <v>3.5</v>
      </c>
      <c r="AK1425" s="101" t="n">
        <f aca="false">AG1425*V1425*3600/O1425</f>
        <v>4.17391304347826</v>
      </c>
      <c r="AL1425" s="102" t="n">
        <f aca="false">AJ1425/AK1425</f>
        <v>0.838541666666667</v>
      </c>
      <c r="AM1425" s="99" t="n">
        <f aca="false">AE1425*AL1425*AH1425</f>
        <v>0.838541666666667</v>
      </c>
      <c r="AN1425" s="103" t="n">
        <v>0.838541666666667</v>
      </c>
      <c r="AO1425" s="112"/>
      <c r="AP1425" s="105" t="n">
        <v>0</v>
      </c>
      <c r="AQ1425" s="105" t="n">
        <v>0</v>
      </c>
      <c r="AR1425" s="105" t="n">
        <v>0</v>
      </c>
      <c r="AS1425" s="105" t="n">
        <v>0</v>
      </c>
      <c r="AT1425" s="105" t="n">
        <v>0</v>
      </c>
      <c r="AU1425" s="105" t="n">
        <v>0</v>
      </c>
      <c r="AV1425" s="105" t="n">
        <v>0</v>
      </c>
      <c r="AW1425" s="105" t="n">
        <v>0</v>
      </c>
      <c r="AX1425" s="105" t="n">
        <v>0</v>
      </c>
      <c r="AY1425" s="105" t="n">
        <v>0</v>
      </c>
      <c r="AZ1425" s="105" t="n">
        <v>0</v>
      </c>
      <c r="BA1425" s="105" t="n">
        <v>0</v>
      </c>
      <c r="BB1425" s="105" t="n">
        <v>0</v>
      </c>
      <c r="BC1425" s="105" t="n">
        <v>0</v>
      </c>
      <c r="BD1425" s="105" t="n">
        <v>0</v>
      </c>
      <c r="BE1425" s="105" t="n">
        <v>0</v>
      </c>
      <c r="BF1425" s="105" t="n">
        <v>0</v>
      </c>
      <c r="BG1425" s="105" t="n">
        <v>0</v>
      </c>
      <c r="BH1425" s="105" t="n">
        <v>0</v>
      </c>
      <c r="BI1425" s="105" t="n">
        <v>0</v>
      </c>
      <c r="BJ1425" s="105" t="n">
        <v>0</v>
      </c>
      <c r="BK1425" s="105" t="n">
        <v>0</v>
      </c>
      <c r="BL1425" s="105" t="n">
        <v>0</v>
      </c>
      <c r="BM1425" s="105" t="n">
        <v>0</v>
      </c>
      <c r="BN1425" s="105" t="n">
        <v>0</v>
      </c>
      <c r="BO1425" s="105" t="n">
        <v>0</v>
      </c>
      <c r="BP1425" s="105" t="n">
        <v>0</v>
      </c>
      <c r="BQ1425" s="105" t="n">
        <v>0</v>
      </c>
      <c r="BR1425" s="106" t="n">
        <v>0</v>
      </c>
      <c r="BS1425" s="106" t="n">
        <v>0</v>
      </c>
      <c r="BT1425" s="107"/>
      <c r="BU1425" s="107"/>
      <c r="BV1425" s="107"/>
      <c r="BW1425" s="107"/>
      <c r="BX1425" s="107"/>
      <c r="BY1425" s="107"/>
      <c r="BZ1425" s="107"/>
      <c r="CA1425" s="107"/>
      <c r="CB1425" s="107"/>
      <c r="CC1425" s="107"/>
      <c r="CD1425" s="107"/>
      <c r="CE1425" s="107"/>
      <c r="CF1425" s="107"/>
      <c r="CG1425" s="107"/>
      <c r="CH1425" s="107"/>
      <c r="CI1425" s="107"/>
      <c r="CJ1425" s="107"/>
      <c r="CK1425" s="107"/>
      <c r="CL1425" s="107"/>
      <c r="CM1425" s="107"/>
      <c r="CN1425" s="107"/>
      <c r="CO1425" s="107"/>
      <c r="CP1425" s="107"/>
      <c r="CQ1425" s="107"/>
      <c r="CR1425" s="107"/>
      <c r="CS1425" s="107"/>
      <c r="CT1425" s="107"/>
      <c r="CU1425" s="107"/>
      <c r="CV1425" s="107"/>
    </row>
    <row r="1426" customFormat="false" ht="14.9" hidden="false" customHeight="false" outlineLevel="0" collapsed="false">
      <c r="A1426" s="74" t="n">
        <f aca="false">MONTH(B1426)</f>
        <v>11</v>
      </c>
      <c r="B1426" s="135" t="n">
        <v>44526</v>
      </c>
      <c r="C1426" s="128" t="s">
        <v>51</v>
      </c>
      <c r="D1426" s="77" t="str">
        <f aca="false">IFERROR(VLOOKUP(E:E,'Item Data Support Sheet'!A:O,7,0),"")</f>
        <v>BOTTLE MOLDED</v>
      </c>
      <c r="E1426" s="80" t="s">
        <v>357</v>
      </c>
      <c r="F1426" s="122"/>
      <c r="G1426" s="137" t="s">
        <v>80</v>
      </c>
      <c r="H1426" s="79" t="str">
        <f aca="false">IFERROR(VLOOKUP(E:E,'Item Data Support Sheet'!A:O,2,0),"")</f>
        <v>KPP 120 ML BOTTLE MOLDED</v>
      </c>
      <c r="I1426" s="80" t="s">
        <v>2225</v>
      </c>
      <c r="J1426" s="80" t="s">
        <v>143</v>
      </c>
      <c r="K1426" s="124" t="n">
        <v>5</v>
      </c>
      <c r="L1426" s="124" t="n">
        <v>1440</v>
      </c>
      <c r="M1426" s="83" t="n">
        <v>288</v>
      </c>
      <c r="N1426" s="84" t="n">
        <f aca="false">+O1426+Q1426+T1426+U1426</f>
        <v>1560</v>
      </c>
      <c r="O1426" s="85" t="n">
        <v>1440</v>
      </c>
      <c r="P1426" s="86" t="n">
        <v>0.4</v>
      </c>
      <c r="Q1426" s="86" t="n">
        <v>82</v>
      </c>
      <c r="R1426" s="132" t="n">
        <v>0</v>
      </c>
      <c r="S1426" s="128" t="n">
        <v>0</v>
      </c>
      <c r="T1426" s="132" t="n">
        <v>30</v>
      </c>
      <c r="U1426" s="128" t="n">
        <v>8</v>
      </c>
      <c r="V1426" s="128" t="n">
        <v>1</v>
      </c>
      <c r="W1426" s="90" t="n">
        <f aca="false">IFERROR(O1426/V1426,0)</f>
        <v>1440</v>
      </c>
      <c r="X1426" s="91" t="n">
        <f aca="false">O1426/L1426</f>
        <v>1</v>
      </c>
      <c r="Y1426" s="92" t="str">
        <f aca="false">IFERROR(VLOOKUP(E:E,'Item Data Support Sheet'!A:J,6,0),0)</f>
        <v>HMC</v>
      </c>
      <c r="Z1426" s="93" t="n">
        <f aca="false">IFERROR(VLOOKUP(E:E,'Item Data Support Sheet'!A:O,4,0),0)</f>
        <v>21.3</v>
      </c>
      <c r="AA1426" s="93" t="n">
        <f aca="false">IFERROR(((N1426)*(Z1426/1000))+P1426,0)</f>
        <v>33.628</v>
      </c>
      <c r="AB1426" s="94" t="n">
        <f aca="false">IFERROR((O1426*(Z1426/1000)/(AA1426))," ")</f>
        <v>0.912097061972166</v>
      </c>
      <c r="AC1426" s="95" t="n">
        <f aca="false">IFERROR((T1426)/((T1426)+O1426),0)</f>
        <v>0.0204081632653061</v>
      </c>
      <c r="AD1426" s="96" t="n">
        <f aca="false">IFERROR(Q1426/(Q1426+N1426),0)</f>
        <v>0.0499390986601705</v>
      </c>
      <c r="AE1426" s="91" t="n">
        <f aca="false">(N1426-T1426)/N1426</f>
        <v>0.980769230769231</v>
      </c>
      <c r="AF1426" s="97" t="n">
        <f aca="false">BR1426</f>
        <v>1.16666666666667</v>
      </c>
      <c r="AG1426" s="98" t="n">
        <f aca="false">K1426-AF1426</f>
        <v>3.83333333333333</v>
      </c>
      <c r="AH1426" s="99" t="n">
        <f aca="false">IFERROR(AG1426/K1426," ")</f>
        <v>0.766666666666666</v>
      </c>
      <c r="AI1426" s="100" t="n">
        <f aca="false">IFERROR(O1426/K1426,0)</f>
        <v>288</v>
      </c>
      <c r="AJ1426" s="101" t="n">
        <f aca="false">VLOOKUP(D1426,'Standard Cycle time'!C:D,2,0)</f>
        <v>9</v>
      </c>
      <c r="AK1426" s="101" t="n">
        <f aca="false">AG1426*V1426*3600/O1426</f>
        <v>9.58333333333333</v>
      </c>
      <c r="AL1426" s="102" t="n">
        <f aca="false">AJ1426/AK1426</f>
        <v>0.93913043478261</v>
      </c>
      <c r="AM1426" s="99" t="n">
        <f aca="false">AE1426*AL1426*AH1426</f>
        <v>0.706153846153846</v>
      </c>
      <c r="AN1426" s="103" t="n">
        <v>0.706153846153846</v>
      </c>
      <c r="AO1426" s="112" t="s">
        <v>2226</v>
      </c>
      <c r="AP1426" s="105" t="n">
        <v>0</v>
      </c>
      <c r="AQ1426" s="105" t="n">
        <v>70</v>
      </c>
      <c r="AR1426" s="105" t="n">
        <v>0</v>
      </c>
      <c r="AS1426" s="105" t="n">
        <v>0</v>
      </c>
      <c r="AT1426" s="105" t="n">
        <v>0</v>
      </c>
      <c r="AU1426" s="105" t="n">
        <v>0</v>
      </c>
      <c r="AV1426" s="105" t="n">
        <v>0</v>
      </c>
      <c r="AW1426" s="105" t="n">
        <v>0</v>
      </c>
      <c r="AX1426" s="105" t="n">
        <v>0</v>
      </c>
      <c r="AY1426" s="105" t="n">
        <v>0</v>
      </c>
      <c r="AZ1426" s="105" t="n">
        <v>0</v>
      </c>
      <c r="BA1426" s="105" t="n">
        <v>0</v>
      </c>
      <c r="BB1426" s="105" t="n">
        <v>0</v>
      </c>
      <c r="BC1426" s="105" t="n">
        <v>0</v>
      </c>
      <c r="BD1426" s="105" t="n">
        <v>0</v>
      </c>
      <c r="BE1426" s="105" t="n">
        <v>0</v>
      </c>
      <c r="BF1426" s="105" t="n">
        <v>0</v>
      </c>
      <c r="BG1426" s="105" t="n">
        <v>0</v>
      </c>
      <c r="BH1426" s="105" t="n">
        <v>0</v>
      </c>
      <c r="BI1426" s="105" t="n">
        <v>0</v>
      </c>
      <c r="BJ1426" s="105" t="n">
        <v>0</v>
      </c>
      <c r="BK1426" s="105" t="n">
        <v>0</v>
      </c>
      <c r="BL1426" s="105" t="n">
        <v>0</v>
      </c>
      <c r="BM1426" s="105" t="n">
        <v>0</v>
      </c>
      <c r="BN1426" s="105" t="n">
        <v>0</v>
      </c>
      <c r="BO1426" s="105" t="n">
        <v>0</v>
      </c>
      <c r="BP1426" s="105" t="n">
        <v>0</v>
      </c>
      <c r="BQ1426" s="105" t="n">
        <v>0</v>
      </c>
      <c r="BR1426" s="106" t="n">
        <v>1.16666666666667</v>
      </c>
      <c r="BS1426" s="106" t="n">
        <v>1.16666666666667</v>
      </c>
      <c r="BT1426" s="107"/>
      <c r="BU1426" s="107"/>
      <c r="BV1426" s="107"/>
      <c r="BW1426" s="107"/>
      <c r="BX1426" s="107"/>
      <c r="BY1426" s="107"/>
      <c r="BZ1426" s="107"/>
      <c r="CA1426" s="107"/>
      <c r="CB1426" s="107"/>
      <c r="CC1426" s="107"/>
      <c r="CD1426" s="107"/>
      <c r="CE1426" s="107"/>
      <c r="CF1426" s="107"/>
      <c r="CG1426" s="107"/>
      <c r="CH1426" s="107"/>
      <c r="CI1426" s="107"/>
      <c r="CJ1426" s="107"/>
      <c r="CK1426" s="107"/>
      <c r="CL1426" s="107"/>
      <c r="CM1426" s="107"/>
      <c r="CN1426" s="107"/>
      <c r="CO1426" s="107"/>
      <c r="CP1426" s="107"/>
      <c r="CQ1426" s="107"/>
      <c r="CR1426" s="107"/>
      <c r="CS1426" s="107"/>
      <c r="CT1426" s="107"/>
      <c r="CU1426" s="107"/>
      <c r="CV1426" s="107"/>
    </row>
    <row r="1427" customFormat="false" ht="14.9" hidden="false" customHeight="false" outlineLevel="0" collapsed="false">
      <c r="A1427" s="74" t="n">
        <f aca="false">MONTH(B1427)</f>
        <v>11</v>
      </c>
      <c r="B1427" s="135" t="n">
        <v>44526</v>
      </c>
      <c r="C1427" s="128" t="s">
        <v>63</v>
      </c>
      <c r="D1427" s="77" t="str">
        <f aca="false">IFERROR(VLOOKUP(E:E,'Item Data Support Sheet'!A:O,7,0),"")</f>
        <v>NIPPLE PUNCH INSPECTED</v>
      </c>
      <c r="E1427" s="80" t="s">
        <v>621</v>
      </c>
      <c r="F1427" s="122"/>
      <c r="G1427" s="137"/>
      <c r="H1427" s="79" t="str">
        <f aca="false">IFERROR(VLOOKUP(E:E,'Item Data Support Sheet'!A:O,2,0),"")</f>
        <v>NIPPLE S TYPE LL SIZE INSPECTED</v>
      </c>
      <c r="I1427" s="80" t="s">
        <v>2227</v>
      </c>
      <c r="J1427" s="80" t="s">
        <v>155</v>
      </c>
      <c r="K1427" s="124" t="n">
        <v>8</v>
      </c>
      <c r="L1427" s="124" t="n">
        <v>19000</v>
      </c>
      <c r="M1427" s="83" t="n">
        <v>2375</v>
      </c>
      <c r="N1427" s="84" t="n">
        <f aca="false">+O1427+Q1427+T1427+U1427</f>
        <v>19400</v>
      </c>
      <c r="O1427" s="85" t="n">
        <v>19200</v>
      </c>
      <c r="P1427" s="86" t="n">
        <v>0</v>
      </c>
      <c r="Q1427" s="86" t="n">
        <v>0</v>
      </c>
      <c r="R1427" s="132" t="n">
        <v>0</v>
      </c>
      <c r="S1427" s="128" t="n">
        <v>0</v>
      </c>
      <c r="T1427" s="132" t="n">
        <v>200</v>
      </c>
      <c r="U1427" s="128" t="n">
        <v>0</v>
      </c>
      <c r="V1427" s="128" t="n">
        <v>2</v>
      </c>
      <c r="W1427" s="90" t="n">
        <f aca="false">IFERROR(O1427/V1427,0)</f>
        <v>9600</v>
      </c>
      <c r="X1427" s="91" t="n">
        <f aca="false">O1427/L1427</f>
        <v>1.01052631578947</v>
      </c>
      <c r="Y1427" s="92" t="str">
        <f aca="false">IFERROR(VLOOKUP(E:E,'Item Data Support Sheet'!A:J,6,0),0)</f>
        <v>FO152</v>
      </c>
      <c r="Z1427" s="93" t="n">
        <f aca="false">IFERROR(VLOOKUP(E:E,'Item Data Support Sheet'!A:O,4,0),0)</f>
        <v>0</v>
      </c>
      <c r="AA1427" s="93" t="n">
        <f aca="false">IFERROR(((N1427)*(Z1427/1000))+P1427,0)</f>
        <v>0</v>
      </c>
      <c r="AB1427" s="94" t="str">
        <f aca="false">IFERROR((O1427*(Z1427/1000)/(AA1427))," ")</f>
        <v> </v>
      </c>
      <c r="AC1427" s="95" t="n">
        <f aca="false">IFERROR((T1427)/((T1427)+O1427),0)</f>
        <v>0.0103092783505155</v>
      </c>
      <c r="AD1427" s="96" t="n">
        <f aca="false">IFERROR(Q1427/(Q1427+N1427),0)</f>
        <v>0</v>
      </c>
      <c r="AE1427" s="91" t="n">
        <f aca="false">(N1427-T1427)/N1427</f>
        <v>0.989690721649485</v>
      </c>
      <c r="AF1427" s="97" t="n">
        <f aca="false">BR1427</f>
        <v>0.833333333333333</v>
      </c>
      <c r="AG1427" s="98" t="n">
        <f aca="false">K1427-AF1427</f>
        <v>7.16666666666667</v>
      </c>
      <c r="AH1427" s="99" t="n">
        <f aca="false">IFERROR(AG1427/K1427," ")</f>
        <v>0.895833333333333</v>
      </c>
      <c r="AI1427" s="100" t="n">
        <f aca="false">IFERROR(O1427/K1427,0)</f>
        <v>2400</v>
      </c>
      <c r="AJ1427" s="101" t="n">
        <f aca="false">VLOOKUP(D1427,'Standard Cycle time'!C:D,2,0)</f>
        <v>4</v>
      </c>
      <c r="AK1427" s="101" t="n">
        <f aca="false">AG1427*V1427*3600/O1427</f>
        <v>2.6875</v>
      </c>
      <c r="AL1427" s="102" t="n">
        <f aca="false">AJ1427/AK1427</f>
        <v>1.48837209302326</v>
      </c>
      <c r="AM1427" s="99" t="n">
        <f aca="false">AE1427*AL1427*AH1427</f>
        <v>1.31958762886598</v>
      </c>
      <c r="AN1427" s="103" t="n">
        <v>1.31958762886598</v>
      </c>
      <c r="AO1427" s="112"/>
      <c r="AP1427" s="105" t="n">
        <v>50</v>
      </c>
      <c r="AQ1427" s="105" t="n">
        <v>0</v>
      </c>
      <c r="AR1427" s="105" t="n">
        <v>0</v>
      </c>
      <c r="AS1427" s="105" t="n">
        <v>0</v>
      </c>
      <c r="AT1427" s="105" t="n">
        <v>0</v>
      </c>
      <c r="AU1427" s="105" t="n">
        <v>0</v>
      </c>
      <c r="AV1427" s="105" t="n">
        <v>0</v>
      </c>
      <c r="AW1427" s="105" t="n">
        <v>0</v>
      </c>
      <c r="AX1427" s="105" t="n">
        <v>0</v>
      </c>
      <c r="AY1427" s="105" t="n">
        <v>0</v>
      </c>
      <c r="AZ1427" s="105" t="n">
        <v>0</v>
      </c>
      <c r="BA1427" s="105" t="n">
        <v>0</v>
      </c>
      <c r="BB1427" s="105" t="n">
        <v>0</v>
      </c>
      <c r="BC1427" s="105" t="n">
        <v>0</v>
      </c>
      <c r="BD1427" s="105" t="n">
        <v>0</v>
      </c>
      <c r="BE1427" s="105" t="n">
        <v>0</v>
      </c>
      <c r="BF1427" s="105" t="n">
        <v>0</v>
      </c>
      <c r="BG1427" s="105" t="n">
        <v>0</v>
      </c>
      <c r="BH1427" s="105" t="n">
        <v>0</v>
      </c>
      <c r="BI1427" s="105" t="n">
        <v>0</v>
      </c>
      <c r="BJ1427" s="105" t="n">
        <v>0</v>
      </c>
      <c r="BK1427" s="105" t="n">
        <v>0</v>
      </c>
      <c r="BL1427" s="105" t="n">
        <v>0</v>
      </c>
      <c r="BM1427" s="105" t="n">
        <v>0</v>
      </c>
      <c r="BN1427" s="105" t="n">
        <v>0</v>
      </c>
      <c r="BO1427" s="105" t="n">
        <v>0</v>
      </c>
      <c r="BP1427" s="105" t="n">
        <v>0</v>
      </c>
      <c r="BQ1427" s="105" t="n">
        <v>0</v>
      </c>
      <c r="BR1427" s="106" t="n">
        <v>0.833333333333333</v>
      </c>
      <c r="BS1427" s="106" t="n">
        <v>0.833333333333333</v>
      </c>
      <c r="BT1427" s="107"/>
      <c r="BU1427" s="107"/>
      <c r="BV1427" s="107"/>
      <c r="BW1427" s="107"/>
      <c r="BX1427" s="107"/>
      <c r="BY1427" s="107"/>
      <c r="BZ1427" s="107"/>
      <c r="CA1427" s="107"/>
      <c r="CB1427" s="107"/>
      <c r="CC1427" s="107"/>
      <c r="CD1427" s="107"/>
      <c r="CE1427" s="107"/>
      <c r="CF1427" s="107"/>
      <c r="CG1427" s="107"/>
      <c r="CH1427" s="107"/>
      <c r="CI1427" s="107"/>
      <c r="CJ1427" s="107"/>
      <c r="CK1427" s="107"/>
      <c r="CL1427" s="107"/>
      <c r="CM1427" s="107"/>
      <c r="CN1427" s="107"/>
      <c r="CO1427" s="107"/>
      <c r="CP1427" s="107"/>
      <c r="CQ1427" s="107"/>
      <c r="CR1427" s="107"/>
      <c r="CS1427" s="107"/>
      <c r="CT1427" s="107"/>
      <c r="CU1427" s="107"/>
      <c r="CV1427" s="107"/>
    </row>
    <row r="1428" customFormat="false" ht="14.9" hidden="false" customHeight="false" outlineLevel="0" collapsed="false">
      <c r="A1428" s="74" t="n">
        <f aca="false">MONTH(B1428)</f>
        <v>11</v>
      </c>
      <c r="B1428" s="135" t="n">
        <v>44526</v>
      </c>
      <c r="C1428" s="128" t="s">
        <v>63</v>
      </c>
      <c r="D1428" s="77" t="str">
        <f aca="false">IFERROR(VLOOKUP(E:E,'Item Data Support Sheet'!A:O,7,0),"")</f>
        <v>BOTTLE PRINTED</v>
      </c>
      <c r="E1428" s="80" t="s">
        <v>270</v>
      </c>
      <c r="F1428" s="122"/>
      <c r="G1428" s="137"/>
      <c r="H1428" s="79" t="str">
        <f aca="false">IFERROR(VLOOKUP(E:E,'Item Data Support Sheet'!A:O,2,0),"")</f>
        <v>RPP 120 ML BOTTLE PRINTED</v>
      </c>
      <c r="I1428" s="80" t="s">
        <v>2228</v>
      </c>
      <c r="J1428" s="80" t="s">
        <v>155</v>
      </c>
      <c r="K1428" s="124" t="n">
        <v>8</v>
      </c>
      <c r="L1428" s="124" t="n">
        <v>5800</v>
      </c>
      <c r="M1428" s="83" t="n">
        <v>725</v>
      </c>
      <c r="N1428" s="84" t="n">
        <f aca="false">+O1428+Q1428+T1428+U1428</f>
        <v>6189</v>
      </c>
      <c r="O1428" s="85" t="n">
        <v>6116</v>
      </c>
      <c r="P1428" s="86" t="n">
        <v>0</v>
      </c>
      <c r="Q1428" s="86" t="n">
        <v>0</v>
      </c>
      <c r="R1428" s="132" t="n">
        <v>42</v>
      </c>
      <c r="S1428" s="128" t="n">
        <v>0</v>
      </c>
      <c r="T1428" s="132" t="n">
        <v>73</v>
      </c>
      <c r="U1428" s="128" t="n">
        <v>0</v>
      </c>
      <c r="V1428" s="128" t="n">
        <v>6</v>
      </c>
      <c r="W1428" s="90" t="n">
        <f aca="false">IFERROR(O1428/V1428,0)</f>
        <v>1019.33333333333</v>
      </c>
      <c r="X1428" s="91" t="n">
        <f aca="false">O1428/L1428</f>
        <v>1.05448275862069</v>
      </c>
      <c r="Y1428" s="92" t="str">
        <f aca="false">IFERROR(VLOOKUP(E:E,'Item Data Support Sheet'!A:J,6,0),0)</f>
        <v>FO004</v>
      </c>
      <c r="Z1428" s="93" t="n">
        <f aca="false">IFERROR(VLOOKUP(E:E,'Item Data Support Sheet'!A:O,4,0),0)</f>
        <v>0</v>
      </c>
      <c r="AA1428" s="93" t="n">
        <f aca="false">IFERROR(((N1428)*(Z1428/1000))+P1428,0)</f>
        <v>0</v>
      </c>
      <c r="AB1428" s="94" t="str">
        <f aca="false">IFERROR((O1428*(Z1428/1000)/(AA1428))," ")</f>
        <v> </v>
      </c>
      <c r="AC1428" s="95" t="n">
        <f aca="false">IFERROR((T1428)/((T1428)+O1428),0)</f>
        <v>0.0117951203748586</v>
      </c>
      <c r="AD1428" s="96" t="n">
        <f aca="false">IFERROR(Q1428/(Q1428+N1428),0)</f>
        <v>0</v>
      </c>
      <c r="AE1428" s="91" t="n">
        <f aca="false">(N1428-T1428)/N1428</f>
        <v>0.988204879625141</v>
      </c>
      <c r="AF1428" s="97" t="n">
        <f aca="false">BR1428</f>
        <v>0.833333333333333</v>
      </c>
      <c r="AG1428" s="98" t="n">
        <f aca="false">K1428-AF1428</f>
        <v>7.16666666666667</v>
      </c>
      <c r="AH1428" s="99" t="n">
        <f aca="false">IFERROR(AG1428/K1428," ")</f>
        <v>0.895833333333333</v>
      </c>
      <c r="AI1428" s="100" t="n">
        <f aca="false">IFERROR(O1428/K1428,0)</f>
        <v>764.5</v>
      </c>
      <c r="AJ1428" s="101" t="n">
        <f aca="false">VLOOKUP(D1428,'Standard Cycle time'!C:D,2,0)</f>
        <v>32.4</v>
      </c>
      <c r="AK1428" s="101" t="n">
        <f aca="false">AG1428*V1428*3600/O1428</f>
        <v>25.3106605624591</v>
      </c>
      <c r="AL1428" s="102" t="n">
        <f aca="false">AJ1428/AK1428</f>
        <v>1.28009302325581</v>
      </c>
      <c r="AM1428" s="99" t="n">
        <f aca="false">AE1428*AL1428*AH1428</f>
        <v>1.13322394571013</v>
      </c>
      <c r="AN1428" s="103" t="n">
        <v>1.13322394571013</v>
      </c>
      <c r="AO1428" s="112"/>
      <c r="AP1428" s="105" t="n">
        <v>50</v>
      </c>
      <c r="AQ1428" s="105" t="n">
        <v>0</v>
      </c>
      <c r="AR1428" s="105" t="n">
        <v>0</v>
      </c>
      <c r="AS1428" s="105" t="n">
        <v>0</v>
      </c>
      <c r="AT1428" s="105" t="n">
        <v>0</v>
      </c>
      <c r="AU1428" s="105" t="n">
        <v>0</v>
      </c>
      <c r="AV1428" s="105" t="n">
        <v>0</v>
      </c>
      <c r="AW1428" s="105" t="n">
        <v>0</v>
      </c>
      <c r="AX1428" s="105" t="n">
        <v>0</v>
      </c>
      <c r="AY1428" s="105" t="n">
        <v>0</v>
      </c>
      <c r="AZ1428" s="105" t="n">
        <v>0</v>
      </c>
      <c r="BA1428" s="105" t="n">
        <v>0</v>
      </c>
      <c r="BB1428" s="105" t="n">
        <v>0</v>
      </c>
      <c r="BC1428" s="105" t="n">
        <v>0</v>
      </c>
      <c r="BD1428" s="105" t="n">
        <v>0</v>
      </c>
      <c r="BE1428" s="105" t="n">
        <v>0</v>
      </c>
      <c r="BF1428" s="105" t="n">
        <v>0</v>
      </c>
      <c r="BG1428" s="105" t="n">
        <v>0</v>
      </c>
      <c r="BH1428" s="105" t="n">
        <v>0</v>
      </c>
      <c r="BI1428" s="105" t="n">
        <v>0</v>
      </c>
      <c r="BJ1428" s="105" t="n">
        <v>0</v>
      </c>
      <c r="BK1428" s="105" t="n">
        <v>0</v>
      </c>
      <c r="BL1428" s="105" t="n">
        <v>0</v>
      </c>
      <c r="BM1428" s="105" t="n">
        <v>0</v>
      </c>
      <c r="BN1428" s="105" t="n">
        <v>0</v>
      </c>
      <c r="BO1428" s="105" t="n">
        <v>0</v>
      </c>
      <c r="BP1428" s="105" t="n">
        <v>0</v>
      </c>
      <c r="BQ1428" s="105" t="n">
        <v>0</v>
      </c>
      <c r="BR1428" s="106" t="n">
        <v>0.833333333333333</v>
      </c>
      <c r="BS1428" s="106" t="n">
        <v>0.833333333333333</v>
      </c>
      <c r="BT1428" s="107"/>
      <c r="BU1428" s="107"/>
      <c r="BV1428" s="107"/>
      <c r="BW1428" s="107"/>
      <c r="BX1428" s="107"/>
      <c r="BY1428" s="107"/>
      <c r="BZ1428" s="107"/>
      <c r="CA1428" s="107"/>
      <c r="CB1428" s="107"/>
      <c r="CC1428" s="107"/>
      <c r="CD1428" s="107"/>
      <c r="CE1428" s="107"/>
      <c r="CF1428" s="107"/>
      <c r="CG1428" s="107"/>
      <c r="CH1428" s="107"/>
      <c r="CI1428" s="107"/>
      <c r="CJ1428" s="107"/>
      <c r="CK1428" s="107"/>
      <c r="CL1428" s="107"/>
      <c r="CM1428" s="107"/>
      <c r="CN1428" s="107"/>
      <c r="CO1428" s="107"/>
      <c r="CP1428" s="107"/>
      <c r="CQ1428" s="107"/>
      <c r="CR1428" s="107"/>
      <c r="CS1428" s="107"/>
      <c r="CT1428" s="107"/>
      <c r="CU1428" s="107"/>
      <c r="CV1428" s="107"/>
    </row>
    <row r="1429" customFormat="false" ht="14.9" hidden="false" customHeight="false" outlineLevel="0" collapsed="false">
      <c r="A1429" s="74" t="n">
        <f aca="false">MONTH(B1429)</f>
        <v>11</v>
      </c>
      <c r="B1429" s="135" t="n">
        <v>44526</v>
      </c>
      <c r="C1429" s="128" t="s">
        <v>70</v>
      </c>
      <c r="D1429" s="77" t="str">
        <f aca="false">IFERROR(VLOOKUP(E:E,'Item Data Support Sheet'!A:O,7,0),"")</f>
        <v>NIPPLE PUNCH</v>
      </c>
      <c r="E1429" s="80" t="s">
        <v>563</v>
      </c>
      <c r="F1429" s="122"/>
      <c r="G1429" s="137" t="s">
        <v>54</v>
      </c>
      <c r="H1429" s="79" t="str">
        <f aca="false">IFERROR(VLOOKUP(E:E,'Item Data Support Sheet'!A:O,2,0),"")</f>
        <v>NIPPLE S TYPE LL SIZE PUNCHED</v>
      </c>
      <c r="I1429" s="80" t="s">
        <v>2229</v>
      </c>
      <c r="J1429" s="80" t="s">
        <v>155</v>
      </c>
      <c r="K1429" s="124" t="n">
        <v>8</v>
      </c>
      <c r="L1429" s="124" t="n">
        <v>7000</v>
      </c>
      <c r="M1429" s="83" t="n">
        <v>875</v>
      </c>
      <c r="N1429" s="84" t="n">
        <f aca="false">+O1429+Q1429+T1429+U1429</f>
        <v>7000</v>
      </c>
      <c r="O1429" s="85" t="n">
        <v>7000</v>
      </c>
      <c r="P1429" s="86" t="n">
        <v>0</v>
      </c>
      <c r="Q1429" s="86" t="n">
        <v>0</v>
      </c>
      <c r="R1429" s="132" t="n">
        <v>0</v>
      </c>
      <c r="S1429" s="128" t="n">
        <v>0</v>
      </c>
      <c r="T1429" s="132" t="n">
        <v>0</v>
      </c>
      <c r="U1429" s="128" t="n">
        <v>0</v>
      </c>
      <c r="V1429" s="128" t="n">
        <v>1</v>
      </c>
      <c r="W1429" s="90" t="n">
        <f aca="false">IFERROR(O1429/V1429,0)</f>
        <v>7000</v>
      </c>
      <c r="X1429" s="91" t="n">
        <f aca="false">O1429/L1429</f>
        <v>1</v>
      </c>
      <c r="Y1429" s="92" t="str">
        <f aca="false">IFERROR(VLOOKUP(E:E,'Item Data Support Sheet'!A:J,6,0),0)</f>
        <v>FO150</v>
      </c>
      <c r="Z1429" s="93" t="n">
        <f aca="false">IFERROR(VLOOKUP(E:E,'Item Data Support Sheet'!A:O,4,0),0)</f>
        <v>0</v>
      </c>
      <c r="AA1429" s="93" t="n">
        <f aca="false">IFERROR(((N1429)*(Z1429/1000))+P1429,0)</f>
        <v>0</v>
      </c>
      <c r="AB1429" s="94" t="str">
        <f aca="false">IFERROR((O1429*(Z1429/1000)/(AA1429))," ")</f>
        <v> </v>
      </c>
      <c r="AC1429" s="95" t="n">
        <f aca="false">IFERROR((T1429)/((T1429)+O1429),0)</f>
        <v>0</v>
      </c>
      <c r="AD1429" s="96" t="n">
        <f aca="false">IFERROR(Q1429/(Q1429+N1429),0)</f>
        <v>0</v>
      </c>
      <c r="AE1429" s="91" t="n">
        <f aca="false">(N1429-T1429)/N1429</f>
        <v>1</v>
      </c>
      <c r="AF1429" s="97" t="n">
        <f aca="false">BR1429</f>
        <v>0.666666666666667</v>
      </c>
      <c r="AG1429" s="98" t="n">
        <f aca="false">K1429-AF1429</f>
        <v>7.33333333333333</v>
      </c>
      <c r="AH1429" s="99" t="n">
        <f aca="false">IFERROR(AG1429/K1429," ")</f>
        <v>0.916666666666667</v>
      </c>
      <c r="AI1429" s="100" t="n">
        <f aca="false">IFERROR(O1429/K1429,0)</f>
        <v>875</v>
      </c>
      <c r="AJ1429" s="101" t="n">
        <f aca="false">VLOOKUP(D1429,'Standard Cycle time'!C:D,2,0)</f>
        <v>3.5</v>
      </c>
      <c r="AK1429" s="101" t="n">
        <f aca="false">AG1429*V1429*3600/O1429</f>
        <v>3.77142857142857</v>
      </c>
      <c r="AL1429" s="102" t="n">
        <f aca="false">AJ1429/AK1429</f>
        <v>0.928030303030303</v>
      </c>
      <c r="AM1429" s="99" t="n">
        <f aca="false">AE1429*AL1429*AH1429</f>
        <v>0.850694444444444</v>
      </c>
      <c r="AN1429" s="103" t="n">
        <v>0.850694444444444</v>
      </c>
      <c r="AO1429" s="112"/>
      <c r="AP1429" s="105" t="n">
        <v>40</v>
      </c>
      <c r="AQ1429" s="105" t="n">
        <v>0</v>
      </c>
      <c r="AR1429" s="105" t="n">
        <v>0</v>
      </c>
      <c r="AS1429" s="105" t="n">
        <v>0</v>
      </c>
      <c r="AT1429" s="105" t="n">
        <v>0</v>
      </c>
      <c r="AU1429" s="105" t="n">
        <v>0</v>
      </c>
      <c r="AV1429" s="105" t="n">
        <v>0</v>
      </c>
      <c r="AW1429" s="105" t="n">
        <v>0</v>
      </c>
      <c r="AX1429" s="105" t="n">
        <v>0</v>
      </c>
      <c r="AY1429" s="105" t="n">
        <v>0</v>
      </c>
      <c r="AZ1429" s="105" t="n">
        <v>0</v>
      </c>
      <c r="BA1429" s="105" t="n">
        <v>0</v>
      </c>
      <c r="BB1429" s="105" t="n">
        <v>0</v>
      </c>
      <c r="BC1429" s="105" t="n">
        <v>0</v>
      </c>
      <c r="BD1429" s="105" t="n">
        <v>0</v>
      </c>
      <c r="BE1429" s="105" t="n">
        <v>0</v>
      </c>
      <c r="BF1429" s="105" t="n">
        <v>0</v>
      </c>
      <c r="BG1429" s="105" t="n">
        <v>0</v>
      </c>
      <c r="BH1429" s="105" t="n">
        <v>0</v>
      </c>
      <c r="BI1429" s="105" t="n">
        <v>0</v>
      </c>
      <c r="BJ1429" s="105" t="n">
        <v>0</v>
      </c>
      <c r="BK1429" s="105" t="n">
        <v>0</v>
      </c>
      <c r="BL1429" s="105" t="n">
        <v>0</v>
      </c>
      <c r="BM1429" s="105" t="n">
        <v>0</v>
      </c>
      <c r="BN1429" s="105" t="n">
        <v>0</v>
      </c>
      <c r="BO1429" s="105" t="n">
        <v>0</v>
      </c>
      <c r="BP1429" s="105" t="n">
        <v>0</v>
      </c>
      <c r="BQ1429" s="105" t="n">
        <v>0</v>
      </c>
      <c r="BR1429" s="106" t="n">
        <v>0.666666666666667</v>
      </c>
      <c r="BS1429" s="106" t="n">
        <v>0.666666666666667</v>
      </c>
      <c r="BT1429" s="107"/>
      <c r="BU1429" s="107"/>
      <c r="BV1429" s="107"/>
      <c r="BW1429" s="107"/>
      <c r="BX1429" s="107"/>
      <c r="BY1429" s="107"/>
      <c r="BZ1429" s="107"/>
      <c r="CA1429" s="107"/>
      <c r="CB1429" s="107"/>
      <c r="CC1429" s="107"/>
      <c r="CD1429" s="107"/>
      <c r="CE1429" s="107"/>
      <c r="CF1429" s="107"/>
      <c r="CG1429" s="107"/>
      <c r="CH1429" s="107"/>
      <c r="CI1429" s="107"/>
      <c r="CJ1429" s="107"/>
      <c r="CK1429" s="107"/>
      <c r="CL1429" s="107"/>
      <c r="CM1429" s="107"/>
      <c r="CN1429" s="107"/>
      <c r="CO1429" s="107"/>
      <c r="CP1429" s="107"/>
      <c r="CQ1429" s="107"/>
      <c r="CR1429" s="107"/>
      <c r="CS1429" s="107"/>
      <c r="CT1429" s="107"/>
      <c r="CU1429" s="107"/>
      <c r="CV1429" s="107"/>
    </row>
    <row r="1430" customFormat="false" ht="14.9" hidden="false" customHeight="false" outlineLevel="0" collapsed="false">
      <c r="A1430" s="74" t="n">
        <f aca="false">MONTH(B1430)</f>
        <v>11</v>
      </c>
      <c r="B1430" s="135" t="n">
        <v>44526</v>
      </c>
      <c r="C1430" s="128" t="s">
        <v>70</v>
      </c>
      <c r="D1430" s="77" t="str">
        <f aca="false">IFERROR(VLOOKUP(E:E,'Item Data Support Sheet'!A:O,7,0),"")</f>
        <v>NIPPLE LASER MARKING</v>
      </c>
      <c r="E1430" s="80" t="s">
        <v>600</v>
      </c>
      <c r="F1430" s="122"/>
      <c r="G1430" s="137" t="s">
        <v>517</v>
      </c>
      <c r="H1430" s="79" t="str">
        <f aca="false">IFERROR(VLOOKUP(E:E,'Item Data Support Sheet'!A:O,2,0),"")</f>
        <v>NIPPLE S TYPE LL SIZE LASER MARKED</v>
      </c>
      <c r="I1430" s="80" t="s">
        <v>2230</v>
      </c>
      <c r="J1430" s="80" t="s">
        <v>155</v>
      </c>
      <c r="K1430" s="124" t="n">
        <v>8</v>
      </c>
      <c r="L1430" s="124" t="n">
        <v>7000</v>
      </c>
      <c r="M1430" s="83" t="n">
        <v>875</v>
      </c>
      <c r="N1430" s="84" t="n">
        <f aca="false">+O1430+Q1430+T1430+U1430</f>
        <v>7000</v>
      </c>
      <c r="O1430" s="85" t="n">
        <v>7000</v>
      </c>
      <c r="P1430" s="86" t="n">
        <v>0</v>
      </c>
      <c r="Q1430" s="86" t="n">
        <v>0</v>
      </c>
      <c r="R1430" s="132" t="n">
        <v>0</v>
      </c>
      <c r="S1430" s="128" t="n">
        <v>0</v>
      </c>
      <c r="T1430" s="132" t="n">
        <v>0</v>
      </c>
      <c r="U1430" s="128" t="n">
        <v>0</v>
      </c>
      <c r="V1430" s="128" t="n">
        <v>1</v>
      </c>
      <c r="W1430" s="90" t="n">
        <f aca="false">IFERROR(O1430/V1430,0)</f>
        <v>7000</v>
      </c>
      <c r="X1430" s="91" t="n">
        <f aca="false">O1430/L1430</f>
        <v>1</v>
      </c>
      <c r="Y1430" s="92" t="str">
        <f aca="false">IFERROR(VLOOKUP(E:E,'Item Data Support Sheet'!A:J,6,0),0)</f>
        <v>FO151</v>
      </c>
      <c r="Z1430" s="93" t="n">
        <f aca="false">IFERROR(VLOOKUP(E:E,'Item Data Support Sheet'!A:O,4,0),0)</f>
        <v>0</v>
      </c>
      <c r="AA1430" s="93" t="n">
        <f aca="false">IFERROR(((N1430)*(Z1430/1000))+P1430,0)</f>
        <v>0</v>
      </c>
      <c r="AB1430" s="94" t="str">
        <f aca="false">IFERROR((O1430*(Z1430/1000)/(AA1430))," ")</f>
        <v> </v>
      </c>
      <c r="AC1430" s="95" t="n">
        <f aca="false">IFERROR((T1430)/((T1430)+O1430),0)</f>
        <v>0</v>
      </c>
      <c r="AD1430" s="96" t="n">
        <f aca="false">IFERROR(Q1430/(Q1430+N1430),0)</f>
        <v>0</v>
      </c>
      <c r="AE1430" s="91" t="n">
        <f aca="false">(N1430-T1430)/N1430</f>
        <v>1</v>
      </c>
      <c r="AF1430" s="97" t="n">
        <f aca="false">BR1430</f>
        <v>0.666666666666667</v>
      </c>
      <c r="AG1430" s="98" t="n">
        <f aca="false">K1430-AF1430</f>
        <v>7.33333333333333</v>
      </c>
      <c r="AH1430" s="99" t="n">
        <f aca="false">IFERROR(AG1430/K1430," ")</f>
        <v>0.916666666666667</v>
      </c>
      <c r="AI1430" s="100" t="n">
        <f aca="false">IFERROR(O1430/K1430,0)</f>
        <v>875</v>
      </c>
      <c r="AJ1430" s="101" t="n">
        <f aca="false">VLOOKUP(D1430,'Standard Cycle time'!C:D,2,0)</f>
        <v>3.5</v>
      </c>
      <c r="AK1430" s="101" t="n">
        <f aca="false">AG1430*V1430*3600/O1430</f>
        <v>3.77142857142857</v>
      </c>
      <c r="AL1430" s="102" t="n">
        <f aca="false">AJ1430/AK1430</f>
        <v>0.928030303030303</v>
      </c>
      <c r="AM1430" s="99" t="n">
        <f aca="false">AE1430*AL1430*AH1430</f>
        <v>0.850694444444444</v>
      </c>
      <c r="AN1430" s="103" t="n">
        <v>0.850694444444444</v>
      </c>
      <c r="AO1430" s="112"/>
      <c r="AP1430" s="105" t="n">
        <v>40</v>
      </c>
      <c r="AQ1430" s="105" t="n">
        <v>0</v>
      </c>
      <c r="AR1430" s="105" t="n">
        <v>0</v>
      </c>
      <c r="AS1430" s="105" t="n">
        <v>0</v>
      </c>
      <c r="AT1430" s="105" t="n">
        <v>0</v>
      </c>
      <c r="AU1430" s="105" t="n">
        <v>0</v>
      </c>
      <c r="AV1430" s="105" t="n">
        <v>0</v>
      </c>
      <c r="AW1430" s="105" t="n">
        <v>0</v>
      </c>
      <c r="AX1430" s="105" t="n">
        <v>0</v>
      </c>
      <c r="AY1430" s="105" t="n">
        <v>0</v>
      </c>
      <c r="AZ1430" s="105" t="n">
        <v>0</v>
      </c>
      <c r="BA1430" s="105" t="n">
        <v>0</v>
      </c>
      <c r="BB1430" s="105" t="n">
        <v>0</v>
      </c>
      <c r="BC1430" s="105" t="n">
        <v>0</v>
      </c>
      <c r="BD1430" s="105" t="n">
        <v>0</v>
      </c>
      <c r="BE1430" s="105" t="n">
        <v>0</v>
      </c>
      <c r="BF1430" s="105" t="n">
        <v>0</v>
      </c>
      <c r="BG1430" s="105" t="n">
        <v>0</v>
      </c>
      <c r="BH1430" s="105" t="n">
        <v>0</v>
      </c>
      <c r="BI1430" s="105" t="n">
        <v>0</v>
      </c>
      <c r="BJ1430" s="105" t="n">
        <v>0</v>
      </c>
      <c r="BK1430" s="105" t="n">
        <v>0</v>
      </c>
      <c r="BL1430" s="105" t="n">
        <v>0</v>
      </c>
      <c r="BM1430" s="105" t="n">
        <v>0</v>
      </c>
      <c r="BN1430" s="105" t="n">
        <v>0</v>
      </c>
      <c r="BO1430" s="105" t="n">
        <v>0</v>
      </c>
      <c r="BP1430" s="105" t="n">
        <v>0</v>
      </c>
      <c r="BQ1430" s="105" t="n">
        <v>0</v>
      </c>
      <c r="BR1430" s="106" t="n">
        <v>0.666666666666667</v>
      </c>
      <c r="BS1430" s="106" t="n">
        <v>0.666666666666667</v>
      </c>
      <c r="BT1430" s="107"/>
      <c r="BU1430" s="107"/>
      <c r="BV1430" s="107"/>
      <c r="BW1430" s="107"/>
      <c r="BX1430" s="107"/>
      <c r="BY1430" s="107"/>
      <c r="BZ1430" s="107"/>
      <c r="CA1430" s="107"/>
      <c r="CB1430" s="107"/>
      <c r="CC1430" s="107"/>
      <c r="CD1430" s="107"/>
      <c r="CE1430" s="107"/>
      <c r="CF1430" s="107"/>
      <c r="CG1430" s="107"/>
      <c r="CH1430" s="107"/>
      <c r="CI1430" s="107"/>
      <c r="CJ1430" s="107"/>
      <c r="CK1430" s="107"/>
      <c r="CL1430" s="107"/>
      <c r="CM1430" s="107"/>
      <c r="CN1430" s="107"/>
      <c r="CO1430" s="107"/>
      <c r="CP1430" s="107"/>
      <c r="CQ1430" s="107"/>
      <c r="CR1430" s="107"/>
      <c r="CS1430" s="107"/>
      <c r="CT1430" s="107"/>
      <c r="CU1430" s="107"/>
      <c r="CV1430" s="107"/>
    </row>
    <row r="1431" customFormat="false" ht="14.9" hidden="false" customHeight="false" outlineLevel="0" collapsed="false">
      <c r="A1431" s="74" t="n">
        <f aca="false">MONTH(B1431)</f>
        <v>11</v>
      </c>
      <c r="B1431" s="135" t="n">
        <v>44526</v>
      </c>
      <c r="C1431" s="128" t="s">
        <v>70</v>
      </c>
      <c r="D1431" s="77" t="str">
        <f aca="false">IFERROR(VLOOKUP(E:E,'Item Data Support Sheet'!A:O,7,0),"")</f>
        <v>NIPPLE MOLDED</v>
      </c>
      <c r="E1431" s="80" t="s">
        <v>661</v>
      </c>
      <c r="F1431" s="122" t="s">
        <v>137</v>
      </c>
      <c r="G1431" s="137" t="s">
        <v>138</v>
      </c>
      <c r="H1431" s="79" t="str">
        <f aca="false">IFERROR(VLOOKUP(E:E,'Item Data Support Sheet'!A:O,2,0),"")</f>
        <v>NIPPLE S TYPE L SIZE INJECTION</v>
      </c>
      <c r="I1431" s="80" t="s">
        <v>2231</v>
      </c>
      <c r="J1431" s="80" t="s">
        <v>155</v>
      </c>
      <c r="K1431" s="124" t="n">
        <v>8</v>
      </c>
      <c r="L1431" s="124" t="n">
        <v>4815</v>
      </c>
      <c r="M1431" s="83" t="n">
        <v>601.875</v>
      </c>
      <c r="N1431" s="84" t="n">
        <f aca="false">+O1431+Q1431+T1431+U1431</f>
        <v>5660</v>
      </c>
      <c r="O1431" s="85" t="n">
        <v>5600</v>
      </c>
      <c r="P1431" s="86" t="n">
        <v>0</v>
      </c>
      <c r="Q1431" s="86" t="n">
        <v>0</v>
      </c>
      <c r="R1431" s="132" t="n">
        <v>0</v>
      </c>
      <c r="S1431" s="128" t="n">
        <v>0</v>
      </c>
      <c r="T1431" s="132" t="n">
        <v>60</v>
      </c>
      <c r="U1431" s="128" t="n">
        <v>0</v>
      </c>
      <c r="V1431" s="128" t="n">
        <v>1</v>
      </c>
      <c r="W1431" s="90" t="n">
        <f aca="false">IFERROR(O1431/V1431,0)</f>
        <v>5600</v>
      </c>
      <c r="X1431" s="91" t="n">
        <f aca="false">O1431/L1431</f>
        <v>1.16303219106957</v>
      </c>
      <c r="Y1431" s="92" t="str">
        <f aca="false">IFERROR(VLOOKUP(E:E,'Item Data Support Sheet'!A:J,6,0),0)</f>
        <v>Silicon</v>
      </c>
      <c r="Z1431" s="93" t="n">
        <f aca="false">IFERROR(VLOOKUP(E:E,'Item Data Support Sheet'!A:O,4,0),0)</f>
        <v>6.8</v>
      </c>
      <c r="AA1431" s="93" t="n">
        <f aca="false">IFERROR(((N1431)*(Z1431/1000))+P1431,0)</f>
        <v>38.488</v>
      </c>
      <c r="AB1431" s="94" t="n">
        <f aca="false">IFERROR((O1431*(Z1431/1000)/(AA1431))," ")</f>
        <v>0.989399293286219</v>
      </c>
      <c r="AC1431" s="95" t="n">
        <f aca="false">IFERROR((T1431)/((T1431)+O1431),0)</f>
        <v>0.0106007067137809</v>
      </c>
      <c r="AD1431" s="96" t="n">
        <f aca="false">IFERROR(Q1431/(Q1431+N1431),0)</f>
        <v>0</v>
      </c>
      <c r="AE1431" s="91" t="n">
        <f aca="false">(N1431-T1431)/N1431</f>
        <v>0.989399293286219</v>
      </c>
      <c r="AF1431" s="97" t="n">
        <f aca="false">BR1431</f>
        <v>0</v>
      </c>
      <c r="AG1431" s="98" t="n">
        <f aca="false">K1431-AF1431</f>
        <v>8</v>
      </c>
      <c r="AH1431" s="99" t="n">
        <f aca="false">IFERROR(AG1431/K1431," ")</f>
        <v>1</v>
      </c>
      <c r="AI1431" s="100" t="n">
        <f aca="false">IFERROR(O1431/K1431,0)</f>
        <v>700</v>
      </c>
      <c r="AJ1431" s="101" t="n">
        <f aca="false">VLOOKUP(D1431,'Standard Cycle time'!C:D,2,0)</f>
        <v>5.25</v>
      </c>
      <c r="AK1431" s="101" t="n">
        <f aca="false">AG1431*V1431*3600/O1431</f>
        <v>5.14285714285714</v>
      </c>
      <c r="AL1431" s="102" t="n">
        <f aca="false">AJ1431/AK1431</f>
        <v>1.02083333333333</v>
      </c>
      <c r="AM1431" s="99" t="n">
        <f aca="false">AE1431*AL1431*AH1431</f>
        <v>1.01001177856302</v>
      </c>
      <c r="AN1431" s="103" t="n">
        <v>1.01001177856302</v>
      </c>
      <c r="AO1431" s="112"/>
      <c r="AP1431" s="105" t="n">
        <v>0</v>
      </c>
      <c r="AQ1431" s="105" t="n">
        <v>0</v>
      </c>
      <c r="AR1431" s="105" t="n">
        <v>0</v>
      </c>
      <c r="AS1431" s="105" t="n">
        <v>0</v>
      </c>
      <c r="AT1431" s="105" t="n">
        <v>0</v>
      </c>
      <c r="AU1431" s="105" t="n">
        <v>0</v>
      </c>
      <c r="AV1431" s="105" t="n">
        <v>0</v>
      </c>
      <c r="AW1431" s="105" t="n">
        <v>0</v>
      </c>
      <c r="AX1431" s="105" t="n">
        <v>0</v>
      </c>
      <c r="AY1431" s="105" t="n">
        <v>0</v>
      </c>
      <c r="AZ1431" s="105" t="n">
        <v>0</v>
      </c>
      <c r="BA1431" s="105" t="n">
        <v>0</v>
      </c>
      <c r="BB1431" s="105" t="n">
        <v>0</v>
      </c>
      <c r="BC1431" s="105" t="n">
        <v>0</v>
      </c>
      <c r="BD1431" s="105" t="n">
        <v>0</v>
      </c>
      <c r="BE1431" s="105" t="n">
        <v>0</v>
      </c>
      <c r="BF1431" s="105" t="n">
        <v>0</v>
      </c>
      <c r="BG1431" s="105" t="n">
        <v>0</v>
      </c>
      <c r="BH1431" s="105" t="n">
        <v>0</v>
      </c>
      <c r="BI1431" s="105" t="n">
        <v>0</v>
      </c>
      <c r="BJ1431" s="105" t="n">
        <v>0</v>
      </c>
      <c r="BK1431" s="105" t="n">
        <v>0</v>
      </c>
      <c r="BL1431" s="105" t="n">
        <v>0</v>
      </c>
      <c r="BM1431" s="105" t="n">
        <v>0</v>
      </c>
      <c r="BN1431" s="105" t="n">
        <v>0</v>
      </c>
      <c r="BO1431" s="105" t="n">
        <v>0</v>
      </c>
      <c r="BP1431" s="105" t="n">
        <v>0</v>
      </c>
      <c r="BQ1431" s="105" t="n">
        <v>0</v>
      </c>
      <c r="BR1431" s="106" t="n">
        <v>0</v>
      </c>
      <c r="BS1431" s="106" t="n">
        <v>0</v>
      </c>
      <c r="BT1431" s="107"/>
      <c r="BU1431" s="107"/>
      <c r="BV1431" s="107"/>
      <c r="BW1431" s="107"/>
      <c r="BX1431" s="107"/>
      <c r="BY1431" s="107"/>
      <c r="BZ1431" s="107"/>
      <c r="CA1431" s="107"/>
      <c r="CB1431" s="107"/>
      <c r="CC1431" s="107"/>
      <c r="CD1431" s="107"/>
      <c r="CE1431" s="107"/>
      <c r="CF1431" s="107"/>
      <c r="CG1431" s="107"/>
      <c r="CH1431" s="107"/>
      <c r="CI1431" s="107"/>
      <c r="CJ1431" s="107"/>
      <c r="CK1431" s="107"/>
      <c r="CL1431" s="107"/>
      <c r="CM1431" s="107"/>
      <c r="CN1431" s="107"/>
      <c r="CO1431" s="107"/>
      <c r="CP1431" s="107"/>
      <c r="CQ1431" s="107"/>
      <c r="CR1431" s="107"/>
      <c r="CS1431" s="107"/>
      <c r="CT1431" s="107"/>
      <c r="CU1431" s="107"/>
      <c r="CV1431" s="107"/>
    </row>
    <row r="1432" customFormat="false" ht="14.9" hidden="false" customHeight="false" outlineLevel="0" collapsed="false">
      <c r="A1432" s="74" t="n">
        <f aca="false">MONTH(B1432)</f>
        <v>11</v>
      </c>
      <c r="B1432" s="135" t="n">
        <v>44526</v>
      </c>
      <c r="C1432" s="128" t="s">
        <v>70</v>
      </c>
      <c r="D1432" s="77" t="str">
        <f aca="false">IFERROR(VLOOKUP(E:E,'Item Data Support Sheet'!A:O,7,0),"")</f>
        <v>CAP MOLDED</v>
      </c>
      <c r="E1432" s="80" t="s">
        <v>261</v>
      </c>
      <c r="F1432" s="122" t="s">
        <v>2161</v>
      </c>
      <c r="G1432" s="137" t="s">
        <v>740</v>
      </c>
      <c r="H1432" s="79" t="str">
        <f aca="false">IFERROR(VLOOKUP(E:E,'Item Data Support Sheet'!A:O,2,0),"")</f>
        <v>CAP S TYPE MOLDED PINK</v>
      </c>
      <c r="I1432" s="80" t="s">
        <v>2232</v>
      </c>
      <c r="J1432" s="80" t="s">
        <v>155</v>
      </c>
      <c r="K1432" s="124" t="n">
        <v>8</v>
      </c>
      <c r="L1432" s="124" t="n">
        <v>4137</v>
      </c>
      <c r="M1432" s="83" t="n">
        <v>517.125</v>
      </c>
      <c r="N1432" s="84" t="n">
        <f aca="false">+O1432+Q1432+T1432+U1432</f>
        <v>5008</v>
      </c>
      <c r="O1432" s="85" t="n">
        <v>5000</v>
      </c>
      <c r="P1432" s="86" t="n">
        <v>0</v>
      </c>
      <c r="Q1432" s="86" t="n">
        <v>0</v>
      </c>
      <c r="R1432" s="132" t="n">
        <v>0</v>
      </c>
      <c r="S1432" s="128" t="n">
        <v>0</v>
      </c>
      <c r="T1432" s="132" t="n">
        <v>8</v>
      </c>
      <c r="U1432" s="128" t="n">
        <v>0</v>
      </c>
      <c r="V1432" s="128" t="n">
        <v>1</v>
      </c>
      <c r="W1432" s="90" t="n">
        <f aca="false">IFERROR(O1432/V1432,0)</f>
        <v>5000</v>
      </c>
      <c r="X1432" s="91" t="n">
        <f aca="false">O1432/L1432</f>
        <v>1.20860526951898</v>
      </c>
      <c r="Y1432" s="92" t="str">
        <f aca="false">IFERROR(VLOOKUP(E:E,'Item Data Support Sheet'!A:J,6,0),0)</f>
        <v>RM000123</v>
      </c>
      <c r="Z1432" s="93" t="n">
        <f aca="false">IFERROR(VLOOKUP(E:E,'Item Data Support Sheet'!A:O,4,0),0)</f>
        <v>7.3</v>
      </c>
      <c r="AA1432" s="93" t="n">
        <f aca="false">IFERROR(((N1432)*(Z1432/1000))+P1432,0)</f>
        <v>36.5584</v>
      </c>
      <c r="AB1432" s="94" t="n">
        <f aca="false">IFERROR((O1432*(Z1432/1000)/(AA1432))," ")</f>
        <v>0.998402555910543</v>
      </c>
      <c r="AC1432" s="95" t="n">
        <f aca="false">IFERROR((T1432)/((T1432)+O1432),0)</f>
        <v>0.00159744408945687</v>
      </c>
      <c r="AD1432" s="96" t="n">
        <f aca="false">IFERROR(Q1432/(Q1432+N1432),0)</f>
        <v>0</v>
      </c>
      <c r="AE1432" s="91" t="n">
        <f aca="false">(N1432-T1432)/N1432</f>
        <v>0.998402555910543</v>
      </c>
      <c r="AF1432" s="97" t="n">
        <f aca="false">BR1432</f>
        <v>0</v>
      </c>
      <c r="AG1432" s="98" t="n">
        <f aca="false">K1432-AF1432</f>
        <v>8</v>
      </c>
      <c r="AH1432" s="99" t="n">
        <f aca="false">IFERROR(AG1432/K1432," ")</f>
        <v>1</v>
      </c>
      <c r="AI1432" s="100" t="n">
        <f aca="false">IFERROR(O1432/K1432,0)</f>
        <v>625</v>
      </c>
      <c r="AJ1432" s="101" t="n">
        <f aca="false">VLOOKUP(D1432,'Standard Cycle time'!C:D,2,0)</f>
        <v>6</v>
      </c>
      <c r="AK1432" s="101" t="n">
        <f aca="false">AG1432*V1432*3600/O1432</f>
        <v>5.76</v>
      </c>
      <c r="AL1432" s="102" t="n">
        <f aca="false">AJ1432/AK1432</f>
        <v>1.04166666666667</v>
      </c>
      <c r="AM1432" s="99" t="n">
        <f aca="false">AE1432*AL1432*AH1432</f>
        <v>1.04000266240682</v>
      </c>
      <c r="AN1432" s="103" t="n">
        <v>1.04000266240682</v>
      </c>
      <c r="AO1432" s="112"/>
      <c r="AP1432" s="105" t="n">
        <v>0</v>
      </c>
      <c r="AQ1432" s="105" t="n">
        <v>0</v>
      </c>
      <c r="AR1432" s="105" t="n">
        <v>0</v>
      </c>
      <c r="AS1432" s="105" t="n">
        <v>0</v>
      </c>
      <c r="AT1432" s="105" t="n">
        <v>0</v>
      </c>
      <c r="AU1432" s="105" t="n">
        <v>0</v>
      </c>
      <c r="AV1432" s="105" t="n">
        <v>0</v>
      </c>
      <c r="AW1432" s="105" t="n">
        <v>0</v>
      </c>
      <c r="AX1432" s="105" t="n">
        <v>0</v>
      </c>
      <c r="AY1432" s="105" t="n">
        <v>0</v>
      </c>
      <c r="AZ1432" s="105" t="n">
        <v>0</v>
      </c>
      <c r="BA1432" s="105" t="n">
        <v>0</v>
      </c>
      <c r="BB1432" s="105" t="n">
        <v>0</v>
      </c>
      <c r="BC1432" s="105" t="n">
        <v>0</v>
      </c>
      <c r="BD1432" s="105" t="n">
        <v>0</v>
      </c>
      <c r="BE1432" s="105" t="n">
        <v>0</v>
      </c>
      <c r="BF1432" s="105" t="n">
        <v>0</v>
      </c>
      <c r="BG1432" s="105" t="n">
        <v>0</v>
      </c>
      <c r="BH1432" s="105" t="n">
        <v>0</v>
      </c>
      <c r="BI1432" s="105" t="n">
        <v>0</v>
      </c>
      <c r="BJ1432" s="105" t="n">
        <v>0</v>
      </c>
      <c r="BK1432" s="105" t="n">
        <v>0</v>
      </c>
      <c r="BL1432" s="105" t="n">
        <v>0</v>
      </c>
      <c r="BM1432" s="105" t="n">
        <v>0</v>
      </c>
      <c r="BN1432" s="105" t="n">
        <v>0</v>
      </c>
      <c r="BO1432" s="105" t="n">
        <v>0</v>
      </c>
      <c r="BP1432" s="105" t="n">
        <v>0</v>
      </c>
      <c r="BQ1432" s="105" t="n">
        <v>0</v>
      </c>
      <c r="BR1432" s="106" t="n">
        <v>0</v>
      </c>
      <c r="BS1432" s="106" t="n">
        <v>0</v>
      </c>
      <c r="BT1432" s="107"/>
      <c r="BU1432" s="107"/>
      <c r="BV1432" s="107"/>
      <c r="BW1432" s="107"/>
      <c r="BX1432" s="107"/>
      <c r="BY1432" s="107"/>
      <c r="BZ1432" s="107"/>
      <c r="CA1432" s="107"/>
      <c r="CB1432" s="107"/>
      <c r="CC1432" s="107"/>
      <c r="CD1432" s="107"/>
      <c r="CE1432" s="107"/>
      <c r="CF1432" s="107"/>
      <c r="CG1432" s="107"/>
      <c r="CH1432" s="107"/>
      <c r="CI1432" s="107"/>
      <c r="CJ1432" s="107"/>
      <c r="CK1432" s="107"/>
      <c r="CL1432" s="107"/>
      <c r="CM1432" s="107"/>
      <c r="CN1432" s="107"/>
      <c r="CO1432" s="107"/>
      <c r="CP1432" s="107"/>
      <c r="CQ1432" s="107"/>
      <c r="CR1432" s="107"/>
      <c r="CS1432" s="107"/>
      <c r="CT1432" s="107"/>
      <c r="CU1432" s="107"/>
      <c r="CV1432" s="107"/>
    </row>
    <row r="1433" customFormat="false" ht="14.9" hidden="false" customHeight="false" outlineLevel="0" collapsed="false">
      <c r="A1433" s="74" t="n">
        <f aca="false">MONTH(B1433)</f>
        <v>11</v>
      </c>
      <c r="B1433" s="135" t="n">
        <v>44526</v>
      </c>
      <c r="C1433" s="128" t="s">
        <v>70</v>
      </c>
      <c r="D1433" s="77" t="str">
        <f aca="false">IFERROR(VLOOKUP(E:E,'Item Data Support Sheet'!A:O,7,0),"")</f>
        <v>BOTTLE MOLDED</v>
      </c>
      <c r="E1433" s="80" t="s">
        <v>357</v>
      </c>
      <c r="F1433" s="122" t="s">
        <v>79</v>
      </c>
      <c r="G1433" s="137" t="s">
        <v>80</v>
      </c>
      <c r="H1433" s="79" t="str">
        <f aca="false">IFERROR(VLOOKUP(E:E,'Item Data Support Sheet'!A:O,2,0),"")</f>
        <v>KPP 120 ML BOTTLE MOLDED</v>
      </c>
      <c r="I1433" s="80" t="s">
        <v>2233</v>
      </c>
      <c r="J1433" s="80" t="s">
        <v>155</v>
      </c>
      <c r="K1433" s="124" t="n">
        <v>8</v>
      </c>
      <c r="L1433" s="124" t="n">
        <v>2574</v>
      </c>
      <c r="M1433" s="83" t="n">
        <v>321.75</v>
      </c>
      <c r="N1433" s="84" t="n">
        <f aca="false">+O1433+Q1433+T1433+U1433</f>
        <v>2770</v>
      </c>
      <c r="O1433" s="85" t="n">
        <v>2700</v>
      </c>
      <c r="P1433" s="86" t="n">
        <v>0.1</v>
      </c>
      <c r="Q1433" s="86" t="n">
        <v>30</v>
      </c>
      <c r="R1433" s="132" t="n">
        <v>0</v>
      </c>
      <c r="S1433" s="128" t="n">
        <v>0</v>
      </c>
      <c r="T1433" s="132" t="n">
        <v>40</v>
      </c>
      <c r="U1433" s="128" t="n">
        <v>0</v>
      </c>
      <c r="V1433" s="128" t="n">
        <v>1</v>
      </c>
      <c r="W1433" s="90" t="n">
        <f aca="false">IFERROR(O1433/V1433,0)</f>
        <v>2700</v>
      </c>
      <c r="X1433" s="91" t="n">
        <f aca="false">O1433/L1433</f>
        <v>1.04895104895105</v>
      </c>
      <c r="Y1433" s="92" t="str">
        <f aca="false">IFERROR(VLOOKUP(E:E,'Item Data Support Sheet'!A:J,6,0),0)</f>
        <v>HMC</v>
      </c>
      <c r="Z1433" s="93" t="n">
        <f aca="false">IFERROR(VLOOKUP(E:E,'Item Data Support Sheet'!A:O,4,0),0)</f>
        <v>21.3</v>
      </c>
      <c r="AA1433" s="93" t="n">
        <f aca="false">IFERROR(((N1433)*(Z1433/1000))+P1433,0)</f>
        <v>59.101</v>
      </c>
      <c r="AB1433" s="94" t="n">
        <f aca="false">IFERROR((O1433*(Z1433/1000)/(AA1433))," ")</f>
        <v>0.973079981726198</v>
      </c>
      <c r="AC1433" s="95" t="n">
        <f aca="false">IFERROR((T1433)/((T1433)+O1433),0)</f>
        <v>0.0145985401459854</v>
      </c>
      <c r="AD1433" s="96" t="n">
        <f aca="false">IFERROR(Q1433/(Q1433+N1433),0)</f>
        <v>0.0107142857142857</v>
      </c>
      <c r="AE1433" s="91" t="n">
        <f aca="false">(N1433-T1433)/N1433</f>
        <v>0.985559566787004</v>
      </c>
      <c r="AF1433" s="97" t="n">
        <f aca="false">BR1433</f>
        <v>0</v>
      </c>
      <c r="AG1433" s="98" t="n">
        <f aca="false">K1433-AF1433</f>
        <v>8</v>
      </c>
      <c r="AH1433" s="99" t="n">
        <f aca="false">IFERROR(AG1433/K1433," ")</f>
        <v>1</v>
      </c>
      <c r="AI1433" s="100" t="n">
        <f aca="false">IFERROR(O1433/K1433,0)</f>
        <v>337.5</v>
      </c>
      <c r="AJ1433" s="101" t="n">
        <f aca="false">VLOOKUP(D1433,'Standard Cycle time'!C:D,2,0)</f>
        <v>9</v>
      </c>
      <c r="AK1433" s="101" t="n">
        <f aca="false">AG1433*V1433*3600/O1433</f>
        <v>10.6666666666667</v>
      </c>
      <c r="AL1433" s="102" t="n">
        <f aca="false">AJ1433/AK1433</f>
        <v>0.84375</v>
      </c>
      <c r="AM1433" s="99" t="n">
        <f aca="false">AE1433*AL1433*AH1433</f>
        <v>0.831565884476534</v>
      </c>
      <c r="AN1433" s="103" t="n">
        <v>0.831565884476534</v>
      </c>
      <c r="AO1433" s="112"/>
      <c r="AP1433" s="105" t="n">
        <v>0</v>
      </c>
      <c r="AQ1433" s="105" t="n">
        <v>0</v>
      </c>
      <c r="AR1433" s="105" t="n">
        <v>0</v>
      </c>
      <c r="AS1433" s="105" t="n">
        <v>0</v>
      </c>
      <c r="AT1433" s="105" t="n">
        <v>0</v>
      </c>
      <c r="AU1433" s="105" t="n">
        <v>0</v>
      </c>
      <c r="AV1433" s="105" t="n">
        <v>0</v>
      </c>
      <c r="AW1433" s="105" t="n">
        <v>0</v>
      </c>
      <c r="AX1433" s="105" t="n">
        <v>0</v>
      </c>
      <c r="AY1433" s="105" t="n">
        <v>0</v>
      </c>
      <c r="AZ1433" s="105" t="n">
        <v>0</v>
      </c>
      <c r="BA1433" s="105" t="n">
        <v>0</v>
      </c>
      <c r="BB1433" s="105" t="n">
        <v>0</v>
      </c>
      <c r="BC1433" s="105" t="n">
        <v>0</v>
      </c>
      <c r="BD1433" s="105" t="n">
        <v>0</v>
      </c>
      <c r="BE1433" s="105" t="n">
        <v>0</v>
      </c>
      <c r="BF1433" s="105" t="n">
        <v>0</v>
      </c>
      <c r="BG1433" s="105" t="n">
        <v>0</v>
      </c>
      <c r="BH1433" s="105" t="n">
        <v>0</v>
      </c>
      <c r="BI1433" s="105" t="n">
        <v>0</v>
      </c>
      <c r="BJ1433" s="105" t="n">
        <v>0</v>
      </c>
      <c r="BK1433" s="105" t="n">
        <v>0</v>
      </c>
      <c r="BL1433" s="105" t="n">
        <v>0</v>
      </c>
      <c r="BM1433" s="105" t="n">
        <v>0</v>
      </c>
      <c r="BN1433" s="105" t="n">
        <v>0</v>
      </c>
      <c r="BO1433" s="105" t="n">
        <v>0</v>
      </c>
      <c r="BP1433" s="105" t="n">
        <v>0</v>
      </c>
      <c r="BQ1433" s="105" t="n">
        <v>0</v>
      </c>
      <c r="BR1433" s="106" t="n">
        <v>0</v>
      </c>
      <c r="BS1433" s="106" t="n">
        <v>0</v>
      </c>
      <c r="BT1433" s="107"/>
      <c r="BU1433" s="107"/>
      <c r="BV1433" s="107"/>
      <c r="BW1433" s="107"/>
      <c r="BX1433" s="107"/>
      <c r="BY1433" s="107"/>
      <c r="BZ1433" s="107"/>
      <c r="CA1433" s="107"/>
      <c r="CB1433" s="107"/>
      <c r="CC1433" s="107"/>
      <c r="CD1433" s="107"/>
      <c r="CE1433" s="107"/>
      <c r="CF1433" s="107"/>
      <c r="CG1433" s="107"/>
      <c r="CH1433" s="107"/>
      <c r="CI1433" s="107"/>
      <c r="CJ1433" s="107"/>
      <c r="CK1433" s="107"/>
      <c r="CL1433" s="107"/>
      <c r="CM1433" s="107"/>
      <c r="CN1433" s="107"/>
      <c r="CO1433" s="107"/>
      <c r="CP1433" s="107"/>
      <c r="CQ1433" s="107"/>
      <c r="CR1433" s="107"/>
      <c r="CS1433" s="107"/>
      <c r="CT1433" s="107"/>
      <c r="CU1433" s="107"/>
      <c r="CV1433" s="107"/>
    </row>
    <row r="1434" customFormat="false" ht="14.9" hidden="false" customHeight="false" outlineLevel="0" collapsed="false">
      <c r="A1434" s="74" t="n">
        <f aca="false">MONTH(B1434)</f>
        <v>11</v>
      </c>
      <c r="B1434" s="135" t="n">
        <v>44526</v>
      </c>
      <c r="C1434" s="128" t="s">
        <v>70</v>
      </c>
      <c r="D1434" s="77" t="str">
        <f aca="false">IFERROR(VLOOKUP(E:E,'Item Data Support Sheet'!A:O,7,0),"")</f>
        <v>BOTTLE MOLDED</v>
      </c>
      <c r="E1434" s="80" t="s">
        <v>235</v>
      </c>
      <c r="F1434" s="122" t="s">
        <v>589</v>
      </c>
      <c r="G1434" s="137" t="s">
        <v>74</v>
      </c>
      <c r="H1434" s="79" t="str">
        <f aca="false">IFERROR(VLOOKUP(E:E,'Item Data Support Sheet'!A:O,2,0),"")</f>
        <v>KPP 200 ML BOTTLE MOLDED</v>
      </c>
      <c r="I1434" s="80" t="s">
        <v>2234</v>
      </c>
      <c r="J1434" s="80" t="s">
        <v>155</v>
      </c>
      <c r="K1434" s="124" t="n">
        <v>8</v>
      </c>
      <c r="L1434" s="124" t="n">
        <v>2574</v>
      </c>
      <c r="M1434" s="83" t="n">
        <v>321.75</v>
      </c>
      <c r="N1434" s="84" t="n">
        <f aca="false">+O1434+Q1434+T1434+U1434</f>
        <v>3078</v>
      </c>
      <c r="O1434" s="85" t="n">
        <v>3024</v>
      </c>
      <c r="P1434" s="86" t="n">
        <v>0.6</v>
      </c>
      <c r="Q1434" s="86" t="n">
        <v>24</v>
      </c>
      <c r="R1434" s="132" t="n">
        <v>0</v>
      </c>
      <c r="S1434" s="128" t="n">
        <v>0</v>
      </c>
      <c r="T1434" s="132" t="n">
        <v>30</v>
      </c>
      <c r="U1434" s="128" t="n">
        <v>0</v>
      </c>
      <c r="V1434" s="128" t="n">
        <v>1</v>
      </c>
      <c r="W1434" s="90" t="n">
        <f aca="false">IFERROR(O1434/V1434,0)</f>
        <v>3024</v>
      </c>
      <c r="X1434" s="91" t="n">
        <f aca="false">O1434/L1434</f>
        <v>1.17482517482517</v>
      </c>
      <c r="Y1434" s="92" t="str">
        <f aca="false">IFERROR(VLOOKUP(E:E,'Item Data Support Sheet'!A:J,6,0),0)</f>
        <v>HMC</v>
      </c>
      <c r="Z1434" s="93" t="n">
        <f aca="false">IFERROR(VLOOKUP(E:E,'Item Data Support Sheet'!A:O,4,0),0)</f>
        <v>28.1</v>
      </c>
      <c r="AA1434" s="93" t="n">
        <f aca="false">IFERROR(((N1434)*(Z1434/1000))+P1434,0)</f>
        <v>87.0918</v>
      </c>
      <c r="AB1434" s="94" t="n">
        <f aca="false">IFERROR((O1434*(Z1434/1000)/(AA1434))," ")</f>
        <v>0.975687722609936</v>
      </c>
      <c r="AC1434" s="95" t="n">
        <f aca="false">IFERROR((T1434)/((T1434)+O1434),0)</f>
        <v>0.00982318271119843</v>
      </c>
      <c r="AD1434" s="96" t="n">
        <f aca="false">IFERROR(Q1434/(Q1434+N1434),0)</f>
        <v>0.00773694390715667</v>
      </c>
      <c r="AE1434" s="91" t="n">
        <f aca="false">(N1434-T1434)/N1434</f>
        <v>0.990253411306043</v>
      </c>
      <c r="AF1434" s="97" t="n">
        <f aca="false">BR1434</f>
        <v>0</v>
      </c>
      <c r="AG1434" s="98" t="n">
        <f aca="false">K1434-AF1434</f>
        <v>8</v>
      </c>
      <c r="AH1434" s="99" t="n">
        <f aca="false">IFERROR(AG1434/K1434," ")</f>
        <v>1</v>
      </c>
      <c r="AI1434" s="100" t="n">
        <f aca="false">IFERROR(O1434/K1434,0)</f>
        <v>378</v>
      </c>
      <c r="AJ1434" s="101" t="n">
        <f aca="false">VLOOKUP(D1434,'Standard Cycle time'!C:D,2,0)</f>
        <v>9</v>
      </c>
      <c r="AK1434" s="101" t="n">
        <f aca="false">AG1434*V1434*3600/O1434</f>
        <v>9.52380952380952</v>
      </c>
      <c r="AL1434" s="102" t="n">
        <f aca="false">AJ1434/AK1434</f>
        <v>0.945</v>
      </c>
      <c r="AM1434" s="99" t="n">
        <f aca="false">AE1434*AL1434*AH1434</f>
        <v>0.93578947368421</v>
      </c>
      <c r="AN1434" s="103" t="n">
        <v>0.93578947368421</v>
      </c>
      <c r="AO1434" s="112"/>
      <c r="AP1434" s="105" t="n">
        <v>0</v>
      </c>
      <c r="AQ1434" s="105" t="n">
        <v>0</v>
      </c>
      <c r="AR1434" s="105" t="n">
        <v>0</v>
      </c>
      <c r="AS1434" s="105" t="n">
        <v>0</v>
      </c>
      <c r="AT1434" s="105" t="n">
        <v>0</v>
      </c>
      <c r="AU1434" s="105" t="n">
        <v>0</v>
      </c>
      <c r="AV1434" s="105" t="n">
        <v>0</v>
      </c>
      <c r="AW1434" s="105" t="n">
        <v>0</v>
      </c>
      <c r="AX1434" s="105" t="n">
        <v>0</v>
      </c>
      <c r="AY1434" s="105" t="n">
        <v>0</v>
      </c>
      <c r="AZ1434" s="105" t="n">
        <v>0</v>
      </c>
      <c r="BA1434" s="105" t="n">
        <v>0</v>
      </c>
      <c r="BB1434" s="105" t="n">
        <v>0</v>
      </c>
      <c r="BC1434" s="105" t="n">
        <v>0</v>
      </c>
      <c r="BD1434" s="105" t="n">
        <v>0</v>
      </c>
      <c r="BE1434" s="105" t="n">
        <v>0</v>
      </c>
      <c r="BF1434" s="105" t="n">
        <v>0</v>
      </c>
      <c r="BG1434" s="105" t="n">
        <v>0</v>
      </c>
      <c r="BH1434" s="105" t="n">
        <v>0</v>
      </c>
      <c r="BI1434" s="105" t="n">
        <v>0</v>
      </c>
      <c r="BJ1434" s="105" t="n">
        <v>0</v>
      </c>
      <c r="BK1434" s="105" t="n">
        <v>0</v>
      </c>
      <c r="BL1434" s="105" t="n">
        <v>0</v>
      </c>
      <c r="BM1434" s="105" t="n">
        <v>0</v>
      </c>
      <c r="BN1434" s="105" t="n">
        <v>0</v>
      </c>
      <c r="BO1434" s="105" t="n">
        <v>0</v>
      </c>
      <c r="BP1434" s="105" t="n">
        <v>0</v>
      </c>
      <c r="BQ1434" s="105" t="n">
        <v>0</v>
      </c>
      <c r="BR1434" s="106" t="n">
        <v>0</v>
      </c>
      <c r="BS1434" s="106" t="n">
        <v>0</v>
      </c>
      <c r="BT1434" s="107"/>
      <c r="BU1434" s="107"/>
      <c r="BV1434" s="107"/>
      <c r="BW1434" s="107"/>
      <c r="BX1434" s="107"/>
      <c r="BY1434" s="107"/>
      <c r="BZ1434" s="107"/>
      <c r="CA1434" s="107"/>
      <c r="CB1434" s="107"/>
      <c r="CC1434" s="107"/>
      <c r="CD1434" s="107"/>
      <c r="CE1434" s="107"/>
      <c r="CF1434" s="107"/>
      <c r="CG1434" s="107"/>
      <c r="CH1434" s="107"/>
      <c r="CI1434" s="107"/>
      <c r="CJ1434" s="107"/>
      <c r="CK1434" s="107"/>
      <c r="CL1434" s="107"/>
      <c r="CM1434" s="107"/>
      <c r="CN1434" s="107"/>
      <c r="CO1434" s="107"/>
      <c r="CP1434" s="107"/>
      <c r="CQ1434" s="107"/>
      <c r="CR1434" s="107"/>
      <c r="CS1434" s="107"/>
      <c r="CT1434" s="107"/>
      <c r="CU1434" s="107"/>
      <c r="CV1434" s="107"/>
    </row>
    <row r="1435" customFormat="false" ht="14.9" hidden="false" customHeight="false" outlineLevel="0" collapsed="false">
      <c r="A1435" s="74" t="n">
        <f aca="false">MONTH(B1435)</f>
        <v>11</v>
      </c>
      <c r="B1435" s="135" t="n">
        <v>44526</v>
      </c>
      <c r="C1435" s="128" t="s">
        <v>70</v>
      </c>
      <c r="D1435" s="77" t="str">
        <f aca="false">IFERROR(VLOOKUP(E:E,'Item Data Support Sheet'!A:O,7,0),"")</f>
        <v>NIPPLE MOLDED</v>
      </c>
      <c r="E1435" s="80" t="s">
        <v>492</v>
      </c>
      <c r="F1435" s="122" t="s">
        <v>1286</v>
      </c>
      <c r="G1435" s="137" t="s">
        <v>848</v>
      </c>
      <c r="H1435" s="79" t="str">
        <f aca="false">IFERROR(VLOOKUP(E:E,'Item Data Support Sheet'!A:O,2,0),"")</f>
        <v>NIPPLE S TYPE LL SIZE INJECTION</v>
      </c>
      <c r="I1435" s="80" t="s">
        <v>2231</v>
      </c>
      <c r="J1435" s="80" t="s">
        <v>155</v>
      </c>
      <c r="K1435" s="124" t="n">
        <v>8</v>
      </c>
      <c r="L1435" s="124" t="n">
        <v>3611</v>
      </c>
      <c r="M1435" s="83" t="n">
        <v>451.375</v>
      </c>
      <c r="N1435" s="84" t="n">
        <f aca="false">+O1435+Q1435+T1435+U1435</f>
        <v>4090</v>
      </c>
      <c r="O1435" s="85" t="n">
        <v>4000</v>
      </c>
      <c r="P1435" s="86" t="n">
        <v>0</v>
      </c>
      <c r="Q1435" s="86" t="n">
        <v>40</v>
      </c>
      <c r="R1435" s="132" t="n">
        <v>0</v>
      </c>
      <c r="S1435" s="128" t="n">
        <v>0</v>
      </c>
      <c r="T1435" s="132" t="n">
        <v>50</v>
      </c>
      <c r="U1435" s="128" t="n">
        <v>0</v>
      </c>
      <c r="V1435" s="128" t="n">
        <v>1</v>
      </c>
      <c r="W1435" s="90" t="n">
        <f aca="false">IFERROR(O1435/V1435,0)</f>
        <v>4000</v>
      </c>
      <c r="X1435" s="91" t="n">
        <f aca="false">O1435/L1435</f>
        <v>1.10772639158128</v>
      </c>
      <c r="Y1435" s="92" t="str">
        <f aca="false">IFERROR(VLOOKUP(E:E,'Item Data Support Sheet'!A:J,6,0),0)</f>
        <v>FO148</v>
      </c>
      <c r="Z1435" s="93" t="n">
        <f aca="false">IFERROR(VLOOKUP(E:E,'Item Data Support Sheet'!A:O,4,0),0)</f>
        <v>6.8</v>
      </c>
      <c r="AA1435" s="93" t="n">
        <f aca="false">IFERROR(((N1435)*(Z1435/1000))+P1435,0)</f>
        <v>27.812</v>
      </c>
      <c r="AB1435" s="94" t="n">
        <f aca="false">IFERROR((O1435*(Z1435/1000)/(AA1435))," ")</f>
        <v>0.97799511002445</v>
      </c>
      <c r="AC1435" s="95" t="n">
        <f aca="false">IFERROR((T1435)/((T1435)+O1435),0)</f>
        <v>0.0123456790123457</v>
      </c>
      <c r="AD1435" s="96" t="n">
        <f aca="false">IFERROR(Q1435/(Q1435+N1435),0)</f>
        <v>0.00968523002421308</v>
      </c>
      <c r="AE1435" s="91" t="n">
        <f aca="false">(N1435-T1435)/N1435</f>
        <v>0.987775061124694</v>
      </c>
      <c r="AF1435" s="97" t="n">
        <f aca="false">BR1435</f>
        <v>0</v>
      </c>
      <c r="AG1435" s="98" t="n">
        <f aca="false">K1435-AF1435</f>
        <v>8</v>
      </c>
      <c r="AH1435" s="99" t="n">
        <f aca="false">IFERROR(AG1435/K1435," ")</f>
        <v>1</v>
      </c>
      <c r="AI1435" s="100" t="n">
        <f aca="false">IFERROR(O1435/K1435,0)</f>
        <v>500</v>
      </c>
      <c r="AJ1435" s="101" t="n">
        <f aca="false">VLOOKUP(D1435,'Standard Cycle time'!C:D,2,0)</f>
        <v>5.25</v>
      </c>
      <c r="AK1435" s="101" t="n">
        <f aca="false">AG1435*V1435*3600/O1435</f>
        <v>7.2</v>
      </c>
      <c r="AL1435" s="102" t="n">
        <f aca="false">AJ1435/AK1435</f>
        <v>0.729166666666667</v>
      </c>
      <c r="AM1435" s="99" t="n">
        <f aca="false">AE1435*AL1435*AH1435</f>
        <v>0.720252648736756</v>
      </c>
      <c r="AN1435" s="103" t="n">
        <v>0.720252648736756</v>
      </c>
      <c r="AO1435" s="112"/>
      <c r="AP1435" s="105" t="n">
        <v>0</v>
      </c>
      <c r="AQ1435" s="105" t="n">
        <v>0</v>
      </c>
      <c r="AR1435" s="105" t="n">
        <v>0</v>
      </c>
      <c r="AS1435" s="105" t="n">
        <v>0</v>
      </c>
      <c r="AT1435" s="105" t="n">
        <v>0</v>
      </c>
      <c r="AU1435" s="105" t="n">
        <v>0</v>
      </c>
      <c r="AV1435" s="105" t="n">
        <v>0</v>
      </c>
      <c r="AW1435" s="105" t="n">
        <v>0</v>
      </c>
      <c r="AX1435" s="105" t="n">
        <v>0</v>
      </c>
      <c r="AY1435" s="105" t="n">
        <v>0</v>
      </c>
      <c r="AZ1435" s="105" t="n">
        <v>0</v>
      </c>
      <c r="BA1435" s="105" t="n">
        <v>0</v>
      </c>
      <c r="BB1435" s="105" t="n">
        <v>0</v>
      </c>
      <c r="BC1435" s="105" t="n">
        <v>0</v>
      </c>
      <c r="BD1435" s="105" t="n">
        <v>0</v>
      </c>
      <c r="BE1435" s="105" t="n">
        <v>0</v>
      </c>
      <c r="BF1435" s="105" t="n">
        <v>0</v>
      </c>
      <c r="BG1435" s="105" t="n">
        <v>0</v>
      </c>
      <c r="BH1435" s="105" t="n">
        <v>0</v>
      </c>
      <c r="BI1435" s="105" t="n">
        <v>0</v>
      </c>
      <c r="BJ1435" s="105" t="n">
        <v>0</v>
      </c>
      <c r="BK1435" s="105" t="n">
        <v>0</v>
      </c>
      <c r="BL1435" s="105" t="n">
        <v>0</v>
      </c>
      <c r="BM1435" s="105" t="n">
        <v>0</v>
      </c>
      <c r="BN1435" s="105" t="n">
        <v>0</v>
      </c>
      <c r="BO1435" s="105" t="n">
        <v>0</v>
      </c>
      <c r="BP1435" s="105" t="n">
        <v>0</v>
      </c>
      <c r="BQ1435" s="105" t="n">
        <v>0</v>
      </c>
      <c r="BR1435" s="106" t="n">
        <v>0</v>
      </c>
      <c r="BS1435" s="106" t="n">
        <v>0</v>
      </c>
      <c r="BT1435" s="107"/>
      <c r="BU1435" s="107"/>
      <c r="BV1435" s="107"/>
      <c r="BW1435" s="107"/>
      <c r="BX1435" s="107"/>
      <c r="BY1435" s="107"/>
      <c r="BZ1435" s="107"/>
      <c r="CA1435" s="107"/>
      <c r="CB1435" s="107"/>
      <c r="CC1435" s="107"/>
      <c r="CD1435" s="107"/>
      <c r="CE1435" s="107"/>
      <c r="CF1435" s="107"/>
      <c r="CG1435" s="107"/>
      <c r="CH1435" s="107"/>
      <c r="CI1435" s="107"/>
      <c r="CJ1435" s="107"/>
      <c r="CK1435" s="107"/>
      <c r="CL1435" s="107"/>
      <c r="CM1435" s="107"/>
      <c r="CN1435" s="107"/>
      <c r="CO1435" s="107"/>
      <c r="CP1435" s="107"/>
      <c r="CQ1435" s="107"/>
      <c r="CR1435" s="107"/>
      <c r="CS1435" s="107"/>
      <c r="CT1435" s="107"/>
      <c r="CU1435" s="107"/>
      <c r="CV1435" s="107"/>
    </row>
    <row r="1436" customFormat="false" ht="14.9" hidden="false" customHeight="false" outlineLevel="0" collapsed="false">
      <c r="A1436" s="74" t="n">
        <f aca="false">MONTH(B1436)</f>
        <v>11</v>
      </c>
      <c r="B1436" s="135" t="n">
        <v>44526</v>
      </c>
      <c r="C1436" s="128" t="s">
        <v>152</v>
      </c>
      <c r="D1436" s="77" t="str">
        <f aca="false">IFERROR(VLOOKUP(E:E,'Item Data Support Sheet'!A:O,7,0),"")</f>
        <v>BOTTLE MOLDED</v>
      </c>
      <c r="E1436" s="80" t="s">
        <v>357</v>
      </c>
      <c r="F1436" s="122" t="s">
        <v>144</v>
      </c>
      <c r="G1436" s="137" t="s">
        <v>80</v>
      </c>
      <c r="H1436" s="79" t="str">
        <f aca="false">IFERROR(VLOOKUP(E:E,'Item Data Support Sheet'!A:O,2,0),"")</f>
        <v>KPP 120 ML BOTTLE MOLDED</v>
      </c>
      <c r="I1436" s="80" t="s">
        <v>2235</v>
      </c>
      <c r="J1436" s="80" t="s">
        <v>1913</v>
      </c>
      <c r="K1436" s="124" t="n">
        <v>8</v>
      </c>
      <c r="L1436" s="124" t="n">
        <v>2574</v>
      </c>
      <c r="M1436" s="83" t="n">
        <v>321.75</v>
      </c>
      <c r="N1436" s="84" t="n">
        <f aca="false">+O1436+Q1436+T1436+U1436</f>
        <v>956</v>
      </c>
      <c r="O1436" s="85" t="n">
        <v>900</v>
      </c>
      <c r="P1436" s="86" t="n">
        <v>0.2</v>
      </c>
      <c r="Q1436" s="86" t="n">
        <v>21</v>
      </c>
      <c r="R1436" s="132" t="n">
        <v>0</v>
      </c>
      <c r="S1436" s="128" t="n">
        <v>0</v>
      </c>
      <c r="T1436" s="132" t="n">
        <v>27</v>
      </c>
      <c r="U1436" s="128" t="n">
        <v>8</v>
      </c>
      <c r="V1436" s="128" t="n">
        <v>1</v>
      </c>
      <c r="W1436" s="90" t="n">
        <f aca="false">IFERROR(O1436/V1436,0)</f>
        <v>900</v>
      </c>
      <c r="X1436" s="91" t="n">
        <f aca="false">O1436/L1436</f>
        <v>0.34965034965035</v>
      </c>
      <c r="Y1436" s="92" t="str">
        <f aca="false">IFERROR(VLOOKUP(E:E,'Item Data Support Sheet'!A:J,6,0),0)</f>
        <v>HMC</v>
      </c>
      <c r="Z1436" s="93" t="n">
        <f aca="false">IFERROR(VLOOKUP(E:E,'Item Data Support Sheet'!A:O,4,0),0)</f>
        <v>21.3</v>
      </c>
      <c r="AA1436" s="93" t="n">
        <f aca="false">IFERROR(((N1436)*(Z1436/1000))+P1436,0)</f>
        <v>20.5628</v>
      </c>
      <c r="AB1436" s="94" t="n">
        <f aca="false">IFERROR((O1436*(Z1436/1000)/(AA1436))," ")</f>
        <v>0.932266033808625</v>
      </c>
      <c r="AC1436" s="95" t="n">
        <f aca="false">IFERROR((T1436)/((T1436)+O1436),0)</f>
        <v>0.029126213592233</v>
      </c>
      <c r="AD1436" s="96" t="n">
        <f aca="false">IFERROR(Q1436/(Q1436+N1436),0)</f>
        <v>0.0214943705220061</v>
      </c>
      <c r="AE1436" s="91" t="n">
        <f aca="false">(N1436-T1436)/N1436</f>
        <v>0.971757322175732</v>
      </c>
      <c r="AF1436" s="97" t="n">
        <f aca="false">BR1436</f>
        <v>5.5</v>
      </c>
      <c r="AG1436" s="98" t="n">
        <f aca="false">K1436-AF1436</f>
        <v>2.5</v>
      </c>
      <c r="AH1436" s="99" t="n">
        <f aca="false">IFERROR(AG1436/K1436," ")</f>
        <v>0.3125</v>
      </c>
      <c r="AI1436" s="100" t="n">
        <f aca="false">IFERROR(O1436/K1436,0)</f>
        <v>112.5</v>
      </c>
      <c r="AJ1436" s="101" t="n">
        <f aca="false">VLOOKUP(D1436,'Standard Cycle time'!C:D,2,0)</f>
        <v>9</v>
      </c>
      <c r="AK1436" s="101" t="n">
        <f aca="false">AG1436*V1436*3600/O1436</f>
        <v>10</v>
      </c>
      <c r="AL1436" s="102" t="n">
        <f aca="false">AJ1436/AK1436</f>
        <v>0.9</v>
      </c>
      <c r="AM1436" s="99" t="n">
        <f aca="false">AE1436*AL1436*AH1436</f>
        <v>0.273306746861925</v>
      </c>
      <c r="AN1436" s="103" t="n">
        <v>0.273306746861925</v>
      </c>
      <c r="AO1436" s="112" t="s">
        <v>2236</v>
      </c>
      <c r="AP1436" s="105" t="n">
        <v>0</v>
      </c>
      <c r="AQ1436" s="105" t="n">
        <v>0</v>
      </c>
      <c r="AR1436" s="105" t="n">
        <v>0</v>
      </c>
      <c r="AS1436" s="105" t="n">
        <v>0</v>
      </c>
      <c r="AT1436" s="105" t="n">
        <v>60</v>
      </c>
      <c r="AU1436" s="105" t="n">
        <v>0</v>
      </c>
      <c r="AV1436" s="105" t="n">
        <v>0</v>
      </c>
      <c r="AW1436" s="105" t="n">
        <v>0</v>
      </c>
      <c r="AX1436" s="105" t="n">
        <v>0</v>
      </c>
      <c r="AY1436" s="105" t="n">
        <v>0</v>
      </c>
      <c r="AZ1436" s="105" t="n">
        <v>0</v>
      </c>
      <c r="BA1436" s="105" t="n">
        <v>0</v>
      </c>
      <c r="BB1436" s="105" t="n">
        <v>0</v>
      </c>
      <c r="BC1436" s="105" t="n">
        <v>0</v>
      </c>
      <c r="BD1436" s="105" t="n">
        <v>0</v>
      </c>
      <c r="BE1436" s="105" t="n">
        <v>0</v>
      </c>
      <c r="BF1436" s="105" t="n">
        <v>0</v>
      </c>
      <c r="BG1436" s="105" t="n">
        <v>0</v>
      </c>
      <c r="BH1436" s="105" t="n">
        <v>0</v>
      </c>
      <c r="BI1436" s="105" t="n">
        <v>0</v>
      </c>
      <c r="BJ1436" s="105" t="n">
        <v>0</v>
      </c>
      <c r="BK1436" s="105" t="n">
        <v>0</v>
      </c>
      <c r="BL1436" s="105" t="n">
        <v>0</v>
      </c>
      <c r="BM1436" s="105" t="n">
        <v>0</v>
      </c>
      <c r="BN1436" s="105" t="n">
        <v>0</v>
      </c>
      <c r="BO1436" s="105" t="n">
        <v>0</v>
      </c>
      <c r="BP1436" s="105" t="n">
        <v>0</v>
      </c>
      <c r="BQ1436" s="105" t="n">
        <v>270</v>
      </c>
      <c r="BR1436" s="106" t="n">
        <v>5.5</v>
      </c>
      <c r="BS1436" s="106" t="n">
        <v>5.5</v>
      </c>
      <c r="BT1436" s="107"/>
      <c r="BU1436" s="107"/>
      <c r="BV1436" s="107"/>
      <c r="BW1436" s="107"/>
      <c r="BX1436" s="107"/>
      <c r="BY1436" s="107"/>
      <c r="BZ1436" s="107"/>
      <c r="CA1436" s="107"/>
      <c r="CB1436" s="107"/>
      <c r="CC1436" s="107"/>
      <c r="CD1436" s="107"/>
      <c r="CE1436" s="107"/>
      <c r="CF1436" s="107"/>
      <c r="CG1436" s="107"/>
      <c r="CH1436" s="107"/>
      <c r="CI1436" s="107"/>
      <c r="CJ1436" s="107"/>
      <c r="CK1436" s="107"/>
      <c r="CL1436" s="107"/>
      <c r="CM1436" s="107"/>
      <c r="CN1436" s="107"/>
      <c r="CO1436" s="107"/>
      <c r="CP1436" s="107"/>
      <c r="CQ1436" s="107"/>
      <c r="CR1436" s="107"/>
      <c r="CS1436" s="107"/>
      <c r="CT1436" s="107"/>
      <c r="CU1436" s="107"/>
      <c r="CV1436" s="107"/>
    </row>
    <row r="1437" customFormat="false" ht="14.9" hidden="false" customHeight="false" outlineLevel="0" collapsed="false">
      <c r="A1437" s="74" t="n">
        <f aca="false">MONTH(B1437)</f>
        <v>11</v>
      </c>
      <c r="B1437" s="135" t="n">
        <v>44526</v>
      </c>
      <c r="C1437" s="128" t="s">
        <v>152</v>
      </c>
      <c r="D1437" s="77" t="str">
        <f aca="false">IFERROR(VLOOKUP(E:E,'Item Data Support Sheet'!A:O,7,0),"")</f>
        <v>CAP MOLDED</v>
      </c>
      <c r="E1437" s="80" t="s">
        <v>261</v>
      </c>
      <c r="F1437" s="122" t="s">
        <v>2161</v>
      </c>
      <c r="G1437" s="137"/>
      <c r="H1437" s="79" t="str">
        <f aca="false">IFERROR(VLOOKUP(E:E,'Item Data Support Sheet'!A:O,2,0),"")</f>
        <v>CAP S TYPE MOLDED PINK</v>
      </c>
      <c r="I1437" s="80" t="s">
        <v>2237</v>
      </c>
      <c r="J1437" s="80" t="s">
        <v>1913</v>
      </c>
      <c r="K1437" s="124" t="n">
        <v>2.8</v>
      </c>
      <c r="L1437" s="124" t="n">
        <v>1450</v>
      </c>
      <c r="M1437" s="83" t="n">
        <v>517.857142857143</v>
      </c>
      <c r="N1437" s="84" t="n">
        <f aca="false">+O1437+Q1437+T1437+U1437</f>
        <v>1452</v>
      </c>
      <c r="O1437" s="85" t="n">
        <v>1450</v>
      </c>
      <c r="P1437" s="86" t="n">
        <v>0</v>
      </c>
      <c r="Q1437" s="86" t="n">
        <v>0</v>
      </c>
      <c r="R1437" s="132" t="n">
        <v>0</v>
      </c>
      <c r="S1437" s="128" t="n">
        <v>0</v>
      </c>
      <c r="T1437" s="132" t="n">
        <v>2</v>
      </c>
      <c r="U1437" s="128" t="n">
        <v>0</v>
      </c>
      <c r="V1437" s="128" t="n">
        <v>1</v>
      </c>
      <c r="W1437" s="90" t="n">
        <f aca="false">IFERROR(O1437/V1437,0)</f>
        <v>1450</v>
      </c>
      <c r="X1437" s="91" t="n">
        <f aca="false">O1437/L1437</f>
        <v>1</v>
      </c>
      <c r="Y1437" s="92" t="str">
        <f aca="false">IFERROR(VLOOKUP(E:E,'Item Data Support Sheet'!A:J,6,0),0)</f>
        <v>RM000123</v>
      </c>
      <c r="Z1437" s="93" t="n">
        <f aca="false">IFERROR(VLOOKUP(E:E,'Item Data Support Sheet'!A:O,4,0),0)</f>
        <v>7.3</v>
      </c>
      <c r="AA1437" s="93" t="n">
        <f aca="false">IFERROR(((N1437)*(Z1437/1000))+P1437,0)</f>
        <v>10.5996</v>
      </c>
      <c r="AB1437" s="94" t="n">
        <f aca="false">IFERROR((O1437*(Z1437/1000)/(AA1437))," ")</f>
        <v>0.998622589531681</v>
      </c>
      <c r="AC1437" s="95" t="n">
        <f aca="false">IFERROR((T1437)/((T1437)+O1437),0)</f>
        <v>0.00137741046831956</v>
      </c>
      <c r="AD1437" s="96" t="n">
        <f aca="false">IFERROR(Q1437/(Q1437+N1437),0)</f>
        <v>0</v>
      </c>
      <c r="AE1437" s="91" t="n">
        <f aca="false">(N1437-T1437)/N1437</f>
        <v>0.998622589531681</v>
      </c>
      <c r="AF1437" s="97" t="n">
        <f aca="false">BR1437</f>
        <v>0</v>
      </c>
      <c r="AG1437" s="98" t="n">
        <f aca="false">K1437-AF1437</f>
        <v>2.8</v>
      </c>
      <c r="AH1437" s="99" t="n">
        <f aca="false">IFERROR(AG1437/K1437," ")</f>
        <v>1</v>
      </c>
      <c r="AI1437" s="100" t="n">
        <f aca="false">IFERROR(O1437/K1437,0)</f>
        <v>517.857142857143</v>
      </c>
      <c r="AJ1437" s="101" t="n">
        <f aca="false">VLOOKUP(D1437,'Standard Cycle time'!C:D,2,0)</f>
        <v>6</v>
      </c>
      <c r="AK1437" s="101" t="n">
        <f aca="false">AG1437*V1437*3600/O1437</f>
        <v>6.95172413793103</v>
      </c>
      <c r="AL1437" s="102" t="n">
        <f aca="false">AJ1437/AK1437</f>
        <v>0.863095238095238</v>
      </c>
      <c r="AM1437" s="99" t="n">
        <f aca="false">AE1437*AL1437*AH1437</f>
        <v>0.861906401679129</v>
      </c>
      <c r="AN1437" s="103" t="n">
        <v>0.861906401679129</v>
      </c>
      <c r="AO1437" s="112"/>
      <c r="AP1437" s="105" t="n">
        <v>0</v>
      </c>
      <c r="AQ1437" s="105" t="n">
        <v>0</v>
      </c>
      <c r="AR1437" s="105" t="n">
        <v>0</v>
      </c>
      <c r="AS1437" s="105" t="n">
        <v>0</v>
      </c>
      <c r="AT1437" s="105" t="n">
        <v>0</v>
      </c>
      <c r="AU1437" s="105" t="n">
        <v>0</v>
      </c>
      <c r="AV1437" s="105" t="n">
        <v>0</v>
      </c>
      <c r="AW1437" s="105" t="n">
        <v>0</v>
      </c>
      <c r="AX1437" s="105" t="n">
        <v>0</v>
      </c>
      <c r="AY1437" s="105" t="n">
        <v>0</v>
      </c>
      <c r="AZ1437" s="105" t="n">
        <v>0</v>
      </c>
      <c r="BA1437" s="105" t="n">
        <v>0</v>
      </c>
      <c r="BB1437" s="105" t="n">
        <v>0</v>
      </c>
      <c r="BC1437" s="105" t="n">
        <v>0</v>
      </c>
      <c r="BD1437" s="105" t="n">
        <v>0</v>
      </c>
      <c r="BE1437" s="105" t="n">
        <v>0</v>
      </c>
      <c r="BF1437" s="105" t="n">
        <v>0</v>
      </c>
      <c r="BG1437" s="105" t="n">
        <v>0</v>
      </c>
      <c r="BH1437" s="105" t="n">
        <v>0</v>
      </c>
      <c r="BI1437" s="105" t="n">
        <v>0</v>
      </c>
      <c r="BJ1437" s="105" t="n">
        <v>0</v>
      </c>
      <c r="BK1437" s="105" t="n">
        <v>0</v>
      </c>
      <c r="BL1437" s="105" t="n">
        <v>0</v>
      </c>
      <c r="BM1437" s="105" t="n">
        <v>0</v>
      </c>
      <c r="BN1437" s="105" t="n">
        <v>0</v>
      </c>
      <c r="BO1437" s="105" t="n">
        <v>0</v>
      </c>
      <c r="BP1437" s="105" t="n">
        <v>0</v>
      </c>
      <c r="BQ1437" s="105" t="n">
        <v>0</v>
      </c>
      <c r="BR1437" s="106" t="n">
        <v>0</v>
      </c>
      <c r="BS1437" s="106" t="n">
        <v>0</v>
      </c>
      <c r="BT1437" s="107"/>
      <c r="BU1437" s="107"/>
      <c r="BV1437" s="107"/>
      <c r="BW1437" s="107"/>
      <c r="BX1437" s="107"/>
      <c r="BY1437" s="107"/>
      <c r="BZ1437" s="107"/>
      <c r="CA1437" s="107"/>
      <c r="CB1437" s="107"/>
      <c r="CC1437" s="107"/>
      <c r="CD1437" s="107"/>
      <c r="CE1437" s="107"/>
      <c r="CF1437" s="107"/>
      <c r="CG1437" s="107"/>
      <c r="CH1437" s="107"/>
      <c r="CI1437" s="107"/>
      <c r="CJ1437" s="107"/>
      <c r="CK1437" s="107"/>
      <c r="CL1437" s="107"/>
      <c r="CM1437" s="107"/>
      <c r="CN1437" s="107"/>
      <c r="CO1437" s="107"/>
      <c r="CP1437" s="107"/>
      <c r="CQ1437" s="107"/>
      <c r="CR1437" s="107"/>
      <c r="CS1437" s="107"/>
      <c r="CT1437" s="107"/>
      <c r="CU1437" s="107"/>
      <c r="CV1437" s="107"/>
    </row>
    <row r="1438" customFormat="false" ht="14.9" hidden="false" customHeight="false" outlineLevel="0" collapsed="false">
      <c r="A1438" s="74" t="n">
        <f aca="false">MONTH(B1438)</f>
        <v>11</v>
      </c>
      <c r="B1438" s="135" t="n">
        <v>44526</v>
      </c>
      <c r="C1438" s="128" t="s">
        <v>152</v>
      </c>
      <c r="D1438" s="77" t="str">
        <f aca="false">IFERROR(VLOOKUP(E:E,'Item Data Support Sheet'!A:O,7,0),"")</f>
        <v>NIPPLE MOLDED</v>
      </c>
      <c r="E1438" s="80" t="s">
        <v>492</v>
      </c>
      <c r="F1438" s="122" t="s">
        <v>1286</v>
      </c>
      <c r="G1438" s="137" t="s">
        <v>848</v>
      </c>
      <c r="H1438" s="79" t="str">
        <f aca="false">IFERROR(VLOOKUP(E:E,'Item Data Support Sheet'!A:O,2,0),"")</f>
        <v>NIPPLE S TYPE LL SIZE INJECTION</v>
      </c>
      <c r="I1438" s="80" t="s">
        <v>2238</v>
      </c>
      <c r="J1438" s="80" t="s">
        <v>1913</v>
      </c>
      <c r="K1438" s="124" t="n">
        <v>8</v>
      </c>
      <c r="L1438" s="124" t="n">
        <v>3611</v>
      </c>
      <c r="M1438" s="83" t="n">
        <v>451.375</v>
      </c>
      <c r="N1438" s="84" t="n">
        <f aca="false">+O1438+Q1438+T1438+U1438</f>
        <v>4060</v>
      </c>
      <c r="O1438" s="85" t="n">
        <v>4000</v>
      </c>
      <c r="P1438" s="86" t="n">
        <v>0</v>
      </c>
      <c r="Q1438" s="86" t="n">
        <v>15</v>
      </c>
      <c r="R1438" s="132" t="n">
        <v>0</v>
      </c>
      <c r="S1438" s="128" t="n">
        <v>0</v>
      </c>
      <c r="T1438" s="132" t="n">
        <v>45</v>
      </c>
      <c r="U1438" s="128" t="n">
        <v>0</v>
      </c>
      <c r="V1438" s="128" t="n">
        <v>1</v>
      </c>
      <c r="W1438" s="90" t="n">
        <f aca="false">IFERROR(O1438/V1438,0)</f>
        <v>4000</v>
      </c>
      <c r="X1438" s="91" t="n">
        <f aca="false">O1438/L1438</f>
        <v>1.10772639158128</v>
      </c>
      <c r="Y1438" s="92" t="str">
        <f aca="false">IFERROR(VLOOKUP(E:E,'Item Data Support Sheet'!A:J,6,0),0)</f>
        <v>FO148</v>
      </c>
      <c r="Z1438" s="93" t="n">
        <f aca="false">IFERROR(VLOOKUP(E:E,'Item Data Support Sheet'!A:O,4,0),0)</f>
        <v>6.8</v>
      </c>
      <c r="AA1438" s="93" t="n">
        <f aca="false">IFERROR(((N1438)*(Z1438/1000))+P1438,0)</f>
        <v>27.608</v>
      </c>
      <c r="AB1438" s="94" t="n">
        <f aca="false">IFERROR((O1438*(Z1438/1000)/(AA1438))," ")</f>
        <v>0.985221674876847</v>
      </c>
      <c r="AC1438" s="95" t="n">
        <f aca="false">IFERROR((T1438)/((T1438)+O1438),0)</f>
        <v>0.0111248454882571</v>
      </c>
      <c r="AD1438" s="96" t="n">
        <f aca="false">IFERROR(Q1438/(Q1438+N1438),0)</f>
        <v>0.00368098159509202</v>
      </c>
      <c r="AE1438" s="91" t="n">
        <f aca="false">(N1438-T1438)/N1438</f>
        <v>0.988916256157635</v>
      </c>
      <c r="AF1438" s="97" t="n">
        <f aca="false">BR1438</f>
        <v>0</v>
      </c>
      <c r="AG1438" s="98" t="n">
        <f aca="false">K1438-AF1438</f>
        <v>8</v>
      </c>
      <c r="AH1438" s="99" t="n">
        <f aca="false">IFERROR(AG1438/K1438," ")</f>
        <v>1</v>
      </c>
      <c r="AI1438" s="100" t="n">
        <f aca="false">IFERROR(O1438/K1438,0)</f>
        <v>500</v>
      </c>
      <c r="AJ1438" s="101" t="n">
        <f aca="false">VLOOKUP(D1438,'Standard Cycle time'!C:D,2,0)</f>
        <v>5.25</v>
      </c>
      <c r="AK1438" s="101" t="n">
        <f aca="false">AG1438*V1438*3600/O1438</f>
        <v>7.2</v>
      </c>
      <c r="AL1438" s="102" t="n">
        <f aca="false">AJ1438/AK1438</f>
        <v>0.729166666666667</v>
      </c>
      <c r="AM1438" s="99" t="n">
        <f aca="false">AE1438*AL1438*AH1438</f>
        <v>0.721084770114942</v>
      </c>
      <c r="AN1438" s="103" t="n">
        <v>0.721084770114942</v>
      </c>
      <c r="AO1438" s="112"/>
      <c r="AP1438" s="105" t="n">
        <v>0</v>
      </c>
      <c r="AQ1438" s="105" t="n">
        <v>0</v>
      </c>
      <c r="AR1438" s="105" t="n">
        <v>0</v>
      </c>
      <c r="AS1438" s="105" t="n">
        <v>0</v>
      </c>
      <c r="AT1438" s="105" t="n">
        <v>0</v>
      </c>
      <c r="AU1438" s="105" t="n">
        <v>0</v>
      </c>
      <c r="AV1438" s="105" t="n">
        <v>0</v>
      </c>
      <c r="AW1438" s="105" t="n">
        <v>0</v>
      </c>
      <c r="AX1438" s="105" t="n">
        <v>0</v>
      </c>
      <c r="AY1438" s="105" t="n">
        <v>0</v>
      </c>
      <c r="AZ1438" s="105" t="n">
        <v>0</v>
      </c>
      <c r="BA1438" s="105" t="n">
        <v>0</v>
      </c>
      <c r="BB1438" s="105" t="n">
        <v>0</v>
      </c>
      <c r="BC1438" s="105" t="n">
        <v>0</v>
      </c>
      <c r="BD1438" s="105" t="n">
        <v>0</v>
      </c>
      <c r="BE1438" s="105" t="n">
        <v>0</v>
      </c>
      <c r="BF1438" s="105" t="n">
        <v>0</v>
      </c>
      <c r="BG1438" s="105" t="n">
        <v>0</v>
      </c>
      <c r="BH1438" s="105" t="n">
        <v>0</v>
      </c>
      <c r="BI1438" s="105" t="n">
        <v>0</v>
      </c>
      <c r="BJ1438" s="105" t="n">
        <v>0</v>
      </c>
      <c r="BK1438" s="105" t="n">
        <v>0</v>
      </c>
      <c r="BL1438" s="105" t="n">
        <v>0</v>
      </c>
      <c r="BM1438" s="105" t="n">
        <v>0</v>
      </c>
      <c r="BN1438" s="105" t="n">
        <v>0</v>
      </c>
      <c r="BO1438" s="105" t="n">
        <v>0</v>
      </c>
      <c r="BP1438" s="105" t="n">
        <v>0</v>
      </c>
      <c r="BQ1438" s="105" t="n">
        <v>0</v>
      </c>
      <c r="BR1438" s="106" t="n">
        <v>0</v>
      </c>
      <c r="BS1438" s="106" t="n">
        <v>0</v>
      </c>
      <c r="BT1438" s="107"/>
      <c r="BU1438" s="107"/>
      <c r="BV1438" s="107"/>
      <c r="BW1438" s="107"/>
      <c r="BX1438" s="107"/>
      <c r="BY1438" s="107"/>
      <c r="BZ1438" s="107"/>
      <c r="CA1438" s="107"/>
      <c r="CB1438" s="107"/>
      <c r="CC1438" s="107"/>
      <c r="CD1438" s="107"/>
      <c r="CE1438" s="107"/>
      <c r="CF1438" s="107"/>
      <c r="CG1438" s="107"/>
      <c r="CH1438" s="107"/>
      <c r="CI1438" s="107"/>
      <c r="CJ1438" s="107"/>
      <c r="CK1438" s="107"/>
      <c r="CL1438" s="107"/>
      <c r="CM1438" s="107"/>
      <c r="CN1438" s="107"/>
      <c r="CO1438" s="107"/>
      <c r="CP1438" s="107"/>
      <c r="CQ1438" s="107"/>
      <c r="CR1438" s="107"/>
      <c r="CS1438" s="107"/>
      <c r="CT1438" s="107"/>
      <c r="CU1438" s="107"/>
      <c r="CV1438" s="107"/>
    </row>
    <row r="1439" customFormat="false" ht="14.9" hidden="false" customHeight="false" outlineLevel="0" collapsed="false">
      <c r="A1439" s="74" t="n">
        <f aca="false">MONTH(B1439)</f>
        <v>11</v>
      </c>
      <c r="B1439" s="135" t="n">
        <v>44526</v>
      </c>
      <c r="C1439" s="128" t="s">
        <v>152</v>
      </c>
      <c r="D1439" s="77" t="str">
        <f aca="false">IFERROR(VLOOKUP(E:E,'Item Data Support Sheet'!A:O,7,0),"")</f>
        <v>NIPPLE PUNCH</v>
      </c>
      <c r="E1439" s="80" t="s">
        <v>563</v>
      </c>
      <c r="F1439" s="122"/>
      <c r="G1439" s="137" t="s">
        <v>54</v>
      </c>
      <c r="H1439" s="79" t="str">
        <f aca="false">IFERROR(VLOOKUP(E:E,'Item Data Support Sheet'!A:O,2,0),"")</f>
        <v>NIPPLE S TYPE LL SIZE PUNCHED</v>
      </c>
      <c r="I1439" s="80" t="s">
        <v>2239</v>
      </c>
      <c r="J1439" s="80" t="s">
        <v>1913</v>
      </c>
      <c r="K1439" s="124" t="n">
        <v>8</v>
      </c>
      <c r="L1439" s="124" t="n">
        <v>7000</v>
      </c>
      <c r="M1439" s="83" t="n">
        <v>875</v>
      </c>
      <c r="N1439" s="84" t="n">
        <f aca="false">+O1439+Q1439+T1439+U1439</f>
        <v>7000</v>
      </c>
      <c r="O1439" s="85" t="n">
        <v>7000</v>
      </c>
      <c r="P1439" s="86" t="n">
        <v>0</v>
      </c>
      <c r="Q1439" s="86" t="n">
        <v>0</v>
      </c>
      <c r="R1439" s="132" t="n">
        <v>0</v>
      </c>
      <c r="S1439" s="128" t="n">
        <v>0</v>
      </c>
      <c r="T1439" s="132" t="n">
        <v>0</v>
      </c>
      <c r="U1439" s="128" t="n">
        <v>0</v>
      </c>
      <c r="V1439" s="128" t="n">
        <v>1</v>
      </c>
      <c r="W1439" s="90" t="n">
        <f aca="false">IFERROR(O1439/V1439,0)</f>
        <v>7000</v>
      </c>
      <c r="X1439" s="91" t="n">
        <f aca="false">O1439/L1439</f>
        <v>1</v>
      </c>
      <c r="Y1439" s="92" t="str">
        <f aca="false">IFERROR(VLOOKUP(E:E,'Item Data Support Sheet'!A:J,6,0),0)</f>
        <v>FO150</v>
      </c>
      <c r="Z1439" s="93" t="n">
        <f aca="false">IFERROR(VLOOKUP(E:E,'Item Data Support Sheet'!A:O,4,0),0)</f>
        <v>0</v>
      </c>
      <c r="AA1439" s="93" t="n">
        <f aca="false">IFERROR(((N1439)*(Z1439/1000))+P1439,0)</f>
        <v>0</v>
      </c>
      <c r="AB1439" s="94" t="str">
        <f aca="false">IFERROR((O1439*(Z1439/1000)/(AA1439))," ")</f>
        <v> </v>
      </c>
      <c r="AC1439" s="95" t="n">
        <f aca="false">IFERROR((T1439)/((T1439)+O1439),0)</f>
        <v>0</v>
      </c>
      <c r="AD1439" s="96" t="n">
        <f aca="false">IFERROR(Q1439/(Q1439+N1439),0)</f>
        <v>0</v>
      </c>
      <c r="AE1439" s="91" t="n">
        <f aca="false">(N1439-T1439)/N1439</f>
        <v>1</v>
      </c>
      <c r="AF1439" s="97" t="n">
        <f aca="false">BR1439</f>
        <v>0.333333333333333</v>
      </c>
      <c r="AG1439" s="98" t="n">
        <f aca="false">K1439-AF1439</f>
        <v>7.66666666666667</v>
      </c>
      <c r="AH1439" s="99" t="n">
        <f aca="false">IFERROR(AG1439/K1439," ")</f>
        <v>0.958333333333333</v>
      </c>
      <c r="AI1439" s="100" t="n">
        <f aca="false">IFERROR(O1439/K1439,0)</f>
        <v>875</v>
      </c>
      <c r="AJ1439" s="101" t="n">
        <f aca="false">VLOOKUP(D1439,'Standard Cycle time'!C:D,2,0)</f>
        <v>3.5</v>
      </c>
      <c r="AK1439" s="101" t="n">
        <f aca="false">AG1439*V1439*3600/O1439</f>
        <v>3.94285714285714</v>
      </c>
      <c r="AL1439" s="102" t="n">
        <f aca="false">AJ1439/AK1439</f>
        <v>0.88768115942029</v>
      </c>
      <c r="AM1439" s="99" t="n">
        <f aca="false">AE1439*AL1439*AH1439</f>
        <v>0.850694444444444</v>
      </c>
      <c r="AN1439" s="103" t="n">
        <v>0.850694444444444</v>
      </c>
      <c r="AO1439" s="112"/>
      <c r="AP1439" s="105" t="n">
        <v>20</v>
      </c>
      <c r="AQ1439" s="105" t="n">
        <v>0</v>
      </c>
      <c r="AR1439" s="105" t="n">
        <v>0</v>
      </c>
      <c r="AS1439" s="105" t="n">
        <v>0</v>
      </c>
      <c r="AT1439" s="105" t="n">
        <v>0</v>
      </c>
      <c r="AU1439" s="105" t="n">
        <v>0</v>
      </c>
      <c r="AV1439" s="105" t="n">
        <v>0</v>
      </c>
      <c r="AW1439" s="105" t="n">
        <v>0</v>
      </c>
      <c r="AX1439" s="105" t="n">
        <v>0</v>
      </c>
      <c r="AY1439" s="105" t="n">
        <v>0</v>
      </c>
      <c r="AZ1439" s="105" t="n">
        <v>0</v>
      </c>
      <c r="BA1439" s="105" t="n">
        <v>0</v>
      </c>
      <c r="BB1439" s="105" t="n">
        <v>0</v>
      </c>
      <c r="BC1439" s="105" t="n">
        <v>0</v>
      </c>
      <c r="BD1439" s="105" t="n">
        <v>0</v>
      </c>
      <c r="BE1439" s="105" t="n">
        <v>0</v>
      </c>
      <c r="BF1439" s="105" t="n">
        <v>0</v>
      </c>
      <c r="BG1439" s="105" t="n">
        <v>0</v>
      </c>
      <c r="BH1439" s="105" t="n">
        <v>0</v>
      </c>
      <c r="BI1439" s="105" t="n">
        <v>0</v>
      </c>
      <c r="BJ1439" s="105" t="n">
        <v>0</v>
      </c>
      <c r="BK1439" s="105" t="n">
        <v>0</v>
      </c>
      <c r="BL1439" s="105" t="n">
        <v>0</v>
      </c>
      <c r="BM1439" s="105" t="n">
        <v>0</v>
      </c>
      <c r="BN1439" s="105" t="n">
        <v>0</v>
      </c>
      <c r="BO1439" s="105" t="n">
        <v>0</v>
      </c>
      <c r="BP1439" s="105" t="n">
        <v>0</v>
      </c>
      <c r="BQ1439" s="105" t="n">
        <v>0</v>
      </c>
      <c r="BR1439" s="106" t="n">
        <v>0.333333333333333</v>
      </c>
      <c r="BS1439" s="106" t="n">
        <v>0.333333333333333</v>
      </c>
      <c r="BT1439" s="107"/>
      <c r="BU1439" s="107"/>
      <c r="BV1439" s="107"/>
      <c r="BW1439" s="107"/>
      <c r="BX1439" s="107"/>
      <c r="BY1439" s="107"/>
      <c r="BZ1439" s="107"/>
      <c r="CA1439" s="107"/>
      <c r="CB1439" s="107"/>
      <c r="CC1439" s="107"/>
      <c r="CD1439" s="107"/>
      <c r="CE1439" s="107"/>
      <c r="CF1439" s="107"/>
      <c r="CG1439" s="107"/>
      <c r="CH1439" s="107"/>
      <c r="CI1439" s="107"/>
      <c r="CJ1439" s="107"/>
      <c r="CK1439" s="107"/>
      <c r="CL1439" s="107"/>
      <c r="CM1439" s="107"/>
      <c r="CN1439" s="107"/>
      <c r="CO1439" s="107"/>
      <c r="CP1439" s="107"/>
      <c r="CQ1439" s="107"/>
      <c r="CR1439" s="107"/>
      <c r="CS1439" s="107"/>
      <c r="CT1439" s="107"/>
      <c r="CU1439" s="107"/>
      <c r="CV1439" s="107"/>
    </row>
    <row r="1440" customFormat="false" ht="14.9" hidden="false" customHeight="false" outlineLevel="0" collapsed="false">
      <c r="A1440" s="74" t="n">
        <f aca="false">MONTH(B1440)</f>
        <v>11</v>
      </c>
      <c r="B1440" s="135" t="n">
        <v>44526</v>
      </c>
      <c r="C1440" s="128" t="s">
        <v>152</v>
      </c>
      <c r="D1440" s="77" t="str">
        <f aca="false">IFERROR(VLOOKUP(E:E,'Item Data Support Sheet'!A:O,7,0),"")</f>
        <v>NIPPLE LASER MARKING</v>
      </c>
      <c r="E1440" s="80" t="s">
        <v>600</v>
      </c>
      <c r="F1440" s="122"/>
      <c r="G1440" s="137" t="s">
        <v>517</v>
      </c>
      <c r="H1440" s="79" t="str">
        <f aca="false">IFERROR(VLOOKUP(E:E,'Item Data Support Sheet'!A:O,2,0),"")</f>
        <v>NIPPLE S TYPE LL SIZE LASER MARKED</v>
      </c>
      <c r="I1440" s="80" t="s">
        <v>2240</v>
      </c>
      <c r="J1440" s="80" t="s">
        <v>1913</v>
      </c>
      <c r="K1440" s="124" t="n">
        <v>8</v>
      </c>
      <c r="L1440" s="124" t="n">
        <v>7000</v>
      </c>
      <c r="M1440" s="83" t="n">
        <v>875</v>
      </c>
      <c r="N1440" s="84" t="n">
        <f aca="false">+O1440+Q1440+T1440+U1440</f>
        <v>6000</v>
      </c>
      <c r="O1440" s="85" t="n">
        <v>6000</v>
      </c>
      <c r="P1440" s="86" t="n">
        <v>0</v>
      </c>
      <c r="Q1440" s="86" t="n">
        <v>0</v>
      </c>
      <c r="R1440" s="132" t="n">
        <v>0</v>
      </c>
      <c r="S1440" s="128" t="n">
        <v>0</v>
      </c>
      <c r="T1440" s="132" t="n">
        <v>0</v>
      </c>
      <c r="U1440" s="128" t="n">
        <v>0</v>
      </c>
      <c r="V1440" s="128" t="n">
        <v>1</v>
      </c>
      <c r="W1440" s="90" t="n">
        <f aca="false">IFERROR(O1440/V1440,0)</f>
        <v>6000</v>
      </c>
      <c r="X1440" s="91" t="n">
        <f aca="false">O1440/L1440</f>
        <v>0.857142857142857</v>
      </c>
      <c r="Y1440" s="92" t="str">
        <f aca="false">IFERROR(VLOOKUP(E:E,'Item Data Support Sheet'!A:J,6,0),0)</f>
        <v>FO151</v>
      </c>
      <c r="Z1440" s="93" t="n">
        <f aca="false">IFERROR(VLOOKUP(E:E,'Item Data Support Sheet'!A:O,4,0),0)</f>
        <v>0</v>
      </c>
      <c r="AA1440" s="93" t="n">
        <f aca="false">IFERROR(((N1440)*(Z1440/1000))+P1440,0)</f>
        <v>0</v>
      </c>
      <c r="AB1440" s="94" t="str">
        <f aca="false">IFERROR((O1440*(Z1440/1000)/(AA1440))," ")</f>
        <v> </v>
      </c>
      <c r="AC1440" s="95" t="n">
        <f aca="false">IFERROR((T1440)/((T1440)+O1440),0)</f>
        <v>0</v>
      </c>
      <c r="AD1440" s="96" t="n">
        <f aca="false">IFERROR(Q1440/(Q1440+N1440),0)</f>
        <v>0</v>
      </c>
      <c r="AE1440" s="91" t="n">
        <f aca="false">(N1440-T1440)/N1440</f>
        <v>1</v>
      </c>
      <c r="AF1440" s="97" t="n">
        <f aca="false">BR1440</f>
        <v>0.333333333333333</v>
      </c>
      <c r="AG1440" s="98" t="n">
        <f aca="false">K1440-AF1440</f>
        <v>7.66666666666667</v>
      </c>
      <c r="AH1440" s="99" t="n">
        <f aca="false">IFERROR(AG1440/K1440," ")</f>
        <v>0.958333333333333</v>
      </c>
      <c r="AI1440" s="100" t="n">
        <f aca="false">IFERROR(O1440/K1440,0)</f>
        <v>750</v>
      </c>
      <c r="AJ1440" s="101" t="n">
        <f aca="false">VLOOKUP(D1440,'Standard Cycle time'!C:D,2,0)</f>
        <v>3.5</v>
      </c>
      <c r="AK1440" s="101" t="n">
        <f aca="false">AG1440*V1440*3600/O1440</f>
        <v>4.6</v>
      </c>
      <c r="AL1440" s="102" t="n">
        <f aca="false">AJ1440/AK1440</f>
        <v>0.760869565217391</v>
      </c>
      <c r="AM1440" s="99" t="n">
        <f aca="false">AE1440*AL1440*AH1440</f>
        <v>0.729166666666667</v>
      </c>
      <c r="AN1440" s="103" t="n">
        <v>0.729166666666667</v>
      </c>
      <c r="AO1440" s="112"/>
      <c r="AP1440" s="105" t="n">
        <v>20</v>
      </c>
      <c r="AQ1440" s="105" t="n">
        <v>0</v>
      </c>
      <c r="AR1440" s="105" t="n">
        <v>0</v>
      </c>
      <c r="AS1440" s="105" t="n">
        <v>0</v>
      </c>
      <c r="AT1440" s="105" t="n">
        <v>0</v>
      </c>
      <c r="AU1440" s="105" t="n">
        <v>0</v>
      </c>
      <c r="AV1440" s="105" t="n">
        <v>0</v>
      </c>
      <c r="AW1440" s="105" t="n">
        <v>0</v>
      </c>
      <c r="AX1440" s="105" t="n">
        <v>0</v>
      </c>
      <c r="AY1440" s="105" t="n">
        <v>0</v>
      </c>
      <c r="AZ1440" s="105" t="n">
        <v>0</v>
      </c>
      <c r="BA1440" s="105" t="n">
        <v>0</v>
      </c>
      <c r="BB1440" s="105" t="n">
        <v>0</v>
      </c>
      <c r="BC1440" s="105" t="n">
        <v>0</v>
      </c>
      <c r="BD1440" s="105" t="n">
        <v>0</v>
      </c>
      <c r="BE1440" s="105" t="n">
        <v>0</v>
      </c>
      <c r="BF1440" s="105" t="n">
        <v>0</v>
      </c>
      <c r="BG1440" s="105" t="n">
        <v>0</v>
      </c>
      <c r="BH1440" s="105" t="n">
        <v>0</v>
      </c>
      <c r="BI1440" s="105" t="n">
        <v>0</v>
      </c>
      <c r="BJ1440" s="105" t="n">
        <v>0</v>
      </c>
      <c r="BK1440" s="105" t="n">
        <v>0</v>
      </c>
      <c r="BL1440" s="105" t="n">
        <v>0</v>
      </c>
      <c r="BM1440" s="105" t="n">
        <v>0</v>
      </c>
      <c r="BN1440" s="105" t="n">
        <v>0</v>
      </c>
      <c r="BO1440" s="105" t="n">
        <v>0</v>
      </c>
      <c r="BP1440" s="105" t="n">
        <v>0</v>
      </c>
      <c r="BQ1440" s="105" t="n">
        <v>0</v>
      </c>
      <c r="BR1440" s="106" t="n">
        <v>0.333333333333333</v>
      </c>
      <c r="BS1440" s="106" t="n">
        <v>0.333333333333333</v>
      </c>
      <c r="BT1440" s="107"/>
      <c r="BU1440" s="107"/>
      <c r="BV1440" s="107"/>
      <c r="BW1440" s="107"/>
      <c r="BX1440" s="107"/>
      <c r="BY1440" s="107"/>
      <c r="BZ1440" s="107"/>
      <c r="CA1440" s="107"/>
      <c r="CB1440" s="107"/>
      <c r="CC1440" s="107"/>
      <c r="CD1440" s="107"/>
      <c r="CE1440" s="107"/>
      <c r="CF1440" s="107"/>
      <c r="CG1440" s="107"/>
      <c r="CH1440" s="107"/>
      <c r="CI1440" s="107"/>
      <c r="CJ1440" s="107"/>
      <c r="CK1440" s="107"/>
      <c r="CL1440" s="107"/>
      <c r="CM1440" s="107"/>
      <c r="CN1440" s="107"/>
      <c r="CO1440" s="107"/>
      <c r="CP1440" s="107"/>
      <c r="CQ1440" s="107"/>
      <c r="CR1440" s="107"/>
      <c r="CS1440" s="107"/>
      <c r="CT1440" s="107"/>
      <c r="CU1440" s="107"/>
      <c r="CV1440" s="107"/>
    </row>
    <row r="1441" customFormat="false" ht="14.9" hidden="false" customHeight="false" outlineLevel="0" collapsed="false">
      <c r="A1441" s="74" t="n">
        <f aca="false">MONTH(B1441)</f>
        <v>11</v>
      </c>
      <c r="B1441" s="135" t="n">
        <v>44526</v>
      </c>
      <c r="C1441" s="128" t="s">
        <v>152</v>
      </c>
      <c r="D1441" s="77" t="str">
        <f aca="false">IFERROR(VLOOKUP(E:E,'Item Data Support Sheet'!A:O,7,0),"")</f>
        <v>NIPPLE MOLDED</v>
      </c>
      <c r="E1441" s="80" t="s">
        <v>661</v>
      </c>
      <c r="F1441" s="122" t="s">
        <v>137</v>
      </c>
      <c r="G1441" s="137" t="s">
        <v>138</v>
      </c>
      <c r="H1441" s="79" t="str">
        <f aca="false">IFERROR(VLOOKUP(E:E,'Item Data Support Sheet'!A:O,2,0),"")</f>
        <v>NIPPLE S TYPE L SIZE INJECTION</v>
      </c>
      <c r="I1441" s="80" t="s">
        <v>2238</v>
      </c>
      <c r="J1441" s="80" t="s">
        <v>1913</v>
      </c>
      <c r="K1441" s="124" t="n">
        <v>8</v>
      </c>
      <c r="L1441" s="124" t="n">
        <v>4815</v>
      </c>
      <c r="M1441" s="83" t="n">
        <v>601.875</v>
      </c>
      <c r="N1441" s="84" t="n">
        <f aca="false">+O1441+Q1441+T1441+U1441</f>
        <v>5665</v>
      </c>
      <c r="O1441" s="85" t="n">
        <v>5600</v>
      </c>
      <c r="P1441" s="86" t="n">
        <v>0</v>
      </c>
      <c r="Q1441" s="86" t="n">
        <v>0</v>
      </c>
      <c r="R1441" s="132" t="n">
        <v>0</v>
      </c>
      <c r="S1441" s="128" t="n">
        <v>0</v>
      </c>
      <c r="T1441" s="132" t="n">
        <v>65</v>
      </c>
      <c r="U1441" s="128" t="n">
        <v>0</v>
      </c>
      <c r="V1441" s="128" t="n">
        <v>1</v>
      </c>
      <c r="W1441" s="90" t="n">
        <f aca="false">IFERROR(O1441/V1441,0)</f>
        <v>5600</v>
      </c>
      <c r="X1441" s="91" t="n">
        <f aca="false">O1441/L1441</f>
        <v>1.16303219106957</v>
      </c>
      <c r="Y1441" s="92" t="str">
        <f aca="false">IFERROR(VLOOKUP(E:E,'Item Data Support Sheet'!A:J,6,0),0)</f>
        <v>Silicon</v>
      </c>
      <c r="Z1441" s="93" t="n">
        <f aca="false">IFERROR(VLOOKUP(E:E,'Item Data Support Sheet'!A:O,4,0),0)</f>
        <v>6.8</v>
      </c>
      <c r="AA1441" s="93" t="n">
        <f aca="false">IFERROR(((N1441)*(Z1441/1000))+P1441,0)</f>
        <v>38.522</v>
      </c>
      <c r="AB1441" s="94" t="n">
        <f aca="false">IFERROR((O1441*(Z1441/1000)/(AA1441))," ")</f>
        <v>0.988526037069726</v>
      </c>
      <c r="AC1441" s="95" t="n">
        <f aca="false">IFERROR((T1441)/((T1441)+O1441),0)</f>
        <v>0.0114739629302736</v>
      </c>
      <c r="AD1441" s="96" t="n">
        <f aca="false">IFERROR(Q1441/(Q1441+N1441),0)</f>
        <v>0</v>
      </c>
      <c r="AE1441" s="91" t="n">
        <f aca="false">(N1441-T1441)/N1441</f>
        <v>0.988526037069726</v>
      </c>
      <c r="AF1441" s="97" t="n">
        <f aca="false">BR1441</f>
        <v>0</v>
      </c>
      <c r="AG1441" s="98" t="n">
        <f aca="false">K1441-AF1441</f>
        <v>8</v>
      </c>
      <c r="AH1441" s="99" t="n">
        <f aca="false">IFERROR(AG1441/K1441," ")</f>
        <v>1</v>
      </c>
      <c r="AI1441" s="100" t="n">
        <f aca="false">IFERROR(O1441/K1441,0)</f>
        <v>700</v>
      </c>
      <c r="AJ1441" s="101" t="n">
        <f aca="false">VLOOKUP(D1441,'Standard Cycle time'!C:D,2,0)</f>
        <v>5.25</v>
      </c>
      <c r="AK1441" s="101" t="n">
        <f aca="false">AG1441*V1441*3600/O1441</f>
        <v>5.14285714285714</v>
      </c>
      <c r="AL1441" s="102" t="n">
        <f aca="false">AJ1441/AK1441</f>
        <v>1.02083333333333</v>
      </c>
      <c r="AM1441" s="99" t="n">
        <f aca="false">AE1441*AL1441*AH1441</f>
        <v>1.00912032950868</v>
      </c>
      <c r="AN1441" s="103" t="n">
        <v>1.00912032950868</v>
      </c>
      <c r="AO1441" s="112"/>
      <c r="AP1441" s="105" t="n">
        <v>0</v>
      </c>
      <c r="AQ1441" s="105" t="n">
        <v>0</v>
      </c>
      <c r="AR1441" s="105" t="n">
        <v>0</v>
      </c>
      <c r="AS1441" s="105" t="n">
        <v>0</v>
      </c>
      <c r="AT1441" s="105" t="n">
        <v>0</v>
      </c>
      <c r="AU1441" s="105" t="n">
        <v>0</v>
      </c>
      <c r="AV1441" s="105" t="n">
        <v>0</v>
      </c>
      <c r="AW1441" s="105" t="n">
        <v>0</v>
      </c>
      <c r="AX1441" s="105" t="n">
        <v>0</v>
      </c>
      <c r="AY1441" s="105" t="n">
        <v>0</v>
      </c>
      <c r="AZ1441" s="105" t="n">
        <v>0</v>
      </c>
      <c r="BA1441" s="105" t="n">
        <v>0</v>
      </c>
      <c r="BB1441" s="105" t="n">
        <v>0</v>
      </c>
      <c r="BC1441" s="105" t="n">
        <v>0</v>
      </c>
      <c r="BD1441" s="105" t="n">
        <v>0</v>
      </c>
      <c r="BE1441" s="105" t="n">
        <v>0</v>
      </c>
      <c r="BF1441" s="105" t="n">
        <v>0</v>
      </c>
      <c r="BG1441" s="105" t="n">
        <v>0</v>
      </c>
      <c r="BH1441" s="105" t="n">
        <v>0</v>
      </c>
      <c r="BI1441" s="105" t="n">
        <v>0</v>
      </c>
      <c r="BJ1441" s="105" t="n">
        <v>0</v>
      </c>
      <c r="BK1441" s="105" t="n">
        <v>0</v>
      </c>
      <c r="BL1441" s="105" t="n">
        <v>0</v>
      </c>
      <c r="BM1441" s="105" t="n">
        <v>0</v>
      </c>
      <c r="BN1441" s="105" t="n">
        <v>0</v>
      </c>
      <c r="BO1441" s="105" t="n">
        <v>0</v>
      </c>
      <c r="BP1441" s="105" t="n">
        <v>0</v>
      </c>
      <c r="BQ1441" s="105" t="n">
        <v>0</v>
      </c>
      <c r="BR1441" s="106" t="n">
        <v>0</v>
      </c>
      <c r="BS1441" s="106" t="n">
        <v>0</v>
      </c>
      <c r="BT1441" s="107"/>
      <c r="BU1441" s="107"/>
      <c r="BV1441" s="107"/>
      <c r="BW1441" s="107"/>
      <c r="BX1441" s="107"/>
      <c r="BY1441" s="107"/>
      <c r="BZ1441" s="107"/>
      <c r="CA1441" s="107"/>
      <c r="CB1441" s="107"/>
      <c r="CC1441" s="107"/>
      <c r="CD1441" s="107"/>
      <c r="CE1441" s="107"/>
      <c r="CF1441" s="107"/>
      <c r="CG1441" s="107"/>
      <c r="CH1441" s="107"/>
      <c r="CI1441" s="107"/>
      <c r="CJ1441" s="107"/>
      <c r="CK1441" s="107"/>
      <c r="CL1441" s="107"/>
      <c r="CM1441" s="107"/>
      <c r="CN1441" s="107"/>
      <c r="CO1441" s="107"/>
      <c r="CP1441" s="107"/>
      <c r="CQ1441" s="107"/>
      <c r="CR1441" s="107"/>
      <c r="CS1441" s="107"/>
      <c r="CT1441" s="107"/>
      <c r="CU1441" s="107"/>
      <c r="CV1441" s="107"/>
    </row>
    <row r="1442" customFormat="false" ht="14.9" hidden="false" customHeight="false" outlineLevel="0" collapsed="false">
      <c r="A1442" s="74" t="n">
        <f aca="false">MONTH(B1442)</f>
        <v>11</v>
      </c>
      <c r="B1442" s="135" t="n">
        <v>44526</v>
      </c>
      <c r="C1442" s="128" t="s">
        <v>152</v>
      </c>
      <c r="D1442" s="77" t="str">
        <f aca="false">IFERROR(VLOOKUP(E:E,'Item Data Support Sheet'!A:O,7,0),"")</f>
        <v>BOTTLE MOLDED</v>
      </c>
      <c r="E1442" s="80" t="s">
        <v>235</v>
      </c>
      <c r="F1442" s="122" t="s">
        <v>216</v>
      </c>
      <c r="G1442" s="137" t="s">
        <v>74</v>
      </c>
      <c r="H1442" s="79" t="str">
        <f aca="false">IFERROR(VLOOKUP(E:E,'Item Data Support Sheet'!A:O,2,0),"")</f>
        <v>KPP 200 ML BOTTLE MOLDED</v>
      </c>
      <c r="I1442" s="80" t="s">
        <v>2241</v>
      </c>
      <c r="J1442" s="80" t="s">
        <v>1913</v>
      </c>
      <c r="K1442" s="124" t="n">
        <v>8</v>
      </c>
      <c r="L1442" s="124" t="n">
        <v>2574</v>
      </c>
      <c r="M1442" s="83" t="n">
        <v>321.75</v>
      </c>
      <c r="N1442" s="84" t="n">
        <f aca="false">+O1442+Q1442+T1442+U1442</f>
        <v>2439</v>
      </c>
      <c r="O1442" s="85" t="n">
        <v>2376</v>
      </c>
      <c r="P1442" s="86" t="n">
        <v>0.15</v>
      </c>
      <c r="Q1442" s="86" t="n">
        <v>20</v>
      </c>
      <c r="R1442" s="132" t="n">
        <v>0</v>
      </c>
      <c r="S1442" s="128" t="n">
        <v>0</v>
      </c>
      <c r="T1442" s="132" t="n">
        <v>35</v>
      </c>
      <c r="U1442" s="128" t="n">
        <v>8</v>
      </c>
      <c r="V1442" s="128" t="n">
        <v>1</v>
      </c>
      <c r="W1442" s="90" t="n">
        <f aca="false">IFERROR(O1442/V1442,0)</f>
        <v>2376</v>
      </c>
      <c r="X1442" s="91" t="n">
        <f aca="false">O1442/L1442</f>
        <v>0.923076923076923</v>
      </c>
      <c r="Y1442" s="92" t="str">
        <f aca="false">IFERROR(VLOOKUP(E:E,'Item Data Support Sheet'!A:J,6,0),0)</f>
        <v>HMC</v>
      </c>
      <c r="Z1442" s="93" t="n">
        <f aca="false">IFERROR(VLOOKUP(E:E,'Item Data Support Sheet'!A:O,4,0),0)</f>
        <v>28.1</v>
      </c>
      <c r="AA1442" s="93" t="n">
        <f aca="false">IFERROR(((N1442)*(Z1442/1000))+P1442,0)</f>
        <v>68.6859</v>
      </c>
      <c r="AB1442" s="94" t="n">
        <f aca="false">IFERROR((O1442*(Z1442/1000)/(AA1442))," ")</f>
        <v>0.972042296890628</v>
      </c>
      <c r="AC1442" s="95" t="n">
        <f aca="false">IFERROR((T1442)/((T1442)+O1442),0)</f>
        <v>0.0145167980091248</v>
      </c>
      <c r="AD1442" s="96" t="n">
        <f aca="false">IFERROR(Q1442/(Q1442+N1442),0)</f>
        <v>0.00813338755591704</v>
      </c>
      <c r="AE1442" s="91" t="n">
        <f aca="false">(N1442-T1442)/N1442</f>
        <v>0.985649856498565</v>
      </c>
      <c r="AF1442" s="97" t="n">
        <f aca="false">BR1442</f>
        <v>0</v>
      </c>
      <c r="AG1442" s="98" t="n">
        <f aca="false">K1442-AF1442</f>
        <v>8</v>
      </c>
      <c r="AH1442" s="99" t="n">
        <f aca="false">IFERROR(AG1442/K1442," ")</f>
        <v>1</v>
      </c>
      <c r="AI1442" s="100" t="n">
        <f aca="false">IFERROR(O1442/K1442,0)</f>
        <v>297</v>
      </c>
      <c r="AJ1442" s="101" t="n">
        <f aca="false">VLOOKUP(D1442,'Standard Cycle time'!C:D,2,0)</f>
        <v>9</v>
      </c>
      <c r="AK1442" s="101" t="n">
        <f aca="false">AG1442*V1442*3600/O1442</f>
        <v>12.1212121212121</v>
      </c>
      <c r="AL1442" s="102" t="n">
        <f aca="false">AJ1442/AK1442</f>
        <v>0.7425</v>
      </c>
      <c r="AM1442" s="99" t="n">
        <f aca="false">AE1442*AL1442*AH1442</f>
        <v>0.731845018450185</v>
      </c>
      <c r="AN1442" s="103" t="n">
        <v>0.731845018450185</v>
      </c>
      <c r="AO1442" s="112"/>
      <c r="AP1442" s="105" t="n">
        <v>0</v>
      </c>
      <c r="AQ1442" s="105" t="n">
        <v>0</v>
      </c>
      <c r="AR1442" s="105" t="n">
        <v>0</v>
      </c>
      <c r="AS1442" s="105" t="n">
        <v>0</v>
      </c>
      <c r="AT1442" s="105" t="n">
        <v>0</v>
      </c>
      <c r="AU1442" s="105" t="n">
        <v>0</v>
      </c>
      <c r="AV1442" s="105" t="n">
        <v>0</v>
      </c>
      <c r="AW1442" s="105" t="n">
        <v>0</v>
      </c>
      <c r="AX1442" s="105" t="n">
        <v>0</v>
      </c>
      <c r="AY1442" s="105" t="n">
        <v>0</v>
      </c>
      <c r="AZ1442" s="105" t="n">
        <v>0</v>
      </c>
      <c r="BA1442" s="105" t="n">
        <v>0</v>
      </c>
      <c r="BB1442" s="105" t="n">
        <v>0</v>
      </c>
      <c r="BC1442" s="105" t="n">
        <v>0</v>
      </c>
      <c r="BD1442" s="105" t="n">
        <v>0</v>
      </c>
      <c r="BE1442" s="105" t="n">
        <v>0</v>
      </c>
      <c r="BF1442" s="105" t="n">
        <v>0</v>
      </c>
      <c r="BG1442" s="105" t="n">
        <v>0</v>
      </c>
      <c r="BH1442" s="105" t="n">
        <v>0</v>
      </c>
      <c r="BI1442" s="105" t="n">
        <v>0</v>
      </c>
      <c r="BJ1442" s="105" t="n">
        <v>0</v>
      </c>
      <c r="BK1442" s="105" t="n">
        <v>0</v>
      </c>
      <c r="BL1442" s="105" t="n">
        <v>0</v>
      </c>
      <c r="BM1442" s="105" t="n">
        <v>0</v>
      </c>
      <c r="BN1442" s="105" t="n">
        <v>0</v>
      </c>
      <c r="BO1442" s="105" t="n">
        <v>0</v>
      </c>
      <c r="BP1442" s="105" t="n">
        <v>0</v>
      </c>
      <c r="BQ1442" s="105" t="n">
        <v>0</v>
      </c>
      <c r="BR1442" s="106" t="n">
        <v>0</v>
      </c>
      <c r="BS1442" s="106" t="n">
        <v>0</v>
      </c>
      <c r="BT1442" s="107"/>
      <c r="BU1442" s="107"/>
      <c r="BV1442" s="107"/>
      <c r="BW1442" s="107"/>
      <c r="BX1442" s="107"/>
      <c r="BY1442" s="107"/>
      <c r="BZ1442" s="107"/>
      <c r="CA1442" s="107"/>
      <c r="CB1442" s="107"/>
      <c r="CC1442" s="107"/>
      <c r="CD1442" s="107"/>
      <c r="CE1442" s="107"/>
      <c r="CF1442" s="107"/>
      <c r="CG1442" s="107"/>
      <c r="CH1442" s="107"/>
      <c r="CI1442" s="107"/>
      <c r="CJ1442" s="107"/>
      <c r="CK1442" s="107"/>
      <c r="CL1442" s="107"/>
      <c r="CM1442" s="107"/>
      <c r="CN1442" s="107"/>
      <c r="CO1442" s="107"/>
      <c r="CP1442" s="107"/>
      <c r="CQ1442" s="107"/>
      <c r="CR1442" s="107"/>
      <c r="CS1442" s="107"/>
      <c r="CT1442" s="107"/>
      <c r="CU1442" s="107"/>
      <c r="CV1442" s="107"/>
    </row>
    <row r="1443" customFormat="false" ht="14.9" hidden="false" customHeight="false" outlineLevel="0" collapsed="false">
      <c r="A1443" s="74" t="n">
        <f aca="false">MONTH(B1443)</f>
        <v>11</v>
      </c>
      <c r="B1443" s="135" t="n">
        <v>44526</v>
      </c>
      <c r="C1443" s="128" t="s">
        <v>152</v>
      </c>
      <c r="D1443" s="77" t="str">
        <f aca="false">IFERROR(VLOOKUP(E:E,'Item Data Support Sheet'!A:O,7,0),"")</f>
        <v>CAP MOLDED</v>
      </c>
      <c r="E1443" s="80" t="s">
        <v>261</v>
      </c>
      <c r="F1443" s="122" t="s">
        <v>2213</v>
      </c>
      <c r="G1443" s="137"/>
      <c r="H1443" s="79" t="str">
        <f aca="false">IFERROR(VLOOKUP(E:E,'Item Data Support Sheet'!A:O,2,0),"")</f>
        <v>CAP S TYPE MOLDED PINK</v>
      </c>
      <c r="I1443" s="80" t="s">
        <v>2242</v>
      </c>
      <c r="J1443" s="80" t="s">
        <v>1913</v>
      </c>
      <c r="K1443" s="124" t="n">
        <v>5.2</v>
      </c>
      <c r="L1443" s="124" t="n">
        <v>2687</v>
      </c>
      <c r="M1443" s="83" t="n">
        <v>516.730769230769</v>
      </c>
      <c r="N1443" s="84" t="n">
        <f aca="false">+O1443+Q1443+T1443+U1443</f>
        <v>3350</v>
      </c>
      <c r="O1443" s="85" t="n">
        <v>3350</v>
      </c>
      <c r="P1443" s="86" t="n">
        <v>0</v>
      </c>
      <c r="Q1443" s="86" t="n">
        <v>0</v>
      </c>
      <c r="R1443" s="132" t="n">
        <v>0</v>
      </c>
      <c r="S1443" s="128" t="n">
        <v>0</v>
      </c>
      <c r="T1443" s="132" t="n">
        <v>0</v>
      </c>
      <c r="U1443" s="128" t="n">
        <v>0</v>
      </c>
      <c r="V1443" s="128" t="n">
        <v>1</v>
      </c>
      <c r="W1443" s="90" t="n">
        <f aca="false">IFERROR(O1443/V1443,0)</f>
        <v>3350</v>
      </c>
      <c r="X1443" s="91" t="n">
        <f aca="false">O1443/L1443</f>
        <v>1.24674358020097</v>
      </c>
      <c r="Y1443" s="92" t="str">
        <f aca="false">IFERROR(VLOOKUP(E:E,'Item Data Support Sheet'!A:J,6,0),0)</f>
        <v>RM000123</v>
      </c>
      <c r="Z1443" s="93" t="n">
        <f aca="false">IFERROR(VLOOKUP(E:E,'Item Data Support Sheet'!A:O,4,0),0)</f>
        <v>7.3</v>
      </c>
      <c r="AA1443" s="93" t="n">
        <f aca="false">IFERROR(((N1443)*(Z1443/1000))+P1443,0)</f>
        <v>24.455</v>
      </c>
      <c r="AB1443" s="94" t="n">
        <f aca="false">IFERROR((O1443*(Z1443/1000)/(AA1443))," ")</f>
        <v>1</v>
      </c>
      <c r="AC1443" s="95" t="n">
        <f aca="false">IFERROR((T1443)/((T1443)+O1443),0)</f>
        <v>0</v>
      </c>
      <c r="AD1443" s="96" t="n">
        <f aca="false">IFERROR(Q1443/(Q1443+N1443),0)</f>
        <v>0</v>
      </c>
      <c r="AE1443" s="91" t="n">
        <f aca="false">(N1443-T1443)/N1443</f>
        <v>1</v>
      </c>
      <c r="AF1443" s="97" t="n">
        <f aca="false">BR1443</f>
        <v>0</v>
      </c>
      <c r="AG1443" s="98" t="n">
        <f aca="false">K1443-AF1443</f>
        <v>5.2</v>
      </c>
      <c r="AH1443" s="99" t="n">
        <f aca="false">IFERROR(AG1443/K1443," ")</f>
        <v>1</v>
      </c>
      <c r="AI1443" s="100" t="n">
        <f aca="false">IFERROR(O1443/K1443,0)</f>
        <v>644.230769230769</v>
      </c>
      <c r="AJ1443" s="101" t="n">
        <f aca="false">VLOOKUP(D1443,'Standard Cycle time'!C:D,2,0)</f>
        <v>6</v>
      </c>
      <c r="AK1443" s="101" t="n">
        <f aca="false">AG1443*V1443*3600/O1443</f>
        <v>5.58805970149254</v>
      </c>
      <c r="AL1443" s="102" t="n">
        <f aca="false">AJ1443/AK1443</f>
        <v>1.07371794871795</v>
      </c>
      <c r="AM1443" s="99" t="n">
        <f aca="false">AE1443*AL1443*AH1443</f>
        <v>1.07371794871795</v>
      </c>
      <c r="AN1443" s="103" t="n">
        <v>1.07371794871795</v>
      </c>
      <c r="AO1443" s="112"/>
      <c r="AP1443" s="105" t="n">
        <v>0</v>
      </c>
      <c r="AQ1443" s="105" t="n">
        <v>0</v>
      </c>
      <c r="AR1443" s="105" t="n">
        <v>0</v>
      </c>
      <c r="AS1443" s="105" t="n">
        <v>0</v>
      </c>
      <c r="AT1443" s="105" t="n">
        <v>0</v>
      </c>
      <c r="AU1443" s="105" t="n">
        <v>0</v>
      </c>
      <c r="AV1443" s="105" t="n">
        <v>0</v>
      </c>
      <c r="AW1443" s="105" t="n">
        <v>0</v>
      </c>
      <c r="AX1443" s="105" t="n">
        <v>0</v>
      </c>
      <c r="AY1443" s="105" t="n">
        <v>0</v>
      </c>
      <c r="AZ1443" s="105" t="n">
        <v>0</v>
      </c>
      <c r="BA1443" s="105" t="n">
        <v>0</v>
      </c>
      <c r="BB1443" s="105" t="n">
        <v>0</v>
      </c>
      <c r="BC1443" s="105" t="n">
        <v>0</v>
      </c>
      <c r="BD1443" s="105" t="n">
        <v>0</v>
      </c>
      <c r="BE1443" s="105" t="n">
        <v>0</v>
      </c>
      <c r="BF1443" s="105" t="n">
        <v>0</v>
      </c>
      <c r="BG1443" s="105" t="n">
        <v>0</v>
      </c>
      <c r="BH1443" s="105" t="n">
        <v>0</v>
      </c>
      <c r="BI1443" s="105" t="n">
        <v>0</v>
      </c>
      <c r="BJ1443" s="105" t="n">
        <v>0</v>
      </c>
      <c r="BK1443" s="105" t="n">
        <v>0</v>
      </c>
      <c r="BL1443" s="105" t="n">
        <v>0</v>
      </c>
      <c r="BM1443" s="105" t="n">
        <v>0</v>
      </c>
      <c r="BN1443" s="105" t="n">
        <v>0</v>
      </c>
      <c r="BO1443" s="105" t="n">
        <v>0</v>
      </c>
      <c r="BP1443" s="105" t="n">
        <v>0</v>
      </c>
      <c r="BQ1443" s="105" t="n">
        <v>0</v>
      </c>
      <c r="BR1443" s="106" t="n">
        <v>0</v>
      </c>
      <c r="BS1443" s="106" t="n">
        <v>0</v>
      </c>
      <c r="BT1443" s="107"/>
      <c r="BU1443" s="107"/>
      <c r="BV1443" s="107"/>
      <c r="BW1443" s="107"/>
      <c r="BX1443" s="107"/>
      <c r="BY1443" s="107"/>
      <c r="BZ1443" s="107"/>
      <c r="CA1443" s="107"/>
      <c r="CB1443" s="107"/>
      <c r="CC1443" s="107"/>
      <c r="CD1443" s="107"/>
      <c r="CE1443" s="107"/>
      <c r="CF1443" s="107"/>
      <c r="CG1443" s="107"/>
      <c r="CH1443" s="107"/>
      <c r="CI1443" s="107"/>
      <c r="CJ1443" s="107"/>
      <c r="CK1443" s="107"/>
      <c r="CL1443" s="107"/>
      <c r="CM1443" s="107"/>
      <c r="CN1443" s="107"/>
      <c r="CO1443" s="107"/>
      <c r="CP1443" s="107"/>
      <c r="CQ1443" s="107"/>
      <c r="CR1443" s="107"/>
      <c r="CS1443" s="107"/>
      <c r="CT1443" s="107"/>
      <c r="CU1443" s="107"/>
      <c r="CV1443" s="107"/>
    </row>
    <row r="1444" customFormat="false" ht="14.9" hidden="false" customHeight="false" outlineLevel="0" collapsed="false">
      <c r="A1444" s="74" t="n">
        <f aca="false">MONTH(B1444)</f>
        <v>11</v>
      </c>
      <c r="B1444" s="135" t="n">
        <v>44527</v>
      </c>
      <c r="C1444" s="128" t="s">
        <v>51</v>
      </c>
      <c r="D1444" s="77" t="str">
        <f aca="false">IFERROR(VLOOKUP(E:E,'Item Data Support Sheet'!A:O,7,0),"")</f>
        <v>NIPPLE MOLDED</v>
      </c>
      <c r="E1444" s="80" t="s">
        <v>492</v>
      </c>
      <c r="F1444" s="122" t="s">
        <v>1286</v>
      </c>
      <c r="G1444" s="137" t="s">
        <v>848</v>
      </c>
      <c r="H1444" s="79" t="str">
        <f aca="false">IFERROR(VLOOKUP(E:E,'Item Data Support Sheet'!A:O,2,0),"")</f>
        <v>NIPPLE S TYPE LL SIZE INJECTION</v>
      </c>
      <c r="I1444" s="80" t="s">
        <v>2243</v>
      </c>
      <c r="J1444" s="80" t="s">
        <v>143</v>
      </c>
      <c r="K1444" s="124" t="n">
        <v>8</v>
      </c>
      <c r="L1444" s="124" t="n">
        <v>3611</v>
      </c>
      <c r="M1444" s="83" t="n">
        <v>451.375</v>
      </c>
      <c r="N1444" s="84" t="n">
        <f aca="false">+O1444+Q1444+T1444+U1444</f>
        <v>1032</v>
      </c>
      <c r="O1444" s="85" t="n">
        <v>1000</v>
      </c>
      <c r="P1444" s="86" t="n">
        <v>0</v>
      </c>
      <c r="Q1444" s="86" t="n">
        <v>0</v>
      </c>
      <c r="R1444" s="132" t="n">
        <v>0</v>
      </c>
      <c r="S1444" s="128" t="n">
        <v>0</v>
      </c>
      <c r="T1444" s="132" t="n">
        <v>20</v>
      </c>
      <c r="U1444" s="128" t="n">
        <v>12</v>
      </c>
      <c r="V1444" s="128" t="n">
        <v>1</v>
      </c>
      <c r="W1444" s="90" t="n">
        <f aca="false">IFERROR(O1444/V1444,0)</f>
        <v>1000</v>
      </c>
      <c r="X1444" s="91" t="n">
        <f aca="false">O1444/L1444</f>
        <v>0.27693159789532</v>
      </c>
      <c r="Y1444" s="92" t="str">
        <f aca="false">IFERROR(VLOOKUP(E:E,'Item Data Support Sheet'!A:J,6,0),0)</f>
        <v>FO148</v>
      </c>
      <c r="Z1444" s="93" t="n">
        <f aca="false">IFERROR(VLOOKUP(E:E,'Item Data Support Sheet'!A:O,4,0),0)</f>
        <v>6.8</v>
      </c>
      <c r="AA1444" s="93" t="n">
        <f aca="false">IFERROR(((N1444)*(Z1444/1000))+P1444,0)</f>
        <v>7.0176</v>
      </c>
      <c r="AB1444" s="94" t="n">
        <f aca="false">IFERROR((O1444*(Z1444/1000)/(AA1444))," ")</f>
        <v>0.968992248062015</v>
      </c>
      <c r="AC1444" s="95" t="n">
        <f aca="false">IFERROR((T1444)/((T1444)+O1444),0)</f>
        <v>0.0196078431372549</v>
      </c>
      <c r="AD1444" s="96" t="n">
        <f aca="false">IFERROR(Q1444/(Q1444+N1444),0)</f>
        <v>0</v>
      </c>
      <c r="AE1444" s="91" t="n">
        <f aca="false">(N1444-T1444)/N1444</f>
        <v>0.98062015503876</v>
      </c>
      <c r="AF1444" s="97" t="n">
        <f aca="false">BR1444</f>
        <v>4</v>
      </c>
      <c r="AG1444" s="98" t="n">
        <f aca="false">K1444-AF1444</f>
        <v>4</v>
      </c>
      <c r="AH1444" s="99" t="n">
        <f aca="false">IFERROR(AG1444/K1444," ")</f>
        <v>0.5</v>
      </c>
      <c r="AI1444" s="100" t="n">
        <f aca="false">IFERROR(O1444/K1444,0)</f>
        <v>125</v>
      </c>
      <c r="AJ1444" s="101" t="n">
        <f aca="false">VLOOKUP(D1444,'Standard Cycle time'!C:D,2,0)</f>
        <v>5.25</v>
      </c>
      <c r="AK1444" s="101" t="n">
        <f aca="false">AG1444*V1444*3600/O1444</f>
        <v>14.4</v>
      </c>
      <c r="AL1444" s="102" t="n">
        <f aca="false">AJ1444/AK1444</f>
        <v>0.364583333333333</v>
      </c>
      <c r="AM1444" s="99" t="n">
        <f aca="false">AE1444*AL1444*AH1444</f>
        <v>0.178758882428941</v>
      </c>
      <c r="AN1444" s="103" t="n">
        <v>0.178758882428941</v>
      </c>
      <c r="AO1444" s="112" t="s">
        <v>2244</v>
      </c>
      <c r="AP1444" s="105" t="n">
        <v>0</v>
      </c>
      <c r="AQ1444" s="105" t="n">
        <v>0</v>
      </c>
      <c r="AR1444" s="105" t="n">
        <v>0</v>
      </c>
      <c r="AS1444" s="105" t="n">
        <v>0</v>
      </c>
      <c r="AT1444" s="105" t="n">
        <v>0</v>
      </c>
      <c r="AU1444" s="105" t="n">
        <v>0</v>
      </c>
      <c r="AV1444" s="105" t="n">
        <v>0</v>
      </c>
      <c r="AW1444" s="105" t="n">
        <v>0</v>
      </c>
      <c r="AX1444" s="105" t="n">
        <v>0</v>
      </c>
      <c r="AY1444" s="105" t="n">
        <v>0</v>
      </c>
      <c r="AZ1444" s="105" t="n">
        <v>0</v>
      </c>
      <c r="BA1444" s="105" t="n">
        <v>0</v>
      </c>
      <c r="BB1444" s="105" t="n">
        <v>0</v>
      </c>
      <c r="BC1444" s="105" t="n">
        <v>0</v>
      </c>
      <c r="BD1444" s="105" t="n">
        <v>0</v>
      </c>
      <c r="BE1444" s="105" t="n">
        <v>0</v>
      </c>
      <c r="BF1444" s="105" t="n">
        <v>0</v>
      </c>
      <c r="BG1444" s="105" t="n">
        <v>0</v>
      </c>
      <c r="BH1444" s="105" t="n">
        <v>0</v>
      </c>
      <c r="BI1444" s="105" t="n">
        <v>0</v>
      </c>
      <c r="BJ1444" s="105" t="n">
        <v>0</v>
      </c>
      <c r="BK1444" s="105" t="n">
        <v>240</v>
      </c>
      <c r="BL1444" s="105" t="n">
        <v>0</v>
      </c>
      <c r="BM1444" s="105" t="n">
        <v>0</v>
      </c>
      <c r="BN1444" s="105" t="n">
        <v>0</v>
      </c>
      <c r="BO1444" s="105" t="n">
        <v>0</v>
      </c>
      <c r="BP1444" s="105" t="n">
        <v>0</v>
      </c>
      <c r="BQ1444" s="105" t="n">
        <v>0</v>
      </c>
      <c r="BR1444" s="106" t="n">
        <v>4</v>
      </c>
      <c r="BS1444" s="106" t="n">
        <v>4</v>
      </c>
      <c r="BT1444" s="107"/>
      <c r="BU1444" s="107"/>
      <c r="BV1444" s="107"/>
      <c r="BW1444" s="107"/>
      <c r="BX1444" s="107"/>
      <c r="BY1444" s="107"/>
      <c r="BZ1444" s="107"/>
      <c r="CA1444" s="107"/>
      <c r="CB1444" s="107"/>
      <c r="CC1444" s="107"/>
      <c r="CD1444" s="107"/>
      <c r="CE1444" s="107"/>
      <c r="CF1444" s="107"/>
      <c r="CG1444" s="107"/>
      <c r="CH1444" s="107"/>
      <c r="CI1444" s="107"/>
      <c r="CJ1444" s="107"/>
      <c r="CK1444" s="107"/>
      <c r="CL1444" s="107"/>
      <c r="CM1444" s="107"/>
      <c r="CN1444" s="107"/>
      <c r="CO1444" s="107"/>
      <c r="CP1444" s="107"/>
      <c r="CQ1444" s="107"/>
      <c r="CR1444" s="107"/>
      <c r="CS1444" s="107"/>
      <c r="CT1444" s="107"/>
      <c r="CU1444" s="107"/>
      <c r="CV1444" s="107"/>
    </row>
    <row r="1445" customFormat="false" ht="14.9" hidden="false" customHeight="false" outlineLevel="0" collapsed="false">
      <c r="A1445" s="74" t="n">
        <f aca="false">MONTH(B1445)</f>
        <v>11</v>
      </c>
      <c r="B1445" s="135" t="n">
        <v>44527</v>
      </c>
      <c r="C1445" s="128" t="s">
        <v>51</v>
      </c>
      <c r="D1445" s="77" t="str">
        <f aca="false">IFERROR(VLOOKUP(E:E,'Item Data Support Sheet'!A:O,7,0),"")</f>
        <v>NIPPLE MOLDED</v>
      </c>
      <c r="E1445" s="80" t="s">
        <v>661</v>
      </c>
      <c r="F1445" s="122" t="s">
        <v>137</v>
      </c>
      <c r="G1445" s="137" t="s">
        <v>138</v>
      </c>
      <c r="H1445" s="79" t="str">
        <f aca="false">IFERROR(VLOOKUP(E:E,'Item Data Support Sheet'!A:O,2,0),"")</f>
        <v>NIPPLE S TYPE L SIZE INJECTION</v>
      </c>
      <c r="I1445" s="80" t="s">
        <v>2243</v>
      </c>
      <c r="J1445" s="80" t="s">
        <v>143</v>
      </c>
      <c r="K1445" s="124" t="n">
        <v>8</v>
      </c>
      <c r="L1445" s="124" t="n">
        <v>4815</v>
      </c>
      <c r="M1445" s="83" t="n">
        <v>601.875</v>
      </c>
      <c r="N1445" s="84" t="n">
        <f aca="false">+O1445+Q1445+T1445+U1445</f>
        <v>5805</v>
      </c>
      <c r="O1445" s="85" t="n">
        <v>5700</v>
      </c>
      <c r="P1445" s="86" t="n">
        <v>0</v>
      </c>
      <c r="Q1445" s="86" t="n">
        <v>50</v>
      </c>
      <c r="R1445" s="132" t="n">
        <v>0</v>
      </c>
      <c r="S1445" s="128" t="n">
        <v>0</v>
      </c>
      <c r="T1445" s="132" t="n">
        <v>39</v>
      </c>
      <c r="U1445" s="128" t="n">
        <v>16</v>
      </c>
      <c r="V1445" s="128" t="n">
        <v>1</v>
      </c>
      <c r="W1445" s="90" t="n">
        <f aca="false">IFERROR(O1445/V1445,0)</f>
        <v>5700</v>
      </c>
      <c r="X1445" s="91" t="n">
        <f aca="false">O1445/L1445</f>
        <v>1.18380062305296</v>
      </c>
      <c r="Y1445" s="92" t="str">
        <f aca="false">IFERROR(VLOOKUP(E:E,'Item Data Support Sheet'!A:J,6,0),0)</f>
        <v>Silicon</v>
      </c>
      <c r="Z1445" s="93" t="n">
        <f aca="false">IFERROR(VLOOKUP(E:E,'Item Data Support Sheet'!A:O,4,0),0)</f>
        <v>6.8</v>
      </c>
      <c r="AA1445" s="93" t="n">
        <f aca="false">IFERROR(((N1445)*(Z1445/1000))+P1445,0)</f>
        <v>39.474</v>
      </c>
      <c r="AB1445" s="94" t="n">
        <f aca="false">IFERROR((O1445*(Z1445/1000)/(AA1445))," ")</f>
        <v>0.981912144702842</v>
      </c>
      <c r="AC1445" s="95" t="n">
        <f aca="false">IFERROR((T1445)/((T1445)+O1445),0)</f>
        <v>0.00679560899111343</v>
      </c>
      <c r="AD1445" s="96" t="n">
        <f aca="false">IFERROR(Q1445/(Q1445+N1445),0)</f>
        <v>0.0085397096498719</v>
      </c>
      <c r="AE1445" s="91" t="n">
        <f aca="false">(N1445-T1445)/N1445</f>
        <v>0.99328165374677</v>
      </c>
      <c r="AF1445" s="97" t="n">
        <f aca="false">BR1445</f>
        <v>0</v>
      </c>
      <c r="AG1445" s="98" t="n">
        <f aca="false">K1445-AF1445</f>
        <v>8</v>
      </c>
      <c r="AH1445" s="99" t="n">
        <f aca="false">IFERROR(AG1445/K1445," ")</f>
        <v>1</v>
      </c>
      <c r="AI1445" s="100" t="n">
        <f aca="false">IFERROR(O1445/K1445,0)</f>
        <v>712.5</v>
      </c>
      <c r="AJ1445" s="101" t="n">
        <f aca="false">VLOOKUP(D1445,'Standard Cycle time'!C:D,2,0)</f>
        <v>5.25</v>
      </c>
      <c r="AK1445" s="101" t="n">
        <f aca="false">AG1445*V1445*3600/O1445</f>
        <v>5.05263157894737</v>
      </c>
      <c r="AL1445" s="102" t="n">
        <f aca="false">AJ1445/AK1445</f>
        <v>1.0390625</v>
      </c>
      <c r="AM1445" s="99" t="n">
        <f aca="false">AE1445*AL1445*AH1445</f>
        <v>1.03208171834625</v>
      </c>
      <c r="AN1445" s="103" t="n">
        <v>1.03208171834625</v>
      </c>
      <c r="AO1445" s="112"/>
      <c r="AP1445" s="105" t="n">
        <v>0</v>
      </c>
      <c r="AQ1445" s="105" t="n">
        <v>0</v>
      </c>
      <c r="AR1445" s="105" t="n">
        <v>0</v>
      </c>
      <c r="AS1445" s="105" t="n">
        <v>0</v>
      </c>
      <c r="AT1445" s="105" t="n">
        <v>0</v>
      </c>
      <c r="AU1445" s="105" t="n">
        <v>0</v>
      </c>
      <c r="AV1445" s="105" t="n">
        <v>0</v>
      </c>
      <c r="AW1445" s="105" t="n">
        <v>0</v>
      </c>
      <c r="AX1445" s="105" t="n">
        <v>0</v>
      </c>
      <c r="AY1445" s="105" t="n">
        <v>0</v>
      </c>
      <c r="AZ1445" s="105" t="n">
        <v>0</v>
      </c>
      <c r="BA1445" s="105" t="n">
        <v>0</v>
      </c>
      <c r="BB1445" s="105" t="n">
        <v>0</v>
      </c>
      <c r="BC1445" s="105" t="n">
        <v>0</v>
      </c>
      <c r="BD1445" s="105" t="n">
        <v>0</v>
      </c>
      <c r="BE1445" s="105" t="n">
        <v>0</v>
      </c>
      <c r="BF1445" s="105" t="n">
        <v>0</v>
      </c>
      <c r="BG1445" s="105" t="n">
        <v>0</v>
      </c>
      <c r="BH1445" s="105" t="n">
        <v>0</v>
      </c>
      <c r="BI1445" s="105" t="n">
        <v>0</v>
      </c>
      <c r="BJ1445" s="105" t="n">
        <v>0</v>
      </c>
      <c r="BK1445" s="105" t="n">
        <v>0</v>
      </c>
      <c r="BL1445" s="105" t="n">
        <v>0</v>
      </c>
      <c r="BM1445" s="105" t="n">
        <v>0</v>
      </c>
      <c r="BN1445" s="105" t="n">
        <v>0</v>
      </c>
      <c r="BO1445" s="105" t="n">
        <v>0</v>
      </c>
      <c r="BP1445" s="105" t="n">
        <v>0</v>
      </c>
      <c r="BQ1445" s="105" t="n">
        <v>0</v>
      </c>
      <c r="BR1445" s="106" t="n">
        <v>0</v>
      </c>
      <c r="BS1445" s="106" t="n">
        <v>0</v>
      </c>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c r="CO1445" s="107"/>
      <c r="CP1445" s="107"/>
      <c r="CQ1445" s="107"/>
      <c r="CR1445" s="107"/>
      <c r="CS1445" s="107"/>
      <c r="CT1445" s="107"/>
      <c r="CU1445" s="107"/>
      <c r="CV1445" s="107"/>
    </row>
    <row r="1446" customFormat="false" ht="14.9" hidden="false" customHeight="false" outlineLevel="0" collapsed="false">
      <c r="A1446" s="74" t="n">
        <f aca="false">MONTH(B1446)</f>
        <v>11</v>
      </c>
      <c r="B1446" s="135" t="n">
        <v>44527</v>
      </c>
      <c r="C1446" s="128" t="s">
        <v>51</v>
      </c>
      <c r="D1446" s="77" t="str">
        <f aca="false">IFERROR(VLOOKUP(E:E,'Item Data Support Sheet'!A:O,7,0),"")</f>
        <v>BOTTLE MOLDED</v>
      </c>
      <c r="E1446" s="80" t="s">
        <v>235</v>
      </c>
      <c r="F1446" s="122" t="s">
        <v>589</v>
      </c>
      <c r="G1446" s="137" t="s">
        <v>74</v>
      </c>
      <c r="H1446" s="79" t="str">
        <f aca="false">IFERROR(VLOOKUP(E:E,'Item Data Support Sheet'!A:O,2,0),"")</f>
        <v>KPP 200 ML BOTTLE MOLDED</v>
      </c>
      <c r="I1446" s="80" t="s">
        <v>2245</v>
      </c>
      <c r="J1446" s="80" t="s">
        <v>143</v>
      </c>
      <c r="K1446" s="124" t="n">
        <v>8</v>
      </c>
      <c r="L1446" s="124" t="n">
        <v>2574</v>
      </c>
      <c r="M1446" s="83" t="n">
        <v>321.75</v>
      </c>
      <c r="N1446" s="84" t="n">
        <f aca="false">+O1446+Q1446+T1446+U1446</f>
        <v>2983</v>
      </c>
      <c r="O1446" s="85" t="n">
        <v>2916</v>
      </c>
      <c r="P1446" s="86" t="n">
        <v>0</v>
      </c>
      <c r="Q1446" s="86" t="n">
        <v>19</v>
      </c>
      <c r="R1446" s="132" t="n">
        <v>0</v>
      </c>
      <c r="S1446" s="128" t="n">
        <v>0</v>
      </c>
      <c r="T1446" s="132" t="n">
        <v>40</v>
      </c>
      <c r="U1446" s="128" t="n">
        <v>8</v>
      </c>
      <c r="V1446" s="128" t="n">
        <v>1</v>
      </c>
      <c r="W1446" s="90" t="n">
        <f aca="false">IFERROR(O1446/V1446,0)</f>
        <v>2916</v>
      </c>
      <c r="X1446" s="91" t="n">
        <f aca="false">O1446/L1446</f>
        <v>1.13286713286713</v>
      </c>
      <c r="Y1446" s="92" t="str">
        <f aca="false">IFERROR(VLOOKUP(E:E,'Item Data Support Sheet'!A:J,6,0),0)</f>
        <v>HMC</v>
      </c>
      <c r="Z1446" s="93" t="n">
        <f aca="false">IFERROR(VLOOKUP(E:E,'Item Data Support Sheet'!A:O,4,0),0)</f>
        <v>28.1</v>
      </c>
      <c r="AA1446" s="93" t="n">
        <f aca="false">IFERROR(((N1446)*(Z1446/1000))+P1446,0)</f>
        <v>83.8223</v>
      </c>
      <c r="AB1446" s="94" t="n">
        <f aca="false">IFERROR((O1446*(Z1446/1000)/(AA1446))," ")</f>
        <v>0.977539389875964</v>
      </c>
      <c r="AC1446" s="95" t="n">
        <f aca="false">IFERROR((T1446)/((T1446)+O1446),0)</f>
        <v>0.013531799729364</v>
      </c>
      <c r="AD1446" s="96" t="n">
        <f aca="false">IFERROR(Q1446/(Q1446+N1446),0)</f>
        <v>0.00632911392405063</v>
      </c>
      <c r="AE1446" s="91" t="n">
        <f aca="false">(N1446-T1446)/N1446</f>
        <v>0.986590680522964</v>
      </c>
      <c r="AF1446" s="97" t="n">
        <f aca="false">BR1446</f>
        <v>0</v>
      </c>
      <c r="AG1446" s="98" t="n">
        <f aca="false">K1446-AF1446</f>
        <v>8</v>
      </c>
      <c r="AH1446" s="99" t="n">
        <f aca="false">IFERROR(AG1446/K1446," ")</f>
        <v>1</v>
      </c>
      <c r="AI1446" s="100" t="n">
        <f aca="false">IFERROR(O1446/K1446,0)</f>
        <v>364.5</v>
      </c>
      <c r="AJ1446" s="101" t="n">
        <f aca="false">VLOOKUP(D1446,'Standard Cycle time'!C:D,2,0)</f>
        <v>9</v>
      </c>
      <c r="AK1446" s="101" t="n">
        <f aca="false">AG1446*V1446*3600/O1446</f>
        <v>9.87654320987654</v>
      </c>
      <c r="AL1446" s="102" t="n">
        <f aca="false">AJ1446/AK1446</f>
        <v>0.91125</v>
      </c>
      <c r="AM1446" s="99" t="n">
        <f aca="false">AE1446*AL1446*AH1446</f>
        <v>0.89903075762655</v>
      </c>
      <c r="AN1446" s="103" t="n">
        <v>0.899030757626551</v>
      </c>
      <c r="AO1446" s="112"/>
      <c r="AP1446" s="105" t="n">
        <v>0</v>
      </c>
      <c r="AQ1446" s="105" t="n">
        <v>0</v>
      </c>
      <c r="AR1446" s="105" t="n">
        <v>0</v>
      </c>
      <c r="AS1446" s="105" t="n">
        <v>0</v>
      </c>
      <c r="AT1446" s="105" t="n">
        <v>0</v>
      </c>
      <c r="AU1446" s="105" t="n">
        <v>0</v>
      </c>
      <c r="AV1446" s="105" t="n">
        <v>0</v>
      </c>
      <c r="AW1446" s="105" t="n">
        <v>0</v>
      </c>
      <c r="AX1446" s="105" t="n">
        <v>0</v>
      </c>
      <c r="AY1446" s="105" t="n">
        <v>0</v>
      </c>
      <c r="AZ1446" s="105" t="n">
        <v>0</v>
      </c>
      <c r="BA1446" s="105" t="n">
        <v>0</v>
      </c>
      <c r="BB1446" s="105" t="n">
        <v>0</v>
      </c>
      <c r="BC1446" s="105" t="n">
        <v>0</v>
      </c>
      <c r="BD1446" s="105" t="n">
        <v>0</v>
      </c>
      <c r="BE1446" s="105" t="n">
        <v>0</v>
      </c>
      <c r="BF1446" s="105" t="n">
        <v>0</v>
      </c>
      <c r="BG1446" s="105" t="n">
        <v>0</v>
      </c>
      <c r="BH1446" s="105" t="n">
        <v>0</v>
      </c>
      <c r="BI1446" s="105" t="n">
        <v>0</v>
      </c>
      <c r="BJ1446" s="105" t="n">
        <v>0</v>
      </c>
      <c r="BK1446" s="105" t="n">
        <v>0</v>
      </c>
      <c r="BL1446" s="105" t="n">
        <v>0</v>
      </c>
      <c r="BM1446" s="105" t="n">
        <v>0</v>
      </c>
      <c r="BN1446" s="105" t="n">
        <v>0</v>
      </c>
      <c r="BO1446" s="105" t="n">
        <v>0</v>
      </c>
      <c r="BP1446" s="105" t="n">
        <v>0</v>
      </c>
      <c r="BQ1446" s="105" t="n">
        <v>0</v>
      </c>
      <c r="BR1446" s="106" t="n">
        <v>0</v>
      </c>
      <c r="BS1446" s="106" t="n">
        <v>0</v>
      </c>
      <c r="BT1446" s="107"/>
      <c r="BU1446" s="107"/>
      <c r="BV1446" s="107"/>
      <c r="BW1446" s="107"/>
      <c r="BX1446" s="107"/>
      <c r="BY1446" s="107"/>
      <c r="BZ1446" s="107"/>
      <c r="CA1446" s="107"/>
      <c r="CB1446" s="107"/>
      <c r="CC1446" s="107"/>
      <c r="CD1446" s="107"/>
      <c r="CE1446" s="107"/>
      <c r="CF1446" s="107"/>
      <c r="CG1446" s="107"/>
      <c r="CH1446" s="107"/>
      <c r="CI1446" s="107"/>
      <c r="CJ1446" s="107"/>
      <c r="CK1446" s="107"/>
      <c r="CL1446" s="107"/>
      <c r="CM1446" s="107"/>
      <c r="CN1446" s="107"/>
      <c r="CO1446" s="107"/>
      <c r="CP1446" s="107"/>
      <c r="CQ1446" s="107"/>
      <c r="CR1446" s="107"/>
      <c r="CS1446" s="107"/>
      <c r="CT1446" s="107"/>
      <c r="CU1446" s="107"/>
      <c r="CV1446" s="107"/>
    </row>
    <row r="1447" customFormat="false" ht="14.9" hidden="false" customHeight="false" outlineLevel="0" collapsed="false">
      <c r="A1447" s="74" t="n">
        <f aca="false">MONTH(B1447)</f>
        <v>11</v>
      </c>
      <c r="B1447" s="135" t="n">
        <v>44527</v>
      </c>
      <c r="C1447" s="128" t="s">
        <v>51</v>
      </c>
      <c r="D1447" s="77" t="str">
        <f aca="false">IFERROR(VLOOKUP(E:E,'Item Data Support Sheet'!A:O,7,0),"")</f>
        <v>NIPPLE PUNCH</v>
      </c>
      <c r="E1447" s="80" t="s">
        <v>563</v>
      </c>
      <c r="F1447" s="122"/>
      <c r="G1447" s="137" t="s">
        <v>54</v>
      </c>
      <c r="H1447" s="79" t="str">
        <f aca="false">IFERROR(VLOOKUP(E:E,'Item Data Support Sheet'!A:O,2,0),"")</f>
        <v>NIPPLE S TYPE LL SIZE PUNCHED</v>
      </c>
      <c r="I1447" s="80" t="s">
        <v>2246</v>
      </c>
      <c r="J1447" s="80" t="s">
        <v>143</v>
      </c>
      <c r="K1447" s="124" t="n">
        <v>2</v>
      </c>
      <c r="L1447" s="124" t="n">
        <v>1750</v>
      </c>
      <c r="M1447" s="83" t="n">
        <v>875</v>
      </c>
      <c r="N1447" s="84" t="n">
        <f aca="false">+O1447+Q1447+T1447+U1447</f>
        <v>2000</v>
      </c>
      <c r="O1447" s="85" t="n">
        <v>2000</v>
      </c>
      <c r="P1447" s="86" t="n">
        <v>0</v>
      </c>
      <c r="Q1447" s="86" t="n">
        <v>0</v>
      </c>
      <c r="R1447" s="132" t="n">
        <v>0</v>
      </c>
      <c r="S1447" s="128" t="n">
        <v>0</v>
      </c>
      <c r="T1447" s="132" t="n">
        <v>0</v>
      </c>
      <c r="U1447" s="128" t="n">
        <v>0</v>
      </c>
      <c r="V1447" s="128" t="n">
        <v>1</v>
      </c>
      <c r="W1447" s="90" t="n">
        <f aca="false">IFERROR(O1447/V1447,0)</f>
        <v>2000</v>
      </c>
      <c r="X1447" s="91" t="n">
        <f aca="false">O1447/L1447</f>
        <v>1.14285714285714</v>
      </c>
      <c r="Y1447" s="92" t="str">
        <f aca="false">IFERROR(VLOOKUP(E:E,'Item Data Support Sheet'!A:J,6,0),0)</f>
        <v>FO150</v>
      </c>
      <c r="Z1447" s="93" t="n">
        <f aca="false">IFERROR(VLOOKUP(E:E,'Item Data Support Sheet'!A:O,4,0),0)</f>
        <v>0</v>
      </c>
      <c r="AA1447" s="93" t="n">
        <f aca="false">IFERROR(((N1447)*(Z1447/1000))+P1447,0)</f>
        <v>0</v>
      </c>
      <c r="AB1447" s="94" t="str">
        <f aca="false">IFERROR((O1447*(Z1447/1000)/(AA1447))," ")</f>
        <v> </v>
      </c>
      <c r="AC1447" s="95" t="n">
        <f aca="false">IFERROR((T1447)/((T1447)+O1447),0)</f>
        <v>0</v>
      </c>
      <c r="AD1447" s="96" t="n">
        <f aca="false">IFERROR(Q1447/(Q1447+N1447),0)</f>
        <v>0</v>
      </c>
      <c r="AE1447" s="91" t="n">
        <f aca="false">(N1447-T1447)/N1447</f>
        <v>1</v>
      </c>
      <c r="AF1447" s="97" t="n">
        <f aca="false">BR1447</f>
        <v>0</v>
      </c>
      <c r="AG1447" s="98" t="n">
        <f aca="false">K1447-AF1447</f>
        <v>2</v>
      </c>
      <c r="AH1447" s="99" t="n">
        <f aca="false">IFERROR(AG1447/K1447," ")</f>
        <v>1</v>
      </c>
      <c r="AI1447" s="100" t="n">
        <f aca="false">IFERROR(O1447/K1447,0)</f>
        <v>1000</v>
      </c>
      <c r="AJ1447" s="101" t="n">
        <f aca="false">VLOOKUP(D1447,'Standard Cycle time'!C:D,2,0)</f>
        <v>3.5</v>
      </c>
      <c r="AK1447" s="101" t="n">
        <f aca="false">AG1447*V1447*3600/O1447</f>
        <v>3.6</v>
      </c>
      <c r="AL1447" s="102" t="n">
        <f aca="false">AJ1447/AK1447</f>
        <v>0.972222222222222</v>
      </c>
      <c r="AM1447" s="99" t="n">
        <f aca="false">AE1447*AL1447*AH1447</f>
        <v>0.972222222222222</v>
      </c>
      <c r="AN1447" s="103" t="n">
        <v>0.972222222222222</v>
      </c>
      <c r="AO1447" s="112"/>
      <c r="AP1447" s="105" t="n">
        <v>0</v>
      </c>
      <c r="AQ1447" s="105" t="n">
        <v>0</v>
      </c>
      <c r="AR1447" s="105" t="n">
        <v>0</v>
      </c>
      <c r="AS1447" s="105" t="n">
        <v>0</v>
      </c>
      <c r="AT1447" s="105" t="n">
        <v>0</v>
      </c>
      <c r="AU1447" s="105" t="n">
        <v>0</v>
      </c>
      <c r="AV1447" s="105" t="n">
        <v>0</v>
      </c>
      <c r="AW1447" s="105" t="n">
        <v>0</v>
      </c>
      <c r="AX1447" s="105" t="n">
        <v>0</v>
      </c>
      <c r="AY1447" s="105" t="n">
        <v>0</v>
      </c>
      <c r="AZ1447" s="105" t="n">
        <v>0</v>
      </c>
      <c r="BA1447" s="105" t="n">
        <v>0</v>
      </c>
      <c r="BB1447" s="105" t="n">
        <v>0</v>
      </c>
      <c r="BC1447" s="105" t="n">
        <v>0</v>
      </c>
      <c r="BD1447" s="105" t="n">
        <v>0</v>
      </c>
      <c r="BE1447" s="105" t="n">
        <v>0</v>
      </c>
      <c r="BF1447" s="105" t="n">
        <v>0</v>
      </c>
      <c r="BG1447" s="105" t="n">
        <v>0</v>
      </c>
      <c r="BH1447" s="105" t="n">
        <v>0</v>
      </c>
      <c r="BI1447" s="105" t="n">
        <v>0</v>
      </c>
      <c r="BJ1447" s="105" t="n">
        <v>0</v>
      </c>
      <c r="BK1447" s="105" t="n">
        <v>0</v>
      </c>
      <c r="BL1447" s="105" t="n">
        <v>0</v>
      </c>
      <c r="BM1447" s="105" t="n">
        <v>0</v>
      </c>
      <c r="BN1447" s="105" t="n">
        <v>0</v>
      </c>
      <c r="BO1447" s="105" t="n">
        <v>0</v>
      </c>
      <c r="BP1447" s="105" t="n">
        <v>0</v>
      </c>
      <c r="BQ1447" s="105" t="n">
        <v>0</v>
      </c>
      <c r="BR1447" s="106" t="n">
        <v>0</v>
      </c>
      <c r="BS1447" s="106" t="n">
        <v>0</v>
      </c>
      <c r="BT1447" s="107"/>
      <c r="BU1447" s="107"/>
      <c r="BV1447" s="107"/>
      <c r="BW1447" s="107"/>
      <c r="BX1447" s="107"/>
      <c r="BY1447" s="107"/>
      <c r="BZ1447" s="107"/>
      <c r="CA1447" s="107"/>
      <c r="CB1447" s="107"/>
      <c r="CC1447" s="107"/>
      <c r="CD1447" s="107"/>
      <c r="CE1447" s="107"/>
      <c r="CF1447" s="107"/>
      <c r="CG1447" s="107"/>
      <c r="CH1447" s="107"/>
      <c r="CI1447" s="107"/>
      <c r="CJ1447" s="107"/>
      <c r="CK1447" s="107"/>
      <c r="CL1447" s="107"/>
      <c r="CM1447" s="107"/>
      <c r="CN1447" s="107"/>
      <c r="CO1447" s="107"/>
      <c r="CP1447" s="107"/>
      <c r="CQ1447" s="107"/>
      <c r="CR1447" s="107"/>
      <c r="CS1447" s="107"/>
      <c r="CT1447" s="107"/>
      <c r="CU1447" s="107"/>
      <c r="CV1447" s="107"/>
    </row>
    <row r="1448" customFormat="false" ht="14.9" hidden="false" customHeight="false" outlineLevel="0" collapsed="false">
      <c r="A1448" s="74" t="n">
        <f aca="false">MONTH(B1448)</f>
        <v>11</v>
      </c>
      <c r="B1448" s="135" t="n">
        <v>44527</v>
      </c>
      <c r="C1448" s="128" t="s">
        <v>51</v>
      </c>
      <c r="D1448" s="77" t="str">
        <f aca="false">IFERROR(VLOOKUP(E:E,'Item Data Support Sheet'!A:O,7,0),"")</f>
        <v>NIPPLE LASER MARKING</v>
      </c>
      <c r="E1448" s="80" t="s">
        <v>600</v>
      </c>
      <c r="F1448" s="122"/>
      <c r="G1448" s="137" t="s">
        <v>517</v>
      </c>
      <c r="H1448" s="79" t="str">
        <f aca="false">IFERROR(VLOOKUP(E:E,'Item Data Support Sheet'!A:O,2,0),"")</f>
        <v>NIPPLE S TYPE LL SIZE LASER MARKED</v>
      </c>
      <c r="I1448" s="80" t="s">
        <v>2247</v>
      </c>
      <c r="J1448" s="80" t="s">
        <v>143</v>
      </c>
      <c r="K1448" s="124" t="n">
        <v>6</v>
      </c>
      <c r="L1448" s="124" t="n">
        <v>5250</v>
      </c>
      <c r="M1448" s="83" t="n">
        <v>875</v>
      </c>
      <c r="N1448" s="84" t="n">
        <f aca="false">+O1448+Q1448+T1448+U1448</f>
        <v>5000</v>
      </c>
      <c r="O1448" s="85" t="n">
        <v>5000</v>
      </c>
      <c r="P1448" s="86" t="n">
        <v>0</v>
      </c>
      <c r="Q1448" s="86" t="n">
        <v>0</v>
      </c>
      <c r="R1448" s="132" t="n">
        <v>0</v>
      </c>
      <c r="S1448" s="128" t="n">
        <v>0</v>
      </c>
      <c r="T1448" s="132" t="n">
        <v>0</v>
      </c>
      <c r="U1448" s="128" t="n">
        <v>0</v>
      </c>
      <c r="V1448" s="128" t="n">
        <v>1</v>
      </c>
      <c r="W1448" s="90" t="n">
        <f aca="false">IFERROR(O1448/V1448,0)</f>
        <v>5000</v>
      </c>
      <c r="X1448" s="91" t="n">
        <f aca="false">O1448/L1448</f>
        <v>0.952380952380952</v>
      </c>
      <c r="Y1448" s="92" t="str">
        <f aca="false">IFERROR(VLOOKUP(E:E,'Item Data Support Sheet'!A:J,6,0),0)</f>
        <v>FO151</v>
      </c>
      <c r="Z1448" s="93" t="n">
        <f aca="false">IFERROR(VLOOKUP(E:E,'Item Data Support Sheet'!A:O,4,0),0)</f>
        <v>0</v>
      </c>
      <c r="AA1448" s="93" t="n">
        <f aca="false">IFERROR(((N1448)*(Z1448/1000))+P1448,0)</f>
        <v>0</v>
      </c>
      <c r="AB1448" s="94" t="str">
        <f aca="false">IFERROR((O1448*(Z1448/1000)/(AA1448))," ")</f>
        <v> </v>
      </c>
      <c r="AC1448" s="95" t="n">
        <f aca="false">IFERROR((T1448)/((T1448)+O1448),0)</f>
        <v>0</v>
      </c>
      <c r="AD1448" s="96" t="n">
        <f aca="false">IFERROR(Q1448/(Q1448+N1448),0)</f>
        <v>0</v>
      </c>
      <c r="AE1448" s="91" t="n">
        <f aca="false">(N1448-T1448)/N1448</f>
        <v>1</v>
      </c>
      <c r="AF1448" s="97" t="n">
        <f aca="false">BR1448</f>
        <v>0.666666666666667</v>
      </c>
      <c r="AG1448" s="98" t="n">
        <f aca="false">K1448-AF1448</f>
        <v>5.33333333333333</v>
      </c>
      <c r="AH1448" s="99" t="n">
        <f aca="false">IFERROR(AG1448/K1448," ")</f>
        <v>0.888888888888889</v>
      </c>
      <c r="AI1448" s="100" t="n">
        <f aca="false">IFERROR(O1448/K1448,0)</f>
        <v>833.333333333333</v>
      </c>
      <c r="AJ1448" s="101" t="n">
        <f aca="false">VLOOKUP(D1448,'Standard Cycle time'!C:D,2,0)</f>
        <v>3.5</v>
      </c>
      <c r="AK1448" s="101" t="n">
        <f aca="false">AG1448*V1448*3600/O1448</f>
        <v>3.84</v>
      </c>
      <c r="AL1448" s="102" t="n">
        <f aca="false">AJ1448/AK1448</f>
        <v>0.911458333333333</v>
      </c>
      <c r="AM1448" s="99" t="n">
        <f aca="false">AE1448*AL1448*AH1448</f>
        <v>0.810185185185185</v>
      </c>
      <c r="AN1448" s="103" t="n">
        <v>0.810185185185185</v>
      </c>
      <c r="AO1448" s="112"/>
      <c r="AP1448" s="105" t="n">
        <v>40</v>
      </c>
      <c r="AQ1448" s="105" t="n">
        <v>0</v>
      </c>
      <c r="AR1448" s="105" t="n">
        <v>0</v>
      </c>
      <c r="AS1448" s="105" t="n">
        <v>0</v>
      </c>
      <c r="AT1448" s="105" t="n">
        <v>0</v>
      </c>
      <c r="AU1448" s="105" t="n">
        <v>0</v>
      </c>
      <c r="AV1448" s="105" t="n">
        <v>0</v>
      </c>
      <c r="AW1448" s="105" t="n">
        <v>0</v>
      </c>
      <c r="AX1448" s="105" t="n">
        <v>0</v>
      </c>
      <c r="AY1448" s="105" t="n">
        <v>0</v>
      </c>
      <c r="AZ1448" s="105" t="n">
        <v>0</v>
      </c>
      <c r="BA1448" s="105" t="n">
        <v>0</v>
      </c>
      <c r="BB1448" s="105" t="n">
        <v>0</v>
      </c>
      <c r="BC1448" s="105" t="n">
        <v>0</v>
      </c>
      <c r="BD1448" s="105" t="n">
        <v>0</v>
      </c>
      <c r="BE1448" s="105" t="n">
        <v>0</v>
      </c>
      <c r="BF1448" s="105" t="n">
        <v>0</v>
      </c>
      <c r="BG1448" s="105" t="n">
        <v>0</v>
      </c>
      <c r="BH1448" s="105" t="n">
        <v>0</v>
      </c>
      <c r="BI1448" s="105" t="n">
        <v>0</v>
      </c>
      <c r="BJ1448" s="105" t="n">
        <v>0</v>
      </c>
      <c r="BK1448" s="105" t="n">
        <v>0</v>
      </c>
      <c r="BL1448" s="105" t="n">
        <v>0</v>
      </c>
      <c r="BM1448" s="105" t="n">
        <v>0</v>
      </c>
      <c r="BN1448" s="105" t="n">
        <v>0</v>
      </c>
      <c r="BO1448" s="105" t="n">
        <v>0</v>
      </c>
      <c r="BP1448" s="105" t="n">
        <v>0</v>
      </c>
      <c r="BQ1448" s="105" t="n">
        <v>0</v>
      </c>
      <c r="BR1448" s="106" t="n">
        <v>0.666666666666667</v>
      </c>
      <c r="BS1448" s="106" t="n">
        <v>0.666666666666667</v>
      </c>
      <c r="BT1448" s="107"/>
      <c r="BU1448" s="107"/>
      <c r="BV1448" s="107"/>
      <c r="BW1448" s="107"/>
      <c r="BX1448" s="107"/>
      <c r="BY1448" s="107"/>
      <c r="BZ1448" s="107"/>
      <c r="CA1448" s="107"/>
      <c r="CB1448" s="107"/>
      <c r="CC1448" s="107"/>
      <c r="CD1448" s="107"/>
      <c r="CE1448" s="107"/>
      <c r="CF1448" s="107"/>
      <c r="CG1448" s="107"/>
      <c r="CH1448" s="107"/>
      <c r="CI1448" s="107"/>
      <c r="CJ1448" s="107"/>
      <c r="CK1448" s="107"/>
      <c r="CL1448" s="107"/>
      <c r="CM1448" s="107"/>
      <c r="CN1448" s="107"/>
      <c r="CO1448" s="107"/>
      <c r="CP1448" s="107"/>
      <c r="CQ1448" s="107"/>
      <c r="CR1448" s="107"/>
      <c r="CS1448" s="107"/>
      <c r="CT1448" s="107"/>
      <c r="CU1448" s="107"/>
      <c r="CV1448" s="107"/>
    </row>
    <row r="1449" customFormat="false" ht="14.9" hidden="false" customHeight="false" outlineLevel="0" collapsed="false">
      <c r="A1449" s="74" t="n">
        <f aca="false">MONTH(B1449)</f>
        <v>11</v>
      </c>
      <c r="B1449" s="135" t="n">
        <v>44527</v>
      </c>
      <c r="C1449" s="128" t="s">
        <v>51</v>
      </c>
      <c r="D1449" s="77" t="str">
        <f aca="false">IFERROR(VLOOKUP(E:E,'Item Data Support Sheet'!A:O,7,0),"")</f>
        <v>NIPPLE LASER MARKING</v>
      </c>
      <c r="E1449" s="80" t="s">
        <v>681</v>
      </c>
      <c r="F1449" s="122"/>
      <c r="G1449" s="137" t="s">
        <v>517</v>
      </c>
      <c r="H1449" s="79" t="str">
        <f aca="false">IFERROR(VLOOKUP(E:E,'Item Data Support Sheet'!A:O,2,0),"")</f>
        <v>NIPPLE S TYPE L SIZE PUNCHED LASER MARKED</v>
      </c>
      <c r="I1449" s="80" t="s">
        <v>2200</v>
      </c>
      <c r="J1449" s="80" t="s">
        <v>143</v>
      </c>
      <c r="K1449" s="124" t="n">
        <v>2</v>
      </c>
      <c r="L1449" s="124" t="n">
        <v>1750</v>
      </c>
      <c r="M1449" s="83" t="n">
        <v>875</v>
      </c>
      <c r="N1449" s="84" t="n">
        <f aca="false">+O1449+Q1449+T1449+U1449</f>
        <v>1580</v>
      </c>
      <c r="O1449" s="85" t="n">
        <v>1580</v>
      </c>
      <c r="P1449" s="86" t="n">
        <v>0</v>
      </c>
      <c r="Q1449" s="86" t="n">
        <v>0</v>
      </c>
      <c r="R1449" s="132" t="n">
        <v>0</v>
      </c>
      <c r="S1449" s="128" t="n">
        <v>0</v>
      </c>
      <c r="T1449" s="132" t="n">
        <v>0</v>
      </c>
      <c r="U1449" s="128" t="n">
        <v>0</v>
      </c>
      <c r="V1449" s="128" t="n">
        <v>1</v>
      </c>
      <c r="W1449" s="90" t="n">
        <f aca="false">IFERROR(O1449/V1449,0)</f>
        <v>1580</v>
      </c>
      <c r="X1449" s="91" t="n">
        <f aca="false">O1449/L1449</f>
        <v>0.902857142857143</v>
      </c>
      <c r="Y1449" s="92" t="str">
        <f aca="false">IFERROR(VLOOKUP(E:E,'Item Data Support Sheet'!A:J,6,0),0)</f>
        <v>FO021</v>
      </c>
      <c r="Z1449" s="93" t="n">
        <f aca="false">IFERROR(VLOOKUP(E:E,'Item Data Support Sheet'!A:O,4,0),0)</f>
        <v>0</v>
      </c>
      <c r="AA1449" s="93" t="n">
        <f aca="false">IFERROR(((N1449)*(Z1449/1000))+P1449,0)</f>
        <v>0</v>
      </c>
      <c r="AB1449" s="94" t="str">
        <f aca="false">IFERROR((O1449*(Z1449/1000)/(AA1449))," ")</f>
        <v> </v>
      </c>
      <c r="AC1449" s="95" t="n">
        <f aca="false">IFERROR((T1449)/((T1449)+O1449),0)</f>
        <v>0</v>
      </c>
      <c r="AD1449" s="96" t="n">
        <f aca="false">IFERROR(Q1449/(Q1449+N1449),0)</f>
        <v>0</v>
      </c>
      <c r="AE1449" s="91" t="n">
        <f aca="false">(N1449-T1449)/N1449</f>
        <v>1</v>
      </c>
      <c r="AF1449" s="97" t="n">
        <f aca="false">BR1449</f>
        <v>0.333333333333333</v>
      </c>
      <c r="AG1449" s="98" t="n">
        <f aca="false">K1449-AF1449</f>
        <v>1.66666666666667</v>
      </c>
      <c r="AH1449" s="99" t="n">
        <f aca="false">IFERROR(AG1449/K1449," ")</f>
        <v>0.833333333333333</v>
      </c>
      <c r="AI1449" s="100" t="n">
        <f aca="false">IFERROR(O1449/K1449,0)</f>
        <v>790</v>
      </c>
      <c r="AJ1449" s="101" t="n">
        <f aca="false">VLOOKUP(D1449,'Standard Cycle time'!C:D,2,0)</f>
        <v>3.5</v>
      </c>
      <c r="AK1449" s="101" t="n">
        <f aca="false">AG1449*V1449*3600/O1449</f>
        <v>3.79746835443038</v>
      </c>
      <c r="AL1449" s="102" t="n">
        <f aca="false">AJ1449/AK1449</f>
        <v>0.921666666666667</v>
      </c>
      <c r="AM1449" s="99" t="n">
        <f aca="false">AE1449*AL1449*AH1449</f>
        <v>0.768055555555556</v>
      </c>
      <c r="AN1449" s="103" t="n">
        <v>0.768055555555556</v>
      </c>
      <c r="AO1449" s="112"/>
      <c r="AP1449" s="105" t="n">
        <v>0</v>
      </c>
      <c r="AQ1449" s="105" t="n">
        <v>20</v>
      </c>
      <c r="AR1449" s="105" t="n">
        <v>0</v>
      </c>
      <c r="AS1449" s="105" t="n">
        <v>0</v>
      </c>
      <c r="AT1449" s="105" t="n">
        <v>0</v>
      </c>
      <c r="AU1449" s="105" t="n">
        <v>0</v>
      </c>
      <c r="AV1449" s="105" t="n">
        <v>0</v>
      </c>
      <c r="AW1449" s="105" t="n">
        <v>0</v>
      </c>
      <c r="AX1449" s="105" t="n">
        <v>0</v>
      </c>
      <c r="AY1449" s="105" t="n">
        <v>0</v>
      </c>
      <c r="AZ1449" s="105" t="n">
        <v>0</v>
      </c>
      <c r="BA1449" s="105" t="n">
        <v>0</v>
      </c>
      <c r="BB1449" s="105" t="n">
        <v>0</v>
      </c>
      <c r="BC1449" s="105" t="n">
        <v>0</v>
      </c>
      <c r="BD1449" s="105" t="n">
        <v>0</v>
      </c>
      <c r="BE1449" s="105" t="n">
        <v>0</v>
      </c>
      <c r="BF1449" s="105" t="n">
        <v>0</v>
      </c>
      <c r="BG1449" s="105" t="n">
        <v>0</v>
      </c>
      <c r="BH1449" s="105" t="n">
        <v>0</v>
      </c>
      <c r="BI1449" s="105" t="n">
        <v>0</v>
      </c>
      <c r="BJ1449" s="105" t="n">
        <v>0</v>
      </c>
      <c r="BK1449" s="105" t="n">
        <v>0</v>
      </c>
      <c r="BL1449" s="105" t="n">
        <v>0</v>
      </c>
      <c r="BM1449" s="105" t="n">
        <v>0</v>
      </c>
      <c r="BN1449" s="105" t="n">
        <v>0</v>
      </c>
      <c r="BO1449" s="105" t="n">
        <v>0</v>
      </c>
      <c r="BP1449" s="105" t="n">
        <v>0</v>
      </c>
      <c r="BQ1449" s="105" t="n">
        <v>0</v>
      </c>
      <c r="BR1449" s="106" t="n">
        <v>0.333333333333333</v>
      </c>
      <c r="BS1449" s="106" t="n">
        <v>0.333333333333333</v>
      </c>
      <c r="BT1449" s="107"/>
      <c r="BU1449" s="107"/>
      <c r="BV1449" s="107"/>
      <c r="BW1449" s="107"/>
      <c r="BX1449" s="107"/>
      <c r="BY1449" s="107"/>
      <c r="BZ1449" s="107"/>
      <c r="CA1449" s="107"/>
      <c r="CB1449" s="107"/>
      <c r="CC1449" s="107"/>
      <c r="CD1449" s="107"/>
      <c r="CE1449" s="107"/>
      <c r="CF1449" s="107"/>
      <c r="CG1449" s="107"/>
      <c r="CH1449" s="107"/>
      <c r="CI1449" s="107"/>
      <c r="CJ1449" s="107"/>
      <c r="CK1449" s="107"/>
      <c r="CL1449" s="107"/>
      <c r="CM1449" s="107"/>
      <c r="CN1449" s="107"/>
      <c r="CO1449" s="107"/>
      <c r="CP1449" s="107"/>
      <c r="CQ1449" s="107"/>
      <c r="CR1449" s="107"/>
      <c r="CS1449" s="107"/>
      <c r="CT1449" s="107"/>
      <c r="CU1449" s="107"/>
      <c r="CV1449" s="107"/>
    </row>
    <row r="1450" customFormat="false" ht="14.9" hidden="false" customHeight="false" outlineLevel="0" collapsed="false">
      <c r="A1450" s="74" t="n">
        <f aca="false">MONTH(B1450)</f>
        <v>11</v>
      </c>
      <c r="B1450" s="135" t="n">
        <v>44527</v>
      </c>
      <c r="C1450" s="128" t="s">
        <v>51</v>
      </c>
      <c r="D1450" s="77" t="str">
        <f aca="false">IFERROR(VLOOKUP(E:E,'Item Data Support Sheet'!A:O,7,0),"")</f>
        <v>NIPPLE PUNCH</v>
      </c>
      <c r="E1450" s="80" t="s">
        <v>666</v>
      </c>
      <c r="F1450" s="122"/>
      <c r="G1450" s="137" t="s">
        <v>54</v>
      </c>
      <c r="H1450" s="79" t="str">
        <f aca="false">IFERROR(VLOOKUP(E:E,'Item Data Support Sheet'!A:O,2,0),"")</f>
        <v>NIPPLE S TYPE L SIZE PUNCHED</v>
      </c>
      <c r="I1450" s="80" t="s">
        <v>2248</v>
      </c>
      <c r="J1450" s="80" t="s">
        <v>143</v>
      </c>
      <c r="K1450" s="124" t="n">
        <v>6</v>
      </c>
      <c r="L1450" s="124" t="n">
        <v>5250</v>
      </c>
      <c r="M1450" s="83" t="n">
        <v>875</v>
      </c>
      <c r="N1450" s="84" t="n">
        <f aca="false">+O1450+Q1450+T1450+U1450</f>
        <v>5200</v>
      </c>
      <c r="O1450" s="85" t="n">
        <v>5200</v>
      </c>
      <c r="P1450" s="86" t="n">
        <v>0</v>
      </c>
      <c r="Q1450" s="86" t="n">
        <v>0</v>
      </c>
      <c r="R1450" s="132" t="n">
        <v>0</v>
      </c>
      <c r="S1450" s="128" t="n">
        <v>0</v>
      </c>
      <c r="T1450" s="132" t="n">
        <v>0</v>
      </c>
      <c r="U1450" s="128" t="n">
        <v>0</v>
      </c>
      <c r="V1450" s="128" t="n">
        <v>1</v>
      </c>
      <c r="W1450" s="90" t="n">
        <f aca="false">IFERROR(O1450/V1450,0)</f>
        <v>5200</v>
      </c>
      <c r="X1450" s="91" t="n">
        <f aca="false">O1450/L1450</f>
        <v>0.990476190476191</v>
      </c>
      <c r="Y1450" s="92" t="str">
        <f aca="false">IFERROR(VLOOKUP(E:E,'Item Data Support Sheet'!A:J,6,0),0)</f>
        <v>FO017</v>
      </c>
      <c r="Z1450" s="93" t="n">
        <f aca="false">IFERROR(VLOOKUP(E:E,'Item Data Support Sheet'!A:O,4,0),0)</f>
        <v>0</v>
      </c>
      <c r="AA1450" s="93" t="n">
        <f aca="false">IFERROR(((N1450)*(Z1450/1000))+P1450,0)</f>
        <v>0</v>
      </c>
      <c r="AB1450" s="94" t="str">
        <f aca="false">IFERROR((O1450*(Z1450/1000)/(AA1450))," ")</f>
        <v> </v>
      </c>
      <c r="AC1450" s="95" t="n">
        <f aca="false">IFERROR((T1450)/((T1450)+O1450),0)</f>
        <v>0</v>
      </c>
      <c r="AD1450" s="96" t="n">
        <f aca="false">IFERROR(Q1450/(Q1450+N1450),0)</f>
        <v>0</v>
      </c>
      <c r="AE1450" s="91" t="n">
        <f aca="false">(N1450-T1450)/N1450</f>
        <v>1</v>
      </c>
      <c r="AF1450" s="97" t="n">
        <f aca="false">BR1450</f>
        <v>0.333333333333333</v>
      </c>
      <c r="AG1450" s="98" t="n">
        <f aca="false">K1450-AF1450</f>
        <v>5.66666666666667</v>
      </c>
      <c r="AH1450" s="99" t="n">
        <f aca="false">IFERROR(AG1450/K1450," ")</f>
        <v>0.944444444444444</v>
      </c>
      <c r="AI1450" s="100" t="n">
        <f aca="false">IFERROR(O1450/K1450,0)</f>
        <v>866.666666666667</v>
      </c>
      <c r="AJ1450" s="101" t="n">
        <f aca="false">VLOOKUP(D1450,'Standard Cycle time'!C:D,2,0)</f>
        <v>3.5</v>
      </c>
      <c r="AK1450" s="101" t="n">
        <f aca="false">AG1450*V1450*3600/O1450</f>
        <v>3.92307692307692</v>
      </c>
      <c r="AL1450" s="102" t="n">
        <f aca="false">AJ1450/AK1450</f>
        <v>0.892156862745098</v>
      </c>
      <c r="AM1450" s="99" t="n">
        <f aca="false">AE1450*AL1450*AH1450</f>
        <v>0.842592592592593</v>
      </c>
      <c r="AN1450" s="103" t="n">
        <v>0.842592592592593</v>
      </c>
      <c r="AO1450" s="112"/>
      <c r="AP1450" s="105" t="n">
        <v>0</v>
      </c>
      <c r="AQ1450" s="105" t="n">
        <v>20</v>
      </c>
      <c r="AR1450" s="105" t="n">
        <v>0</v>
      </c>
      <c r="AS1450" s="105" t="n">
        <v>0</v>
      </c>
      <c r="AT1450" s="105" t="n">
        <v>0</v>
      </c>
      <c r="AU1450" s="105" t="n">
        <v>0</v>
      </c>
      <c r="AV1450" s="105" t="n">
        <v>0</v>
      </c>
      <c r="AW1450" s="105" t="n">
        <v>0</v>
      </c>
      <c r="AX1450" s="105" t="n">
        <v>0</v>
      </c>
      <c r="AY1450" s="105" t="n">
        <v>0</v>
      </c>
      <c r="AZ1450" s="105" t="n">
        <v>0</v>
      </c>
      <c r="BA1450" s="105" t="n">
        <v>0</v>
      </c>
      <c r="BB1450" s="105" t="n">
        <v>0</v>
      </c>
      <c r="BC1450" s="105" t="n">
        <v>0</v>
      </c>
      <c r="BD1450" s="105" t="n">
        <v>0</v>
      </c>
      <c r="BE1450" s="105" t="n">
        <v>0</v>
      </c>
      <c r="BF1450" s="105" t="n">
        <v>0</v>
      </c>
      <c r="BG1450" s="105" t="n">
        <v>0</v>
      </c>
      <c r="BH1450" s="105" t="n">
        <v>0</v>
      </c>
      <c r="BI1450" s="105" t="n">
        <v>0</v>
      </c>
      <c r="BJ1450" s="105" t="n">
        <v>0</v>
      </c>
      <c r="BK1450" s="105" t="n">
        <v>0</v>
      </c>
      <c r="BL1450" s="105" t="n">
        <v>0</v>
      </c>
      <c r="BM1450" s="105" t="n">
        <v>0</v>
      </c>
      <c r="BN1450" s="105" t="n">
        <v>0</v>
      </c>
      <c r="BO1450" s="105" t="n">
        <v>0</v>
      </c>
      <c r="BP1450" s="105" t="n">
        <v>0</v>
      </c>
      <c r="BQ1450" s="105" t="n">
        <v>0</v>
      </c>
      <c r="BR1450" s="106" t="n">
        <v>0.333333333333333</v>
      </c>
      <c r="BS1450" s="106" t="n">
        <v>0.333333333333333</v>
      </c>
      <c r="BT1450" s="107"/>
      <c r="BU1450" s="107"/>
      <c r="BV1450" s="107"/>
      <c r="BW1450" s="107"/>
      <c r="BX1450" s="107"/>
      <c r="BY1450" s="107"/>
      <c r="BZ1450" s="107"/>
      <c r="CA1450" s="107"/>
      <c r="CB1450" s="107"/>
      <c r="CC1450" s="107"/>
      <c r="CD1450" s="107"/>
      <c r="CE1450" s="107"/>
      <c r="CF1450" s="107"/>
      <c r="CG1450" s="107"/>
      <c r="CH1450" s="107"/>
      <c r="CI1450" s="107"/>
      <c r="CJ1450" s="107"/>
      <c r="CK1450" s="107"/>
      <c r="CL1450" s="107"/>
      <c r="CM1450" s="107"/>
      <c r="CN1450" s="107"/>
      <c r="CO1450" s="107"/>
      <c r="CP1450" s="107"/>
      <c r="CQ1450" s="107"/>
      <c r="CR1450" s="107"/>
      <c r="CS1450" s="107"/>
      <c r="CT1450" s="107"/>
      <c r="CU1450" s="107"/>
      <c r="CV1450" s="107"/>
    </row>
    <row r="1451" customFormat="false" ht="14.9" hidden="false" customHeight="false" outlineLevel="0" collapsed="false">
      <c r="A1451" s="74" t="n">
        <f aca="false">MONTH(B1451)</f>
        <v>11</v>
      </c>
      <c r="B1451" s="135" t="n">
        <v>44527</v>
      </c>
      <c r="C1451" s="128" t="s">
        <v>51</v>
      </c>
      <c r="D1451" s="77" t="str">
        <f aca="false">IFERROR(VLOOKUP(E:E,'Item Data Support Sheet'!A:O,7,0),"")</f>
        <v>BOTTLE MOLDED</v>
      </c>
      <c r="E1451" s="80" t="s">
        <v>357</v>
      </c>
      <c r="F1451" s="122" t="s">
        <v>216</v>
      </c>
      <c r="G1451" s="137" t="s">
        <v>80</v>
      </c>
      <c r="H1451" s="79" t="str">
        <f aca="false">IFERROR(VLOOKUP(E:E,'Item Data Support Sheet'!A:O,2,0),"")</f>
        <v>KPP 120 ML BOTTLE MOLDED</v>
      </c>
      <c r="I1451" s="80" t="s">
        <v>2249</v>
      </c>
      <c r="J1451" s="80" t="s">
        <v>143</v>
      </c>
      <c r="K1451" s="124" t="n">
        <v>8</v>
      </c>
      <c r="L1451" s="124" t="n">
        <v>2574</v>
      </c>
      <c r="M1451" s="83" t="n">
        <v>321.75</v>
      </c>
      <c r="N1451" s="84" t="n">
        <f aca="false">+O1451+Q1451+T1451+U1451</f>
        <v>1533</v>
      </c>
      <c r="O1451" s="85" t="n">
        <v>1440</v>
      </c>
      <c r="P1451" s="86" t="n">
        <v>0</v>
      </c>
      <c r="Q1451" s="86" t="n">
        <v>50</v>
      </c>
      <c r="R1451" s="132" t="n">
        <v>0</v>
      </c>
      <c r="S1451" s="128" t="n">
        <v>0</v>
      </c>
      <c r="T1451" s="132" t="n">
        <v>35</v>
      </c>
      <c r="U1451" s="128" t="n">
        <v>8</v>
      </c>
      <c r="V1451" s="128" t="n">
        <v>1</v>
      </c>
      <c r="W1451" s="90" t="n">
        <f aca="false">IFERROR(O1451/V1451,0)</f>
        <v>1440</v>
      </c>
      <c r="X1451" s="91" t="n">
        <f aca="false">O1451/L1451</f>
        <v>0.559440559440559</v>
      </c>
      <c r="Y1451" s="92" t="str">
        <f aca="false">IFERROR(VLOOKUP(E:E,'Item Data Support Sheet'!A:J,6,0),0)</f>
        <v>HMC</v>
      </c>
      <c r="Z1451" s="93" t="n">
        <f aca="false">IFERROR(VLOOKUP(E:E,'Item Data Support Sheet'!A:O,4,0),0)</f>
        <v>21.3</v>
      </c>
      <c r="AA1451" s="93" t="n">
        <f aca="false">IFERROR(((N1451)*(Z1451/1000))+P1451,0)</f>
        <v>32.6529</v>
      </c>
      <c r="AB1451" s="94" t="n">
        <f aca="false">IFERROR((O1451*(Z1451/1000)/(AA1451))," ")</f>
        <v>0.939334637964775</v>
      </c>
      <c r="AC1451" s="95" t="n">
        <f aca="false">IFERROR((T1451)/((T1451)+O1451),0)</f>
        <v>0.023728813559322</v>
      </c>
      <c r="AD1451" s="96" t="n">
        <f aca="false">IFERROR(Q1451/(Q1451+N1451),0)</f>
        <v>0.0315855969677827</v>
      </c>
      <c r="AE1451" s="91" t="n">
        <f aca="false">(N1451-T1451)/N1451</f>
        <v>0.977168949771689</v>
      </c>
      <c r="AF1451" s="97" t="n">
        <f aca="false">BR1451</f>
        <v>0</v>
      </c>
      <c r="AG1451" s="98" t="n">
        <f aca="false">K1451-AF1451</f>
        <v>8</v>
      </c>
      <c r="AH1451" s="99" t="n">
        <f aca="false">IFERROR(AG1451/K1451," ")</f>
        <v>1</v>
      </c>
      <c r="AI1451" s="100" t="n">
        <f aca="false">IFERROR(O1451/K1451,0)</f>
        <v>180</v>
      </c>
      <c r="AJ1451" s="101" t="n">
        <f aca="false">VLOOKUP(D1451,'Standard Cycle time'!C:D,2,0)</f>
        <v>9</v>
      </c>
      <c r="AK1451" s="101" t="n">
        <f aca="false">AG1451*V1451*3600/O1451</f>
        <v>20</v>
      </c>
      <c r="AL1451" s="102" t="n">
        <f aca="false">AJ1451/AK1451</f>
        <v>0.45</v>
      </c>
      <c r="AM1451" s="99" t="n">
        <f aca="false">AE1451*AL1451*AH1451</f>
        <v>0.43972602739726</v>
      </c>
      <c r="AN1451" s="103" t="n">
        <v>0.43972602739726</v>
      </c>
      <c r="AO1451" s="112"/>
      <c r="AP1451" s="105" t="n">
        <v>0</v>
      </c>
      <c r="AQ1451" s="105" t="n">
        <v>0</v>
      </c>
      <c r="AR1451" s="105" t="n">
        <v>0</v>
      </c>
      <c r="AS1451" s="105" t="n">
        <v>0</v>
      </c>
      <c r="AT1451" s="105" t="n">
        <v>0</v>
      </c>
      <c r="AU1451" s="105" t="n">
        <v>0</v>
      </c>
      <c r="AV1451" s="105" t="n">
        <v>0</v>
      </c>
      <c r="AW1451" s="105" t="n">
        <v>0</v>
      </c>
      <c r="AX1451" s="105" t="n">
        <v>0</v>
      </c>
      <c r="AY1451" s="105" t="n">
        <v>0</v>
      </c>
      <c r="AZ1451" s="105" t="n">
        <v>0</v>
      </c>
      <c r="BA1451" s="105" t="n">
        <v>0</v>
      </c>
      <c r="BB1451" s="105" t="n">
        <v>0</v>
      </c>
      <c r="BC1451" s="105" t="n">
        <v>0</v>
      </c>
      <c r="BD1451" s="105" t="n">
        <v>0</v>
      </c>
      <c r="BE1451" s="105" t="n">
        <v>0</v>
      </c>
      <c r="BF1451" s="105" t="n">
        <v>0</v>
      </c>
      <c r="BG1451" s="105" t="n">
        <v>0</v>
      </c>
      <c r="BH1451" s="105" t="n">
        <v>0</v>
      </c>
      <c r="BI1451" s="105" t="n">
        <v>0</v>
      </c>
      <c r="BJ1451" s="105" t="n">
        <v>0</v>
      </c>
      <c r="BK1451" s="105" t="n">
        <v>0</v>
      </c>
      <c r="BL1451" s="105" t="n">
        <v>0</v>
      </c>
      <c r="BM1451" s="105" t="n">
        <v>0</v>
      </c>
      <c r="BN1451" s="105" t="n">
        <v>0</v>
      </c>
      <c r="BO1451" s="105" t="n">
        <v>0</v>
      </c>
      <c r="BP1451" s="105" t="n">
        <v>0</v>
      </c>
      <c r="BQ1451" s="105" t="n">
        <v>0</v>
      </c>
      <c r="BR1451" s="106" t="n">
        <v>0</v>
      </c>
      <c r="BS1451" s="106" t="n">
        <v>0</v>
      </c>
      <c r="BT1451" s="107"/>
      <c r="BU1451" s="107"/>
      <c r="BV1451" s="107"/>
      <c r="BW1451" s="107"/>
      <c r="BX1451" s="107"/>
      <c r="BY1451" s="107"/>
      <c r="BZ1451" s="107"/>
      <c r="CA1451" s="107"/>
      <c r="CB1451" s="107"/>
      <c r="CC1451" s="107"/>
      <c r="CD1451" s="107"/>
      <c r="CE1451" s="107"/>
      <c r="CF1451" s="107"/>
      <c r="CG1451" s="107"/>
      <c r="CH1451" s="107"/>
      <c r="CI1451" s="107"/>
      <c r="CJ1451" s="107"/>
      <c r="CK1451" s="107"/>
      <c r="CL1451" s="107"/>
      <c r="CM1451" s="107"/>
      <c r="CN1451" s="107"/>
      <c r="CO1451" s="107"/>
      <c r="CP1451" s="107"/>
      <c r="CQ1451" s="107"/>
      <c r="CR1451" s="107"/>
      <c r="CS1451" s="107"/>
      <c r="CT1451" s="107"/>
      <c r="CU1451" s="107"/>
      <c r="CV1451" s="107"/>
    </row>
    <row r="1452" customFormat="false" ht="14.9" hidden="false" customHeight="false" outlineLevel="0" collapsed="false">
      <c r="A1452" s="74" t="n">
        <f aca="false">MONTH(B1452)</f>
        <v>11</v>
      </c>
      <c r="B1452" s="135" t="n">
        <v>44527</v>
      </c>
      <c r="C1452" s="128" t="s">
        <v>51</v>
      </c>
      <c r="D1452" s="77" t="str">
        <f aca="false">IFERROR(VLOOKUP(E:E,'Item Data Support Sheet'!A:O,7,0),"")</f>
        <v>CAP MOLDED</v>
      </c>
      <c r="E1452" s="80" t="s">
        <v>261</v>
      </c>
      <c r="F1452" s="122" t="s">
        <v>2161</v>
      </c>
      <c r="G1452" s="137" t="s">
        <v>740</v>
      </c>
      <c r="H1452" s="79" t="str">
        <f aca="false">IFERROR(VLOOKUP(E:E,'Item Data Support Sheet'!A:O,2,0),"")</f>
        <v>CAP S TYPE MOLDED PINK</v>
      </c>
      <c r="I1452" s="80" t="s">
        <v>2250</v>
      </c>
      <c r="J1452" s="80" t="s">
        <v>143</v>
      </c>
      <c r="K1452" s="124" t="n">
        <v>8</v>
      </c>
      <c r="L1452" s="124" t="n">
        <v>4137</v>
      </c>
      <c r="M1452" s="83" t="n">
        <v>517.125</v>
      </c>
      <c r="N1452" s="84" t="n">
        <f aca="false">+O1452+Q1452+T1452+U1452</f>
        <v>5008</v>
      </c>
      <c r="O1452" s="85" t="n">
        <v>5000</v>
      </c>
      <c r="P1452" s="86" t="n">
        <v>0</v>
      </c>
      <c r="Q1452" s="86" t="n">
        <v>0</v>
      </c>
      <c r="R1452" s="132" t="n">
        <v>0</v>
      </c>
      <c r="S1452" s="128" t="n">
        <v>0</v>
      </c>
      <c r="T1452" s="132" t="n">
        <v>0</v>
      </c>
      <c r="U1452" s="128" t="n">
        <v>8</v>
      </c>
      <c r="V1452" s="128" t="n">
        <v>1</v>
      </c>
      <c r="W1452" s="90" t="n">
        <f aca="false">IFERROR(O1452/V1452,0)</f>
        <v>5000</v>
      </c>
      <c r="X1452" s="91" t="n">
        <f aca="false">O1452/L1452</f>
        <v>1.20860526951898</v>
      </c>
      <c r="Y1452" s="92" t="str">
        <f aca="false">IFERROR(VLOOKUP(E:E,'Item Data Support Sheet'!A:J,6,0),0)</f>
        <v>RM000123</v>
      </c>
      <c r="Z1452" s="93" t="n">
        <f aca="false">IFERROR(VLOOKUP(E:E,'Item Data Support Sheet'!A:O,4,0),0)</f>
        <v>7.3</v>
      </c>
      <c r="AA1452" s="93" t="n">
        <f aca="false">IFERROR(((N1452)*(Z1452/1000))+P1452,0)</f>
        <v>36.5584</v>
      </c>
      <c r="AB1452" s="94" t="n">
        <f aca="false">IFERROR((O1452*(Z1452/1000)/(AA1452))," ")</f>
        <v>0.998402555910543</v>
      </c>
      <c r="AC1452" s="95" t="n">
        <f aca="false">IFERROR((T1452)/((T1452)+O1452),0)</f>
        <v>0</v>
      </c>
      <c r="AD1452" s="96" t="n">
        <f aca="false">IFERROR(Q1452/(Q1452+N1452),0)</f>
        <v>0</v>
      </c>
      <c r="AE1452" s="91" t="n">
        <f aca="false">(N1452-T1452)/N1452</f>
        <v>1</v>
      </c>
      <c r="AF1452" s="97" t="n">
        <f aca="false">BR1452</f>
        <v>0</v>
      </c>
      <c r="AG1452" s="98" t="n">
        <f aca="false">K1452-AF1452</f>
        <v>8</v>
      </c>
      <c r="AH1452" s="99" t="n">
        <f aca="false">IFERROR(AG1452/K1452," ")</f>
        <v>1</v>
      </c>
      <c r="AI1452" s="100" t="n">
        <f aca="false">IFERROR(O1452/K1452,0)</f>
        <v>625</v>
      </c>
      <c r="AJ1452" s="101" t="n">
        <f aca="false">VLOOKUP(D1452,'Standard Cycle time'!C:D,2,0)</f>
        <v>6</v>
      </c>
      <c r="AK1452" s="101" t="n">
        <f aca="false">AG1452*V1452*3600/O1452</f>
        <v>5.76</v>
      </c>
      <c r="AL1452" s="102" t="n">
        <f aca="false">AJ1452/AK1452</f>
        <v>1.04166666666667</v>
      </c>
      <c r="AM1452" s="99" t="n">
        <f aca="false">AE1452*AL1452*AH1452</f>
        <v>1.04166666666667</v>
      </c>
      <c r="AN1452" s="103" t="n">
        <v>1.04166666666667</v>
      </c>
      <c r="AO1452" s="112"/>
      <c r="AP1452" s="105" t="n">
        <v>0</v>
      </c>
      <c r="AQ1452" s="105" t="n">
        <v>0</v>
      </c>
      <c r="AR1452" s="105" t="n">
        <v>0</v>
      </c>
      <c r="AS1452" s="105" t="n">
        <v>0</v>
      </c>
      <c r="AT1452" s="105" t="n">
        <v>0</v>
      </c>
      <c r="AU1452" s="105" t="n">
        <v>0</v>
      </c>
      <c r="AV1452" s="105" t="n">
        <v>0</v>
      </c>
      <c r="AW1452" s="105" t="n">
        <v>0</v>
      </c>
      <c r="AX1452" s="105" t="n">
        <v>0</v>
      </c>
      <c r="AY1452" s="105" t="n">
        <v>0</v>
      </c>
      <c r="AZ1452" s="105" t="n">
        <v>0</v>
      </c>
      <c r="BA1452" s="105" t="n">
        <v>0</v>
      </c>
      <c r="BB1452" s="105" t="n">
        <v>0</v>
      </c>
      <c r="BC1452" s="105" t="n">
        <v>0</v>
      </c>
      <c r="BD1452" s="105" t="n">
        <v>0</v>
      </c>
      <c r="BE1452" s="105" t="n">
        <v>0</v>
      </c>
      <c r="BF1452" s="105" t="n">
        <v>0</v>
      </c>
      <c r="BG1452" s="105" t="n">
        <v>0</v>
      </c>
      <c r="BH1452" s="105" t="n">
        <v>0</v>
      </c>
      <c r="BI1452" s="105" t="n">
        <v>0</v>
      </c>
      <c r="BJ1452" s="105" t="n">
        <v>0</v>
      </c>
      <c r="BK1452" s="105" t="n">
        <v>0</v>
      </c>
      <c r="BL1452" s="105" t="n">
        <v>0</v>
      </c>
      <c r="BM1452" s="105" t="n">
        <v>0</v>
      </c>
      <c r="BN1452" s="105" t="n">
        <v>0</v>
      </c>
      <c r="BO1452" s="105" t="n">
        <v>0</v>
      </c>
      <c r="BP1452" s="105" t="n">
        <v>0</v>
      </c>
      <c r="BQ1452" s="105" t="n">
        <v>0</v>
      </c>
      <c r="BR1452" s="106" t="n">
        <v>0</v>
      </c>
      <c r="BS1452" s="106" t="n">
        <v>0</v>
      </c>
      <c r="BT1452" s="107"/>
      <c r="BU1452" s="107"/>
      <c r="BV1452" s="107"/>
      <c r="BW1452" s="107"/>
      <c r="BX1452" s="107"/>
      <c r="BY1452" s="107"/>
      <c r="BZ1452" s="107"/>
      <c r="CA1452" s="107"/>
      <c r="CB1452" s="107"/>
      <c r="CC1452" s="107"/>
      <c r="CD1452" s="107"/>
      <c r="CE1452" s="107"/>
      <c r="CF1452" s="107"/>
      <c r="CG1452" s="107"/>
      <c r="CH1452" s="107"/>
      <c r="CI1452" s="107"/>
      <c r="CJ1452" s="107"/>
      <c r="CK1452" s="107"/>
      <c r="CL1452" s="107"/>
      <c r="CM1452" s="107"/>
      <c r="CN1452" s="107"/>
      <c r="CO1452" s="107"/>
      <c r="CP1452" s="107"/>
      <c r="CQ1452" s="107"/>
      <c r="CR1452" s="107"/>
      <c r="CS1452" s="107"/>
      <c r="CT1452" s="107"/>
      <c r="CU1452" s="107"/>
      <c r="CV1452" s="107"/>
    </row>
    <row r="1453" customFormat="false" ht="14.9" hidden="false" customHeight="false" outlineLevel="0" collapsed="false">
      <c r="A1453" s="74" t="n">
        <f aca="false">MONTH(B1453)</f>
        <v>11</v>
      </c>
      <c r="B1453" s="135" t="n">
        <v>44527</v>
      </c>
      <c r="C1453" s="128" t="s">
        <v>63</v>
      </c>
      <c r="D1453" s="77" t="str">
        <f aca="false">IFERROR(VLOOKUP(E:E,'Item Data Support Sheet'!A:O,7,0),"")</f>
        <v>BOTTLE PRINTED</v>
      </c>
      <c r="E1453" s="80" t="s">
        <v>691</v>
      </c>
      <c r="F1453" s="122"/>
      <c r="G1453" s="137"/>
      <c r="H1453" s="79" t="str">
        <f aca="false">IFERROR(VLOOKUP(E:E,'Item Data Support Sheet'!A:O,2,0),"")</f>
        <v>KPP 120 ML BOTTLE PRINTED</v>
      </c>
      <c r="I1453" s="80" t="s">
        <v>2251</v>
      </c>
      <c r="J1453" s="80" t="s">
        <v>155</v>
      </c>
      <c r="K1453" s="124" t="n">
        <v>8</v>
      </c>
      <c r="L1453" s="124" t="n">
        <v>5100</v>
      </c>
      <c r="M1453" s="83" t="n">
        <v>637.5</v>
      </c>
      <c r="N1453" s="84" t="n">
        <f aca="false">+O1453+Q1453+T1453+U1453</f>
        <v>5459</v>
      </c>
      <c r="O1453" s="85" t="n">
        <v>5400</v>
      </c>
      <c r="P1453" s="86" t="n">
        <v>0</v>
      </c>
      <c r="Q1453" s="86" t="n">
        <v>0</v>
      </c>
      <c r="R1453" s="132" t="n">
        <v>53</v>
      </c>
      <c r="S1453" s="128" t="n">
        <v>0</v>
      </c>
      <c r="T1453" s="132" t="n">
        <v>59</v>
      </c>
      <c r="U1453" s="128" t="n">
        <v>0</v>
      </c>
      <c r="V1453" s="128" t="n">
        <v>5</v>
      </c>
      <c r="W1453" s="90" t="n">
        <f aca="false">IFERROR(O1453/V1453,0)</f>
        <v>1080</v>
      </c>
      <c r="X1453" s="91" t="n">
        <f aca="false">O1453/L1453</f>
        <v>1.05882352941176</v>
      </c>
      <c r="Y1453" s="92" t="str">
        <f aca="false">IFERROR(VLOOKUP(E:E,'Item Data Support Sheet'!A:J,6,0),0)</f>
        <v>FO001</v>
      </c>
      <c r="Z1453" s="93" t="n">
        <f aca="false">IFERROR(VLOOKUP(E:E,'Item Data Support Sheet'!A:O,4,0),0)</f>
        <v>0</v>
      </c>
      <c r="AA1453" s="93" t="n">
        <f aca="false">IFERROR(((N1453)*(Z1453/1000))+P1453,0)</f>
        <v>0</v>
      </c>
      <c r="AB1453" s="94" t="str">
        <f aca="false">IFERROR((O1453*(Z1453/1000)/(AA1453))," ")</f>
        <v> </v>
      </c>
      <c r="AC1453" s="95" t="n">
        <f aca="false">IFERROR((T1453)/((T1453)+O1453),0)</f>
        <v>0.0108078402637846</v>
      </c>
      <c r="AD1453" s="96" t="n">
        <f aca="false">IFERROR(Q1453/(Q1453+N1453),0)</f>
        <v>0</v>
      </c>
      <c r="AE1453" s="91" t="n">
        <f aca="false">(N1453-T1453)/N1453</f>
        <v>0.989192159736215</v>
      </c>
      <c r="AF1453" s="97" t="n">
        <f aca="false">BR1453</f>
        <v>0.833333333333333</v>
      </c>
      <c r="AG1453" s="98" t="n">
        <f aca="false">K1453-AF1453</f>
        <v>7.16666666666667</v>
      </c>
      <c r="AH1453" s="99" t="n">
        <f aca="false">IFERROR(AG1453/K1453," ")</f>
        <v>0.895833333333333</v>
      </c>
      <c r="AI1453" s="100" t="n">
        <f aca="false">IFERROR(O1453/K1453,0)</f>
        <v>675</v>
      </c>
      <c r="AJ1453" s="101" t="n">
        <f aca="false">VLOOKUP(D1453,'Standard Cycle time'!C:D,2,0)</f>
        <v>32.4</v>
      </c>
      <c r="AK1453" s="101" t="n">
        <f aca="false">AG1453*V1453*3600/O1453</f>
        <v>23.8888888888889</v>
      </c>
      <c r="AL1453" s="102" t="n">
        <f aca="false">AJ1453/AK1453</f>
        <v>1.35627906976744</v>
      </c>
      <c r="AM1453" s="99" t="n">
        <f aca="false">AE1453*AL1453*AH1453</f>
        <v>1.2018684740795</v>
      </c>
      <c r="AN1453" s="103" t="n">
        <v>1.2018684740795</v>
      </c>
      <c r="AO1453" s="112"/>
      <c r="AP1453" s="105" t="n">
        <v>50</v>
      </c>
      <c r="AQ1453" s="105" t="n">
        <v>0</v>
      </c>
      <c r="AR1453" s="105" t="n">
        <v>0</v>
      </c>
      <c r="AS1453" s="105" t="n">
        <v>0</v>
      </c>
      <c r="AT1453" s="105" t="n">
        <v>0</v>
      </c>
      <c r="AU1453" s="105" t="n">
        <v>0</v>
      </c>
      <c r="AV1453" s="105" t="n">
        <v>0</v>
      </c>
      <c r="AW1453" s="105" t="n">
        <v>0</v>
      </c>
      <c r="AX1453" s="105" t="n">
        <v>0</v>
      </c>
      <c r="AY1453" s="105" t="n">
        <v>0</v>
      </c>
      <c r="AZ1453" s="105" t="n">
        <v>0</v>
      </c>
      <c r="BA1453" s="105" t="n">
        <v>0</v>
      </c>
      <c r="BB1453" s="105" t="n">
        <v>0</v>
      </c>
      <c r="BC1453" s="105" t="n">
        <v>0</v>
      </c>
      <c r="BD1453" s="105" t="n">
        <v>0</v>
      </c>
      <c r="BE1453" s="105" t="n">
        <v>0</v>
      </c>
      <c r="BF1453" s="105" t="n">
        <v>0</v>
      </c>
      <c r="BG1453" s="105" t="n">
        <v>0</v>
      </c>
      <c r="BH1453" s="105" t="n">
        <v>0</v>
      </c>
      <c r="BI1453" s="105" t="n">
        <v>0</v>
      </c>
      <c r="BJ1453" s="105" t="n">
        <v>0</v>
      </c>
      <c r="BK1453" s="105" t="n">
        <v>0</v>
      </c>
      <c r="BL1453" s="105" t="n">
        <v>0</v>
      </c>
      <c r="BM1453" s="105" t="n">
        <v>0</v>
      </c>
      <c r="BN1453" s="105" t="n">
        <v>0</v>
      </c>
      <c r="BO1453" s="105" t="n">
        <v>0</v>
      </c>
      <c r="BP1453" s="105" t="n">
        <v>0</v>
      </c>
      <c r="BQ1453" s="105" t="n">
        <v>0</v>
      </c>
      <c r="BR1453" s="106" t="n">
        <v>0.833333333333333</v>
      </c>
      <c r="BS1453" s="106" t="n">
        <v>0.833333333333333</v>
      </c>
      <c r="BT1453" s="107"/>
      <c r="BU1453" s="107"/>
      <c r="BV1453" s="107"/>
      <c r="BW1453" s="107"/>
      <c r="BX1453" s="107"/>
      <c r="BY1453" s="107"/>
      <c r="BZ1453" s="107"/>
      <c r="CA1453" s="107"/>
      <c r="CB1453" s="107"/>
      <c r="CC1453" s="107"/>
      <c r="CD1453" s="107"/>
      <c r="CE1453" s="107"/>
      <c r="CF1453" s="107"/>
      <c r="CG1453" s="107"/>
      <c r="CH1453" s="107"/>
      <c r="CI1453" s="107"/>
      <c r="CJ1453" s="107"/>
      <c r="CK1453" s="107"/>
      <c r="CL1453" s="107"/>
      <c r="CM1453" s="107"/>
      <c r="CN1453" s="107"/>
      <c r="CO1453" s="107"/>
      <c r="CP1453" s="107"/>
      <c r="CQ1453" s="107"/>
      <c r="CR1453" s="107"/>
      <c r="CS1453" s="107"/>
      <c r="CT1453" s="107"/>
      <c r="CU1453" s="107"/>
      <c r="CV1453" s="107"/>
    </row>
    <row r="1454" customFormat="false" ht="14.9" hidden="false" customHeight="false" outlineLevel="0" collapsed="false">
      <c r="A1454" s="74" t="n">
        <f aca="false">MONTH(B1454)</f>
        <v>11</v>
      </c>
      <c r="B1454" s="135" t="n">
        <v>44527</v>
      </c>
      <c r="C1454" s="128" t="s">
        <v>63</v>
      </c>
      <c r="D1454" s="77" t="str">
        <f aca="false">IFERROR(VLOOKUP(E:E,'Item Data Support Sheet'!A:O,7,0),"")</f>
        <v>NIPPLE WRAP PRINTED</v>
      </c>
      <c r="E1454" s="80" t="s">
        <v>474</v>
      </c>
      <c r="F1454" s="122"/>
      <c r="G1454" s="137" t="s">
        <v>432</v>
      </c>
      <c r="H1454" s="79" t="str">
        <f aca="false">IFERROR(VLOOKUP(E:E,'Item Data Support Sheet'!A:O,2,0),"")</f>
        <v>NIPPLE S TYPE L SIZE WITH PRINTED WRAP</v>
      </c>
      <c r="I1454" s="80" t="s">
        <v>2202</v>
      </c>
      <c r="J1454" s="80" t="s">
        <v>155</v>
      </c>
      <c r="K1454" s="124" t="n">
        <v>8</v>
      </c>
      <c r="L1454" s="124" t="n">
        <v>16171</v>
      </c>
      <c r="M1454" s="83" t="n">
        <v>2021.375</v>
      </c>
      <c r="N1454" s="84" t="n">
        <f aca="false">+O1454+Q1454+T1454+U1454</f>
        <v>16741</v>
      </c>
      <c r="O1454" s="85" t="n">
        <v>16741</v>
      </c>
      <c r="P1454" s="86" t="n">
        <v>0</v>
      </c>
      <c r="Q1454" s="86" t="n">
        <v>0</v>
      </c>
      <c r="R1454" s="132" t="n">
        <v>0</v>
      </c>
      <c r="S1454" s="128" t="n">
        <v>0</v>
      </c>
      <c r="T1454" s="132" t="n">
        <v>0</v>
      </c>
      <c r="U1454" s="128" t="n">
        <v>0</v>
      </c>
      <c r="V1454" s="128" t="n">
        <v>2</v>
      </c>
      <c r="W1454" s="90" t="n">
        <f aca="false">IFERROR(O1454/V1454,0)</f>
        <v>8370.5</v>
      </c>
      <c r="X1454" s="91" t="n">
        <f aca="false">O1454/L1454</f>
        <v>1.03524828396512</v>
      </c>
      <c r="Y1454" s="92" t="str">
        <f aca="false">IFERROR(VLOOKUP(E:E,'Item Data Support Sheet'!A:J,6,0),0)</f>
        <v>FO021</v>
      </c>
      <c r="Z1454" s="93" t="n">
        <f aca="false">IFERROR(VLOOKUP(E:E,'Item Data Support Sheet'!A:O,4,0),0)</f>
        <v>0</v>
      </c>
      <c r="AA1454" s="93" t="n">
        <f aca="false">IFERROR(((N1454)*(Z1454/1000))+P1454,0)</f>
        <v>0</v>
      </c>
      <c r="AB1454" s="94" t="str">
        <f aca="false">IFERROR((O1454*(Z1454/1000)/(AA1454))," ")</f>
        <v> </v>
      </c>
      <c r="AC1454" s="95" t="n">
        <f aca="false">IFERROR((T1454)/((T1454)+O1454),0)</f>
        <v>0</v>
      </c>
      <c r="AD1454" s="96" t="n">
        <f aca="false">IFERROR(Q1454/(Q1454+N1454),0)</f>
        <v>0</v>
      </c>
      <c r="AE1454" s="91" t="n">
        <f aca="false">(N1454-T1454)/N1454</f>
        <v>1</v>
      </c>
      <c r="AF1454" s="97" t="n">
        <f aca="false">BR1454</f>
        <v>0.833333333333333</v>
      </c>
      <c r="AG1454" s="98" t="n">
        <f aca="false">K1454-AF1454</f>
        <v>7.16666666666667</v>
      </c>
      <c r="AH1454" s="99" t="n">
        <f aca="false">IFERROR(AG1454/K1454," ")</f>
        <v>0.895833333333333</v>
      </c>
      <c r="AI1454" s="100" t="n">
        <f aca="false">IFERROR(O1454/K1454,0)</f>
        <v>2092.625</v>
      </c>
      <c r="AJ1454" s="101" t="n">
        <f aca="false">VLOOKUP(D1454,'Standard Cycle time'!C:D,2,0)</f>
        <v>2.5</v>
      </c>
      <c r="AK1454" s="101" t="n">
        <f aca="false">AG1454*V1454*3600/O1454</f>
        <v>3.08225315094678</v>
      </c>
      <c r="AL1454" s="102" t="n">
        <f aca="false">AJ1454/AK1454</f>
        <v>0.81109496124031</v>
      </c>
      <c r="AM1454" s="99" t="n">
        <f aca="false">AE1454*AL1454*AH1454</f>
        <v>0.726605902777778</v>
      </c>
      <c r="AN1454" s="103" t="n">
        <v>0.726605902777778</v>
      </c>
      <c r="AO1454" s="112"/>
      <c r="AP1454" s="105" t="n">
        <v>50</v>
      </c>
      <c r="AQ1454" s="105" t="n">
        <v>0</v>
      </c>
      <c r="AR1454" s="105" t="n">
        <v>0</v>
      </c>
      <c r="AS1454" s="105" t="n">
        <v>0</v>
      </c>
      <c r="AT1454" s="105" t="n">
        <v>0</v>
      </c>
      <c r="AU1454" s="105" t="n">
        <v>0</v>
      </c>
      <c r="AV1454" s="105" t="n">
        <v>0</v>
      </c>
      <c r="AW1454" s="105" t="n">
        <v>0</v>
      </c>
      <c r="AX1454" s="105" t="n">
        <v>0</v>
      </c>
      <c r="AY1454" s="105" t="n">
        <v>0</v>
      </c>
      <c r="AZ1454" s="105" t="n">
        <v>0</v>
      </c>
      <c r="BA1454" s="105" t="n">
        <v>0</v>
      </c>
      <c r="BB1454" s="105" t="n">
        <v>0</v>
      </c>
      <c r="BC1454" s="105" t="n">
        <v>0</v>
      </c>
      <c r="BD1454" s="105" t="n">
        <v>0</v>
      </c>
      <c r="BE1454" s="105" t="n">
        <v>0</v>
      </c>
      <c r="BF1454" s="105" t="n">
        <v>0</v>
      </c>
      <c r="BG1454" s="105" t="n">
        <v>0</v>
      </c>
      <c r="BH1454" s="105" t="n">
        <v>0</v>
      </c>
      <c r="BI1454" s="105" t="n">
        <v>0</v>
      </c>
      <c r="BJ1454" s="105" t="n">
        <v>0</v>
      </c>
      <c r="BK1454" s="105" t="n">
        <v>0</v>
      </c>
      <c r="BL1454" s="105" t="n">
        <v>0</v>
      </c>
      <c r="BM1454" s="105" t="n">
        <v>0</v>
      </c>
      <c r="BN1454" s="105" t="n">
        <v>0</v>
      </c>
      <c r="BO1454" s="105" t="n">
        <v>0</v>
      </c>
      <c r="BP1454" s="105" t="n">
        <v>0</v>
      </c>
      <c r="BQ1454" s="105" t="n">
        <v>0</v>
      </c>
      <c r="BR1454" s="106" t="n">
        <v>0.833333333333333</v>
      </c>
      <c r="BS1454" s="106" t="n">
        <v>0.833333333333333</v>
      </c>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c r="CO1454" s="107"/>
      <c r="CP1454" s="107"/>
      <c r="CQ1454" s="107"/>
      <c r="CR1454" s="107"/>
      <c r="CS1454" s="107"/>
      <c r="CT1454" s="107"/>
      <c r="CU1454" s="107"/>
      <c r="CV1454" s="107"/>
    </row>
    <row r="1455" customFormat="false" ht="14.9" hidden="false" customHeight="false" outlineLevel="0" collapsed="false">
      <c r="A1455" s="74" t="n">
        <f aca="false">MONTH(B1455)</f>
        <v>11</v>
      </c>
      <c r="B1455" s="135" t="n">
        <v>44527</v>
      </c>
      <c r="C1455" s="128" t="s">
        <v>63</v>
      </c>
      <c r="D1455" s="77" t="str">
        <f aca="false">IFERROR(VLOOKUP(E:E,'Item Data Support Sheet'!A:O,7,0),"")</f>
        <v>NIPPLE PUNCH INSPECTED</v>
      </c>
      <c r="E1455" s="80" t="s">
        <v>688</v>
      </c>
      <c r="F1455" s="122"/>
      <c r="G1455" s="137"/>
      <c r="H1455" s="79" t="str">
        <f aca="false">IFERROR(VLOOKUP(E:E,'Item Data Support Sheet'!A:O,2,0),"")</f>
        <v>NIPPLE S TYPE L SIZE PUNCHED INSPECTED</v>
      </c>
      <c r="I1455" s="80" t="s">
        <v>2252</v>
      </c>
      <c r="J1455" s="80" t="s">
        <v>155</v>
      </c>
      <c r="K1455" s="124" t="n">
        <v>2</v>
      </c>
      <c r="L1455" s="124" t="n">
        <v>4750</v>
      </c>
      <c r="M1455" s="83" t="n">
        <v>2375</v>
      </c>
      <c r="N1455" s="84" t="n">
        <f aca="false">+O1455+Q1455+T1455+U1455</f>
        <v>3580</v>
      </c>
      <c r="O1455" s="85" t="n">
        <v>3556</v>
      </c>
      <c r="P1455" s="86" t="n">
        <v>0</v>
      </c>
      <c r="Q1455" s="86" t="n">
        <v>0</v>
      </c>
      <c r="R1455" s="132" t="n">
        <v>0</v>
      </c>
      <c r="S1455" s="128" t="n">
        <v>0</v>
      </c>
      <c r="T1455" s="132" t="n">
        <v>24</v>
      </c>
      <c r="U1455" s="128" t="n">
        <v>0</v>
      </c>
      <c r="V1455" s="128" t="n">
        <v>2</v>
      </c>
      <c r="W1455" s="90" t="n">
        <f aca="false">IFERROR(O1455/V1455,0)</f>
        <v>1778</v>
      </c>
      <c r="X1455" s="91" t="n">
        <f aca="false">O1455/L1455</f>
        <v>0.748631578947368</v>
      </c>
      <c r="Y1455" s="92" t="str">
        <f aca="false">IFERROR(VLOOKUP(E:E,'Item Data Support Sheet'!A:J,6,0),0)</f>
        <v>FO106</v>
      </c>
      <c r="Z1455" s="93" t="n">
        <f aca="false">IFERROR(VLOOKUP(E:E,'Item Data Support Sheet'!A:O,4,0),0)</f>
        <v>0</v>
      </c>
      <c r="AA1455" s="93" t="n">
        <f aca="false">IFERROR(((N1455)*(Z1455/1000))+P1455,0)</f>
        <v>0</v>
      </c>
      <c r="AB1455" s="94" t="str">
        <f aca="false">IFERROR((O1455*(Z1455/1000)/(AA1455))," ")</f>
        <v> </v>
      </c>
      <c r="AC1455" s="95" t="n">
        <f aca="false">IFERROR((T1455)/((T1455)+O1455),0)</f>
        <v>0.00670391061452514</v>
      </c>
      <c r="AD1455" s="96" t="n">
        <f aca="false">IFERROR(Q1455/(Q1455+N1455),0)</f>
        <v>0</v>
      </c>
      <c r="AE1455" s="91" t="n">
        <f aca="false">(N1455-T1455)/N1455</f>
        <v>0.993296089385475</v>
      </c>
      <c r="AF1455" s="97" t="n">
        <f aca="false">BR1455</f>
        <v>0.833333333333333</v>
      </c>
      <c r="AG1455" s="98" t="n">
        <f aca="false">K1455-AF1455</f>
        <v>1.16666666666667</v>
      </c>
      <c r="AH1455" s="99" t="n">
        <f aca="false">IFERROR(AG1455/K1455," ")</f>
        <v>0.583333333333334</v>
      </c>
      <c r="AI1455" s="100" t="n">
        <f aca="false">IFERROR(O1455/K1455,0)</f>
        <v>1778</v>
      </c>
      <c r="AJ1455" s="101" t="n">
        <f aca="false">VLOOKUP(D1455,'Standard Cycle time'!C:D,2,0)</f>
        <v>4</v>
      </c>
      <c r="AK1455" s="101" t="n">
        <f aca="false">AG1455*V1455*3600/O1455</f>
        <v>2.36220472440945</v>
      </c>
      <c r="AL1455" s="102" t="n">
        <f aca="false">AJ1455/AK1455</f>
        <v>1.69333333333333</v>
      </c>
      <c r="AM1455" s="99" t="n">
        <f aca="false">AE1455*AL1455*AH1455</f>
        <v>0.981155803848541</v>
      </c>
      <c r="AN1455" s="103" t="n">
        <v>0.981155803848542</v>
      </c>
      <c r="AO1455" s="112"/>
      <c r="AP1455" s="105" t="n">
        <v>50</v>
      </c>
      <c r="AQ1455" s="105" t="n">
        <v>0</v>
      </c>
      <c r="AR1455" s="105" t="n">
        <v>0</v>
      </c>
      <c r="AS1455" s="105" t="n">
        <v>0</v>
      </c>
      <c r="AT1455" s="105" t="n">
        <v>0</v>
      </c>
      <c r="AU1455" s="105" t="n">
        <v>0</v>
      </c>
      <c r="AV1455" s="105" t="n">
        <v>0</v>
      </c>
      <c r="AW1455" s="105" t="n">
        <v>0</v>
      </c>
      <c r="AX1455" s="105" t="n">
        <v>0</v>
      </c>
      <c r="AY1455" s="105" t="n">
        <v>0</v>
      </c>
      <c r="AZ1455" s="105" t="n">
        <v>0</v>
      </c>
      <c r="BA1455" s="105" t="n">
        <v>0</v>
      </c>
      <c r="BB1455" s="105" t="n">
        <v>0</v>
      </c>
      <c r="BC1455" s="105" t="n">
        <v>0</v>
      </c>
      <c r="BD1455" s="105" t="n">
        <v>0</v>
      </c>
      <c r="BE1455" s="105" t="n">
        <v>0</v>
      </c>
      <c r="BF1455" s="105" t="n">
        <v>0</v>
      </c>
      <c r="BG1455" s="105" t="n">
        <v>0</v>
      </c>
      <c r="BH1455" s="105" t="n">
        <v>0</v>
      </c>
      <c r="BI1455" s="105" t="n">
        <v>0</v>
      </c>
      <c r="BJ1455" s="105" t="n">
        <v>0</v>
      </c>
      <c r="BK1455" s="105" t="n">
        <v>0</v>
      </c>
      <c r="BL1455" s="105" t="n">
        <v>0</v>
      </c>
      <c r="BM1455" s="105" t="n">
        <v>0</v>
      </c>
      <c r="BN1455" s="105" t="n">
        <v>0</v>
      </c>
      <c r="BO1455" s="105" t="n">
        <v>0</v>
      </c>
      <c r="BP1455" s="105" t="n">
        <v>0</v>
      </c>
      <c r="BQ1455" s="105" t="n">
        <v>0</v>
      </c>
      <c r="BR1455" s="106" t="n">
        <v>0.833333333333333</v>
      </c>
      <c r="BS1455" s="106" t="n">
        <v>0.833333333333333</v>
      </c>
      <c r="BT1455" s="107"/>
      <c r="BU1455" s="107"/>
      <c r="BV1455" s="107"/>
      <c r="BW1455" s="107"/>
      <c r="BX1455" s="107"/>
      <c r="BY1455" s="107"/>
      <c r="BZ1455" s="107"/>
      <c r="CA1455" s="107"/>
      <c r="CB1455" s="107"/>
      <c r="CC1455" s="107"/>
      <c r="CD1455" s="107"/>
      <c r="CE1455" s="107"/>
      <c r="CF1455" s="107"/>
      <c r="CG1455" s="107"/>
      <c r="CH1455" s="107"/>
      <c r="CI1455" s="107"/>
      <c r="CJ1455" s="107"/>
      <c r="CK1455" s="107"/>
      <c r="CL1455" s="107"/>
      <c r="CM1455" s="107"/>
      <c r="CN1455" s="107"/>
      <c r="CO1455" s="107"/>
      <c r="CP1455" s="107"/>
      <c r="CQ1455" s="107"/>
      <c r="CR1455" s="107"/>
      <c r="CS1455" s="107"/>
      <c r="CT1455" s="107"/>
      <c r="CU1455" s="107"/>
      <c r="CV1455" s="107"/>
    </row>
    <row r="1456" customFormat="false" ht="14.9" hidden="false" customHeight="false" outlineLevel="0" collapsed="false">
      <c r="A1456" s="74" t="n">
        <f aca="false">MONTH(B1456)</f>
        <v>11</v>
      </c>
      <c r="B1456" s="135" t="n">
        <v>44527</v>
      </c>
      <c r="C1456" s="128" t="s">
        <v>63</v>
      </c>
      <c r="D1456" s="77" t="str">
        <f aca="false">IFERROR(VLOOKUP(E:E,'Item Data Support Sheet'!A:O,7,0),"")</f>
        <v>NIPPLE PUNCH INSPECTED</v>
      </c>
      <c r="E1456" s="80" t="s">
        <v>621</v>
      </c>
      <c r="F1456" s="122"/>
      <c r="G1456" s="137"/>
      <c r="H1456" s="79" t="str">
        <f aca="false">IFERROR(VLOOKUP(E:E,'Item Data Support Sheet'!A:O,2,0),"")</f>
        <v>NIPPLE S TYPE LL SIZE INSPECTED</v>
      </c>
      <c r="I1456" s="80" t="s">
        <v>2253</v>
      </c>
      <c r="J1456" s="80" t="s">
        <v>155</v>
      </c>
      <c r="K1456" s="124" t="n">
        <v>6</v>
      </c>
      <c r="L1456" s="124" t="n">
        <v>14250</v>
      </c>
      <c r="M1456" s="83" t="n">
        <v>2375</v>
      </c>
      <c r="N1456" s="84" t="n">
        <f aca="false">+O1456+Q1456+T1456+U1456</f>
        <v>15500</v>
      </c>
      <c r="O1456" s="85" t="n">
        <v>15183</v>
      </c>
      <c r="P1456" s="86" t="n">
        <v>0</v>
      </c>
      <c r="Q1456" s="86" t="n">
        <v>0</v>
      </c>
      <c r="R1456" s="132" t="n">
        <v>0</v>
      </c>
      <c r="S1456" s="128" t="n">
        <v>0</v>
      </c>
      <c r="T1456" s="132" t="n">
        <v>317</v>
      </c>
      <c r="U1456" s="128" t="n">
        <v>0</v>
      </c>
      <c r="V1456" s="128" t="n">
        <v>2</v>
      </c>
      <c r="W1456" s="90" t="n">
        <f aca="false">IFERROR(O1456/V1456,0)</f>
        <v>7591.5</v>
      </c>
      <c r="X1456" s="91" t="n">
        <f aca="false">O1456/L1456</f>
        <v>1.06547368421053</v>
      </c>
      <c r="Y1456" s="92" t="str">
        <f aca="false">IFERROR(VLOOKUP(E:E,'Item Data Support Sheet'!A:J,6,0),0)</f>
        <v>FO152</v>
      </c>
      <c r="Z1456" s="93" t="n">
        <f aca="false">IFERROR(VLOOKUP(E:E,'Item Data Support Sheet'!A:O,4,0),0)</f>
        <v>0</v>
      </c>
      <c r="AA1456" s="93" t="n">
        <f aca="false">IFERROR(((N1456)*(Z1456/1000))+P1456,0)</f>
        <v>0</v>
      </c>
      <c r="AB1456" s="94" t="str">
        <f aca="false">IFERROR((O1456*(Z1456/1000)/(AA1456))," ")</f>
        <v> </v>
      </c>
      <c r="AC1456" s="95" t="n">
        <f aca="false">IFERROR((T1456)/((T1456)+O1456),0)</f>
        <v>0.0204516129032258</v>
      </c>
      <c r="AD1456" s="96" t="n">
        <f aca="false">IFERROR(Q1456/(Q1456+N1456),0)</f>
        <v>0</v>
      </c>
      <c r="AE1456" s="91" t="n">
        <f aca="false">(N1456-T1456)/N1456</f>
        <v>0.979548387096774</v>
      </c>
      <c r="AF1456" s="97" t="n">
        <f aca="false">BR1456</f>
        <v>0</v>
      </c>
      <c r="AG1456" s="98" t="n">
        <f aca="false">K1456-AF1456</f>
        <v>6</v>
      </c>
      <c r="AH1456" s="99" t="n">
        <f aca="false">IFERROR(AG1456/K1456," ")</f>
        <v>1</v>
      </c>
      <c r="AI1456" s="100" t="n">
        <f aca="false">IFERROR(O1456/K1456,0)</f>
        <v>2530.5</v>
      </c>
      <c r="AJ1456" s="101" t="n">
        <f aca="false">VLOOKUP(D1456,'Standard Cycle time'!C:D,2,0)</f>
        <v>4</v>
      </c>
      <c r="AK1456" s="101" t="n">
        <f aca="false">AG1456*V1456*3600/O1456</f>
        <v>2.8452874925904</v>
      </c>
      <c r="AL1456" s="102" t="n">
        <f aca="false">AJ1456/AK1456</f>
        <v>1.40583333333333</v>
      </c>
      <c r="AM1456" s="99" t="n">
        <f aca="false">AE1456*AL1456*AH1456</f>
        <v>1.37708177419355</v>
      </c>
      <c r="AN1456" s="103" t="n">
        <v>1.37708177419355</v>
      </c>
      <c r="AO1456" s="112"/>
      <c r="AP1456" s="105" t="n">
        <v>0</v>
      </c>
      <c r="AQ1456" s="105" t="n">
        <v>0</v>
      </c>
      <c r="AR1456" s="105" t="n">
        <v>0</v>
      </c>
      <c r="AS1456" s="105" t="n">
        <v>0</v>
      </c>
      <c r="AT1456" s="105" t="n">
        <v>0</v>
      </c>
      <c r="AU1456" s="105" t="n">
        <v>0</v>
      </c>
      <c r="AV1456" s="105" t="n">
        <v>0</v>
      </c>
      <c r="AW1456" s="105" t="n">
        <v>0</v>
      </c>
      <c r="AX1456" s="105" t="n">
        <v>0</v>
      </c>
      <c r="AY1456" s="105" t="n">
        <v>0</v>
      </c>
      <c r="AZ1456" s="105" t="n">
        <v>0</v>
      </c>
      <c r="BA1456" s="105" t="n">
        <v>0</v>
      </c>
      <c r="BB1456" s="105" t="n">
        <v>0</v>
      </c>
      <c r="BC1456" s="105" t="n">
        <v>0</v>
      </c>
      <c r="BD1456" s="105" t="n">
        <v>0</v>
      </c>
      <c r="BE1456" s="105" t="n">
        <v>0</v>
      </c>
      <c r="BF1456" s="105" t="n">
        <v>0</v>
      </c>
      <c r="BG1456" s="105" t="n">
        <v>0</v>
      </c>
      <c r="BH1456" s="105" t="n">
        <v>0</v>
      </c>
      <c r="BI1456" s="105" t="n">
        <v>0</v>
      </c>
      <c r="BJ1456" s="105" t="n">
        <v>0</v>
      </c>
      <c r="BK1456" s="105" t="n">
        <v>0</v>
      </c>
      <c r="BL1456" s="105" t="n">
        <v>0</v>
      </c>
      <c r="BM1456" s="105" t="n">
        <v>0</v>
      </c>
      <c r="BN1456" s="105" t="n">
        <v>0</v>
      </c>
      <c r="BO1456" s="105" t="n">
        <v>0</v>
      </c>
      <c r="BP1456" s="105" t="n">
        <v>0</v>
      </c>
      <c r="BQ1456" s="105" t="n">
        <v>0</v>
      </c>
      <c r="BR1456" s="106" t="n">
        <v>0</v>
      </c>
      <c r="BS1456" s="106" t="n">
        <v>0</v>
      </c>
      <c r="BT1456" s="107"/>
      <c r="BU1456" s="107"/>
      <c r="BV1456" s="107"/>
      <c r="BW1456" s="107"/>
      <c r="BX1456" s="107"/>
      <c r="BY1456" s="107"/>
      <c r="BZ1456" s="107"/>
      <c r="CA1456" s="107"/>
      <c r="CB1456" s="107"/>
      <c r="CC1456" s="107"/>
      <c r="CD1456" s="107"/>
      <c r="CE1456" s="107"/>
      <c r="CF1456" s="107"/>
      <c r="CG1456" s="107"/>
      <c r="CH1456" s="107"/>
      <c r="CI1456" s="107"/>
      <c r="CJ1456" s="107"/>
      <c r="CK1456" s="107"/>
      <c r="CL1456" s="107"/>
      <c r="CM1456" s="107"/>
      <c r="CN1456" s="107"/>
      <c r="CO1456" s="107"/>
      <c r="CP1456" s="107"/>
      <c r="CQ1456" s="107"/>
      <c r="CR1456" s="107"/>
      <c r="CS1456" s="107"/>
      <c r="CT1456" s="107"/>
      <c r="CU1456" s="107"/>
      <c r="CV1456" s="107"/>
    </row>
    <row r="1457" customFormat="false" ht="14.9" hidden="false" customHeight="false" outlineLevel="0" collapsed="false">
      <c r="A1457" s="74" t="n">
        <f aca="false">MONTH(B1457)</f>
        <v>11</v>
      </c>
      <c r="B1457" s="135" t="n">
        <v>44527</v>
      </c>
      <c r="C1457" s="128" t="s">
        <v>70</v>
      </c>
      <c r="D1457" s="77" t="str">
        <f aca="false">IFERROR(VLOOKUP(E:E,'Item Data Support Sheet'!A:O,7,0),"")</f>
        <v>NIPPLE PUNCH</v>
      </c>
      <c r="E1457" s="80" t="s">
        <v>666</v>
      </c>
      <c r="F1457" s="122"/>
      <c r="G1457" s="137" t="s">
        <v>54</v>
      </c>
      <c r="H1457" s="79" t="str">
        <f aca="false">IFERROR(VLOOKUP(E:E,'Item Data Support Sheet'!A:O,2,0),"")</f>
        <v>NIPPLE S TYPE L SIZE PUNCHED</v>
      </c>
      <c r="I1457" s="80" t="s">
        <v>2254</v>
      </c>
      <c r="J1457" s="80" t="s">
        <v>155</v>
      </c>
      <c r="K1457" s="124" t="n">
        <v>8</v>
      </c>
      <c r="L1457" s="124" t="n">
        <v>7000</v>
      </c>
      <c r="M1457" s="83" t="n">
        <v>875</v>
      </c>
      <c r="N1457" s="84" t="n">
        <f aca="false">+O1457+Q1457+T1457+U1457</f>
        <v>7000</v>
      </c>
      <c r="O1457" s="85" t="n">
        <v>7000</v>
      </c>
      <c r="P1457" s="86" t="n">
        <v>0</v>
      </c>
      <c r="Q1457" s="86" t="n">
        <v>0</v>
      </c>
      <c r="R1457" s="132" t="n">
        <v>0</v>
      </c>
      <c r="S1457" s="128" t="n">
        <v>0</v>
      </c>
      <c r="T1457" s="132" t="n">
        <v>0</v>
      </c>
      <c r="U1457" s="128" t="n">
        <v>0</v>
      </c>
      <c r="V1457" s="128" t="n">
        <v>1</v>
      </c>
      <c r="W1457" s="90" t="n">
        <f aca="false">IFERROR(O1457/V1457,0)</f>
        <v>7000</v>
      </c>
      <c r="X1457" s="91" t="n">
        <f aca="false">O1457/L1457</f>
        <v>1</v>
      </c>
      <c r="Y1457" s="92" t="str">
        <f aca="false">IFERROR(VLOOKUP(E:E,'Item Data Support Sheet'!A:J,6,0),0)</f>
        <v>FO017</v>
      </c>
      <c r="Z1457" s="93" t="n">
        <f aca="false">IFERROR(VLOOKUP(E:E,'Item Data Support Sheet'!A:O,4,0),0)</f>
        <v>0</v>
      </c>
      <c r="AA1457" s="93" t="n">
        <f aca="false">IFERROR(((N1457)*(Z1457/1000))+P1457,0)</f>
        <v>0</v>
      </c>
      <c r="AB1457" s="94" t="str">
        <f aca="false">IFERROR((O1457*(Z1457/1000)/(AA1457))," ")</f>
        <v> </v>
      </c>
      <c r="AC1457" s="95" t="n">
        <f aca="false">IFERROR((T1457)/((T1457)+O1457),0)</f>
        <v>0</v>
      </c>
      <c r="AD1457" s="96" t="n">
        <f aca="false">IFERROR(Q1457/(Q1457+N1457),0)</f>
        <v>0</v>
      </c>
      <c r="AE1457" s="91" t="n">
        <f aca="false">(N1457-T1457)/N1457</f>
        <v>1</v>
      </c>
      <c r="AF1457" s="97" t="n">
        <f aca="false">BR1457</f>
        <v>0.666666666666667</v>
      </c>
      <c r="AG1457" s="98" t="n">
        <f aca="false">K1457-AF1457</f>
        <v>7.33333333333333</v>
      </c>
      <c r="AH1457" s="99" t="n">
        <f aca="false">IFERROR(AG1457/K1457," ")</f>
        <v>0.916666666666667</v>
      </c>
      <c r="AI1457" s="100" t="n">
        <f aca="false">IFERROR(O1457/K1457,0)</f>
        <v>875</v>
      </c>
      <c r="AJ1457" s="101" t="n">
        <f aca="false">VLOOKUP(D1457,'Standard Cycle time'!C:D,2,0)</f>
        <v>3.5</v>
      </c>
      <c r="AK1457" s="101" t="n">
        <f aca="false">AG1457*V1457*3600/O1457</f>
        <v>3.77142857142857</v>
      </c>
      <c r="AL1457" s="102" t="n">
        <f aca="false">AJ1457/AK1457</f>
        <v>0.928030303030303</v>
      </c>
      <c r="AM1457" s="99" t="n">
        <f aca="false">AE1457*AL1457*AH1457</f>
        <v>0.850694444444444</v>
      </c>
      <c r="AN1457" s="103" t="n">
        <v>0.850694444444444</v>
      </c>
      <c r="AO1457" s="112"/>
      <c r="AP1457" s="105" t="n">
        <v>40</v>
      </c>
      <c r="AQ1457" s="105" t="n">
        <v>0</v>
      </c>
      <c r="AR1457" s="105" t="n">
        <v>0</v>
      </c>
      <c r="AS1457" s="105" t="n">
        <v>0</v>
      </c>
      <c r="AT1457" s="105" t="n">
        <v>0</v>
      </c>
      <c r="AU1457" s="105" t="n">
        <v>0</v>
      </c>
      <c r="AV1457" s="105" t="n">
        <v>0</v>
      </c>
      <c r="AW1457" s="105" t="n">
        <v>0</v>
      </c>
      <c r="AX1457" s="105" t="n">
        <v>0</v>
      </c>
      <c r="AY1457" s="105" t="n">
        <v>0</v>
      </c>
      <c r="AZ1457" s="105" t="n">
        <v>0</v>
      </c>
      <c r="BA1457" s="105" t="n">
        <v>0</v>
      </c>
      <c r="BB1457" s="105" t="n">
        <v>0</v>
      </c>
      <c r="BC1457" s="105" t="n">
        <v>0</v>
      </c>
      <c r="BD1457" s="105" t="n">
        <v>0</v>
      </c>
      <c r="BE1457" s="105" t="n">
        <v>0</v>
      </c>
      <c r="BF1457" s="105" t="n">
        <v>0</v>
      </c>
      <c r="BG1457" s="105" t="n">
        <v>0</v>
      </c>
      <c r="BH1457" s="105" t="n">
        <v>0</v>
      </c>
      <c r="BI1457" s="105" t="n">
        <v>0</v>
      </c>
      <c r="BJ1457" s="105" t="n">
        <v>0</v>
      </c>
      <c r="BK1457" s="105" t="n">
        <v>0</v>
      </c>
      <c r="BL1457" s="105" t="n">
        <v>0</v>
      </c>
      <c r="BM1457" s="105" t="n">
        <v>0</v>
      </c>
      <c r="BN1457" s="105" t="n">
        <v>0</v>
      </c>
      <c r="BO1457" s="105" t="n">
        <v>0</v>
      </c>
      <c r="BP1457" s="105" t="n">
        <v>0</v>
      </c>
      <c r="BQ1457" s="105" t="n">
        <v>0</v>
      </c>
      <c r="BR1457" s="106" t="n">
        <v>0.666666666666667</v>
      </c>
      <c r="BS1457" s="106" t="n">
        <v>0.666666666666667</v>
      </c>
      <c r="BT1457" s="107"/>
      <c r="BU1457" s="107"/>
      <c r="BV1457" s="107"/>
      <c r="BW1457" s="107"/>
      <c r="BX1457" s="107"/>
      <c r="BY1457" s="107"/>
      <c r="BZ1457" s="107"/>
      <c r="CA1457" s="107"/>
      <c r="CB1457" s="107"/>
      <c r="CC1457" s="107"/>
      <c r="CD1457" s="107"/>
      <c r="CE1457" s="107"/>
      <c r="CF1457" s="107"/>
      <c r="CG1457" s="107"/>
      <c r="CH1457" s="107"/>
      <c r="CI1457" s="107"/>
      <c r="CJ1457" s="107"/>
      <c r="CK1457" s="107"/>
      <c r="CL1457" s="107"/>
      <c r="CM1457" s="107"/>
      <c r="CN1457" s="107"/>
      <c r="CO1457" s="107"/>
      <c r="CP1457" s="107"/>
      <c r="CQ1457" s="107"/>
      <c r="CR1457" s="107"/>
      <c r="CS1457" s="107"/>
      <c r="CT1457" s="107"/>
      <c r="CU1457" s="107"/>
      <c r="CV1457" s="107"/>
    </row>
    <row r="1458" customFormat="false" ht="14.9" hidden="false" customHeight="false" outlineLevel="0" collapsed="false">
      <c r="A1458" s="74" t="n">
        <f aca="false">MONTH(B1458)</f>
        <v>11</v>
      </c>
      <c r="B1458" s="135" t="n">
        <v>44527</v>
      </c>
      <c r="C1458" s="128" t="s">
        <v>70</v>
      </c>
      <c r="D1458" s="77" t="str">
        <f aca="false">IFERROR(VLOOKUP(E:E,'Item Data Support Sheet'!A:O,7,0),"")</f>
        <v>NIPPLE LASER MARKING</v>
      </c>
      <c r="E1458" s="80" t="s">
        <v>681</v>
      </c>
      <c r="F1458" s="122"/>
      <c r="G1458" s="137" t="s">
        <v>517</v>
      </c>
      <c r="H1458" s="79" t="str">
        <f aca="false">IFERROR(VLOOKUP(E:E,'Item Data Support Sheet'!A:O,2,0),"")</f>
        <v>NIPPLE S TYPE L SIZE PUNCHED LASER MARKED</v>
      </c>
      <c r="I1458" s="80" t="s">
        <v>2255</v>
      </c>
      <c r="J1458" s="80" t="s">
        <v>155</v>
      </c>
      <c r="K1458" s="124" t="n">
        <v>8</v>
      </c>
      <c r="L1458" s="124" t="n">
        <v>7000</v>
      </c>
      <c r="M1458" s="83" t="n">
        <v>875</v>
      </c>
      <c r="N1458" s="84" t="n">
        <f aca="false">+O1458+Q1458+T1458+U1458</f>
        <v>7200</v>
      </c>
      <c r="O1458" s="85" t="n">
        <v>7200</v>
      </c>
      <c r="P1458" s="86" t="n">
        <v>0</v>
      </c>
      <c r="Q1458" s="86" t="n">
        <v>0</v>
      </c>
      <c r="R1458" s="132" t="n">
        <v>0</v>
      </c>
      <c r="S1458" s="128" t="n">
        <v>0</v>
      </c>
      <c r="T1458" s="132" t="n">
        <v>0</v>
      </c>
      <c r="U1458" s="128" t="n">
        <v>0</v>
      </c>
      <c r="V1458" s="128" t="n">
        <v>1</v>
      </c>
      <c r="W1458" s="90" t="n">
        <f aca="false">IFERROR(O1458/V1458,0)</f>
        <v>7200</v>
      </c>
      <c r="X1458" s="91" t="n">
        <f aca="false">O1458/L1458</f>
        <v>1.02857142857143</v>
      </c>
      <c r="Y1458" s="92" t="str">
        <f aca="false">IFERROR(VLOOKUP(E:E,'Item Data Support Sheet'!A:J,6,0),0)</f>
        <v>FO021</v>
      </c>
      <c r="Z1458" s="93" t="n">
        <f aca="false">IFERROR(VLOOKUP(E:E,'Item Data Support Sheet'!A:O,4,0),0)</f>
        <v>0</v>
      </c>
      <c r="AA1458" s="93" t="n">
        <f aca="false">IFERROR(((N1458)*(Z1458/1000))+P1458,0)</f>
        <v>0</v>
      </c>
      <c r="AB1458" s="94" t="str">
        <f aca="false">IFERROR((O1458*(Z1458/1000)/(AA1458))," ")</f>
        <v> </v>
      </c>
      <c r="AC1458" s="95" t="n">
        <f aca="false">IFERROR((T1458)/((T1458)+O1458),0)</f>
        <v>0</v>
      </c>
      <c r="AD1458" s="96" t="n">
        <f aca="false">IFERROR(Q1458/(Q1458+N1458),0)</f>
        <v>0</v>
      </c>
      <c r="AE1458" s="91" t="n">
        <f aca="false">(N1458-T1458)/N1458</f>
        <v>1</v>
      </c>
      <c r="AF1458" s="97" t="n">
        <f aca="false">BR1458</f>
        <v>0.666666666666667</v>
      </c>
      <c r="AG1458" s="98" t="n">
        <f aca="false">K1458-AF1458</f>
        <v>7.33333333333333</v>
      </c>
      <c r="AH1458" s="99" t="n">
        <f aca="false">IFERROR(AG1458/K1458," ")</f>
        <v>0.916666666666667</v>
      </c>
      <c r="AI1458" s="100" t="n">
        <f aca="false">IFERROR(O1458/K1458,0)</f>
        <v>900</v>
      </c>
      <c r="AJ1458" s="101" t="n">
        <f aca="false">VLOOKUP(D1458,'Standard Cycle time'!C:D,2,0)</f>
        <v>3.5</v>
      </c>
      <c r="AK1458" s="101" t="n">
        <f aca="false">AG1458*V1458*3600/O1458</f>
        <v>3.66666666666667</v>
      </c>
      <c r="AL1458" s="102" t="n">
        <f aca="false">AJ1458/AK1458</f>
        <v>0.954545454545455</v>
      </c>
      <c r="AM1458" s="99" t="n">
        <f aca="false">AE1458*AL1458*AH1458</f>
        <v>0.875</v>
      </c>
      <c r="AN1458" s="103" t="n">
        <v>0.875</v>
      </c>
      <c r="AO1458" s="112"/>
      <c r="AP1458" s="105" t="n">
        <v>40</v>
      </c>
      <c r="AQ1458" s="105" t="n">
        <v>0</v>
      </c>
      <c r="AR1458" s="105" t="n">
        <v>0</v>
      </c>
      <c r="AS1458" s="105" t="n">
        <v>0</v>
      </c>
      <c r="AT1458" s="105" t="n">
        <v>0</v>
      </c>
      <c r="AU1458" s="105" t="n">
        <v>0</v>
      </c>
      <c r="AV1458" s="105" t="n">
        <v>0</v>
      </c>
      <c r="AW1458" s="105" t="n">
        <v>0</v>
      </c>
      <c r="AX1458" s="105" t="n">
        <v>0</v>
      </c>
      <c r="AY1458" s="105" t="n">
        <v>0</v>
      </c>
      <c r="AZ1458" s="105" t="n">
        <v>0</v>
      </c>
      <c r="BA1458" s="105" t="n">
        <v>0</v>
      </c>
      <c r="BB1458" s="105" t="n">
        <v>0</v>
      </c>
      <c r="BC1458" s="105" t="n">
        <v>0</v>
      </c>
      <c r="BD1458" s="105" t="n">
        <v>0</v>
      </c>
      <c r="BE1458" s="105" t="n">
        <v>0</v>
      </c>
      <c r="BF1458" s="105" t="n">
        <v>0</v>
      </c>
      <c r="BG1458" s="105" t="n">
        <v>0</v>
      </c>
      <c r="BH1458" s="105" t="n">
        <v>0</v>
      </c>
      <c r="BI1458" s="105" t="n">
        <v>0</v>
      </c>
      <c r="BJ1458" s="105" t="n">
        <v>0</v>
      </c>
      <c r="BK1458" s="105" t="n">
        <v>0</v>
      </c>
      <c r="BL1458" s="105" t="n">
        <v>0</v>
      </c>
      <c r="BM1458" s="105" t="n">
        <v>0</v>
      </c>
      <c r="BN1458" s="105" t="n">
        <v>0</v>
      </c>
      <c r="BO1458" s="105" t="n">
        <v>0</v>
      </c>
      <c r="BP1458" s="105" t="n">
        <v>0</v>
      </c>
      <c r="BQ1458" s="105" t="n">
        <v>0</v>
      </c>
      <c r="BR1458" s="106" t="n">
        <v>0.666666666666667</v>
      </c>
      <c r="BS1458" s="106" t="n">
        <v>0.666666666666667</v>
      </c>
      <c r="BT1458" s="107"/>
      <c r="BU1458" s="107"/>
      <c r="BV1458" s="107"/>
      <c r="BW1458" s="107"/>
      <c r="BX1458" s="107"/>
      <c r="BY1458" s="107"/>
      <c r="BZ1458" s="107"/>
      <c r="CA1458" s="107"/>
      <c r="CB1458" s="107"/>
      <c r="CC1458" s="107"/>
      <c r="CD1458" s="107"/>
      <c r="CE1458" s="107"/>
      <c r="CF1458" s="107"/>
      <c r="CG1458" s="107"/>
      <c r="CH1458" s="107"/>
      <c r="CI1458" s="107"/>
      <c r="CJ1458" s="107"/>
      <c r="CK1458" s="107"/>
      <c r="CL1458" s="107"/>
      <c r="CM1458" s="107"/>
      <c r="CN1458" s="107"/>
      <c r="CO1458" s="107"/>
      <c r="CP1458" s="107"/>
      <c r="CQ1458" s="107"/>
      <c r="CR1458" s="107"/>
      <c r="CS1458" s="107"/>
      <c r="CT1458" s="107"/>
      <c r="CU1458" s="107"/>
      <c r="CV1458" s="107"/>
    </row>
    <row r="1459" customFormat="false" ht="14.9" hidden="false" customHeight="false" outlineLevel="0" collapsed="false">
      <c r="A1459" s="74" t="n">
        <f aca="false">MONTH(B1459)</f>
        <v>11</v>
      </c>
      <c r="B1459" s="135" t="n">
        <v>44527</v>
      </c>
      <c r="C1459" s="128" t="s">
        <v>70</v>
      </c>
      <c r="D1459" s="77" t="str">
        <f aca="false">IFERROR(VLOOKUP(E:E,'Item Data Support Sheet'!A:O,7,0),"")</f>
        <v>CAP MOLDED</v>
      </c>
      <c r="E1459" s="80" t="s">
        <v>261</v>
      </c>
      <c r="F1459" s="122" t="s">
        <v>2161</v>
      </c>
      <c r="G1459" s="137" t="s">
        <v>740</v>
      </c>
      <c r="H1459" s="79" t="str">
        <f aca="false">IFERROR(VLOOKUP(E:E,'Item Data Support Sheet'!A:O,2,0),"")</f>
        <v>CAP S TYPE MOLDED PINK</v>
      </c>
      <c r="I1459" s="80" t="s">
        <v>2256</v>
      </c>
      <c r="J1459" s="80" t="s">
        <v>155</v>
      </c>
      <c r="K1459" s="124" t="n">
        <v>8</v>
      </c>
      <c r="L1459" s="124" t="n">
        <v>4137</v>
      </c>
      <c r="M1459" s="83" t="n">
        <v>517.125</v>
      </c>
      <c r="N1459" s="84" t="n">
        <f aca="false">+O1459+Q1459+T1459+U1459</f>
        <v>4612</v>
      </c>
      <c r="O1459" s="85" t="n">
        <v>4600</v>
      </c>
      <c r="P1459" s="86" t="n">
        <v>0.2</v>
      </c>
      <c r="Q1459" s="86" t="n">
        <v>4</v>
      </c>
      <c r="R1459" s="132" t="n">
        <v>0</v>
      </c>
      <c r="S1459" s="128" t="n">
        <v>0</v>
      </c>
      <c r="T1459" s="132" t="n">
        <v>8</v>
      </c>
      <c r="U1459" s="128" t="n">
        <v>0</v>
      </c>
      <c r="V1459" s="128" t="n">
        <v>1</v>
      </c>
      <c r="W1459" s="90" t="n">
        <f aca="false">IFERROR(O1459/V1459,0)</f>
        <v>4600</v>
      </c>
      <c r="X1459" s="91" t="n">
        <f aca="false">O1459/L1459</f>
        <v>1.11191684795746</v>
      </c>
      <c r="Y1459" s="92" t="str">
        <f aca="false">IFERROR(VLOOKUP(E:E,'Item Data Support Sheet'!A:J,6,0),0)</f>
        <v>RM000123</v>
      </c>
      <c r="Z1459" s="93" t="n">
        <f aca="false">IFERROR(VLOOKUP(E:E,'Item Data Support Sheet'!A:O,4,0),0)</f>
        <v>7.3</v>
      </c>
      <c r="AA1459" s="93" t="n">
        <f aca="false">IFERROR(((N1459)*(Z1459/1000))+P1459,0)</f>
        <v>33.8676</v>
      </c>
      <c r="AB1459" s="94" t="n">
        <f aca="false">IFERROR((O1459*(Z1459/1000)/(AA1459))," ")</f>
        <v>0.991508108044266</v>
      </c>
      <c r="AC1459" s="95" t="n">
        <f aca="false">IFERROR((T1459)/((T1459)+O1459),0)</f>
        <v>0.00173611111111111</v>
      </c>
      <c r="AD1459" s="96" t="n">
        <f aca="false">IFERROR(Q1459/(Q1459+N1459),0)</f>
        <v>0.000866551126516464</v>
      </c>
      <c r="AE1459" s="91" t="n">
        <f aca="false">(N1459-T1459)/N1459</f>
        <v>0.998265394622723</v>
      </c>
      <c r="AF1459" s="97" t="n">
        <f aca="false">BR1459</f>
        <v>0</v>
      </c>
      <c r="AG1459" s="98" t="n">
        <f aca="false">K1459-AF1459</f>
        <v>8</v>
      </c>
      <c r="AH1459" s="99" t="n">
        <f aca="false">IFERROR(AG1459/K1459," ")</f>
        <v>1</v>
      </c>
      <c r="AI1459" s="100" t="n">
        <f aca="false">IFERROR(O1459/K1459,0)</f>
        <v>575</v>
      </c>
      <c r="AJ1459" s="101" t="n">
        <f aca="false">VLOOKUP(D1459,'Standard Cycle time'!C:D,2,0)</f>
        <v>6</v>
      </c>
      <c r="AK1459" s="101" t="n">
        <f aca="false">AG1459*V1459*3600/O1459</f>
        <v>6.26086956521739</v>
      </c>
      <c r="AL1459" s="102" t="n">
        <f aca="false">AJ1459/AK1459</f>
        <v>0.958333333333333</v>
      </c>
      <c r="AM1459" s="99" t="n">
        <f aca="false">AE1459*AL1459*AH1459</f>
        <v>0.95667100318011</v>
      </c>
      <c r="AN1459" s="103" t="n">
        <v>0.95667100318011</v>
      </c>
      <c r="AO1459" s="112"/>
      <c r="AP1459" s="105" t="n">
        <v>0</v>
      </c>
      <c r="AQ1459" s="105" t="n">
        <v>0</v>
      </c>
      <c r="AR1459" s="105" t="n">
        <v>0</v>
      </c>
      <c r="AS1459" s="105" t="n">
        <v>0</v>
      </c>
      <c r="AT1459" s="105" t="n">
        <v>0</v>
      </c>
      <c r="AU1459" s="105" t="n">
        <v>0</v>
      </c>
      <c r="AV1459" s="105" t="n">
        <v>0</v>
      </c>
      <c r="AW1459" s="105" t="n">
        <v>0</v>
      </c>
      <c r="AX1459" s="105" t="n">
        <v>0</v>
      </c>
      <c r="AY1459" s="105" t="n">
        <v>0</v>
      </c>
      <c r="AZ1459" s="105" t="n">
        <v>0</v>
      </c>
      <c r="BA1459" s="105" t="n">
        <v>0</v>
      </c>
      <c r="BB1459" s="105" t="n">
        <v>0</v>
      </c>
      <c r="BC1459" s="105" t="n">
        <v>0</v>
      </c>
      <c r="BD1459" s="105" t="n">
        <v>0</v>
      </c>
      <c r="BE1459" s="105" t="n">
        <v>0</v>
      </c>
      <c r="BF1459" s="105" t="n">
        <v>0</v>
      </c>
      <c r="BG1459" s="105" t="n">
        <v>0</v>
      </c>
      <c r="BH1459" s="105" t="n">
        <v>0</v>
      </c>
      <c r="BI1459" s="105" t="n">
        <v>0</v>
      </c>
      <c r="BJ1459" s="105" t="n">
        <v>0</v>
      </c>
      <c r="BK1459" s="105" t="n">
        <v>0</v>
      </c>
      <c r="BL1459" s="105" t="n">
        <v>0</v>
      </c>
      <c r="BM1459" s="105" t="n">
        <v>0</v>
      </c>
      <c r="BN1459" s="105" t="n">
        <v>0</v>
      </c>
      <c r="BO1459" s="105" t="n">
        <v>0</v>
      </c>
      <c r="BP1459" s="105" t="n">
        <v>0</v>
      </c>
      <c r="BQ1459" s="105" t="n">
        <v>0</v>
      </c>
      <c r="BR1459" s="106" t="n">
        <v>0</v>
      </c>
      <c r="BS1459" s="106" t="n">
        <v>0</v>
      </c>
      <c r="BT1459" s="107"/>
      <c r="BU1459" s="107"/>
      <c r="BV1459" s="107"/>
      <c r="BW1459" s="107"/>
      <c r="BX1459" s="107"/>
      <c r="BY1459" s="107"/>
      <c r="BZ1459" s="107"/>
      <c r="CA1459" s="107"/>
      <c r="CB1459" s="107"/>
      <c r="CC1459" s="107"/>
      <c r="CD1459" s="107"/>
      <c r="CE1459" s="107"/>
      <c r="CF1459" s="107"/>
      <c r="CG1459" s="107"/>
      <c r="CH1459" s="107"/>
      <c r="CI1459" s="107"/>
      <c r="CJ1459" s="107"/>
      <c r="CK1459" s="107"/>
      <c r="CL1459" s="107"/>
      <c r="CM1459" s="107"/>
      <c r="CN1459" s="107"/>
      <c r="CO1459" s="107"/>
      <c r="CP1459" s="107"/>
      <c r="CQ1459" s="107"/>
      <c r="CR1459" s="107"/>
      <c r="CS1459" s="107"/>
      <c r="CT1459" s="107"/>
      <c r="CU1459" s="107"/>
      <c r="CV1459" s="107"/>
      <c r="CZ1459" s="0" t="n">
        <v>52.56</v>
      </c>
    </row>
    <row r="1460" customFormat="false" ht="14.9" hidden="false" customHeight="false" outlineLevel="0" collapsed="false">
      <c r="A1460" s="74" t="n">
        <f aca="false">MONTH(B1460)</f>
        <v>11</v>
      </c>
      <c r="B1460" s="135" t="n">
        <v>44527</v>
      </c>
      <c r="C1460" s="128" t="s">
        <v>70</v>
      </c>
      <c r="D1460" s="77" t="str">
        <f aca="false">IFERROR(VLOOKUP(E:E,'Item Data Support Sheet'!A:O,7,0),"")</f>
        <v>NIPPLE MOLDED</v>
      </c>
      <c r="E1460" s="80" t="s">
        <v>661</v>
      </c>
      <c r="F1460" s="122" t="s">
        <v>137</v>
      </c>
      <c r="G1460" s="137" t="s">
        <v>138</v>
      </c>
      <c r="H1460" s="79" t="str">
        <f aca="false">IFERROR(VLOOKUP(E:E,'Item Data Support Sheet'!A:O,2,0),"")</f>
        <v>NIPPLE S TYPE L SIZE INJECTION</v>
      </c>
      <c r="I1460" s="80" t="s">
        <v>2257</v>
      </c>
      <c r="J1460" s="80" t="s">
        <v>155</v>
      </c>
      <c r="K1460" s="124" t="n">
        <v>8</v>
      </c>
      <c r="L1460" s="124" t="n">
        <v>4815</v>
      </c>
      <c r="M1460" s="83" t="n">
        <v>601.875</v>
      </c>
      <c r="N1460" s="84" t="n">
        <f aca="false">+O1460+Q1460+T1460+U1460</f>
        <v>4690</v>
      </c>
      <c r="O1460" s="85" t="n">
        <v>4500</v>
      </c>
      <c r="P1460" s="86" t="n">
        <v>8.8</v>
      </c>
      <c r="Q1460" s="86" t="n">
        <v>110</v>
      </c>
      <c r="R1460" s="132" t="n">
        <v>0</v>
      </c>
      <c r="S1460" s="128" t="n">
        <v>0</v>
      </c>
      <c r="T1460" s="132" t="n">
        <v>80</v>
      </c>
      <c r="U1460" s="128" t="n">
        <v>0</v>
      </c>
      <c r="V1460" s="128" t="n">
        <v>1</v>
      </c>
      <c r="W1460" s="90" t="n">
        <f aca="false">IFERROR(O1460/V1460,0)</f>
        <v>4500</v>
      </c>
      <c r="X1460" s="91" t="n">
        <f aca="false">O1460/L1460</f>
        <v>0.934579439252336</v>
      </c>
      <c r="Y1460" s="92" t="str">
        <f aca="false">IFERROR(VLOOKUP(E:E,'Item Data Support Sheet'!A:J,6,0),0)</f>
        <v>Silicon</v>
      </c>
      <c r="Z1460" s="93" t="n">
        <f aca="false">IFERROR(VLOOKUP(E:E,'Item Data Support Sheet'!A:O,4,0),0)</f>
        <v>6.8</v>
      </c>
      <c r="AA1460" s="93" t="n">
        <f aca="false">IFERROR(((N1460)*(Z1460/1000))+P1460,0)</f>
        <v>40.692</v>
      </c>
      <c r="AB1460" s="94" t="n">
        <f aca="false">IFERROR((O1460*(Z1460/1000)/(AA1460))," ")</f>
        <v>0.751990563255677</v>
      </c>
      <c r="AC1460" s="95" t="n">
        <f aca="false">IFERROR((T1460)/((T1460)+O1460),0)</f>
        <v>0.0174672489082969</v>
      </c>
      <c r="AD1460" s="96" t="n">
        <f aca="false">IFERROR(Q1460/(Q1460+N1460),0)</f>
        <v>0.0229166666666667</v>
      </c>
      <c r="AE1460" s="91" t="n">
        <f aca="false">(N1460-T1460)/N1460</f>
        <v>0.982942430703625</v>
      </c>
      <c r="AF1460" s="97" t="n">
        <f aca="false">BR1460</f>
        <v>1.5</v>
      </c>
      <c r="AG1460" s="98" t="n">
        <f aca="false">K1460-AF1460</f>
        <v>6.5</v>
      </c>
      <c r="AH1460" s="99" t="n">
        <f aca="false">IFERROR(AG1460/K1460," ")</f>
        <v>0.8125</v>
      </c>
      <c r="AI1460" s="100" t="n">
        <f aca="false">IFERROR(O1460/K1460,0)</f>
        <v>562.5</v>
      </c>
      <c r="AJ1460" s="101" t="n">
        <f aca="false">VLOOKUP(D1460,'Standard Cycle time'!C:D,2,0)</f>
        <v>5.25</v>
      </c>
      <c r="AK1460" s="101" t="n">
        <f aca="false">AG1460*V1460*3600/O1460</f>
        <v>5.2</v>
      </c>
      <c r="AL1460" s="102" t="n">
        <f aca="false">AJ1460/AK1460</f>
        <v>1.00961538461538</v>
      </c>
      <c r="AM1460" s="99" t="n">
        <f aca="false">AE1460*AL1460*AH1460</f>
        <v>0.806319962686567</v>
      </c>
      <c r="AN1460" s="103" t="n">
        <v>0.806319962686567</v>
      </c>
      <c r="AO1460" s="112" t="s">
        <v>2258</v>
      </c>
      <c r="AP1460" s="105" t="n">
        <v>0</v>
      </c>
      <c r="AQ1460" s="105" t="n">
        <v>0</v>
      </c>
      <c r="AR1460" s="105" t="n">
        <v>0</v>
      </c>
      <c r="AS1460" s="105" t="n">
        <v>0</v>
      </c>
      <c r="AT1460" s="105" t="n">
        <v>0</v>
      </c>
      <c r="AU1460" s="105" t="n">
        <v>30</v>
      </c>
      <c r="AV1460" s="105" t="n">
        <v>0</v>
      </c>
      <c r="AW1460" s="105" t="n">
        <v>0</v>
      </c>
      <c r="AX1460" s="105" t="n">
        <v>60</v>
      </c>
      <c r="AY1460" s="105" t="n">
        <v>0</v>
      </c>
      <c r="AZ1460" s="105" t="n">
        <v>0</v>
      </c>
      <c r="BA1460" s="105" t="n">
        <v>0</v>
      </c>
      <c r="BB1460" s="105" t="n">
        <v>0</v>
      </c>
      <c r="BC1460" s="105" t="n">
        <v>0</v>
      </c>
      <c r="BD1460" s="105" t="n">
        <v>0</v>
      </c>
      <c r="BE1460" s="105" t="n">
        <v>0</v>
      </c>
      <c r="BF1460" s="105" t="n">
        <v>0</v>
      </c>
      <c r="BG1460" s="105" t="n">
        <v>0</v>
      </c>
      <c r="BH1460" s="105" t="n">
        <v>0</v>
      </c>
      <c r="BI1460" s="105" t="n">
        <v>0</v>
      </c>
      <c r="BJ1460" s="105" t="n">
        <v>0</v>
      </c>
      <c r="BK1460" s="105" t="n">
        <v>0</v>
      </c>
      <c r="BL1460" s="105" t="n">
        <v>0</v>
      </c>
      <c r="BM1460" s="105" t="n">
        <v>0</v>
      </c>
      <c r="BN1460" s="105" t="n">
        <v>0</v>
      </c>
      <c r="BO1460" s="105" t="n">
        <v>0</v>
      </c>
      <c r="BP1460" s="105" t="n">
        <v>0</v>
      </c>
      <c r="BQ1460" s="105" t="n">
        <v>0</v>
      </c>
      <c r="BR1460" s="106" t="n">
        <v>1.5</v>
      </c>
      <c r="BS1460" s="106" t="n">
        <v>1.5</v>
      </c>
      <c r="BT1460" s="107"/>
      <c r="BU1460" s="107"/>
      <c r="BV1460" s="107"/>
      <c r="BW1460" s="107"/>
      <c r="BX1460" s="107"/>
      <c r="BY1460" s="107"/>
      <c r="BZ1460" s="107"/>
      <c r="CA1460" s="107"/>
      <c r="CB1460" s="107"/>
      <c r="CC1460" s="107"/>
      <c r="CD1460" s="107"/>
      <c r="CE1460" s="107"/>
      <c r="CF1460" s="107"/>
      <c r="CG1460" s="107"/>
      <c r="CH1460" s="107"/>
      <c r="CI1460" s="107"/>
      <c r="CJ1460" s="107"/>
      <c r="CK1460" s="107"/>
      <c r="CL1460" s="107"/>
      <c r="CM1460" s="107"/>
      <c r="CN1460" s="107"/>
      <c r="CO1460" s="107"/>
      <c r="CP1460" s="107"/>
      <c r="CQ1460" s="107"/>
      <c r="CR1460" s="107"/>
      <c r="CS1460" s="107"/>
      <c r="CT1460" s="107"/>
      <c r="CU1460" s="107"/>
      <c r="CV1460" s="107"/>
    </row>
    <row r="1461" customFormat="false" ht="14.9" hidden="false" customHeight="false" outlineLevel="0" collapsed="false">
      <c r="A1461" s="74" t="n">
        <f aca="false">MONTH(B1461)</f>
        <v>11</v>
      </c>
      <c r="B1461" s="135" t="n">
        <v>44527</v>
      </c>
      <c r="C1461" s="128" t="s">
        <v>70</v>
      </c>
      <c r="D1461" s="77" t="str">
        <f aca="false">IFERROR(VLOOKUP(E:E,'Item Data Support Sheet'!A:O,7,0),"")</f>
        <v>NIPPLE MOLDED</v>
      </c>
      <c r="E1461" s="80" t="s">
        <v>809</v>
      </c>
      <c r="F1461" s="122" t="s">
        <v>1286</v>
      </c>
      <c r="G1461" s="137" t="s">
        <v>848</v>
      </c>
      <c r="H1461" s="79" t="str">
        <f aca="false">IFERROR(VLOOKUP(E:E,'Item Data Support Sheet'!A:O,2,0),"")</f>
        <v>NIPPLE S TYPE Y SIZE INJECTION</v>
      </c>
      <c r="I1461" s="80" t="s">
        <v>2257</v>
      </c>
      <c r="J1461" s="80" t="s">
        <v>155</v>
      </c>
      <c r="K1461" s="124" t="n">
        <v>8</v>
      </c>
      <c r="L1461" s="124" t="n">
        <v>3611</v>
      </c>
      <c r="M1461" s="83" t="n">
        <v>451.375</v>
      </c>
      <c r="N1461" s="84" t="n">
        <f aca="false">+O1461+Q1461+T1461+U1461</f>
        <v>2666</v>
      </c>
      <c r="O1461" s="85" t="n">
        <v>2400</v>
      </c>
      <c r="P1461" s="86" t="n">
        <v>0</v>
      </c>
      <c r="Q1461" s="86" t="n">
        <v>160</v>
      </c>
      <c r="R1461" s="132" t="n">
        <v>0</v>
      </c>
      <c r="S1461" s="128" t="n">
        <v>0</v>
      </c>
      <c r="T1461" s="132" t="n">
        <v>106</v>
      </c>
      <c r="U1461" s="128" t="n">
        <v>0</v>
      </c>
      <c r="V1461" s="128" t="n">
        <v>1</v>
      </c>
      <c r="W1461" s="90" t="n">
        <f aca="false">IFERROR(O1461/V1461,0)</f>
        <v>2400</v>
      </c>
      <c r="X1461" s="91" t="n">
        <f aca="false">O1461/L1461</f>
        <v>0.664635834948768</v>
      </c>
      <c r="Y1461" s="92" t="str">
        <f aca="false">IFERROR(VLOOKUP(E:E,'Item Data Support Sheet'!A:J,6,0),0)</f>
        <v>Silicon</v>
      </c>
      <c r="Z1461" s="93" t="n">
        <f aca="false">IFERROR(VLOOKUP(E:E,'Item Data Support Sheet'!A:O,4,0),0)</f>
        <v>6.8</v>
      </c>
      <c r="AA1461" s="93" t="n">
        <f aca="false">IFERROR(((N1461)*(Z1461/1000))+P1461,0)</f>
        <v>18.1288</v>
      </c>
      <c r="AB1461" s="94" t="n">
        <f aca="false">IFERROR((O1461*(Z1461/1000)/(AA1461))," ")</f>
        <v>0.900225056264066</v>
      </c>
      <c r="AC1461" s="95" t="n">
        <f aca="false">IFERROR((T1461)/((T1461)+O1461),0)</f>
        <v>0.0422984836392658</v>
      </c>
      <c r="AD1461" s="96" t="n">
        <f aca="false">IFERROR(Q1461/(Q1461+N1461),0)</f>
        <v>0.0566171266808209</v>
      </c>
      <c r="AE1461" s="91" t="n">
        <f aca="false">(N1461-T1461)/N1461</f>
        <v>0.960240060015004</v>
      </c>
      <c r="AF1461" s="97" t="n">
        <f aca="false">BR1461</f>
        <v>0</v>
      </c>
      <c r="AG1461" s="98" t="n">
        <f aca="false">K1461-AF1461</f>
        <v>8</v>
      </c>
      <c r="AH1461" s="99" t="n">
        <f aca="false">IFERROR(AG1461/K1461," ")</f>
        <v>1</v>
      </c>
      <c r="AI1461" s="100" t="n">
        <f aca="false">IFERROR(O1461/K1461,0)</f>
        <v>300</v>
      </c>
      <c r="AJ1461" s="101" t="n">
        <f aca="false">VLOOKUP(D1461,'Standard Cycle time'!C:D,2,0)</f>
        <v>5.25</v>
      </c>
      <c r="AK1461" s="101" t="n">
        <f aca="false">AG1461*V1461*3600/O1461</f>
        <v>12</v>
      </c>
      <c r="AL1461" s="102" t="n">
        <f aca="false">AJ1461/AK1461</f>
        <v>0.4375</v>
      </c>
      <c r="AM1461" s="99" t="n">
        <f aca="false">AE1461*AL1461*AH1461</f>
        <v>0.420105026256564</v>
      </c>
      <c r="AN1461" s="103" t="n">
        <v>0.420105026256564</v>
      </c>
      <c r="AO1461" s="112" t="s">
        <v>2259</v>
      </c>
      <c r="AP1461" s="105" t="n">
        <v>0</v>
      </c>
      <c r="AQ1461" s="105" t="n">
        <v>0</v>
      </c>
      <c r="AR1461" s="105" t="n">
        <v>0</v>
      </c>
      <c r="AS1461" s="105" t="n">
        <v>0</v>
      </c>
      <c r="AT1461" s="105" t="n">
        <v>0</v>
      </c>
      <c r="AU1461" s="105" t="n">
        <v>0</v>
      </c>
      <c r="AV1461" s="105" t="n">
        <v>0</v>
      </c>
      <c r="AW1461" s="105" t="n">
        <v>0</v>
      </c>
      <c r="AX1461" s="105" t="n">
        <v>0</v>
      </c>
      <c r="AY1461" s="105" t="n">
        <v>0</v>
      </c>
      <c r="AZ1461" s="105" t="n">
        <v>0</v>
      </c>
      <c r="BA1461" s="105" t="n">
        <v>0</v>
      </c>
      <c r="BB1461" s="105" t="n">
        <v>0</v>
      </c>
      <c r="BC1461" s="105" t="n">
        <v>0</v>
      </c>
      <c r="BD1461" s="105" t="n">
        <v>0</v>
      </c>
      <c r="BE1461" s="105" t="n">
        <v>0</v>
      </c>
      <c r="BF1461" s="105" t="n">
        <v>0</v>
      </c>
      <c r="BG1461" s="105" t="n">
        <v>0</v>
      </c>
      <c r="BH1461" s="105" t="n">
        <v>0</v>
      </c>
      <c r="BI1461" s="105" t="n">
        <v>0</v>
      </c>
      <c r="BJ1461" s="105" t="n">
        <v>0</v>
      </c>
      <c r="BK1461" s="105" t="n">
        <v>0</v>
      </c>
      <c r="BL1461" s="105" t="n">
        <v>0</v>
      </c>
      <c r="BM1461" s="105" t="n">
        <v>0</v>
      </c>
      <c r="BN1461" s="105" t="n">
        <v>0</v>
      </c>
      <c r="BO1461" s="105" t="n">
        <v>0</v>
      </c>
      <c r="BP1461" s="105" t="n">
        <v>0</v>
      </c>
      <c r="BQ1461" s="105" t="n">
        <v>0</v>
      </c>
      <c r="BR1461" s="106" t="n">
        <v>0</v>
      </c>
      <c r="BS1461" s="106" t="n">
        <v>0</v>
      </c>
      <c r="BT1461" s="107"/>
      <c r="BU1461" s="107"/>
      <c r="BV1461" s="107"/>
      <c r="BW1461" s="107"/>
      <c r="BX1461" s="107"/>
      <c r="BY1461" s="107"/>
      <c r="BZ1461" s="107"/>
      <c r="CA1461" s="107"/>
      <c r="CB1461" s="107"/>
      <c r="CC1461" s="107"/>
      <c r="CD1461" s="107"/>
      <c r="CE1461" s="107"/>
      <c r="CF1461" s="107"/>
      <c r="CG1461" s="107"/>
      <c r="CH1461" s="107"/>
      <c r="CI1461" s="107"/>
      <c r="CJ1461" s="107"/>
      <c r="CK1461" s="107"/>
      <c r="CL1461" s="107"/>
      <c r="CM1461" s="107"/>
      <c r="CN1461" s="107"/>
      <c r="CO1461" s="107"/>
      <c r="CP1461" s="107"/>
      <c r="CQ1461" s="107"/>
      <c r="CR1461" s="107"/>
      <c r="CS1461" s="107"/>
      <c r="CT1461" s="107"/>
      <c r="CU1461" s="107"/>
      <c r="CV1461" s="107"/>
    </row>
    <row r="1462" customFormat="false" ht="14.9" hidden="false" customHeight="false" outlineLevel="0" collapsed="false">
      <c r="A1462" s="74" t="n">
        <f aca="false">MONTH(B1462)</f>
        <v>11</v>
      </c>
      <c r="B1462" s="135" t="n">
        <v>44527</v>
      </c>
      <c r="C1462" s="128" t="s">
        <v>70</v>
      </c>
      <c r="D1462" s="77" t="str">
        <f aca="false">IFERROR(VLOOKUP(E:E,'Item Data Support Sheet'!A:O,7,0),"")</f>
        <v>BOTTLE MOLDED</v>
      </c>
      <c r="E1462" s="80" t="s">
        <v>357</v>
      </c>
      <c r="F1462" s="122" t="s">
        <v>216</v>
      </c>
      <c r="G1462" s="137" t="s">
        <v>80</v>
      </c>
      <c r="H1462" s="79" t="str">
        <f aca="false">IFERROR(VLOOKUP(E:E,'Item Data Support Sheet'!A:O,2,0),"")</f>
        <v>KPP 120 ML BOTTLE MOLDED</v>
      </c>
      <c r="I1462" s="80" t="s">
        <v>2260</v>
      </c>
      <c r="J1462" s="80" t="s">
        <v>155</v>
      </c>
      <c r="K1462" s="124" t="n">
        <v>8</v>
      </c>
      <c r="L1462" s="124" t="n">
        <v>2574</v>
      </c>
      <c r="M1462" s="83" t="n">
        <v>321.75</v>
      </c>
      <c r="N1462" s="84" t="n">
        <f aca="false">+O1462+Q1462+T1462+U1462</f>
        <v>2250</v>
      </c>
      <c r="O1462" s="85" t="n">
        <v>2160</v>
      </c>
      <c r="P1462" s="86" t="n">
        <v>0</v>
      </c>
      <c r="Q1462" s="86" t="n">
        <v>55</v>
      </c>
      <c r="R1462" s="132" t="n">
        <v>0</v>
      </c>
      <c r="S1462" s="128" t="n">
        <v>0</v>
      </c>
      <c r="T1462" s="132" t="n">
        <v>35</v>
      </c>
      <c r="U1462" s="128" t="n">
        <v>0</v>
      </c>
      <c r="V1462" s="128" t="n">
        <v>1</v>
      </c>
      <c r="W1462" s="90" t="n">
        <f aca="false">IFERROR(O1462/V1462,0)</f>
        <v>2160</v>
      </c>
      <c r="X1462" s="91" t="n">
        <f aca="false">O1462/L1462</f>
        <v>0.839160839160839</v>
      </c>
      <c r="Y1462" s="92" t="str">
        <f aca="false">IFERROR(VLOOKUP(E:E,'Item Data Support Sheet'!A:J,6,0),0)</f>
        <v>HMC</v>
      </c>
      <c r="Z1462" s="93" t="n">
        <f aca="false">IFERROR(VLOOKUP(E:E,'Item Data Support Sheet'!A:O,4,0),0)</f>
        <v>21.3</v>
      </c>
      <c r="AA1462" s="93" t="n">
        <f aca="false">IFERROR(((N1462)*(Z1462/1000))+P1462,0)</f>
        <v>47.925</v>
      </c>
      <c r="AB1462" s="94" t="n">
        <f aca="false">IFERROR((O1462*(Z1462/1000)/(AA1462))," ")</f>
        <v>0.96</v>
      </c>
      <c r="AC1462" s="95" t="n">
        <f aca="false">IFERROR((T1462)/((T1462)+O1462),0)</f>
        <v>0.0159453302961276</v>
      </c>
      <c r="AD1462" s="96" t="n">
        <f aca="false">IFERROR(Q1462/(Q1462+N1462),0)</f>
        <v>0.0238611713665944</v>
      </c>
      <c r="AE1462" s="91" t="n">
        <f aca="false">(N1462-T1462)/N1462</f>
        <v>0.984444444444444</v>
      </c>
      <c r="AF1462" s="97" t="n">
        <f aca="false">BR1462</f>
        <v>0</v>
      </c>
      <c r="AG1462" s="98" t="n">
        <f aca="false">K1462-AF1462</f>
        <v>8</v>
      </c>
      <c r="AH1462" s="99" t="n">
        <f aca="false">IFERROR(AG1462/K1462," ")</f>
        <v>1</v>
      </c>
      <c r="AI1462" s="100" t="n">
        <f aca="false">IFERROR(O1462/K1462,0)</f>
        <v>270</v>
      </c>
      <c r="AJ1462" s="101" t="n">
        <f aca="false">VLOOKUP(D1462,'Standard Cycle time'!C:D,2,0)</f>
        <v>9</v>
      </c>
      <c r="AK1462" s="101" t="n">
        <f aca="false">AG1462*V1462*3600/O1462</f>
        <v>13.3333333333333</v>
      </c>
      <c r="AL1462" s="102" t="n">
        <f aca="false">AJ1462/AK1462</f>
        <v>0.675</v>
      </c>
      <c r="AM1462" s="99" t="n">
        <f aca="false">AE1462*AL1462*AH1462</f>
        <v>0.6645</v>
      </c>
      <c r="AN1462" s="103" t="n">
        <v>0.6645</v>
      </c>
      <c r="AO1462" s="112"/>
      <c r="AP1462" s="105" t="n">
        <v>0</v>
      </c>
      <c r="AQ1462" s="105" t="n">
        <v>0</v>
      </c>
      <c r="AR1462" s="105" t="n">
        <v>0</v>
      </c>
      <c r="AS1462" s="105" t="n">
        <v>0</v>
      </c>
      <c r="AT1462" s="105" t="n">
        <v>0</v>
      </c>
      <c r="AU1462" s="105" t="n">
        <v>0</v>
      </c>
      <c r="AV1462" s="105" t="n">
        <v>0</v>
      </c>
      <c r="AW1462" s="105" t="n">
        <v>0</v>
      </c>
      <c r="AX1462" s="105" t="n">
        <v>0</v>
      </c>
      <c r="AY1462" s="105" t="n">
        <v>0</v>
      </c>
      <c r="AZ1462" s="105" t="n">
        <v>0</v>
      </c>
      <c r="BA1462" s="105" t="n">
        <v>0</v>
      </c>
      <c r="BB1462" s="105" t="n">
        <v>0</v>
      </c>
      <c r="BC1462" s="105" t="n">
        <v>0</v>
      </c>
      <c r="BD1462" s="105" t="n">
        <v>0</v>
      </c>
      <c r="BE1462" s="105" t="n">
        <v>0</v>
      </c>
      <c r="BF1462" s="105" t="n">
        <v>0</v>
      </c>
      <c r="BG1462" s="105" t="n">
        <v>0</v>
      </c>
      <c r="BH1462" s="105" t="n">
        <v>0</v>
      </c>
      <c r="BI1462" s="105" t="n">
        <v>0</v>
      </c>
      <c r="BJ1462" s="105" t="n">
        <v>0</v>
      </c>
      <c r="BK1462" s="105" t="n">
        <v>0</v>
      </c>
      <c r="BL1462" s="105" t="n">
        <v>0</v>
      </c>
      <c r="BM1462" s="105" t="n">
        <v>0</v>
      </c>
      <c r="BN1462" s="105" t="n">
        <v>0</v>
      </c>
      <c r="BO1462" s="105" t="n">
        <v>0</v>
      </c>
      <c r="BP1462" s="105" t="n">
        <v>0</v>
      </c>
      <c r="BQ1462" s="105" t="n">
        <v>0</v>
      </c>
      <c r="BR1462" s="106" t="n">
        <v>0</v>
      </c>
      <c r="BS1462" s="106" t="n">
        <v>0</v>
      </c>
      <c r="BT1462" s="107"/>
      <c r="BU1462" s="107"/>
      <c r="BV1462" s="107"/>
      <c r="BW1462" s="107"/>
      <c r="BX1462" s="107"/>
      <c r="BY1462" s="107"/>
      <c r="BZ1462" s="107"/>
      <c r="CA1462" s="107"/>
      <c r="CB1462" s="107"/>
      <c r="CC1462" s="107"/>
      <c r="CD1462" s="107"/>
      <c r="CE1462" s="107"/>
      <c r="CF1462" s="107"/>
      <c r="CG1462" s="107"/>
      <c r="CH1462" s="107"/>
      <c r="CI1462" s="107"/>
      <c r="CJ1462" s="107"/>
      <c r="CK1462" s="107"/>
      <c r="CL1462" s="107"/>
      <c r="CM1462" s="107"/>
      <c r="CN1462" s="107"/>
      <c r="CO1462" s="107"/>
      <c r="CP1462" s="107"/>
      <c r="CQ1462" s="107"/>
      <c r="CR1462" s="107"/>
      <c r="CS1462" s="107"/>
      <c r="CT1462" s="107"/>
      <c r="CU1462" s="107"/>
      <c r="CV1462" s="107"/>
    </row>
    <row r="1463" customFormat="false" ht="14.9" hidden="false" customHeight="false" outlineLevel="0" collapsed="false">
      <c r="A1463" s="74" t="n">
        <f aca="false">MONTH(B1463)</f>
        <v>11</v>
      </c>
      <c r="B1463" s="135" t="n">
        <v>44527</v>
      </c>
      <c r="C1463" s="128" t="s">
        <v>70</v>
      </c>
      <c r="D1463" s="77" t="str">
        <f aca="false">IFERROR(VLOOKUP(E:E,'Item Data Support Sheet'!A:O,7,0),"")</f>
        <v>BOTTLE MOLDED</v>
      </c>
      <c r="E1463" s="80" t="s">
        <v>235</v>
      </c>
      <c r="F1463" s="122" t="s">
        <v>589</v>
      </c>
      <c r="G1463" s="137" t="s">
        <v>74</v>
      </c>
      <c r="H1463" s="79" t="str">
        <f aca="false">IFERROR(VLOOKUP(E:E,'Item Data Support Sheet'!A:O,2,0),"")</f>
        <v>KPP 200 ML BOTTLE MOLDED</v>
      </c>
      <c r="I1463" s="80" t="s">
        <v>2245</v>
      </c>
      <c r="J1463" s="80" t="s">
        <v>155</v>
      </c>
      <c r="K1463" s="124" t="n">
        <v>8</v>
      </c>
      <c r="L1463" s="124" t="n">
        <v>2574</v>
      </c>
      <c r="M1463" s="83" t="n">
        <v>321.75</v>
      </c>
      <c r="N1463" s="84" t="n">
        <f aca="false">+O1463+Q1463+T1463+U1463</f>
        <v>3280</v>
      </c>
      <c r="O1463" s="85" t="n">
        <v>3240</v>
      </c>
      <c r="P1463" s="86" t="n">
        <v>0</v>
      </c>
      <c r="Q1463" s="86" t="n">
        <v>0</v>
      </c>
      <c r="R1463" s="132" t="n">
        <v>0</v>
      </c>
      <c r="S1463" s="128" t="n">
        <v>0</v>
      </c>
      <c r="T1463" s="132" t="n">
        <v>40</v>
      </c>
      <c r="U1463" s="128" t="n">
        <v>0</v>
      </c>
      <c r="V1463" s="128" t="n">
        <v>1</v>
      </c>
      <c r="W1463" s="90" t="n">
        <f aca="false">IFERROR(O1463/V1463,0)</f>
        <v>3240</v>
      </c>
      <c r="X1463" s="91" t="n">
        <f aca="false">O1463/L1463</f>
        <v>1.25874125874126</v>
      </c>
      <c r="Y1463" s="92" t="str">
        <f aca="false">IFERROR(VLOOKUP(E:E,'Item Data Support Sheet'!A:J,6,0),0)</f>
        <v>HMC</v>
      </c>
      <c r="Z1463" s="93" t="n">
        <f aca="false">IFERROR(VLOOKUP(E:E,'Item Data Support Sheet'!A:O,4,0),0)</f>
        <v>28.1</v>
      </c>
      <c r="AA1463" s="93" t="n">
        <f aca="false">IFERROR(((N1463)*(Z1463/1000))+P1463,0)</f>
        <v>92.168</v>
      </c>
      <c r="AB1463" s="94" t="n">
        <f aca="false">IFERROR((O1463*(Z1463/1000)/(AA1463))," ")</f>
        <v>0.98780487804878</v>
      </c>
      <c r="AC1463" s="95" t="n">
        <f aca="false">IFERROR((T1463)/((T1463)+O1463),0)</f>
        <v>0.0121951219512195</v>
      </c>
      <c r="AD1463" s="96" t="n">
        <f aca="false">IFERROR(Q1463/(Q1463+N1463),0)</f>
        <v>0</v>
      </c>
      <c r="AE1463" s="91" t="n">
        <f aca="false">(N1463-T1463)/N1463</f>
        <v>0.98780487804878</v>
      </c>
      <c r="AF1463" s="97" t="n">
        <f aca="false">BR1463</f>
        <v>0</v>
      </c>
      <c r="AG1463" s="98" t="n">
        <f aca="false">K1463-AF1463</f>
        <v>8</v>
      </c>
      <c r="AH1463" s="99" t="n">
        <f aca="false">IFERROR(AG1463/K1463," ")</f>
        <v>1</v>
      </c>
      <c r="AI1463" s="100" t="n">
        <f aca="false">IFERROR(O1463/K1463,0)</f>
        <v>405</v>
      </c>
      <c r="AJ1463" s="101" t="n">
        <f aca="false">VLOOKUP(D1463,'Standard Cycle time'!C:D,2,0)</f>
        <v>9</v>
      </c>
      <c r="AK1463" s="101" t="n">
        <f aca="false">AG1463*V1463*3600/O1463</f>
        <v>8.88888888888889</v>
      </c>
      <c r="AL1463" s="102" t="n">
        <f aca="false">AJ1463/AK1463</f>
        <v>1.0125</v>
      </c>
      <c r="AM1463" s="99" t="n">
        <f aca="false">AE1463*AL1463*AH1463</f>
        <v>1.00015243902439</v>
      </c>
      <c r="AN1463" s="103" t="n">
        <v>1.00015243902439</v>
      </c>
      <c r="AO1463" s="112"/>
      <c r="AP1463" s="105" t="n">
        <v>0</v>
      </c>
      <c r="AQ1463" s="105" t="n">
        <v>0</v>
      </c>
      <c r="AR1463" s="105" t="n">
        <v>0</v>
      </c>
      <c r="AS1463" s="105" t="n">
        <v>0</v>
      </c>
      <c r="AT1463" s="105" t="n">
        <v>0</v>
      </c>
      <c r="AU1463" s="105" t="n">
        <v>0</v>
      </c>
      <c r="AV1463" s="105" t="n">
        <v>0</v>
      </c>
      <c r="AW1463" s="105" t="n">
        <v>0</v>
      </c>
      <c r="AX1463" s="105" t="n">
        <v>0</v>
      </c>
      <c r="AY1463" s="105" t="n">
        <v>0</v>
      </c>
      <c r="AZ1463" s="105" t="n">
        <v>0</v>
      </c>
      <c r="BA1463" s="105" t="n">
        <v>0</v>
      </c>
      <c r="BB1463" s="105" t="n">
        <v>0</v>
      </c>
      <c r="BC1463" s="105" t="n">
        <v>0</v>
      </c>
      <c r="BD1463" s="105" t="n">
        <v>0</v>
      </c>
      <c r="BE1463" s="105" t="n">
        <v>0</v>
      </c>
      <c r="BF1463" s="105" t="n">
        <v>0</v>
      </c>
      <c r="BG1463" s="105" t="n">
        <v>0</v>
      </c>
      <c r="BH1463" s="105" t="n">
        <v>0</v>
      </c>
      <c r="BI1463" s="105" t="n">
        <v>0</v>
      </c>
      <c r="BJ1463" s="105" t="n">
        <v>0</v>
      </c>
      <c r="BK1463" s="105" t="n">
        <v>0</v>
      </c>
      <c r="BL1463" s="105" t="n">
        <v>0</v>
      </c>
      <c r="BM1463" s="105" t="n">
        <v>0</v>
      </c>
      <c r="BN1463" s="105" t="n">
        <v>0</v>
      </c>
      <c r="BO1463" s="105" t="n">
        <v>0</v>
      </c>
      <c r="BP1463" s="105" t="n">
        <v>0</v>
      </c>
      <c r="BQ1463" s="105" t="n">
        <v>0</v>
      </c>
      <c r="BR1463" s="106" t="n">
        <v>0</v>
      </c>
      <c r="BS1463" s="106" t="n">
        <v>0</v>
      </c>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c r="CO1463" s="107"/>
      <c r="CP1463" s="107"/>
      <c r="CQ1463" s="107"/>
      <c r="CR1463" s="107"/>
      <c r="CS1463" s="107"/>
      <c r="CT1463" s="107"/>
      <c r="CU1463" s="107"/>
      <c r="CV1463" s="107"/>
    </row>
    <row r="1464" customFormat="false" ht="14.9" hidden="false" customHeight="false" outlineLevel="0" collapsed="false">
      <c r="A1464" s="74" t="n">
        <f aca="false">MONTH(B1464)</f>
        <v>11</v>
      </c>
      <c r="B1464" s="135" t="n">
        <v>44527</v>
      </c>
      <c r="C1464" s="128" t="s">
        <v>152</v>
      </c>
      <c r="D1464" s="77" t="str">
        <f aca="false">IFERROR(VLOOKUP(E:E,'Item Data Support Sheet'!A:O,7,0),"")</f>
        <v>NIPPLE PUNCH</v>
      </c>
      <c r="E1464" s="80" t="s">
        <v>666</v>
      </c>
      <c r="F1464" s="122"/>
      <c r="G1464" s="137" t="s">
        <v>54</v>
      </c>
      <c r="H1464" s="79" t="str">
        <f aca="false">IFERROR(VLOOKUP(E:E,'Item Data Support Sheet'!A:O,2,0),"")</f>
        <v>NIPPLE S TYPE L SIZE PUNCHED</v>
      </c>
      <c r="I1464" s="80" t="s">
        <v>2261</v>
      </c>
      <c r="J1464" s="80" t="s">
        <v>1913</v>
      </c>
      <c r="K1464" s="124" t="n">
        <v>8</v>
      </c>
      <c r="L1464" s="124" t="n">
        <v>7000</v>
      </c>
      <c r="M1464" s="83" t="n">
        <v>875</v>
      </c>
      <c r="N1464" s="84" t="n">
        <f aca="false">+O1464+Q1464+T1464+U1464</f>
        <v>6500</v>
      </c>
      <c r="O1464" s="85" t="n">
        <v>6500</v>
      </c>
      <c r="P1464" s="86" t="n">
        <v>0</v>
      </c>
      <c r="Q1464" s="86" t="n">
        <v>0</v>
      </c>
      <c r="R1464" s="132" t="n">
        <v>0</v>
      </c>
      <c r="S1464" s="128" t="n">
        <v>0</v>
      </c>
      <c r="T1464" s="132" t="n">
        <v>0</v>
      </c>
      <c r="U1464" s="128" t="n">
        <v>0</v>
      </c>
      <c r="V1464" s="128" t="n">
        <v>1</v>
      </c>
      <c r="W1464" s="90" t="n">
        <f aca="false">IFERROR(O1464/V1464,0)</f>
        <v>6500</v>
      </c>
      <c r="X1464" s="91" t="n">
        <f aca="false">O1464/L1464</f>
        <v>0.928571428571429</v>
      </c>
      <c r="Y1464" s="92" t="str">
        <f aca="false">IFERROR(VLOOKUP(E:E,'Item Data Support Sheet'!A:J,6,0),0)</f>
        <v>FO017</v>
      </c>
      <c r="Z1464" s="93" t="n">
        <f aca="false">IFERROR(VLOOKUP(E:E,'Item Data Support Sheet'!A:O,4,0),0)</f>
        <v>0</v>
      </c>
      <c r="AA1464" s="93" t="n">
        <f aca="false">IFERROR(((N1464)*(Z1464/1000))+P1464,0)</f>
        <v>0</v>
      </c>
      <c r="AB1464" s="94" t="str">
        <f aca="false">IFERROR((O1464*(Z1464/1000)/(AA1464))," ")</f>
        <v> </v>
      </c>
      <c r="AC1464" s="95" t="n">
        <f aca="false">IFERROR((T1464)/((T1464)+O1464),0)</f>
        <v>0</v>
      </c>
      <c r="AD1464" s="96" t="n">
        <f aca="false">IFERROR(Q1464/(Q1464+N1464),0)</f>
        <v>0</v>
      </c>
      <c r="AE1464" s="91" t="n">
        <f aca="false">(N1464-T1464)/N1464</f>
        <v>1</v>
      </c>
      <c r="AF1464" s="97" t="n">
        <f aca="false">BR1464</f>
        <v>0.333333333333333</v>
      </c>
      <c r="AG1464" s="98" t="n">
        <f aca="false">K1464-AF1464</f>
        <v>7.66666666666667</v>
      </c>
      <c r="AH1464" s="99" t="n">
        <f aca="false">IFERROR(AG1464/K1464," ")</f>
        <v>0.958333333333333</v>
      </c>
      <c r="AI1464" s="100" t="n">
        <f aca="false">IFERROR(O1464/K1464,0)</f>
        <v>812.5</v>
      </c>
      <c r="AJ1464" s="101" t="n">
        <f aca="false">VLOOKUP(D1464,'Standard Cycle time'!C:D,2,0)</f>
        <v>3.5</v>
      </c>
      <c r="AK1464" s="101" t="n">
        <f aca="false">AG1464*V1464*3600/O1464</f>
        <v>4.24615384615385</v>
      </c>
      <c r="AL1464" s="102" t="n">
        <f aca="false">AJ1464/AK1464</f>
        <v>0.82427536231884</v>
      </c>
      <c r="AM1464" s="99" t="n">
        <f aca="false">AE1464*AL1464*AH1464</f>
        <v>0.789930555555556</v>
      </c>
      <c r="AN1464" s="103" t="n">
        <v>0.789930555555556</v>
      </c>
      <c r="AO1464" s="112"/>
      <c r="AP1464" s="105" t="n">
        <v>20</v>
      </c>
      <c r="AQ1464" s="105" t="n">
        <v>0</v>
      </c>
      <c r="AR1464" s="105" t="n">
        <v>0</v>
      </c>
      <c r="AS1464" s="105" t="n">
        <v>0</v>
      </c>
      <c r="AT1464" s="105" t="n">
        <v>0</v>
      </c>
      <c r="AU1464" s="105" t="n">
        <v>0</v>
      </c>
      <c r="AV1464" s="105" t="n">
        <v>0</v>
      </c>
      <c r="AW1464" s="105" t="n">
        <v>0</v>
      </c>
      <c r="AX1464" s="105" t="n">
        <v>0</v>
      </c>
      <c r="AY1464" s="105" t="n">
        <v>0</v>
      </c>
      <c r="AZ1464" s="105" t="n">
        <v>0</v>
      </c>
      <c r="BA1464" s="105" t="n">
        <v>0</v>
      </c>
      <c r="BB1464" s="105" t="n">
        <v>0</v>
      </c>
      <c r="BC1464" s="105" t="n">
        <v>0</v>
      </c>
      <c r="BD1464" s="105" t="n">
        <v>0</v>
      </c>
      <c r="BE1464" s="105" t="n">
        <v>0</v>
      </c>
      <c r="BF1464" s="105" t="n">
        <v>0</v>
      </c>
      <c r="BG1464" s="105" t="n">
        <v>0</v>
      </c>
      <c r="BH1464" s="105" t="n">
        <v>0</v>
      </c>
      <c r="BI1464" s="105" t="n">
        <v>0</v>
      </c>
      <c r="BJ1464" s="105" t="n">
        <v>0</v>
      </c>
      <c r="BK1464" s="105" t="n">
        <v>0</v>
      </c>
      <c r="BL1464" s="105" t="n">
        <v>0</v>
      </c>
      <c r="BM1464" s="105" t="n">
        <v>0</v>
      </c>
      <c r="BN1464" s="105" t="n">
        <v>0</v>
      </c>
      <c r="BO1464" s="105" t="n">
        <v>0</v>
      </c>
      <c r="BP1464" s="105" t="n">
        <v>0</v>
      </c>
      <c r="BQ1464" s="105" t="n">
        <v>0</v>
      </c>
      <c r="BR1464" s="106" t="n">
        <v>0.333333333333333</v>
      </c>
      <c r="BS1464" s="106" t="n">
        <v>0.333333333333333</v>
      </c>
      <c r="BT1464" s="107"/>
      <c r="BU1464" s="107"/>
      <c r="BV1464" s="107"/>
      <c r="BW1464" s="107"/>
      <c r="BX1464" s="107"/>
      <c r="BY1464" s="107"/>
      <c r="BZ1464" s="107"/>
      <c r="CA1464" s="107"/>
      <c r="CB1464" s="107"/>
      <c r="CC1464" s="107"/>
      <c r="CD1464" s="107"/>
      <c r="CE1464" s="107"/>
      <c r="CF1464" s="107"/>
      <c r="CG1464" s="107"/>
      <c r="CH1464" s="107"/>
      <c r="CI1464" s="107"/>
      <c r="CJ1464" s="107"/>
      <c r="CK1464" s="107"/>
      <c r="CL1464" s="107"/>
      <c r="CM1464" s="107"/>
      <c r="CN1464" s="107"/>
      <c r="CO1464" s="107"/>
      <c r="CP1464" s="107"/>
      <c r="CQ1464" s="107"/>
      <c r="CR1464" s="107"/>
      <c r="CS1464" s="107"/>
      <c r="CT1464" s="107"/>
      <c r="CU1464" s="107"/>
      <c r="CV1464" s="107"/>
    </row>
    <row r="1465" customFormat="false" ht="14.9" hidden="false" customHeight="false" outlineLevel="0" collapsed="false">
      <c r="A1465" s="74" t="n">
        <f aca="false">MONTH(B1465)</f>
        <v>11</v>
      </c>
      <c r="B1465" s="135" t="n">
        <v>44527</v>
      </c>
      <c r="C1465" s="128" t="s">
        <v>152</v>
      </c>
      <c r="D1465" s="77" t="str">
        <f aca="false">IFERROR(VLOOKUP(E:E,'Item Data Support Sheet'!A:O,7,0),"")</f>
        <v>NIPPLE LASER MARKING</v>
      </c>
      <c r="E1465" s="80" t="s">
        <v>681</v>
      </c>
      <c r="F1465" s="122"/>
      <c r="G1465" s="137" t="s">
        <v>517</v>
      </c>
      <c r="H1465" s="79" t="str">
        <f aca="false">IFERROR(VLOOKUP(E:E,'Item Data Support Sheet'!A:O,2,0),"")</f>
        <v>NIPPLE S TYPE L SIZE PUNCHED LASER MARKED</v>
      </c>
      <c r="I1465" s="80" t="s">
        <v>2262</v>
      </c>
      <c r="J1465" s="80" t="s">
        <v>1913</v>
      </c>
      <c r="K1465" s="124" t="n">
        <v>8</v>
      </c>
      <c r="L1465" s="124" t="n">
        <v>7000</v>
      </c>
      <c r="M1465" s="83" t="n">
        <v>875</v>
      </c>
      <c r="N1465" s="84" t="n">
        <f aca="false">+O1465+Q1465+T1465+U1465</f>
        <v>6000</v>
      </c>
      <c r="O1465" s="85" t="n">
        <v>6000</v>
      </c>
      <c r="P1465" s="86" t="n">
        <v>0</v>
      </c>
      <c r="Q1465" s="86" t="n">
        <v>0</v>
      </c>
      <c r="R1465" s="132" t="n">
        <v>0</v>
      </c>
      <c r="S1465" s="128" t="n">
        <v>0</v>
      </c>
      <c r="T1465" s="132" t="n">
        <v>0</v>
      </c>
      <c r="U1465" s="128" t="n">
        <v>0</v>
      </c>
      <c r="V1465" s="128" t="n">
        <v>1</v>
      </c>
      <c r="W1465" s="90" t="n">
        <f aca="false">IFERROR(O1465/V1465,0)</f>
        <v>6000</v>
      </c>
      <c r="X1465" s="91" t="n">
        <f aca="false">O1465/L1465</f>
        <v>0.857142857142857</v>
      </c>
      <c r="Y1465" s="92" t="str">
        <f aca="false">IFERROR(VLOOKUP(E:E,'Item Data Support Sheet'!A:J,6,0),0)</f>
        <v>FO021</v>
      </c>
      <c r="Z1465" s="93" t="n">
        <f aca="false">IFERROR(VLOOKUP(E:E,'Item Data Support Sheet'!A:O,4,0),0)</f>
        <v>0</v>
      </c>
      <c r="AA1465" s="93" t="n">
        <f aca="false">IFERROR(((N1465)*(Z1465/1000))+P1465,0)</f>
        <v>0</v>
      </c>
      <c r="AB1465" s="94" t="str">
        <f aca="false">IFERROR((O1465*(Z1465/1000)/(AA1465))," ")</f>
        <v> </v>
      </c>
      <c r="AC1465" s="95" t="n">
        <f aca="false">IFERROR((T1465)/((T1465)+O1465),0)</f>
        <v>0</v>
      </c>
      <c r="AD1465" s="96" t="n">
        <f aca="false">IFERROR(Q1465/(Q1465+N1465),0)</f>
        <v>0</v>
      </c>
      <c r="AE1465" s="91" t="n">
        <f aca="false">(N1465-T1465)/N1465</f>
        <v>1</v>
      </c>
      <c r="AF1465" s="97" t="n">
        <f aca="false">BR1465</f>
        <v>0.333333333333333</v>
      </c>
      <c r="AG1465" s="98" t="n">
        <f aca="false">K1465-AF1465</f>
        <v>7.66666666666667</v>
      </c>
      <c r="AH1465" s="99" t="n">
        <f aca="false">IFERROR(AG1465/K1465," ")</f>
        <v>0.958333333333333</v>
      </c>
      <c r="AI1465" s="100" t="n">
        <f aca="false">IFERROR(O1465/K1465,0)</f>
        <v>750</v>
      </c>
      <c r="AJ1465" s="101" t="n">
        <f aca="false">VLOOKUP(D1465,'Standard Cycle time'!C:D,2,0)</f>
        <v>3.5</v>
      </c>
      <c r="AK1465" s="101" t="n">
        <f aca="false">AG1465*V1465*3600/O1465</f>
        <v>4.6</v>
      </c>
      <c r="AL1465" s="102" t="n">
        <f aca="false">AJ1465/AK1465</f>
        <v>0.760869565217391</v>
      </c>
      <c r="AM1465" s="99" t="n">
        <f aca="false">AE1465*AL1465*AH1465</f>
        <v>0.729166666666667</v>
      </c>
      <c r="AN1465" s="103" t="n">
        <v>0.729166666666667</v>
      </c>
      <c r="AO1465" s="112"/>
      <c r="AP1465" s="105" t="n">
        <v>20</v>
      </c>
      <c r="AQ1465" s="105" t="n">
        <v>0</v>
      </c>
      <c r="AR1465" s="105" t="n">
        <v>0</v>
      </c>
      <c r="AS1465" s="105" t="n">
        <v>0</v>
      </c>
      <c r="AT1465" s="105" t="n">
        <v>0</v>
      </c>
      <c r="AU1465" s="105" t="n">
        <v>0</v>
      </c>
      <c r="AV1465" s="105" t="n">
        <v>0</v>
      </c>
      <c r="AW1465" s="105" t="n">
        <v>0</v>
      </c>
      <c r="AX1465" s="105" t="n">
        <v>0</v>
      </c>
      <c r="AY1465" s="105" t="n">
        <v>0</v>
      </c>
      <c r="AZ1465" s="105" t="n">
        <v>0</v>
      </c>
      <c r="BA1465" s="105" t="n">
        <v>0</v>
      </c>
      <c r="BB1465" s="105" t="n">
        <v>0</v>
      </c>
      <c r="BC1465" s="105" t="n">
        <v>0</v>
      </c>
      <c r="BD1465" s="105" t="n">
        <v>0</v>
      </c>
      <c r="BE1465" s="105" t="n">
        <v>0</v>
      </c>
      <c r="BF1465" s="105" t="n">
        <v>0</v>
      </c>
      <c r="BG1465" s="105" t="n">
        <v>0</v>
      </c>
      <c r="BH1465" s="105" t="n">
        <v>0</v>
      </c>
      <c r="BI1465" s="105" t="n">
        <v>0</v>
      </c>
      <c r="BJ1465" s="105" t="n">
        <v>0</v>
      </c>
      <c r="BK1465" s="105" t="n">
        <v>0</v>
      </c>
      <c r="BL1465" s="105" t="n">
        <v>0</v>
      </c>
      <c r="BM1465" s="105" t="n">
        <v>0</v>
      </c>
      <c r="BN1465" s="105" t="n">
        <v>0</v>
      </c>
      <c r="BO1465" s="105" t="n">
        <v>0</v>
      </c>
      <c r="BP1465" s="105" t="n">
        <v>0</v>
      </c>
      <c r="BQ1465" s="105" t="n">
        <v>0</v>
      </c>
      <c r="BR1465" s="106" t="n">
        <v>0.333333333333333</v>
      </c>
      <c r="BS1465" s="106" t="n">
        <v>0.333333333333333</v>
      </c>
      <c r="BT1465" s="107"/>
      <c r="BU1465" s="107"/>
      <c r="BV1465" s="107"/>
      <c r="BW1465" s="107"/>
      <c r="BX1465" s="107"/>
      <c r="BY1465" s="107"/>
      <c r="BZ1465" s="107"/>
      <c r="CA1465" s="107"/>
      <c r="CB1465" s="107"/>
      <c r="CC1465" s="107"/>
      <c r="CD1465" s="107"/>
      <c r="CE1465" s="107"/>
      <c r="CF1465" s="107"/>
      <c r="CG1465" s="107"/>
      <c r="CH1465" s="107"/>
      <c r="CI1465" s="107"/>
      <c r="CJ1465" s="107"/>
      <c r="CK1465" s="107"/>
      <c r="CL1465" s="107"/>
      <c r="CM1465" s="107"/>
      <c r="CN1465" s="107"/>
      <c r="CO1465" s="107"/>
      <c r="CP1465" s="107"/>
      <c r="CQ1465" s="107"/>
      <c r="CR1465" s="107"/>
      <c r="CS1465" s="107"/>
      <c r="CT1465" s="107"/>
      <c r="CU1465" s="107"/>
      <c r="CV1465" s="107"/>
    </row>
    <row r="1466" customFormat="false" ht="14.9" hidden="false" customHeight="false" outlineLevel="0" collapsed="false">
      <c r="A1466" s="74" t="n">
        <f aca="false">MONTH(B1466)</f>
        <v>11</v>
      </c>
      <c r="B1466" s="135" t="n">
        <v>44527</v>
      </c>
      <c r="C1466" s="128" t="s">
        <v>152</v>
      </c>
      <c r="D1466" s="77" t="str">
        <f aca="false">IFERROR(VLOOKUP(E:E,'Item Data Support Sheet'!A:O,7,0),"")</f>
        <v>NIPPLE MOLDED</v>
      </c>
      <c r="E1466" s="80" t="s">
        <v>661</v>
      </c>
      <c r="F1466" s="122" t="s">
        <v>137</v>
      </c>
      <c r="G1466" s="137" t="s">
        <v>138</v>
      </c>
      <c r="H1466" s="79" t="str">
        <f aca="false">IFERROR(VLOOKUP(E:E,'Item Data Support Sheet'!A:O,2,0),"")</f>
        <v>NIPPLE S TYPE L SIZE INJECTION</v>
      </c>
      <c r="I1466" s="80" t="s">
        <v>2263</v>
      </c>
      <c r="J1466" s="80" t="s">
        <v>1913</v>
      </c>
      <c r="K1466" s="124" t="n">
        <v>8</v>
      </c>
      <c r="L1466" s="124" t="n">
        <v>4815</v>
      </c>
      <c r="M1466" s="83" t="n">
        <v>601.875</v>
      </c>
      <c r="N1466" s="84" t="n">
        <f aca="false">+O1466+Q1466+T1466+U1466</f>
        <v>4075</v>
      </c>
      <c r="O1466" s="85" t="n">
        <v>4000</v>
      </c>
      <c r="P1466" s="86" t="n">
        <v>0</v>
      </c>
      <c r="Q1466" s="86" t="n">
        <v>30</v>
      </c>
      <c r="R1466" s="132" t="n">
        <v>0</v>
      </c>
      <c r="S1466" s="128" t="n">
        <v>0</v>
      </c>
      <c r="T1466" s="132" t="n">
        <v>45</v>
      </c>
      <c r="U1466" s="128" t="n">
        <v>0</v>
      </c>
      <c r="V1466" s="128" t="n">
        <v>1</v>
      </c>
      <c r="W1466" s="90" t="n">
        <f aca="false">IFERROR(O1466/V1466,0)</f>
        <v>4000</v>
      </c>
      <c r="X1466" s="91" t="n">
        <f aca="false">O1466/L1466</f>
        <v>0.83073727933541</v>
      </c>
      <c r="Y1466" s="92" t="str">
        <f aca="false">IFERROR(VLOOKUP(E:E,'Item Data Support Sheet'!A:J,6,0),0)</f>
        <v>Silicon</v>
      </c>
      <c r="Z1466" s="93" t="n">
        <f aca="false">IFERROR(VLOOKUP(E:E,'Item Data Support Sheet'!A:O,4,0),0)</f>
        <v>6.8</v>
      </c>
      <c r="AA1466" s="93" t="n">
        <f aca="false">IFERROR(((N1466)*(Z1466/1000))+P1466,0)</f>
        <v>27.71</v>
      </c>
      <c r="AB1466" s="94" t="n">
        <f aca="false">IFERROR((O1466*(Z1466/1000)/(AA1466))," ")</f>
        <v>0.98159509202454</v>
      </c>
      <c r="AC1466" s="95" t="n">
        <f aca="false">IFERROR((T1466)/((T1466)+O1466),0)</f>
        <v>0.0111248454882571</v>
      </c>
      <c r="AD1466" s="96" t="n">
        <f aca="false">IFERROR(Q1466/(Q1466+N1466),0)</f>
        <v>0.00730816077953715</v>
      </c>
      <c r="AE1466" s="91" t="n">
        <f aca="false">(N1466-T1466)/N1466</f>
        <v>0.988957055214724</v>
      </c>
      <c r="AF1466" s="97" t="n">
        <f aca="false">BR1466</f>
        <v>2.5</v>
      </c>
      <c r="AG1466" s="98" t="n">
        <f aca="false">K1466-AF1466</f>
        <v>5.5</v>
      </c>
      <c r="AH1466" s="99" t="n">
        <f aca="false">IFERROR(AG1466/K1466," ")</f>
        <v>0.6875</v>
      </c>
      <c r="AI1466" s="100" t="n">
        <f aca="false">IFERROR(O1466/K1466,0)</f>
        <v>500</v>
      </c>
      <c r="AJ1466" s="101" t="n">
        <f aca="false">VLOOKUP(D1466,'Standard Cycle time'!C:D,2,0)</f>
        <v>5.25</v>
      </c>
      <c r="AK1466" s="101" t="n">
        <f aca="false">AG1466*V1466*3600/O1466</f>
        <v>4.95</v>
      </c>
      <c r="AL1466" s="102" t="n">
        <f aca="false">AJ1466/AK1466</f>
        <v>1.06060606060606</v>
      </c>
      <c r="AM1466" s="99" t="n">
        <f aca="false">AE1466*AL1466*AH1466</f>
        <v>0.721114519427403</v>
      </c>
      <c r="AN1466" s="103" t="n">
        <v>0.721114519427403</v>
      </c>
      <c r="AO1466" s="112" t="s">
        <v>2264</v>
      </c>
      <c r="AP1466" s="105" t="n">
        <v>0</v>
      </c>
      <c r="AQ1466" s="105" t="n">
        <v>0</v>
      </c>
      <c r="AR1466" s="105" t="n">
        <v>0</v>
      </c>
      <c r="AS1466" s="105" t="n">
        <v>0</v>
      </c>
      <c r="AT1466" s="105" t="n">
        <v>0</v>
      </c>
      <c r="AU1466" s="105" t="n">
        <v>30</v>
      </c>
      <c r="AV1466" s="105" t="n">
        <v>0</v>
      </c>
      <c r="AW1466" s="105" t="n">
        <v>0</v>
      </c>
      <c r="AX1466" s="105" t="n">
        <v>0</v>
      </c>
      <c r="AY1466" s="105" t="n">
        <v>0</v>
      </c>
      <c r="AZ1466" s="105" t="n">
        <v>0</v>
      </c>
      <c r="BA1466" s="105" t="n">
        <v>0</v>
      </c>
      <c r="BB1466" s="105" t="n">
        <v>90</v>
      </c>
      <c r="BC1466" s="105" t="n">
        <v>0</v>
      </c>
      <c r="BD1466" s="105" t="n">
        <v>0</v>
      </c>
      <c r="BE1466" s="105" t="n">
        <v>0</v>
      </c>
      <c r="BF1466" s="105" t="n">
        <v>0</v>
      </c>
      <c r="BG1466" s="105" t="n">
        <v>0</v>
      </c>
      <c r="BH1466" s="105" t="n">
        <v>0</v>
      </c>
      <c r="BI1466" s="105" t="n">
        <v>0</v>
      </c>
      <c r="BJ1466" s="105" t="n">
        <v>0</v>
      </c>
      <c r="BK1466" s="105" t="n">
        <v>0</v>
      </c>
      <c r="BL1466" s="105" t="n">
        <v>0</v>
      </c>
      <c r="BM1466" s="105" t="n">
        <v>0</v>
      </c>
      <c r="BN1466" s="105" t="n">
        <v>0</v>
      </c>
      <c r="BO1466" s="105" t="n">
        <v>0</v>
      </c>
      <c r="BP1466" s="105" t="n">
        <v>0</v>
      </c>
      <c r="BQ1466" s="105" t="n">
        <v>30</v>
      </c>
      <c r="BR1466" s="106" t="n">
        <v>2.5</v>
      </c>
      <c r="BS1466" s="106" t="n">
        <v>2.5</v>
      </c>
      <c r="BT1466" s="107"/>
      <c r="BU1466" s="107"/>
      <c r="BV1466" s="107"/>
      <c r="BW1466" s="107"/>
      <c r="BX1466" s="107"/>
      <c r="BY1466" s="107"/>
      <c r="BZ1466" s="107"/>
      <c r="CA1466" s="107"/>
      <c r="CB1466" s="107"/>
      <c r="CC1466" s="107"/>
      <c r="CD1466" s="107"/>
      <c r="CE1466" s="107"/>
      <c r="CF1466" s="107"/>
      <c r="CG1466" s="107"/>
      <c r="CH1466" s="107"/>
      <c r="CI1466" s="107"/>
      <c r="CJ1466" s="107"/>
      <c r="CK1466" s="107"/>
      <c r="CL1466" s="107"/>
      <c r="CM1466" s="107"/>
      <c r="CN1466" s="107"/>
      <c r="CO1466" s="107"/>
      <c r="CP1466" s="107"/>
      <c r="CQ1466" s="107"/>
      <c r="CR1466" s="107"/>
      <c r="CS1466" s="107"/>
      <c r="CT1466" s="107"/>
      <c r="CU1466" s="107"/>
      <c r="CV1466" s="107"/>
    </row>
    <row r="1467" customFormat="false" ht="14.9" hidden="false" customHeight="false" outlineLevel="0" collapsed="false">
      <c r="A1467" s="74" t="n">
        <f aca="false">MONTH(B1467)</f>
        <v>11</v>
      </c>
      <c r="B1467" s="135" t="n">
        <v>44527</v>
      </c>
      <c r="C1467" s="128" t="s">
        <v>152</v>
      </c>
      <c r="D1467" s="77" t="str">
        <f aca="false">IFERROR(VLOOKUP(E:E,'Item Data Support Sheet'!A:O,7,0),"")</f>
        <v>NIPPLE MOLDED</v>
      </c>
      <c r="E1467" s="80" t="s">
        <v>809</v>
      </c>
      <c r="F1467" s="122" t="s">
        <v>1286</v>
      </c>
      <c r="G1467" s="137" t="s">
        <v>848</v>
      </c>
      <c r="H1467" s="79" t="str">
        <f aca="false">IFERROR(VLOOKUP(E:E,'Item Data Support Sheet'!A:O,2,0),"")</f>
        <v>NIPPLE S TYPE Y SIZE INJECTION</v>
      </c>
      <c r="I1467" s="80" t="s">
        <v>2263</v>
      </c>
      <c r="J1467" s="80" t="s">
        <v>1913</v>
      </c>
      <c r="K1467" s="124" t="n">
        <v>8</v>
      </c>
      <c r="L1467" s="124" t="n">
        <v>3611</v>
      </c>
      <c r="M1467" s="83" t="n">
        <v>451.375</v>
      </c>
      <c r="N1467" s="84" t="n">
        <f aca="false">+O1467+Q1467+T1467+U1467</f>
        <v>3052</v>
      </c>
      <c r="O1467" s="85" t="n">
        <v>3000</v>
      </c>
      <c r="P1467" s="86" t="n">
        <v>0</v>
      </c>
      <c r="Q1467" s="86" t="n">
        <v>0</v>
      </c>
      <c r="R1467" s="132" t="n">
        <v>0</v>
      </c>
      <c r="S1467" s="128" t="n">
        <v>0</v>
      </c>
      <c r="T1467" s="132" t="n">
        <v>52</v>
      </c>
      <c r="U1467" s="128" t="n">
        <v>0</v>
      </c>
      <c r="V1467" s="128" t="n">
        <v>1</v>
      </c>
      <c r="W1467" s="90" t="n">
        <f aca="false">IFERROR(O1467/V1467,0)</f>
        <v>3000</v>
      </c>
      <c r="X1467" s="91" t="n">
        <f aca="false">O1467/L1467</f>
        <v>0.83079479368596</v>
      </c>
      <c r="Y1467" s="92" t="str">
        <f aca="false">IFERROR(VLOOKUP(E:E,'Item Data Support Sheet'!A:J,6,0),0)</f>
        <v>Silicon</v>
      </c>
      <c r="Z1467" s="93" t="n">
        <f aca="false">IFERROR(VLOOKUP(E:E,'Item Data Support Sheet'!A:O,4,0),0)</f>
        <v>6.8</v>
      </c>
      <c r="AA1467" s="93" t="n">
        <f aca="false">IFERROR(((N1467)*(Z1467/1000))+P1467,0)</f>
        <v>20.7536</v>
      </c>
      <c r="AB1467" s="94" t="n">
        <f aca="false">IFERROR((O1467*(Z1467/1000)/(AA1467))," ")</f>
        <v>0.982961992136304</v>
      </c>
      <c r="AC1467" s="95" t="n">
        <f aca="false">IFERROR((T1467)/((T1467)+O1467),0)</f>
        <v>0.0170380078636959</v>
      </c>
      <c r="AD1467" s="96" t="n">
        <f aca="false">IFERROR(Q1467/(Q1467+N1467),0)</f>
        <v>0</v>
      </c>
      <c r="AE1467" s="91" t="n">
        <f aca="false">(N1467-T1467)/N1467</f>
        <v>0.982961992136304</v>
      </c>
      <c r="AF1467" s="97" t="n">
        <f aca="false">BR1467</f>
        <v>1.5</v>
      </c>
      <c r="AG1467" s="98" t="n">
        <f aca="false">K1467-AF1467</f>
        <v>6.5</v>
      </c>
      <c r="AH1467" s="99" t="n">
        <f aca="false">IFERROR(AG1467/K1467," ")</f>
        <v>0.8125</v>
      </c>
      <c r="AI1467" s="100" t="n">
        <f aca="false">IFERROR(O1467/K1467,0)</f>
        <v>375</v>
      </c>
      <c r="AJ1467" s="101" t="n">
        <f aca="false">VLOOKUP(D1467,'Standard Cycle time'!C:D,2,0)</f>
        <v>5.25</v>
      </c>
      <c r="AK1467" s="101" t="n">
        <f aca="false">AG1467*V1467*3600/O1467</f>
        <v>7.8</v>
      </c>
      <c r="AL1467" s="102" t="n">
        <f aca="false">AJ1467/AK1467</f>
        <v>0.673076923076923</v>
      </c>
      <c r="AM1467" s="99" t="n">
        <f aca="false">AE1467*AL1467*AH1467</f>
        <v>0.537557339449541</v>
      </c>
      <c r="AN1467" s="103" t="n">
        <v>0.537557339449541</v>
      </c>
      <c r="AO1467" s="112" t="s">
        <v>2265</v>
      </c>
      <c r="AP1467" s="105" t="n">
        <v>0</v>
      </c>
      <c r="AQ1467" s="105" t="n">
        <v>0</v>
      </c>
      <c r="AR1467" s="105" t="n">
        <v>0</v>
      </c>
      <c r="AS1467" s="105" t="n">
        <v>0</v>
      </c>
      <c r="AT1467" s="105" t="n">
        <v>0</v>
      </c>
      <c r="AU1467" s="105" t="n">
        <v>0</v>
      </c>
      <c r="AV1467" s="105" t="n">
        <v>0</v>
      </c>
      <c r="AW1467" s="105" t="n">
        <v>0</v>
      </c>
      <c r="AX1467" s="105" t="n">
        <v>0</v>
      </c>
      <c r="AY1467" s="105" t="n">
        <v>0</v>
      </c>
      <c r="AZ1467" s="105" t="n">
        <v>0</v>
      </c>
      <c r="BA1467" s="105" t="n">
        <v>0</v>
      </c>
      <c r="BB1467" s="105" t="n">
        <v>90</v>
      </c>
      <c r="BC1467" s="105" t="n">
        <v>0</v>
      </c>
      <c r="BD1467" s="105" t="n">
        <v>0</v>
      </c>
      <c r="BE1467" s="105" t="n">
        <v>0</v>
      </c>
      <c r="BF1467" s="105" t="n">
        <v>0</v>
      </c>
      <c r="BG1467" s="105" t="n">
        <v>0</v>
      </c>
      <c r="BH1467" s="105" t="n">
        <v>0</v>
      </c>
      <c r="BI1467" s="105" t="n">
        <v>0</v>
      </c>
      <c r="BJ1467" s="105" t="n">
        <v>0</v>
      </c>
      <c r="BK1467" s="105" t="n">
        <v>0</v>
      </c>
      <c r="BL1467" s="105" t="n">
        <v>0</v>
      </c>
      <c r="BM1467" s="105" t="n">
        <v>0</v>
      </c>
      <c r="BN1467" s="105" t="n">
        <v>0</v>
      </c>
      <c r="BO1467" s="105" t="n">
        <v>0</v>
      </c>
      <c r="BP1467" s="105" t="n">
        <v>0</v>
      </c>
      <c r="BQ1467" s="105" t="n">
        <v>0</v>
      </c>
      <c r="BR1467" s="106" t="n">
        <v>1.5</v>
      </c>
      <c r="BS1467" s="106" t="n">
        <v>1.5</v>
      </c>
      <c r="BT1467" s="107"/>
      <c r="BU1467" s="107"/>
      <c r="BV1467" s="107"/>
      <c r="BW1467" s="107"/>
      <c r="BX1467" s="107"/>
      <c r="BY1467" s="107"/>
      <c r="BZ1467" s="107"/>
      <c r="CA1467" s="107"/>
      <c r="CB1467" s="107"/>
      <c r="CC1467" s="107"/>
      <c r="CD1467" s="107"/>
      <c r="CE1467" s="107"/>
      <c r="CF1467" s="107"/>
      <c r="CG1467" s="107"/>
      <c r="CH1467" s="107"/>
      <c r="CI1467" s="107"/>
      <c r="CJ1467" s="107"/>
      <c r="CK1467" s="107"/>
      <c r="CL1467" s="107"/>
      <c r="CM1467" s="107"/>
      <c r="CN1467" s="107"/>
      <c r="CO1467" s="107"/>
      <c r="CP1467" s="107"/>
      <c r="CQ1467" s="107"/>
      <c r="CR1467" s="107"/>
      <c r="CS1467" s="107"/>
      <c r="CT1467" s="107"/>
      <c r="CU1467" s="107"/>
      <c r="CV1467" s="107"/>
    </row>
    <row r="1468" customFormat="false" ht="14.9" hidden="false" customHeight="false" outlineLevel="0" collapsed="false">
      <c r="A1468" s="74" t="n">
        <f aca="false">MONTH(B1468)</f>
        <v>11</v>
      </c>
      <c r="B1468" s="135" t="n">
        <v>44527</v>
      </c>
      <c r="C1468" s="128" t="s">
        <v>152</v>
      </c>
      <c r="D1468" s="77" t="str">
        <f aca="false">IFERROR(VLOOKUP(E:E,'Item Data Support Sheet'!A:O,7,0),"")</f>
        <v>BOTTLE MOLDED</v>
      </c>
      <c r="E1468" s="80" t="s">
        <v>357</v>
      </c>
      <c r="F1468" s="122" t="s">
        <v>144</v>
      </c>
      <c r="G1468" s="137" t="s">
        <v>80</v>
      </c>
      <c r="H1468" s="79" t="str">
        <f aca="false">IFERROR(VLOOKUP(E:E,'Item Data Support Sheet'!A:O,2,0),"")</f>
        <v>KPP 120 ML BOTTLE MOLDED</v>
      </c>
      <c r="I1468" s="80" t="s">
        <v>2266</v>
      </c>
      <c r="J1468" s="80" t="s">
        <v>1913</v>
      </c>
      <c r="K1468" s="124" t="n">
        <v>8</v>
      </c>
      <c r="L1468" s="124" t="n">
        <v>2574</v>
      </c>
      <c r="M1468" s="83" t="n">
        <v>321.75</v>
      </c>
      <c r="N1468" s="84" t="n">
        <f aca="false">+O1468+Q1468+T1468+U1468</f>
        <v>2608</v>
      </c>
      <c r="O1468" s="85" t="n">
        <v>2520</v>
      </c>
      <c r="P1468" s="86" t="n">
        <v>0.2</v>
      </c>
      <c r="Q1468" s="86" t="n">
        <v>32</v>
      </c>
      <c r="R1468" s="132" t="n">
        <v>0</v>
      </c>
      <c r="S1468" s="128" t="n">
        <v>0</v>
      </c>
      <c r="T1468" s="132" t="n">
        <v>48</v>
      </c>
      <c r="U1468" s="128" t="n">
        <v>8</v>
      </c>
      <c r="V1468" s="128" t="n">
        <v>1</v>
      </c>
      <c r="W1468" s="90" t="n">
        <f aca="false">IFERROR(O1468/V1468,0)</f>
        <v>2520</v>
      </c>
      <c r="X1468" s="91" t="n">
        <f aca="false">O1468/L1468</f>
        <v>0.979020979020979</v>
      </c>
      <c r="Y1468" s="92" t="str">
        <f aca="false">IFERROR(VLOOKUP(E:E,'Item Data Support Sheet'!A:J,6,0),0)</f>
        <v>HMC</v>
      </c>
      <c r="Z1468" s="93" t="n">
        <f aca="false">IFERROR(VLOOKUP(E:E,'Item Data Support Sheet'!A:O,4,0),0)</f>
        <v>21.3</v>
      </c>
      <c r="AA1468" s="93" t="n">
        <f aca="false">IFERROR(((N1468)*(Z1468/1000))+P1468,0)</f>
        <v>55.7504</v>
      </c>
      <c r="AB1468" s="94" t="n">
        <f aca="false">IFERROR((O1468*(Z1468/1000)/(AA1468))," ")</f>
        <v>0.962791298358397</v>
      </c>
      <c r="AC1468" s="95" t="n">
        <f aca="false">IFERROR((T1468)/((T1468)+O1468),0)</f>
        <v>0.0186915887850467</v>
      </c>
      <c r="AD1468" s="96" t="n">
        <f aca="false">IFERROR(Q1468/(Q1468+N1468),0)</f>
        <v>0.0121212121212121</v>
      </c>
      <c r="AE1468" s="91" t="n">
        <f aca="false">(N1468-T1468)/N1468</f>
        <v>0.98159509202454</v>
      </c>
      <c r="AF1468" s="97" t="n">
        <f aca="false">BR1468</f>
        <v>0</v>
      </c>
      <c r="AG1468" s="98" t="n">
        <f aca="false">K1468-AF1468</f>
        <v>8</v>
      </c>
      <c r="AH1468" s="99" t="n">
        <f aca="false">IFERROR(AG1468/K1468," ")</f>
        <v>1</v>
      </c>
      <c r="AI1468" s="100" t="n">
        <f aca="false">IFERROR(O1468/K1468,0)</f>
        <v>315</v>
      </c>
      <c r="AJ1468" s="101" t="n">
        <f aca="false">VLOOKUP(D1468,'Standard Cycle time'!C:D,2,0)</f>
        <v>9</v>
      </c>
      <c r="AK1468" s="101" t="n">
        <f aca="false">AG1468*V1468*3600/O1468</f>
        <v>11.4285714285714</v>
      </c>
      <c r="AL1468" s="102" t="n">
        <f aca="false">AJ1468/AK1468</f>
        <v>0.7875</v>
      </c>
      <c r="AM1468" s="99" t="n">
        <f aca="false">AE1468*AL1468*AH1468</f>
        <v>0.773006134969325</v>
      </c>
      <c r="AN1468" s="103" t="n">
        <v>0.773006134969325</v>
      </c>
      <c r="AO1468" s="112"/>
      <c r="AP1468" s="105" t="n">
        <v>0</v>
      </c>
      <c r="AQ1468" s="105" t="n">
        <v>0</v>
      </c>
      <c r="AR1468" s="105" t="n">
        <v>0</v>
      </c>
      <c r="AS1468" s="105" t="n">
        <v>0</v>
      </c>
      <c r="AT1468" s="105" t="n">
        <v>0</v>
      </c>
      <c r="AU1468" s="105" t="n">
        <v>0</v>
      </c>
      <c r="AV1468" s="105" t="n">
        <v>0</v>
      </c>
      <c r="AW1468" s="105" t="n">
        <v>0</v>
      </c>
      <c r="AX1468" s="105" t="n">
        <v>0</v>
      </c>
      <c r="AY1468" s="105" t="n">
        <v>0</v>
      </c>
      <c r="AZ1468" s="105" t="n">
        <v>0</v>
      </c>
      <c r="BA1468" s="105" t="n">
        <v>0</v>
      </c>
      <c r="BB1468" s="105" t="n">
        <v>0</v>
      </c>
      <c r="BC1468" s="105" t="n">
        <v>0</v>
      </c>
      <c r="BD1468" s="105" t="n">
        <v>0</v>
      </c>
      <c r="BE1468" s="105" t="n">
        <v>0</v>
      </c>
      <c r="BF1468" s="105" t="n">
        <v>0</v>
      </c>
      <c r="BG1468" s="105" t="n">
        <v>0</v>
      </c>
      <c r="BH1468" s="105" t="n">
        <v>0</v>
      </c>
      <c r="BI1468" s="105" t="n">
        <v>0</v>
      </c>
      <c r="BJ1468" s="105" t="n">
        <v>0</v>
      </c>
      <c r="BK1468" s="105" t="n">
        <v>0</v>
      </c>
      <c r="BL1468" s="105" t="n">
        <v>0</v>
      </c>
      <c r="BM1468" s="105" t="n">
        <v>0</v>
      </c>
      <c r="BN1468" s="105" t="n">
        <v>0</v>
      </c>
      <c r="BO1468" s="105" t="n">
        <v>0</v>
      </c>
      <c r="BP1468" s="105" t="n">
        <v>0</v>
      </c>
      <c r="BQ1468" s="105" t="n">
        <v>0</v>
      </c>
      <c r="BR1468" s="106" t="n">
        <v>0</v>
      </c>
      <c r="BS1468" s="106" t="n">
        <v>0</v>
      </c>
      <c r="BT1468" s="107"/>
      <c r="BU1468" s="107"/>
      <c r="BV1468" s="107"/>
      <c r="BW1468" s="107"/>
      <c r="BX1468" s="107"/>
      <c r="BY1468" s="107"/>
      <c r="BZ1468" s="107"/>
      <c r="CA1468" s="107"/>
      <c r="CB1468" s="107"/>
      <c r="CC1468" s="107"/>
      <c r="CD1468" s="107"/>
      <c r="CE1468" s="107"/>
      <c r="CF1468" s="107"/>
      <c r="CG1468" s="107"/>
      <c r="CH1468" s="107"/>
      <c r="CI1468" s="107"/>
      <c r="CJ1468" s="107"/>
      <c r="CK1468" s="107"/>
      <c r="CL1468" s="107"/>
      <c r="CM1468" s="107"/>
      <c r="CN1468" s="107"/>
      <c r="CO1468" s="107"/>
      <c r="CP1468" s="107"/>
      <c r="CQ1468" s="107"/>
      <c r="CR1468" s="107"/>
      <c r="CS1468" s="107"/>
      <c r="CT1468" s="107"/>
      <c r="CU1468" s="107"/>
      <c r="CV1468" s="107"/>
    </row>
    <row r="1469" customFormat="false" ht="14.9" hidden="false" customHeight="false" outlineLevel="0" collapsed="false">
      <c r="A1469" s="74" t="n">
        <f aca="false">MONTH(B1469)</f>
        <v>11</v>
      </c>
      <c r="B1469" s="135" t="n">
        <v>44527</v>
      </c>
      <c r="C1469" s="128" t="s">
        <v>152</v>
      </c>
      <c r="D1469" s="77" t="str">
        <f aca="false">IFERROR(VLOOKUP(E:E,'Item Data Support Sheet'!A:O,7,0),"")</f>
        <v>CAP MOLDED</v>
      </c>
      <c r="E1469" s="80" t="s">
        <v>261</v>
      </c>
      <c r="F1469" s="122" t="s">
        <v>2161</v>
      </c>
      <c r="G1469" s="137"/>
      <c r="H1469" s="79" t="str">
        <f aca="false">IFERROR(VLOOKUP(E:E,'Item Data Support Sheet'!A:O,2,0),"")</f>
        <v>CAP S TYPE MOLDED PINK</v>
      </c>
      <c r="I1469" s="80" t="s">
        <v>2267</v>
      </c>
      <c r="J1469" s="80" t="s">
        <v>1913</v>
      </c>
      <c r="K1469" s="124" t="n">
        <v>6.2</v>
      </c>
      <c r="L1469" s="124" t="n">
        <v>3200</v>
      </c>
      <c r="M1469" s="83" t="n">
        <v>516.129032258065</v>
      </c>
      <c r="N1469" s="84" t="n">
        <f aca="false">+O1469+Q1469+T1469+U1469</f>
        <v>4000</v>
      </c>
      <c r="O1469" s="85" t="n">
        <v>4000</v>
      </c>
      <c r="P1469" s="86" t="n">
        <v>0</v>
      </c>
      <c r="Q1469" s="86" t="n">
        <v>0</v>
      </c>
      <c r="R1469" s="132" t="n">
        <v>0</v>
      </c>
      <c r="S1469" s="128" t="n">
        <v>0</v>
      </c>
      <c r="T1469" s="132" t="n">
        <v>0</v>
      </c>
      <c r="U1469" s="128" t="n">
        <v>0</v>
      </c>
      <c r="V1469" s="128" t="n">
        <v>1</v>
      </c>
      <c r="W1469" s="90" t="n">
        <f aca="false">IFERROR(O1469/V1469,0)</f>
        <v>4000</v>
      </c>
      <c r="X1469" s="91" t="n">
        <f aca="false">O1469/L1469</f>
        <v>1.25</v>
      </c>
      <c r="Y1469" s="92" t="str">
        <f aca="false">IFERROR(VLOOKUP(E:E,'Item Data Support Sheet'!A:J,6,0),0)</f>
        <v>RM000123</v>
      </c>
      <c r="Z1469" s="93" t="n">
        <f aca="false">IFERROR(VLOOKUP(E:E,'Item Data Support Sheet'!A:O,4,0),0)</f>
        <v>7.3</v>
      </c>
      <c r="AA1469" s="93" t="n">
        <f aca="false">IFERROR(((N1469)*(Z1469/1000))+P1469,0)</f>
        <v>29.2</v>
      </c>
      <c r="AB1469" s="94" t="n">
        <f aca="false">IFERROR((O1469*(Z1469/1000)/(AA1469))," ")</f>
        <v>1</v>
      </c>
      <c r="AC1469" s="95" t="n">
        <f aca="false">IFERROR((T1469)/((T1469)+O1469),0)</f>
        <v>0</v>
      </c>
      <c r="AD1469" s="96" t="n">
        <f aca="false">IFERROR(Q1469/(Q1469+N1469),0)</f>
        <v>0</v>
      </c>
      <c r="AE1469" s="91" t="n">
        <f aca="false">(N1469-T1469)/N1469</f>
        <v>1</v>
      </c>
      <c r="AF1469" s="97" t="n">
        <f aca="false">BR1469</f>
        <v>0</v>
      </c>
      <c r="AG1469" s="98" t="n">
        <f aca="false">K1469-AF1469</f>
        <v>6.2</v>
      </c>
      <c r="AH1469" s="99" t="n">
        <f aca="false">IFERROR(AG1469/K1469," ")</f>
        <v>1</v>
      </c>
      <c r="AI1469" s="100" t="n">
        <f aca="false">IFERROR(O1469/K1469,0)</f>
        <v>645.161290322581</v>
      </c>
      <c r="AJ1469" s="101" t="n">
        <f aca="false">VLOOKUP(D1469,'Standard Cycle time'!C:D,2,0)</f>
        <v>6</v>
      </c>
      <c r="AK1469" s="101" t="n">
        <f aca="false">AG1469*V1469*3600/O1469</f>
        <v>5.58</v>
      </c>
      <c r="AL1469" s="102" t="n">
        <f aca="false">AJ1469/AK1469</f>
        <v>1.0752688172043</v>
      </c>
      <c r="AM1469" s="99" t="n">
        <f aca="false">AE1469*AL1469*AH1469</f>
        <v>1.0752688172043</v>
      </c>
      <c r="AN1469" s="103" t="n">
        <v>1.0752688172043</v>
      </c>
      <c r="AO1469" s="112"/>
      <c r="AP1469" s="105" t="n">
        <v>0</v>
      </c>
      <c r="AQ1469" s="105" t="n">
        <v>0</v>
      </c>
      <c r="AR1469" s="105" t="n">
        <v>0</v>
      </c>
      <c r="AS1469" s="105" t="n">
        <v>0</v>
      </c>
      <c r="AT1469" s="105" t="n">
        <v>0</v>
      </c>
      <c r="AU1469" s="105" t="n">
        <v>0</v>
      </c>
      <c r="AV1469" s="105" t="n">
        <v>0</v>
      </c>
      <c r="AW1469" s="105" t="n">
        <v>0</v>
      </c>
      <c r="AX1469" s="105" t="n">
        <v>0</v>
      </c>
      <c r="AY1469" s="105" t="n">
        <v>0</v>
      </c>
      <c r="AZ1469" s="105" t="n">
        <v>0</v>
      </c>
      <c r="BA1469" s="105" t="n">
        <v>0</v>
      </c>
      <c r="BB1469" s="105" t="n">
        <v>0</v>
      </c>
      <c r="BC1469" s="105" t="n">
        <v>0</v>
      </c>
      <c r="BD1469" s="105" t="n">
        <v>0</v>
      </c>
      <c r="BE1469" s="105" t="n">
        <v>0</v>
      </c>
      <c r="BF1469" s="105" t="n">
        <v>0</v>
      </c>
      <c r="BG1469" s="105" t="n">
        <v>0</v>
      </c>
      <c r="BH1469" s="105" t="n">
        <v>0</v>
      </c>
      <c r="BI1469" s="105" t="n">
        <v>0</v>
      </c>
      <c r="BJ1469" s="105" t="n">
        <v>0</v>
      </c>
      <c r="BK1469" s="105" t="n">
        <v>0</v>
      </c>
      <c r="BL1469" s="105" t="n">
        <v>0</v>
      </c>
      <c r="BM1469" s="105" t="n">
        <v>0</v>
      </c>
      <c r="BN1469" s="105" t="n">
        <v>0</v>
      </c>
      <c r="BO1469" s="105" t="n">
        <v>0</v>
      </c>
      <c r="BP1469" s="105" t="n">
        <v>0</v>
      </c>
      <c r="BQ1469" s="105" t="n">
        <v>0</v>
      </c>
      <c r="BR1469" s="106" t="n">
        <v>0</v>
      </c>
      <c r="BS1469" s="106" t="n">
        <v>0</v>
      </c>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c r="CO1469" s="107"/>
      <c r="CP1469" s="107"/>
      <c r="CQ1469" s="107"/>
      <c r="CR1469" s="107"/>
      <c r="CS1469" s="107"/>
      <c r="CT1469" s="107"/>
      <c r="CU1469" s="107"/>
      <c r="CV1469" s="107"/>
    </row>
    <row r="1470" customFormat="false" ht="14.9" hidden="false" customHeight="false" outlineLevel="0" collapsed="false">
      <c r="A1470" s="74" t="n">
        <f aca="false">MONTH(B1470)</f>
        <v>11</v>
      </c>
      <c r="B1470" s="135" t="n">
        <v>44527</v>
      </c>
      <c r="C1470" s="128" t="s">
        <v>152</v>
      </c>
      <c r="D1470" s="77" t="str">
        <f aca="false">IFERROR(VLOOKUP(E:E,'Item Data Support Sheet'!A:O,7,0),"")</f>
        <v>CAP MOLDED</v>
      </c>
      <c r="E1470" s="80" t="s">
        <v>261</v>
      </c>
      <c r="F1470" s="122" t="s">
        <v>2213</v>
      </c>
      <c r="G1470" s="137"/>
      <c r="H1470" s="79" t="str">
        <f aca="false">IFERROR(VLOOKUP(E:E,'Item Data Support Sheet'!A:O,2,0),"")</f>
        <v>CAP S TYPE MOLDED PINK</v>
      </c>
      <c r="I1470" s="80" t="s">
        <v>2268</v>
      </c>
      <c r="J1470" s="80" t="s">
        <v>1913</v>
      </c>
      <c r="K1470" s="124" t="n">
        <v>1.8</v>
      </c>
      <c r="L1470" s="124" t="n">
        <v>937</v>
      </c>
      <c r="M1470" s="83" t="n">
        <v>520.555555555556</v>
      </c>
      <c r="N1470" s="84" t="n">
        <f aca="false">+O1470+Q1470+T1470+U1470</f>
        <v>1000</v>
      </c>
      <c r="O1470" s="85" t="n">
        <v>1000</v>
      </c>
      <c r="P1470" s="86" t="n">
        <v>0</v>
      </c>
      <c r="Q1470" s="86" t="n">
        <v>0</v>
      </c>
      <c r="R1470" s="132" t="n">
        <v>0</v>
      </c>
      <c r="S1470" s="128" t="n">
        <v>0</v>
      </c>
      <c r="T1470" s="132" t="n">
        <v>0</v>
      </c>
      <c r="U1470" s="128" t="n">
        <v>0</v>
      </c>
      <c r="V1470" s="128" t="n">
        <v>1</v>
      </c>
      <c r="W1470" s="90" t="n">
        <f aca="false">IFERROR(O1470/V1470,0)</f>
        <v>1000</v>
      </c>
      <c r="X1470" s="91" t="n">
        <f aca="false">O1470/L1470</f>
        <v>1.06723585912487</v>
      </c>
      <c r="Y1470" s="92" t="str">
        <f aca="false">IFERROR(VLOOKUP(E:E,'Item Data Support Sheet'!A:J,6,0),0)</f>
        <v>RM000123</v>
      </c>
      <c r="Z1470" s="93" t="n">
        <f aca="false">IFERROR(VLOOKUP(E:E,'Item Data Support Sheet'!A:O,4,0),0)</f>
        <v>7.3</v>
      </c>
      <c r="AA1470" s="93" t="n">
        <f aca="false">IFERROR(((N1470)*(Z1470/1000))+P1470,0)</f>
        <v>7.3</v>
      </c>
      <c r="AB1470" s="94" t="n">
        <f aca="false">IFERROR((O1470*(Z1470/1000)/(AA1470))," ")</f>
        <v>1</v>
      </c>
      <c r="AC1470" s="95" t="n">
        <f aca="false">IFERROR((T1470)/((T1470)+O1470),0)</f>
        <v>0</v>
      </c>
      <c r="AD1470" s="96" t="n">
        <f aca="false">IFERROR(Q1470/(Q1470+N1470),0)</f>
        <v>0</v>
      </c>
      <c r="AE1470" s="91" t="n">
        <f aca="false">(N1470-T1470)/N1470</f>
        <v>1</v>
      </c>
      <c r="AF1470" s="97" t="n">
        <f aca="false">BR1470</f>
        <v>0</v>
      </c>
      <c r="AG1470" s="98" t="n">
        <f aca="false">K1470-AF1470</f>
        <v>1.8</v>
      </c>
      <c r="AH1470" s="99" t="n">
        <f aca="false">IFERROR(AG1470/K1470," ")</f>
        <v>1</v>
      </c>
      <c r="AI1470" s="100" t="n">
        <f aca="false">IFERROR(O1470/K1470,0)</f>
        <v>555.555555555556</v>
      </c>
      <c r="AJ1470" s="101" t="n">
        <f aca="false">VLOOKUP(D1470,'Standard Cycle time'!C:D,2,0)</f>
        <v>6</v>
      </c>
      <c r="AK1470" s="101" t="n">
        <f aca="false">AG1470*V1470*3600/O1470</f>
        <v>6.48</v>
      </c>
      <c r="AL1470" s="102" t="n">
        <f aca="false">AJ1470/AK1470</f>
        <v>0.925925925925926</v>
      </c>
      <c r="AM1470" s="99" t="n">
        <f aca="false">AE1470*AL1470*AH1470</f>
        <v>0.925925925925926</v>
      </c>
      <c r="AN1470" s="103" t="n">
        <v>0.925925925925926</v>
      </c>
      <c r="AO1470" s="112"/>
      <c r="AP1470" s="105" t="n">
        <v>0</v>
      </c>
      <c r="AQ1470" s="105" t="n">
        <v>0</v>
      </c>
      <c r="AR1470" s="105" t="n">
        <v>0</v>
      </c>
      <c r="AS1470" s="105" t="n">
        <v>0</v>
      </c>
      <c r="AT1470" s="105" t="n">
        <v>0</v>
      </c>
      <c r="AU1470" s="105" t="n">
        <v>0</v>
      </c>
      <c r="AV1470" s="105" t="n">
        <v>0</v>
      </c>
      <c r="AW1470" s="105" t="n">
        <v>0</v>
      </c>
      <c r="AX1470" s="105" t="n">
        <v>0</v>
      </c>
      <c r="AY1470" s="105" t="n">
        <v>0</v>
      </c>
      <c r="AZ1470" s="105" t="n">
        <v>0</v>
      </c>
      <c r="BA1470" s="105" t="n">
        <v>0</v>
      </c>
      <c r="BB1470" s="105" t="n">
        <v>0</v>
      </c>
      <c r="BC1470" s="105" t="n">
        <v>0</v>
      </c>
      <c r="BD1470" s="105" t="n">
        <v>0</v>
      </c>
      <c r="BE1470" s="105" t="n">
        <v>0</v>
      </c>
      <c r="BF1470" s="105" t="n">
        <v>0</v>
      </c>
      <c r="BG1470" s="105" t="n">
        <v>0</v>
      </c>
      <c r="BH1470" s="105" t="n">
        <v>0</v>
      </c>
      <c r="BI1470" s="105" t="n">
        <v>0</v>
      </c>
      <c r="BJ1470" s="105" t="n">
        <v>0</v>
      </c>
      <c r="BK1470" s="105" t="n">
        <v>0</v>
      </c>
      <c r="BL1470" s="105" t="n">
        <v>0</v>
      </c>
      <c r="BM1470" s="105" t="n">
        <v>0</v>
      </c>
      <c r="BN1470" s="105" t="n">
        <v>0</v>
      </c>
      <c r="BO1470" s="105" t="n">
        <v>0</v>
      </c>
      <c r="BP1470" s="105" t="n">
        <v>0</v>
      </c>
      <c r="BQ1470" s="105" t="n">
        <v>0</v>
      </c>
      <c r="BR1470" s="106" t="n">
        <v>0</v>
      </c>
      <c r="BS1470" s="106" t="n">
        <v>0</v>
      </c>
      <c r="BT1470" s="107"/>
      <c r="BU1470" s="107"/>
      <c r="BV1470" s="107"/>
      <c r="BW1470" s="107"/>
      <c r="BX1470" s="107"/>
      <c r="BY1470" s="107"/>
      <c r="BZ1470" s="107"/>
      <c r="CA1470" s="107"/>
      <c r="CB1470" s="107"/>
      <c r="CC1470" s="107"/>
      <c r="CD1470" s="107"/>
      <c r="CE1470" s="107"/>
      <c r="CF1470" s="107"/>
      <c r="CG1470" s="107"/>
      <c r="CH1470" s="107"/>
      <c r="CI1470" s="107"/>
      <c r="CJ1470" s="107"/>
      <c r="CK1470" s="107"/>
      <c r="CL1470" s="107"/>
      <c r="CM1470" s="107"/>
      <c r="CN1470" s="107"/>
      <c r="CO1470" s="107"/>
      <c r="CP1470" s="107"/>
      <c r="CQ1470" s="107"/>
      <c r="CR1470" s="107"/>
      <c r="CS1470" s="107"/>
      <c r="CT1470" s="107"/>
      <c r="CU1470" s="107"/>
      <c r="CV1470" s="107"/>
    </row>
    <row r="1471" customFormat="false" ht="14.9" hidden="false" customHeight="false" outlineLevel="0" collapsed="false">
      <c r="A1471" s="74" t="n">
        <f aca="false">MONTH(B1471)</f>
        <v>11</v>
      </c>
      <c r="B1471" s="135" t="n">
        <v>44529</v>
      </c>
      <c r="C1471" s="128" t="s">
        <v>51</v>
      </c>
      <c r="D1471" s="77" t="str">
        <f aca="false">IFERROR(VLOOKUP(E:E,'Item Data Support Sheet'!A:O,7,0),"")</f>
        <v>NIPPLE MOLDED</v>
      </c>
      <c r="E1471" s="80" t="s">
        <v>809</v>
      </c>
      <c r="F1471" s="122" t="s">
        <v>1286</v>
      </c>
      <c r="G1471" s="137" t="s">
        <v>848</v>
      </c>
      <c r="H1471" s="79" t="str">
        <f aca="false">IFERROR(VLOOKUP(E:E,'Item Data Support Sheet'!A:O,2,0),"")</f>
        <v>NIPPLE S TYPE Y SIZE INJECTION</v>
      </c>
      <c r="I1471" s="80" t="s">
        <v>2269</v>
      </c>
      <c r="J1471" s="80" t="s">
        <v>143</v>
      </c>
      <c r="K1471" s="124" t="n">
        <v>8</v>
      </c>
      <c r="L1471" s="124" t="n">
        <v>2400</v>
      </c>
      <c r="M1471" s="83" t="n">
        <v>300</v>
      </c>
      <c r="N1471" s="84" t="n">
        <f aca="false">+O1471+Q1471+T1471+U1471</f>
        <v>2790</v>
      </c>
      <c r="O1471" s="85" t="n">
        <v>2600</v>
      </c>
      <c r="P1471" s="86" t="n">
        <v>1</v>
      </c>
      <c r="Q1471" s="86" t="n">
        <v>120</v>
      </c>
      <c r="R1471" s="132" t="n">
        <v>0</v>
      </c>
      <c r="S1471" s="128" t="n">
        <v>0</v>
      </c>
      <c r="T1471" s="132" t="n">
        <v>58</v>
      </c>
      <c r="U1471" s="128" t="n">
        <v>12</v>
      </c>
      <c r="V1471" s="128" t="n">
        <v>1</v>
      </c>
      <c r="W1471" s="90" t="n">
        <f aca="false">IFERROR(O1471/V1471,0)</f>
        <v>2600</v>
      </c>
      <c r="X1471" s="91" t="n">
        <f aca="false">O1471/L1471</f>
        <v>1.08333333333333</v>
      </c>
      <c r="Y1471" s="92" t="str">
        <f aca="false">IFERROR(VLOOKUP(E:E,'Item Data Support Sheet'!A:J,6,0),0)</f>
        <v>Silicon</v>
      </c>
      <c r="Z1471" s="93" t="n">
        <f aca="false">IFERROR(VLOOKUP(E:E,'Item Data Support Sheet'!A:O,4,0),0)</f>
        <v>6.8</v>
      </c>
      <c r="AA1471" s="93" t="n">
        <f aca="false">IFERROR(((N1471)*(Z1471/1000))+P1471,0)</f>
        <v>19.972</v>
      </c>
      <c r="AB1471" s="94" t="n">
        <f aca="false">IFERROR((O1471*(Z1471/1000)/(AA1471))," ")</f>
        <v>0.885239335069097</v>
      </c>
      <c r="AC1471" s="95" t="n">
        <f aca="false">IFERROR((T1471)/((T1471)+O1471),0)</f>
        <v>0.0218209179834462</v>
      </c>
      <c r="AD1471" s="96" t="n">
        <f aca="false">IFERROR(Q1471/(Q1471+N1471),0)</f>
        <v>0.0412371134020619</v>
      </c>
      <c r="AE1471" s="91" t="n">
        <f aca="false">(N1471-T1471)/N1471</f>
        <v>0.97921146953405</v>
      </c>
      <c r="AF1471" s="97" t="n">
        <f aca="false">BR1471</f>
        <v>3.33333333333333</v>
      </c>
      <c r="AG1471" s="98" t="n">
        <f aca="false">K1471-AF1471</f>
        <v>4.66666666666667</v>
      </c>
      <c r="AH1471" s="99" t="n">
        <f aca="false">IFERROR(AG1471/K1471," ")</f>
        <v>0.583333333333334</v>
      </c>
      <c r="AI1471" s="100" t="n">
        <f aca="false">IFERROR(O1471/K1471,0)</f>
        <v>325</v>
      </c>
      <c r="AJ1471" s="101" t="n">
        <f aca="false">VLOOKUP(D1471,'Standard Cycle time'!C:D,2,0)</f>
        <v>5.25</v>
      </c>
      <c r="AK1471" s="101" t="n">
        <f aca="false">AG1471*V1471*3600/O1471</f>
        <v>6.46153846153847</v>
      </c>
      <c r="AL1471" s="102" t="n">
        <f aca="false">AJ1471/AK1471</f>
        <v>0.8125</v>
      </c>
      <c r="AM1471" s="99" t="n">
        <f aca="false">AE1471*AL1471*AH1471</f>
        <v>0.464105436081243</v>
      </c>
      <c r="AN1471" s="103" t="n">
        <v>0.464105436081243</v>
      </c>
      <c r="AO1471" s="112" t="s">
        <v>2270</v>
      </c>
      <c r="AP1471" s="105" t="n">
        <v>0</v>
      </c>
      <c r="AQ1471" s="105" t="n">
        <v>0</v>
      </c>
      <c r="AR1471" s="105" t="n">
        <v>0</v>
      </c>
      <c r="AS1471" s="105" t="n">
        <v>0</v>
      </c>
      <c r="AT1471" s="105" t="n">
        <v>0</v>
      </c>
      <c r="AU1471" s="105" t="n">
        <v>60</v>
      </c>
      <c r="AV1471" s="105" t="n">
        <v>0</v>
      </c>
      <c r="AW1471" s="105" t="n">
        <v>50</v>
      </c>
      <c r="AX1471" s="105" t="n">
        <v>0</v>
      </c>
      <c r="AY1471" s="105" t="n">
        <v>0</v>
      </c>
      <c r="AZ1471" s="105" t="n">
        <v>0</v>
      </c>
      <c r="BA1471" s="105" t="n">
        <v>0</v>
      </c>
      <c r="BB1471" s="105" t="n">
        <v>90</v>
      </c>
      <c r="BC1471" s="105" t="n">
        <v>0</v>
      </c>
      <c r="BD1471" s="105" t="n">
        <v>0</v>
      </c>
      <c r="BE1471" s="105" t="n">
        <v>0</v>
      </c>
      <c r="BF1471" s="105" t="n">
        <v>0</v>
      </c>
      <c r="BG1471" s="105" t="n">
        <v>0</v>
      </c>
      <c r="BH1471" s="105" t="n">
        <v>0</v>
      </c>
      <c r="BI1471" s="105" t="n">
        <v>0</v>
      </c>
      <c r="BJ1471" s="105" t="n">
        <v>0</v>
      </c>
      <c r="BK1471" s="105" t="n">
        <v>0</v>
      </c>
      <c r="BL1471" s="105" t="n">
        <v>0</v>
      </c>
      <c r="BM1471" s="105" t="n">
        <v>0</v>
      </c>
      <c r="BN1471" s="105" t="n">
        <v>0</v>
      </c>
      <c r="BO1471" s="105" t="n">
        <v>0</v>
      </c>
      <c r="BP1471" s="105" t="n">
        <v>0</v>
      </c>
      <c r="BQ1471" s="105" t="n">
        <v>0</v>
      </c>
      <c r="BR1471" s="106" t="n">
        <v>3.33333333333333</v>
      </c>
      <c r="BS1471" s="106" t="n">
        <v>3.33333333333333</v>
      </c>
      <c r="BT1471" s="107"/>
      <c r="BU1471" s="107"/>
      <c r="BV1471" s="107"/>
      <c r="BW1471" s="107"/>
      <c r="BX1471" s="107"/>
      <c r="BY1471" s="107"/>
      <c r="BZ1471" s="107"/>
      <c r="CA1471" s="107"/>
      <c r="CB1471" s="107"/>
      <c r="CC1471" s="107"/>
      <c r="CD1471" s="107"/>
      <c r="CE1471" s="107"/>
      <c r="CF1471" s="107"/>
      <c r="CG1471" s="107"/>
      <c r="CH1471" s="107"/>
      <c r="CI1471" s="107"/>
      <c r="CJ1471" s="107"/>
      <c r="CK1471" s="107"/>
      <c r="CL1471" s="107"/>
      <c r="CM1471" s="107"/>
      <c r="CN1471" s="107"/>
      <c r="CO1471" s="107"/>
      <c r="CP1471" s="107"/>
      <c r="CQ1471" s="107"/>
      <c r="CR1471" s="107"/>
      <c r="CS1471" s="107"/>
      <c r="CT1471" s="107"/>
      <c r="CU1471" s="107"/>
      <c r="CV1471" s="107"/>
    </row>
    <row r="1472" customFormat="false" ht="14.9" hidden="false" customHeight="false" outlineLevel="0" collapsed="false">
      <c r="A1472" s="74" t="n">
        <f aca="false">MONTH(B1472)</f>
        <v>11</v>
      </c>
      <c r="B1472" s="135" t="n">
        <v>44529</v>
      </c>
      <c r="C1472" s="128" t="s">
        <v>51</v>
      </c>
      <c r="D1472" s="77" t="str">
        <f aca="false">IFERROR(VLOOKUP(E:E,'Item Data Support Sheet'!A:O,7,0),"")</f>
        <v>NIPPLE MOLDED</v>
      </c>
      <c r="E1472" s="80" t="s">
        <v>244</v>
      </c>
      <c r="F1472" s="122" t="s">
        <v>137</v>
      </c>
      <c r="G1472" s="137" t="s">
        <v>138</v>
      </c>
      <c r="H1472" s="79" t="str">
        <f aca="false">IFERROR(VLOOKUP(E:E,'Item Data Support Sheet'!A:O,2,0),"")</f>
        <v>NIPPLE S TYPE S SIZE INJECTION</v>
      </c>
      <c r="I1472" s="80" t="s">
        <v>2269</v>
      </c>
      <c r="J1472" s="80" t="s">
        <v>143</v>
      </c>
      <c r="K1472" s="124" t="n">
        <v>8</v>
      </c>
      <c r="L1472" s="124" t="n">
        <v>3600</v>
      </c>
      <c r="M1472" s="83" t="n">
        <v>450</v>
      </c>
      <c r="N1472" s="84" t="n">
        <f aca="false">+O1472+Q1472+T1472+U1472</f>
        <v>4360</v>
      </c>
      <c r="O1472" s="85" t="n">
        <v>4200</v>
      </c>
      <c r="P1472" s="86" t="n">
        <v>0</v>
      </c>
      <c r="Q1472" s="86" t="n">
        <v>73</v>
      </c>
      <c r="R1472" s="132" t="n">
        <v>0</v>
      </c>
      <c r="S1472" s="128" t="n">
        <v>0</v>
      </c>
      <c r="T1472" s="132" t="n">
        <v>55</v>
      </c>
      <c r="U1472" s="128" t="n">
        <v>32</v>
      </c>
      <c r="V1472" s="128" t="n">
        <v>1</v>
      </c>
      <c r="W1472" s="90" t="n">
        <f aca="false">IFERROR(O1472/V1472,0)</f>
        <v>4200</v>
      </c>
      <c r="X1472" s="91" t="n">
        <f aca="false">O1472/L1472</f>
        <v>1.16666666666667</v>
      </c>
      <c r="Y1472" s="92" t="str">
        <f aca="false">IFERROR(VLOOKUP(E:E,'Item Data Support Sheet'!A:J,6,0),0)</f>
        <v>Silicon</v>
      </c>
      <c r="Z1472" s="93" t="n">
        <f aca="false">IFERROR(VLOOKUP(E:E,'Item Data Support Sheet'!A:O,4,0),0)</f>
        <v>6.8</v>
      </c>
      <c r="AA1472" s="93" t="n">
        <f aca="false">IFERROR(((N1472)*(Z1472/1000))+P1472,0)</f>
        <v>29.648</v>
      </c>
      <c r="AB1472" s="94" t="n">
        <f aca="false">IFERROR((O1472*(Z1472/1000)/(AA1472))," ")</f>
        <v>0.963302752293578</v>
      </c>
      <c r="AC1472" s="95" t="n">
        <f aca="false">IFERROR((T1472)/((T1472)+O1472),0)</f>
        <v>0.0129259694477086</v>
      </c>
      <c r="AD1472" s="96" t="n">
        <f aca="false">IFERROR(Q1472/(Q1472+N1472),0)</f>
        <v>0.0164674035641778</v>
      </c>
      <c r="AE1472" s="91" t="n">
        <f aca="false">(N1472-T1472)/N1472</f>
        <v>0.987385321100918</v>
      </c>
      <c r="AF1472" s="97" t="n">
        <f aca="false">BR1472</f>
        <v>2.33333333333333</v>
      </c>
      <c r="AG1472" s="98" t="n">
        <f aca="false">K1472-AF1472</f>
        <v>5.66666666666667</v>
      </c>
      <c r="AH1472" s="99" t="n">
        <f aca="false">IFERROR(AG1472/K1472," ")</f>
        <v>0.708333333333334</v>
      </c>
      <c r="AI1472" s="100" t="n">
        <f aca="false">IFERROR(O1472/K1472,0)</f>
        <v>525</v>
      </c>
      <c r="AJ1472" s="101" t="n">
        <f aca="false">VLOOKUP(D1472,'Standard Cycle time'!C:D,2,0)</f>
        <v>5.25</v>
      </c>
      <c r="AK1472" s="101" t="n">
        <f aca="false">AG1472*V1472*3600/O1472</f>
        <v>4.85714285714286</v>
      </c>
      <c r="AL1472" s="102" t="n">
        <f aca="false">AJ1472/AK1472</f>
        <v>1.08088235294118</v>
      </c>
      <c r="AM1472" s="99" t="n">
        <f aca="false">AE1472*AL1472*AH1472</f>
        <v>0.75596688646789</v>
      </c>
      <c r="AN1472" s="103" t="n">
        <v>0.75596688646789</v>
      </c>
      <c r="AO1472" s="112" t="s">
        <v>2270</v>
      </c>
      <c r="AP1472" s="105" t="n">
        <v>0</v>
      </c>
      <c r="AQ1472" s="105" t="n">
        <v>0</v>
      </c>
      <c r="AR1472" s="105" t="n">
        <v>0</v>
      </c>
      <c r="AS1472" s="105" t="n">
        <v>0</v>
      </c>
      <c r="AT1472" s="105" t="n">
        <v>0</v>
      </c>
      <c r="AU1472" s="105" t="n">
        <v>30</v>
      </c>
      <c r="AV1472" s="105" t="n">
        <v>0</v>
      </c>
      <c r="AW1472" s="105" t="n">
        <v>20</v>
      </c>
      <c r="AX1472" s="105" t="n">
        <v>0</v>
      </c>
      <c r="AY1472" s="105" t="n">
        <v>0</v>
      </c>
      <c r="AZ1472" s="105" t="n">
        <v>0</v>
      </c>
      <c r="BA1472" s="105" t="n">
        <v>0</v>
      </c>
      <c r="BB1472" s="105" t="n">
        <v>90</v>
      </c>
      <c r="BC1472" s="105" t="n">
        <v>0</v>
      </c>
      <c r="BD1472" s="105" t="n">
        <v>0</v>
      </c>
      <c r="BE1472" s="105" t="n">
        <v>0</v>
      </c>
      <c r="BF1472" s="105" t="n">
        <v>0</v>
      </c>
      <c r="BG1472" s="105" t="n">
        <v>0</v>
      </c>
      <c r="BH1472" s="105" t="n">
        <v>0</v>
      </c>
      <c r="BI1472" s="105" t="n">
        <v>0</v>
      </c>
      <c r="BJ1472" s="105" t="n">
        <v>0</v>
      </c>
      <c r="BK1472" s="105" t="n">
        <v>0</v>
      </c>
      <c r="BL1472" s="105" t="n">
        <v>0</v>
      </c>
      <c r="BM1472" s="105" t="n">
        <v>0</v>
      </c>
      <c r="BN1472" s="105" t="n">
        <v>0</v>
      </c>
      <c r="BO1472" s="105" t="n">
        <v>0</v>
      </c>
      <c r="BP1472" s="105" t="n">
        <v>0</v>
      </c>
      <c r="BQ1472" s="105" t="n">
        <v>0</v>
      </c>
      <c r="BR1472" s="106" t="n">
        <v>2.33333333333333</v>
      </c>
      <c r="BS1472" s="106" t="n">
        <v>2.33333333333333</v>
      </c>
      <c r="BT1472" s="107"/>
      <c r="BU1472" s="107"/>
      <c r="BV1472" s="107"/>
      <c r="BW1472" s="107"/>
      <c r="BX1472" s="107"/>
      <c r="BY1472" s="107"/>
      <c r="BZ1472" s="107"/>
      <c r="CA1472" s="107"/>
      <c r="CB1472" s="107"/>
      <c r="CC1472" s="107"/>
      <c r="CD1472" s="107"/>
      <c r="CE1472" s="107"/>
      <c r="CF1472" s="107"/>
      <c r="CG1472" s="107"/>
      <c r="CH1472" s="107"/>
      <c r="CI1472" s="107"/>
      <c r="CJ1472" s="107"/>
      <c r="CK1472" s="107"/>
      <c r="CL1472" s="107"/>
      <c r="CM1472" s="107"/>
      <c r="CN1472" s="107"/>
      <c r="CO1472" s="107"/>
      <c r="CP1472" s="107"/>
      <c r="CQ1472" s="107"/>
      <c r="CR1472" s="107"/>
      <c r="CS1472" s="107"/>
      <c r="CT1472" s="107"/>
      <c r="CU1472" s="107"/>
      <c r="CV1472" s="107"/>
    </row>
    <row r="1473" customFormat="false" ht="14.9" hidden="false" customHeight="false" outlineLevel="0" collapsed="false">
      <c r="A1473" s="74" t="n">
        <f aca="false">MONTH(B1473)</f>
        <v>11</v>
      </c>
      <c r="B1473" s="135" t="n">
        <v>44529</v>
      </c>
      <c r="C1473" s="128" t="s">
        <v>51</v>
      </c>
      <c r="D1473" s="77" t="str">
        <f aca="false">IFERROR(VLOOKUP(E:E,'Item Data Support Sheet'!A:O,7,0),"")</f>
        <v>BOTTLE MOLDED</v>
      </c>
      <c r="E1473" s="80" t="s">
        <v>357</v>
      </c>
      <c r="F1473" s="122" t="s">
        <v>144</v>
      </c>
      <c r="G1473" s="137" t="s">
        <v>80</v>
      </c>
      <c r="H1473" s="79" t="str">
        <f aca="false">IFERROR(VLOOKUP(E:E,'Item Data Support Sheet'!A:O,2,0),"")</f>
        <v>KPP 120 ML BOTTLE MOLDED</v>
      </c>
      <c r="I1473" s="80" t="s">
        <v>2271</v>
      </c>
      <c r="J1473" s="80" t="s">
        <v>143</v>
      </c>
      <c r="K1473" s="124" t="n">
        <v>8</v>
      </c>
      <c r="L1473" s="124" t="n">
        <v>2000</v>
      </c>
      <c r="M1473" s="83" t="n">
        <v>250</v>
      </c>
      <c r="N1473" s="84" t="n">
        <f aca="false">+O1473+Q1473+T1473+U1473</f>
        <v>2280</v>
      </c>
      <c r="O1473" s="85" t="n">
        <v>2160</v>
      </c>
      <c r="P1473" s="86" t="n">
        <v>0</v>
      </c>
      <c r="Q1473" s="86" t="n">
        <v>70</v>
      </c>
      <c r="R1473" s="132" t="n">
        <v>0</v>
      </c>
      <c r="S1473" s="128" t="n">
        <v>0</v>
      </c>
      <c r="T1473" s="132" t="n">
        <v>42</v>
      </c>
      <c r="U1473" s="128" t="n">
        <v>8</v>
      </c>
      <c r="V1473" s="128" t="n">
        <v>1</v>
      </c>
      <c r="W1473" s="90" t="n">
        <f aca="false">IFERROR(O1473/V1473,0)</f>
        <v>2160</v>
      </c>
      <c r="X1473" s="91" t="n">
        <f aca="false">O1473/L1473</f>
        <v>1.08</v>
      </c>
      <c r="Y1473" s="92" t="str">
        <f aca="false">IFERROR(VLOOKUP(E:E,'Item Data Support Sheet'!A:J,6,0),0)</f>
        <v>HMC</v>
      </c>
      <c r="Z1473" s="93" t="n">
        <f aca="false">IFERROR(VLOOKUP(E:E,'Item Data Support Sheet'!A:O,4,0),0)</f>
        <v>21.3</v>
      </c>
      <c r="AA1473" s="93" t="n">
        <f aca="false">IFERROR(((N1473)*(Z1473/1000))+P1473,0)</f>
        <v>48.564</v>
      </c>
      <c r="AB1473" s="94" t="n">
        <f aca="false">IFERROR((O1473*(Z1473/1000)/(AA1473))," ")</f>
        <v>0.947368421052632</v>
      </c>
      <c r="AC1473" s="95" t="n">
        <f aca="false">IFERROR((T1473)/((T1473)+O1473),0)</f>
        <v>0.0190735694822888</v>
      </c>
      <c r="AD1473" s="96" t="n">
        <f aca="false">IFERROR(Q1473/(Q1473+N1473),0)</f>
        <v>0.0297872340425532</v>
      </c>
      <c r="AE1473" s="91" t="n">
        <f aca="false">(N1473-T1473)/N1473</f>
        <v>0.981578947368421</v>
      </c>
      <c r="AF1473" s="97" t="n">
        <f aca="false">BR1473</f>
        <v>2.16666666666667</v>
      </c>
      <c r="AG1473" s="98" t="n">
        <f aca="false">K1473-AF1473</f>
        <v>5.83333333333333</v>
      </c>
      <c r="AH1473" s="99" t="n">
        <f aca="false">IFERROR(AG1473/K1473," ")</f>
        <v>0.729166666666666</v>
      </c>
      <c r="AI1473" s="100" t="n">
        <f aca="false">IFERROR(O1473/K1473,0)</f>
        <v>270</v>
      </c>
      <c r="AJ1473" s="101" t="n">
        <f aca="false">VLOOKUP(D1473,'Standard Cycle time'!C:D,2,0)</f>
        <v>9</v>
      </c>
      <c r="AK1473" s="101" t="n">
        <f aca="false">AG1473*V1473*3600/O1473</f>
        <v>9.72222222222222</v>
      </c>
      <c r="AL1473" s="102" t="n">
        <f aca="false">AJ1473/AK1473</f>
        <v>0.925714285714286</v>
      </c>
      <c r="AM1473" s="99" t="n">
        <f aca="false">AE1473*AL1473*AH1473</f>
        <v>0.662565789473684</v>
      </c>
      <c r="AN1473" s="103" t="n">
        <v>0.662565789473684</v>
      </c>
      <c r="AO1473" s="112" t="s">
        <v>2272</v>
      </c>
      <c r="AP1473" s="105" t="n">
        <v>0</v>
      </c>
      <c r="AQ1473" s="105" t="n">
        <v>0</v>
      </c>
      <c r="AR1473" s="105" t="n">
        <v>70</v>
      </c>
      <c r="AS1473" s="105" t="n">
        <v>0</v>
      </c>
      <c r="AT1473" s="105" t="n">
        <v>0</v>
      </c>
      <c r="AU1473" s="105" t="n">
        <v>0</v>
      </c>
      <c r="AV1473" s="105" t="n">
        <v>0</v>
      </c>
      <c r="AW1473" s="105" t="n">
        <v>50</v>
      </c>
      <c r="AX1473" s="105" t="n">
        <v>0</v>
      </c>
      <c r="AY1473" s="105" t="n">
        <v>0</v>
      </c>
      <c r="AZ1473" s="105" t="n">
        <v>10</v>
      </c>
      <c r="BA1473" s="105" t="n">
        <v>0</v>
      </c>
      <c r="BB1473" s="105" t="n">
        <v>0</v>
      </c>
      <c r="BC1473" s="105" t="n">
        <v>0</v>
      </c>
      <c r="BD1473" s="105" t="n">
        <v>0</v>
      </c>
      <c r="BE1473" s="105" t="n">
        <v>0</v>
      </c>
      <c r="BF1473" s="105" t="n">
        <v>0</v>
      </c>
      <c r="BG1473" s="105" t="n">
        <v>0</v>
      </c>
      <c r="BH1473" s="105" t="n">
        <v>0</v>
      </c>
      <c r="BI1473" s="105" t="n">
        <v>0</v>
      </c>
      <c r="BJ1473" s="105" t="n">
        <v>0</v>
      </c>
      <c r="BK1473" s="105" t="n">
        <v>0</v>
      </c>
      <c r="BL1473" s="105" t="n">
        <v>0</v>
      </c>
      <c r="BM1473" s="105" t="n">
        <v>0</v>
      </c>
      <c r="BN1473" s="105" t="n">
        <v>0</v>
      </c>
      <c r="BO1473" s="105" t="n">
        <v>0</v>
      </c>
      <c r="BP1473" s="105" t="n">
        <v>0</v>
      </c>
      <c r="BQ1473" s="105" t="n">
        <v>0</v>
      </c>
      <c r="BR1473" s="106" t="n">
        <v>2.16666666666667</v>
      </c>
      <c r="BS1473" s="106" t="n">
        <v>2.16666666666667</v>
      </c>
      <c r="BT1473" s="107"/>
      <c r="BU1473" s="107"/>
      <c r="BV1473" s="107"/>
      <c r="BW1473" s="107"/>
      <c r="BX1473" s="107"/>
      <c r="BY1473" s="107"/>
      <c r="BZ1473" s="107"/>
      <c r="CA1473" s="107"/>
      <c r="CB1473" s="107"/>
      <c r="CC1473" s="107"/>
      <c r="CD1473" s="107"/>
      <c r="CE1473" s="107"/>
      <c r="CF1473" s="107"/>
      <c r="CG1473" s="107"/>
      <c r="CH1473" s="107"/>
      <c r="CI1473" s="107"/>
      <c r="CJ1473" s="107"/>
      <c r="CK1473" s="107"/>
      <c r="CL1473" s="107"/>
      <c r="CM1473" s="107"/>
      <c r="CN1473" s="107"/>
      <c r="CO1473" s="107"/>
      <c r="CP1473" s="107"/>
      <c r="CQ1473" s="107"/>
      <c r="CR1473" s="107"/>
      <c r="CS1473" s="107"/>
      <c r="CT1473" s="107"/>
      <c r="CU1473" s="107"/>
      <c r="CV1473" s="107"/>
    </row>
    <row r="1474" customFormat="false" ht="14.9" hidden="false" customHeight="false" outlineLevel="0" collapsed="false">
      <c r="A1474" s="74" t="n">
        <f aca="false">MONTH(B1474)</f>
        <v>11</v>
      </c>
      <c r="B1474" s="135" t="n">
        <v>44529</v>
      </c>
      <c r="C1474" s="128" t="s">
        <v>51</v>
      </c>
      <c r="D1474" s="77" t="str">
        <f aca="false">IFERROR(VLOOKUP(E:E,'Item Data Support Sheet'!A:O,7,0),"")</f>
        <v>NIPPLE PUNCH</v>
      </c>
      <c r="E1474" s="80" t="s">
        <v>666</v>
      </c>
      <c r="F1474" s="122"/>
      <c r="G1474" s="137" t="s">
        <v>54</v>
      </c>
      <c r="H1474" s="79" t="str">
        <f aca="false">IFERROR(VLOOKUP(E:E,'Item Data Support Sheet'!A:O,2,0),"")</f>
        <v>NIPPLE S TYPE L SIZE PUNCHED</v>
      </c>
      <c r="I1474" s="80" t="s">
        <v>2273</v>
      </c>
      <c r="J1474" s="80" t="s">
        <v>143</v>
      </c>
      <c r="K1474" s="124" t="n">
        <v>8</v>
      </c>
      <c r="L1474" s="124" t="n">
        <v>7000</v>
      </c>
      <c r="M1474" s="83" t="n">
        <v>875</v>
      </c>
      <c r="N1474" s="84" t="n">
        <f aca="false">+O1474+Q1474+T1474+U1474</f>
        <v>6800</v>
      </c>
      <c r="O1474" s="85" t="n">
        <v>6800</v>
      </c>
      <c r="P1474" s="86" t="n">
        <v>0</v>
      </c>
      <c r="Q1474" s="86" t="n">
        <v>0</v>
      </c>
      <c r="R1474" s="132" t="n">
        <v>0</v>
      </c>
      <c r="S1474" s="128" t="n">
        <v>0</v>
      </c>
      <c r="T1474" s="132" t="n">
        <v>0</v>
      </c>
      <c r="U1474" s="128" t="n">
        <v>0</v>
      </c>
      <c r="V1474" s="128" t="n">
        <v>1</v>
      </c>
      <c r="W1474" s="90" t="n">
        <f aca="false">IFERROR(O1474/V1474,0)</f>
        <v>6800</v>
      </c>
      <c r="X1474" s="91" t="n">
        <f aca="false">O1474/L1474</f>
        <v>0.971428571428571</v>
      </c>
      <c r="Y1474" s="92" t="str">
        <f aca="false">IFERROR(VLOOKUP(E:E,'Item Data Support Sheet'!A:J,6,0),0)</f>
        <v>FO017</v>
      </c>
      <c r="Z1474" s="93" t="n">
        <f aca="false">IFERROR(VLOOKUP(E:E,'Item Data Support Sheet'!A:O,4,0),0)</f>
        <v>0</v>
      </c>
      <c r="AA1474" s="93" t="n">
        <f aca="false">IFERROR(((N1474)*(Z1474/1000))+P1474,0)</f>
        <v>0</v>
      </c>
      <c r="AB1474" s="94" t="str">
        <f aca="false">IFERROR((O1474*(Z1474/1000)/(AA1474))," ")</f>
        <v> </v>
      </c>
      <c r="AC1474" s="95" t="n">
        <f aca="false">IFERROR((T1474)/((T1474)+O1474),0)</f>
        <v>0</v>
      </c>
      <c r="AD1474" s="96" t="n">
        <f aca="false">IFERROR(Q1474/(Q1474+N1474),0)</f>
        <v>0</v>
      </c>
      <c r="AE1474" s="91" t="n">
        <f aca="false">(N1474-T1474)/N1474</f>
        <v>1</v>
      </c>
      <c r="AF1474" s="97" t="n">
        <f aca="false">BR1474</f>
        <v>0</v>
      </c>
      <c r="AG1474" s="98" t="n">
        <f aca="false">K1474-AF1474</f>
        <v>8</v>
      </c>
      <c r="AH1474" s="99" t="n">
        <f aca="false">IFERROR(AG1474/K1474," ")</f>
        <v>1</v>
      </c>
      <c r="AI1474" s="100" t="n">
        <f aca="false">IFERROR(O1474/K1474,0)</f>
        <v>850</v>
      </c>
      <c r="AJ1474" s="101" t="n">
        <f aca="false">VLOOKUP(D1474,'Standard Cycle time'!C:D,2,0)</f>
        <v>3.5</v>
      </c>
      <c r="AK1474" s="101" t="n">
        <f aca="false">AG1474*V1474*3600/O1474</f>
        <v>4.23529411764706</v>
      </c>
      <c r="AL1474" s="102" t="n">
        <f aca="false">AJ1474/AK1474</f>
        <v>0.826388888888889</v>
      </c>
      <c r="AM1474" s="99" t="n">
        <f aca="false">AE1474*AL1474*AH1474</f>
        <v>0.826388888888889</v>
      </c>
      <c r="AN1474" s="103" t="n">
        <v>0.826388888888889</v>
      </c>
      <c r="AO1474" s="112"/>
      <c r="AP1474" s="105" t="n">
        <v>0</v>
      </c>
      <c r="AQ1474" s="105" t="n">
        <v>0</v>
      </c>
      <c r="AR1474" s="105" t="n">
        <v>0</v>
      </c>
      <c r="AS1474" s="105" t="n">
        <v>0</v>
      </c>
      <c r="AT1474" s="105" t="n">
        <v>0</v>
      </c>
      <c r="AU1474" s="105" t="n">
        <v>0</v>
      </c>
      <c r="AV1474" s="105" t="n">
        <v>0</v>
      </c>
      <c r="AW1474" s="105" t="n">
        <v>0</v>
      </c>
      <c r="AX1474" s="105" t="n">
        <v>0</v>
      </c>
      <c r="AY1474" s="105" t="n">
        <v>0</v>
      </c>
      <c r="AZ1474" s="105" t="n">
        <v>0</v>
      </c>
      <c r="BA1474" s="105" t="n">
        <v>0</v>
      </c>
      <c r="BB1474" s="105" t="n">
        <v>0</v>
      </c>
      <c r="BC1474" s="105" t="n">
        <v>0</v>
      </c>
      <c r="BD1474" s="105" t="n">
        <v>0</v>
      </c>
      <c r="BE1474" s="105" t="n">
        <v>0</v>
      </c>
      <c r="BF1474" s="105" t="n">
        <v>0</v>
      </c>
      <c r="BG1474" s="105" t="n">
        <v>0</v>
      </c>
      <c r="BH1474" s="105" t="n">
        <v>0</v>
      </c>
      <c r="BI1474" s="105" t="n">
        <v>0</v>
      </c>
      <c r="BJ1474" s="105" t="n">
        <v>0</v>
      </c>
      <c r="BK1474" s="105" t="n">
        <v>0</v>
      </c>
      <c r="BL1474" s="105" t="n">
        <v>0</v>
      </c>
      <c r="BM1474" s="105" t="n">
        <v>0</v>
      </c>
      <c r="BN1474" s="105" t="n">
        <v>0</v>
      </c>
      <c r="BO1474" s="105" t="n">
        <v>0</v>
      </c>
      <c r="BP1474" s="105" t="n">
        <v>0</v>
      </c>
      <c r="BQ1474" s="105" t="n">
        <v>0</v>
      </c>
      <c r="BR1474" s="106" t="n">
        <v>0</v>
      </c>
      <c r="BS1474" s="106" t="n">
        <v>0</v>
      </c>
      <c r="BT1474" s="107"/>
      <c r="BU1474" s="107"/>
      <c r="BV1474" s="107"/>
      <c r="BW1474" s="107"/>
      <c r="BX1474" s="107"/>
      <c r="BY1474" s="107"/>
      <c r="BZ1474" s="107"/>
      <c r="CA1474" s="107"/>
      <c r="CB1474" s="107"/>
      <c r="CC1474" s="107"/>
      <c r="CD1474" s="107"/>
      <c r="CE1474" s="107"/>
      <c r="CF1474" s="107"/>
      <c r="CG1474" s="107"/>
      <c r="CH1474" s="107"/>
      <c r="CI1474" s="107"/>
      <c r="CJ1474" s="107"/>
      <c r="CK1474" s="107"/>
      <c r="CL1474" s="107"/>
      <c r="CM1474" s="107"/>
      <c r="CN1474" s="107"/>
      <c r="CO1474" s="107"/>
      <c r="CP1474" s="107"/>
      <c r="CQ1474" s="107"/>
      <c r="CR1474" s="107"/>
      <c r="CS1474" s="107"/>
      <c r="CT1474" s="107"/>
      <c r="CU1474" s="107"/>
      <c r="CV1474" s="107"/>
    </row>
    <row r="1475" customFormat="false" ht="14.9" hidden="false" customHeight="false" outlineLevel="0" collapsed="false">
      <c r="A1475" s="74" t="n">
        <f aca="false">MONTH(B1475)</f>
        <v>11</v>
      </c>
      <c r="B1475" s="135" t="n">
        <v>44529</v>
      </c>
      <c r="C1475" s="128" t="s">
        <v>51</v>
      </c>
      <c r="D1475" s="77" t="str">
        <f aca="false">IFERROR(VLOOKUP(E:E,'Item Data Support Sheet'!A:O,7,0),"")</f>
        <v>NIPPLE LASER MARKING</v>
      </c>
      <c r="E1475" s="80" t="s">
        <v>681</v>
      </c>
      <c r="F1475" s="122"/>
      <c r="G1475" s="137"/>
      <c r="H1475" s="79" t="str">
        <f aca="false">IFERROR(VLOOKUP(E:E,'Item Data Support Sheet'!A:O,2,0),"")</f>
        <v>NIPPLE S TYPE L SIZE PUNCHED LASER MARKED</v>
      </c>
      <c r="I1475" s="80" t="s">
        <v>2252</v>
      </c>
      <c r="J1475" s="80" t="s">
        <v>143</v>
      </c>
      <c r="K1475" s="124" t="n">
        <v>8</v>
      </c>
      <c r="L1475" s="124" t="n">
        <v>7000</v>
      </c>
      <c r="M1475" s="83" t="n">
        <v>875</v>
      </c>
      <c r="N1475" s="84" t="n">
        <f aca="false">+O1475+Q1475+T1475+U1475</f>
        <v>5500</v>
      </c>
      <c r="O1475" s="85" t="n">
        <v>5500</v>
      </c>
      <c r="P1475" s="86" t="n">
        <v>0</v>
      </c>
      <c r="Q1475" s="86" t="n">
        <v>0</v>
      </c>
      <c r="R1475" s="132" t="n">
        <v>0</v>
      </c>
      <c r="S1475" s="128" t="n">
        <v>0</v>
      </c>
      <c r="T1475" s="132" t="n">
        <v>0</v>
      </c>
      <c r="U1475" s="128" t="n">
        <v>0</v>
      </c>
      <c r="V1475" s="128" t="n">
        <v>1</v>
      </c>
      <c r="W1475" s="90" t="n">
        <f aca="false">IFERROR(O1475/V1475,0)</f>
        <v>5500</v>
      </c>
      <c r="X1475" s="91" t="n">
        <f aca="false">O1475/L1475</f>
        <v>0.785714285714286</v>
      </c>
      <c r="Y1475" s="92" t="str">
        <f aca="false">IFERROR(VLOOKUP(E:E,'Item Data Support Sheet'!A:J,6,0),0)</f>
        <v>FO021</v>
      </c>
      <c r="Z1475" s="93" t="n">
        <f aca="false">IFERROR(VLOOKUP(E:E,'Item Data Support Sheet'!A:O,4,0),0)</f>
        <v>0</v>
      </c>
      <c r="AA1475" s="93" t="n">
        <f aca="false">IFERROR(((N1475)*(Z1475/1000))+P1475,0)</f>
        <v>0</v>
      </c>
      <c r="AB1475" s="94" t="str">
        <f aca="false">IFERROR((O1475*(Z1475/1000)/(AA1475))," ")</f>
        <v> </v>
      </c>
      <c r="AC1475" s="95" t="n">
        <f aca="false">IFERROR((T1475)/((T1475)+O1475),0)</f>
        <v>0</v>
      </c>
      <c r="AD1475" s="96" t="n">
        <f aca="false">IFERROR(Q1475/(Q1475+N1475),0)</f>
        <v>0</v>
      </c>
      <c r="AE1475" s="91" t="n">
        <f aca="false">(N1475-T1475)/N1475</f>
        <v>1</v>
      </c>
      <c r="AF1475" s="97" t="n">
        <f aca="false">BR1475</f>
        <v>0</v>
      </c>
      <c r="AG1475" s="98" t="n">
        <f aca="false">K1475-AF1475</f>
        <v>8</v>
      </c>
      <c r="AH1475" s="99" t="n">
        <f aca="false">IFERROR(AG1475/K1475," ")</f>
        <v>1</v>
      </c>
      <c r="AI1475" s="100" t="n">
        <f aca="false">IFERROR(O1475/K1475,0)</f>
        <v>687.5</v>
      </c>
      <c r="AJ1475" s="101" t="n">
        <f aca="false">VLOOKUP(D1475,'Standard Cycle time'!C:D,2,0)</f>
        <v>3.5</v>
      </c>
      <c r="AK1475" s="101" t="n">
        <f aca="false">AG1475*V1475*3600/O1475</f>
        <v>5.23636363636364</v>
      </c>
      <c r="AL1475" s="102" t="n">
        <f aca="false">AJ1475/AK1475</f>
        <v>0.668402777777778</v>
      </c>
      <c r="AM1475" s="99" t="n">
        <f aca="false">AE1475*AL1475*AH1475</f>
        <v>0.668402777777778</v>
      </c>
      <c r="AN1475" s="103" t="n">
        <v>0.668402777777778</v>
      </c>
      <c r="AO1475" s="112"/>
      <c r="AP1475" s="105" t="n">
        <v>0</v>
      </c>
      <c r="AQ1475" s="105" t="n">
        <v>0</v>
      </c>
      <c r="AR1475" s="105" t="n">
        <v>0</v>
      </c>
      <c r="AS1475" s="105" t="n">
        <v>0</v>
      </c>
      <c r="AT1475" s="105" t="n">
        <v>0</v>
      </c>
      <c r="AU1475" s="105" t="n">
        <v>0</v>
      </c>
      <c r="AV1475" s="105" t="n">
        <v>0</v>
      </c>
      <c r="AW1475" s="105" t="n">
        <v>0</v>
      </c>
      <c r="AX1475" s="105" t="n">
        <v>0</v>
      </c>
      <c r="AY1475" s="105" t="n">
        <v>0</v>
      </c>
      <c r="AZ1475" s="105" t="n">
        <v>0</v>
      </c>
      <c r="BA1475" s="105" t="n">
        <v>0</v>
      </c>
      <c r="BB1475" s="105" t="n">
        <v>0</v>
      </c>
      <c r="BC1475" s="105" t="n">
        <v>0</v>
      </c>
      <c r="BD1475" s="105" t="n">
        <v>0</v>
      </c>
      <c r="BE1475" s="105" t="n">
        <v>0</v>
      </c>
      <c r="BF1475" s="105" t="n">
        <v>0</v>
      </c>
      <c r="BG1475" s="105" t="n">
        <v>0</v>
      </c>
      <c r="BH1475" s="105" t="n">
        <v>0</v>
      </c>
      <c r="BI1475" s="105" t="n">
        <v>0</v>
      </c>
      <c r="BJ1475" s="105" t="n">
        <v>0</v>
      </c>
      <c r="BK1475" s="105" t="n">
        <v>0</v>
      </c>
      <c r="BL1475" s="105" t="n">
        <v>0</v>
      </c>
      <c r="BM1475" s="105" t="n">
        <v>0</v>
      </c>
      <c r="BN1475" s="105" t="n">
        <v>0</v>
      </c>
      <c r="BO1475" s="105" t="n">
        <v>0</v>
      </c>
      <c r="BP1475" s="105" t="n">
        <v>0</v>
      </c>
      <c r="BQ1475" s="105" t="n">
        <v>0</v>
      </c>
      <c r="BR1475" s="106" t="n">
        <v>0</v>
      </c>
      <c r="BS1475" s="106" t="n">
        <v>0</v>
      </c>
      <c r="BT1475" s="107"/>
      <c r="BU1475" s="107"/>
      <c r="BV1475" s="107"/>
      <c r="BW1475" s="107"/>
      <c r="BX1475" s="107"/>
      <c r="BY1475" s="107"/>
      <c r="BZ1475" s="107"/>
      <c r="CA1475" s="107"/>
      <c r="CB1475" s="107"/>
      <c r="CC1475" s="107"/>
      <c r="CD1475" s="107"/>
      <c r="CE1475" s="107"/>
      <c r="CF1475" s="107"/>
      <c r="CG1475" s="107"/>
      <c r="CH1475" s="107"/>
      <c r="CI1475" s="107"/>
      <c r="CJ1475" s="107"/>
      <c r="CK1475" s="107"/>
      <c r="CL1475" s="107"/>
      <c r="CM1475" s="107"/>
      <c r="CN1475" s="107"/>
      <c r="CO1475" s="107"/>
      <c r="CP1475" s="107"/>
      <c r="CQ1475" s="107"/>
      <c r="CR1475" s="107"/>
      <c r="CS1475" s="107"/>
      <c r="CT1475" s="107"/>
      <c r="CU1475" s="107"/>
      <c r="CV1475" s="107"/>
    </row>
    <row r="1476" customFormat="false" ht="14.9" hidden="false" customHeight="false" outlineLevel="0" collapsed="false">
      <c r="A1476" s="74" t="n">
        <f aca="false">MONTH(B1476)</f>
        <v>11</v>
      </c>
      <c r="B1476" s="135" t="n">
        <v>44529</v>
      </c>
      <c r="C1476" s="128" t="s">
        <v>51</v>
      </c>
      <c r="D1476" s="77" t="str">
        <f aca="false">IFERROR(VLOOKUP(E:E,'Item Data Support Sheet'!A:O,7,0),"")</f>
        <v>CAP MOLDED</v>
      </c>
      <c r="E1476" s="80" t="s">
        <v>343</v>
      </c>
      <c r="F1476" s="122"/>
      <c r="G1476" s="137" t="s">
        <v>740</v>
      </c>
      <c r="H1476" s="79" t="str">
        <f aca="false">IFERROR(VLOOKUP(E:E,'Item Data Support Sheet'!A:O,2,0),"")</f>
        <v>CAP S TYPE MOLDED BLUE</v>
      </c>
      <c r="I1476" s="80" t="s">
        <v>2274</v>
      </c>
      <c r="J1476" s="80" t="s">
        <v>143</v>
      </c>
      <c r="K1476" s="124" t="n">
        <v>3</v>
      </c>
      <c r="L1476" s="124" t="n">
        <v>1730</v>
      </c>
      <c r="M1476" s="83" t="n">
        <v>576.666666666667</v>
      </c>
      <c r="N1476" s="84" t="n">
        <f aca="false">+O1476+Q1476+T1476+U1476</f>
        <v>1648</v>
      </c>
      <c r="O1476" s="85" t="n">
        <v>1640</v>
      </c>
      <c r="P1476" s="86" t="n">
        <v>0</v>
      </c>
      <c r="Q1476" s="86" t="n">
        <v>0</v>
      </c>
      <c r="R1476" s="132" t="n">
        <v>0</v>
      </c>
      <c r="S1476" s="128" t="n">
        <v>0</v>
      </c>
      <c r="T1476" s="132" t="n">
        <v>0</v>
      </c>
      <c r="U1476" s="128" t="n">
        <v>8</v>
      </c>
      <c r="V1476" s="128" t="n">
        <v>1</v>
      </c>
      <c r="W1476" s="90" t="n">
        <f aca="false">IFERROR(O1476/V1476,0)</f>
        <v>1640</v>
      </c>
      <c r="X1476" s="91" t="n">
        <f aca="false">O1476/L1476</f>
        <v>0.947976878612717</v>
      </c>
      <c r="Y1476" s="92" t="str">
        <f aca="false">IFERROR(VLOOKUP(E:E,'Item Data Support Sheet'!A:J,6,0),0)</f>
        <v>RM000114</v>
      </c>
      <c r="Z1476" s="93" t="n">
        <f aca="false">IFERROR(VLOOKUP(E:E,'Item Data Support Sheet'!A:O,4,0),0)</f>
        <v>7.3</v>
      </c>
      <c r="AA1476" s="93" t="n">
        <f aca="false">IFERROR(((N1476)*(Z1476/1000))+P1476,0)</f>
        <v>12.0304</v>
      </c>
      <c r="AB1476" s="94" t="n">
        <f aca="false">IFERROR((O1476*(Z1476/1000)/(AA1476))," ")</f>
        <v>0.995145631067961</v>
      </c>
      <c r="AC1476" s="95" t="n">
        <f aca="false">IFERROR((T1476)/((T1476)+O1476),0)</f>
        <v>0</v>
      </c>
      <c r="AD1476" s="96" t="n">
        <f aca="false">IFERROR(Q1476/(Q1476+N1476),0)</f>
        <v>0</v>
      </c>
      <c r="AE1476" s="91" t="n">
        <f aca="false">(N1476-T1476)/N1476</f>
        <v>1</v>
      </c>
      <c r="AF1476" s="97" t="n">
        <f aca="false">BR1476</f>
        <v>0</v>
      </c>
      <c r="AG1476" s="98" t="n">
        <f aca="false">K1476-AF1476</f>
        <v>3</v>
      </c>
      <c r="AH1476" s="99" t="n">
        <f aca="false">IFERROR(AG1476/K1476," ")</f>
        <v>1</v>
      </c>
      <c r="AI1476" s="100" t="n">
        <f aca="false">IFERROR(O1476/K1476,0)</f>
        <v>546.666666666667</v>
      </c>
      <c r="AJ1476" s="101" t="n">
        <f aca="false">VLOOKUP(D1476,'Standard Cycle time'!C:D,2,0)</f>
        <v>6</v>
      </c>
      <c r="AK1476" s="101" t="n">
        <f aca="false">AG1476*V1476*3600/O1476</f>
        <v>6.58536585365854</v>
      </c>
      <c r="AL1476" s="102" t="n">
        <f aca="false">AJ1476/AK1476</f>
        <v>0.911111111111111</v>
      </c>
      <c r="AM1476" s="99" t="n">
        <f aca="false">AE1476*AL1476*AH1476</f>
        <v>0.911111111111111</v>
      </c>
      <c r="AN1476" s="103" t="n">
        <v>0.911111111111111</v>
      </c>
      <c r="AO1476" s="112"/>
      <c r="AP1476" s="105" t="n">
        <v>0</v>
      </c>
      <c r="AQ1476" s="105" t="n">
        <v>0</v>
      </c>
      <c r="AR1476" s="105" t="n">
        <v>0</v>
      </c>
      <c r="AS1476" s="105" t="n">
        <v>0</v>
      </c>
      <c r="AT1476" s="105" t="n">
        <v>0</v>
      </c>
      <c r="AU1476" s="105" t="n">
        <v>0</v>
      </c>
      <c r="AV1476" s="105" t="n">
        <v>0</v>
      </c>
      <c r="AW1476" s="105" t="n">
        <v>0</v>
      </c>
      <c r="AX1476" s="105" t="n">
        <v>0</v>
      </c>
      <c r="AY1476" s="105" t="n">
        <v>0</v>
      </c>
      <c r="AZ1476" s="105" t="n">
        <v>0</v>
      </c>
      <c r="BA1476" s="105" t="n">
        <v>0</v>
      </c>
      <c r="BB1476" s="105" t="n">
        <v>0</v>
      </c>
      <c r="BC1476" s="105" t="n">
        <v>0</v>
      </c>
      <c r="BD1476" s="105" t="n">
        <v>0</v>
      </c>
      <c r="BE1476" s="105" t="n">
        <v>0</v>
      </c>
      <c r="BF1476" s="105" t="n">
        <v>0</v>
      </c>
      <c r="BG1476" s="105" t="n">
        <v>0</v>
      </c>
      <c r="BH1476" s="105" t="n">
        <v>0</v>
      </c>
      <c r="BI1476" s="105" t="n">
        <v>0</v>
      </c>
      <c r="BJ1476" s="105" t="n">
        <v>0</v>
      </c>
      <c r="BK1476" s="105" t="n">
        <v>0</v>
      </c>
      <c r="BL1476" s="105" t="n">
        <v>0</v>
      </c>
      <c r="BM1476" s="105" t="n">
        <v>0</v>
      </c>
      <c r="BN1476" s="105" t="n">
        <v>0</v>
      </c>
      <c r="BO1476" s="105" t="n">
        <v>0</v>
      </c>
      <c r="BP1476" s="105" t="n">
        <v>0</v>
      </c>
      <c r="BQ1476" s="105" t="n">
        <v>0</v>
      </c>
      <c r="BR1476" s="106" t="n">
        <v>0</v>
      </c>
      <c r="BS1476" s="106" t="n">
        <v>0</v>
      </c>
      <c r="BT1476" s="107"/>
      <c r="BU1476" s="107"/>
      <c r="BV1476" s="107"/>
      <c r="BW1476" s="107"/>
      <c r="BX1476" s="107"/>
      <c r="BY1476" s="107"/>
      <c r="BZ1476" s="107"/>
      <c r="CA1476" s="107"/>
      <c r="CB1476" s="107"/>
      <c r="CC1476" s="107"/>
      <c r="CD1476" s="107"/>
      <c r="CE1476" s="107"/>
      <c r="CF1476" s="107"/>
      <c r="CG1476" s="107"/>
      <c r="CH1476" s="107"/>
      <c r="CI1476" s="107"/>
      <c r="CJ1476" s="107"/>
      <c r="CK1476" s="107"/>
      <c r="CL1476" s="107"/>
      <c r="CM1476" s="107"/>
      <c r="CN1476" s="107"/>
      <c r="CO1476" s="107"/>
      <c r="CP1476" s="107"/>
      <c r="CQ1476" s="107"/>
      <c r="CR1476" s="107"/>
      <c r="CS1476" s="107"/>
      <c r="CT1476" s="107"/>
      <c r="CU1476" s="107"/>
      <c r="CV1476" s="107"/>
    </row>
    <row r="1477" customFormat="false" ht="14.9" hidden="false" customHeight="false" outlineLevel="0" collapsed="false">
      <c r="A1477" s="74" t="n">
        <f aca="false">MONTH(B1477)</f>
        <v>11</v>
      </c>
      <c r="B1477" s="135" t="n">
        <v>44529</v>
      </c>
      <c r="C1477" s="128" t="s">
        <v>51</v>
      </c>
      <c r="D1477" s="77" t="str">
        <f aca="false">IFERROR(VLOOKUP(E:E,'Item Data Support Sheet'!A:O,7,0),"")</f>
        <v>CAP MOLDED</v>
      </c>
      <c r="E1477" s="80" t="s">
        <v>261</v>
      </c>
      <c r="F1477" s="122"/>
      <c r="G1477" s="137" t="s">
        <v>740</v>
      </c>
      <c r="H1477" s="79" t="str">
        <f aca="false">IFERROR(VLOOKUP(E:E,'Item Data Support Sheet'!A:O,2,0),"")</f>
        <v>CAP S TYPE MOLDED PINK</v>
      </c>
      <c r="I1477" s="80" t="s">
        <v>2275</v>
      </c>
      <c r="J1477" s="80" t="s">
        <v>143</v>
      </c>
      <c r="K1477" s="124" t="n">
        <v>5</v>
      </c>
      <c r="L1477" s="124" t="n">
        <v>2407</v>
      </c>
      <c r="M1477" s="83" t="n">
        <v>481.4</v>
      </c>
      <c r="N1477" s="84" t="n">
        <f aca="false">+O1477+Q1477+T1477+U1477</f>
        <v>2688</v>
      </c>
      <c r="O1477" s="85" t="n">
        <v>2670</v>
      </c>
      <c r="P1477" s="86" t="n">
        <v>0</v>
      </c>
      <c r="Q1477" s="86" t="n">
        <v>0</v>
      </c>
      <c r="R1477" s="132" t="n">
        <v>0</v>
      </c>
      <c r="S1477" s="128" t="n">
        <v>0</v>
      </c>
      <c r="T1477" s="132" t="n">
        <v>10</v>
      </c>
      <c r="U1477" s="128" t="n">
        <v>8</v>
      </c>
      <c r="V1477" s="128" t="n">
        <v>1</v>
      </c>
      <c r="W1477" s="90" t="n">
        <f aca="false">IFERROR(O1477/V1477,0)</f>
        <v>2670</v>
      </c>
      <c r="X1477" s="91" t="n">
        <f aca="false">O1477/L1477</f>
        <v>1.10926464478604</v>
      </c>
      <c r="Y1477" s="92" t="str">
        <f aca="false">IFERROR(VLOOKUP(E:E,'Item Data Support Sheet'!A:J,6,0),0)</f>
        <v>RM000123</v>
      </c>
      <c r="Z1477" s="93" t="n">
        <f aca="false">IFERROR(VLOOKUP(E:E,'Item Data Support Sheet'!A:O,4,0),0)</f>
        <v>7.3</v>
      </c>
      <c r="AA1477" s="93" t="n">
        <f aca="false">IFERROR(((N1477)*(Z1477/1000))+P1477,0)</f>
        <v>19.6224</v>
      </c>
      <c r="AB1477" s="94" t="n">
        <f aca="false">IFERROR((O1477*(Z1477/1000)/(AA1477))," ")</f>
        <v>0.993303571428572</v>
      </c>
      <c r="AC1477" s="95" t="n">
        <f aca="false">IFERROR((T1477)/((T1477)+O1477),0)</f>
        <v>0.00373134328358209</v>
      </c>
      <c r="AD1477" s="96" t="n">
        <f aca="false">IFERROR(Q1477/(Q1477+N1477),0)</f>
        <v>0</v>
      </c>
      <c r="AE1477" s="91" t="n">
        <f aca="false">(N1477-T1477)/N1477</f>
        <v>0.996279761904762</v>
      </c>
      <c r="AF1477" s="97" t="n">
        <f aca="false">BR1477</f>
        <v>0</v>
      </c>
      <c r="AG1477" s="98" t="n">
        <f aca="false">K1477-AF1477</f>
        <v>5</v>
      </c>
      <c r="AH1477" s="99" t="n">
        <f aca="false">IFERROR(AG1477/K1477," ")</f>
        <v>1</v>
      </c>
      <c r="AI1477" s="100" t="n">
        <f aca="false">IFERROR(O1477/K1477,0)</f>
        <v>534</v>
      </c>
      <c r="AJ1477" s="101" t="n">
        <f aca="false">VLOOKUP(D1477,'Standard Cycle time'!C:D,2,0)</f>
        <v>6</v>
      </c>
      <c r="AK1477" s="101" t="n">
        <f aca="false">AG1477*V1477*3600/O1477</f>
        <v>6.74157303370787</v>
      </c>
      <c r="AL1477" s="102" t="n">
        <f aca="false">AJ1477/AK1477</f>
        <v>0.89</v>
      </c>
      <c r="AM1477" s="99" t="n">
        <f aca="false">AE1477*AL1477*AH1477</f>
        <v>0.886688988095238</v>
      </c>
      <c r="AN1477" s="103" t="n">
        <v>0.866160714285714</v>
      </c>
      <c r="AO1477" s="112" t="s">
        <v>129</v>
      </c>
      <c r="AP1477" s="105" t="n">
        <v>0</v>
      </c>
      <c r="AQ1477" s="105" t="n">
        <v>0</v>
      </c>
      <c r="AR1477" s="105" t="n">
        <v>0</v>
      </c>
      <c r="AS1477" s="105" t="n">
        <v>0</v>
      </c>
      <c r="AT1477" s="105" t="n">
        <v>0</v>
      </c>
      <c r="AU1477" s="105" t="n">
        <v>0</v>
      </c>
      <c r="AV1477" s="105" t="n">
        <v>0</v>
      </c>
      <c r="AW1477" s="105" t="n">
        <v>0</v>
      </c>
      <c r="AX1477" s="105" t="n">
        <v>0</v>
      </c>
      <c r="AY1477" s="105" t="n">
        <v>0</v>
      </c>
      <c r="AZ1477" s="105" t="n">
        <v>0</v>
      </c>
      <c r="BA1477" s="105" t="n">
        <v>0</v>
      </c>
      <c r="BB1477" s="105" t="n">
        <v>0</v>
      </c>
      <c r="BC1477" s="105" t="n">
        <v>0</v>
      </c>
      <c r="BD1477" s="105" t="n">
        <v>0</v>
      </c>
      <c r="BE1477" s="105" t="n">
        <v>0</v>
      </c>
      <c r="BF1477" s="105" t="n">
        <v>0</v>
      </c>
      <c r="BG1477" s="105" t="n">
        <v>0</v>
      </c>
      <c r="BH1477" s="105" t="n">
        <v>0</v>
      </c>
      <c r="BI1477" s="105" t="n">
        <v>0</v>
      </c>
      <c r="BJ1477" s="105" t="n">
        <v>0</v>
      </c>
      <c r="BK1477" s="105" t="n">
        <v>0</v>
      </c>
      <c r="BL1477" s="105" t="n">
        <v>0</v>
      </c>
      <c r="BM1477" s="105" t="n">
        <v>0</v>
      </c>
      <c r="BN1477" s="105" t="n">
        <v>0</v>
      </c>
      <c r="BO1477" s="105" t="n">
        <v>0</v>
      </c>
      <c r="BP1477" s="105" t="n">
        <v>0</v>
      </c>
      <c r="BQ1477" s="105" t="n">
        <v>0</v>
      </c>
      <c r="BR1477" s="106" t="n">
        <v>0</v>
      </c>
      <c r="BS1477" s="106" t="n">
        <v>0</v>
      </c>
      <c r="BT1477" s="107"/>
      <c r="BU1477" s="107"/>
      <c r="BV1477" s="107"/>
      <c r="BW1477" s="107"/>
      <c r="BX1477" s="107"/>
      <c r="BY1477" s="107"/>
      <c r="BZ1477" s="107"/>
      <c r="CA1477" s="107"/>
      <c r="CB1477" s="107"/>
      <c r="CC1477" s="107"/>
      <c r="CD1477" s="107"/>
      <c r="CE1477" s="107"/>
      <c r="CF1477" s="107"/>
      <c r="CG1477" s="107"/>
      <c r="CH1477" s="107"/>
      <c r="CI1477" s="107"/>
      <c r="CJ1477" s="107"/>
      <c r="CK1477" s="107"/>
      <c r="CL1477" s="107"/>
      <c r="CM1477" s="107"/>
      <c r="CN1477" s="107"/>
      <c r="CO1477" s="107"/>
      <c r="CP1477" s="107"/>
      <c r="CQ1477" s="107"/>
      <c r="CR1477" s="107"/>
      <c r="CS1477" s="107"/>
      <c r="CT1477" s="107"/>
      <c r="CU1477" s="107"/>
      <c r="CV1477" s="107"/>
    </row>
    <row r="1478" customFormat="false" ht="14.9" hidden="false" customHeight="false" outlineLevel="0" collapsed="false">
      <c r="A1478" s="74" t="n">
        <f aca="false">MONTH(B1478)</f>
        <v>11</v>
      </c>
      <c r="B1478" s="135" t="n">
        <v>44529</v>
      </c>
      <c r="C1478" s="128" t="s">
        <v>63</v>
      </c>
      <c r="D1478" s="77" t="str">
        <f aca="false">IFERROR(VLOOKUP(E:E,'Item Data Support Sheet'!A:O,7,0),"")</f>
        <v>BOTTLE PRINTED</v>
      </c>
      <c r="E1478" s="80" t="s">
        <v>691</v>
      </c>
      <c r="F1478" s="122"/>
      <c r="G1478" s="137"/>
      <c r="H1478" s="79" t="str">
        <f aca="false">IFERROR(VLOOKUP(E:E,'Item Data Support Sheet'!A:O,2,0),"")</f>
        <v>KPP 120 ML BOTTLE PRINTED</v>
      </c>
      <c r="I1478" s="80" t="s">
        <v>2276</v>
      </c>
      <c r="J1478" s="80" t="s">
        <v>155</v>
      </c>
      <c r="K1478" s="124" t="n">
        <v>8</v>
      </c>
      <c r="L1478" s="124" t="n">
        <v>5100</v>
      </c>
      <c r="M1478" s="83" t="n">
        <v>638</v>
      </c>
      <c r="N1478" s="84" t="n">
        <f aca="false">+O1478+Q1478+T1478+U1478</f>
        <v>6012</v>
      </c>
      <c r="O1478" s="85" t="n">
        <v>5940</v>
      </c>
      <c r="P1478" s="86" t="n">
        <v>0</v>
      </c>
      <c r="Q1478" s="86" t="n">
        <v>0</v>
      </c>
      <c r="R1478" s="132" t="n">
        <v>47</v>
      </c>
      <c r="S1478" s="128" t="n">
        <v>0</v>
      </c>
      <c r="T1478" s="132" t="n">
        <v>72</v>
      </c>
      <c r="U1478" s="128" t="n">
        <v>0</v>
      </c>
      <c r="V1478" s="128" t="n">
        <v>5</v>
      </c>
      <c r="W1478" s="90" t="n">
        <f aca="false">IFERROR(O1478/V1478,0)</f>
        <v>1188</v>
      </c>
      <c r="X1478" s="91" t="n">
        <f aca="false">O1478/L1478</f>
        <v>1.16470588235294</v>
      </c>
      <c r="Y1478" s="92" t="str">
        <f aca="false">IFERROR(VLOOKUP(E:E,'Item Data Support Sheet'!A:J,6,0),0)</f>
        <v>FO001</v>
      </c>
      <c r="Z1478" s="93" t="n">
        <f aca="false">IFERROR(VLOOKUP(E:E,'Item Data Support Sheet'!A:O,4,0),0)</f>
        <v>0</v>
      </c>
      <c r="AA1478" s="93" t="n">
        <f aca="false">IFERROR(((N1478)*(Z1478/1000))+P1478,0)</f>
        <v>0</v>
      </c>
      <c r="AB1478" s="94" t="str">
        <f aca="false">IFERROR((O1478*(Z1478/1000)/(AA1478))," ")</f>
        <v> </v>
      </c>
      <c r="AC1478" s="95" t="n">
        <f aca="false">IFERROR((T1478)/((T1478)+O1478),0)</f>
        <v>0.0119760479041916</v>
      </c>
      <c r="AD1478" s="96" t="n">
        <f aca="false">IFERROR(Q1478/(Q1478+N1478),0)</f>
        <v>0</v>
      </c>
      <c r="AE1478" s="91" t="n">
        <f aca="false">(N1478-T1478)/N1478</f>
        <v>0.988023952095808</v>
      </c>
      <c r="AF1478" s="97" t="n">
        <f aca="false">BR1478</f>
        <v>0.833333333333333</v>
      </c>
      <c r="AG1478" s="98" t="n">
        <f aca="false">K1478-AF1478</f>
        <v>7.16666666666667</v>
      </c>
      <c r="AH1478" s="99" t="n">
        <f aca="false">IFERROR(AG1478/K1478," ")</f>
        <v>0.895833333333333</v>
      </c>
      <c r="AI1478" s="100" t="n">
        <f aca="false">IFERROR(O1478/K1478,0)</f>
        <v>742.5</v>
      </c>
      <c r="AJ1478" s="101" t="n">
        <f aca="false">VLOOKUP(D1478,'Standard Cycle time'!C:D,2,0)</f>
        <v>32.4</v>
      </c>
      <c r="AK1478" s="101" t="n">
        <f aca="false">AG1478*V1478*3600/O1478</f>
        <v>21.7171717171717</v>
      </c>
      <c r="AL1478" s="102" t="n">
        <f aca="false">AJ1478/AK1478</f>
        <v>1.49190697674419</v>
      </c>
      <c r="AM1478" s="99" t="n">
        <f aca="false">AE1478*AL1478*AH1478</f>
        <v>1.32049401197605</v>
      </c>
      <c r="AN1478" s="103" t="n">
        <v>1.32316167664671</v>
      </c>
      <c r="AO1478" s="112"/>
      <c r="AP1478" s="105" t="n">
        <v>50</v>
      </c>
      <c r="AQ1478" s="105" t="n">
        <v>0</v>
      </c>
      <c r="AR1478" s="105" t="n">
        <v>0</v>
      </c>
      <c r="AS1478" s="105" t="n">
        <v>0</v>
      </c>
      <c r="AT1478" s="105" t="n">
        <v>0</v>
      </c>
      <c r="AU1478" s="105" t="n">
        <v>0</v>
      </c>
      <c r="AV1478" s="105" t="n">
        <v>0</v>
      </c>
      <c r="AW1478" s="105" t="n">
        <v>0</v>
      </c>
      <c r="AX1478" s="105" t="n">
        <v>0</v>
      </c>
      <c r="AY1478" s="105" t="n">
        <v>0</v>
      </c>
      <c r="AZ1478" s="105" t="n">
        <v>0</v>
      </c>
      <c r="BA1478" s="105" t="n">
        <v>0</v>
      </c>
      <c r="BB1478" s="105" t="n">
        <v>0</v>
      </c>
      <c r="BC1478" s="105" t="n">
        <v>0</v>
      </c>
      <c r="BD1478" s="105" t="n">
        <v>0</v>
      </c>
      <c r="BE1478" s="105" t="n">
        <v>0</v>
      </c>
      <c r="BF1478" s="105" t="n">
        <v>0</v>
      </c>
      <c r="BG1478" s="105" t="n">
        <v>0</v>
      </c>
      <c r="BH1478" s="105" t="n">
        <v>0</v>
      </c>
      <c r="BI1478" s="105" t="n">
        <v>0</v>
      </c>
      <c r="BJ1478" s="105" t="n">
        <v>0</v>
      </c>
      <c r="BK1478" s="105" t="n">
        <v>0</v>
      </c>
      <c r="BL1478" s="105" t="n">
        <v>0</v>
      </c>
      <c r="BM1478" s="105" t="n">
        <v>0</v>
      </c>
      <c r="BN1478" s="105" t="n">
        <v>0</v>
      </c>
      <c r="BO1478" s="105" t="n">
        <v>0</v>
      </c>
      <c r="BP1478" s="105" t="n">
        <v>0</v>
      </c>
      <c r="BQ1478" s="105" t="n">
        <v>0</v>
      </c>
      <c r="BR1478" s="106" t="n">
        <v>0.833333333333333</v>
      </c>
      <c r="BS1478" s="106" t="n">
        <v>0.833333333333333</v>
      </c>
      <c r="BT1478" s="107"/>
      <c r="BU1478" s="107"/>
      <c r="BV1478" s="107"/>
      <c r="BW1478" s="107"/>
      <c r="BX1478" s="107"/>
      <c r="BY1478" s="107"/>
      <c r="BZ1478" s="107"/>
      <c r="CA1478" s="107"/>
      <c r="CB1478" s="107"/>
      <c r="CC1478" s="107"/>
      <c r="CD1478" s="107"/>
      <c r="CE1478" s="107"/>
      <c r="CF1478" s="107"/>
      <c r="CG1478" s="107"/>
      <c r="CH1478" s="107"/>
      <c r="CI1478" s="107"/>
      <c r="CJ1478" s="107"/>
      <c r="CK1478" s="107"/>
      <c r="CL1478" s="107"/>
      <c r="CM1478" s="107"/>
      <c r="CN1478" s="107"/>
      <c r="CO1478" s="107"/>
      <c r="CP1478" s="107"/>
      <c r="CQ1478" s="107"/>
      <c r="CR1478" s="107"/>
      <c r="CS1478" s="107"/>
      <c r="CT1478" s="107"/>
      <c r="CU1478" s="107"/>
      <c r="CV1478" s="107"/>
    </row>
    <row r="1479" customFormat="false" ht="14.9" hidden="false" customHeight="false" outlineLevel="0" collapsed="false">
      <c r="A1479" s="74" t="n">
        <f aca="false">MONTH(B1479)</f>
        <v>11</v>
      </c>
      <c r="B1479" s="135" t="n">
        <v>44529</v>
      </c>
      <c r="C1479" s="128" t="s">
        <v>63</v>
      </c>
      <c r="D1479" s="77" t="str">
        <f aca="false">IFERROR(VLOOKUP(E:E,'Item Data Support Sheet'!A:O,7,0),"")</f>
        <v>NIPPLE PUNCH INSPECTED</v>
      </c>
      <c r="E1479" s="80" t="s">
        <v>688</v>
      </c>
      <c r="F1479" s="122"/>
      <c r="G1479" s="137"/>
      <c r="H1479" s="79" t="str">
        <f aca="false">IFERROR(VLOOKUP(E:E,'Item Data Support Sheet'!A:O,2,0),"")</f>
        <v>NIPPLE S TYPE L SIZE PUNCHED INSPECTED</v>
      </c>
      <c r="I1479" s="80" t="s">
        <v>2262</v>
      </c>
      <c r="J1479" s="80" t="s">
        <v>155</v>
      </c>
      <c r="K1479" s="124" t="n">
        <v>8</v>
      </c>
      <c r="L1479" s="124" t="n">
        <v>19000</v>
      </c>
      <c r="M1479" s="83" t="n">
        <v>2375</v>
      </c>
      <c r="N1479" s="84" t="n">
        <f aca="false">+O1479+Q1479+T1479+U1479</f>
        <v>17700</v>
      </c>
      <c r="O1479" s="85" t="n">
        <v>17640</v>
      </c>
      <c r="P1479" s="86" t="n">
        <v>0</v>
      </c>
      <c r="Q1479" s="86" t="n">
        <v>0</v>
      </c>
      <c r="R1479" s="132" t="n">
        <v>0</v>
      </c>
      <c r="S1479" s="128" t="n">
        <v>0</v>
      </c>
      <c r="T1479" s="132" t="n">
        <v>60</v>
      </c>
      <c r="U1479" s="128" t="n">
        <v>0</v>
      </c>
      <c r="V1479" s="128" t="n">
        <v>2</v>
      </c>
      <c r="W1479" s="90" t="n">
        <f aca="false">IFERROR(O1479/V1479,0)</f>
        <v>8820</v>
      </c>
      <c r="X1479" s="91" t="n">
        <f aca="false">O1479/L1479</f>
        <v>0.928421052631579</v>
      </c>
      <c r="Y1479" s="92" t="str">
        <f aca="false">IFERROR(VLOOKUP(E:E,'Item Data Support Sheet'!A:J,6,0),0)</f>
        <v>FO106</v>
      </c>
      <c r="Z1479" s="93" t="n">
        <f aca="false">IFERROR(VLOOKUP(E:E,'Item Data Support Sheet'!A:O,4,0),0)</f>
        <v>0</v>
      </c>
      <c r="AA1479" s="93" t="n">
        <f aca="false">IFERROR(((N1479)*(Z1479/1000))+P1479,0)</f>
        <v>0</v>
      </c>
      <c r="AB1479" s="94" t="str">
        <f aca="false">IFERROR((O1479*(Z1479/1000)/(AA1479))," ")</f>
        <v> </v>
      </c>
      <c r="AC1479" s="95" t="n">
        <f aca="false">IFERROR((T1479)/((T1479)+O1479),0)</f>
        <v>0.00338983050847458</v>
      </c>
      <c r="AD1479" s="96" t="n">
        <f aca="false">IFERROR(Q1479/(Q1479+N1479),0)</f>
        <v>0</v>
      </c>
      <c r="AE1479" s="91" t="n">
        <f aca="false">(N1479-T1479)/N1479</f>
        <v>0.996610169491525</v>
      </c>
      <c r="AF1479" s="97" t="n">
        <f aca="false">BR1479</f>
        <v>0.833333333333333</v>
      </c>
      <c r="AG1479" s="98" t="n">
        <f aca="false">K1479-AF1479</f>
        <v>7.16666666666667</v>
      </c>
      <c r="AH1479" s="99" t="n">
        <f aca="false">IFERROR(AG1479/K1479," ")</f>
        <v>0.895833333333333</v>
      </c>
      <c r="AI1479" s="100" t="n">
        <f aca="false">IFERROR(O1479/K1479,0)</f>
        <v>2205</v>
      </c>
      <c r="AJ1479" s="101" t="n">
        <f aca="false">VLOOKUP(D1479,'Standard Cycle time'!C:D,2,0)</f>
        <v>4</v>
      </c>
      <c r="AK1479" s="101" t="n">
        <f aca="false">AG1479*V1479*3600/O1479</f>
        <v>2.92517006802721</v>
      </c>
      <c r="AL1479" s="102" t="n">
        <f aca="false">AJ1479/AK1479</f>
        <v>1.36744186046512</v>
      </c>
      <c r="AM1479" s="99" t="n">
        <f aca="false">AE1479*AL1479*AH1479</f>
        <v>1.22084745762712</v>
      </c>
      <c r="AN1479" s="103" t="n">
        <v>1.22084745762712</v>
      </c>
      <c r="AO1479" s="112"/>
      <c r="AP1479" s="105" t="n">
        <v>50</v>
      </c>
      <c r="AQ1479" s="105" t="n">
        <v>0</v>
      </c>
      <c r="AR1479" s="105" t="n">
        <v>0</v>
      </c>
      <c r="AS1479" s="105" t="n">
        <v>0</v>
      </c>
      <c r="AT1479" s="105" t="n">
        <v>0</v>
      </c>
      <c r="AU1479" s="105" t="n">
        <v>0</v>
      </c>
      <c r="AV1479" s="105" t="n">
        <v>0</v>
      </c>
      <c r="AW1479" s="105" t="n">
        <v>0</v>
      </c>
      <c r="AX1479" s="105" t="n">
        <v>0</v>
      </c>
      <c r="AY1479" s="105" t="n">
        <v>0</v>
      </c>
      <c r="AZ1479" s="105" t="n">
        <v>0</v>
      </c>
      <c r="BA1479" s="105" t="n">
        <v>0</v>
      </c>
      <c r="BB1479" s="105" t="n">
        <v>0</v>
      </c>
      <c r="BC1479" s="105" t="n">
        <v>0</v>
      </c>
      <c r="BD1479" s="105" t="n">
        <v>0</v>
      </c>
      <c r="BE1479" s="105" t="n">
        <v>0</v>
      </c>
      <c r="BF1479" s="105" t="n">
        <v>0</v>
      </c>
      <c r="BG1479" s="105" t="n">
        <v>0</v>
      </c>
      <c r="BH1479" s="105" t="n">
        <v>0</v>
      </c>
      <c r="BI1479" s="105" t="n">
        <v>0</v>
      </c>
      <c r="BJ1479" s="105" t="n">
        <v>0</v>
      </c>
      <c r="BK1479" s="105" t="n">
        <v>0</v>
      </c>
      <c r="BL1479" s="105" t="n">
        <v>0</v>
      </c>
      <c r="BM1479" s="105" t="n">
        <v>0</v>
      </c>
      <c r="BN1479" s="105" t="n">
        <v>0</v>
      </c>
      <c r="BO1479" s="105" t="n">
        <v>0</v>
      </c>
      <c r="BP1479" s="105" t="n">
        <v>0</v>
      </c>
      <c r="BQ1479" s="105" t="n">
        <v>0</v>
      </c>
      <c r="BR1479" s="106" t="n">
        <v>0.833333333333333</v>
      </c>
      <c r="BS1479" s="106" t="n">
        <v>0.833333333333333</v>
      </c>
      <c r="BT1479" s="107"/>
      <c r="BU1479" s="107"/>
      <c r="BV1479" s="107"/>
      <c r="BW1479" s="107"/>
      <c r="BX1479" s="107"/>
      <c r="BY1479" s="107"/>
      <c r="BZ1479" s="107"/>
      <c r="CA1479" s="107"/>
      <c r="CB1479" s="107"/>
      <c r="CC1479" s="107"/>
      <c r="CD1479" s="107"/>
      <c r="CE1479" s="107"/>
      <c r="CF1479" s="107"/>
      <c r="CG1479" s="107"/>
      <c r="CH1479" s="107"/>
      <c r="CI1479" s="107"/>
      <c r="CJ1479" s="107"/>
      <c r="CK1479" s="107"/>
      <c r="CL1479" s="107"/>
      <c r="CM1479" s="107"/>
      <c r="CN1479" s="107"/>
      <c r="CO1479" s="107"/>
      <c r="CP1479" s="107"/>
      <c r="CQ1479" s="107"/>
      <c r="CR1479" s="107"/>
      <c r="CS1479" s="107"/>
      <c r="CT1479" s="107"/>
      <c r="CU1479" s="107"/>
      <c r="CV1479" s="107"/>
    </row>
    <row r="1480" customFormat="false" ht="14.9" hidden="false" customHeight="false" outlineLevel="0" collapsed="false">
      <c r="A1480" s="74" t="n">
        <f aca="false">MONTH(B1480)</f>
        <v>11</v>
      </c>
      <c r="B1480" s="135" t="n">
        <v>44529</v>
      </c>
      <c r="C1480" s="128" t="s">
        <v>70</v>
      </c>
      <c r="D1480" s="77" t="str">
        <f aca="false">IFERROR(VLOOKUP(E:E,'Item Data Support Sheet'!A:O,7,0),"")</f>
        <v>NIPPLE PUNCH</v>
      </c>
      <c r="E1480" s="80" t="s">
        <v>666</v>
      </c>
      <c r="F1480" s="122"/>
      <c r="G1480" s="137" t="s">
        <v>54</v>
      </c>
      <c r="H1480" s="79" t="str">
        <f aca="false">IFERROR(VLOOKUP(E:E,'Item Data Support Sheet'!A:O,2,0),"")</f>
        <v>NIPPLE S TYPE L SIZE PUNCHED</v>
      </c>
      <c r="I1480" s="80" t="s">
        <v>2277</v>
      </c>
      <c r="J1480" s="80" t="s">
        <v>155</v>
      </c>
      <c r="K1480" s="124" t="n">
        <v>8</v>
      </c>
      <c r="L1480" s="124" t="n">
        <v>7000</v>
      </c>
      <c r="M1480" s="83" t="n">
        <v>875</v>
      </c>
      <c r="N1480" s="84" t="n">
        <f aca="false">+O1480+Q1480+T1480+U1480</f>
        <v>7000</v>
      </c>
      <c r="O1480" s="85" t="n">
        <v>7000</v>
      </c>
      <c r="P1480" s="86" t="n">
        <v>0</v>
      </c>
      <c r="Q1480" s="86" t="n">
        <v>0</v>
      </c>
      <c r="R1480" s="132" t="n">
        <v>0</v>
      </c>
      <c r="S1480" s="128" t="n">
        <v>0</v>
      </c>
      <c r="T1480" s="132" t="n">
        <v>0</v>
      </c>
      <c r="U1480" s="128" t="n">
        <v>0</v>
      </c>
      <c r="V1480" s="128" t="n">
        <v>1</v>
      </c>
      <c r="W1480" s="90" t="n">
        <f aca="false">IFERROR(O1480/V1480,0)</f>
        <v>7000</v>
      </c>
      <c r="X1480" s="91" t="n">
        <f aca="false">O1480/L1480</f>
        <v>1</v>
      </c>
      <c r="Y1480" s="92" t="str">
        <f aca="false">IFERROR(VLOOKUP(E:E,'Item Data Support Sheet'!A:J,6,0),0)</f>
        <v>FO017</v>
      </c>
      <c r="Z1480" s="93" t="n">
        <f aca="false">IFERROR(VLOOKUP(E:E,'Item Data Support Sheet'!A:O,4,0),0)</f>
        <v>0</v>
      </c>
      <c r="AA1480" s="93" t="n">
        <f aca="false">IFERROR(((N1480)*(Z1480/1000))+P1480,0)</f>
        <v>0</v>
      </c>
      <c r="AB1480" s="94" t="str">
        <f aca="false">IFERROR((O1480*(Z1480/1000)/(AA1480))," ")</f>
        <v> </v>
      </c>
      <c r="AC1480" s="95" t="n">
        <f aca="false">IFERROR((T1480)/((T1480)+O1480),0)</f>
        <v>0</v>
      </c>
      <c r="AD1480" s="96" t="n">
        <f aca="false">IFERROR(Q1480/(Q1480+N1480),0)</f>
        <v>0</v>
      </c>
      <c r="AE1480" s="91" t="n">
        <f aca="false">(N1480-T1480)/N1480</f>
        <v>1</v>
      </c>
      <c r="AF1480" s="97" t="n">
        <f aca="false">BR1480</f>
        <v>0.666666666666667</v>
      </c>
      <c r="AG1480" s="98" t="n">
        <f aca="false">K1480-AF1480</f>
        <v>7.33333333333333</v>
      </c>
      <c r="AH1480" s="99" t="n">
        <f aca="false">IFERROR(AG1480/K1480," ")</f>
        <v>0.916666666666667</v>
      </c>
      <c r="AI1480" s="100" t="n">
        <f aca="false">IFERROR(O1480/K1480,0)</f>
        <v>875</v>
      </c>
      <c r="AJ1480" s="101" t="n">
        <f aca="false">VLOOKUP(D1480,'Standard Cycle time'!C:D,2,0)</f>
        <v>3.5</v>
      </c>
      <c r="AK1480" s="101" t="n">
        <f aca="false">AG1480*V1480*3600/O1480</f>
        <v>3.77142857142857</v>
      </c>
      <c r="AL1480" s="102" t="n">
        <f aca="false">AJ1480/AK1480</f>
        <v>0.928030303030303</v>
      </c>
      <c r="AM1480" s="99" t="n">
        <f aca="false">AE1480*AL1480*AH1480</f>
        <v>0.850694444444444</v>
      </c>
      <c r="AN1480" s="103" t="n">
        <v>0.850694444444444</v>
      </c>
      <c r="AO1480" s="112"/>
      <c r="AP1480" s="105" t="n">
        <v>40</v>
      </c>
      <c r="AQ1480" s="105" t="n">
        <v>0</v>
      </c>
      <c r="AR1480" s="105" t="n">
        <v>0</v>
      </c>
      <c r="AS1480" s="105" t="n">
        <v>0</v>
      </c>
      <c r="AT1480" s="105" t="n">
        <v>0</v>
      </c>
      <c r="AU1480" s="105" t="n">
        <v>0</v>
      </c>
      <c r="AV1480" s="105" t="n">
        <v>0</v>
      </c>
      <c r="AW1480" s="105" t="n">
        <v>0</v>
      </c>
      <c r="AX1480" s="105" t="n">
        <v>0</v>
      </c>
      <c r="AY1480" s="105" t="n">
        <v>0</v>
      </c>
      <c r="AZ1480" s="105" t="n">
        <v>0</v>
      </c>
      <c r="BA1480" s="105" t="n">
        <v>0</v>
      </c>
      <c r="BB1480" s="105" t="n">
        <v>0</v>
      </c>
      <c r="BC1480" s="105" t="n">
        <v>0</v>
      </c>
      <c r="BD1480" s="105" t="n">
        <v>0</v>
      </c>
      <c r="BE1480" s="105" t="n">
        <v>0</v>
      </c>
      <c r="BF1480" s="105" t="n">
        <v>0</v>
      </c>
      <c r="BG1480" s="105" t="n">
        <v>0</v>
      </c>
      <c r="BH1480" s="105" t="n">
        <v>0</v>
      </c>
      <c r="BI1480" s="105" t="n">
        <v>0</v>
      </c>
      <c r="BJ1480" s="105" t="n">
        <v>0</v>
      </c>
      <c r="BK1480" s="105" t="n">
        <v>0</v>
      </c>
      <c r="BL1480" s="105" t="n">
        <v>0</v>
      </c>
      <c r="BM1480" s="105" t="n">
        <v>0</v>
      </c>
      <c r="BN1480" s="105" t="n">
        <v>0</v>
      </c>
      <c r="BO1480" s="105" t="n">
        <v>0</v>
      </c>
      <c r="BP1480" s="105" t="n">
        <v>0</v>
      </c>
      <c r="BQ1480" s="105" t="n">
        <v>0</v>
      </c>
      <c r="BR1480" s="106" t="n">
        <v>0.666666666666667</v>
      </c>
      <c r="BS1480" s="106" t="n">
        <v>0.666666666666667</v>
      </c>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c r="CO1480" s="107"/>
      <c r="CP1480" s="107"/>
      <c r="CQ1480" s="107"/>
      <c r="CR1480" s="107"/>
      <c r="CS1480" s="107"/>
      <c r="CT1480" s="107"/>
      <c r="CU1480" s="107"/>
      <c r="CV1480" s="107"/>
    </row>
    <row r="1481" customFormat="false" ht="14.9" hidden="false" customHeight="false" outlineLevel="0" collapsed="false">
      <c r="A1481" s="74" t="n">
        <f aca="false">MONTH(B1481)</f>
        <v>11</v>
      </c>
      <c r="B1481" s="135" t="n">
        <v>44529</v>
      </c>
      <c r="C1481" s="128" t="s">
        <v>70</v>
      </c>
      <c r="D1481" s="77" t="str">
        <f aca="false">IFERROR(VLOOKUP(E:E,'Item Data Support Sheet'!A:O,7,0),"")</f>
        <v>NIPPLE LASER MARKING</v>
      </c>
      <c r="E1481" s="80" t="s">
        <v>681</v>
      </c>
      <c r="F1481" s="122"/>
      <c r="G1481" s="137" t="s">
        <v>517</v>
      </c>
      <c r="H1481" s="79" t="str">
        <f aca="false">IFERROR(VLOOKUP(E:E,'Item Data Support Sheet'!A:O,2,0),"")</f>
        <v>NIPPLE S TYPE L SIZE PUNCHED LASER MARKED</v>
      </c>
      <c r="I1481" s="80" t="s">
        <v>2255</v>
      </c>
      <c r="J1481" s="80" t="s">
        <v>155</v>
      </c>
      <c r="K1481" s="124" t="n">
        <v>8</v>
      </c>
      <c r="L1481" s="124" t="n">
        <v>7000</v>
      </c>
      <c r="M1481" s="83" t="n">
        <v>875</v>
      </c>
      <c r="N1481" s="84" t="n">
        <f aca="false">+O1481+Q1481+T1481+U1481</f>
        <v>6800</v>
      </c>
      <c r="O1481" s="85" t="n">
        <v>6800</v>
      </c>
      <c r="P1481" s="86" t="n">
        <v>0</v>
      </c>
      <c r="Q1481" s="86" t="n">
        <v>0</v>
      </c>
      <c r="R1481" s="132" t="n">
        <v>0</v>
      </c>
      <c r="S1481" s="128" t="n">
        <v>0</v>
      </c>
      <c r="T1481" s="132" t="n">
        <v>0</v>
      </c>
      <c r="U1481" s="128" t="n">
        <v>0</v>
      </c>
      <c r="V1481" s="128" t="n">
        <v>1</v>
      </c>
      <c r="W1481" s="90" t="n">
        <f aca="false">IFERROR(O1481/V1481,0)</f>
        <v>6800</v>
      </c>
      <c r="X1481" s="91" t="n">
        <f aca="false">O1481/L1481</f>
        <v>0.971428571428571</v>
      </c>
      <c r="Y1481" s="92" t="str">
        <f aca="false">IFERROR(VLOOKUP(E:E,'Item Data Support Sheet'!A:J,6,0),0)</f>
        <v>FO021</v>
      </c>
      <c r="Z1481" s="93" t="n">
        <f aca="false">IFERROR(VLOOKUP(E:E,'Item Data Support Sheet'!A:O,4,0),0)</f>
        <v>0</v>
      </c>
      <c r="AA1481" s="93" t="n">
        <f aca="false">IFERROR(((N1481)*(Z1481/1000))+P1481,0)</f>
        <v>0</v>
      </c>
      <c r="AB1481" s="94" t="str">
        <f aca="false">IFERROR((O1481*(Z1481/1000)/(AA1481))," ")</f>
        <v> </v>
      </c>
      <c r="AC1481" s="95" t="n">
        <f aca="false">IFERROR((T1481)/((T1481)+O1481),0)</f>
        <v>0</v>
      </c>
      <c r="AD1481" s="96" t="n">
        <f aca="false">IFERROR(Q1481/(Q1481+N1481),0)</f>
        <v>0</v>
      </c>
      <c r="AE1481" s="91" t="n">
        <f aca="false">(N1481-T1481)/N1481</f>
        <v>1</v>
      </c>
      <c r="AF1481" s="97" t="n">
        <f aca="false">BR1481</f>
        <v>0.666666666666667</v>
      </c>
      <c r="AG1481" s="98" t="n">
        <f aca="false">K1481-AF1481</f>
        <v>7.33333333333333</v>
      </c>
      <c r="AH1481" s="99" t="n">
        <f aca="false">IFERROR(AG1481/K1481," ")</f>
        <v>0.916666666666667</v>
      </c>
      <c r="AI1481" s="100" t="n">
        <f aca="false">IFERROR(O1481/K1481,0)</f>
        <v>850</v>
      </c>
      <c r="AJ1481" s="101" t="n">
        <f aca="false">VLOOKUP(D1481,'Standard Cycle time'!C:D,2,0)</f>
        <v>3.5</v>
      </c>
      <c r="AK1481" s="101" t="n">
        <f aca="false">AG1481*V1481*3600/O1481</f>
        <v>3.88235294117647</v>
      </c>
      <c r="AL1481" s="102" t="n">
        <f aca="false">AJ1481/AK1481</f>
        <v>0.901515151515151</v>
      </c>
      <c r="AM1481" s="99" t="n">
        <f aca="false">AE1481*AL1481*AH1481</f>
        <v>0.826388888888889</v>
      </c>
      <c r="AN1481" s="103" t="n">
        <v>0.826388888888889</v>
      </c>
      <c r="AO1481" s="112"/>
      <c r="AP1481" s="105" t="n">
        <v>40</v>
      </c>
      <c r="AQ1481" s="105" t="n">
        <v>0</v>
      </c>
      <c r="AR1481" s="105" t="n">
        <v>0</v>
      </c>
      <c r="AS1481" s="105" t="n">
        <v>0</v>
      </c>
      <c r="AT1481" s="105" t="n">
        <v>0</v>
      </c>
      <c r="AU1481" s="105" t="n">
        <v>0</v>
      </c>
      <c r="AV1481" s="105" t="n">
        <v>0</v>
      </c>
      <c r="AW1481" s="105" t="n">
        <v>0</v>
      </c>
      <c r="AX1481" s="105" t="n">
        <v>0</v>
      </c>
      <c r="AY1481" s="105" t="n">
        <v>0</v>
      </c>
      <c r="AZ1481" s="105" t="n">
        <v>0</v>
      </c>
      <c r="BA1481" s="105" t="n">
        <v>0</v>
      </c>
      <c r="BB1481" s="105" t="n">
        <v>0</v>
      </c>
      <c r="BC1481" s="105" t="n">
        <v>0</v>
      </c>
      <c r="BD1481" s="105" t="n">
        <v>0</v>
      </c>
      <c r="BE1481" s="105" t="n">
        <v>0</v>
      </c>
      <c r="BF1481" s="105" t="n">
        <v>0</v>
      </c>
      <c r="BG1481" s="105" t="n">
        <v>0</v>
      </c>
      <c r="BH1481" s="105" t="n">
        <v>0</v>
      </c>
      <c r="BI1481" s="105" t="n">
        <v>0</v>
      </c>
      <c r="BJ1481" s="105" t="n">
        <v>0</v>
      </c>
      <c r="BK1481" s="105" t="n">
        <v>0</v>
      </c>
      <c r="BL1481" s="105" t="n">
        <v>0</v>
      </c>
      <c r="BM1481" s="105" t="n">
        <v>0</v>
      </c>
      <c r="BN1481" s="105" t="n">
        <v>0</v>
      </c>
      <c r="BO1481" s="105" t="n">
        <v>0</v>
      </c>
      <c r="BP1481" s="105" t="n">
        <v>0</v>
      </c>
      <c r="BQ1481" s="105" t="n">
        <v>0</v>
      </c>
      <c r="BR1481" s="106" t="n">
        <v>0.666666666666667</v>
      </c>
      <c r="BS1481" s="106" t="n">
        <v>0.666666666666667</v>
      </c>
      <c r="BT1481" s="107"/>
      <c r="BU1481" s="107"/>
      <c r="BV1481" s="107"/>
      <c r="BW1481" s="107"/>
      <c r="BX1481" s="107"/>
      <c r="BY1481" s="107"/>
      <c r="BZ1481" s="107"/>
      <c r="CA1481" s="107"/>
      <c r="CB1481" s="107"/>
      <c r="CC1481" s="107"/>
      <c r="CD1481" s="107"/>
      <c r="CE1481" s="107"/>
      <c r="CF1481" s="107"/>
      <c r="CG1481" s="107"/>
      <c r="CH1481" s="107"/>
      <c r="CI1481" s="107"/>
      <c r="CJ1481" s="107"/>
      <c r="CK1481" s="107"/>
      <c r="CL1481" s="107"/>
      <c r="CM1481" s="107"/>
      <c r="CN1481" s="107"/>
      <c r="CO1481" s="107"/>
      <c r="CP1481" s="107"/>
      <c r="CQ1481" s="107"/>
      <c r="CR1481" s="107"/>
      <c r="CS1481" s="107"/>
      <c r="CT1481" s="107"/>
      <c r="CU1481" s="107"/>
      <c r="CV1481" s="107"/>
    </row>
    <row r="1482" customFormat="false" ht="14.9" hidden="false" customHeight="false" outlineLevel="0" collapsed="false">
      <c r="A1482" s="74" t="n">
        <f aca="false">MONTH(B1482)</f>
        <v>11</v>
      </c>
      <c r="B1482" s="135" t="n">
        <v>44529</v>
      </c>
      <c r="C1482" s="128" t="s">
        <v>70</v>
      </c>
      <c r="D1482" s="77" t="str">
        <f aca="false">IFERROR(VLOOKUP(E:E,'Item Data Support Sheet'!A:O,7,0),"")</f>
        <v>BOTTLE MOLDED</v>
      </c>
      <c r="E1482" s="80" t="s">
        <v>357</v>
      </c>
      <c r="F1482" s="122" t="s">
        <v>144</v>
      </c>
      <c r="G1482" s="137" t="s">
        <v>80</v>
      </c>
      <c r="H1482" s="79" t="str">
        <f aca="false">IFERROR(VLOOKUP(E:E,'Item Data Support Sheet'!A:O,2,0),"")</f>
        <v>KPP 120 ML BOTTLE MOLDED</v>
      </c>
      <c r="I1482" s="80" t="s">
        <v>2278</v>
      </c>
      <c r="J1482" s="80" t="s">
        <v>155</v>
      </c>
      <c r="K1482" s="124" t="n">
        <v>8</v>
      </c>
      <c r="L1482" s="124" t="n">
        <v>2574</v>
      </c>
      <c r="M1482" s="83" t="n">
        <v>321.75</v>
      </c>
      <c r="N1482" s="84" t="n">
        <f aca="false">+O1482+Q1482+T1482+U1482</f>
        <v>2940</v>
      </c>
      <c r="O1482" s="85" t="n">
        <v>2880</v>
      </c>
      <c r="P1482" s="86" t="n">
        <v>0.1</v>
      </c>
      <c r="Q1482" s="86" t="n">
        <v>20</v>
      </c>
      <c r="R1482" s="132" t="n">
        <v>0</v>
      </c>
      <c r="S1482" s="128" t="n">
        <v>0</v>
      </c>
      <c r="T1482" s="132" t="n">
        <v>40</v>
      </c>
      <c r="U1482" s="128" t="n">
        <v>0</v>
      </c>
      <c r="V1482" s="128" t="n">
        <v>1</v>
      </c>
      <c r="W1482" s="90" t="n">
        <f aca="false">IFERROR(O1482/V1482,0)</f>
        <v>2880</v>
      </c>
      <c r="X1482" s="91" t="n">
        <f aca="false">O1482/L1482</f>
        <v>1.11888111888112</v>
      </c>
      <c r="Y1482" s="92" t="str">
        <f aca="false">IFERROR(VLOOKUP(E:E,'Item Data Support Sheet'!A:J,6,0),0)</f>
        <v>HMC</v>
      </c>
      <c r="Z1482" s="93" t="n">
        <f aca="false">IFERROR(VLOOKUP(E:E,'Item Data Support Sheet'!A:O,4,0),0)</f>
        <v>21.3</v>
      </c>
      <c r="AA1482" s="93" t="n">
        <f aca="false">IFERROR(((N1482)*(Z1482/1000))+P1482,0)</f>
        <v>62.722</v>
      </c>
      <c r="AB1482" s="94" t="n">
        <f aca="false">IFERROR((O1482*(Z1482/1000)/(AA1482))," ")</f>
        <v>0.978030037307484</v>
      </c>
      <c r="AC1482" s="95" t="n">
        <f aca="false">IFERROR((T1482)/((T1482)+O1482),0)</f>
        <v>0.0136986301369863</v>
      </c>
      <c r="AD1482" s="96" t="n">
        <f aca="false">IFERROR(Q1482/(Q1482+N1482),0)</f>
        <v>0.00675675675675676</v>
      </c>
      <c r="AE1482" s="91" t="n">
        <f aca="false">(N1482-T1482)/N1482</f>
        <v>0.986394557823129</v>
      </c>
      <c r="AF1482" s="97" t="n">
        <f aca="false">BR1482</f>
        <v>0</v>
      </c>
      <c r="AG1482" s="98" t="n">
        <f aca="false">K1482-AF1482</f>
        <v>8</v>
      </c>
      <c r="AH1482" s="99" t="n">
        <f aca="false">IFERROR(AG1482/K1482," ")</f>
        <v>1</v>
      </c>
      <c r="AI1482" s="100" t="n">
        <f aca="false">IFERROR(O1482/K1482,0)</f>
        <v>360</v>
      </c>
      <c r="AJ1482" s="101" t="n">
        <f aca="false">VLOOKUP(D1482,'Standard Cycle time'!C:D,2,0)</f>
        <v>9</v>
      </c>
      <c r="AK1482" s="101" t="n">
        <f aca="false">AG1482*V1482*3600/O1482</f>
        <v>10</v>
      </c>
      <c r="AL1482" s="102" t="n">
        <f aca="false">AJ1482/AK1482</f>
        <v>0.9</v>
      </c>
      <c r="AM1482" s="99" t="n">
        <f aca="false">AE1482*AL1482*AH1482</f>
        <v>0.887755102040816</v>
      </c>
      <c r="AN1482" s="103" t="n">
        <v>0.887755102040816</v>
      </c>
      <c r="AO1482" s="112"/>
      <c r="AP1482" s="105" t="n">
        <v>0</v>
      </c>
      <c r="AQ1482" s="105" t="n">
        <v>0</v>
      </c>
      <c r="AR1482" s="105" t="n">
        <v>0</v>
      </c>
      <c r="AS1482" s="105" t="n">
        <v>0</v>
      </c>
      <c r="AT1482" s="105" t="n">
        <v>0</v>
      </c>
      <c r="AU1482" s="105" t="n">
        <v>0</v>
      </c>
      <c r="AV1482" s="105" t="n">
        <v>0</v>
      </c>
      <c r="AW1482" s="105" t="n">
        <v>0</v>
      </c>
      <c r="AX1482" s="105" t="n">
        <v>0</v>
      </c>
      <c r="AY1482" s="105" t="n">
        <v>0</v>
      </c>
      <c r="AZ1482" s="105" t="n">
        <v>0</v>
      </c>
      <c r="BA1482" s="105" t="n">
        <v>0</v>
      </c>
      <c r="BB1482" s="105" t="n">
        <v>0</v>
      </c>
      <c r="BC1482" s="105" t="n">
        <v>0</v>
      </c>
      <c r="BD1482" s="105" t="n">
        <v>0</v>
      </c>
      <c r="BE1482" s="105" t="n">
        <v>0</v>
      </c>
      <c r="BF1482" s="105" t="n">
        <v>0</v>
      </c>
      <c r="BG1482" s="105" t="n">
        <v>0</v>
      </c>
      <c r="BH1482" s="105" t="n">
        <v>0</v>
      </c>
      <c r="BI1482" s="105" t="n">
        <v>0</v>
      </c>
      <c r="BJ1482" s="105" t="n">
        <v>0</v>
      </c>
      <c r="BK1482" s="105" t="n">
        <v>0</v>
      </c>
      <c r="BL1482" s="105" t="n">
        <v>0</v>
      </c>
      <c r="BM1482" s="105" t="n">
        <v>0</v>
      </c>
      <c r="BN1482" s="105" t="n">
        <v>0</v>
      </c>
      <c r="BO1482" s="105" t="n">
        <v>0</v>
      </c>
      <c r="BP1482" s="105" t="n">
        <v>0</v>
      </c>
      <c r="BQ1482" s="105" t="n">
        <v>0</v>
      </c>
      <c r="BR1482" s="106" t="n">
        <v>0</v>
      </c>
      <c r="BS1482" s="106" t="n">
        <v>0</v>
      </c>
      <c r="BT1482" s="107"/>
      <c r="BU1482" s="107"/>
      <c r="BV1482" s="107"/>
      <c r="BW1482" s="107"/>
      <c r="BX1482" s="107"/>
      <c r="BY1482" s="107"/>
      <c r="BZ1482" s="107"/>
      <c r="CA1482" s="107"/>
      <c r="CB1482" s="107"/>
      <c r="CC1482" s="107"/>
      <c r="CD1482" s="107"/>
      <c r="CE1482" s="107"/>
      <c r="CF1482" s="107"/>
      <c r="CG1482" s="107"/>
      <c r="CH1482" s="107"/>
      <c r="CI1482" s="107"/>
      <c r="CJ1482" s="107"/>
      <c r="CK1482" s="107"/>
      <c r="CL1482" s="107"/>
      <c r="CM1482" s="107"/>
      <c r="CN1482" s="107"/>
      <c r="CO1482" s="107"/>
      <c r="CP1482" s="107"/>
      <c r="CQ1482" s="107"/>
      <c r="CR1482" s="107"/>
      <c r="CS1482" s="107"/>
      <c r="CT1482" s="107"/>
      <c r="CU1482" s="107"/>
      <c r="CV1482" s="107"/>
    </row>
    <row r="1483" customFormat="false" ht="14.9" hidden="false" customHeight="false" outlineLevel="0" collapsed="false">
      <c r="A1483" s="74" t="n">
        <f aca="false">MONTH(B1483)</f>
        <v>11</v>
      </c>
      <c r="B1483" s="135" t="n">
        <v>44529</v>
      </c>
      <c r="C1483" s="128" t="s">
        <v>70</v>
      </c>
      <c r="D1483" s="77" t="str">
        <f aca="false">IFERROR(VLOOKUP(E:E,'Item Data Support Sheet'!A:O,7,0),"")</f>
        <v>NIPPLE MOLDED</v>
      </c>
      <c r="E1483" s="80" t="s">
        <v>244</v>
      </c>
      <c r="F1483" s="122" t="s">
        <v>137</v>
      </c>
      <c r="G1483" s="137" t="s">
        <v>138</v>
      </c>
      <c r="H1483" s="79" t="str">
        <f aca="false">IFERROR(VLOOKUP(E:E,'Item Data Support Sheet'!A:O,2,0),"")</f>
        <v>NIPPLE S TYPE S SIZE INJECTION</v>
      </c>
      <c r="I1483" s="80" t="s">
        <v>2279</v>
      </c>
      <c r="J1483" s="80" t="s">
        <v>155</v>
      </c>
      <c r="K1483" s="124" t="n">
        <v>8</v>
      </c>
      <c r="L1483" s="124" t="n">
        <v>4815</v>
      </c>
      <c r="M1483" s="83" t="n">
        <v>601.875</v>
      </c>
      <c r="N1483" s="84" t="n">
        <f aca="false">+O1483+Q1483+T1483+U1483</f>
        <v>5377</v>
      </c>
      <c r="O1483" s="85" t="n">
        <v>5300</v>
      </c>
      <c r="P1483" s="86" t="n">
        <v>0</v>
      </c>
      <c r="Q1483" s="86" t="n">
        <v>25</v>
      </c>
      <c r="R1483" s="132" t="n">
        <v>0</v>
      </c>
      <c r="S1483" s="128" t="n">
        <v>0</v>
      </c>
      <c r="T1483" s="132" t="n">
        <v>52</v>
      </c>
      <c r="U1483" s="128" t="n">
        <v>0</v>
      </c>
      <c r="V1483" s="128" t="n">
        <v>1</v>
      </c>
      <c r="W1483" s="90" t="n">
        <f aca="false">IFERROR(O1483/V1483,0)</f>
        <v>5300</v>
      </c>
      <c r="X1483" s="91" t="n">
        <f aca="false">O1483/L1483</f>
        <v>1.10072689511942</v>
      </c>
      <c r="Y1483" s="92" t="str">
        <f aca="false">IFERROR(VLOOKUP(E:E,'Item Data Support Sheet'!A:J,6,0),0)</f>
        <v>Silicon</v>
      </c>
      <c r="Z1483" s="93" t="n">
        <f aca="false">IFERROR(VLOOKUP(E:E,'Item Data Support Sheet'!A:O,4,0),0)</f>
        <v>6.8</v>
      </c>
      <c r="AA1483" s="93" t="n">
        <f aca="false">IFERROR(((N1483)*(Z1483/1000))+P1483,0)</f>
        <v>36.5636</v>
      </c>
      <c r="AB1483" s="94" t="n">
        <f aca="false">IFERROR((O1483*(Z1483/1000)/(AA1483))," ")</f>
        <v>0.985679747070857</v>
      </c>
      <c r="AC1483" s="95" t="n">
        <f aca="false">IFERROR((T1483)/((T1483)+O1483),0)</f>
        <v>0.00971599402092676</v>
      </c>
      <c r="AD1483" s="96" t="n">
        <f aca="false">IFERROR(Q1483/(Q1483+N1483),0)</f>
        <v>0.0046279155868197</v>
      </c>
      <c r="AE1483" s="91" t="n">
        <f aca="false">(N1483-T1483)/N1483</f>
        <v>0.99032917984006</v>
      </c>
      <c r="AF1483" s="97" t="n">
        <f aca="false">BR1483</f>
        <v>0</v>
      </c>
      <c r="AG1483" s="98" t="n">
        <f aca="false">K1483-AF1483</f>
        <v>8</v>
      </c>
      <c r="AH1483" s="99" t="n">
        <f aca="false">IFERROR(AG1483/K1483," ")</f>
        <v>1</v>
      </c>
      <c r="AI1483" s="100" t="n">
        <f aca="false">IFERROR(O1483/K1483,0)</f>
        <v>662.5</v>
      </c>
      <c r="AJ1483" s="101" t="n">
        <f aca="false">VLOOKUP(D1483,'Standard Cycle time'!C:D,2,0)</f>
        <v>5.25</v>
      </c>
      <c r="AK1483" s="101" t="n">
        <f aca="false">AG1483*V1483*3600/O1483</f>
        <v>5.43396226415094</v>
      </c>
      <c r="AL1483" s="102" t="n">
        <f aca="false">AJ1483/AK1483</f>
        <v>0.966145833333333</v>
      </c>
      <c r="AM1483" s="99" t="n">
        <f aca="false">AE1483*AL1483*AH1483</f>
        <v>0.956802410730891</v>
      </c>
      <c r="AN1483" s="103" t="n">
        <v>0.956802410730891</v>
      </c>
      <c r="AO1483" s="112"/>
      <c r="AP1483" s="105" t="n">
        <v>0</v>
      </c>
      <c r="AQ1483" s="105" t="n">
        <v>0</v>
      </c>
      <c r="AR1483" s="105" t="n">
        <v>0</v>
      </c>
      <c r="AS1483" s="105" t="n">
        <v>0</v>
      </c>
      <c r="AT1483" s="105" t="n">
        <v>0</v>
      </c>
      <c r="AU1483" s="105" t="n">
        <v>0</v>
      </c>
      <c r="AV1483" s="105" t="n">
        <v>0</v>
      </c>
      <c r="AW1483" s="105" t="n">
        <v>0</v>
      </c>
      <c r="AX1483" s="105" t="n">
        <v>0</v>
      </c>
      <c r="AY1483" s="105" t="n">
        <v>0</v>
      </c>
      <c r="AZ1483" s="105" t="n">
        <v>0</v>
      </c>
      <c r="BA1483" s="105" t="n">
        <v>0</v>
      </c>
      <c r="BB1483" s="105" t="n">
        <v>0</v>
      </c>
      <c r="BC1483" s="105" t="n">
        <v>0</v>
      </c>
      <c r="BD1483" s="105" t="n">
        <v>0</v>
      </c>
      <c r="BE1483" s="105" t="n">
        <v>0</v>
      </c>
      <c r="BF1483" s="105" t="n">
        <v>0</v>
      </c>
      <c r="BG1483" s="105" t="n">
        <v>0</v>
      </c>
      <c r="BH1483" s="105" t="n">
        <v>0</v>
      </c>
      <c r="BI1483" s="105" t="n">
        <v>0</v>
      </c>
      <c r="BJ1483" s="105" t="n">
        <v>0</v>
      </c>
      <c r="BK1483" s="105" t="n">
        <v>0</v>
      </c>
      <c r="BL1483" s="105" t="n">
        <v>0</v>
      </c>
      <c r="BM1483" s="105" t="n">
        <v>0</v>
      </c>
      <c r="BN1483" s="105" t="n">
        <v>0</v>
      </c>
      <c r="BO1483" s="105" t="n">
        <v>0</v>
      </c>
      <c r="BP1483" s="105" t="n">
        <v>0</v>
      </c>
      <c r="BQ1483" s="105" t="n">
        <v>0</v>
      </c>
      <c r="BR1483" s="106" t="n">
        <v>0</v>
      </c>
      <c r="BS1483" s="106" t="n">
        <v>0</v>
      </c>
      <c r="BT1483" s="107"/>
      <c r="BU1483" s="107"/>
      <c r="BV1483" s="107"/>
      <c r="BW1483" s="107"/>
      <c r="BX1483" s="107"/>
      <c r="BY1483" s="107"/>
      <c r="BZ1483" s="107"/>
      <c r="CA1483" s="107"/>
      <c r="CB1483" s="107"/>
      <c r="CC1483" s="107"/>
      <c r="CD1483" s="107"/>
      <c r="CE1483" s="107"/>
      <c r="CF1483" s="107"/>
      <c r="CG1483" s="107"/>
      <c r="CH1483" s="107"/>
      <c r="CI1483" s="107"/>
      <c r="CJ1483" s="107"/>
      <c r="CK1483" s="107"/>
      <c r="CL1483" s="107"/>
      <c r="CM1483" s="107"/>
      <c r="CN1483" s="107"/>
      <c r="CO1483" s="107"/>
      <c r="CP1483" s="107"/>
      <c r="CQ1483" s="107"/>
      <c r="CR1483" s="107"/>
      <c r="CS1483" s="107"/>
      <c r="CT1483" s="107"/>
      <c r="CU1483" s="107"/>
      <c r="CV1483" s="107"/>
    </row>
    <row r="1484" customFormat="false" ht="14.9" hidden="false" customHeight="false" outlineLevel="0" collapsed="false">
      <c r="A1484" s="74" t="n">
        <f aca="false">MONTH(B1484)</f>
        <v>11</v>
      </c>
      <c r="B1484" s="135" t="n">
        <v>44529</v>
      </c>
      <c r="C1484" s="128" t="s">
        <v>70</v>
      </c>
      <c r="D1484" s="77" t="str">
        <f aca="false">IFERROR(VLOOKUP(E:E,'Item Data Support Sheet'!A:O,7,0),"")</f>
        <v>NIPPLE MOLDED</v>
      </c>
      <c r="E1484" s="80" t="s">
        <v>809</v>
      </c>
      <c r="F1484" s="122" t="s">
        <v>1286</v>
      </c>
      <c r="G1484" s="137" t="s">
        <v>848</v>
      </c>
      <c r="H1484" s="79" t="str">
        <f aca="false">IFERROR(VLOOKUP(E:E,'Item Data Support Sheet'!A:O,2,0),"")</f>
        <v>NIPPLE S TYPE Y SIZE INJECTION</v>
      </c>
      <c r="I1484" s="80" t="s">
        <v>2279</v>
      </c>
      <c r="J1484" s="80" t="s">
        <v>155</v>
      </c>
      <c r="K1484" s="124" t="n">
        <v>8</v>
      </c>
      <c r="L1484" s="124" t="n">
        <v>3611</v>
      </c>
      <c r="M1484" s="83" t="n">
        <v>451.375</v>
      </c>
      <c r="N1484" s="84" t="n">
        <f aca="false">+O1484+Q1484+T1484+U1484</f>
        <v>3965</v>
      </c>
      <c r="O1484" s="85" t="n">
        <v>3900</v>
      </c>
      <c r="P1484" s="86" t="n">
        <v>0</v>
      </c>
      <c r="Q1484" s="86" t="n">
        <v>35</v>
      </c>
      <c r="R1484" s="132" t="n">
        <v>0</v>
      </c>
      <c r="S1484" s="128" t="n">
        <v>0</v>
      </c>
      <c r="T1484" s="132" t="n">
        <v>30</v>
      </c>
      <c r="U1484" s="128" t="n">
        <v>0</v>
      </c>
      <c r="V1484" s="128" t="n">
        <v>1</v>
      </c>
      <c r="W1484" s="90" t="n">
        <f aca="false">IFERROR(O1484/V1484,0)</f>
        <v>3900</v>
      </c>
      <c r="X1484" s="91" t="n">
        <f aca="false">O1484/L1484</f>
        <v>1.08003323179175</v>
      </c>
      <c r="Y1484" s="92" t="str">
        <f aca="false">IFERROR(VLOOKUP(E:E,'Item Data Support Sheet'!A:J,6,0),0)</f>
        <v>Silicon</v>
      </c>
      <c r="Z1484" s="93" t="n">
        <f aca="false">IFERROR(VLOOKUP(E:E,'Item Data Support Sheet'!A:O,4,0),0)</f>
        <v>6.8</v>
      </c>
      <c r="AA1484" s="93" t="n">
        <f aca="false">IFERROR(((N1484)*(Z1484/1000))+P1484,0)</f>
        <v>26.962</v>
      </c>
      <c r="AB1484" s="94" t="n">
        <f aca="false">IFERROR((O1484*(Z1484/1000)/(AA1484))," ")</f>
        <v>0.983606557377049</v>
      </c>
      <c r="AC1484" s="95" t="n">
        <f aca="false">IFERROR((T1484)/((T1484)+O1484),0)</f>
        <v>0.00763358778625954</v>
      </c>
      <c r="AD1484" s="96" t="n">
        <f aca="false">IFERROR(Q1484/(Q1484+N1484),0)</f>
        <v>0.00875</v>
      </c>
      <c r="AE1484" s="91" t="n">
        <f aca="false">(N1484-T1484)/N1484</f>
        <v>0.992433795712484</v>
      </c>
      <c r="AF1484" s="97" t="n">
        <f aca="false">BR1484</f>
        <v>0</v>
      </c>
      <c r="AG1484" s="98" t="n">
        <f aca="false">K1484-AF1484</f>
        <v>8</v>
      </c>
      <c r="AH1484" s="99" t="n">
        <f aca="false">IFERROR(AG1484/K1484," ")</f>
        <v>1</v>
      </c>
      <c r="AI1484" s="100" t="n">
        <f aca="false">IFERROR(O1484/K1484,0)</f>
        <v>487.5</v>
      </c>
      <c r="AJ1484" s="101" t="n">
        <f aca="false">VLOOKUP(D1484,'Standard Cycle time'!C:D,2,0)</f>
        <v>5.25</v>
      </c>
      <c r="AK1484" s="101" t="n">
        <f aca="false">AG1484*V1484*3600/O1484</f>
        <v>7.38461538461539</v>
      </c>
      <c r="AL1484" s="102" t="n">
        <f aca="false">AJ1484/AK1484</f>
        <v>0.7109375</v>
      </c>
      <c r="AM1484" s="99" t="n">
        <f aca="false">AE1484*AL1484*AH1484</f>
        <v>0.705558401639344</v>
      </c>
      <c r="AN1484" s="103" t="n">
        <v>0.705558401639344</v>
      </c>
      <c r="AO1484" s="112"/>
      <c r="AP1484" s="105" t="n">
        <v>0</v>
      </c>
      <c r="AQ1484" s="105" t="n">
        <v>0</v>
      </c>
      <c r="AR1484" s="105" t="n">
        <v>0</v>
      </c>
      <c r="AS1484" s="105" t="n">
        <v>0</v>
      </c>
      <c r="AT1484" s="105" t="n">
        <v>0</v>
      </c>
      <c r="AU1484" s="105" t="n">
        <v>0</v>
      </c>
      <c r="AV1484" s="105" t="n">
        <v>0</v>
      </c>
      <c r="AW1484" s="105" t="n">
        <v>0</v>
      </c>
      <c r="AX1484" s="105" t="n">
        <v>0</v>
      </c>
      <c r="AY1484" s="105" t="n">
        <v>0</v>
      </c>
      <c r="AZ1484" s="105" t="n">
        <v>0</v>
      </c>
      <c r="BA1484" s="105" t="n">
        <v>0</v>
      </c>
      <c r="BB1484" s="105" t="n">
        <v>0</v>
      </c>
      <c r="BC1484" s="105" t="n">
        <v>0</v>
      </c>
      <c r="BD1484" s="105" t="n">
        <v>0</v>
      </c>
      <c r="BE1484" s="105" t="n">
        <v>0</v>
      </c>
      <c r="BF1484" s="105" t="n">
        <v>0</v>
      </c>
      <c r="BG1484" s="105" t="n">
        <v>0</v>
      </c>
      <c r="BH1484" s="105" t="n">
        <v>0</v>
      </c>
      <c r="BI1484" s="105" t="n">
        <v>0</v>
      </c>
      <c r="BJ1484" s="105" t="n">
        <v>0</v>
      </c>
      <c r="BK1484" s="105" t="n">
        <v>0</v>
      </c>
      <c r="BL1484" s="105" t="n">
        <v>0</v>
      </c>
      <c r="BM1484" s="105" t="n">
        <v>0</v>
      </c>
      <c r="BN1484" s="105" t="n">
        <v>0</v>
      </c>
      <c r="BO1484" s="105" t="n">
        <v>0</v>
      </c>
      <c r="BP1484" s="105" t="n">
        <v>0</v>
      </c>
      <c r="BQ1484" s="105" t="n">
        <v>0</v>
      </c>
      <c r="BR1484" s="106" t="n">
        <v>0</v>
      </c>
      <c r="BS1484" s="106" t="n">
        <v>0</v>
      </c>
      <c r="BT1484" s="107"/>
      <c r="BU1484" s="107"/>
      <c r="BV1484" s="107"/>
      <c r="BW1484" s="107"/>
      <c r="BX1484" s="107"/>
      <c r="BY1484" s="107"/>
      <c r="BZ1484" s="107"/>
      <c r="CA1484" s="107"/>
      <c r="CB1484" s="107"/>
      <c r="CC1484" s="107"/>
      <c r="CD1484" s="107"/>
      <c r="CE1484" s="107"/>
      <c r="CF1484" s="107"/>
      <c r="CG1484" s="107"/>
      <c r="CH1484" s="107"/>
      <c r="CI1484" s="107"/>
      <c r="CJ1484" s="107"/>
      <c r="CK1484" s="107"/>
      <c r="CL1484" s="107"/>
      <c r="CM1484" s="107"/>
      <c r="CN1484" s="107"/>
      <c r="CO1484" s="107"/>
      <c r="CP1484" s="107"/>
      <c r="CQ1484" s="107"/>
      <c r="CR1484" s="107"/>
      <c r="CS1484" s="107"/>
      <c r="CT1484" s="107"/>
      <c r="CU1484" s="107"/>
      <c r="CV1484" s="107"/>
    </row>
    <row r="1485" customFormat="false" ht="14.9" hidden="false" customHeight="false" outlineLevel="0" collapsed="false">
      <c r="A1485" s="74" t="n">
        <f aca="false">MONTH(B1485)</f>
        <v>11</v>
      </c>
      <c r="B1485" s="135" t="n">
        <v>44529</v>
      </c>
      <c r="C1485" s="128" t="s">
        <v>70</v>
      </c>
      <c r="D1485" s="77" t="str">
        <f aca="false">IFERROR(VLOOKUP(E:E,'Item Data Support Sheet'!A:O,7,0),"")</f>
        <v>CAP MOLDED</v>
      </c>
      <c r="E1485" s="80" t="s">
        <v>343</v>
      </c>
      <c r="F1485" s="122" t="s">
        <v>2161</v>
      </c>
      <c r="G1485" s="137"/>
      <c r="H1485" s="79" t="str">
        <f aca="false">IFERROR(VLOOKUP(E:E,'Item Data Support Sheet'!A:O,2,0),"")</f>
        <v>CAP S TYPE MOLDED BLUE</v>
      </c>
      <c r="I1485" s="80" t="s">
        <v>2280</v>
      </c>
      <c r="J1485" s="80" t="s">
        <v>155</v>
      </c>
      <c r="K1485" s="124" t="n">
        <v>8</v>
      </c>
      <c r="L1485" s="124" t="n">
        <v>4137</v>
      </c>
      <c r="M1485" s="83" t="n">
        <v>517.125</v>
      </c>
      <c r="N1485" s="84" t="n">
        <f aca="false">+O1485+Q1485+T1485+U1485</f>
        <v>4512</v>
      </c>
      <c r="O1485" s="85" t="n">
        <v>4500</v>
      </c>
      <c r="P1485" s="86" t="n">
        <v>0.4</v>
      </c>
      <c r="Q1485" s="86" t="n">
        <v>4</v>
      </c>
      <c r="R1485" s="132" t="n">
        <v>0</v>
      </c>
      <c r="S1485" s="128" t="n">
        <v>0</v>
      </c>
      <c r="T1485" s="132" t="n">
        <v>8</v>
      </c>
      <c r="U1485" s="128" t="n">
        <v>0</v>
      </c>
      <c r="V1485" s="128" t="n">
        <v>1</v>
      </c>
      <c r="W1485" s="90" t="n">
        <f aca="false">IFERROR(O1485/V1485,0)</f>
        <v>4500</v>
      </c>
      <c r="X1485" s="91" t="n">
        <f aca="false">O1485/L1485</f>
        <v>1.08774474256708</v>
      </c>
      <c r="Y1485" s="92" t="str">
        <f aca="false">IFERROR(VLOOKUP(E:E,'Item Data Support Sheet'!A:J,6,0),0)</f>
        <v>RM000114</v>
      </c>
      <c r="Z1485" s="93" t="n">
        <f aca="false">IFERROR(VLOOKUP(E:E,'Item Data Support Sheet'!A:O,4,0),0)</f>
        <v>7.3</v>
      </c>
      <c r="AA1485" s="93" t="n">
        <f aca="false">IFERROR(((N1485)*(Z1485/1000))+P1485,0)</f>
        <v>33.3376</v>
      </c>
      <c r="AB1485" s="94" t="n">
        <f aca="false">IFERROR((O1485*(Z1485/1000)/(AA1485))," ")</f>
        <v>0.985373872144366</v>
      </c>
      <c r="AC1485" s="95" t="n">
        <f aca="false">IFERROR((T1485)/((T1485)+O1485),0)</f>
        <v>0.00177462289263532</v>
      </c>
      <c r="AD1485" s="96" t="n">
        <f aca="false">IFERROR(Q1485/(Q1485+N1485),0)</f>
        <v>0.000885739592559787</v>
      </c>
      <c r="AE1485" s="91" t="n">
        <f aca="false">(N1485-T1485)/N1485</f>
        <v>0.99822695035461</v>
      </c>
      <c r="AF1485" s="97" t="n">
        <f aca="false">BR1485</f>
        <v>0</v>
      </c>
      <c r="AG1485" s="98" t="n">
        <f aca="false">K1485-AF1485</f>
        <v>8</v>
      </c>
      <c r="AH1485" s="99" t="n">
        <f aca="false">IFERROR(AG1485/K1485," ")</f>
        <v>1</v>
      </c>
      <c r="AI1485" s="100" t="n">
        <f aca="false">IFERROR(O1485/K1485,0)</f>
        <v>562.5</v>
      </c>
      <c r="AJ1485" s="101" t="n">
        <f aca="false">VLOOKUP(D1485,'Standard Cycle time'!C:D,2,0)</f>
        <v>6</v>
      </c>
      <c r="AK1485" s="101" t="n">
        <f aca="false">AG1485*V1485*3600/O1485</f>
        <v>6.4</v>
      </c>
      <c r="AL1485" s="102" t="n">
        <f aca="false">AJ1485/AK1485</f>
        <v>0.9375</v>
      </c>
      <c r="AM1485" s="99" t="n">
        <f aca="false">AE1485*AL1485*AH1485</f>
        <v>0.935837765957447</v>
      </c>
      <c r="AN1485" s="103" t="n">
        <v>0.935837765957447</v>
      </c>
      <c r="AO1485" s="112"/>
      <c r="AP1485" s="105" t="n">
        <v>0</v>
      </c>
      <c r="AQ1485" s="105" t="n">
        <v>0</v>
      </c>
      <c r="AR1485" s="105" t="n">
        <v>0</v>
      </c>
      <c r="AS1485" s="105" t="n">
        <v>0</v>
      </c>
      <c r="AT1485" s="105" t="n">
        <v>0</v>
      </c>
      <c r="AU1485" s="105" t="n">
        <v>0</v>
      </c>
      <c r="AV1485" s="105" t="n">
        <v>0</v>
      </c>
      <c r="AW1485" s="105" t="n">
        <v>0</v>
      </c>
      <c r="AX1485" s="105" t="n">
        <v>0</v>
      </c>
      <c r="AY1485" s="105" t="n">
        <v>0</v>
      </c>
      <c r="AZ1485" s="105" t="n">
        <v>0</v>
      </c>
      <c r="BA1485" s="105" t="n">
        <v>0</v>
      </c>
      <c r="BB1485" s="105" t="n">
        <v>0</v>
      </c>
      <c r="BC1485" s="105" t="n">
        <v>0</v>
      </c>
      <c r="BD1485" s="105" t="n">
        <v>0</v>
      </c>
      <c r="BE1485" s="105" t="n">
        <v>0</v>
      </c>
      <c r="BF1485" s="105" t="n">
        <v>0</v>
      </c>
      <c r="BG1485" s="105" t="n">
        <v>0</v>
      </c>
      <c r="BH1485" s="105" t="n">
        <v>0</v>
      </c>
      <c r="BI1485" s="105" t="n">
        <v>0</v>
      </c>
      <c r="BJ1485" s="105" t="n">
        <v>0</v>
      </c>
      <c r="BK1485" s="105" t="n">
        <v>0</v>
      </c>
      <c r="BL1485" s="105" t="n">
        <v>0</v>
      </c>
      <c r="BM1485" s="105" t="n">
        <v>0</v>
      </c>
      <c r="BN1485" s="105" t="n">
        <v>0</v>
      </c>
      <c r="BO1485" s="105" t="n">
        <v>0</v>
      </c>
      <c r="BP1485" s="105" t="n">
        <v>0</v>
      </c>
      <c r="BQ1485" s="105" t="n">
        <v>0</v>
      </c>
      <c r="BR1485" s="106" t="n">
        <v>0</v>
      </c>
      <c r="BS1485" s="106" t="n">
        <v>0</v>
      </c>
      <c r="BT1485" s="107"/>
      <c r="BU1485" s="107"/>
      <c r="BV1485" s="107"/>
      <c r="BW1485" s="107"/>
      <c r="BX1485" s="107"/>
      <c r="BY1485" s="107"/>
      <c r="BZ1485" s="107"/>
      <c r="CA1485" s="107"/>
      <c r="CB1485" s="107"/>
      <c r="CC1485" s="107"/>
      <c r="CD1485" s="107"/>
      <c r="CE1485" s="107"/>
      <c r="CF1485" s="107"/>
      <c r="CG1485" s="107"/>
      <c r="CH1485" s="107"/>
      <c r="CI1485" s="107"/>
      <c r="CJ1485" s="107"/>
      <c r="CK1485" s="107"/>
      <c r="CL1485" s="107"/>
      <c r="CM1485" s="107"/>
      <c r="CN1485" s="107"/>
      <c r="CO1485" s="107"/>
      <c r="CP1485" s="107"/>
      <c r="CQ1485" s="107"/>
      <c r="CR1485" s="107"/>
      <c r="CS1485" s="107"/>
      <c r="CT1485" s="107"/>
      <c r="CU1485" s="107"/>
      <c r="CV1485" s="107"/>
    </row>
    <row r="1486" customFormat="false" ht="14.9" hidden="false" customHeight="false" outlineLevel="0" collapsed="false">
      <c r="A1486" s="74" t="n">
        <f aca="false">MONTH(B1486)</f>
        <v>11</v>
      </c>
      <c r="B1486" s="135" t="n">
        <v>44529</v>
      </c>
      <c r="C1486" s="128" t="s">
        <v>152</v>
      </c>
      <c r="D1486" s="77" t="str">
        <f aca="false">IFERROR(VLOOKUP(E:E,'Item Data Support Sheet'!A:O,7,0),"")</f>
        <v>NIPPLE PUNCH</v>
      </c>
      <c r="E1486" s="80" t="s">
        <v>666</v>
      </c>
      <c r="F1486" s="122"/>
      <c r="G1486" s="137" t="s">
        <v>54</v>
      </c>
      <c r="H1486" s="79" t="str">
        <f aca="false">IFERROR(VLOOKUP(E:E,'Item Data Support Sheet'!A:O,2,0),"")</f>
        <v>NIPPLE S TYPE L SIZE PUNCHED</v>
      </c>
      <c r="I1486" s="80" t="s">
        <v>2281</v>
      </c>
      <c r="J1486" s="80" t="s">
        <v>1913</v>
      </c>
      <c r="K1486" s="124" t="n">
        <v>8</v>
      </c>
      <c r="L1486" s="124" t="n">
        <v>7000</v>
      </c>
      <c r="M1486" s="83" t="n">
        <v>875</v>
      </c>
      <c r="N1486" s="84" t="n">
        <f aca="false">+O1486+Q1486+T1486+U1486</f>
        <v>7000</v>
      </c>
      <c r="O1486" s="85" t="n">
        <v>7000</v>
      </c>
      <c r="P1486" s="86" t="n">
        <v>0</v>
      </c>
      <c r="Q1486" s="86" t="n">
        <v>0</v>
      </c>
      <c r="R1486" s="132" t="n">
        <v>0</v>
      </c>
      <c r="S1486" s="128" t="n">
        <v>0</v>
      </c>
      <c r="T1486" s="132" t="n">
        <v>0</v>
      </c>
      <c r="U1486" s="128" t="n">
        <v>0</v>
      </c>
      <c r="V1486" s="128" t="n">
        <v>1</v>
      </c>
      <c r="W1486" s="90" t="n">
        <f aca="false">IFERROR(O1486/V1486,0)</f>
        <v>7000</v>
      </c>
      <c r="X1486" s="91" t="n">
        <f aca="false">O1486/L1486</f>
        <v>1</v>
      </c>
      <c r="Y1486" s="92" t="str">
        <f aca="false">IFERROR(VLOOKUP(E:E,'Item Data Support Sheet'!A:J,6,0),0)</f>
        <v>FO017</v>
      </c>
      <c r="Z1486" s="93" t="n">
        <f aca="false">IFERROR(VLOOKUP(E:E,'Item Data Support Sheet'!A:O,4,0),0)</f>
        <v>0</v>
      </c>
      <c r="AA1486" s="93" t="n">
        <f aca="false">IFERROR(((N1486)*(Z1486/1000))+P1486,0)</f>
        <v>0</v>
      </c>
      <c r="AB1486" s="94" t="str">
        <f aca="false">IFERROR((O1486*(Z1486/1000)/(AA1486))," ")</f>
        <v> </v>
      </c>
      <c r="AC1486" s="95" t="n">
        <f aca="false">IFERROR((T1486)/((T1486)+O1486),0)</f>
        <v>0</v>
      </c>
      <c r="AD1486" s="96" t="n">
        <f aca="false">IFERROR(Q1486/(Q1486+N1486),0)</f>
        <v>0</v>
      </c>
      <c r="AE1486" s="91" t="n">
        <f aca="false">(N1486-T1486)/N1486</f>
        <v>1</v>
      </c>
      <c r="AF1486" s="97" t="n">
        <f aca="false">BR1486</f>
        <v>0.333333333333333</v>
      </c>
      <c r="AG1486" s="98" t="n">
        <f aca="false">K1486-AF1486</f>
        <v>7.66666666666667</v>
      </c>
      <c r="AH1486" s="99" t="n">
        <f aca="false">IFERROR(AG1486/K1486," ")</f>
        <v>0.958333333333333</v>
      </c>
      <c r="AI1486" s="100" t="n">
        <f aca="false">IFERROR(O1486/K1486,0)</f>
        <v>875</v>
      </c>
      <c r="AJ1486" s="101" t="n">
        <f aca="false">VLOOKUP(D1486,'Standard Cycle time'!C:D,2,0)</f>
        <v>3.5</v>
      </c>
      <c r="AK1486" s="101" t="n">
        <f aca="false">AG1486*V1486*3600/O1486</f>
        <v>3.94285714285714</v>
      </c>
      <c r="AL1486" s="102" t="n">
        <f aca="false">AJ1486/AK1486</f>
        <v>0.88768115942029</v>
      </c>
      <c r="AM1486" s="99" t="n">
        <f aca="false">AE1486*AL1486*AH1486</f>
        <v>0.850694444444444</v>
      </c>
      <c r="AN1486" s="103" t="n">
        <v>0.850694444444444</v>
      </c>
      <c r="AO1486" s="112"/>
      <c r="AP1486" s="105" t="n">
        <v>20</v>
      </c>
      <c r="AQ1486" s="105" t="n">
        <v>0</v>
      </c>
      <c r="AR1486" s="105" t="n">
        <v>0</v>
      </c>
      <c r="AS1486" s="105" t="n">
        <v>0</v>
      </c>
      <c r="AT1486" s="105" t="n">
        <v>0</v>
      </c>
      <c r="AU1486" s="105" t="n">
        <v>0</v>
      </c>
      <c r="AV1486" s="105" t="n">
        <v>0</v>
      </c>
      <c r="AW1486" s="105" t="n">
        <v>0</v>
      </c>
      <c r="AX1486" s="105" t="n">
        <v>0</v>
      </c>
      <c r="AY1486" s="105" t="n">
        <v>0</v>
      </c>
      <c r="AZ1486" s="105" t="n">
        <v>0</v>
      </c>
      <c r="BA1486" s="105" t="n">
        <v>0</v>
      </c>
      <c r="BB1486" s="105" t="n">
        <v>0</v>
      </c>
      <c r="BC1486" s="105" t="n">
        <v>0</v>
      </c>
      <c r="BD1486" s="105" t="n">
        <v>0</v>
      </c>
      <c r="BE1486" s="105" t="n">
        <v>0</v>
      </c>
      <c r="BF1486" s="105" t="n">
        <v>0</v>
      </c>
      <c r="BG1486" s="105" t="n">
        <v>0</v>
      </c>
      <c r="BH1486" s="105" t="n">
        <v>0</v>
      </c>
      <c r="BI1486" s="105" t="n">
        <v>0</v>
      </c>
      <c r="BJ1486" s="105" t="n">
        <v>0</v>
      </c>
      <c r="BK1486" s="105" t="n">
        <v>0</v>
      </c>
      <c r="BL1486" s="105" t="n">
        <v>0</v>
      </c>
      <c r="BM1486" s="105" t="n">
        <v>0</v>
      </c>
      <c r="BN1486" s="105" t="n">
        <v>0</v>
      </c>
      <c r="BO1486" s="105" t="n">
        <v>0</v>
      </c>
      <c r="BP1486" s="105" t="n">
        <v>0</v>
      </c>
      <c r="BQ1486" s="105" t="n">
        <v>0</v>
      </c>
      <c r="BR1486" s="106" t="n">
        <v>0.333333333333333</v>
      </c>
      <c r="BS1486" s="106" t="n">
        <v>0.333333333333333</v>
      </c>
      <c r="BT1486" s="107"/>
      <c r="BU1486" s="107"/>
      <c r="BV1486" s="107"/>
      <c r="BW1486" s="107"/>
      <c r="BX1486" s="107"/>
      <c r="BY1486" s="107"/>
      <c r="BZ1486" s="107"/>
      <c r="CA1486" s="107"/>
      <c r="CB1486" s="107"/>
      <c r="CC1486" s="107"/>
      <c r="CD1486" s="107"/>
      <c r="CE1486" s="107"/>
      <c r="CF1486" s="107"/>
      <c r="CG1486" s="107"/>
      <c r="CH1486" s="107"/>
      <c r="CI1486" s="107"/>
      <c r="CJ1486" s="107"/>
      <c r="CK1486" s="107"/>
      <c r="CL1486" s="107"/>
      <c r="CM1486" s="107"/>
      <c r="CN1486" s="107"/>
      <c r="CO1486" s="107"/>
      <c r="CP1486" s="107"/>
      <c r="CQ1486" s="107"/>
      <c r="CR1486" s="107"/>
      <c r="CS1486" s="107"/>
      <c r="CT1486" s="107"/>
      <c r="CU1486" s="107"/>
      <c r="CV1486" s="107"/>
    </row>
    <row r="1487" customFormat="false" ht="14.9" hidden="false" customHeight="false" outlineLevel="0" collapsed="false">
      <c r="A1487" s="74" t="n">
        <f aca="false">MONTH(B1487)</f>
        <v>11</v>
      </c>
      <c r="B1487" s="135" t="n">
        <v>44529</v>
      </c>
      <c r="C1487" s="128" t="s">
        <v>152</v>
      </c>
      <c r="D1487" s="77" t="str">
        <f aca="false">IFERROR(VLOOKUP(E:E,'Item Data Support Sheet'!A:O,7,0),"")</f>
        <v>NIPPLE LASER MARKING</v>
      </c>
      <c r="E1487" s="80" t="s">
        <v>681</v>
      </c>
      <c r="F1487" s="122"/>
      <c r="G1487" s="137" t="s">
        <v>517</v>
      </c>
      <c r="H1487" s="79" t="str">
        <f aca="false">IFERROR(VLOOKUP(E:E,'Item Data Support Sheet'!A:O,2,0),"")</f>
        <v>NIPPLE S TYPE L SIZE PUNCHED LASER MARKED</v>
      </c>
      <c r="I1487" s="80" t="s">
        <v>2282</v>
      </c>
      <c r="J1487" s="80" t="s">
        <v>1913</v>
      </c>
      <c r="K1487" s="124" t="n">
        <v>8</v>
      </c>
      <c r="L1487" s="124" t="n">
        <v>7000</v>
      </c>
      <c r="M1487" s="83" t="n">
        <v>875</v>
      </c>
      <c r="N1487" s="84" t="n">
        <f aca="false">+O1487+Q1487+T1487+U1487</f>
        <v>7000</v>
      </c>
      <c r="O1487" s="85" t="n">
        <v>7000</v>
      </c>
      <c r="P1487" s="86" t="n">
        <v>0</v>
      </c>
      <c r="Q1487" s="86" t="n">
        <v>0</v>
      </c>
      <c r="R1487" s="132" t="n">
        <v>0</v>
      </c>
      <c r="S1487" s="128" t="n">
        <v>0</v>
      </c>
      <c r="T1487" s="132" t="n">
        <v>0</v>
      </c>
      <c r="U1487" s="128" t="n">
        <v>0</v>
      </c>
      <c r="V1487" s="128" t="n">
        <v>1</v>
      </c>
      <c r="W1487" s="90" t="n">
        <f aca="false">IFERROR(O1487/V1487,0)</f>
        <v>7000</v>
      </c>
      <c r="X1487" s="91" t="n">
        <f aca="false">O1487/L1487</f>
        <v>1</v>
      </c>
      <c r="Y1487" s="92" t="str">
        <f aca="false">IFERROR(VLOOKUP(E:E,'Item Data Support Sheet'!A:J,6,0),0)</f>
        <v>FO021</v>
      </c>
      <c r="Z1487" s="93" t="n">
        <f aca="false">IFERROR(VLOOKUP(E:E,'Item Data Support Sheet'!A:O,4,0),0)</f>
        <v>0</v>
      </c>
      <c r="AA1487" s="93" t="n">
        <f aca="false">IFERROR(((N1487)*(Z1487/1000))+P1487,0)</f>
        <v>0</v>
      </c>
      <c r="AB1487" s="94" t="str">
        <f aca="false">IFERROR((O1487*(Z1487/1000)/(AA1487))," ")</f>
        <v> </v>
      </c>
      <c r="AC1487" s="95" t="n">
        <f aca="false">IFERROR((T1487)/((T1487)+O1487),0)</f>
        <v>0</v>
      </c>
      <c r="AD1487" s="96" t="n">
        <f aca="false">IFERROR(Q1487/(Q1487+N1487),0)</f>
        <v>0</v>
      </c>
      <c r="AE1487" s="91" t="n">
        <f aca="false">(N1487-T1487)/N1487</f>
        <v>1</v>
      </c>
      <c r="AF1487" s="97" t="n">
        <f aca="false">BR1487</f>
        <v>0.333333333333333</v>
      </c>
      <c r="AG1487" s="98" t="n">
        <f aca="false">K1487-AF1487</f>
        <v>7.66666666666667</v>
      </c>
      <c r="AH1487" s="99" t="n">
        <f aca="false">IFERROR(AG1487/K1487," ")</f>
        <v>0.958333333333333</v>
      </c>
      <c r="AI1487" s="100" t="n">
        <f aca="false">IFERROR(O1487/K1487,0)</f>
        <v>875</v>
      </c>
      <c r="AJ1487" s="101" t="n">
        <f aca="false">VLOOKUP(D1487,'Standard Cycle time'!C:D,2,0)</f>
        <v>3.5</v>
      </c>
      <c r="AK1487" s="101" t="n">
        <f aca="false">AG1487*V1487*3600/O1487</f>
        <v>3.94285714285714</v>
      </c>
      <c r="AL1487" s="102" t="n">
        <f aca="false">AJ1487/AK1487</f>
        <v>0.88768115942029</v>
      </c>
      <c r="AM1487" s="99" t="n">
        <f aca="false">AE1487*AL1487*AH1487</f>
        <v>0.850694444444444</v>
      </c>
      <c r="AN1487" s="103" t="n">
        <v>0.850694444444444</v>
      </c>
      <c r="AO1487" s="112"/>
      <c r="AP1487" s="105" t="n">
        <v>20</v>
      </c>
      <c r="AQ1487" s="105" t="n">
        <v>0</v>
      </c>
      <c r="AR1487" s="105" t="n">
        <v>0</v>
      </c>
      <c r="AS1487" s="105" t="n">
        <v>0</v>
      </c>
      <c r="AT1487" s="105" t="n">
        <v>0</v>
      </c>
      <c r="AU1487" s="105" t="n">
        <v>0</v>
      </c>
      <c r="AV1487" s="105" t="n">
        <v>0</v>
      </c>
      <c r="AW1487" s="105" t="n">
        <v>0</v>
      </c>
      <c r="AX1487" s="105" t="n">
        <v>0</v>
      </c>
      <c r="AY1487" s="105" t="n">
        <v>0</v>
      </c>
      <c r="AZ1487" s="105" t="n">
        <v>0</v>
      </c>
      <c r="BA1487" s="105" t="n">
        <v>0</v>
      </c>
      <c r="BB1487" s="105" t="n">
        <v>0</v>
      </c>
      <c r="BC1487" s="105" t="n">
        <v>0</v>
      </c>
      <c r="BD1487" s="105" t="n">
        <v>0</v>
      </c>
      <c r="BE1487" s="105" t="n">
        <v>0</v>
      </c>
      <c r="BF1487" s="105" t="n">
        <v>0</v>
      </c>
      <c r="BG1487" s="105" t="n">
        <v>0</v>
      </c>
      <c r="BH1487" s="105" t="n">
        <v>0</v>
      </c>
      <c r="BI1487" s="105" t="n">
        <v>0</v>
      </c>
      <c r="BJ1487" s="105" t="n">
        <v>0</v>
      </c>
      <c r="BK1487" s="105" t="n">
        <v>0</v>
      </c>
      <c r="BL1487" s="105" t="n">
        <v>0</v>
      </c>
      <c r="BM1487" s="105" t="n">
        <v>0</v>
      </c>
      <c r="BN1487" s="105" t="n">
        <v>0</v>
      </c>
      <c r="BO1487" s="105" t="n">
        <v>0</v>
      </c>
      <c r="BP1487" s="105" t="n">
        <v>0</v>
      </c>
      <c r="BQ1487" s="105" t="n">
        <v>0</v>
      </c>
      <c r="BR1487" s="106" t="n">
        <v>0.333333333333333</v>
      </c>
      <c r="BS1487" s="106" t="n">
        <v>0.333333333333333</v>
      </c>
      <c r="BT1487" s="107"/>
      <c r="BU1487" s="107"/>
      <c r="BV1487" s="107"/>
      <c r="BW1487" s="107"/>
      <c r="BX1487" s="107"/>
      <c r="BY1487" s="107"/>
      <c r="BZ1487" s="107"/>
      <c r="CA1487" s="107"/>
      <c r="CB1487" s="107"/>
      <c r="CC1487" s="107"/>
      <c r="CD1487" s="107"/>
      <c r="CE1487" s="107"/>
      <c r="CF1487" s="107"/>
      <c r="CG1487" s="107"/>
      <c r="CH1487" s="107"/>
      <c r="CI1487" s="107"/>
      <c r="CJ1487" s="107"/>
      <c r="CK1487" s="107"/>
      <c r="CL1487" s="107"/>
      <c r="CM1487" s="107"/>
      <c r="CN1487" s="107"/>
      <c r="CO1487" s="107"/>
      <c r="CP1487" s="107"/>
      <c r="CQ1487" s="107"/>
      <c r="CR1487" s="107"/>
      <c r="CS1487" s="107"/>
      <c r="CT1487" s="107"/>
      <c r="CU1487" s="107"/>
      <c r="CV1487" s="107"/>
    </row>
    <row r="1488" customFormat="false" ht="14.9" hidden="false" customHeight="false" outlineLevel="0" collapsed="false">
      <c r="A1488" s="74" t="n">
        <f aca="false">MONTH(B1488)</f>
        <v>11</v>
      </c>
      <c r="B1488" s="135" t="n">
        <v>44529</v>
      </c>
      <c r="C1488" s="128" t="s">
        <v>152</v>
      </c>
      <c r="D1488" s="77" t="str">
        <f aca="false">IFERROR(VLOOKUP(E:E,'Item Data Support Sheet'!A:O,7,0),"")</f>
        <v>NIPPLE MOLDED</v>
      </c>
      <c r="E1488" s="80" t="s">
        <v>244</v>
      </c>
      <c r="F1488" s="122" t="s">
        <v>137</v>
      </c>
      <c r="G1488" s="137" t="s">
        <v>138</v>
      </c>
      <c r="H1488" s="79" t="str">
        <f aca="false">IFERROR(VLOOKUP(E:E,'Item Data Support Sheet'!A:O,2,0),"")</f>
        <v>NIPPLE S TYPE S SIZE INJECTION</v>
      </c>
      <c r="I1488" s="80" t="s">
        <v>2283</v>
      </c>
      <c r="J1488" s="80" t="s">
        <v>1913</v>
      </c>
      <c r="K1488" s="124" t="n">
        <v>8</v>
      </c>
      <c r="L1488" s="124" t="n">
        <v>4815</v>
      </c>
      <c r="M1488" s="83" t="n">
        <v>601.875</v>
      </c>
      <c r="N1488" s="84" t="n">
        <f aca="false">+O1488+Q1488+T1488+U1488</f>
        <v>5110</v>
      </c>
      <c r="O1488" s="85" t="n">
        <v>5000</v>
      </c>
      <c r="P1488" s="86" t="n">
        <v>0</v>
      </c>
      <c r="Q1488" s="86" t="n">
        <v>32</v>
      </c>
      <c r="R1488" s="132" t="n">
        <v>0</v>
      </c>
      <c r="S1488" s="128" t="n">
        <v>0</v>
      </c>
      <c r="T1488" s="132" t="n">
        <v>62</v>
      </c>
      <c r="U1488" s="128" t="n">
        <v>16</v>
      </c>
      <c r="V1488" s="128" t="n">
        <v>1</v>
      </c>
      <c r="W1488" s="90" t="n">
        <f aca="false">IFERROR(O1488/V1488,0)</f>
        <v>5000</v>
      </c>
      <c r="X1488" s="91" t="n">
        <f aca="false">O1488/L1488</f>
        <v>1.03842159916926</v>
      </c>
      <c r="Y1488" s="92" t="str">
        <f aca="false">IFERROR(VLOOKUP(E:E,'Item Data Support Sheet'!A:J,6,0),0)</f>
        <v>Silicon</v>
      </c>
      <c r="Z1488" s="93" t="n">
        <f aca="false">IFERROR(VLOOKUP(E:E,'Item Data Support Sheet'!A:O,4,0),0)</f>
        <v>6.8</v>
      </c>
      <c r="AA1488" s="93" t="n">
        <f aca="false">IFERROR(((N1488)*(Z1488/1000))+P1488,0)</f>
        <v>34.748</v>
      </c>
      <c r="AB1488" s="94" t="n">
        <f aca="false">IFERROR((O1488*(Z1488/1000)/(AA1488))," ")</f>
        <v>0.978473581213307</v>
      </c>
      <c r="AC1488" s="95" t="n">
        <f aca="false">IFERROR((T1488)/((T1488)+O1488),0)</f>
        <v>0.0122481232714342</v>
      </c>
      <c r="AD1488" s="96" t="n">
        <f aca="false">IFERROR(Q1488/(Q1488+N1488),0)</f>
        <v>0.00622325943212758</v>
      </c>
      <c r="AE1488" s="91" t="n">
        <f aca="false">(N1488-T1488)/N1488</f>
        <v>0.987866927592955</v>
      </c>
      <c r="AF1488" s="97" t="n">
        <f aca="false">BR1488</f>
        <v>0</v>
      </c>
      <c r="AG1488" s="98" t="n">
        <f aca="false">K1488-AF1488</f>
        <v>8</v>
      </c>
      <c r="AH1488" s="99" t="n">
        <f aca="false">IFERROR(AG1488/K1488," ")</f>
        <v>1</v>
      </c>
      <c r="AI1488" s="100" t="n">
        <f aca="false">IFERROR(O1488/K1488,0)</f>
        <v>625</v>
      </c>
      <c r="AJ1488" s="101" t="n">
        <f aca="false">VLOOKUP(D1488,'Standard Cycle time'!C:D,2,0)</f>
        <v>5.25</v>
      </c>
      <c r="AK1488" s="101" t="n">
        <f aca="false">AG1488*V1488*3600/O1488</f>
        <v>5.76</v>
      </c>
      <c r="AL1488" s="102" t="n">
        <f aca="false">AJ1488/AK1488</f>
        <v>0.911458333333333</v>
      </c>
      <c r="AM1488" s="99" t="n">
        <f aca="false">AE1488*AL1488*AH1488</f>
        <v>0.900399543378996</v>
      </c>
      <c r="AN1488" s="103" t="n">
        <v>0.900399543378996</v>
      </c>
      <c r="AO1488" s="112"/>
      <c r="AP1488" s="105" t="n">
        <v>0</v>
      </c>
      <c r="AQ1488" s="105" t="n">
        <v>0</v>
      </c>
      <c r="AR1488" s="105" t="n">
        <v>0</v>
      </c>
      <c r="AS1488" s="105" t="n">
        <v>0</v>
      </c>
      <c r="AT1488" s="105" t="n">
        <v>0</v>
      </c>
      <c r="AU1488" s="105" t="n">
        <v>0</v>
      </c>
      <c r="AV1488" s="105" t="n">
        <v>0</v>
      </c>
      <c r="AW1488" s="105" t="n">
        <v>0</v>
      </c>
      <c r="AX1488" s="105" t="n">
        <v>0</v>
      </c>
      <c r="AY1488" s="105" t="n">
        <v>0</v>
      </c>
      <c r="AZ1488" s="105" t="n">
        <v>0</v>
      </c>
      <c r="BA1488" s="105" t="n">
        <v>0</v>
      </c>
      <c r="BB1488" s="105" t="n">
        <v>0</v>
      </c>
      <c r="BC1488" s="105" t="n">
        <v>0</v>
      </c>
      <c r="BD1488" s="105" t="n">
        <v>0</v>
      </c>
      <c r="BE1488" s="105" t="n">
        <v>0</v>
      </c>
      <c r="BF1488" s="105" t="n">
        <v>0</v>
      </c>
      <c r="BG1488" s="105" t="n">
        <v>0</v>
      </c>
      <c r="BH1488" s="105" t="n">
        <v>0</v>
      </c>
      <c r="BI1488" s="105" t="n">
        <v>0</v>
      </c>
      <c r="BJ1488" s="105" t="n">
        <v>0</v>
      </c>
      <c r="BK1488" s="105" t="n">
        <v>0</v>
      </c>
      <c r="BL1488" s="105" t="n">
        <v>0</v>
      </c>
      <c r="BM1488" s="105" t="n">
        <v>0</v>
      </c>
      <c r="BN1488" s="105" t="n">
        <v>0</v>
      </c>
      <c r="BO1488" s="105" t="n">
        <v>0</v>
      </c>
      <c r="BP1488" s="105" t="n">
        <v>0</v>
      </c>
      <c r="BQ1488" s="105" t="n">
        <v>0</v>
      </c>
      <c r="BR1488" s="106" t="n">
        <v>0</v>
      </c>
      <c r="BS1488" s="106" t="n">
        <v>0</v>
      </c>
      <c r="BT1488" s="107"/>
      <c r="BU1488" s="107"/>
      <c r="BV1488" s="107"/>
      <c r="BW1488" s="107"/>
      <c r="BX1488" s="107"/>
      <c r="BY1488" s="107"/>
      <c r="BZ1488" s="107"/>
      <c r="CA1488" s="107"/>
      <c r="CB1488" s="107"/>
      <c r="CC1488" s="107"/>
      <c r="CD1488" s="107"/>
      <c r="CE1488" s="107"/>
      <c r="CF1488" s="107"/>
      <c r="CG1488" s="107"/>
      <c r="CH1488" s="107"/>
      <c r="CI1488" s="107"/>
      <c r="CJ1488" s="107"/>
      <c r="CK1488" s="107"/>
      <c r="CL1488" s="107"/>
      <c r="CM1488" s="107"/>
      <c r="CN1488" s="107"/>
      <c r="CO1488" s="107"/>
      <c r="CP1488" s="107"/>
      <c r="CQ1488" s="107"/>
      <c r="CR1488" s="107"/>
      <c r="CS1488" s="107"/>
      <c r="CT1488" s="107"/>
      <c r="CU1488" s="107"/>
      <c r="CV1488" s="107"/>
    </row>
    <row r="1489" customFormat="false" ht="14.9" hidden="false" customHeight="false" outlineLevel="0" collapsed="false">
      <c r="A1489" s="74" t="n">
        <f aca="false">MONTH(B1489)</f>
        <v>11</v>
      </c>
      <c r="B1489" s="135" t="n">
        <v>44529</v>
      </c>
      <c r="C1489" s="128" t="s">
        <v>152</v>
      </c>
      <c r="D1489" s="77" t="str">
        <f aca="false">IFERROR(VLOOKUP(E:E,'Item Data Support Sheet'!A:O,7,0),"")</f>
        <v>NIPPLE MOLDED</v>
      </c>
      <c r="E1489" s="80" t="s">
        <v>809</v>
      </c>
      <c r="F1489" s="122" t="s">
        <v>1286</v>
      </c>
      <c r="G1489" s="137" t="s">
        <v>848</v>
      </c>
      <c r="H1489" s="79" t="str">
        <f aca="false">IFERROR(VLOOKUP(E:E,'Item Data Support Sheet'!A:O,2,0),"")</f>
        <v>NIPPLE S TYPE Y SIZE INJECTION</v>
      </c>
      <c r="I1489" s="80" t="s">
        <v>2283</v>
      </c>
      <c r="J1489" s="80" t="s">
        <v>1913</v>
      </c>
      <c r="K1489" s="124" t="n">
        <v>8</v>
      </c>
      <c r="L1489" s="124" t="n">
        <v>3611</v>
      </c>
      <c r="M1489" s="83" t="n">
        <v>451.375</v>
      </c>
      <c r="N1489" s="84" t="n">
        <f aca="false">+O1489+Q1489+T1489+U1489</f>
        <v>4065</v>
      </c>
      <c r="O1489" s="85" t="n">
        <v>4000</v>
      </c>
      <c r="P1489" s="86" t="n">
        <v>0</v>
      </c>
      <c r="Q1489" s="86" t="n">
        <v>22</v>
      </c>
      <c r="R1489" s="132" t="n">
        <v>0</v>
      </c>
      <c r="S1489" s="128" t="n">
        <v>0</v>
      </c>
      <c r="T1489" s="132" t="n">
        <v>31</v>
      </c>
      <c r="U1489" s="128" t="n">
        <v>12</v>
      </c>
      <c r="V1489" s="128" t="n">
        <v>1</v>
      </c>
      <c r="W1489" s="90" t="n">
        <f aca="false">IFERROR(O1489/V1489,0)</f>
        <v>4000</v>
      </c>
      <c r="X1489" s="91" t="n">
        <f aca="false">O1489/L1489</f>
        <v>1.10772639158128</v>
      </c>
      <c r="Y1489" s="92" t="str">
        <f aca="false">IFERROR(VLOOKUP(E:E,'Item Data Support Sheet'!A:J,6,0),0)</f>
        <v>Silicon</v>
      </c>
      <c r="Z1489" s="93" t="n">
        <f aca="false">IFERROR(VLOOKUP(E:E,'Item Data Support Sheet'!A:O,4,0),0)</f>
        <v>6.8</v>
      </c>
      <c r="AA1489" s="93" t="n">
        <f aca="false">IFERROR(((N1489)*(Z1489/1000))+P1489,0)</f>
        <v>27.642</v>
      </c>
      <c r="AB1489" s="94" t="n">
        <f aca="false">IFERROR((O1489*(Z1489/1000)/(AA1489))," ")</f>
        <v>0.984009840098401</v>
      </c>
      <c r="AC1489" s="95" t="n">
        <f aca="false">IFERROR((T1489)/((T1489)+O1489),0)</f>
        <v>0.00769039940461424</v>
      </c>
      <c r="AD1489" s="96" t="n">
        <f aca="false">IFERROR(Q1489/(Q1489+N1489),0)</f>
        <v>0.00538292145828236</v>
      </c>
      <c r="AE1489" s="91" t="n">
        <f aca="false">(N1489-T1489)/N1489</f>
        <v>0.992373923739237</v>
      </c>
      <c r="AF1489" s="97" t="n">
        <f aca="false">BR1489</f>
        <v>0</v>
      </c>
      <c r="AG1489" s="98" t="n">
        <f aca="false">K1489-AF1489</f>
        <v>8</v>
      </c>
      <c r="AH1489" s="99" t="n">
        <f aca="false">IFERROR(AG1489/K1489," ")</f>
        <v>1</v>
      </c>
      <c r="AI1489" s="100" t="n">
        <f aca="false">IFERROR(O1489/K1489,0)</f>
        <v>500</v>
      </c>
      <c r="AJ1489" s="101" t="n">
        <f aca="false">VLOOKUP(D1489,'Standard Cycle time'!C:D,2,0)</f>
        <v>5.25</v>
      </c>
      <c r="AK1489" s="101" t="n">
        <f aca="false">AG1489*V1489*3600/O1489</f>
        <v>7.2</v>
      </c>
      <c r="AL1489" s="102" t="n">
        <f aca="false">AJ1489/AK1489</f>
        <v>0.729166666666667</v>
      </c>
      <c r="AM1489" s="99" t="n">
        <f aca="false">AE1489*AL1489*AH1489</f>
        <v>0.723605986059861</v>
      </c>
      <c r="AN1489" s="103" t="n">
        <v>0.723605986059861</v>
      </c>
      <c r="AO1489" s="112"/>
      <c r="AP1489" s="105" t="n">
        <v>0</v>
      </c>
      <c r="AQ1489" s="105" t="n">
        <v>0</v>
      </c>
      <c r="AR1489" s="105" t="n">
        <v>0</v>
      </c>
      <c r="AS1489" s="105" t="n">
        <v>0</v>
      </c>
      <c r="AT1489" s="105" t="n">
        <v>0</v>
      </c>
      <c r="AU1489" s="105" t="n">
        <v>0</v>
      </c>
      <c r="AV1489" s="105" t="n">
        <v>0</v>
      </c>
      <c r="AW1489" s="105" t="n">
        <v>0</v>
      </c>
      <c r="AX1489" s="105" t="n">
        <v>0</v>
      </c>
      <c r="AY1489" s="105" t="n">
        <v>0</v>
      </c>
      <c r="AZ1489" s="105" t="n">
        <v>0</v>
      </c>
      <c r="BA1489" s="105" t="n">
        <v>0</v>
      </c>
      <c r="BB1489" s="105" t="n">
        <v>0</v>
      </c>
      <c r="BC1489" s="105" t="n">
        <v>0</v>
      </c>
      <c r="BD1489" s="105" t="n">
        <v>0</v>
      </c>
      <c r="BE1489" s="105" t="n">
        <v>0</v>
      </c>
      <c r="BF1489" s="105" t="n">
        <v>0</v>
      </c>
      <c r="BG1489" s="105" t="n">
        <v>0</v>
      </c>
      <c r="BH1489" s="105" t="n">
        <v>0</v>
      </c>
      <c r="BI1489" s="105" t="n">
        <v>0</v>
      </c>
      <c r="BJ1489" s="105" t="n">
        <v>0</v>
      </c>
      <c r="BK1489" s="105" t="n">
        <v>0</v>
      </c>
      <c r="BL1489" s="105" t="n">
        <v>0</v>
      </c>
      <c r="BM1489" s="105" t="n">
        <v>0</v>
      </c>
      <c r="BN1489" s="105" t="n">
        <v>0</v>
      </c>
      <c r="BO1489" s="105" t="n">
        <v>0</v>
      </c>
      <c r="BP1489" s="105" t="n">
        <v>0</v>
      </c>
      <c r="BQ1489" s="105" t="n">
        <v>0</v>
      </c>
      <c r="BR1489" s="106" t="n">
        <v>0</v>
      </c>
      <c r="BS1489" s="106" t="n">
        <v>0</v>
      </c>
      <c r="BT1489" s="107"/>
      <c r="BU1489" s="107"/>
      <c r="BV1489" s="107"/>
      <c r="BW1489" s="107"/>
      <c r="BX1489" s="107"/>
      <c r="BY1489" s="107"/>
      <c r="BZ1489" s="107"/>
      <c r="CA1489" s="107"/>
      <c r="CB1489" s="107"/>
      <c r="CC1489" s="107"/>
      <c r="CD1489" s="107"/>
      <c r="CE1489" s="107"/>
      <c r="CF1489" s="107"/>
      <c r="CG1489" s="107"/>
      <c r="CH1489" s="107"/>
      <c r="CI1489" s="107"/>
      <c r="CJ1489" s="107"/>
      <c r="CK1489" s="107"/>
      <c r="CL1489" s="107"/>
      <c r="CM1489" s="107"/>
      <c r="CN1489" s="107"/>
      <c r="CO1489" s="107"/>
      <c r="CP1489" s="107"/>
      <c r="CQ1489" s="107"/>
      <c r="CR1489" s="107"/>
      <c r="CS1489" s="107"/>
      <c r="CT1489" s="107"/>
      <c r="CU1489" s="107"/>
      <c r="CV1489" s="107"/>
    </row>
    <row r="1490" customFormat="false" ht="14.9" hidden="false" customHeight="false" outlineLevel="0" collapsed="false">
      <c r="A1490" s="74" t="n">
        <f aca="false">MONTH(B1490)</f>
        <v>11</v>
      </c>
      <c r="B1490" s="135" t="n">
        <v>44529</v>
      </c>
      <c r="C1490" s="128" t="s">
        <v>152</v>
      </c>
      <c r="D1490" s="77" t="str">
        <f aca="false">IFERROR(VLOOKUP(E:E,'Item Data Support Sheet'!A:O,7,0),"")</f>
        <v>CAP MOLDED</v>
      </c>
      <c r="E1490" s="80" t="s">
        <v>343</v>
      </c>
      <c r="F1490" s="122" t="s">
        <v>2161</v>
      </c>
      <c r="G1490" s="137"/>
      <c r="H1490" s="79" t="str">
        <f aca="false">IFERROR(VLOOKUP(E:E,'Item Data Support Sheet'!A:O,2,0),"")</f>
        <v>CAP S TYPE MOLDED BLUE</v>
      </c>
      <c r="I1490" s="80" t="s">
        <v>2284</v>
      </c>
      <c r="J1490" s="80" t="s">
        <v>1913</v>
      </c>
      <c r="K1490" s="124" t="n">
        <v>8</v>
      </c>
      <c r="L1490" s="124" t="n">
        <v>4137</v>
      </c>
      <c r="M1490" s="83" t="n">
        <v>517.125</v>
      </c>
      <c r="N1490" s="84" t="n">
        <f aca="false">+O1490+Q1490+T1490+U1490</f>
        <v>5020</v>
      </c>
      <c r="O1490" s="85" t="n">
        <v>5000</v>
      </c>
      <c r="P1490" s="86" t="n">
        <v>0</v>
      </c>
      <c r="Q1490" s="86" t="n">
        <v>0</v>
      </c>
      <c r="R1490" s="132" t="n">
        <v>0</v>
      </c>
      <c r="S1490" s="128" t="n">
        <v>0</v>
      </c>
      <c r="T1490" s="132" t="n">
        <v>12</v>
      </c>
      <c r="U1490" s="128" t="n">
        <v>8</v>
      </c>
      <c r="V1490" s="128" t="n">
        <v>1</v>
      </c>
      <c r="W1490" s="90" t="n">
        <f aca="false">IFERROR(O1490/V1490,0)</f>
        <v>5000</v>
      </c>
      <c r="X1490" s="91" t="n">
        <f aca="false">O1490/L1490</f>
        <v>1.20860526951898</v>
      </c>
      <c r="Y1490" s="92" t="str">
        <f aca="false">IFERROR(VLOOKUP(E:E,'Item Data Support Sheet'!A:J,6,0),0)</f>
        <v>RM000114</v>
      </c>
      <c r="Z1490" s="93" t="n">
        <f aca="false">IFERROR(VLOOKUP(E:E,'Item Data Support Sheet'!A:O,4,0),0)</f>
        <v>7.3</v>
      </c>
      <c r="AA1490" s="93" t="n">
        <f aca="false">IFERROR(((N1490)*(Z1490/1000))+P1490,0)</f>
        <v>36.646</v>
      </c>
      <c r="AB1490" s="94" t="n">
        <f aca="false">IFERROR((O1490*(Z1490/1000)/(AA1490))," ")</f>
        <v>0.99601593625498</v>
      </c>
      <c r="AC1490" s="95" t="n">
        <f aca="false">IFERROR((T1490)/((T1490)+O1490),0)</f>
        <v>0.00239425379090184</v>
      </c>
      <c r="AD1490" s="96" t="n">
        <f aca="false">IFERROR(Q1490/(Q1490+N1490),0)</f>
        <v>0</v>
      </c>
      <c r="AE1490" s="91" t="n">
        <f aca="false">(N1490-T1490)/N1490</f>
        <v>0.997609561752988</v>
      </c>
      <c r="AF1490" s="97" t="n">
        <f aca="false">BR1490</f>
        <v>0</v>
      </c>
      <c r="AG1490" s="98" t="n">
        <f aca="false">K1490-AF1490</f>
        <v>8</v>
      </c>
      <c r="AH1490" s="99" t="n">
        <f aca="false">IFERROR(AG1490/K1490," ")</f>
        <v>1</v>
      </c>
      <c r="AI1490" s="100" t="n">
        <f aca="false">IFERROR(O1490/K1490,0)</f>
        <v>625</v>
      </c>
      <c r="AJ1490" s="101" t="n">
        <f aca="false">VLOOKUP(D1490,'Standard Cycle time'!C:D,2,0)</f>
        <v>6</v>
      </c>
      <c r="AK1490" s="101" t="n">
        <f aca="false">AG1490*V1490*3600/O1490</f>
        <v>5.76</v>
      </c>
      <c r="AL1490" s="102" t="n">
        <f aca="false">AJ1490/AK1490</f>
        <v>1.04166666666667</v>
      </c>
      <c r="AM1490" s="99" t="n">
        <f aca="false">AE1490*AL1490*AH1490</f>
        <v>1.03917662682603</v>
      </c>
      <c r="AN1490" s="103" t="n">
        <v>1.03917662682603</v>
      </c>
      <c r="AO1490" s="112"/>
      <c r="AP1490" s="105" t="n">
        <v>0</v>
      </c>
      <c r="AQ1490" s="105" t="n">
        <v>0</v>
      </c>
      <c r="AR1490" s="105" t="n">
        <v>0</v>
      </c>
      <c r="AS1490" s="105" t="n">
        <v>0</v>
      </c>
      <c r="AT1490" s="105" t="n">
        <v>0</v>
      </c>
      <c r="AU1490" s="105" t="n">
        <v>0</v>
      </c>
      <c r="AV1490" s="105" t="n">
        <v>0</v>
      </c>
      <c r="AW1490" s="105" t="n">
        <v>0</v>
      </c>
      <c r="AX1490" s="105" t="n">
        <v>0</v>
      </c>
      <c r="AY1490" s="105" t="n">
        <v>0</v>
      </c>
      <c r="AZ1490" s="105" t="n">
        <v>0</v>
      </c>
      <c r="BA1490" s="105" t="n">
        <v>0</v>
      </c>
      <c r="BB1490" s="105" t="n">
        <v>0</v>
      </c>
      <c r="BC1490" s="105" t="n">
        <v>0</v>
      </c>
      <c r="BD1490" s="105" t="n">
        <v>0</v>
      </c>
      <c r="BE1490" s="105" t="n">
        <v>0</v>
      </c>
      <c r="BF1490" s="105" t="n">
        <v>0</v>
      </c>
      <c r="BG1490" s="105" t="n">
        <v>0</v>
      </c>
      <c r="BH1490" s="105" t="n">
        <v>0</v>
      </c>
      <c r="BI1490" s="105" t="n">
        <v>0</v>
      </c>
      <c r="BJ1490" s="105" t="n">
        <v>0</v>
      </c>
      <c r="BK1490" s="105" t="n">
        <v>0</v>
      </c>
      <c r="BL1490" s="105" t="n">
        <v>0</v>
      </c>
      <c r="BM1490" s="105" t="n">
        <v>0</v>
      </c>
      <c r="BN1490" s="105" t="n">
        <v>0</v>
      </c>
      <c r="BO1490" s="105" t="n">
        <v>0</v>
      </c>
      <c r="BP1490" s="105" t="n">
        <v>0</v>
      </c>
      <c r="BQ1490" s="105" t="n">
        <v>0</v>
      </c>
      <c r="BR1490" s="106" t="n">
        <v>0</v>
      </c>
      <c r="BS1490" s="106" t="n">
        <v>0</v>
      </c>
      <c r="BT1490" s="107"/>
      <c r="BU1490" s="107"/>
      <c r="BV1490" s="107"/>
      <c r="BW1490" s="107"/>
      <c r="BX1490" s="107"/>
      <c r="BY1490" s="107"/>
      <c r="BZ1490" s="107"/>
      <c r="CA1490" s="107"/>
      <c r="CB1490" s="107"/>
      <c r="CC1490" s="107"/>
      <c r="CD1490" s="107"/>
      <c r="CE1490" s="107"/>
      <c r="CF1490" s="107"/>
      <c r="CG1490" s="107"/>
      <c r="CH1490" s="107"/>
      <c r="CI1490" s="107"/>
      <c r="CJ1490" s="107"/>
      <c r="CK1490" s="107"/>
      <c r="CL1490" s="107"/>
      <c r="CM1490" s="107"/>
      <c r="CN1490" s="107"/>
      <c r="CO1490" s="107"/>
      <c r="CP1490" s="107"/>
      <c r="CQ1490" s="107"/>
      <c r="CR1490" s="107"/>
      <c r="CS1490" s="107"/>
      <c r="CT1490" s="107"/>
      <c r="CU1490" s="107"/>
      <c r="CV1490" s="107"/>
    </row>
    <row r="1491" customFormat="false" ht="14.9" hidden="false" customHeight="false" outlineLevel="0" collapsed="false">
      <c r="A1491" s="74" t="n">
        <f aca="false">MONTH(B1491)</f>
        <v>11</v>
      </c>
      <c r="B1491" s="135" t="n">
        <v>44529</v>
      </c>
      <c r="C1491" s="128" t="s">
        <v>152</v>
      </c>
      <c r="D1491" s="77" t="str">
        <f aca="false">IFERROR(VLOOKUP(E:E,'Item Data Support Sheet'!A:O,7,0),"")</f>
        <v>BOTTLE MOLDED</v>
      </c>
      <c r="E1491" s="80" t="s">
        <v>357</v>
      </c>
      <c r="F1491" s="122" t="s">
        <v>144</v>
      </c>
      <c r="G1491" s="137" t="s">
        <v>80</v>
      </c>
      <c r="H1491" s="79" t="str">
        <f aca="false">IFERROR(VLOOKUP(E:E,'Item Data Support Sheet'!A:O,2,0),"")</f>
        <v>KPP 120 ML BOTTLE MOLDED</v>
      </c>
      <c r="I1491" s="80" t="s">
        <v>2271</v>
      </c>
      <c r="J1491" s="80" t="s">
        <v>1913</v>
      </c>
      <c r="K1491" s="124" t="n">
        <v>8</v>
      </c>
      <c r="L1491" s="124" t="n">
        <v>2574</v>
      </c>
      <c r="M1491" s="83" t="n">
        <v>321.75</v>
      </c>
      <c r="N1491" s="84" t="n">
        <f aca="false">+O1491+Q1491+T1491+U1491</f>
        <v>2443</v>
      </c>
      <c r="O1491" s="85" t="n">
        <v>2340</v>
      </c>
      <c r="P1491" s="86" t="n">
        <v>0</v>
      </c>
      <c r="Q1491" s="86" t="n">
        <v>41</v>
      </c>
      <c r="R1491" s="132" t="n">
        <v>0</v>
      </c>
      <c r="S1491" s="128"/>
      <c r="T1491" s="132" t="n">
        <v>54</v>
      </c>
      <c r="U1491" s="128" t="n">
        <v>8</v>
      </c>
      <c r="V1491" s="128" t="n">
        <v>1</v>
      </c>
      <c r="W1491" s="90" t="n">
        <f aca="false">IFERROR(O1491/V1491,0)</f>
        <v>2340</v>
      </c>
      <c r="X1491" s="91" t="n">
        <f aca="false">O1491/L1491</f>
        <v>0.909090909090909</v>
      </c>
      <c r="Y1491" s="92" t="str">
        <f aca="false">IFERROR(VLOOKUP(E:E,'Item Data Support Sheet'!A:J,6,0),0)</f>
        <v>HMC</v>
      </c>
      <c r="Z1491" s="93" t="n">
        <f aca="false">IFERROR(VLOOKUP(E:E,'Item Data Support Sheet'!A:O,4,0),0)</f>
        <v>21.3</v>
      </c>
      <c r="AA1491" s="93" t="n">
        <f aca="false">IFERROR(((N1491)*(Z1491/1000))+P1491,0)</f>
        <v>52.0359</v>
      </c>
      <c r="AB1491" s="94" t="n">
        <f aca="false">IFERROR((O1491*(Z1491/1000)/(AA1491))," ")</f>
        <v>0.957838722881703</v>
      </c>
      <c r="AC1491" s="95" t="n">
        <f aca="false">IFERROR((T1491)/((T1491)+O1491),0)</f>
        <v>0.0225563909774436</v>
      </c>
      <c r="AD1491" s="96" t="n">
        <f aca="false">IFERROR(Q1491/(Q1491+N1491),0)</f>
        <v>0.0165056360708535</v>
      </c>
      <c r="AE1491" s="91" t="n">
        <f aca="false">(N1491-T1491)/N1491</f>
        <v>0.977896029471961</v>
      </c>
      <c r="AF1491" s="97" t="n">
        <f aca="false">BR1491</f>
        <v>0</v>
      </c>
      <c r="AG1491" s="98" t="n">
        <f aca="false">K1491-AF1491</f>
        <v>8</v>
      </c>
      <c r="AH1491" s="99" t="n">
        <f aca="false">IFERROR(AG1491/K1491," ")</f>
        <v>1</v>
      </c>
      <c r="AI1491" s="100" t="n">
        <f aca="false">IFERROR(O1491/K1491,0)</f>
        <v>292.5</v>
      </c>
      <c r="AJ1491" s="101" t="n">
        <f aca="false">VLOOKUP(D1491,'Standard Cycle time'!C:D,2,0)</f>
        <v>9</v>
      </c>
      <c r="AK1491" s="101" t="n">
        <f aca="false">AG1491*V1491*3600/O1491</f>
        <v>12.3076923076923</v>
      </c>
      <c r="AL1491" s="102" t="n">
        <f aca="false">AJ1491/AK1491</f>
        <v>0.73125</v>
      </c>
      <c r="AM1491" s="99" t="n">
        <f aca="false">AE1491*AL1491*AH1491</f>
        <v>0.715086471551371</v>
      </c>
      <c r="AN1491" s="103" t="n">
        <v>0.715086471551371</v>
      </c>
      <c r="AO1491" s="112"/>
      <c r="AP1491" s="105" t="n">
        <v>0</v>
      </c>
      <c r="AQ1491" s="105" t="n">
        <v>0</v>
      </c>
      <c r="AR1491" s="105" t="n">
        <v>0</v>
      </c>
      <c r="AS1491" s="105" t="n">
        <v>0</v>
      </c>
      <c r="AT1491" s="105" t="n">
        <v>0</v>
      </c>
      <c r="AU1491" s="105" t="n">
        <v>0</v>
      </c>
      <c r="AV1491" s="105" t="n">
        <v>0</v>
      </c>
      <c r="AW1491" s="105" t="n">
        <v>0</v>
      </c>
      <c r="AX1491" s="105" t="n">
        <v>0</v>
      </c>
      <c r="AY1491" s="105" t="n">
        <v>0</v>
      </c>
      <c r="AZ1491" s="105" t="n">
        <v>0</v>
      </c>
      <c r="BA1491" s="105" t="n">
        <v>0</v>
      </c>
      <c r="BB1491" s="105" t="n">
        <v>0</v>
      </c>
      <c r="BC1491" s="105" t="n">
        <v>0</v>
      </c>
      <c r="BD1491" s="105" t="n">
        <v>0</v>
      </c>
      <c r="BE1491" s="105" t="n">
        <v>0</v>
      </c>
      <c r="BF1491" s="105" t="n">
        <v>0</v>
      </c>
      <c r="BG1491" s="105" t="n">
        <v>0</v>
      </c>
      <c r="BH1491" s="105" t="n">
        <v>0</v>
      </c>
      <c r="BI1491" s="105" t="n">
        <v>0</v>
      </c>
      <c r="BJ1491" s="105" t="n">
        <v>0</v>
      </c>
      <c r="BK1491" s="105" t="n">
        <v>0</v>
      </c>
      <c r="BL1491" s="105" t="n">
        <v>0</v>
      </c>
      <c r="BM1491" s="105" t="n">
        <v>0</v>
      </c>
      <c r="BN1491" s="105" t="n">
        <v>0</v>
      </c>
      <c r="BO1491" s="105" t="n">
        <v>0</v>
      </c>
      <c r="BP1491" s="105" t="n">
        <v>0</v>
      </c>
      <c r="BQ1491" s="105" t="n">
        <v>0</v>
      </c>
      <c r="BR1491" s="106" t="n">
        <v>0</v>
      </c>
      <c r="BS1491" s="106" t="n">
        <v>0</v>
      </c>
      <c r="BT1491" s="107"/>
      <c r="BU1491" s="107"/>
      <c r="BV1491" s="107"/>
      <c r="BW1491" s="107"/>
      <c r="BX1491" s="107"/>
      <c r="BY1491" s="107"/>
      <c r="BZ1491" s="107"/>
      <c r="CA1491" s="107"/>
      <c r="CB1491" s="107"/>
      <c r="CC1491" s="107"/>
      <c r="CD1491" s="107"/>
      <c r="CE1491" s="107"/>
      <c r="CF1491" s="107"/>
      <c r="CG1491" s="107"/>
      <c r="CH1491" s="107"/>
      <c r="CI1491" s="107"/>
      <c r="CJ1491" s="107"/>
      <c r="CK1491" s="107"/>
      <c r="CL1491" s="107"/>
      <c r="CM1491" s="107"/>
      <c r="CN1491" s="107"/>
      <c r="CO1491" s="107"/>
      <c r="CP1491" s="107"/>
      <c r="CQ1491" s="107"/>
      <c r="CR1491" s="107"/>
      <c r="CS1491" s="107"/>
      <c r="CT1491" s="107"/>
      <c r="CU1491" s="107"/>
      <c r="CV1491" s="107"/>
    </row>
    <row r="1492" customFormat="false" ht="14.9" hidden="false" customHeight="false" outlineLevel="0" collapsed="false">
      <c r="A1492" s="74" t="n">
        <f aca="false">MONTH(B1492)</f>
        <v>11</v>
      </c>
      <c r="B1492" s="135" t="n">
        <v>44530</v>
      </c>
      <c r="C1492" s="128" t="s">
        <v>51</v>
      </c>
      <c r="D1492" s="77" t="str">
        <f aca="false">IFERROR(VLOOKUP(E:E,'Item Data Support Sheet'!A:O,7,0),"")</f>
        <v>NIPPLE MOLDED</v>
      </c>
      <c r="E1492" s="80" t="s">
        <v>809</v>
      </c>
      <c r="F1492" s="122" t="s">
        <v>1286</v>
      </c>
      <c r="G1492" s="137" t="s">
        <v>848</v>
      </c>
      <c r="H1492" s="79" t="str">
        <f aca="false">IFERROR(VLOOKUP(E:E,'Item Data Support Sheet'!A:O,2,0),"")</f>
        <v>NIPPLE S TYPE Y SIZE INJECTION</v>
      </c>
      <c r="I1492" s="80" t="s">
        <v>2285</v>
      </c>
      <c r="J1492" s="80" t="s">
        <v>143</v>
      </c>
      <c r="K1492" s="124" t="n">
        <v>8</v>
      </c>
      <c r="L1492" s="124" t="n">
        <v>3611</v>
      </c>
      <c r="M1492" s="83" t="n">
        <v>451.375</v>
      </c>
      <c r="N1492" s="84" t="n">
        <f aca="false">+O1492+Q1492+T1492+U1492</f>
        <v>4300</v>
      </c>
      <c r="O1492" s="85" t="n">
        <v>4200</v>
      </c>
      <c r="P1492" s="86" t="n">
        <v>0</v>
      </c>
      <c r="Q1492" s="86" t="n">
        <v>48</v>
      </c>
      <c r="R1492" s="132" t="n">
        <v>0</v>
      </c>
      <c r="S1492" s="128" t="n">
        <v>0</v>
      </c>
      <c r="T1492" s="132" t="n">
        <v>40</v>
      </c>
      <c r="U1492" s="128" t="n">
        <v>12</v>
      </c>
      <c r="V1492" s="128" t="n">
        <v>1</v>
      </c>
      <c r="W1492" s="90" t="n">
        <f aca="false">IFERROR(O1492/V1492,0)</f>
        <v>4200</v>
      </c>
      <c r="X1492" s="91" t="n">
        <f aca="false">O1492/L1492</f>
        <v>1.16311271116034</v>
      </c>
      <c r="Y1492" s="92" t="str">
        <f aca="false">IFERROR(VLOOKUP(E:E,'Item Data Support Sheet'!A:J,6,0),0)</f>
        <v>Silicon</v>
      </c>
      <c r="Z1492" s="93" t="n">
        <f aca="false">IFERROR(VLOOKUP(E:E,'Item Data Support Sheet'!A:O,4,0),0)</f>
        <v>6.8</v>
      </c>
      <c r="AA1492" s="93" t="n">
        <f aca="false">IFERROR(((N1492)*(Z1492/1000))+P1492,0)</f>
        <v>29.24</v>
      </c>
      <c r="AB1492" s="94" t="n">
        <f aca="false">IFERROR((O1492*(Z1492/1000)/(AA1492))," ")</f>
        <v>0.976744186046512</v>
      </c>
      <c r="AC1492" s="95" t="n">
        <f aca="false">IFERROR((T1492)/((T1492)+O1492),0)</f>
        <v>0.00943396226415094</v>
      </c>
      <c r="AD1492" s="96" t="n">
        <f aca="false">IFERROR(Q1492/(Q1492+N1492),0)</f>
        <v>0.0110395584176633</v>
      </c>
      <c r="AE1492" s="91" t="n">
        <f aca="false">(N1492-T1492)/N1492</f>
        <v>0.990697674418605</v>
      </c>
      <c r="AF1492" s="97" t="n">
        <f aca="false">BR1492</f>
        <v>0</v>
      </c>
      <c r="AG1492" s="98" t="n">
        <f aca="false">K1492-AF1492</f>
        <v>8</v>
      </c>
      <c r="AH1492" s="99" t="n">
        <f aca="false">IFERROR(AG1492/K1492," ")</f>
        <v>1</v>
      </c>
      <c r="AI1492" s="100" t="n">
        <f aca="false">IFERROR(O1492/K1492,0)</f>
        <v>525</v>
      </c>
      <c r="AJ1492" s="101" t="n">
        <f aca="false">VLOOKUP(D1492,'Standard Cycle time'!C:D,2,0)</f>
        <v>5.25</v>
      </c>
      <c r="AK1492" s="101" t="n">
        <f aca="false">AG1492*V1492*3600/O1492</f>
        <v>6.85714285714286</v>
      </c>
      <c r="AL1492" s="102" t="n">
        <f aca="false">AJ1492/AK1492</f>
        <v>0.765625</v>
      </c>
      <c r="AM1492" s="99" t="n">
        <f aca="false">AE1492*AL1492*AH1492</f>
        <v>0.758502906976744</v>
      </c>
      <c r="AN1492" s="103" t="n">
        <v>0.758502906976744</v>
      </c>
      <c r="AO1492" s="112"/>
      <c r="AP1492" s="105" t="n">
        <v>0</v>
      </c>
      <c r="AQ1492" s="105" t="n">
        <v>0</v>
      </c>
      <c r="AR1492" s="105" t="n">
        <v>0</v>
      </c>
      <c r="AS1492" s="105" t="n">
        <v>0</v>
      </c>
      <c r="AT1492" s="105" t="n">
        <v>0</v>
      </c>
      <c r="AU1492" s="105" t="n">
        <v>0</v>
      </c>
      <c r="AV1492" s="105" t="n">
        <v>0</v>
      </c>
      <c r="AW1492" s="105" t="n">
        <v>0</v>
      </c>
      <c r="AX1492" s="105" t="n">
        <v>0</v>
      </c>
      <c r="AY1492" s="105" t="n">
        <v>0</v>
      </c>
      <c r="AZ1492" s="105" t="n">
        <v>0</v>
      </c>
      <c r="BA1492" s="105" t="n">
        <v>0</v>
      </c>
      <c r="BB1492" s="105" t="n">
        <v>0</v>
      </c>
      <c r="BC1492" s="105" t="n">
        <v>0</v>
      </c>
      <c r="BD1492" s="105" t="n">
        <v>0</v>
      </c>
      <c r="BE1492" s="105" t="n">
        <v>0</v>
      </c>
      <c r="BF1492" s="105" t="n">
        <v>0</v>
      </c>
      <c r="BG1492" s="105" t="n">
        <v>0</v>
      </c>
      <c r="BH1492" s="105" t="n">
        <v>0</v>
      </c>
      <c r="BI1492" s="105" t="n">
        <v>0</v>
      </c>
      <c r="BJ1492" s="105" t="n">
        <v>0</v>
      </c>
      <c r="BK1492" s="105" t="n">
        <v>0</v>
      </c>
      <c r="BL1492" s="105" t="n">
        <v>0</v>
      </c>
      <c r="BM1492" s="105" t="n">
        <v>0</v>
      </c>
      <c r="BN1492" s="105" t="n">
        <v>0</v>
      </c>
      <c r="BO1492" s="105" t="n">
        <v>0</v>
      </c>
      <c r="BP1492" s="105" t="n">
        <v>0</v>
      </c>
      <c r="BQ1492" s="105" t="n">
        <v>0</v>
      </c>
      <c r="BR1492" s="106" t="n">
        <v>0</v>
      </c>
      <c r="BS1492" s="106" t="n">
        <v>0</v>
      </c>
      <c r="BT1492" s="107"/>
      <c r="BU1492" s="107"/>
      <c r="BV1492" s="107"/>
      <c r="BW1492" s="107"/>
      <c r="BX1492" s="107"/>
      <c r="BY1492" s="107"/>
      <c r="BZ1492" s="107"/>
      <c r="CA1492" s="107"/>
      <c r="CB1492" s="107"/>
      <c r="CC1492" s="107"/>
      <c r="CD1492" s="107"/>
      <c r="CE1492" s="107"/>
      <c r="CF1492" s="107"/>
      <c r="CG1492" s="107"/>
      <c r="CH1492" s="107"/>
      <c r="CI1492" s="107"/>
      <c r="CJ1492" s="107"/>
      <c r="CK1492" s="107"/>
      <c r="CL1492" s="107"/>
      <c r="CM1492" s="107"/>
      <c r="CN1492" s="107"/>
      <c r="CO1492" s="107"/>
      <c r="CP1492" s="107"/>
      <c r="CQ1492" s="107"/>
      <c r="CR1492" s="107"/>
      <c r="CS1492" s="107"/>
      <c r="CT1492" s="107"/>
      <c r="CU1492" s="107"/>
      <c r="CV1492" s="107"/>
    </row>
    <row r="1493" customFormat="false" ht="14.9" hidden="false" customHeight="false" outlineLevel="0" collapsed="false">
      <c r="A1493" s="74" t="n">
        <f aca="false">MONTH(B1493)</f>
        <v>11</v>
      </c>
      <c r="B1493" s="135" t="n">
        <v>44530</v>
      </c>
      <c r="C1493" s="128" t="s">
        <v>51</v>
      </c>
      <c r="D1493" s="77" t="str">
        <f aca="false">IFERROR(VLOOKUP(E:E,'Item Data Support Sheet'!A:O,7,0),"")</f>
        <v>NIPPLE MOLDED</v>
      </c>
      <c r="E1493" s="80" t="s">
        <v>244</v>
      </c>
      <c r="F1493" s="122" t="s">
        <v>137</v>
      </c>
      <c r="G1493" s="137" t="s">
        <v>138</v>
      </c>
      <c r="H1493" s="79" t="str">
        <f aca="false">IFERROR(VLOOKUP(E:E,'Item Data Support Sheet'!A:O,2,0),"")</f>
        <v>NIPPLE S TYPE S SIZE INJECTION</v>
      </c>
      <c r="I1493" s="80" t="s">
        <v>2285</v>
      </c>
      <c r="J1493" s="80" t="s">
        <v>143</v>
      </c>
      <c r="K1493" s="124" t="n">
        <v>8</v>
      </c>
      <c r="L1493" s="124" t="n">
        <v>4815</v>
      </c>
      <c r="M1493" s="83" t="n">
        <v>601.875</v>
      </c>
      <c r="N1493" s="84" t="n">
        <f aca="false">+O1493+Q1493+T1493+U1493</f>
        <v>4702</v>
      </c>
      <c r="O1493" s="85" t="n">
        <v>4600</v>
      </c>
      <c r="P1493" s="86" t="n">
        <v>0</v>
      </c>
      <c r="Q1493" s="86" t="n">
        <v>48</v>
      </c>
      <c r="R1493" s="132" t="n">
        <v>0</v>
      </c>
      <c r="S1493" s="128" t="n">
        <v>0</v>
      </c>
      <c r="T1493" s="132" t="n">
        <v>38</v>
      </c>
      <c r="U1493" s="128" t="n">
        <v>16</v>
      </c>
      <c r="V1493" s="128" t="n">
        <v>1</v>
      </c>
      <c r="W1493" s="90" t="n">
        <f aca="false">IFERROR(O1493/V1493,0)</f>
        <v>4600</v>
      </c>
      <c r="X1493" s="91" t="n">
        <f aca="false">O1493/L1493</f>
        <v>0.955347871235722</v>
      </c>
      <c r="Y1493" s="92" t="str">
        <f aca="false">IFERROR(VLOOKUP(E:E,'Item Data Support Sheet'!A:J,6,0),0)</f>
        <v>Silicon</v>
      </c>
      <c r="Z1493" s="93" t="n">
        <f aca="false">IFERROR(VLOOKUP(E:E,'Item Data Support Sheet'!A:O,4,0),0)</f>
        <v>6.8</v>
      </c>
      <c r="AA1493" s="93" t="n">
        <f aca="false">IFERROR(((N1493)*(Z1493/1000))+P1493,0)</f>
        <v>31.9736</v>
      </c>
      <c r="AB1493" s="94" t="n">
        <f aca="false">IFERROR((O1493*(Z1493/1000)/(AA1493))," ")</f>
        <v>0.978307103360272</v>
      </c>
      <c r="AC1493" s="95" t="n">
        <f aca="false">IFERROR((T1493)/((T1493)+O1493),0)</f>
        <v>0.00819318671841311</v>
      </c>
      <c r="AD1493" s="96" t="n">
        <f aca="false">IFERROR(Q1493/(Q1493+N1493),0)</f>
        <v>0.0101052631578947</v>
      </c>
      <c r="AE1493" s="91" t="n">
        <f aca="false">(N1493-T1493)/N1493</f>
        <v>0.991918332624415</v>
      </c>
      <c r="AF1493" s="97" t="n">
        <f aca="false">BR1493</f>
        <v>0</v>
      </c>
      <c r="AG1493" s="98" t="n">
        <f aca="false">K1493-AF1493</f>
        <v>8</v>
      </c>
      <c r="AH1493" s="99" t="n">
        <f aca="false">IFERROR(AG1493/K1493," ")</f>
        <v>1</v>
      </c>
      <c r="AI1493" s="100" t="n">
        <f aca="false">IFERROR(O1493/K1493,0)</f>
        <v>575</v>
      </c>
      <c r="AJ1493" s="101" t="n">
        <f aca="false">VLOOKUP(D1493,'Standard Cycle time'!C:D,2,0)</f>
        <v>5.25</v>
      </c>
      <c r="AK1493" s="101" t="n">
        <f aca="false">AG1493*V1493*3600/O1493</f>
        <v>6.26086956521739</v>
      </c>
      <c r="AL1493" s="102" t="n">
        <f aca="false">AJ1493/AK1493</f>
        <v>0.838541666666667</v>
      </c>
      <c r="AM1493" s="99" t="n">
        <f aca="false">AE1493*AL1493*AH1493</f>
        <v>0.831764851836098</v>
      </c>
      <c r="AN1493" s="103" t="n">
        <v>0.831764851836098</v>
      </c>
      <c r="AO1493" s="112"/>
      <c r="AP1493" s="105" t="n">
        <v>0</v>
      </c>
      <c r="AQ1493" s="105" t="n">
        <v>0</v>
      </c>
      <c r="AR1493" s="105" t="n">
        <v>0</v>
      </c>
      <c r="AS1493" s="105" t="n">
        <v>0</v>
      </c>
      <c r="AT1493" s="105" t="n">
        <v>0</v>
      </c>
      <c r="AU1493" s="105" t="n">
        <v>0</v>
      </c>
      <c r="AV1493" s="105" t="n">
        <v>0</v>
      </c>
      <c r="AW1493" s="105" t="n">
        <v>0</v>
      </c>
      <c r="AX1493" s="105" t="n">
        <v>0</v>
      </c>
      <c r="AY1493" s="105" t="n">
        <v>0</v>
      </c>
      <c r="AZ1493" s="105" t="n">
        <v>0</v>
      </c>
      <c r="BA1493" s="105" t="n">
        <v>0</v>
      </c>
      <c r="BB1493" s="105" t="n">
        <v>0</v>
      </c>
      <c r="BC1493" s="105" t="n">
        <v>0</v>
      </c>
      <c r="BD1493" s="105" t="n">
        <v>0</v>
      </c>
      <c r="BE1493" s="105" t="n">
        <v>0</v>
      </c>
      <c r="BF1493" s="105" t="n">
        <v>0</v>
      </c>
      <c r="BG1493" s="105" t="n">
        <v>0</v>
      </c>
      <c r="BH1493" s="105" t="n">
        <v>0</v>
      </c>
      <c r="BI1493" s="105" t="n">
        <v>0</v>
      </c>
      <c r="BJ1493" s="105" t="n">
        <v>0</v>
      </c>
      <c r="BK1493" s="105" t="n">
        <v>0</v>
      </c>
      <c r="BL1493" s="105" t="n">
        <v>0</v>
      </c>
      <c r="BM1493" s="105" t="n">
        <v>0</v>
      </c>
      <c r="BN1493" s="105" t="n">
        <v>0</v>
      </c>
      <c r="BO1493" s="105" t="n">
        <v>0</v>
      </c>
      <c r="BP1493" s="105" t="n">
        <v>0</v>
      </c>
      <c r="BQ1493" s="105" t="n">
        <v>0</v>
      </c>
      <c r="BR1493" s="106" t="n">
        <v>0</v>
      </c>
      <c r="BS1493" s="106" t="n">
        <v>0</v>
      </c>
      <c r="BT1493" s="107"/>
      <c r="BU1493" s="107"/>
      <c r="BV1493" s="107"/>
      <c r="BW1493" s="107"/>
      <c r="BX1493" s="107"/>
      <c r="BY1493" s="107"/>
      <c r="BZ1493" s="107"/>
      <c r="CA1493" s="107"/>
      <c r="CB1493" s="107"/>
      <c r="CC1493" s="107"/>
      <c r="CD1493" s="107"/>
      <c r="CE1493" s="107"/>
      <c r="CF1493" s="107"/>
      <c r="CG1493" s="107"/>
      <c r="CH1493" s="107"/>
      <c r="CI1493" s="107"/>
      <c r="CJ1493" s="107"/>
      <c r="CK1493" s="107"/>
      <c r="CL1493" s="107"/>
      <c r="CM1493" s="107"/>
      <c r="CN1493" s="107"/>
      <c r="CO1493" s="107"/>
      <c r="CP1493" s="107"/>
      <c r="CQ1493" s="107"/>
      <c r="CR1493" s="107"/>
      <c r="CS1493" s="107"/>
      <c r="CT1493" s="107"/>
      <c r="CU1493" s="107"/>
      <c r="CV1493" s="107"/>
    </row>
    <row r="1494" customFormat="false" ht="14.9" hidden="false" customHeight="false" outlineLevel="0" collapsed="false">
      <c r="A1494" s="74" t="n">
        <f aca="false">MONTH(B1494)</f>
        <v>11</v>
      </c>
      <c r="B1494" s="135" t="n">
        <v>44530</v>
      </c>
      <c r="C1494" s="128" t="s">
        <v>51</v>
      </c>
      <c r="D1494" s="77" t="str">
        <f aca="false">IFERROR(VLOOKUP(E:E,'Item Data Support Sheet'!A:O,7,0),"")</f>
        <v>BOTTLE MOLDED</v>
      </c>
      <c r="E1494" s="80" t="s">
        <v>357</v>
      </c>
      <c r="F1494" s="122" t="s">
        <v>144</v>
      </c>
      <c r="G1494" s="137" t="s">
        <v>80</v>
      </c>
      <c r="H1494" s="79" t="str">
        <f aca="false">IFERROR(VLOOKUP(E:E,'Item Data Support Sheet'!A:O,2,0),"")</f>
        <v>KPP 120 ML BOTTLE MOLDED</v>
      </c>
      <c r="I1494" s="80" t="s">
        <v>2286</v>
      </c>
      <c r="J1494" s="80" t="s">
        <v>143</v>
      </c>
      <c r="K1494" s="124" t="n">
        <v>8</v>
      </c>
      <c r="L1494" s="124" t="n">
        <v>2574</v>
      </c>
      <c r="M1494" s="83" t="n">
        <v>321.75</v>
      </c>
      <c r="N1494" s="84" t="n">
        <f aca="false">+O1494+Q1494+T1494+U1494</f>
        <v>2754</v>
      </c>
      <c r="O1494" s="85" t="n">
        <v>2700</v>
      </c>
      <c r="P1494" s="86" t="n">
        <v>0.2</v>
      </c>
      <c r="Q1494" s="86" t="n">
        <v>18</v>
      </c>
      <c r="R1494" s="132" t="n">
        <v>0</v>
      </c>
      <c r="S1494" s="128" t="n">
        <v>0</v>
      </c>
      <c r="T1494" s="132" t="n">
        <v>28</v>
      </c>
      <c r="U1494" s="128" t="n">
        <v>8</v>
      </c>
      <c r="V1494" s="128" t="n">
        <v>1</v>
      </c>
      <c r="W1494" s="90" t="n">
        <f aca="false">IFERROR(O1494/V1494,0)</f>
        <v>2700</v>
      </c>
      <c r="X1494" s="91" t="n">
        <f aca="false">O1494/L1494</f>
        <v>1.04895104895105</v>
      </c>
      <c r="Y1494" s="92" t="str">
        <f aca="false">IFERROR(VLOOKUP(E:E,'Item Data Support Sheet'!A:J,6,0),0)</f>
        <v>HMC</v>
      </c>
      <c r="Z1494" s="93" t="n">
        <f aca="false">IFERROR(VLOOKUP(E:E,'Item Data Support Sheet'!A:O,4,0),0)</f>
        <v>21.3</v>
      </c>
      <c r="AA1494" s="93" t="n">
        <f aca="false">IFERROR(((N1494)*(Z1494/1000))+P1494,0)</f>
        <v>58.8602</v>
      </c>
      <c r="AB1494" s="94" t="n">
        <f aca="false">IFERROR((O1494*(Z1494/1000)/(AA1494))," ")</f>
        <v>0.977060900234794</v>
      </c>
      <c r="AC1494" s="95" t="n">
        <f aca="false">IFERROR((T1494)/((T1494)+O1494),0)</f>
        <v>0.0102639296187683</v>
      </c>
      <c r="AD1494" s="96" t="n">
        <f aca="false">IFERROR(Q1494/(Q1494+N1494),0)</f>
        <v>0.00649350649350649</v>
      </c>
      <c r="AE1494" s="91" t="n">
        <f aca="false">(N1494-T1494)/N1494</f>
        <v>0.989832970225127</v>
      </c>
      <c r="AF1494" s="97" t="n">
        <f aca="false">BR1494</f>
        <v>0</v>
      </c>
      <c r="AG1494" s="98" t="n">
        <f aca="false">K1494-AF1494</f>
        <v>8</v>
      </c>
      <c r="AH1494" s="99" t="n">
        <f aca="false">IFERROR(AG1494/K1494," ")</f>
        <v>1</v>
      </c>
      <c r="AI1494" s="100" t="n">
        <f aca="false">IFERROR(O1494/K1494,0)</f>
        <v>337.5</v>
      </c>
      <c r="AJ1494" s="101" t="n">
        <f aca="false">VLOOKUP(D1494,'Standard Cycle time'!C:D,2,0)</f>
        <v>9</v>
      </c>
      <c r="AK1494" s="101" t="n">
        <f aca="false">AG1494*V1494*3600/O1494</f>
        <v>10.6666666666667</v>
      </c>
      <c r="AL1494" s="102" t="n">
        <f aca="false">AJ1494/AK1494</f>
        <v>0.84375</v>
      </c>
      <c r="AM1494" s="99" t="n">
        <f aca="false">AE1494*AL1494*AH1494</f>
        <v>0.835171568627451</v>
      </c>
      <c r="AN1494" s="103" t="n">
        <v>0.835171568627451</v>
      </c>
      <c r="AO1494" s="112"/>
      <c r="AP1494" s="105" t="n">
        <v>0</v>
      </c>
      <c r="AQ1494" s="105" t="n">
        <v>0</v>
      </c>
      <c r="AR1494" s="105" t="n">
        <v>0</v>
      </c>
      <c r="AS1494" s="105" t="n">
        <v>0</v>
      </c>
      <c r="AT1494" s="105" t="n">
        <v>0</v>
      </c>
      <c r="AU1494" s="105" t="n">
        <v>0</v>
      </c>
      <c r="AV1494" s="105" t="n">
        <v>0</v>
      </c>
      <c r="AW1494" s="105" t="n">
        <v>0</v>
      </c>
      <c r="AX1494" s="105" t="n">
        <v>0</v>
      </c>
      <c r="AY1494" s="105" t="n">
        <v>0</v>
      </c>
      <c r="AZ1494" s="105" t="n">
        <v>0</v>
      </c>
      <c r="BA1494" s="105" t="n">
        <v>0</v>
      </c>
      <c r="BB1494" s="105" t="n">
        <v>0</v>
      </c>
      <c r="BC1494" s="105" t="n">
        <v>0</v>
      </c>
      <c r="BD1494" s="105" t="n">
        <v>0</v>
      </c>
      <c r="BE1494" s="105" t="n">
        <v>0</v>
      </c>
      <c r="BF1494" s="105" t="n">
        <v>0</v>
      </c>
      <c r="BG1494" s="105" t="n">
        <v>0</v>
      </c>
      <c r="BH1494" s="105" t="n">
        <v>0</v>
      </c>
      <c r="BI1494" s="105" t="n">
        <v>0</v>
      </c>
      <c r="BJ1494" s="105" t="n">
        <v>0</v>
      </c>
      <c r="BK1494" s="105" t="n">
        <v>0</v>
      </c>
      <c r="BL1494" s="105" t="n">
        <v>0</v>
      </c>
      <c r="BM1494" s="105" t="n">
        <v>0</v>
      </c>
      <c r="BN1494" s="105" t="n">
        <v>0</v>
      </c>
      <c r="BO1494" s="105" t="n">
        <v>0</v>
      </c>
      <c r="BP1494" s="105" t="n">
        <v>0</v>
      </c>
      <c r="BQ1494" s="105" t="n">
        <v>0</v>
      </c>
      <c r="BR1494" s="106" t="n">
        <v>0</v>
      </c>
      <c r="BS1494" s="106" t="n">
        <v>0</v>
      </c>
      <c r="BT1494" s="107"/>
      <c r="BU1494" s="107"/>
      <c r="BV1494" s="107"/>
      <c r="BW1494" s="107"/>
      <c r="BX1494" s="107"/>
      <c r="BY1494" s="107"/>
      <c r="BZ1494" s="107"/>
      <c r="CA1494" s="107"/>
      <c r="CB1494" s="107"/>
      <c r="CC1494" s="107"/>
      <c r="CD1494" s="107"/>
      <c r="CE1494" s="107"/>
      <c r="CF1494" s="107"/>
      <c r="CG1494" s="107"/>
      <c r="CH1494" s="107"/>
      <c r="CI1494" s="107"/>
      <c r="CJ1494" s="107"/>
      <c r="CK1494" s="107"/>
      <c r="CL1494" s="107"/>
      <c r="CM1494" s="107"/>
      <c r="CN1494" s="107"/>
      <c r="CO1494" s="107"/>
      <c r="CP1494" s="107"/>
      <c r="CQ1494" s="107"/>
      <c r="CR1494" s="107"/>
      <c r="CS1494" s="107"/>
      <c r="CT1494" s="107"/>
      <c r="CU1494" s="107"/>
      <c r="CV1494" s="107"/>
    </row>
    <row r="1495" customFormat="false" ht="14.9" hidden="false" customHeight="false" outlineLevel="0" collapsed="false">
      <c r="A1495" s="74" t="n">
        <f aca="false">MONTH(B1495)</f>
        <v>11</v>
      </c>
      <c r="B1495" s="135" t="n">
        <v>44530</v>
      </c>
      <c r="C1495" s="128" t="s">
        <v>51</v>
      </c>
      <c r="D1495" s="77" t="str">
        <f aca="false">IFERROR(VLOOKUP(E:E,'Item Data Support Sheet'!A:O,7,0),"")</f>
        <v>NIPPLE PUNCH</v>
      </c>
      <c r="E1495" s="80" t="s">
        <v>666</v>
      </c>
      <c r="F1495" s="122"/>
      <c r="G1495" s="137" t="s">
        <v>54</v>
      </c>
      <c r="H1495" s="79" t="str">
        <f aca="false">IFERROR(VLOOKUP(E:E,'Item Data Support Sheet'!A:O,2,0),"")</f>
        <v>NIPPLE S TYPE L SIZE PUNCHED</v>
      </c>
      <c r="I1495" s="80" t="s">
        <v>2287</v>
      </c>
      <c r="J1495" s="80" t="s">
        <v>143</v>
      </c>
      <c r="K1495" s="124" t="n">
        <v>8</v>
      </c>
      <c r="L1495" s="124" t="n">
        <v>7000</v>
      </c>
      <c r="M1495" s="83" t="n">
        <v>875</v>
      </c>
      <c r="N1495" s="84" t="n">
        <f aca="false">+O1495+Q1495+T1495+U1495</f>
        <v>7200</v>
      </c>
      <c r="O1495" s="85" t="n">
        <v>7200</v>
      </c>
      <c r="P1495" s="86" t="n">
        <v>0</v>
      </c>
      <c r="Q1495" s="86" t="n">
        <v>0</v>
      </c>
      <c r="R1495" s="132" t="n">
        <v>0</v>
      </c>
      <c r="S1495" s="128" t="n">
        <v>0</v>
      </c>
      <c r="T1495" s="132" t="n">
        <v>0</v>
      </c>
      <c r="U1495" s="128" t="n">
        <v>0</v>
      </c>
      <c r="V1495" s="128" t="n">
        <v>1</v>
      </c>
      <c r="W1495" s="90" t="n">
        <f aca="false">IFERROR(O1495/V1495,0)</f>
        <v>7200</v>
      </c>
      <c r="X1495" s="91" t="n">
        <f aca="false">O1495/L1495</f>
        <v>1.02857142857143</v>
      </c>
      <c r="Y1495" s="92" t="str">
        <f aca="false">IFERROR(VLOOKUP(E:E,'Item Data Support Sheet'!A:J,6,0),0)</f>
        <v>FO017</v>
      </c>
      <c r="Z1495" s="93" t="n">
        <f aca="false">IFERROR(VLOOKUP(E:E,'Item Data Support Sheet'!A:O,4,0),0)</f>
        <v>0</v>
      </c>
      <c r="AA1495" s="93" t="n">
        <f aca="false">IFERROR(((N1495)*(Z1495/1000))+P1495,0)</f>
        <v>0</v>
      </c>
      <c r="AB1495" s="94" t="str">
        <f aca="false">IFERROR((O1495*(Z1495/1000)/(AA1495))," ")</f>
        <v> </v>
      </c>
      <c r="AC1495" s="95" t="n">
        <f aca="false">IFERROR((T1495)/((T1495)+O1495),0)</f>
        <v>0</v>
      </c>
      <c r="AD1495" s="96" t="n">
        <f aca="false">IFERROR(Q1495/(Q1495+N1495),0)</f>
        <v>0</v>
      </c>
      <c r="AE1495" s="91" t="n">
        <f aca="false">(N1495-T1495)/N1495</f>
        <v>1</v>
      </c>
      <c r="AF1495" s="97" t="n">
        <f aca="false">BR1495</f>
        <v>0.666666666666667</v>
      </c>
      <c r="AG1495" s="98" t="n">
        <f aca="false">K1495-AF1495</f>
        <v>7.33333333333333</v>
      </c>
      <c r="AH1495" s="99" t="n">
        <f aca="false">IFERROR(AG1495/K1495," ")</f>
        <v>0.916666666666667</v>
      </c>
      <c r="AI1495" s="100" t="n">
        <f aca="false">IFERROR(O1495/K1495,0)</f>
        <v>900</v>
      </c>
      <c r="AJ1495" s="101" t="n">
        <f aca="false">VLOOKUP(D1495,'Standard Cycle time'!C:D,2,0)</f>
        <v>3.5</v>
      </c>
      <c r="AK1495" s="101" t="n">
        <f aca="false">AG1495*V1495*3600/O1495</f>
        <v>3.66666666666667</v>
      </c>
      <c r="AL1495" s="102" t="n">
        <f aca="false">AJ1495/AK1495</f>
        <v>0.954545454545455</v>
      </c>
      <c r="AM1495" s="99" t="n">
        <f aca="false">AE1495*AL1495*AH1495</f>
        <v>0.875</v>
      </c>
      <c r="AN1495" s="103" t="n">
        <v>0.875</v>
      </c>
      <c r="AO1495" s="112"/>
      <c r="AP1495" s="105" t="n">
        <v>40</v>
      </c>
      <c r="AQ1495" s="105" t="n">
        <v>0</v>
      </c>
      <c r="AR1495" s="105" t="n">
        <v>0</v>
      </c>
      <c r="AS1495" s="105" t="n">
        <v>0</v>
      </c>
      <c r="AT1495" s="105" t="n">
        <v>0</v>
      </c>
      <c r="AU1495" s="105" t="n">
        <v>0</v>
      </c>
      <c r="AV1495" s="105" t="n">
        <v>0</v>
      </c>
      <c r="AW1495" s="105" t="n">
        <v>0</v>
      </c>
      <c r="AX1495" s="105" t="n">
        <v>0</v>
      </c>
      <c r="AY1495" s="105" t="n">
        <v>0</v>
      </c>
      <c r="AZ1495" s="105" t="n">
        <v>0</v>
      </c>
      <c r="BA1495" s="105" t="n">
        <v>0</v>
      </c>
      <c r="BB1495" s="105" t="n">
        <v>0</v>
      </c>
      <c r="BC1495" s="105" t="n">
        <v>0</v>
      </c>
      <c r="BD1495" s="105" t="n">
        <v>0</v>
      </c>
      <c r="BE1495" s="105" t="n">
        <v>0</v>
      </c>
      <c r="BF1495" s="105" t="n">
        <v>0</v>
      </c>
      <c r="BG1495" s="105" t="n">
        <v>0</v>
      </c>
      <c r="BH1495" s="105" t="n">
        <v>0</v>
      </c>
      <c r="BI1495" s="105" t="n">
        <v>0</v>
      </c>
      <c r="BJ1495" s="105" t="n">
        <v>0</v>
      </c>
      <c r="BK1495" s="105" t="n">
        <v>0</v>
      </c>
      <c r="BL1495" s="105" t="n">
        <v>0</v>
      </c>
      <c r="BM1495" s="105" t="n">
        <v>0</v>
      </c>
      <c r="BN1495" s="105" t="n">
        <v>0</v>
      </c>
      <c r="BO1495" s="105" t="n">
        <v>0</v>
      </c>
      <c r="BP1495" s="105" t="n">
        <v>0</v>
      </c>
      <c r="BQ1495" s="105" t="n">
        <v>0</v>
      </c>
      <c r="BR1495" s="106" t="n">
        <v>0.666666666666667</v>
      </c>
      <c r="BS1495" s="106" t="n">
        <v>0.666666666666667</v>
      </c>
      <c r="BT1495" s="107"/>
      <c r="BU1495" s="107"/>
      <c r="BV1495" s="107"/>
      <c r="BW1495" s="107"/>
      <c r="BX1495" s="107"/>
      <c r="BY1495" s="107"/>
      <c r="BZ1495" s="107"/>
      <c r="CA1495" s="107"/>
      <c r="CB1495" s="107"/>
      <c r="CC1495" s="107"/>
      <c r="CD1495" s="107"/>
      <c r="CE1495" s="107"/>
      <c r="CF1495" s="107"/>
      <c r="CG1495" s="107"/>
      <c r="CH1495" s="107"/>
      <c r="CI1495" s="107"/>
      <c r="CJ1495" s="107"/>
      <c r="CK1495" s="107"/>
      <c r="CL1495" s="107"/>
      <c r="CM1495" s="107"/>
      <c r="CN1495" s="107"/>
      <c r="CO1495" s="107"/>
      <c r="CP1495" s="107"/>
      <c r="CQ1495" s="107"/>
      <c r="CR1495" s="107"/>
      <c r="CS1495" s="107"/>
      <c r="CT1495" s="107"/>
      <c r="CU1495" s="107"/>
      <c r="CV1495" s="107"/>
    </row>
    <row r="1496" customFormat="false" ht="14.9" hidden="false" customHeight="false" outlineLevel="0" collapsed="false">
      <c r="A1496" s="74" t="n">
        <f aca="false">MONTH(B1496)</f>
        <v>11</v>
      </c>
      <c r="B1496" s="135" t="n">
        <v>44530</v>
      </c>
      <c r="C1496" s="128" t="s">
        <v>51</v>
      </c>
      <c r="D1496" s="77" t="str">
        <f aca="false">IFERROR(VLOOKUP(E:E,'Item Data Support Sheet'!A:O,7,0),"")</f>
        <v>NIPPLE LASER MARKING</v>
      </c>
      <c r="E1496" s="80" t="s">
        <v>681</v>
      </c>
      <c r="F1496" s="122"/>
      <c r="G1496" s="137" t="s">
        <v>517</v>
      </c>
      <c r="H1496" s="79" t="str">
        <f aca="false">IFERROR(VLOOKUP(E:E,'Item Data Support Sheet'!A:O,2,0),"")</f>
        <v>NIPPLE S TYPE L SIZE PUNCHED LASER MARKED</v>
      </c>
      <c r="I1496" s="80" t="s">
        <v>2288</v>
      </c>
      <c r="J1496" s="80" t="s">
        <v>143</v>
      </c>
      <c r="K1496" s="124" t="n">
        <v>8</v>
      </c>
      <c r="L1496" s="124" t="n">
        <v>7000</v>
      </c>
      <c r="M1496" s="83" t="n">
        <v>875</v>
      </c>
      <c r="N1496" s="84" t="n">
        <f aca="false">+O1496+Q1496+T1496+U1496</f>
        <v>6000</v>
      </c>
      <c r="O1496" s="85" t="n">
        <v>6000</v>
      </c>
      <c r="P1496" s="86" t="n">
        <v>0</v>
      </c>
      <c r="Q1496" s="86" t="n">
        <v>0</v>
      </c>
      <c r="R1496" s="132" t="n">
        <v>0</v>
      </c>
      <c r="S1496" s="128" t="n">
        <v>0</v>
      </c>
      <c r="T1496" s="132" t="n">
        <v>0</v>
      </c>
      <c r="U1496" s="128" t="n">
        <v>0</v>
      </c>
      <c r="V1496" s="128" t="n">
        <v>1</v>
      </c>
      <c r="W1496" s="90" t="n">
        <f aca="false">IFERROR(O1496/V1496,0)</f>
        <v>6000</v>
      </c>
      <c r="X1496" s="91" t="n">
        <f aca="false">O1496/L1496</f>
        <v>0.857142857142857</v>
      </c>
      <c r="Y1496" s="92" t="str">
        <f aca="false">IFERROR(VLOOKUP(E:E,'Item Data Support Sheet'!A:J,6,0),0)</f>
        <v>FO021</v>
      </c>
      <c r="Z1496" s="93" t="n">
        <f aca="false">IFERROR(VLOOKUP(E:E,'Item Data Support Sheet'!A:O,4,0),0)</f>
        <v>0</v>
      </c>
      <c r="AA1496" s="93" t="n">
        <f aca="false">IFERROR(((N1496)*(Z1496/1000))+P1496,0)</f>
        <v>0</v>
      </c>
      <c r="AB1496" s="94" t="str">
        <f aca="false">IFERROR((O1496*(Z1496/1000)/(AA1496))," ")</f>
        <v> </v>
      </c>
      <c r="AC1496" s="95" t="n">
        <f aca="false">IFERROR((T1496)/((T1496)+O1496),0)</f>
        <v>0</v>
      </c>
      <c r="AD1496" s="96" t="n">
        <f aca="false">IFERROR(Q1496/(Q1496+N1496),0)</f>
        <v>0</v>
      </c>
      <c r="AE1496" s="91" t="n">
        <f aca="false">(N1496-T1496)/N1496</f>
        <v>1</v>
      </c>
      <c r="AF1496" s="97" t="n">
        <f aca="false">BR1496</f>
        <v>0.666666666666667</v>
      </c>
      <c r="AG1496" s="98" t="n">
        <f aca="false">K1496-AF1496</f>
        <v>7.33333333333333</v>
      </c>
      <c r="AH1496" s="99" t="n">
        <f aca="false">IFERROR(AG1496/K1496," ")</f>
        <v>0.916666666666667</v>
      </c>
      <c r="AI1496" s="100" t="n">
        <f aca="false">IFERROR(O1496/K1496,0)</f>
        <v>750</v>
      </c>
      <c r="AJ1496" s="101" t="n">
        <f aca="false">VLOOKUP(D1496,'Standard Cycle time'!C:D,2,0)</f>
        <v>3.5</v>
      </c>
      <c r="AK1496" s="101" t="n">
        <f aca="false">AG1496*V1496*3600/O1496</f>
        <v>4.4</v>
      </c>
      <c r="AL1496" s="102" t="n">
        <f aca="false">AJ1496/AK1496</f>
        <v>0.795454545454545</v>
      </c>
      <c r="AM1496" s="99" t="n">
        <f aca="false">AE1496*AL1496*AH1496</f>
        <v>0.729166666666667</v>
      </c>
      <c r="AN1496" s="103" t="n">
        <v>0.729166666666667</v>
      </c>
      <c r="AO1496" s="112"/>
      <c r="AP1496" s="105" t="n">
        <v>40</v>
      </c>
      <c r="AQ1496" s="105" t="n">
        <v>0</v>
      </c>
      <c r="AR1496" s="105" t="n">
        <v>0</v>
      </c>
      <c r="AS1496" s="105" t="n">
        <v>0</v>
      </c>
      <c r="AT1496" s="105" t="n">
        <v>0</v>
      </c>
      <c r="AU1496" s="105" t="n">
        <v>0</v>
      </c>
      <c r="AV1496" s="105" t="n">
        <v>0</v>
      </c>
      <c r="AW1496" s="105" t="n">
        <v>0</v>
      </c>
      <c r="AX1496" s="105" t="n">
        <v>0</v>
      </c>
      <c r="AY1496" s="105" t="n">
        <v>0</v>
      </c>
      <c r="AZ1496" s="105" t="n">
        <v>0</v>
      </c>
      <c r="BA1496" s="105" t="n">
        <v>0</v>
      </c>
      <c r="BB1496" s="105" t="n">
        <v>0</v>
      </c>
      <c r="BC1496" s="105" t="n">
        <v>0</v>
      </c>
      <c r="BD1496" s="105" t="n">
        <v>0</v>
      </c>
      <c r="BE1496" s="105" t="n">
        <v>0</v>
      </c>
      <c r="BF1496" s="105" t="n">
        <v>0</v>
      </c>
      <c r="BG1496" s="105" t="n">
        <v>0</v>
      </c>
      <c r="BH1496" s="105" t="n">
        <v>0</v>
      </c>
      <c r="BI1496" s="105" t="n">
        <v>0</v>
      </c>
      <c r="BJ1496" s="105" t="n">
        <v>0</v>
      </c>
      <c r="BK1496" s="105" t="n">
        <v>0</v>
      </c>
      <c r="BL1496" s="105" t="n">
        <v>0</v>
      </c>
      <c r="BM1496" s="105" t="n">
        <v>0</v>
      </c>
      <c r="BN1496" s="105" t="n">
        <v>0</v>
      </c>
      <c r="BO1496" s="105" t="n">
        <v>0</v>
      </c>
      <c r="BP1496" s="105" t="n">
        <v>0</v>
      </c>
      <c r="BQ1496" s="105" t="n">
        <v>0</v>
      </c>
      <c r="BR1496" s="106" t="n">
        <v>0.666666666666667</v>
      </c>
      <c r="BS1496" s="106" t="n">
        <v>0.666666666666667</v>
      </c>
      <c r="BT1496" s="107"/>
      <c r="BU1496" s="107"/>
      <c r="BV1496" s="107"/>
      <c r="BW1496" s="107"/>
      <c r="BX1496" s="107"/>
      <c r="BY1496" s="107"/>
      <c r="BZ1496" s="107"/>
      <c r="CA1496" s="107"/>
      <c r="CB1496" s="107"/>
      <c r="CC1496" s="107"/>
      <c r="CD1496" s="107"/>
      <c r="CE1496" s="107"/>
      <c r="CF1496" s="107"/>
      <c r="CG1496" s="107"/>
      <c r="CH1496" s="107"/>
      <c r="CI1496" s="107"/>
      <c r="CJ1496" s="107"/>
      <c r="CK1496" s="107"/>
      <c r="CL1496" s="107"/>
      <c r="CM1496" s="107"/>
      <c r="CN1496" s="107"/>
      <c r="CO1496" s="107"/>
      <c r="CP1496" s="107"/>
      <c r="CQ1496" s="107"/>
      <c r="CR1496" s="107"/>
      <c r="CS1496" s="107"/>
      <c r="CT1496" s="107"/>
      <c r="CU1496" s="107"/>
      <c r="CV1496" s="107"/>
    </row>
    <row r="1497" customFormat="false" ht="14.9" hidden="false" customHeight="false" outlineLevel="0" collapsed="false">
      <c r="A1497" s="74" t="n">
        <f aca="false">MONTH(B1497)</f>
        <v>11</v>
      </c>
      <c r="B1497" s="135" t="n">
        <v>44530</v>
      </c>
      <c r="C1497" s="128" t="s">
        <v>51</v>
      </c>
      <c r="D1497" s="77" t="str">
        <f aca="false">IFERROR(VLOOKUP(E:E,'Item Data Support Sheet'!A:O,7,0),"")</f>
        <v>CAP MOLDED</v>
      </c>
      <c r="E1497" s="80" t="s">
        <v>343</v>
      </c>
      <c r="F1497" s="122" t="s">
        <v>2161</v>
      </c>
      <c r="G1497" s="137"/>
      <c r="H1497" s="79" t="str">
        <f aca="false">IFERROR(VLOOKUP(E:E,'Item Data Support Sheet'!A:O,2,0),"")</f>
        <v>CAP S TYPE MOLDED BLUE</v>
      </c>
      <c r="I1497" s="80" t="s">
        <v>2289</v>
      </c>
      <c r="J1497" s="80" t="s">
        <v>143</v>
      </c>
      <c r="K1497" s="124" t="n">
        <v>8</v>
      </c>
      <c r="L1497" s="124" t="n">
        <v>4137</v>
      </c>
      <c r="M1497" s="83" t="n">
        <v>517.125</v>
      </c>
      <c r="N1497" s="84" t="n">
        <f aca="false">+O1497+Q1497+T1497+U1497</f>
        <v>5008</v>
      </c>
      <c r="O1497" s="85" t="n">
        <v>5000</v>
      </c>
      <c r="P1497" s="86" t="n">
        <v>0</v>
      </c>
      <c r="Q1497" s="86" t="n">
        <v>0</v>
      </c>
      <c r="R1497" s="132" t="n">
        <v>0</v>
      </c>
      <c r="S1497" s="128" t="n">
        <v>0</v>
      </c>
      <c r="T1497" s="132" t="n">
        <v>0</v>
      </c>
      <c r="U1497" s="128" t="n">
        <v>8</v>
      </c>
      <c r="V1497" s="128" t="n">
        <v>1</v>
      </c>
      <c r="W1497" s="90" t="n">
        <f aca="false">IFERROR(O1497/V1497,0)</f>
        <v>5000</v>
      </c>
      <c r="X1497" s="91" t="n">
        <f aca="false">O1497/L1497</f>
        <v>1.20860526951898</v>
      </c>
      <c r="Y1497" s="92" t="str">
        <f aca="false">IFERROR(VLOOKUP(E:E,'Item Data Support Sheet'!A:J,6,0),0)</f>
        <v>RM000114</v>
      </c>
      <c r="Z1497" s="93" t="n">
        <f aca="false">IFERROR(VLOOKUP(E:E,'Item Data Support Sheet'!A:O,4,0),0)</f>
        <v>7.3</v>
      </c>
      <c r="AA1497" s="93" t="n">
        <f aca="false">IFERROR(((N1497)*(Z1497/1000))+P1497,0)</f>
        <v>36.5584</v>
      </c>
      <c r="AB1497" s="94" t="n">
        <f aca="false">IFERROR((O1497*(Z1497/1000)/(AA1497))," ")</f>
        <v>0.998402555910543</v>
      </c>
      <c r="AC1497" s="95" t="n">
        <f aca="false">IFERROR((T1497)/((T1497)+O1497),0)</f>
        <v>0</v>
      </c>
      <c r="AD1497" s="96" t="n">
        <f aca="false">IFERROR(Q1497/(Q1497+N1497),0)</f>
        <v>0</v>
      </c>
      <c r="AE1497" s="91" t="n">
        <f aca="false">(N1497-T1497)/N1497</f>
        <v>1</v>
      </c>
      <c r="AF1497" s="97" t="n">
        <f aca="false">BR1497</f>
        <v>0</v>
      </c>
      <c r="AG1497" s="98" t="n">
        <f aca="false">K1497-AF1497</f>
        <v>8</v>
      </c>
      <c r="AH1497" s="99" t="n">
        <f aca="false">IFERROR(AG1497/K1497," ")</f>
        <v>1</v>
      </c>
      <c r="AI1497" s="100" t="n">
        <f aca="false">IFERROR(O1497/K1497,0)</f>
        <v>625</v>
      </c>
      <c r="AJ1497" s="101" t="n">
        <f aca="false">VLOOKUP(D1497,'Standard Cycle time'!C:D,2,0)</f>
        <v>6</v>
      </c>
      <c r="AK1497" s="101" t="n">
        <f aca="false">AG1497*V1497*3600/O1497</f>
        <v>5.76</v>
      </c>
      <c r="AL1497" s="102" t="n">
        <f aca="false">AJ1497/AK1497</f>
        <v>1.04166666666667</v>
      </c>
      <c r="AM1497" s="99" t="n">
        <f aca="false">AE1497*AL1497*AH1497</f>
        <v>1.04166666666667</v>
      </c>
      <c r="AN1497" s="103" t="n">
        <v>1.04166666666667</v>
      </c>
      <c r="AO1497" s="112"/>
      <c r="AP1497" s="105" t="n">
        <v>0</v>
      </c>
      <c r="AQ1497" s="105" t="n">
        <v>0</v>
      </c>
      <c r="AR1497" s="105" t="n">
        <v>0</v>
      </c>
      <c r="AS1497" s="105" t="n">
        <v>0</v>
      </c>
      <c r="AT1497" s="105" t="n">
        <v>0</v>
      </c>
      <c r="AU1497" s="105" t="n">
        <v>0</v>
      </c>
      <c r="AV1497" s="105" t="n">
        <v>0</v>
      </c>
      <c r="AW1497" s="105" t="n">
        <v>0</v>
      </c>
      <c r="AX1497" s="105" t="n">
        <v>0</v>
      </c>
      <c r="AY1497" s="105" t="n">
        <v>0</v>
      </c>
      <c r="AZ1497" s="105" t="n">
        <v>0</v>
      </c>
      <c r="BA1497" s="105" t="n">
        <v>0</v>
      </c>
      <c r="BB1497" s="105" t="n">
        <v>0</v>
      </c>
      <c r="BC1497" s="105" t="n">
        <v>0</v>
      </c>
      <c r="BD1497" s="105" t="n">
        <v>0</v>
      </c>
      <c r="BE1497" s="105" t="n">
        <v>0</v>
      </c>
      <c r="BF1497" s="105" t="n">
        <v>0</v>
      </c>
      <c r="BG1497" s="105" t="n">
        <v>0</v>
      </c>
      <c r="BH1497" s="105" t="n">
        <v>0</v>
      </c>
      <c r="BI1497" s="105" t="n">
        <v>0</v>
      </c>
      <c r="BJ1497" s="105" t="n">
        <v>0</v>
      </c>
      <c r="BK1497" s="105" t="n">
        <v>0</v>
      </c>
      <c r="BL1497" s="105" t="n">
        <v>0</v>
      </c>
      <c r="BM1497" s="105" t="n">
        <v>0</v>
      </c>
      <c r="BN1497" s="105" t="n">
        <v>0</v>
      </c>
      <c r="BO1497" s="105" t="n">
        <v>0</v>
      </c>
      <c r="BP1497" s="105" t="n">
        <v>0</v>
      </c>
      <c r="BQ1497" s="105" t="n">
        <v>0</v>
      </c>
      <c r="BR1497" s="106" t="n">
        <v>0</v>
      </c>
      <c r="BS1497" s="106" t="n">
        <v>0</v>
      </c>
      <c r="BT1497" s="107"/>
      <c r="BU1497" s="107"/>
      <c r="BV1497" s="107"/>
      <c r="BW1497" s="107"/>
      <c r="BX1497" s="107"/>
      <c r="BY1497" s="107"/>
      <c r="BZ1497" s="107"/>
      <c r="CA1497" s="107"/>
      <c r="CB1497" s="107"/>
      <c r="CC1497" s="107"/>
      <c r="CD1497" s="107"/>
      <c r="CE1497" s="107"/>
      <c r="CF1497" s="107"/>
      <c r="CG1497" s="107"/>
      <c r="CH1497" s="107"/>
      <c r="CI1497" s="107"/>
      <c r="CJ1497" s="107"/>
      <c r="CK1497" s="107"/>
      <c r="CL1497" s="107"/>
      <c r="CM1497" s="107"/>
      <c r="CN1497" s="107"/>
      <c r="CO1497" s="107"/>
      <c r="CP1497" s="107"/>
      <c r="CQ1497" s="107"/>
      <c r="CR1497" s="107"/>
      <c r="CS1497" s="107"/>
      <c r="CT1497" s="107"/>
      <c r="CU1497" s="107"/>
      <c r="CV1497" s="107"/>
    </row>
    <row r="1498" customFormat="false" ht="14.9" hidden="false" customHeight="false" outlineLevel="0" collapsed="false">
      <c r="A1498" s="74" t="n">
        <f aca="false">MONTH(B1498)</f>
        <v>11</v>
      </c>
      <c r="B1498" s="135" t="n">
        <v>44530</v>
      </c>
      <c r="C1498" s="128" t="s">
        <v>63</v>
      </c>
      <c r="D1498" s="77" t="str">
        <f aca="false">IFERROR(VLOOKUP(E:E,'Item Data Support Sheet'!A:O,7,0),"")</f>
        <v>BOTTLE PRINTED</v>
      </c>
      <c r="E1498" s="80" t="s">
        <v>691</v>
      </c>
      <c r="F1498" s="122"/>
      <c r="G1498" s="137"/>
      <c r="H1498" s="79" t="str">
        <f aca="false">IFERROR(VLOOKUP(E:E,'Item Data Support Sheet'!A:O,2,0),"")</f>
        <v>KPP 120 ML BOTTLE PRINTED</v>
      </c>
      <c r="I1498" s="80" t="s">
        <v>2290</v>
      </c>
      <c r="J1498" s="80" t="s">
        <v>155</v>
      </c>
      <c r="K1498" s="124" t="n">
        <v>8</v>
      </c>
      <c r="L1498" s="124" t="n">
        <v>5100</v>
      </c>
      <c r="M1498" s="83" t="n">
        <v>637.5</v>
      </c>
      <c r="N1498" s="84" t="n">
        <f aca="false">+O1498+Q1498+T1498+U1498</f>
        <v>5634</v>
      </c>
      <c r="O1498" s="85" t="n">
        <v>5580</v>
      </c>
      <c r="P1498" s="86" t="n">
        <v>0</v>
      </c>
      <c r="Q1498" s="86" t="n">
        <v>0</v>
      </c>
      <c r="R1498" s="132" t="n">
        <v>52</v>
      </c>
      <c r="S1498" s="128" t="n">
        <v>0</v>
      </c>
      <c r="T1498" s="132" t="n">
        <v>54</v>
      </c>
      <c r="U1498" s="128" t="n">
        <v>0</v>
      </c>
      <c r="V1498" s="128" t="n">
        <v>1</v>
      </c>
      <c r="W1498" s="90" t="n">
        <f aca="false">IFERROR(O1498/V1498,0)</f>
        <v>5580</v>
      </c>
      <c r="X1498" s="91" t="n">
        <f aca="false">O1498/L1498</f>
        <v>1.09411764705882</v>
      </c>
      <c r="Y1498" s="92" t="str">
        <f aca="false">IFERROR(VLOOKUP(E:E,'Item Data Support Sheet'!A:J,6,0),0)</f>
        <v>FO001</v>
      </c>
      <c r="Z1498" s="93" t="n">
        <f aca="false">IFERROR(VLOOKUP(E:E,'Item Data Support Sheet'!A:O,4,0),0)</f>
        <v>0</v>
      </c>
      <c r="AA1498" s="93" t="n">
        <f aca="false">IFERROR(((N1498)*(Z1498/1000))+P1498,0)</f>
        <v>0</v>
      </c>
      <c r="AB1498" s="94" t="str">
        <f aca="false">IFERROR((O1498*(Z1498/1000)/(AA1498))," ")</f>
        <v> </v>
      </c>
      <c r="AC1498" s="95" t="n">
        <f aca="false">IFERROR((T1498)/((T1498)+O1498),0)</f>
        <v>0.00958466453674121</v>
      </c>
      <c r="AD1498" s="96" t="n">
        <f aca="false">IFERROR(Q1498/(Q1498+N1498),0)</f>
        <v>0</v>
      </c>
      <c r="AE1498" s="91" t="n">
        <f aca="false">(N1498-T1498)/N1498</f>
        <v>0.990415335463259</v>
      </c>
      <c r="AF1498" s="97" t="n">
        <f aca="false">BR1498</f>
        <v>0.833333333333333</v>
      </c>
      <c r="AG1498" s="98" t="n">
        <f aca="false">K1498-AF1498</f>
        <v>7.16666666666667</v>
      </c>
      <c r="AH1498" s="99" t="n">
        <f aca="false">IFERROR(AG1498/K1498," ")</f>
        <v>0.895833333333333</v>
      </c>
      <c r="AI1498" s="100" t="n">
        <f aca="false">IFERROR(O1498/K1498,0)</f>
        <v>697.5</v>
      </c>
      <c r="AJ1498" s="101" t="n">
        <f aca="false">VLOOKUP(D1498,'Standard Cycle time'!C:D,2,0)</f>
        <v>32.4</v>
      </c>
      <c r="AK1498" s="101" t="n">
        <f aca="false">AG1498*V1498*3600/O1498</f>
        <v>4.6236559139785</v>
      </c>
      <c r="AL1498" s="102" t="n">
        <f aca="false">AJ1498/AK1498</f>
        <v>7.00744186046512</v>
      </c>
      <c r="AM1498" s="99" t="n">
        <f aca="false">AE1498*AL1498*AH1498</f>
        <v>6.21733226837061</v>
      </c>
      <c r="AN1498" s="103" t="n">
        <v>6.21733226837061</v>
      </c>
      <c r="AO1498" s="112"/>
      <c r="AP1498" s="105" t="n">
        <v>50</v>
      </c>
      <c r="AQ1498" s="105" t="n">
        <v>0</v>
      </c>
      <c r="AR1498" s="105" t="n">
        <v>0</v>
      </c>
      <c r="AS1498" s="105" t="n">
        <v>0</v>
      </c>
      <c r="AT1498" s="105" t="n">
        <v>0</v>
      </c>
      <c r="AU1498" s="105" t="n">
        <v>0</v>
      </c>
      <c r="AV1498" s="105" t="n">
        <v>0</v>
      </c>
      <c r="AW1498" s="105" t="n">
        <v>0</v>
      </c>
      <c r="AX1498" s="105" t="n">
        <v>0</v>
      </c>
      <c r="AY1498" s="105" t="n">
        <v>0</v>
      </c>
      <c r="AZ1498" s="105" t="n">
        <v>0</v>
      </c>
      <c r="BA1498" s="105" t="n">
        <v>0</v>
      </c>
      <c r="BB1498" s="105" t="n">
        <v>0</v>
      </c>
      <c r="BC1498" s="105" t="n">
        <v>0</v>
      </c>
      <c r="BD1498" s="105" t="n">
        <v>0</v>
      </c>
      <c r="BE1498" s="105" t="n">
        <v>0</v>
      </c>
      <c r="BF1498" s="105" t="n">
        <v>0</v>
      </c>
      <c r="BG1498" s="105" t="n">
        <v>0</v>
      </c>
      <c r="BH1498" s="105" t="n">
        <v>0</v>
      </c>
      <c r="BI1498" s="105" t="n">
        <v>0</v>
      </c>
      <c r="BJ1498" s="105" t="n">
        <v>0</v>
      </c>
      <c r="BK1498" s="105" t="n">
        <v>0</v>
      </c>
      <c r="BL1498" s="105" t="n">
        <v>0</v>
      </c>
      <c r="BM1498" s="105" t="n">
        <v>0</v>
      </c>
      <c r="BN1498" s="105" t="n">
        <v>0</v>
      </c>
      <c r="BO1498" s="105" t="n">
        <v>0</v>
      </c>
      <c r="BP1498" s="105" t="n">
        <v>0</v>
      </c>
      <c r="BQ1498" s="105" t="n">
        <v>0</v>
      </c>
      <c r="BR1498" s="106" t="n">
        <v>0.833333333333333</v>
      </c>
      <c r="BS1498" s="106" t="n">
        <v>0.833333333333333</v>
      </c>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c r="CO1498" s="107"/>
      <c r="CP1498" s="107"/>
      <c r="CQ1498" s="107"/>
      <c r="CR1498" s="107"/>
      <c r="CS1498" s="107"/>
      <c r="CT1498" s="107"/>
      <c r="CU1498" s="107"/>
      <c r="CV1498" s="107"/>
    </row>
    <row r="1499" customFormat="false" ht="14.9" hidden="false" customHeight="false" outlineLevel="0" collapsed="false">
      <c r="A1499" s="74" t="n">
        <f aca="false">MONTH(B1499)</f>
        <v>11</v>
      </c>
      <c r="B1499" s="135" t="n">
        <v>44530</v>
      </c>
      <c r="C1499" s="128" t="s">
        <v>63</v>
      </c>
      <c r="D1499" s="77" t="str">
        <f aca="false">IFERROR(VLOOKUP(E:E,'Item Data Support Sheet'!A:O,7,0),"")</f>
        <v>NIPPLE PUNCH INSPECTED</v>
      </c>
      <c r="E1499" s="80" t="s">
        <v>688</v>
      </c>
      <c r="F1499" s="122"/>
      <c r="G1499" s="137"/>
      <c r="H1499" s="79" t="str">
        <f aca="false">IFERROR(VLOOKUP(E:E,'Item Data Support Sheet'!A:O,2,0),"")</f>
        <v>NIPPLE S TYPE L SIZE PUNCHED INSPECTED</v>
      </c>
      <c r="I1499" s="80" t="s">
        <v>2291</v>
      </c>
      <c r="J1499" s="80" t="s">
        <v>155</v>
      </c>
      <c r="K1499" s="124" t="n">
        <v>8</v>
      </c>
      <c r="L1499" s="124" t="n">
        <v>19000</v>
      </c>
      <c r="M1499" s="83" t="n">
        <v>2375</v>
      </c>
      <c r="N1499" s="84" t="n">
        <f aca="false">+O1499+Q1499+T1499+U1499</f>
        <v>20800</v>
      </c>
      <c r="O1499" s="85" t="n">
        <v>20691</v>
      </c>
      <c r="P1499" s="86" t="n">
        <v>0</v>
      </c>
      <c r="Q1499" s="86" t="n">
        <v>0</v>
      </c>
      <c r="R1499" s="132" t="n">
        <v>0</v>
      </c>
      <c r="S1499" s="128" t="n">
        <v>0</v>
      </c>
      <c r="T1499" s="132" t="n">
        <v>109</v>
      </c>
      <c r="U1499" s="128" t="n">
        <v>0</v>
      </c>
      <c r="V1499" s="128" t="n">
        <v>2</v>
      </c>
      <c r="W1499" s="90" t="n">
        <f aca="false">IFERROR(O1499/V1499,0)</f>
        <v>10345.5</v>
      </c>
      <c r="X1499" s="91" t="n">
        <f aca="false">O1499/L1499</f>
        <v>1.089</v>
      </c>
      <c r="Y1499" s="92" t="str">
        <f aca="false">IFERROR(VLOOKUP(E:E,'Item Data Support Sheet'!A:J,6,0),0)</f>
        <v>FO106</v>
      </c>
      <c r="Z1499" s="93" t="n">
        <f aca="false">IFERROR(VLOOKUP(E:E,'Item Data Support Sheet'!A:O,4,0),0)</f>
        <v>0</v>
      </c>
      <c r="AA1499" s="93" t="n">
        <f aca="false">IFERROR(((N1499)*(Z1499/1000))+P1499,0)</f>
        <v>0</v>
      </c>
      <c r="AB1499" s="94" t="str">
        <f aca="false">IFERROR((O1499*(Z1499/1000)/(AA1499))," ")</f>
        <v> </v>
      </c>
      <c r="AC1499" s="95" t="n">
        <f aca="false">IFERROR((T1499)/((T1499)+O1499),0)</f>
        <v>0.00524038461538462</v>
      </c>
      <c r="AD1499" s="96" t="n">
        <f aca="false">IFERROR(Q1499/(Q1499+N1499),0)</f>
        <v>0</v>
      </c>
      <c r="AE1499" s="91" t="n">
        <f aca="false">(N1499-T1499)/N1499</f>
        <v>0.994759615384615</v>
      </c>
      <c r="AF1499" s="97" t="n">
        <f aca="false">BR1499</f>
        <v>0.833333333333333</v>
      </c>
      <c r="AG1499" s="98" t="n">
        <f aca="false">K1499-AF1499</f>
        <v>7.16666666666667</v>
      </c>
      <c r="AH1499" s="99" t="n">
        <f aca="false">IFERROR(AG1499/K1499," ")</f>
        <v>0.895833333333333</v>
      </c>
      <c r="AI1499" s="100" t="n">
        <f aca="false">IFERROR(O1499/K1499,0)</f>
        <v>2586.375</v>
      </c>
      <c r="AJ1499" s="101" t="n">
        <f aca="false">VLOOKUP(D1499,'Standard Cycle time'!C:D,2,0)</f>
        <v>4</v>
      </c>
      <c r="AK1499" s="101" t="n">
        <f aca="false">AG1499*V1499*3600/O1499</f>
        <v>2.49383790053646</v>
      </c>
      <c r="AL1499" s="102" t="n">
        <f aca="false">AJ1499/AK1499</f>
        <v>1.60395348837209</v>
      </c>
      <c r="AM1499" s="99" t="n">
        <f aca="false">AE1499*AL1499*AH1499</f>
        <v>1.42934522235577</v>
      </c>
      <c r="AN1499" s="103" t="n">
        <v>1.42934522235577</v>
      </c>
      <c r="AO1499" s="112"/>
      <c r="AP1499" s="105" t="n">
        <v>50</v>
      </c>
      <c r="AQ1499" s="105" t="n">
        <v>0</v>
      </c>
      <c r="AR1499" s="105" t="n">
        <v>0</v>
      </c>
      <c r="AS1499" s="105" t="n">
        <v>0</v>
      </c>
      <c r="AT1499" s="105" t="n">
        <v>0</v>
      </c>
      <c r="AU1499" s="105" t="n">
        <v>0</v>
      </c>
      <c r="AV1499" s="105" t="n">
        <v>0</v>
      </c>
      <c r="AW1499" s="105" t="n">
        <v>0</v>
      </c>
      <c r="AX1499" s="105" t="n">
        <v>0</v>
      </c>
      <c r="AY1499" s="105" t="n">
        <v>0</v>
      </c>
      <c r="AZ1499" s="105" t="n">
        <v>0</v>
      </c>
      <c r="BA1499" s="105" t="n">
        <v>0</v>
      </c>
      <c r="BB1499" s="105" t="n">
        <v>0</v>
      </c>
      <c r="BC1499" s="105" t="n">
        <v>0</v>
      </c>
      <c r="BD1499" s="105" t="n">
        <v>0</v>
      </c>
      <c r="BE1499" s="105" t="n">
        <v>0</v>
      </c>
      <c r="BF1499" s="105" t="n">
        <v>0</v>
      </c>
      <c r="BG1499" s="105" t="n">
        <v>0</v>
      </c>
      <c r="BH1499" s="105" t="n">
        <v>0</v>
      </c>
      <c r="BI1499" s="105" t="n">
        <v>0</v>
      </c>
      <c r="BJ1499" s="105" t="n">
        <v>0</v>
      </c>
      <c r="BK1499" s="105" t="n">
        <v>0</v>
      </c>
      <c r="BL1499" s="105" t="n">
        <v>0</v>
      </c>
      <c r="BM1499" s="105" t="n">
        <v>0</v>
      </c>
      <c r="BN1499" s="105" t="n">
        <v>0</v>
      </c>
      <c r="BO1499" s="105" t="n">
        <v>0</v>
      </c>
      <c r="BP1499" s="105" t="n">
        <v>0</v>
      </c>
      <c r="BQ1499" s="105" t="n">
        <v>0</v>
      </c>
      <c r="BR1499" s="106" t="n">
        <v>0.833333333333333</v>
      </c>
      <c r="BS1499" s="106" t="n">
        <v>0.833333333333333</v>
      </c>
      <c r="BT1499" s="107"/>
      <c r="BU1499" s="107"/>
      <c r="BV1499" s="107"/>
      <c r="BW1499" s="107"/>
      <c r="BX1499" s="107"/>
      <c r="BY1499" s="107"/>
      <c r="BZ1499" s="107"/>
      <c r="CA1499" s="107"/>
      <c r="CB1499" s="107"/>
      <c r="CC1499" s="107"/>
      <c r="CD1499" s="107"/>
      <c r="CE1499" s="107"/>
      <c r="CF1499" s="107"/>
      <c r="CG1499" s="107"/>
      <c r="CH1499" s="107"/>
      <c r="CI1499" s="107"/>
      <c r="CJ1499" s="107"/>
      <c r="CK1499" s="107"/>
      <c r="CL1499" s="107"/>
      <c r="CM1499" s="107"/>
      <c r="CN1499" s="107"/>
      <c r="CO1499" s="107"/>
      <c r="CP1499" s="107"/>
      <c r="CQ1499" s="107"/>
      <c r="CR1499" s="107"/>
      <c r="CS1499" s="107"/>
      <c r="CT1499" s="107"/>
      <c r="CU1499" s="107"/>
      <c r="CV1499" s="107"/>
    </row>
    <row r="1500" customFormat="false" ht="14.9" hidden="false" customHeight="false" outlineLevel="0" collapsed="false">
      <c r="A1500" s="74" t="n">
        <f aca="false">MONTH(B1500)</f>
        <v>11</v>
      </c>
      <c r="B1500" s="135" t="n">
        <v>44530</v>
      </c>
      <c r="C1500" s="128" t="s">
        <v>63</v>
      </c>
      <c r="D1500" s="77" t="str">
        <f aca="false">IFERROR(VLOOKUP(E:E,'Item Data Support Sheet'!A:O,7,0),"")</f>
        <v>NIPPLE WRAP PRINTED</v>
      </c>
      <c r="E1500" s="80" t="s">
        <v>506</v>
      </c>
      <c r="F1500" s="122"/>
      <c r="G1500" s="137" t="s">
        <v>432</v>
      </c>
      <c r="H1500" s="79" t="str">
        <f aca="false">IFERROR(VLOOKUP(E:E,'Item Data Support Sheet'!A:O,2,0),"")</f>
        <v>NIPPLE S TYPE LL SIZE WRAPPED</v>
      </c>
      <c r="I1500" s="80" t="s">
        <v>2224</v>
      </c>
      <c r="J1500" s="80" t="s">
        <v>155</v>
      </c>
      <c r="K1500" s="124" t="n">
        <v>8</v>
      </c>
      <c r="L1500" s="124" t="n">
        <v>16171</v>
      </c>
      <c r="M1500" s="83" t="n">
        <v>2021.375</v>
      </c>
      <c r="N1500" s="84" t="n">
        <f aca="false">+O1500+Q1500+T1500+U1500</f>
        <v>16748</v>
      </c>
      <c r="O1500" s="85" t="n">
        <v>16740</v>
      </c>
      <c r="P1500" s="86" t="n">
        <v>0</v>
      </c>
      <c r="Q1500" s="86" t="n">
        <v>0</v>
      </c>
      <c r="R1500" s="132" t="n">
        <v>0</v>
      </c>
      <c r="S1500" s="128" t="n">
        <v>0</v>
      </c>
      <c r="T1500" s="132" t="n">
        <v>8</v>
      </c>
      <c r="U1500" s="128" t="n">
        <v>0</v>
      </c>
      <c r="V1500" s="128" t="n">
        <v>2</v>
      </c>
      <c r="W1500" s="90" t="n">
        <f aca="false">IFERROR(O1500/V1500,0)</f>
        <v>8370</v>
      </c>
      <c r="X1500" s="91" t="n">
        <f aca="false">O1500/L1500</f>
        <v>1.03518644487045</v>
      </c>
      <c r="Y1500" s="92" t="str">
        <f aca="false">IFERROR(VLOOKUP(E:E,'Item Data Support Sheet'!A:J,6,0),0)</f>
        <v>FO141</v>
      </c>
      <c r="Z1500" s="93" t="n">
        <f aca="false">IFERROR(VLOOKUP(E:E,'Item Data Support Sheet'!A:O,4,0),0)</f>
        <v>0</v>
      </c>
      <c r="AA1500" s="93" t="n">
        <f aca="false">IFERROR(((N1500)*(Z1500/1000))+P1500,0)</f>
        <v>0</v>
      </c>
      <c r="AB1500" s="94" t="str">
        <f aca="false">IFERROR((O1500*(Z1500/1000)/(AA1500))," ")</f>
        <v> </v>
      </c>
      <c r="AC1500" s="95" t="n">
        <f aca="false">IFERROR((T1500)/((T1500)+O1500),0)</f>
        <v>0.000477668975400048</v>
      </c>
      <c r="AD1500" s="96" t="n">
        <f aca="false">IFERROR(Q1500/(Q1500+N1500),0)</f>
        <v>0</v>
      </c>
      <c r="AE1500" s="91" t="n">
        <f aca="false">(N1500-T1500)/N1500</f>
        <v>0.9995223310246</v>
      </c>
      <c r="AF1500" s="97" t="n">
        <f aca="false">BR1500</f>
        <v>0.833333333333333</v>
      </c>
      <c r="AG1500" s="98" t="n">
        <f aca="false">K1500-AF1500</f>
        <v>7.16666666666667</v>
      </c>
      <c r="AH1500" s="99" t="n">
        <f aca="false">IFERROR(AG1500/K1500," ")</f>
        <v>0.895833333333333</v>
      </c>
      <c r="AI1500" s="100" t="n">
        <f aca="false">IFERROR(O1500/K1500,0)</f>
        <v>2092.5</v>
      </c>
      <c r="AJ1500" s="101" t="n">
        <f aca="false">VLOOKUP(D1500,'Standard Cycle time'!C:D,2,0)</f>
        <v>2.5</v>
      </c>
      <c r="AK1500" s="101" t="n">
        <f aca="false">AG1500*V1500*3600/O1500</f>
        <v>3.08243727598566</v>
      </c>
      <c r="AL1500" s="102" t="n">
        <f aca="false">AJ1500/AK1500</f>
        <v>0.811046511627907</v>
      </c>
      <c r="AM1500" s="99" t="n">
        <f aca="false">AE1500*AL1500*AH1500</f>
        <v>0.726215443635061</v>
      </c>
      <c r="AN1500" s="103" t="n">
        <v>0.726215443635061</v>
      </c>
      <c r="AO1500" s="112"/>
      <c r="AP1500" s="105" t="n">
        <v>50</v>
      </c>
      <c r="AQ1500" s="105" t="n">
        <v>0</v>
      </c>
      <c r="AR1500" s="105" t="n">
        <v>0</v>
      </c>
      <c r="AS1500" s="105" t="n">
        <v>0</v>
      </c>
      <c r="AT1500" s="105" t="n">
        <v>0</v>
      </c>
      <c r="AU1500" s="105" t="n">
        <v>0</v>
      </c>
      <c r="AV1500" s="105" t="n">
        <v>0</v>
      </c>
      <c r="AW1500" s="105" t="n">
        <v>0</v>
      </c>
      <c r="AX1500" s="105" t="n">
        <v>0</v>
      </c>
      <c r="AY1500" s="105" t="n">
        <v>0</v>
      </c>
      <c r="AZ1500" s="105" t="n">
        <v>0</v>
      </c>
      <c r="BA1500" s="105" t="n">
        <v>0</v>
      </c>
      <c r="BB1500" s="105" t="n">
        <v>0</v>
      </c>
      <c r="BC1500" s="105" t="n">
        <v>0</v>
      </c>
      <c r="BD1500" s="105" t="n">
        <v>0</v>
      </c>
      <c r="BE1500" s="105" t="n">
        <v>0</v>
      </c>
      <c r="BF1500" s="105" t="n">
        <v>0</v>
      </c>
      <c r="BG1500" s="105" t="n">
        <v>0</v>
      </c>
      <c r="BH1500" s="105" t="n">
        <v>0</v>
      </c>
      <c r="BI1500" s="105" t="n">
        <v>0</v>
      </c>
      <c r="BJ1500" s="105" t="n">
        <v>0</v>
      </c>
      <c r="BK1500" s="105" t="n">
        <v>0</v>
      </c>
      <c r="BL1500" s="105" t="n">
        <v>0</v>
      </c>
      <c r="BM1500" s="105" t="n">
        <v>0</v>
      </c>
      <c r="BN1500" s="105" t="n">
        <v>0</v>
      </c>
      <c r="BO1500" s="105" t="n">
        <v>0</v>
      </c>
      <c r="BP1500" s="105" t="n">
        <v>0</v>
      </c>
      <c r="BQ1500" s="105" t="n">
        <v>0</v>
      </c>
      <c r="BR1500" s="106" t="n">
        <v>0.833333333333333</v>
      </c>
      <c r="BS1500" s="106" t="n">
        <v>0.833333333333333</v>
      </c>
      <c r="BT1500" s="107"/>
      <c r="BU1500" s="107"/>
      <c r="BV1500" s="107"/>
      <c r="BW1500" s="107"/>
      <c r="BX1500" s="107"/>
      <c r="BY1500" s="107"/>
      <c r="BZ1500" s="107"/>
      <c r="CA1500" s="107"/>
      <c r="CB1500" s="107"/>
      <c r="CC1500" s="107"/>
      <c r="CD1500" s="107"/>
      <c r="CE1500" s="107"/>
      <c r="CF1500" s="107"/>
      <c r="CG1500" s="107"/>
      <c r="CH1500" s="107"/>
      <c r="CI1500" s="107"/>
      <c r="CJ1500" s="107"/>
      <c r="CK1500" s="107"/>
      <c r="CL1500" s="107"/>
      <c r="CM1500" s="107"/>
      <c r="CN1500" s="107"/>
      <c r="CO1500" s="107"/>
      <c r="CP1500" s="107"/>
      <c r="CQ1500" s="107"/>
      <c r="CR1500" s="107"/>
      <c r="CS1500" s="107"/>
      <c r="CT1500" s="107"/>
      <c r="CU1500" s="107"/>
      <c r="CV1500" s="107"/>
    </row>
    <row r="1501" customFormat="false" ht="14.9" hidden="false" customHeight="false" outlineLevel="0" collapsed="false">
      <c r="A1501" s="74" t="n">
        <f aca="false">MONTH(B1501)</f>
        <v>11</v>
      </c>
      <c r="B1501" s="135" t="n">
        <v>44530</v>
      </c>
      <c r="C1501" s="128" t="s">
        <v>70</v>
      </c>
      <c r="D1501" s="77" t="str">
        <f aca="false">IFERROR(VLOOKUP(E:E,'Item Data Support Sheet'!A:O,7,0),"")</f>
        <v>CAP MOLDED</v>
      </c>
      <c r="E1501" s="80" t="s">
        <v>343</v>
      </c>
      <c r="F1501" s="122" t="s">
        <v>2161</v>
      </c>
      <c r="G1501" s="137" t="s">
        <v>740</v>
      </c>
      <c r="H1501" s="79" t="str">
        <f aca="false">IFERROR(VLOOKUP(E:E,'Item Data Support Sheet'!A:O,2,0),"")</f>
        <v>CAP S TYPE MOLDED BLUE</v>
      </c>
      <c r="I1501" s="80" t="s">
        <v>2292</v>
      </c>
      <c r="J1501" s="80" t="s">
        <v>155</v>
      </c>
      <c r="K1501" s="124" t="n">
        <v>8</v>
      </c>
      <c r="L1501" s="124" t="n">
        <v>4137</v>
      </c>
      <c r="M1501" s="83" t="n">
        <v>517.125</v>
      </c>
      <c r="N1501" s="84" t="n">
        <f aca="false">+O1501+Q1501+T1501+U1501</f>
        <v>5008</v>
      </c>
      <c r="O1501" s="85" t="n">
        <v>5000</v>
      </c>
      <c r="P1501" s="86" t="n">
        <v>0</v>
      </c>
      <c r="Q1501" s="86" t="n">
        <v>4</v>
      </c>
      <c r="R1501" s="132" t="n">
        <v>0</v>
      </c>
      <c r="S1501" s="128" t="n">
        <v>0</v>
      </c>
      <c r="T1501" s="132" t="n">
        <v>4</v>
      </c>
      <c r="U1501" s="128" t="n">
        <v>0</v>
      </c>
      <c r="V1501" s="128" t="n">
        <v>1</v>
      </c>
      <c r="W1501" s="90" t="n">
        <f aca="false">IFERROR(O1501/V1501,0)</f>
        <v>5000</v>
      </c>
      <c r="X1501" s="91" t="n">
        <f aca="false">O1501/L1501</f>
        <v>1.20860526951898</v>
      </c>
      <c r="Y1501" s="92" t="str">
        <f aca="false">IFERROR(VLOOKUP(E:E,'Item Data Support Sheet'!A:J,6,0),0)</f>
        <v>RM000114</v>
      </c>
      <c r="Z1501" s="93" t="n">
        <f aca="false">IFERROR(VLOOKUP(E:E,'Item Data Support Sheet'!A:O,4,0),0)</f>
        <v>7.3</v>
      </c>
      <c r="AA1501" s="93" t="n">
        <f aca="false">IFERROR(((N1501)*(Z1501/1000))+P1501,0)</f>
        <v>36.5584</v>
      </c>
      <c r="AB1501" s="94" t="n">
        <f aca="false">IFERROR((O1501*(Z1501/1000)/(AA1501))," ")</f>
        <v>0.998402555910543</v>
      </c>
      <c r="AC1501" s="95" t="n">
        <f aca="false">IFERROR((T1501)/((T1501)+O1501),0)</f>
        <v>0.000799360511590727</v>
      </c>
      <c r="AD1501" s="96" t="n">
        <f aca="false">IFERROR(Q1501/(Q1501+N1501),0)</f>
        <v>0.000798084596967279</v>
      </c>
      <c r="AE1501" s="91" t="n">
        <f aca="false">(N1501-T1501)/N1501</f>
        <v>0.999201277955272</v>
      </c>
      <c r="AF1501" s="97" t="n">
        <f aca="false">BR1501</f>
        <v>0</v>
      </c>
      <c r="AG1501" s="98" t="n">
        <f aca="false">K1501-AF1501</f>
        <v>8</v>
      </c>
      <c r="AH1501" s="99" t="n">
        <f aca="false">IFERROR(AG1501/K1501," ")</f>
        <v>1</v>
      </c>
      <c r="AI1501" s="100" t="n">
        <f aca="false">IFERROR(O1501/K1501,0)</f>
        <v>625</v>
      </c>
      <c r="AJ1501" s="101" t="n">
        <f aca="false">VLOOKUP(D1501,'Standard Cycle time'!C:D,2,0)</f>
        <v>6</v>
      </c>
      <c r="AK1501" s="101" t="n">
        <f aca="false">AG1501*V1501*3600/O1501</f>
        <v>5.76</v>
      </c>
      <c r="AL1501" s="102" t="n">
        <f aca="false">AJ1501/AK1501</f>
        <v>1.04166666666667</v>
      </c>
      <c r="AM1501" s="99" t="n">
        <f aca="false">AE1501*AL1501*AH1501</f>
        <v>1.04083466453674</v>
      </c>
      <c r="AN1501" s="103" t="n">
        <v>1.04083466453674</v>
      </c>
      <c r="AO1501" s="112"/>
      <c r="AP1501" s="105" t="n">
        <v>0</v>
      </c>
      <c r="AQ1501" s="105" t="n">
        <v>0</v>
      </c>
      <c r="AR1501" s="105" t="n">
        <v>0</v>
      </c>
      <c r="AS1501" s="105" t="n">
        <v>0</v>
      </c>
      <c r="AT1501" s="105" t="n">
        <v>0</v>
      </c>
      <c r="AU1501" s="105" t="n">
        <v>0</v>
      </c>
      <c r="AV1501" s="105" t="n">
        <v>0</v>
      </c>
      <c r="AW1501" s="105" t="n">
        <v>0</v>
      </c>
      <c r="AX1501" s="105" t="n">
        <v>0</v>
      </c>
      <c r="AY1501" s="105" t="n">
        <v>0</v>
      </c>
      <c r="AZ1501" s="105" t="n">
        <v>0</v>
      </c>
      <c r="BA1501" s="105" t="n">
        <v>0</v>
      </c>
      <c r="BB1501" s="105" t="n">
        <v>0</v>
      </c>
      <c r="BC1501" s="105" t="n">
        <v>0</v>
      </c>
      <c r="BD1501" s="105" t="n">
        <v>0</v>
      </c>
      <c r="BE1501" s="105" t="n">
        <v>0</v>
      </c>
      <c r="BF1501" s="105" t="n">
        <v>0</v>
      </c>
      <c r="BG1501" s="105" t="n">
        <v>0</v>
      </c>
      <c r="BH1501" s="105" t="n">
        <v>0</v>
      </c>
      <c r="BI1501" s="105" t="n">
        <v>0</v>
      </c>
      <c r="BJ1501" s="105" t="n">
        <v>0</v>
      </c>
      <c r="BK1501" s="105" t="n">
        <v>0</v>
      </c>
      <c r="BL1501" s="105" t="n">
        <v>0</v>
      </c>
      <c r="BM1501" s="105" t="n">
        <v>0</v>
      </c>
      <c r="BN1501" s="105" t="n">
        <v>0</v>
      </c>
      <c r="BO1501" s="105" t="n">
        <v>0</v>
      </c>
      <c r="BP1501" s="105" t="n">
        <v>0</v>
      </c>
      <c r="BQ1501" s="105" t="n">
        <v>0</v>
      </c>
      <c r="BR1501" s="106" t="n">
        <v>0</v>
      </c>
      <c r="BS1501" s="106" t="n">
        <v>0</v>
      </c>
      <c r="BT1501" s="107"/>
      <c r="BU1501" s="107"/>
      <c r="BV1501" s="107"/>
      <c r="BW1501" s="107"/>
      <c r="BX1501" s="107"/>
      <c r="BY1501" s="107"/>
      <c r="BZ1501" s="107"/>
      <c r="CA1501" s="107"/>
      <c r="CB1501" s="107"/>
      <c r="CC1501" s="107"/>
      <c r="CD1501" s="107"/>
      <c r="CE1501" s="107"/>
      <c r="CF1501" s="107"/>
      <c r="CG1501" s="107"/>
      <c r="CH1501" s="107"/>
      <c r="CI1501" s="107"/>
      <c r="CJ1501" s="107"/>
      <c r="CK1501" s="107"/>
      <c r="CL1501" s="107"/>
      <c r="CM1501" s="107"/>
      <c r="CN1501" s="107"/>
      <c r="CO1501" s="107"/>
      <c r="CP1501" s="107"/>
      <c r="CQ1501" s="107"/>
      <c r="CR1501" s="107"/>
      <c r="CS1501" s="107"/>
      <c r="CT1501" s="107"/>
      <c r="CU1501" s="107"/>
      <c r="CV1501" s="107"/>
    </row>
    <row r="1502" customFormat="false" ht="14.9" hidden="false" customHeight="false" outlineLevel="0" collapsed="false">
      <c r="A1502" s="74" t="n">
        <f aca="false">MONTH(B1502)</f>
        <v>11</v>
      </c>
      <c r="B1502" s="135" t="n">
        <v>44530</v>
      </c>
      <c r="C1502" s="128" t="s">
        <v>70</v>
      </c>
      <c r="D1502" s="77" t="str">
        <f aca="false">IFERROR(VLOOKUP(E:E,'Item Data Support Sheet'!A:O,7,0),"")</f>
        <v>NIPPLE MOLDED</v>
      </c>
      <c r="E1502" s="80" t="s">
        <v>809</v>
      </c>
      <c r="F1502" s="122" t="s">
        <v>1286</v>
      </c>
      <c r="G1502" s="137" t="s">
        <v>848</v>
      </c>
      <c r="H1502" s="79" t="str">
        <f aca="false">IFERROR(VLOOKUP(E:E,'Item Data Support Sheet'!A:O,2,0),"")</f>
        <v>NIPPLE S TYPE Y SIZE INJECTION</v>
      </c>
      <c r="I1502" s="80" t="s">
        <v>2293</v>
      </c>
      <c r="J1502" s="80" t="s">
        <v>155</v>
      </c>
      <c r="K1502" s="124" t="n">
        <v>8</v>
      </c>
      <c r="L1502" s="124" t="n">
        <v>3611</v>
      </c>
      <c r="M1502" s="83" t="n">
        <v>451.375</v>
      </c>
      <c r="N1502" s="84" t="n">
        <f aca="false">+O1502+Q1502+T1502+U1502</f>
        <v>3633</v>
      </c>
      <c r="O1502" s="85" t="n">
        <v>3590</v>
      </c>
      <c r="P1502" s="86" t="n">
        <v>0</v>
      </c>
      <c r="Q1502" s="86" t="n">
        <v>0</v>
      </c>
      <c r="R1502" s="132" t="n">
        <v>0</v>
      </c>
      <c r="S1502" s="128" t="n">
        <v>0</v>
      </c>
      <c r="T1502" s="132" t="n">
        <v>43</v>
      </c>
      <c r="U1502" s="128" t="n">
        <v>0</v>
      </c>
      <c r="V1502" s="128" t="n">
        <v>1</v>
      </c>
      <c r="W1502" s="90" t="n">
        <f aca="false">IFERROR(O1502/V1502,0)</f>
        <v>3590</v>
      </c>
      <c r="X1502" s="91" t="n">
        <f aca="false">O1502/L1502</f>
        <v>0.994184436444198</v>
      </c>
      <c r="Y1502" s="92" t="str">
        <f aca="false">IFERROR(VLOOKUP(E:E,'Item Data Support Sheet'!A:J,6,0),0)</f>
        <v>Silicon</v>
      </c>
      <c r="Z1502" s="93" t="n">
        <f aca="false">IFERROR(VLOOKUP(E:E,'Item Data Support Sheet'!A:O,4,0),0)</f>
        <v>6.8</v>
      </c>
      <c r="AA1502" s="93" t="n">
        <f aca="false">IFERROR(((N1502)*(Z1502/1000))+P1502,0)</f>
        <v>24.7044</v>
      </c>
      <c r="AB1502" s="94" t="n">
        <f aca="false">IFERROR((O1502*(Z1502/1000)/(AA1502))," ")</f>
        <v>0.988164051747867</v>
      </c>
      <c r="AC1502" s="95" t="n">
        <f aca="false">IFERROR((T1502)/((T1502)+O1502),0)</f>
        <v>0.0118359482521332</v>
      </c>
      <c r="AD1502" s="96" t="n">
        <f aca="false">IFERROR(Q1502/(Q1502+N1502),0)</f>
        <v>0</v>
      </c>
      <c r="AE1502" s="91" t="n">
        <f aca="false">(N1502-T1502)/N1502</f>
        <v>0.988164051747867</v>
      </c>
      <c r="AF1502" s="97" t="n">
        <f aca="false">BR1502</f>
        <v>0</v>
      </c>
      <c r="AG1502" s="98" t="n">
        <f aca="false">K1502-AF1502</f>
        <v>8</v>
      </c>
      <c r="AH1502" s="99" t="n">
        <f aca="false">IFERROR(AG1502/K1502," ")</f>
        <v>1</v>
      </c>
      <c r="AI1502" s="100" t="n">
        <f aca="false">IFERROR(O1502/K1502,0)</f>
        <v>448.75</v>
      </c>
      <c r="AJ1502" s="101" t="n">
        <f aca="false">VLOOKUP(D1502,'Standard Cycle time'!C:D,2,0)</f>
        <v>5.25</v>
      </c>
      <c r="AK1502" s="101" t="n">
        <f aca="false">AG1502*V1502*3600/O1502</f>
        <v>8.02228412256267</v>
      </c>
      <c r="AL1502" s="102" t="n">
        <f aca="false">AJ1502/AK1502</f>
        <v>0.654427083333333</v>
      </c>
      <c r="AM1502" s="99" t="n">
        <f aca="false">AE1502*AL1502*AH1502</f>
        <v>0.646681318240206</v>
      </c>
      <c r="AN1502" s="103" t="n">
        <v>0.646681318240206</v>
      </c>
      <c r="AO1502" s="112"/>
      <c r="AP1502" s="105" t="n">
        <v>0</v>
      </c>
      <c r="AQ1502" s="105" t="n">
        <v>0</v>
      </c>
      <c r="AR1502" s="105" t="n">
        <v>0</v>
      </c>
      <c r="AS1502" s="105" t="n">
        <v>0</v>
      </c>
      <c r="AT1502" s="105" t="n">
        <v>0</v>
      </c>
      <c r="AU1502" s="105" t="n">
        <v>0</v>
      </c>
      <c r="AV1502" s="105" t="n">
        <v>0</v>
      </c>
      <c r="AW1502" s="105" t="n">
        <v>0</v>
      </c>
      <c r="AX1502" s="105" t="n">
        <v>0</v>
      </c>
      <c r="AY1502" s="105" t="n">
        <v>0</v>
      </c>
      <c r="AZ1502" s="105" t="n">
        <v>0</v>
      </c>
      <c r="BA1502" s="105" t="n">
        <v>0</v>
      </c>
      <c r="BB1502" s="105" t="n">
        <v>0</v>
      </c>
      <c r="BC1502" s="105" t="n">
        <v>0</v>
      </c>
      <c r="BD1502" s="105" t="n">
        <v>0</v>
      </c>
      <c r="BE1502" s="105" t="n">
        <v>0</v>
      </c>
      <c r="BF1502" s="105" t="n">
        <v>0</v>
      </c>
      <c r="BG1502" s="105" t="n">
        <v>0</v>
      </c>
      <c r="BH1502" s="105" t="n">
        <v>0</v>
      </c>
      <c r="BI1502" s="105" t="n">
        <v>0</v>
      </c>
      <c r="BJ1502" s="105" t="n">
        <v>0</v>
      </c>
      <c r="BK1502" s="105" t="n">
        <v>0</v>
      </c>
      <c r="BL1502" s="105" t="n">
        <v>0</v>
      </c>
      <c r="BM1502" s="105" t="n">
        <v>0</v>
      </c>
      <c r="BN1502" s="105" t="n">
        <v>0</v>
      </c>
      <c r="BO1502" s="105" t="n">
        <v>0</v>
      </c>
      <c r="BP1502" s="105" t="n">
        <v>0</v>
      </c>
      <c r="BQ1502" s="105" t="n">
        <v>0</v>
      </c>
      <c r="BR1502" s="106" t="n">
        <v>0</v>
      </c>
      <c r="BS1502" s="106" t="n">
        <v>0</v>
      </c>
      <c r="BT1502" s="107"/>
      <c r="BU1502" s="107"/>
      <c r="BV1502" s="107"/>
      <c r="BW1502" s="107"/>
      <c r="BX1502" s="107"/>
      <c r="BY1502" s="107"/>
      <c r="BZ1502" s="107"/>
      <c r="CA1502" s="107"/>
      <c r="CB1502" s="107"/>
      <c r="CC1502" s="107"/>
      <c r="CD1502" s="107"/>
      <c r="CE1502" s="107"/>
      <c r="CF1502" s="107"/>
      <c r="CG1502" s="107"/>
      <c r="CH1502" s="107"/>
      <c r="CI1502" s="107"/>
      <c r="CJ1502" s="107"/>
      <c r="CK1502" s="107"/>
      <c r="CL1502" s="107"/>
      <c r="CM1502" s="107"/>
      <c r="CN1502" s="107"/>
      <c r="CO1502" s="107"/>
      <c r="CP1502" s="107"/>
      <c r="CQ1502" s="107"/>
      <c r="CR1502" s="107"/>
      <c r="CS1502" s="107"/>
      <c r="CT1502" s="107"/>
      <c r="CU1502" s="107"/>
      <c r="CV1502" s="107"/>
    </row>
    <row r="1503" customFormat="false" ht="14.9" hidden="false" customHeight="false" outlineLevel="0" collapsed="false">
      <c r="A1503" s="74" t="n">
        <f aca="false">MONTH(B1503)</f>
        <v>11</v>
      </c>
      <c r="B1503" s="135" t="n">
        <v>44530</v>
      </c>
      <c r="C1503" s="128" t="s">
        <v>70</v>
      </c>
      <c r="D1503" s="77" t="str">
        <f aca="false">IFERROR(VLOOKUP(E:E,'Item Data Support Sheet'!A:O,7,0),"")</f>
        <v>NIPPLE MOLDED</v>
      </c>
      <c r="E1503" s="80" t="s">
        <v>244</v>
      </c>
      <c r="F1503" s="122" t="s">
        <v>137</v>
      </c>
      <c r="G1503" s="137" t="s">
        <v>138</v>
      </c>
      <c r="H1503" s="79" t="str">
        <f aca="false">IFERROR(VLOOKUP(E:E,'Item Data Support Sheet'!A:O,2,0),"")</f>
        <v>NIPPLE S TYPE S SIZE INJECTION</v>
      </c>
      <c r="I1503" s="80" t="s">
        <v>2293</v>
      </c>
      <c r="J1503" s="80" t="s">
        <v>155</v>
      </c>
      <c r="K1503" s="124" t="n">
        <v>8</v>
      </c>
      <c r="L1503" s="124" t="n">
        <v>4815</v>
      </c>
      <c r="M1503" s="83" t="n">
        <v>601.875</v>
      </c>
      <c r="N1503" s="84" t="n">
        <f aca="false">+O1503+Q1503+T1503+U1503</f>
        <v>5547</v>
      </c>
      <c r="O1503" s="85" t="n">
        <v>5500</v>
      </c>
      <c r="P1503" s="86" t="n">
        <v>0</v>
      </c>
      <c r="Q1503" s="86" t="n">
        <v>0</v>
      </c>
      <c r="R1503" s="132" t="n">
        <v>0</v>
      </c>
      <c r="S1503" s="128" t="n">
        <v>0</v>
      </c>
      <c r="T1503" s="132" t="n">
        <v>47</v>
      </c>
      <c r="U1503" s="128" t="n">
        <v>0</v>
      </c>
      <c r="V1503" s="128" t="n">
        <v>1</v>
      </c>
      <c r="W1503" s="90" t="n">
        <f aca="false">IFERROR(O1503/V1503,0)</f>
        <v>5500</v>
      </c>
      <c r="X1503" s="91" t="n">
        <f aca="false">O1503/L1503</f>
        <v>1.14226375908619</v>
      </c>
      <c r="Y1503" s="92" t="str">
        <f aca="false">IFERROR(VLOOKUP(E:E,'Item Data Support Sheet'!A:J,6,0),0)</f>
        <v>Silicon</v>
      </c>
      <c r="Z1503" s="93" t="n">
        <f aca="false">IFERROR(VLOOKUP(E:E,'Item Data Support Sheet'!A:O,4,0),0)</f>
        <v>6.8</v>
      </c>
      <c r="AA1503" s="93" t="n">
        <f aca="false">IFERROR(((N1503)*(Z1503/1000))+P1503,0)</f>
        <v>37.7196</v>
      </c>
      <c r="AB1503" s="94" t="n">
        <f aca="false">IFERROR((O1503*(Z1503/1000)/(AA1503))," ")</f>
        <v>0.991526951505318</v>
      </c>
      <c r="AC1503" s="95" t="n">
        <f aca="false">IFERROR((T1503)/((T1503)+O1503),0)</f>
        <v>0.00847304849468181</v>
      </c>
      <c r="AD1503" s="96" t="n">
        <f aca="false">IFERROR(Q1503/(Q1503+N1503),0)</f>
        <v>0</v>
      </c>
      <c r="AE1503" s="91" t="n">
        <f aca="false">(N1503-T1503)/N1503</f>
        <v>0.991526951505318</v>
      </c>
      <c r="AF1503" s="97" t="n">
        <f aca="false">BR1503</f>
        <v>0</v>
      </c>
      <c r="AG1503" s="98" t="n">
        <f aca="false">K1503-AF1503</f>
        <v>8</v>
      </c>
      <c r="AH1503" s="99" t="n">
        <f aca="false">IFERROR(AG1503/K1503," ")</f>
        <v>1</v>
      </c>
      <c r="AI1503" s="100" t="n">
        <f aca="false">IFERROR(O1503/K1503,0)</f>
        <v>687.5</v>
      </c>
      <c r="AJ1503" s="101" t="n">
        <f aca="false">VLOOKUP(D1503,'Standard Cycle time'!C:D,2,0)</f>
        <v>5.25</v>
      </c>
      <c r="AK1503" s="101" t="n">
        <f aca="false">AG1503*V1503*3600/O1503</f>
        <v>5.23636363636364</v>
      </c>
      <c r="AL1503" s="102" t="n">
        <f aca="false">AJ1503/AK1503</f>
        <v>1.00260416666667</v>
      </c>
      <c r="AM1503" s="99" t="n">
        <f aca="false">AE1503*AL1503*AH1503</f>
        <v>0.99410905294153</v>
      </c>
      <c r="AN1503" s="103" t="n">
        <v>0.99410905294153</v>
      </c>
      <c r="AO1503" s="112"/>
      <c r="AP1503" s="105" t="n">
        <v>0</v>
      </c>
      <c r="AQ1503" s="105" t="n">
        <v>0</v>
      </c>
      <c r="AR1503" s="105" t="n">
        <v>0</v>
      </c>
      <c r="AS1503" s="105" t="n">
        <v>0</v>
      </c>
      <c r="AT1503" s="105" t="n">
        <v>0</v>
      </c>
      <c r="AU1503" s="105" t="n">
        <v>0</v>
      </c>
      <c r="AV1503" s="105" t="n">
        <v>0</v>
      </c>
      <c r="AW1503" s="105" t="n">
        <v>0</v>
      </c>
      <c r="AX1503" s="105" t="n">
        <v>0</v>
      </c>
      <c r="AY1503" s="105" t="n">
        <v>0</v>
      </c>
      <c r="AZ1503" s="105" t="n">
        <v>0</v>
      </c>
      <c r="BA1503" s="105" t="n">
        <v>0</v>
      </c>
      <c r="BB1503" s="105" t="n">
        <v>0</v>
      </c>
      <c r="BC1503" s="105" t="n">
        <v>0</v>
      </c>
      <c r="BD1503" s="105" t="n">
        <v>0</v>
      </c>
      <c r="BE1503" s="105" t="n">
        <v>0</v>
      </c>
      <c r="BF1503" s="105" t="n">
        <v>0</v>
      </c>
      <c r="BG1503" s="105" t="n">
        <v>0</v>
      </c>
      <c r="BH1503" s="105" t="n">
        <v>0</v>
      </c>
      <c r="BI1503" s="105" t="n">
        <v>0</v>
      </c>
      <c r="BJ1503" s="105" t="n">
        <v>0</v>
      </c>
      <c r="BK1503" s="105" t="n">
        <v>0</v>
      </c>
      <c r="BL1503" s="105" t="n">
        <v>0</v>
      </c>
      <c r="BM1503" s="105" t="n">
        <v>0</v>
      </c>
      <c r="BN1503" s="105" t="n">
        <v>0</v>
      </c>
      <c r="BO1503" s="105" t="n">
        <v>0</v>
      </c>
      <c r="BP1503" s="105" t="n">
        <v>0</v>
      </c>
      <c r="BQ1503" s="105" t="n">
        <v>0</v>
      </c>
      <c r="BR1503" s="106" t="n">
        <v>0</v>
      </c>
      <c r="BS1503" s="106" t="n">
        <v>0</v>
      </c>
      <c r="BT1503" s="107"/>
      <c r="BU1503" s="107"/>
      <c r="BV1503" s="107"/>
      <c r="BW1503" s="107"/>
      <c r="BX1503" s="107"/>
      <c r="BY1503" s="107"/>
      <c r="BZ1503" s="107"/>
      <c r="CA1503" s="107"/>
      <c r="CB1503" s="107"/>
      <c r="CC1503" s="107"/>
      <c r="CD1503" s="107"/>
      <c r="CE1503" s="107"/>
      <c r="CF1503" s="107"/>
      <c r="CG1503" s="107"/>
      <c r="CH1503" s="107"/>
      <c r="CI1503" s="107"/>
      <c r="CJ1503" s="107"/>
      <c r="CK1503" s="107"/>
      <c r="CL1503" s="107"/>
      <c r="CM1503" s="107"/>
      <c r="CN1503" s="107"/>
      <c r="CO1503" s="107"/>
      <c r="CP1503" s="107"/>
      <c r="CQ1503" s="107"/>
      <c r="CR1503" s="107"/>
      <c r="CS1503" s="107"/>
      <c r="CT1503" s="107"/>
      <c r="CU1503" s="107"/>
      <c r="CV1503" s="107"/>
    </row>
    <row r="1504" customFormat="false" ht="14.9" hidden="false" customHeight="false" outlineLevel="0" collapsed="false">
      <c r="A1504" s="74" t="n">
        <f aca="false">MONTH(B1504)</f>
        <v>11</v>
      </c>
      <c r="B1504" s="135" t="n">
        <v>44530</v>
      </c>
      <c r="C1504" s="128" t="s">
        <v>70</v>
      </c>
      <c r="D1504" s="77" t="str">
        <f aca="false">IFERROR(VLOOKUP(E:E,'Item Data Support Sheet'!A:O,7,0),"")</f>
        <v>BOTTLE MOLDED</v>
      </c>
      <c r="E1504" s="80" t="s">
        <v>357</v>
      </c>
      <c r="F1504" s="122" t="s">
        <v>144</v>
      </c>
      <c r="G1504" s="137" t="s">
        <v>80</v>
      </c>
      <c r="H1504" s="79" t="str">
        <f aca="false">IFERROR(VLOOKUP(E:E,'Item Data Support Sheet'!A:O,2,0),"")</f>
        <v>KPP 120 ML BOTTLE MOLDED</v>
      </c>
      <c r="I1504" s="80" t="s">
        <v>2294</v>
      </c>
      <c r="J1504" s="80" t="s">
        <v>155</v>
      </c>
      <c r="K1504" s="124" t="n">
        <v>8</v>
      </c>
      <c r="L1504" s="124" t="n">
        <v>2574</v>
      </c>
      <c r="M1504" s="83" t="n">
        <v>321.75</v>
      </c>
      <c r="N1504" s="84" t="n">
        <f aca="false">+O1504+Q1504+T1504+U1504</f>
        <v>2930</v>
      </c>
      <c r="O1504" s="85" t="n">
        <v>2880</v>
      </c>
      <c r="P1504" s="86" t="n">
        <v>0</v>
      </c>
      <c r="Q1504" s="86" t="n">
        <v>20</v>
      </c>
      <c r="R1504" s="132" t="n">
        <v>0</v>
      </c>
      <c r="S1504" s="128" t="n">
        <v>0</v>
      </c>
      <c r="T1504" s="132" t="n">
        <v>30</v>
      </c>
      <c r="U1504" s="128" t="n">
        <v>0</v>
      </c>
      <c r="V1504" s="128" t="n">
        <v>1</v>
      </c>
      <c r="W1504" s="90" t="n">
        <f aca="false">IFERROR(O1504/V1504,0)</f>
        <v>2880</v>
      </c>
      <c r="X1504" s="91" t="n">
        <f aca="false">O1504/L1504</f>
        <v>1.11888111888112</v>
      </c>
      <c r="Y1504" s="92" t="str">
        <f aca="false">IFERROR(VLOOKUP(E:E,'Item Data Support Sheet'!A:J,6,0),0)</f>
        <v>HMC</v>
      </c>
      <c r="Z1504" s="93" t="n">
        <f aca="false">IFERROR(VLOOKUP(E:E,'Item Data Support Sheet'!A:O,4,0),0)</f>
        <v>21.3</v>
      </c>
      <c r="AA1504" s="93" t="n">
        <f aca="false">IFERROR(((N1504)*(Z1504/1000))+P1504,0)</f>
        <v>62.409</v>
      </c>
      <c r="AB1504" s="94" t="n">
        <f aca="false">IFERROR((O1504*(Z1504/1000)/(AA1504))," ")</f>
        <v>0.982935153583618</v>
      </c>
      <c r="AC1504" s="95" t="n">
        <f aca="false">IFERROR((T1504)/((T1504)+O1504),0)</f>
        <v>0.0103092783505155</v>
      </c>
      <c r="AD1504" s="96" t="n">
        <f aca="false">IFERROR(Q1504/(Q1504+N1504),0)</f>
        <v>0.00677966101694915</v>
      </c>
      <c r="AE1504" s="91" t="n">
        <f aca="false">(N1504-T1504)/N1504</f>
        <v>0.989761092150171</v>
      </c>
      <c r="AF1504" s="97" t="n">
        <f aca="false">BR1504</f>
        <v>0</v>
      </c>
      <c r="AG1504" s="98" t="n">
        <f aca="false">K1504-AF1504</f>
        <v>8</v>
      </c>
      <c r="AH1504" s="99" t="n">
        <f aca="false">IFERROR(AG1504/K1504," ")</f>
        <v>1</v>
      </c>
      <c r="AI1504" s="100" t="n">
        <f aca="false">IFERROR(O1504/K1504,0)</f>
        <v>360</v>
      </c>
      <c r="AJ1504" s="101" t="n">
        <f aca="false">VLOOKUP(D1504,'Standard Cycle time'!C:D,2,0)</f>
        <v>9</v>
      </c>
      <c r="AK1504" s="101" t="n">
        <f aca="false">AG1504*V1504*3600/O1504</f>
        <v>10</v>
      </c>
      <c r="AL1504" s="102" t="n">
        <f aca="false">AJ1504/AK1504</f>
        <v>0.9</v>
      </c>
      <c r="AM1504" s="99" t="n">
        <f aca="false">AE1504*AL1504*AH1504</f>
        <v>0.890784982935153</v>
      </c>
      <c r="AN1504" s="103" t="n">
        <v>0.890784982935153</v>
      </c>
      <c r="AO1504" s="112"/>
      <c r="AP1504" s="105" t="n">
        <v>0</v>
      </c>
      <c r="AQ1504" s="105" t="n">
        <v>0</v>
      </c>
      <c r="AR1504" s="105" t="n">
        <v>0</v>
      </c>
      <c r="AS1504" s="105" t="n">
        <v>0</v>
      </c>
      <c r="AT1504" s="105" t="n">
        <v>0</v>
      </c>
      <c r="AU1504" s="105" t="n">
        <v>0</v>
      </c>
      <c r="AV1504" s="105" t="n">
        <v>0</v>
      </c>
      <c r="AW1504" s="105" t="n">
        <v>0</v>
      </c>
      <c r="AX1504" s="105" t="n">
        <v>0</v>
      </c>
      <c r="AY1504" s="105" t="n">
        <v>0</v>
      </c>
      <c r="AZ1504" s="105" t="n">
        <v>0</v>
      </c>
      <c r="BA1504" s="105" t="n">
        <v>0</v>
      </c>
      <c r="BB1504" s="105" t="n">
        <v>0</v>
      </c>
      <c r="BC1504" s="105" t="n">
        <v>0</v>
      </c>
      <c r="BD1504" s="105" t="n">
        <v>0</v>
      </c>
      <c r="BE1504" s="105" t="n">
        <v>0</v>
      </c>
      <c r="BF1504" s="105" t="n">
        <v>0</v>
      </c>
      <c r="BG1504" s="105" t="n">
        <v>0</v>
      </c>
      <c r="BH1504" s="105" t="n">
        <v>0</v>
      </c>
      <c r="BI1504" s="105" t="n">
        <v>0</v>
      </c>
      <c r="BJ1504" s="105" t="n">
        <v>0</v>
      </c>
      <c r="BK1504" s="105" t="n">
        <v>0</v>
      </c>
      <c r="BL1504" s="105" t="n">
        <v>0</v>
      </c>
      <c r="BM1504" s="105" t="n">
        <v>0</v>
      </c>
      <c r="BN1504" s="105" t="n">
        <v>0</v>
      </c>
      <c r="BO1504" s="105" t="n">
        <v>0</v>
      </c>
      <c r="BP1504" s="105" t="n">
        <v>0</v>
      </c>
      <c r="BQ1504" s="105" t="n">
        <v>0</v>
      </c>
      <c r="BR1504" s="106" t="n">
        <v>0</v>
      </c>
      <c r="BS1504" s="106" t="n">
        <v>0</v>
      </c>
      <c r="BT1504" s="107"/>
      <c r="BU1504" s="107"/>
      <c r="BV1504" s="107"/>
      <c r="BW1504" s="107"/>
      <c r="BX1504" s="107"/>
      <c r="BY1504" s="107"/>
      <c r="BZ1504" s="107"/>
      <c r="CA1504" s="107"/>
      <c r="CB1504" s="107"/>
      <c r="CC1504" s="107"/>
      <c r="CD1504" s="107"/>
      <c r="CE1504" s="107"/>
      <c r="CF1504" s="107"/>
      <c r="CG1504" s="107"/>
      <c r="CH1504" s="107"/>
      <c r="CI1504" s="107"/>
      <c r="CJ1504" s="107"/>
      <c r="CK1504" s="107"/>
      <c r="CL1504" s="107"/>
      <c r="CM1504" s="107"/>
      <c r="CN1504" s="107"/>
      <c r="CO1504" s="107"/>
      <c r="CP1504" s="107"/>
      <c r="CQ1504" s="107"/>
      <c r="CR1504" s="107"/>
      <c r="CS1504" s="107"/>
      <c r="CT1504" s="107"/>
      <c r="CU1504" s="107"/>
      <c r="CV1504" s="107"/>
    </row>
    <row r="1505" customFormat="false" ht="14.9" hidden="false" customHeight="false" outlineLevel="0" collapsed="false">
      <c r="A1505" s="74" t="n">
        <f aca="false">MONTH(B1505)</f>
        <v>11</v>
      </c>
      <c r="B1505" s="135" t="n">
        <v>44530</v>
      </c>
      <c r="C1505" s="128" t="s">
        <v>70</v>
      </c>
      <c r="D1505" s="77" t="str">
        <f aca="false">IFERROR(VLOOKUP(E:E,'Item Data Support Sheet'!A:O,7,0),"")</f>
        <v>NIPPLE PUNCH</v>
      </c>
      <c r="E1505" s="80" t="s">
        <v>666</v>
      </c>
      <c r="F1505" s="122"/>
      <c r="G1505" s="137" t="s">
        <v>54</v>
      </c>
      <c r="H1505" s="79" t="str">
        <f aca="false">IFERROR(VLOOKUP(E:E,'Item Data Support Sheet'!A:O,2,0),"")</f>
        <v>NIPPLE S TYPE L SIZE PUNCHED</v>
      </c>
      <c r="I1505" s="80" t="s">
        <v>2295</v>
      </c>
      <c r="J1505" s="80" t="s">
        <v>155</v>
      </c>
      <c r="K1505" s="124" t="n">
        <v>8</v>
      </c>
      <c r="L1505" s="124" t="n">
        <v>7000</v>
      </c>
      <c r="M1505" s="83" t="n">
        <v>875</v>
      </c>
      <c r="N1505" s="84" t="n">
        <f aca="false">+O1505+Q1505+T1505+U1505</f>
        <v>7000</v>
      </c>
      <c r="O1505" s="85" t="n">
        <v>7000</v>
      </c>
      <c r="P1505" s="86" t="n">
        <v>0</v>
      </c>
      <c r="Q1505" s="86" t="n">
        <v>0</v>
      </c>
      <c r="R1505" s="132" t="n">
        <v>0</v>
      </c>
      <c r="S1505" s="128" t="n">
        <v>0</v>
      </c>
      <c r="T1505" s="132" t="n">
        <v>0</v>
      </c>
      <c r="U1505" s="128" t="n">
        <v>0</v>
      </c>
      <c r="V1505" s="128" t="n">
        <v>1</v>
      </c>
      <c r="W1505" s="90" t="n">
        <f aca="false">IFERROR(O1505/V1505,0)</f>
        <v>7000</v>
      </c>
      <c r="X1505" s="91" t="n">
        <f aca="false">O1505/L1505</f>
        <v>1</v>
      </c>
      <c r="Y1505" s="92" t="str">
        <f aca="false">IFERROR(VLOOKUP(E:E,'Item Data Support Sheet'!A:J,6,0),0)</f>
        <v>FO017</v>
      </c>
      <c r="Z1505" s="93" t="n">
        <f aca="false">IFERROR(VLOOKUP(E:E,'Item Data Support Sheet'!A:O,4,0),0)</f>
        <v>0</v>
      </c>
      <c r="AA1505" s="93" t="n">
        <f aca="false">IFERROR(((N1505)*(Z1505/1000))+P1505,0)</f>
        <v>0</v>
      </c>
      <c r="AB1505" s="94" t="str">
        <f aca="false">IFERROR((O1505*(Z1505/1000)/(AA1505))," ")</f>
        <v> </v>
      </c>
      <c r="AC1505" s="95" t="n">
        <f aca="false">IFERROR((T1505)/((T1505)+O1505),0)</f>
        <v>0</v>
      </c>
      <c r="AD1505" s="96" t="n">
        <f aca="false">IFERROR(Q1505/(Q1505+N1505),0)</f>
        <v>0</v>
      </c>
      <c r="AE1505" s="91" t="n">
        <f aca="false">(N1505-T1505)/N1505</f>
        <v>1</v>
      </c>
      <c r="AF1505" s="97" t="n">
        <f aca="false">BR1505</f>
        <v>0.666666666666667</v>
      </c>
      <c r="AG1505" s="98" t="n">
        <f aca="false">K1505-AF1505</f>
        <v>7.33333333333333</v>
      </c>
      <c r="AH1505" s="99" t="n">
        <f aca="false">IFERROR(AG1505/K1505," ")</f>
        <v>0.916666666666667</v>
      </c>
      <c r="AI1505" s="100" t="n">
        <f aca="false">IFERROR(O1505/K1505,0)</f>
        <v>875</v>
      </c>
      <c r="AJ1505" s="101" t="n">
        <f aca="false">VLOOKUP(D1505,'Standard Cycle time'!C:D,2,0)</f>
        <v>3.5</v>
      </c>
      <c r="AK1505" s="101" t="n">
        <f aca="false">AG1505*V1505*3600/O1505</f>
        <v>3.77142857142857</v>
      </c>
      <c r="AL1505" s="102" t="n">
        <f aca="false">AJ1505/AK1505</f>
        <v>0.928030303030303</v>
      </c>
      <c r="AM1505" s="99" t="n">
        <f aca="false">AE1505*AL1505*AH1505</f>
        <v>0.850694444444444</v>
      </c>
      <c r="AN1505" s="103" t="n">
        <v>0.850694444444444</v>
      </c>
      <c r="AO1505" s="112"/>
      <c r="AP1505" s="105" t="n">
        <v>40</v>
      </c>
      <c r="AQ1505" s="105" t="n">
        <v>0</v>
      </c>
      <c r="AR1505" s="105" t="n">
        <v>0</v>
      </c>
      <c r="AS1505" s="105" t="n">
        <v>0</v>
      </c>
      <c r="AT1505" s="105" t="n">
        <v>0</v>
      </c>
      <c r="AU1505" s="105" t="n">
        <v>0</v>
      </c>
      <c r="AV1505" s="105" t="n">
        <v>0</v>
      </c>
      <c r="AW1505" s="105" t="n">
        <v>0</v>
      </c>
      <c r="AX1505" s="105" t="n">
        <v>0</v>
      </c>
      <c r="AY1505" s="105" t="n">
        <v>0</v>
      </c>
      <c r="AZ1505" s="105" t="n">
        <v>0</v>
      </c>
      <c r="BA1505" s="105" t="n">
        <v>0</v>
      </c>
      <c r="BB1505" s="105" t="n">
        <v>0</v>
      </c>
      <c r="BC1505" s="105" t="n">
        <v>0</v>
      </c>
      <c r="BD1505" s="105" t="n">
        <v>0</v>
      </c>
      <c r="BE1505" s="105" t="n">
        <v>0</v>
      </c>
      <c r="BF1505" s="105" t="n">
        <v>0</v>
      </c>
      <c r="BG1505" s="105" t="n">
        <v>0</v>
      </c>
      <c r="BH1505" s="105" t="n">
        <v>0</v>
      </c>
      <c r="BI1505" s="105" t="n">
        <v>0</v>
      </c>
      <c r="BJ1505" s="105" t="n">
        <v>0</v>
      </c>
      <c r="BK1505" s="105" t="n">
        <v>0</v>
      </c>
      <c r="BL1505" s="105" t="n">
        <v>0</v>
      </c>
      <c r="BM1505" s="105" t="n">
        <v>0</v>
      </c>
      <c r="BN1505" s="105" t="n">
        <v>0</v>
      </c>
      <c r="BO1505" s="105" t="n">
        <v>0</v>
      </c>
      <c r="BP1505" s="105" t="n">
        <v>0</v>
      </c>
      <c r="BQ1505" s="105" t="n">
        <v>0</v>
      </c>
      <c r="BR1505" s="106" t="n">
        <v>0.666666666666667</v>
      </c>
      <c r="BS1505" s="106" t="n">
        <v>0.666666666666667</v>
      </c>
      <c r="BT1505" s="107"/>
      <c r="BU1505" s="107"/>
      <c r="BV1505" s="107"/>
      <c r="BW1505" s="107"/>
      <c r="BX1505" s="107"/>
      <c r="BY1505" s="107"/>
      <c r="BZ1505" s="107"/>
      <c r="CA1505" s="107"/>
      <c r="CB1505" s="107"/>
      <c r="CC1505" s="107"/>
      <c r="CD1505" s="107"/>
      <c r="CE1505" s="107"/>
      <c r="CF1505" s="107"/>
      <c r="CG1505" s="107"/>
      <c r="CH1505" s="107"/>
      <c r="CI1505" s="107"/>
      <c r="CJ1505" s="107"/>
      <c r="CK1505" s="107"/>
      <c r="CL1505" s="107"/>
      <c r="CM1505" s="107"/>
      <c r="CN1505" s="107"/>
      <c r="CO1505" s="107"/>
      <c r="CP1505" s="107"/>
      <c r="CQ1505" s="107"/>
      <c r="CR1505" s="107"/>
      <c r="CS1505" s="107"/>
      <c r="CT1505" s="107"/>
      <c r="CU1505" s="107"/>
      <c r="CV1505" s="107"/>
    </row>
    <row r="1506" customFormat="false" ht="14.9" hidden="false" customHeight="false" outlineLevel="0" collapsed="false">
      <c r="A1506" s="74" t="n">
        <f aca="false">MONTH(B1506)</f>
        <v>11</v>
      </c>
      <c r="B1506" s="135" t="n">
        <v>44530</v>
      </c>
      <c r="C1506" s="128" t="s">
        <v>70</v>
      </c>
      <c r="D1506" s="77" t="str">
        <f aca="false">IFERROR(VLOOKUP(E:E,'Item Data Support Sheet'!A:O,7,0),"")</f>
        <v>NIPPLE LASER MARKING</v>
      </c>
      <c r="E1506" s="80" t="s">
        <v>681</v>
      </c>
      <c r="F1506" s="122"/>
      <c r="G1506" s="137" t="s">
        <v>517</v>
      </c>
      <c r="H1506" s="79" t="str">
        <f aca="false">IFERROR(VLOOKUP(E:E,'Item Data Support Sheet'!A:O,2,0),"")</f>
        <v>NIPPLE S TYPE L SIZE PUNCHED LASER MARKED</v>
      </c>
      <c r="I1506" s="80" t="s">
        <v>2288</v>
      </c>
      <c r="J1506" s="80" t="s">
        <v>155</v>
      </c>
      <c r="K1506" s="124" t="n">
        <v>8</v>
      </c>
      <c r="L1506" s="124" t="n">
        <v>7000</v>
      </c>
      <c r="M1506" s="83" t="n">
        <v>875</v>
      </c>
      <c r="N1506" s="84" t="n">
        <f aca="false">+O1506+Q1506+T1506+U1506</f>
        <v>7000</v>
      </c>
      <c r="O1506" s="85" t="n">
        <v>7000</v>
      </c>
      <c r="P1506" s="86" t="n">
        <v>0</v>
      </c>
      <c r="Q1506" s="86" t="n">
        <v>0</v>
      </c>
      <c r="R1506" s="132" t="n">
        <v>0</v>
      </c>
      <c r="S1506" s="128" t="n">
        <v>0</v>
      </c>
      <c r="T1506" s="132" t="n">
        <v>0</v>
      </c>
      <c r="U1506" s="128" t="n">
        <v>0</v>
      </c>
      <c r="V1506" s="128" t="n">
        <v>1</v>
      </c>
      <c r="W1506" s="90" t="n">
        <f aca="false">IFERROR(O1506/V1506,0)</f>
        <v>7000</v>
      </c>
      <c r="X1506" s="91" t="n">
        <f aca="false">O1506/L1506</f>
        <v>1</v>
      </c>
      <c r="Y1506" s="92" t="str">
        <f aca="false">IFERROR(VLOOKUP(E:E,'Item Data Support Sheet'!A:J,6,0),0)</f>
        <v>FO021</v>
      </c>
      <c r="Z1506" s="93" t="n">
        <f aca="false">IFERROR(VLOOKUP(E:E,'Item Data Support Sheet'!A:O,4,0),0)</f>
        <v>0</v>
      </c>
      <c r="AA1506" s="93" t="n">
        <f aca="false">IFERROR(((N1506)*(Z1506/1000))+P1506,0)</f>
        <v>0</v>
      </c>
      <c r="AB1506" s="94" t="str">
        <f aca="false">IFERROR((O1506*(Z1506/1000)/(AA1506))," ")</f>
        <v> </v>
      </c>
      <c r="AC1506" s="95" t="n">
        <f aca="false">IFERROR((T1506)/((T1506)+O1506),0)</f>
        <v>0</v>
      </c>
      <c r="AD1506" s="96" t="n">
        <f aca="false">IFERROR(Q1506/(Q1506+N1506),0)</f>
        <v>0</v>
      </c>
      <c r="AE1506" s="91" t="n">
        <f aca="false">(N1506-T1506)/N1506</f>
        <v>1</v>
      </c>
      <c r="AF1506" s="97" t="n">
        <f aca="false">BR1506</f>
        <v>0.666666666666667</v>
      </c>
      <c r="AG1506" s="98" t="n">
        <f aca="false">K1506-AF1506</f>
        <v>7.33333333333333</v>
      </c>
      <c r="AH1506" s="99" t="n">
        <f aca="false">IFERROR(AG1506/K1506," ")</f>
        <v>0.916666666666667</v>
      </c>
      <c r="AI1506" s="100" t="n">
        <f aca="false">IFERROR(O1506/K1506,0)</f>
        <v>875</v>
      </c>
      <c r="AJ1506" s="101" t="n">
        <f aca="false">VLOOKUP(D1506,'Standard Cycle time'!C:D,2,0)</f>
        <v>3.5</v>
      </c>
      <c r="AK1506" s="101" t="n">
        <f aca="false">AG1506*V1506*3600/O1506</f>
        <v>3.77142857142857</v>
      </c>
      <c r="AL1506" s="102" t="n">
        <f aca="false">AJ1506/AK1506</f>
        <v>0.928030303030303</v>
      </c>
      <c r="AM1506" s="99" t="n">
        <f aca="false">AE1506*AL1506*AH1506</f>
        <v>0.850694444444444</v>
      </c>
      <c r="AN1506" s="103" t="n">
        <v>0.850694444444444</v>
      </c>
      <c r="AO1506" s="112"/>
      <c r="AP1506" s="105" t="n">
        <v>40</v>
      </c>
      <c r="AQ1506" s="105" t="n">
        <v>0</v>
      </c>
      <c r="AR1506" s="105" t="n">
        <v>0</v>
      </c>
      <c r="AS1506" s="105" t="n">
        <v>0</v>
      </c>
      <c r="AT1506" s="105" t="n">
        <v>0</v>
      </c>
      <c r="AU1506" s="105" t="n">
        <v>0</v>
      </c>
      <c r="AV1506" s="105" t="n">
        <v>0</v>
      </c>
      <c r="AW1506" s="105" t="n">
        <v>0</v>
      </c>
      <c r="AX1506" s="105" t="n">
        <v>0</v>
      </c>
      <c r="AY1506" s="105" t="n">
        <v>0</v>
      </c>
      <c r="AZ1506" s="105" t="n">
        <v>0</v>
      </c>
      <c r="BA1506" s="105" t="n">
        <v>0</v>
      </c>
      <c r="BB1506" s="105" t="n">
        <v>0</v>
      </c>
      <c r="BC1506" s="105" t="n">
        <v>0</v>
      </c>
      <c r="BD1506" s="105" t="n">
        <v>0</v>
      </c>
      <c r="BE1506" s="105" t="n">
        <v>0</v>
      </c>
      <c r="BF1506" s="105" t="n">
        <v>0</v>
      </c>
      <c r="BG1506" s="105" t="n">
        <v>0</v>
      </c>
      <c r="BH1506" s="105" t="n">
        <v>0</v>
      </c>
      <c r="BI1506" s="105" t="n">
        <v>0</v>
      </c>
      <c r="BJ1506" s="105" t="n">
        <v>0</v>
      </c>
      <c r="BK1506" s="105" t="n">
        <v>0</v>
      </c>
      <c r="BL1506" s="105" t="n">
        <v>0</v>
      </c>
      <c r="BM1506" s="105" t="n">
        <v>0</v>
      </c>
      <c r="BN1506" s="105" t="n">
        <v>0</v>
      </c>
      <c r="BO1506" s="105" t="n">
        <v>0</v>
      </c>
      <c r="BP1506" s="105" t="n">
        <v>0</v>
      </c>
      <c r="BQ1506" s="105" t="n">
        <v>0</v>
      </c>
      <c r="BR1506" s="106" t="n">
        <v>0.666666666666667</v>
      </c>
      <c r="BS1506" s="106" t="n">
        <v>0.666666666666667</v>
      </c>
      <c r="BT1506" s="107"/>
      <c r="BU1506" s="107"/>
      <c r="BV1506" s="107"/>
      <c r="BW1506" s="107"/>
      <c r="BX1506" s="107"/>
      <c r="BY1506" s="107"/>
      <c r="BZ1506" s="107"/>
      <c r="CA1506" s="107"/>
      <c r="CB1506" s="107"/>
      <c r="CC1506" s="107"/>
      <c r="CD1506" s="107"/>
      <c r="CE1506" s="107"/>
      <c r="CF1506" s="107"/>
      <c r="CG1506" s="107"/>
      <c r="CH1506" s="107"/>
      <c r="CI1506" s="107"/>
      <c r="CJ1506" s="107"/>
      <c r="CK1506" s="107"/>
      <c r="CL1506" s="107"/>
      <c r="CM1506" s="107"/>
      <c r="CN1506" s="107"/>
      <c r="CO1506" s="107"/>
      <c r="CP1506" s="107"/>
      <c r="CQ1506" s="107"/>
      <c r="CR1506" s="107"/>
      <c r="CS1506" s="107"/>
      <c r="CT1506" s="107"/>
      <c r="CU1506" s="107"/>
      <c r="CV1506" s="107"/>
    </row>
    <row r="1507" customFormat="false" ht="14.9" hidden="false" customHeight="false" outlineLevel="0" collapsed="false">
      <c r="A1507" s="74" t="n">
        <f aca="false">MONTH(B1507)</f>
        <v>11</v>
      </c>
      <c r="B1507" s="135" t="n">
        <v>44530</v>
      </c>
      <c r="C1507" s="128" t="s">
        <v>152</v>
      </c>
      <c r="D1507" s="77" t="str">
        <f aca="false">IFERROR(VLOOKUP(E:E,'Item Data Support Sheet'!A:O,7,0),"")</f>
        <v>NIPPLE PUNCH</v>
      </c>
      <c r="E1507" s="80" t="s">
        <v>666</v>
      </c>
      <c r="F1507" s="122"/>
      <c r="G1507" s="137" t="s">
        <v>54</v>
      </c>
      <c r="H1507" s="79" t="str">
        <f aca="false">IFERROR(VLOOKUP(E:E,'Item Data Support Sheet'!A:O,2,0),"")</f>
        <v>NIPPLE S TYPE L SIZE PUNCHED</v>
      </c>
      <c r="I1507" s="80" t="s">
        <v>2296</v>
      </c>
      <c r="J1507" s="80" t="s">
        <v>1913</v>
      </c>
      <c r="K1507" s="124" t="n">
        <v>8</v>
      </c>
      <c r="L1507" s="124" t="n">
        <v>7000</v>
      </c>
      <c r="M1507" s="83" t="n">
        <v>875</v>
      </c>
      <c r="N1507" s="84" t="n">
        <f aca="false">+O1507+Q1507+T1507+U1507</f>
        <v>6900</v>
      </c>
      <c r="O1507" s="85" t="n">
        <v>6900</v>
      </c>
      <c r="P1507" s="86" t="n">
        <v>0</v>
      </c>
      <c r="Q1507" s="86" t="n">
        <v>0</v>
      </c>
      <c r="R1507" s="132" t="n">
        <v>0</v>
      </c>
      <c r="S1507" s="128" t="n">
        <v>0</v>
      </c>
      <c r="T1507" s="132" t="n">
        <v>0</v>
      </c>
      <c r="U1507" s="128" t="n">
        <v>0</v>
      </c>
      <c r="V1507" s="128" t="n">
        <v>1</v>
      </c>
      <c r="W1507" s="90" t="n">
        <f aca="false">IFERROR(O1507/V1507,0)</f>
        <v>6900</v>
      </c>
      <c r="X1507" s="91" t="n">
        <f aca="false">O1507/L1507</f>
        <v>0.985714285714286</v>
      </c>
      <c r="Y1507" s="92" t="str">
        <f aca="false">IFERROR(VLOOKUP(E:E,'Item Data Support Sheet'!A:J,6,0),0)</f>
        <v>FO017</v>
      </c>
      <c r="Z1507" s="93" t="n">
        <f aca="false">IFERROR(VLOOKUP(E:E,'Item Data Support Sheet'!A:O,4,0),0)</f>
        <v>0</v>
      </c>
      <c r="AA1507" s="93" t="n">
        <f aca="false">IFERROR(((N1507)*(Z1507/1000))+P1507,0)</f>
        <v>0</v>
      </c>
      <c r="AB1507" s="94" t="str">
        <f aca="false">IFERROR((O1507*(Z1507/1000)/(AA1507))," ")</f>
        <v> </v>
      </c>
      <c r="AC1507" s="95" t="n">
        <f aca="false">IFERROR((T1507)/((T1507)+O1507),0)</f>
        <v>0</v>
      </c>
      <c r="AD1507" s="96" t="n">
        <f aca="false">IFERROR(Q1507/(Q1507+N1507),0)</f>
        <v>0</v>
      </c>
      <c r="AE1507" s="91" t="n">
        <f aca="false">(N1507-T1507)/N1507</f>
        <v>1</v>
      </c>
      <c r="AF1507" s="97" t="n">
        <f aca="false">BR1507</f>
        <v>0.333333333333333</v>
      </c>
      <c r="AG1507" s="98" t="n">
        <f aca="false">K1507-AF1507</f>
        <v>7.66666666666667</v>
      </c>
      <c r="AH1507" s="99" t="n">
        <f aca="false">IFERROR(AG1507/K1507," ")</f>
        <v>0.958333333333333</v>
      </c>
      <c r="AI1507" s="100" t="n">
        <f aca="false">IFERROR(O1507/K1507,0)</f>
        <v>862.5</v>
      </c>
      <c r="AJ1507" s="101" t="n">
        <f aca="false">VLOOKUP(D1507,'Standard Cycle time'!C:D,2,0)</f>
        <v>3.5</v>
      </c>
      <c r="AK1507" s="101" t="n">
        <f aca="false">AG1507*V1507*3600/O1507</f>
        <v>4</v>
      </c>
      <c r="AL1507" s="102" t="n">
        <f aca="false">AJ1507/AK1507</f>
        <v>0.875</v>
      </c>
      <c r="AM1507" s="99" t="n">
        <f aca="false">AE1507*AL1507*AH1507</f>
        <v>0.838541666666667</v>
      </c>
      <c r="AN1507" s="103" t="n">
        <v>0.838541666666667</v>
      </c>
      <c r="AO1507" s="112"/>
      <c r="AP1507" s="105" t="n">
        <v>20</v>
      </c>
      <c r="AQ1507" s="105" t="n">
        <v>0</v>
      </c>
      <c r="AR1507" s="105" t="n">
        <v>0</v>
      </c>
      <c r="AS1507" s="105" t="n">
        <v>0</v>
      </c>
      <c r="AT1507" s="105" t="n">
        <v>0</v>
      </c>
      <c r="AU1507" s="105" t="n">
        <v>0</v>
      </c>
      <c r="AV1507" s="105" t="n">
        <v>0</v>
      </c>
      <c r="AW1507" s="105" t="n">
        <v>0</v>
      </c>
      <c r="AX1507" s="105" t="n">
        <v>0</v>
      </c>
      <c r="AY1507" s="105" t="n">
        <v>0</v>
      </c>
      <c r="AZ1507" s="105" t="n">
        <v>0</v>
      </c>
      <c r="BA1507" s="105" t="n">
        <v>0</v>
      </c>
      <c r="BB1507" s="105" t="n">
        <v>0</v>
      </c>
      <c r="BC1507" s="105" t="n">
        <v>0</v>
      </c>
      <c r="BD1507" s="105" t="n">
        <v>0</v>
      </c>
      <c r="BE1507" s="105" t="n">
        <v>0</v>
      </c>
      <c r="BF1507" s="105" t="n">
        <v>0</v>
      </c>
      <c r="BG1507" s="105" t="n">
        <v>0</v>
      </c>
      <c r="BH1507" s="105" t="n">
        <v>0</v>
      </c>
      <c r="BI1507" s="105" t="n">
        <v>0</v>
      </c>
      <c r="BJ1507" s="105" t="n">
        <v>0</v>
      </c>
      <c r="BK1507" s="105" t="n">
        <v>0</v>
      </c>
      <c r="BL1507" s="105" t="n">
        <v>0</v>
      </c>
      <c r="BM1507" s="105" t="n">
        <v>0</v>
      </c>
      <c r="BN1507" s="105" t="n">
        <v>0</v>
      </c>
      <c r="BO1507" s="105" t="n">
        <v>0</v>
      </c>
      <c r="BP1507" s="105" t="n">
        <v>0</v>
      </c>
      <c r="BQ1507" s="105" t="n">
        <v>0</v>
      </c>
      <c r="BR1507" s="106" t="n">
        <v>0.333333333333333</v>
      </c>
      <c r="BS1507" s="106" t="n">
        <v>0.333333333333333</v>
      </c>
      <c r="BT1507" s="107"/>
      <c r="BU1507" s="107"/>
      <c r="BV1507" s="107"/>
      <c r="BW1507" s="107"/>
      <c r="BX1507" s="107"/>
      <c r="BY1507" s="107"/>
      <c r="BZ1507" s="107"/>
      <c r="CA1507" s="107"/>
      <c r="CB1507" s="107"/>
      <c r="CC1507" s="107"/>
      <c r="CD1507" s="107"/>
      <c r="CE1507" s="107"/>
      <c r="CF1507" s="107"/>
      <c r="CG1507" s="107"/>
      <c r="CH1507" s="107"/>
      <c r="CI1507" s="107"/>
      <c r="CJ1507" s="107"/>
      <c r="CK1507" s="107"/>
      <c r="CL1507" s="107"/>
      <c r="CM1507" s="107"/>
      <c r="CN1507" s="107"/>
      <c r="CO1507" s="107"/>
      <c r="CP1507" s="107"/>
      <c r="CQ1507" s="107"/>
      <c r="CR1507" s="107"/>
      <c r="CS1507" s="107"/>
      <c r="CT1507" s="107"/>
      <c r="CU1507" s="107"/>
      <c r="CV1507" s="107"/>
    </row>
    <row r="1508" customFormat="false" ht="14.9" hidden="false" customHeight="false" outlineLevel="0" collapsed="false">
      <c r="A1508" s="74" t="n">
        <f aca="false">MONTH(B1508)</f>
        <v>11</v>
      </c>
      <c r="B1508" s="135" t="n">
        <v>44530</v>
      </c>
      <c r="C1508" s="128" t="s">
        <v>152</v>
      </c>
      <c r="D1508" s="77" t="str">
        <f aca="false">IFERROR(VLOOKUP(E:E,'Item Data Support Sheet'!A:O,7,0),"")</f>
        <v>NIPPLE LASER MARKING</v>
      </c>
      <c r="E1508" s="80" t="s">
        <v>681</v>
      </c>
      <c r="F1508" s="122"/>
      <c r="G1508" s="137" t="s">
        <v>517</v>
      </c>
      <c r="H1508" s="79" t="str">
        <f aca="false">IFERROR(VLOOKUP(E:E,'Item Data Support Sheet'!A:O,2,0),"")</f>
        <v>NIPPLE S TYPE L SIZE PUNCHED LASER MARKED</v>
      </c>
      <c r="I1508" s="80" t="s">
        <v>2297</v>
      </c>
      <c r="J1508" s="80" t="s">
        <v>1913</v>
      </c>
      <c r="K1508" s="124" t="n">
        <v>8</v>
      </c>
      <c r="L1508" s="124" t="n">
        <v>7000</v>
      </c>
      <c r="M1508" s="83" t="n">
        <v>875</v>
      </c>
      <c r="N1508" s="84" t="n">
        <f aca="false">+O1508+Q1508+T1508+U1508</f>
        <v>6200</v>
      </c>
      <c r="O1508" s="85" t="n">
        <v>6200</v>
      </c>
      <c r="P1508" s="86" t="n">
        <v>0</v>
      </c>
      <c r="Q1508" s="86" t="n">
        <v>0</v>
      </c>
      <c r="R1508" s="132" t="n">
        <v>0</v>
      </c>
      <c r="S1508" s="128" t="n">
        <v>0</v>
      </c>
      <c r="T1508" s="132" t="n">
        <v>0</v>
      </c>
      <c r="U1508" s="128" t="n">
        <v>0</v>
      </c>
      <c r="V1508" s="128" t="n">
        <v>1</v>
      </c>
      <c r="W1508" s="90" t="n">
        <f aca="false">IFERROR(O1508/V1508,0)</f>
        <v>6200</v>
      </c>
      <c r="X1508" s="91" t="n">
        <f aca="false">O1508/L1508</f>
        <v>0.885714285714286</v>
      </c>
      <c r="Y1508" s="92" t="str">
        <f aca="false">IFERROR(VLOOKUP(E:E,'Item Data Support Sheet'!A:J,6,0),0)</f>
        <v>FO021</v>
      </c>
      <c r="Z1508" s="93" t="n">
        <f aca="false">IFERROR(VLOOKUP(E:E,'Item Data Support Sheet'!A:O,4,0),0)</f>
        <v>0</v>
      </c>
      <c r="AA1508" s="93" t="n">
        <f aca="false">IFERROR(((N1508)*(Z1508/1000))+P1508,0)</f>
        <v>0</v>
      </c>
      <c r="AB1508" s="94" t="str">
        <f aca="false">IFERROR((O1508*(Z1508/1000)/(AA1508))," ")</f>
        <v> </v>
      </c>
      <c r="AC1508" s="95" t="n">
        <f aca="false">IFERROR((T1508)/((T1508)+O1508),0)</f>
        <v>0</v>
      </c>
      <c r="AD1508" s="96" t="n">
        <f aca="false">IFERROR(Q1508/(Q1508+N1508),0)</f>
        <v>0</v>
      </c>
      <c r="AE1508" s="91" t="n">
        <f aca="false">(N1508-T1508)/N1508</f>
        <v>1</v>
      </c>
      <c r="AF1508" s="97" t="n">
        <f aca="false">BR1508</f>
        <v>0.333333333333333</v>
      </c>
      <c r="AG1508" s="98" t="n">
        <f aca="false">K1508-AF1508</f>
        <v>7.66666666666667</v>
      </c>
      <c r="AH1508" s="99" t="n">
        <f aca="false">IFERROR(AG1508/K1508," ")</f>
        <v>0.958333333333333</v>
      </c>
      <c r="AI1508" s="100" t="n">
        <f aca="false">IFERROR(O1508/K1508,0)</f>
        <v>775</v>
      </c>
      <c r="AJ1508" s="101" t="n">
        <f aca="false">VLOOKUP(D1508,'Standard Cycle time'!C:D,2,0)</f>
        <v>3.5</v>
      </c>
      <c r="AK1508" s="101" t="n">
        <f aca="false">AG1508*V1508*3600/O1508</f>
        <v>4.45161290322581</v>
      </c>
      <c r="AL1508" s="102" t="n">
        <f aca="false">AJ1508/AK1508</f>
        <v>0.786231884057971</v>
      </c>
      <c r="AM1508" s="99" t="n">
        <f aca="false">AE1508*AL1508*AH1508</f>
        <v>0.753472222222222</v>
      </c>
      <c r="AN1508" s="103" t="n">
        <v>0.753472222222222</v>
      </c>
      <c r="AO1508" s="112"/>
      <c r="AP1508" s="105" t="n">
        <v>20</v>
      </c>
      <c r="AQ1508" s="105" t="n">
        <v>0</v>
      </c>
      <c r="AR1508" s="105" t="n">
        <v>0</v>
      </c>
      <c r="AS1508" s="105" t="n">
        <v>0</v>
      </c>
      <c r="AT1508" s="105" t="n">
        <v>0</v>
      </c>
      <c r="AU1508" s="105" t="n">
        <v>0</v>
      </c>
      <c r="AV1508" s="105" t="n">
        <v>0</v>
      </c>
      <c r="AW1508" s="105" t="n">
        <v>0</v>
      </c>
      <c r="AX1508" s="105" t="n">
        <v>0</v>
      </c>
      <c r="AY1508" s="105" t="n">
        <v>0</v>
      </c>
      <c r="AZ1508" s="105" t="n">
        <v>0</v>
      </c>
      <c r="BA1508" s="105" t="n">
        <v>0</v>
      </c>
      <c r="BB1508" s="105" t="n">
        <v>0</v>
      </c>
      <c r="BC1508" s="105" t="n">
        <v>0</v>
      </c>
      <c r="BD1508" s="105" t="n">
        <v>0</v>
      </c>
      <c r="BE1508" s="105" t="n">
        <v>0</v>
      </c>
      <c r="BF1508" s="105" t="n">
        <v>0</v>
      </c>
      <c r="BG1508" s="105" t="n">
        <v>0</v>
      </c>
      <c r="BH1508" s="105" t="n">
        <v>0</v>
      </c>
      <c r="BI1508" s="105" t="n">
        <v>0</v>
      </c>
      <c r="BJ1508" s="105" t="n">
        <v>0</v>
      </c>
      <c r="BK1508" s="105" t="n">
        <v>0</v>
      </c>
      <c r="BL1508" s="105" t="n">
        <v>0</v>
      </c>
      <c r="BM1508" s="105" t="n">
        <v>0</v>
      </c>
      <c r="BN1508" s="105" t="n">
        <v>0</v>
      </c>
      <c r="BO1508" s="105" t="n">
        <v>0</v>
      </c>
      <c r="BP1508" s="105" t="n">
        <v>0</v>
      </c>
      <c r="BQ1508" s="105" t="n">
        <v>0</v>
      </c>
      <c r="BR1508" s="106" t="n">
        <v>0.333333333333333</v>
      </c>
      <c r="BS1508" s="106" t="n">
        <v>0.333333333333333</v>
      </c>
      <c r="BT1508" s="107"/>
      <c r="BU1508" s="107"/>
      <c r="BV1508" s="107"/>
      <c r="BW1508" s="107"/>
      <c r="BX1508" s="107"/>
      <c r="BY1508" s="107"/>
      <c r="BZ1508" s="107"/>
      <c r="CA1508" s="107"/>
      <c r="CB1508" s="107"/>
      <c r="CC1508" s="107"/>
      <c r="CD1508" s="107"/>
      <c r="CE1508" s="107"/>
      <c r="CF1508" s="107"/>
      <c r="CG1508" s="107"/>
      <c r="CH1508" s="107"/>
      <c r="CI1508" s="107"/>
      <c r="CJ1508" s="107"/>
      <c r="CK1508" s="107"/>
      <c r="CL1508" s="107"/>
      <c r="CM1508" s="107"/>
      <c r="CN1508" s="107"/>
      <c r="CO1508" s="107"/>
      <c r="CP1508" s="107"/>
      <c r="CQ1508" s="107"/>
      <c r="CR1508" s="107"/>
      <c r="CS1508" s="107"/>
      <c r="CT1508" s="107"/>
      <c r="CU1508" s="107"/>
      <c r="CV1508" s="107"/>
    </row>
    <row r="1509" customFormat="false" ht="14.9" hidden="false" customHeight="false" outlineLevel="0" collapsed="false">
      <c r="A1509" s="74" t="n">
        <f aca="false">MONTH(B1509)</f>
        <v>11</v>
      </c>
      <c r="B1509" s="135" t="n">
        <v>44530</v>
      </c>
      <c r="C1509" s="128" t="s">
        <v>152</v>
      </c>
      <c r="D1509" s="77" t="str">
        <f aca="false">IFERROR(VLOOKUP(E:E,'Item Data Support Sheet'!A:O,7,0),"")</f>
        <v>NIPPLE MOLDED</v>
      </c>
      <c r="E1509" s="80" t="s">
        <v>244</v>
      </c>
      <c r="F1509" s="122" t="s">
        <v>137</v>
      </c>
      <c r="G1509" s="137" t="s">
        <v>138</v>
      </c>
      <c r="H1509" s="79" t="str">
        <f aca="false">IFERROR(VLOOKUP(E:E,'Item Data Support Sheet'!A:O,2,0),"")</f>
        <v>NIPPLE S TYPE S SIZE INJECTION</v>
      </c>
      <c r="I1509" s="80" t="s">
        <v>2298</v>
      </c>
      <c r="J1509" s="80" t="s">
        <v>1913</v>
      </c>
      <c r="K1509" s="124" t="n">
        <v>8</v>
      </c>
      <c r="L1509" s="124" t="n">
        <v>4815</v>
      </c>
      <c r="M1509" s="83" t="n">
        <v>601.875</v>
      </c>
      <c r="N1509" s="84" t="n">
        <f aca="false">+O1509+Q1509+T1509+U1509</f>
        <v>5401</v>
      </c>
      <c r="O1509" s="85" t="n">
        <v>5300</v>
      </c>
      <c r="P1509" s="86" t="n">
        <v>0</v>
      </c>
      <c r="Q1509" s="86" t="n">
        <v>30</v>
      </c>
      <c r="R1509" s="132" t="n">
        <v>0</v>
      </c>
      <c r="S1509" s="128" t="n">
        <v>0</v>
      </c>
      <c r="T1509" s="132" t="n">
        <v>55</v>
      </c>
      <c r="U1509" s="128" t="n">
        <v>16</v>
      </c>
      <c r="V1509" s="128" t="n">
        <v>1</v>
      </c>
      <c r="W1509" s="90" t="n">
        <f aca="false">IFERROR(O1509/V1509,0)</f>
        <v>5300</v>
      </c>
      <c r="X1509" s="91" t="n">
        <f aca="false">O1509/L1509</f>
        <v>1.10072689511942</v>
      </c>
      <c r="Y1509" s="92" t="str">
        <f aca="false">IFERROR(VLOOKUP(E:E,'Item Data Support Sheet'!A:J,6,0),0)</f>
        <v>Silicon</v>
      </c>
      <c r="Z1509" s="93" t="n">
        <f aca="false">IFERROR(VLOOKUP(E:E,'Item Data Support Sheet'!A:O,4,0),0)</f>
        <v>6.8</v>
      </c>
      <c r="AA1509" s="93" t="n">
        <f aca="false">IFERROR(((N1509)*(Z1509/1000))+P1509,0)</f>
        <v>36.7268</v>
      </c>
      <c r="AB1509" s="94" t="n">
        <f aca="false">IFERROR((O1509*(Z1509/1000)/(AA1509))," ")</f>
        <v>0.981299759303833</v>
      </c>
      <c r="AC1509" s="95" t="n">
        <f aca="false">IFERROR((T1509)/((T1509)+O1509),0)</f>
        <v>0.0102707749766573</v>
      </c>
      <c r="AD1509" s="96" t="n">
        <f aca="false">IFERROR(Q1509/(Q1509+N1509),0)</f>
        <v>0.0055238445958387</v>
      </c>
      <c r="AE1509" s="91" t="n">
        <f aca="false">(N1509-T1509)/N1509</f>
        <v>0.989816700610998</v>
      </c>
      <c r="AF1509" s="97" t="n">
        <f aca="false">BR1509</f>
        <v>0</v>
      </c>
      <c r="AG1509" s="98" t="n">
        <f aca="false">K1509-AF1509</f>
        <v>8</v>
      </c>
      <c r="AH1509" s="99" t="n">
        <f aca="false">IFERROR(AG1509/K1509," ")</f>
        <v>1</v>
      </c>
      <c r="AI1509" s="100" t="n">
        <f aca="false">IFERROR(O1509/K1509,0)</f>
        <v>662.5</v>
      </c>
      <c r="AJ1509" s="101" t="n">
        <f aca="false">VLOOKUP(D1509,'Standard Cycle time'!C:D,2,0)</f>
        <v>5.25</v>
      </c>
      <c r="AK1509" s="101" t="n">
        <f aca="false">AG1509*V1509*3600/O1509</f>
        <v>5.43396226415094</v>
      </c>
      <c r="AL1509" s="102" t="n">
        <f aca="false">AJ1509/AK1509</f>
        <v>0.966145833333333</v>
      </c>
      <c r="AM1509" s="99" t="n">
        <f aca="false">AE1509*AL1509*AH1509</f>
        <v>0.956307281059063</v>
      </c>
      <c r="AN1509" s="103" t="n">
        <v>0.956307281059063</v>
      </c>
      <c r="AO1509" s="112"/>
      <c r="AP1509" s="105" t="n">
        <v>0</v>
      </c>
      <c r="AQ1509" s="105" t="n">
        <v>0</v>
      </c>
      <c r="AR1509" s="105" t="n">
        <v>0</v>
      </c>
      <c r="AS1509" s="105" t="n">
        <v>0</v>
      </c>
      <c r="AT1509" s="105" t="n">
        <v>0</v>
      </c>
      <c r="AU1509" s="105" t="n">
        <v>0</v>
      </c>
      <c r="AV1509" s="105" t="n">
        <v>0</v>
      </c>
      <c r="AW1509" s="105" t="n">
        <v>0</v>
      </c>
      <c r="AX1509" s="105" t="n">
        <v>0</v>
      </c>
      <c r="AY1509" s="105" t="n">
        <v>0</v>
      </c>
      <c r="AZ1509" s="105" t="n">
        <v>0</v>
      </c>
      <c r="BA1509" s="105" t="n">
        <v>0</v>
      </c>
      <c r="BB1509" s="105" t="n">
        <v>0</v>
      </c>
      <c r="BC1509" s="105" t="n">
        <v>0</v>
      </c>
      <c r="BD1509" s="105" t="n">
        <v>0</v>
      </c>
      <c r="BE1509" s="105" t="n">
        <v>0</v>
      </c>
      <c r="BF1509" s="105" t="n">
        <v>0</v>
      </c>
      <c r="BG1509" s="105" t="n">
        <v>0</v>
      </c>
      <c r="BH1509" s="105" t="n">
        <v>0</v>
      </c>
      <c r="BI1509" s="105" t="n">
        <v>0</v>
      </c>
      <c r="BJ1509" s="105" t="n">
        <v>0</v>
      </c>
      <c r="BK1509" s="105" t="n">
        <v>0</v>
      </c>
      <c r="BL1509" s="105" t="n">
        <v>0</v>
      </c>
      <c r="BM1509" s="105" t="n">
        <v>0</v>
      </c>
      <c r="BN1509" s="105" t="n">
        <v>0</v>
      </c>
      <c r="BO1509" s="105" t="n">
        <v>0</v>
      </c>
      <c r="BP1509" s="105" t="n">
        <v>0</v>
      </c>
      <c r="BQ1509" s="105" t="n">
        <v>0</v>
      </c>
      <c r="BR1509" s="106" t="n">
        <v>0</v>
      </c>
      <c r="BS1509" s="106" t="n">
        <v>0</v>
      </c>
      <c r="BT1509" s="107"/>
      <c r="BU1509" s="107"/>
      <c r="BV1509" s="107"/>
      <c r="BW1509" s="107"/>
      <c r="BX1509" s="107"/>
      <c r="BY1509" s="107"/>
      <c r="BZ1509" s="107"/>
      <c r="CA1509" s="107"/>
      <c r="CB1509" s="107"/>
      <c r="CC1509" s="107"/>
      <c r="CD1509" s="107"/>
      <c r="CE1509" s="107"/>
      <c r="CF1509" s="107"/>
      <c r="CG1509" s="107"/>
      <c r="CH1509" s="107"/>
      <c r="CI1509" s="107"/>
      <c r="CJ1509" s="107"/>
      <c r="CK1509" s="107"/>
      <c r="CL1509" s="107"/>
      <c r="CM1509" s="107"/>
      <c r="CN1509" s="107"/>
      <c r="CO1509" s="107"/>
      <c r="CP1509" s="107"/>
      <c r="CQ1509" s="107"/>
      <c r="CR1509" s="107"/>
      <c r="CS1509" s="107"/>
      <c r="CT1509" s="107"/>
      <c r="CU1509" s="107"/>
      <c r="CV1509" s="107"/>
    </row>
    <row r="1510" customFormat="false" ht="14.9" hidden="false" customHeight="false" outlineLevel="0" collapsed="false">
      <c r="A1510" s="74" t="n">
        <f aca="false">MONTH(B1510)</f>
        <v>11</v>
      </c>
      <c r="B1510" s="135" t="n">
        <v>44530</v>
      </c>
      <c r="C1510" s="128" t="s">
        <v>152</v>
      </c>
      <c r="D1510" s="77" t="str">
        <f aca="false">IFERROR(VLOOKUP(E:E,'Item Data Support Sheet'!A:O,7,0),"")</f>
        <v>NIPPLE MOLDED</v>
      </c>
      <c r="E1510" s="80" t="s">
        <v>809</v>
      </c>
      <c r="F1510" s="122" t="s">
        <v>1286</v>
      </c>
      <c r="G1510" s="137" t="s">
        <v>848</v>
      </c>
      <c r="H1510" s="79" t="str">
        <f aca="false">IFERROR(VLOOKUP(E:E,'Item Data Support Sheet'!A:O,2,0),"")</f>
        <v>NIPPLE S TYPE Y SIZE INJECTION</v>
      </c>
      <c r="I1510" s="80" t="s">
        <v>2298</v>
      </c>
      <c r="J1510" s="80" t="s">
        <v>1913</v>
      </c>
      <c r="K1510" s="124" t="n">
        <v>8</v>
      </c>
      <c r="L1510" s="124" t="n">
        <v>3611</v>
      </c>
      <c r="M1510" s="83" t="n">
        <v>451.375</v>
      </c>
      <c r="N1510" s="84" t="n">
        <f aca="false">+O1510+Q1510+T1510+U1510</f>
        <v>2843</v>
      </c>
      <c r="O1510" s="85" t="n">
        <v>2700</v>
      </c>
      <c r="P1510" s="86" t="n">
        <v>0</v>
      </c>
      <c r="Q1510" s="86" t="n">
        <v>70</v>
      </c>
      <c r="R1510" s="132" t="n">
        <v>0</v>
      </c>
      <c r="S1510" s="128" t="n">
        <v>0</v>
      </c>
      <c r="T1510" s="132" t="n">
        <v>61</v>
      </c>
      <c r="U1510" s="128" t="n">
        <v>12</v>
      </c>
      <c r="V1510" s="128" t="n">
        <v>1</v>
      </c>
      <c r="W1510" s="90" t="n">
        <f aca="false">IFERROR(O1510/V1510,0)</f>
        <v>2700</v>
      </c>
      <c r="X1510" s="91" t="n">
        <f aca="false">O1510/L1510</f>
        <v>0.747715314317364</v>
      </c>
      <c r="Y1510" s="92" t="str">
        <f aca="false">IFERROR(VLOOKUP(E:E,'Item Data Support Sheet'!A:J,6,0),0)</f>
        <v>Silicon</v>
      </c>
      <c r="Z1510" s="93" t="n">
        <f aca="false">IFERROR(VLOOKUP(E:E,'Item Data Support Sheet'!A:O,4,0),0)</f>
        <v>6.8</v>
      </c>
      <c r="AA1510" s="93" t="n">
        <f aca="false">IFERROR(((N1510)*(Z1510/1000))+P1510,0)</f>
        <v>19.3324</v>
      </c>
      <c r="AB1510" s="94" t="n">
        <f aca="false">IFERROR((O1510*(Z1510/1000)/(AA1510))," ")</f>
        <v>0.949701020049244</v>
      </c>
      <c r="AC1510" s="95" t="n">
        <f aca="false">IFERROR((T1510)/((T1510)+O1510),0)</f>
        <v>0.0220934444042014</v>
      </c>
      <c r="AD1510" s="96" t="n">
        <f aca="false">IFERROR(Q1510/(Q1510+N1510),0)</f>
        <v>0.0240302094061105</v>
      </c>
      <c r="AE1510" s="91" t="n">
        <f aca="false">(N1510-T1510)/N1510</f>
        <v>0.978543791769258</v>
      </c>
      <c r="AF1510" s="97" t="n">
        <f aca="false">BR1510</f>
        <v>2</v>
      </c>
      <c r="AG1510" s="98" t="n">
        <f aca="false">K1510-AF1510</f>
        <v>6</v>
      </c>
      <c r="AH1510" s="99" t="n">
        <f aca="false">IFERROR(AG1510/K1510," ")</f>
        <v>0.75</v>
      </c>
      <c r="AI1510" s="100" t="n">
        <f aca="false">IFERROR(O1510/K1510,0)</f>
        <v>337.5</v>
      </c>
      <c r="AJ1510" s="101" t="n">
        <f aca="false">VLOOKUP(D1510,'Standard Cycle time'!C:D,2,0)</f>
        <v>5.25</v>
      </c>
      <c r="AK1510" s="101" t="n">
        <f aca="false">AG1510*V1510*3600/O1510</f>
        <v>8</v>
      </c>
      <c r="AL1510" s="102" t="n">
        <f aca="false">AJ1510/AK1510</f>
        <v>0.65625</v>
      </c>
      <c r="AM1510" s="99" t="n">
        <f aca="false">AE1510*AL1510*AH1510</f>
        <v>0.481627022511432</v>
      </c>
      <c r="AN1510" s="103" t="n">
        <v>0.481627022511432</v>
      </c>
      <c r="AO1510" s="112" t="s">
        <v>2299</v>
      </c>
      <c r="AP1510" s="105" t="n">
        <v>0</v>
      </c>
      <c r="AQ1510" s="105" t="n">
        <v>0</v>
      </c>
      <c r="AR1510" s="105" t="n">
        <v>0</v>
      </c>
      <c r="AS1510" s="105" t="n">
        <v>0</v>
      </c>
      <c r="AT1510" s="105" t="n">
        <v>0</v>
      </c>
      <c r="AU1510" s="105" t="n">
        <v>90</v>
      </c>
      <c r="AV1510" s="105" t="n">
        <v>0</v>
      </c>
      <c r="AW1510" s="105" t="n">
        <v>0</v>
      </c>
      <c r="AX1510" s="105" t="n">
        <v>30</v>
      </c>
      <c r="AY1510" s="105" t="n">
        <v>0</v>
      </c>
      <c r="AZ1510" s="105" t="n">
        <v>0</v>
      </c>
      <c r="BA1510" s="105" t="n">
        <v>0</v>
      </c>
      <c r="BB1510" s="105" t="n">
        <v>0</v>
      </c>
      <c r="BC1510" s="105" t="n">
        <v>0</v>
      </c>
      <c r="BD1510" s="105" t="n">
        <v>0</v>
      </c>
      <c r="BE1510" s="105" t="n">
        <v>0</v>
      </c>
      <c r="BF1510" s="105" t="n">
        <v>0</v>
      </c>
      <c r="BG1510" s="105" t="n">
        <v>0</v>
      </c>
      <c r="BH1510" s="105" t="n">
        <v>0</v>
      </c>
      <c r="BI1510" s="105" t="n">
        <v>0</v>
      </c>
      <c r="BJ1510" s="105" t="n">
        <v>0</v>
      </c>
      <c r="BK1510" s="105" t="n">
        <v>0</v>
      </c>
      <c r="BL1510" s="105" t="n">
        <v>0</v>
      </c>
      <c r="BM1510" s="105" t="n">
        <v>0</v>
      </c>
      <c r="BN1510" s="105" t="n">
        <v>0</v>
      </c>
      <c r="BO1510" s="105" t="n">
        <v>0</v>
      </c>
      <c r="BP1510" s="105" t="n">
        <v>0</v>
      </c>
      <c r="BQ1510" s="105" t="n">
        <v>0</v>
      </c>
      <c r="BR1510" s="106" t="n">
        <v>2</v>
      </c>
      <c r="BS1510" s="106" t="n">
        <v>2</v>
      </c>
      <c r="BT1510" s="107"/>
      <c r="BU1510" s="107"/>
      <c r="BV1510" s="107"/>
      <c r="BW1510" s="107"/>
      <c r="BX1510" s="107"/>
      <c r="BY1510" s="107"/>
      <c r="BZ1510" s="107"/>
      <c r="CA1510" s="107"/>
      <c r="CB1510" s="107"/>
      <c r="CC1510" s="107"/>
      <c r="CD1510" s="107"/>
      <c r="CE1510" s="107"/>
      <c r="CF1510" s="107"/>
      <c r="CG1510" s="107"/>
      <c r="CH1510" s="107"/>
      <c r="CI1510" s="107"/>
      <c r="CJ1510" s="107"/>
      <c r="CK1510" s="107"/>
      <c r="CL1510" s="107"/>
      <c r="CM1510" s="107"/>
      <c r="CN1510" s="107"/>
      <c r="CO1510" s="107"/>
      <c r="CP1510" s="107"/>
      <c r="CQ1510" s="107"/>
      <c r="CR1510" s="107"/>
      <c r="CS1510" s="107"/>
      <c r="CT1510" s="107"/>
      <c r="CU1510" s="107"/>
      <c r="CV1510" s="107"/>
    </row>
    <row r="1511" customFormat="false" ht="14.9" hidden="false" customHeight="false" outlineLevel="0" collapsed="false">
      <c r="A1511" s="74" t="n">
        <f aca="false">MONTH(B1511)</f>
        <v>11</v>
      </c>
      <c r="B1511" s="135" t="n">
        <v>44530</v>
      </c>
      <c r="C1511" s="128" t="s">
        <v>152</v>
      </c>
      <c r="D1511" s="77" t="str">
        <f aca="false">IFERROR(VLOOKUP(E:E,'Item Data Support Sheet'!A:O,7,0),"")</f>
        <v>BOTTLE MOLDED</v>
      </c>
      <c r="E1511" s="80" t="s">
        <v>357</v>
      </c>
      <c r="F1511" s="122" t="s">
        <v>144</v>
      </c>
      <c r="G1511" s="137" t="s">
        <v>80</v>
      </c>
      <c r="H1511" s="79" t="str">
        <f aca="false">IFERROR(VLOOKUP(E:E,'Item Data Support Sheet'!A:O,2,0),"")</f>
        <v>KPP 120 ML BOTTLE MOLDED</v>
      </c>
      <c r="I1511" s="80" t="s">
        <v>2300</v>
      </c>
      <c r="J1511" s="80" t="s">
        <v>1913</v>
      </c>
      <c r="K1511" s="124" t="n">
        <v>8</v>
      </c>
      <c r="L1511" s="124" t="n">
        <v>2574</v>
      </c>
      <c r="M1511" s="83" t="n">
        <v>321.75</v>
      </c>
      <c r="N1511" s="84" t="n">
        <f aca="false">+O1511+Q1511+T1511+U1511</f>
        <v>2778</v>
      </c>
      <c r="O1511" s="85" t="n">
        <v>2700</v>
      </c>
      <c r="P1511" s="86" t="n">
        <v>0</v>
      </c>
      <c r="Q1511" s="86" t="n">
        <v>27</v>
      </c>
      <c r="R1511" s="132" t="n">
        <v>0</v>
      </c>
      <c r="S1511" s="128" t="n">
        <v>0</v>
      </c>
      <c r="T1511" s="132" t="n">
        <v>43</v>
      </c>
      <c r="U1511" s="128" t="n">
        <v>8</v>
      </c>
      <c r="V1511" s="128" t="n">
        <v>1</v>
      </c>
      <c r="W1511" s="90" t="n">
        <f aca="false">IFERROR(O1511/V1511,0)</f>
        <v>2700</v>
      </c>
      <c r="X1511" s="91" t="n">
        <f aca="false">O1511/L1511</f>
        <v>1.04895104895105</v>
      </c>
      <c r="Y1511" s="92" t="str">
        <f aca="false">IFERROR(VLOOKUP(E:E,'Item Data Support Sheet'!A:J,6,0),0)</f>
        <v>HMC</v>
      </c>
      <c r="Z1511" s="93" t="n">
        <f aca="false">IFERROR(VLOOKUP(E:E,'Item Data Support Sheet'!A:O,4,0),0)</f>
        <v>21.3</v>
      </c>
      <c r="AA1511" s="93" t="n">
        <f aca="false">IFERROR(((N1511)*(Z1511/1000))+P1511,0)</f>
        <v>59.1714</v>
      </c>
      <c r="AB1511" s="94" t="n">
        <f aca="false">IFERROR((O1511*(Z1511/1000)/(AA1511))," ")</f>
        <v>0.971922246220302</v>
      </c>
      <c r="AC1511" s="95" t="n">
        <f aca="false">IFERROR((T1511)/((T1511)+O1511),0)</f>
        <v>0.015676266861101</v>
      </c>
      <c r="AD1511" s="96" t="n">
        <f aca="false">IFERROR(Q1511/(Q1511+N1511),0)</f>
        <v>0.00962566844919786</v>
      </c>
      <c r="AE1511" s="91" t="n">
        <f aca="false">(N1511-T1511)/N1511</f>
        <v>0.984521238300936</v>
      </c>
      <c r="AF1511" s="97" t="n">
        <f aca="false">BR1511</f>
        <v>0</v>
      </c>
      <c r="AG1511" s="98" t="n">
        <f aca="false">K1511-AF1511</f>
        <v>8</v>
      </c>
      <c r="AH1511" s="99" t="n">
        <f aca="false">IFERROR(AG1511/K1511," ")</f>
        <v>1</v>
      </c>
      <c r="AI1511" s="100" t="n">
        <f aca="false">IFERROR(O1511/K1511,0)</f>
        <v>337.5</v>
      </c>
      <c r="AJ1511" s="101" t="n">
        <f aca="false">VLOOKUP(D1511,'Standard Cycle time'!C:D,2,0)</f>
        <v>9</v>
      </c>
      <c r="AK1511" s="101" t="n">
        <f aca="false">AG1511*V1511*3600/O1511</f>
        <v>10.6666666666667</v>
      </c>
      <c r="AL1511" s="102" t="n">
        <f aca="false">AJ1511/AK1511</f>
        <v>0.84375</v>
      </c>
      <c r="AM1511" s="99" t="n">
        <f aca="false">AE1511*AL1511*AH1511</f>
        <v>0.830689794816415</v>
      </c>
      <c r="AN1511" s="103" t="n">
        <v>0.830689794816415</v>
      </c>
      <c r="AO1511" s="112"/>
      <c r="AP1511" s="105" t="n">
        <v>0</v>
      </c>
      <c r="AQ1511" s="105" t="n">
        <v>0</v>
      </c>
      <c r="AR1511" s="105" t="n">
        <v>0</v>
      </c>
      <c r="AS1511" s="105" t="n">
        <v>0</v>
      </c>
      <c r="AT1511" s="105" t="n">
        <v>0</v>
      </c>
      <c r="AU1511" s="105" t="n">
        <v>0</v>
      </c>
      <c r="AV1511" s="105" t="n">
        <v>0</v>
      </c>
      <c r="AW1511" s="105" t="n">
        <v>0</v>
      </c>
      <c r="AX1511" s="105" t="n">
        <v>0</v>
      </c>
      <c r="AY1511" s="105" t="n">
        <v>0</v>
      </c>
      <c r="AZ1511" s="105" t="n">
        <v>0</v>
      </c>
      <c r="BA1511" s="105" t="n">
        <v>0</v>
      </c>
      <c r="BB1511" s="105" t="n">
        <v>0</v>
      </c>
      <c r="BC1511" s="105" t="n">
        <v>0</v>
      </c>
      <c r="BD1511" s="105" t="n">
        <v>0</v>
      </c>
      <c r="BE1511" s="105" t="n">
        <v>0</v>
      </c>
      <c r="BF1511" s="105" t="n">
        <v>0</v>
      </c>
      <c r="BG1511" s="105" t="n">
        <v>0</v>
      </c>
      <c r="BH1511" s="105" t="n">
        <v>0</v>
      </c>
      <c r="BI1511" s="105" t="n">
        <v>0</v>
      </c>
      <c r="BJ1511" s="105" t="n">
        <v>0</v>
      </c>
      <c r="BK1511" s="105" t="n">
        <v>0</v>
      </c>
      <c r="BL1511" s="105" t="n">
        <v>0</v>
      </c>
      <c r="BM1511" s="105" t="n">
        <v>0</v>
      </c>
      <c r="BN1511" s="105" t="n">
        <v>0</v>
      </c>
      <c r="BO1511" s="105" t="n">
        <v>0</v>
      </c>
      <c r="BP1511" s="105" t="n">
        <v>0</v>
      </c>
      <c r="BQ1511" s="105" t="n">
        <v>0</v>
      </c>
      <c r="BR1511" s="106" t="n">
        <v>0</v>
      </c>
      <c r="BS1511" s="106" t="n">
        <v>0</v>
      </c>
      <c r="BT1511" s="107"/>
      <c r="BU1511" s="107"/>
      <c r="BV1511" s="107"/>
      <c r="BW1511" s="107"/>
      <c r="BX1511" s="107"/>
      <c r="BY1511" s="107"/>
      <c r="BZ1511" s="107"/>
      <c r="CA1511" s="107"/>
      <c r="CB1511" s="107"/>
      <c r="CC1511" s="107"/>
      <c r="CD1511" s="107"/>
      <c r="CE1511" s="107"/>
      <c r="CF1511" s="107"/>
      <c r="CG1511" s="107"/>
      <c r="CH1511" s="107"/>
      <c r="CI1511" s="107"/>
      <c r="CJ1511" s="107"/>
      <c r="CK1511" s="107"/>
      <c r="CL1511" s="107"/>
      <c r="CM1511" s="107"/>
      <c r="CN1511" s="107"/>
      <c r="CO1511" s="107"/>
      <c r="CP1511" s="107"/>
      <c r="CQ1511" s="107"/>
      <c r="CR1511" s="107"/>
      <c r="CS1511" s="107"/>
      <c r="CT1511" s="107"/>
      <c r="CU1511" s="107"/>
      <c r="CV1511" s="107"/>
    </row>
    <row r="1512" customFormat="false" ht="14.9" hidden="false" customHeight="false" outlineLevel="0" collapsed="false">
      <c r="A1512" s="74" t="n">
        <f aca="false">MONTH(B1512)</f>
        <v>11</v>
      </c>
      <c r="B1512" s="135" t="n">
        <v>44530</v>
      </c>
      <c r="C1512" s="128" t="s">
        <v>152</v>
      </c>
      <c r="D1512" s="77" t="str">
        <f aca="false">IFERROR(VLOOKUP(E:E,'Item Data Support Sheet'!A:O,7,0),"")</f>
        <v>CAP MOLDED</v>
      </c>
      <c r="E1512" s="80" t="s">
        <v>343</v>
      </c>
      <c r="F1512" s="122" t="s">
        <v>2161</v>
      </c>
      <c r="G1512" s="137"/>
      <c r="H1512" s="79" t="str">
        <f aca="false">IFERROR(VLOOKUP(E:E,'Item Data Support Sheet'!A:O,2,0),"")</f>
        <v>CAP S TYPE MOLDED BLUE</v>
      </c>
      <c r="I1512" s="80" t="s">
        <v>2301</v>
      </c>
      <c r="J1512" s="80" t="s">
        <v>1913</v>
      </c>
      <c r="K1512" s="124" t="n">
        <v>8</v>
      </c>
      <c r="L1512" s="124" t="n">
        <v>4137</v>
      </c>
      <c r="M1512" s="83" t="n">
        <v>517.125</v>
      </c>
      <c r="N1512" s="84" t="n">
        <f aca="false">+O1512+Q1512+T1512+U1512</f>
        <v>5016</v>
      </c>
      <c r="O1512" s="85" t="n">
        <v>5000</v>
      </c>
      <c r="P1512" s="86" t="n">
        <v>0</v>
      </c>
      <c r="Q1512" s="86" t="n">
        <v>0</v>
      </c>
      <c r="R1512" s="132" t="n">
        <v>0</v>
      </c>
      <c r="S1512" s="128" t="n">
        <v>0</v>
      </c>
      <c r="T1512" s="132" t="n">
        <v>8</v>
      </c>
      <c r="U1512" s="128" t="n">
        <v>8</v>
      </c>
      <c r="V1512" s="128" t="n">
        <v>1</v>
      </c>
      <c r="W1512" s="90" t="n">
        <f aca="false">IFERROR(O1512/V1512,0)</f>
        <v>5000</v>
      </c>
      <c r="X1512" s="91" t="n">
        <f aca="false">O1512/L1512</f>
        <v>1.20860526951898</v>
      </c>
      <c r="Y1512" s="92" t="str">
        <f aca="false">IFERROR(VLOOKUP(E:E,'Item Data Support Sheet'!A:J,6,0),0)</f>
        <v>RM000114</v>
      </c>
      <c r="Z1512" s="93" t="n">
        <f aca="false">IFERROR(VLOOKUP(E:E,'Item Data Support Sheet'!A:O,4,0),0)</f>
        <v>7.3</v>
      </c>
      <c r="AA1512" s="93" t="n">
        <f aca="false">IFERROR(((N1512)*(Z1512/1000))+P1512,0)</f>
        <v>36.6168</v>
      </c>
      <c r="AB1512" s="94" t="n">
        <f aca="false">IFERROR((O1512*(Z1512/1000)/(AA1512))," ")</f>
        <v>0.996810207336523</v>
      </c>
      <c r="AC1512" s="95" t="n">
        <f aca="false">IFERROR((T1512)/((T1512)+O1512),0)</f>
        <v>0.00159744408945687</v>
      </c>
      <c r="AD1512" s="96" t="n">
        <f aca="false">IFERROR(Q1512/(Q1512+N1512),0)</f>
        <v>0</v>
      </c>
      <c r="AE1512" s="91" t="n">
        <f aca="false">(N1512-T1512)/N1512</f>
        <v>0.998405103668262</v>
      </c>
      <c r="AF1512" s="97" t="n">
        <f aca="false">BR1512</f>
        <v>0</v>
      </c>
      <c r="AG1512" s="98" t="n">
        <f aca="false">K1512-AF1512</f>
        <v>8</v>
      </c>
      <c r="AH1512" s="99" t="n">
        <f aca="false">IFERROR(AG1512/K1512," ")</f>
        <v>1</v>
      </c>
      <c r="AI1512" s="100" t="n">
        <f aca="false">IFERROR(O1512/K1512,0)</f>
        <v>625</v>
      </c>
      <c r="AJ1512" s="101" t="n">
        <f aca="false">VLOOKUP(D1512,'Standard Cycle time'!C:D,2,0)</f>
        <v>6</v>
      </c>
      <c r="AK1512" s="101" t="n">
        <f aca="false">AG1512*V1512*3600/O1512</f>
        <v>5.76</v>
      </c>
      <c r="AL1512" s="102" t="n">
        <f aca="false">AJ1512/AK1512</f>
        <v>1.04166666666667</v>
      </c>
      <c r="AM1512" s="99" t="n">
        <f aca="false">AE1512*AL1512*AH1512</f>
        <v>1.04000531632111</v>
      </c>
      <c r="AN1512" s="103" t="n">
        <v>1.04000531632111</v>
      </c>
      <c r="AO1512" s="112"/>
      <c r="AP1512" s="105" t="n">
        <v>0</v>
      </c>
      <c r="AQ1512" s="105" t="n">
        <v>0</v>
      </c>
      <c r="AR1512" s="105" t="n">
        <v>0</v>
      </c>
      <c r="AS1512" s="105" t="n">
        <v>0</v>
      </c>
      <c r="AT1512" s="105" t="n">
        <v>0</v>
      </c>
      <c r="AU1512" s="105" t="n">
        <v>0</v>
      </c>
      <c r="AV1512" s="105" t="n">
        <v>0</v>
      </c>
      <c r="AW1512" s="105" t="n">
        <v>0</v>
      </c>
      <c r="AX1512" s="105" t="n">
        <v>0</v>
      </c>
      <c r="AY1512" s="105" t="n">
        <v>0</v>
      </c>
      <c r="AZ1512" s="105" t="n">
        <v>0</v>
      </c>
      <c r="BA1512" s="105" t="n">
        <v>0</v>
      </c>
      <c r="BB1512" s="105" t="n">
        <v>0</v>
      </c>
      <c r="BC1512" s="105" t="n">
        <v>0</v>
      </c>
      <c r="BD1512" s="105" t="n">
        <v>0</v>
      </c>
      <c r="BE1512" s="105" t="n">
        <v>0</v>
      </c>
      <c r="BF1512" s="105" t="n">
        <v>0</v>
      </c>
      <c r="BG1512" s="105" t="n">
        <v>0</v>
      </c>
      <c r="BH1512" s="105" t="n">
        <v>0</v>
      </c>
      <c r="BI1512" s="105" t="n">
        <v>0</v>
      </c>
      <c r="BJ1512" s="105" t="n">
        <v>0</v>
      </c>
      <c r="BK1512" s="105" t="n">
        <v>0</v>
      </c>
      <c r="BL1512" s="105" t="n">
        <v>0</v>
      </c>
      <c r="BM1512" s="105" t="n">
        <v>0</v>
      </c>
      <c r="BN1512" s="105" t="n">
        <v>0</v>
      </c>
      <c r="BO1512" s="105" t="n">
        <v>0</v>
      </c>
      <c r="BP1512" s="105" t="n">
        <v>0</v>
      </c>
      <c r="BQ1512" s="105" t="n">
        <v>0</v>
      </c>
      <c r="BR1512" s="106" t="n">
        <v>0</v>
      </c>
      <c r="BS1512" s="106" t="n">
        <v>0</v>
      </c>
      <c r="BT1512" s="107"/>
      <c r="BU1512" s="107"/>
      <c r="BV1512" s="107"/>
      <c r="BW1512" s="107"/>
      <c r="BX1512" s="107"/>
      <c r="BY1512" s="107"/>
      <c r="BZ1512" s="107"/>
      <c r="CA1512" s="107"/>
      <c r="CB1512" s="107"/>
      <c r="CC1512" s="107"/>
      <c r="CD1512" s="107"/>
      <c r="CE1512" s="107"/>
      <c r="CF1512" s="107"/>
      <c r="CG1512" s="107"/>
      <c r="CH1512" s="107"/>
      <c r="CI1512" s="107"/>
      <c r="CJ1512" s="107"/>
      <c r="CK1512" s="107"/>
      <c r="CL1512" s="107"/>
      <c r="CM1512" s="107"/>
      <c r="CN1512" s="107"/>
      <c r="CO1512" s="107"/>
      <c r="CP1512" s="107"/>
      <c r="CQ1512" s="107"/>
      <c r="CR1512" s="107"/>
      <c r="CS1512" s="107"/>
      <c r="CT1512" s="107"/>
      <c r="CU1512" s="107"/>
      <c r="CV1512" s="107"/>
    </row>
    <row r="1513" customFormat="false" ht="13.8" hidden="false" customHeight="false" outlineLevel="0" collapsed="false">
      <c r="B1513" s="135"/>
      <c r="C1513" s="128"/>
      <c r="D1513" s="77"/>
      <c r="E1513" s="80"/>
      <c r="F1513" s="122"/>
      <c r="G1513" s="137"/>
      <c r="H1513" s="79" t="str">
        <f aca="false">IFERROR(VLOOKUP(E:E,'Item Data Support Sheet'!A:O,2,0),"")</f>
        <v/>
      </c>
      <c r="I1513" s="80"/>
      <c r="J1513" s="80"/>
      <c r="K1513" s="124"/>
      <c r="L1513" s="124"/>
      <c r="M1513" s="83"/>
      <c r="N1513" s="84" t="n">
        <f aca="false">+O1513+Q1513+T1513+U1513</f>
        <v>0</v>
      </c>
      <c r="O1513" s="85"/>
      <c r="P1513" s="86"/>
      <c r="Q1513" s="86"/>
      <c r="R1513" s="132"/>
      <c r="S1513" s="128"/>
      <c r="T1513" s="132"/>
      <c r="U1513" s="128"/>
      <c r="V1513" s="128"/>
      <c r="W1513" s="90" t="n">
        <f aca="false">IFERROR(O1513/V1513,0)</f>
        <v>0</v>
      </c>
      <c r="X1513" s="91" t="e">
        <f aca="false">O1513/L1513</f>
        <v>#DIV/0!</v>
      </c>
      <c r="Y1513" s="92" t="n">
        <f aca="false">IFERROR(VLOOKUP(E:E,'Item Data Support Sheet'!A:J,6,0),0)</f>
        <v>0</v>
      </c>
      <c r="Z1513" s="93" t="n">
        <f aca="false">IFERROR(VLOOKUP(E:E,'Item Data Support Sheet'!A:O,4,0),0)</f>
        <v>0</v>
      </c>
      <c r="AA1513" s="93" t="n">
        <f aca="false">IFERROR(((N1513)*(Z1513/1000))+P1513,0)</f>
        <v>0</v>
      </c>
      <c r="AB1513" s="94" t="str">
        <f aca="false">IFERROR((O1513*(Z1513/1000)/(AA1513))," ")</f>
        <v> </v>
      </c>
      <c r="AC1513" s="95" t="n">
        <f aca="false">IFERROR((T1513)/((T1513)+O1513),0)</f>
        <v>0</v>
      </c>
      <c r="AD1513" s="96" t="n">
        <f aca="false">IFERROR(Q1513/(Q1513+N1513),0)</f>
        <v>0</v>
      </c>
      <c r="AE1513" s="91" t="e">
        <f aca="false">(N1513-T1513)/N1513</f>
        <v>#DIV/0!</v>
      </c>
      <c r="AF1513" s="97" t="n">
        <f aca="false">BR1513</f>
        <v>0</v>
      </c>
      <c r="AG1513" s="98" t="n">
        <f aca="false">K1513-AF1513</f>
        <v>0</v>
      </c>
      <c r="AH1513" s="99" t="str">
        <f aca="false">IFERROR(AG1513/K1513," ")</f>
        <v> </v>
      </c>
      <c r="AI1513" s="100" t="n">
        <f aca="false">IFERROR(O1513/K1513,0)</f>
        <v>0</v>
      </c>
      <c r="AJ1513" s="101" t="e">
        <f aca="false">VLOOKUP(D1513,'Standard Cycle time'!C:D,2,0)</f>
        <v>#N/A</v>
      </c>
      <c r="AK1513" s="101" t="e">
        <f aca="false">AG1513*V1513*3600/O1513</f>
        <v>#DIV/0!</v>
      </c>
      <c r="AL1513" s="102" t="e">
        <f aca="false">AJ1513/AK1513</f>
        <v>#N/A</v>
      </c>
      <c r="AM1513" s="99" t="e">
        <f aca="false">AE1513*AL1513*AH1513</f>
        <v>#DIV/0!</v>
      </c>
      <c r="AN1513" s="103"/>
      <c r="AO1513" s="112"/>
      <c r="AP1513" s="105" t="n">
        <v>0</v>
      </c>
      <c r="AQ1513" s="105" t="n">
        <v>0</v>
      </c>
      <c r="AR1513" s="105" t="n">
        <v>0</v>
      </c>
      <c r="AS1513" s="105" t="n">
        <v>0</v>
      </c>
      <c r="AT1513" s="105" t="n">
        <v>0</v>
      </c>
      <c r="AU1513" s="105" t="n">
        <v>0</v>
      </c>
      <c r="AV1513" s="105" t="n">
        <v>0</v>
      </c>
      <c r="AW1513" s="105" t="n">
        <v>0</v>
      </c>
      <c r="AX1513" s="105" t="n">
        <v>0</v>
      </c>
      <c r="AY1513" s="105" t="n">
        <v>0</v>
      </c>
      <c r="AZ1513" s="105" t="n">
        <v>0</v>
      </c>
      <c r="BA1513" s="105" t="n">
        <v>0</v>
      </c>
      <c r="BB1513" s="105" t="n">
        <v>0</v>
      </c>
      <c r="BC1513" s="105" t="n">
        <v>0</v>
      </c>
      <c r="BD1513" s="105" t="n">
        <v>0</v>
      </c>
      <c r="BE1513" s="105" t="n">
        <v>0</v>
      </c>
      <c r="BF1513" s="105" t="n">
        <v>0</v>
      </c>
      <c r="BG1513" s="105" t="n">
        <v>0</v>
      </c>
      <c r="BH1513" s="105" t="n">
        <v>0</v>
      </c>
      <c r="BI1513" s="105" t="n">
        <v>0</v>
      </c>
      <c r="BJ1513" s="105" t="n">
        <v>0</v>
      </c>
      <c r="BK1513" s="105" t="n">
        <v>0</v>
      </c>
      <c r="BL1513" s="105" t="n">
        <v>0</v>
      </c>
      <c r="BM1513" s="105" t="n">
        <v>0</v>
      </c>
      <c r="BN1513" s="105" t="n">
        <v>0</v>
      </c>
      <c r="BO1513" s="105" t="n">
        <v>0</v>
      </c>
      <c r="BP1513" s="105" t="n">
        <v>0</v>
      </c>
      <c r="BQ1513" s="105" t="n">
        <v>0</v>
      </c>
      <c r="BR1513" s="106" t="n">
        <v>0</v>
      </c>
      <c r="BS1513" s="106"/>
      <c r="BT1513" s="107"/>
      <c r="BU1513" s="107"/>
      <c r="BV1513" s="107"/>
      <c r="BW1513" s="107"/>
      <c r="BX1513" s="107"/>
      <c r="BY1513" s="107"/>
      <c r="BZ1513" s="107"/>
      <c r="CA1513" s="107"/>
      <c r="CB1513" s="107"/>
      <c r="CC1513" s="107"/>
      <c r="CD1513" s="107"/>
      <c r="CE1513" s="107"/>
      <c r="CF1513" s="107"/>
      <c r="CG1513" s="107"/>
      <c r="CH1513" s="107"/>
      <c r="CI1513" s="107"/>
      <c r="CJ1513" s="107"/>
      <c r="CK1513" s="107"/>
      <c r="CL1513" s="107"/>
      <c r="CM1513" s="107"/>
      <c r="CN1513" s="107"/>
      <c r="CO1513" s="107"/>
      <c r="CP1513" s="107"/>
      <c r="CQ1513" s="107"/>
      <c r="CR1513" s="107"/>
      <c r="CS1513" s="107"/>
      <c r="CT1513" s="107"/>
      <c r="CU1513" s="107"/>
      <c r="CV1513" s="107"/>
    </row>
    <row r="1514" customFormat="false" ht="13.8" hidden="false" customHeight="false" outlineLevel="0" collapsed="false">
      <c r="B1514" s="138"/>
      <c r="C1514" s="128"/>
      <c r="D1514" s="77"/>
      <c r="E1514" s="80"/>
      <c r="F1514" s="122"/>
      <c r="G1514" s="137"/>
      <c r="H1514" s="79" t="str">
        <f aca="false">IFERROR(VLOOKUP(E:E,'Item Data Support Sheet'!A:O,2,0),"")</f>
        <v/>
      </c>
      <c r="I1514" s="80"/>
      <c r="J1514" s="80"/>
      <c r="K1514" s="124"/>
      <c r="L1514" s="124"/>
      <c r="M1514" s="83"/>
      <c r="N1514" s="84" t="n">
        <f aca="false">+O1514+Q1514+T1514+U1514</f>
        <v>0</v>
      </c>
      <c r="O1514" s="85"/>
      <c r="P1514" s="86"/>
      <c r="Q1514" s="86"/>
      <c r="R1514" s="132"/>
      <c r="S1514" s="128"/>
      <c r="T1514" s="132"/>
      <c r="U1514" s="128"/>
      <c r="V1514" s="128"/>
      <c r="W1514" s="90" t="n">
        <f aca="false">IFERROR(O1514/V1514,0)</f>
        <v>0</v>
      </c>
      <c r="X1514" s="91" t="e">
        <f aca="false">O1514/L1514</f>
        <v>#DIV/0!</v>
      </c>
      <c r="Y1514" s="92" t="n">
        <f aca="false">IFERROR(VLOOKUP(E:E,'Item Data Support Sheet'!A:J,6,0),0)</f>
        <v>0</v>
      </c>
      <c r="Z1514" s="93" t="n">
        <f aca="false">IFERROR(VLOOKUP(E:E,'Item Data Support Sheet'!A:O,4,0),0)</f>
        <v>0</v>
      </c>
      <c r="AA1514" s="93" t="n">
        <f aca="false">IFERROR(((N1514)*(Z1514/1000))+P1514,0)</f>
        <v>0</v>
      </c>
      <c r="AB1514" s="94" t="str">
        <f aca="false">IFERROR((O1514*(Z1514/1000)/(AA1514))," ")</f>
        <v> </v>
      </c>
      <c r="AC1514" s="95" t="n">
        <f aca="false">IFERROR((T1514)/((T1514)+O1514),0)</f>
        <v>0</v>
      </c>
      <c r="AD1514" s="96" t="n">
        <f aca="false">IFERROR(Q1514/(Q1514+N1514),0)</f>
        <v>0</v>
      </c>
      <c r="AE1514" s="91" t="e">
        <f aca="false">(N1514-T1514)/N1514</f>
        <v>#DIV/0!</v>
      </c>
      <c r="AF1514" s="97" t="n">
        <f aca="false">BR1514</f>
        <v>0</v>
      </c>
      <c r="AG1514" s="98" t="n">
        <f aca="false">K1514-AF1514</f>
        <v>0</v>
      </c>
      <c r="AH1514" s="99" t="str">
        <f aca="false">IFERROR(AG1514/K1514," ")</f>
        <v> </v>
      </c>
      <c r="AI1514" s="100" t="n">
        <f aca="false">IFERROR(O1514/K1514,0)</f>
        <v>0</v>
      </c>
      <c r="AJ1514" s="101" t="e">
        <f aca="false">VLOOKUP(D1514,'Standard Cycle time'!C:D,2,0)</f>
        <v>#N/A</v>
      </c>
      <c r="AK1514" s="101" t="e">
        <f aca="false">AG1514*V1514*3600/O1514</f>
        <v>#DIV/0!</v>
      </c>
      <c r="AL1514" s="102" t="e">
        <f aca="false">AJ1514/AK1514</f>
        <v>#N/A</v>
      </c>
      <c r="AM1514" s="99" t="e">
        <f aca="false">AE1514*AL1514*AH1514</f>
        <v>#DIV/0!</v>
      </c>
      <c r="AN1514" s="103"/>
      <c r="AO1514" s="112"/>
      <c r="AP1514" s="105" t="n">
        <v>0</v>
      </c>
      <c r="AQ1514" s="105" t="n">
        <v>0</v>
      </c>
      <c r="AR1514" s="105" t="n">
        <v>0</v>
      </c>
      <c r="AS1514" s="105" t="n">
        <v>0</v>
      </c>
      <c r="AT1514" s="105" t="n">
        <v>0</v>
      </c>
      <c r="AU1514" s="105" t="n">
        <v>0</v>
      </c>
      <c r="AV1514" s="105" t="n">
        <v>0</v>
      </c>
      <c r="AW1514" s="105" t="n">
        <v>0</v>
      </c>
      <c r="AX1514" s="105" t="n">
        <v>0</v>
      </c>
      <c r="AY1514" s="105" t="n">
        <v>0</v>
      </c>
      <c r="AZ1514" s="105" t="n">
        <v>0</v>
      </c>
      <c r="BA1514" s="105" t="n">
        <v>0</v>
      </c>
      <c r="BB1514" s="105" t="n">
        <v>0</v>
      </c>
      <c r="BC1514" s="105" t="n">
        <v>0</v>
      </c>
      <c r="BD1514" s="105" t="n">
        <v>0</v>
      </c>
      <c r="BE1514" s="105" t="n">
        <v>0</v>
      </c>
      <c r="BF1514" s="105" t="n">
        <v>0</v>
      </c>
      <c r="BG1514" s="105" t="n">
        <v>0</v>
      </c>
      <c r="BH1514" s="105" t="n">
        <v>0</v>
      </c>
      <c r="BI1514" s="105" t="n">
        <v>0</v>
      </c>
      <c r="BJ1514" s="105" t="n">
        <v>0</v>
      </c>
      <c r="BK1514" s="105" t="n">
        <v>0</v>
      </c>
      <c r="BL1514" s="105" t="n">
        <v>0</v>
      </c>
      <c r="BM1514" s="105" t="n">
        <v>0</v>
      </c>
      <c r="BN1514" s="105" t="n">
        <v>0</v>
      </c>
      <c r="BO1514" s="105" t="n">
        <v>0</v>
      </c>
      <c r="BP1514" s="105" t="n">
        <v>0</v>
      </c>
      <c r="BQ1514" s="105" t="n">
        <v>0</v>
      </c>
      <c r="BR1514" s="106" t="n">
        <v>0</v>
      </c>
      <c r="BS1514" s="106"/>
      <c r="BT1514" s="107"/>
      <c r="BU1514" s="107"/>
      <c r="BV1514" s="107"/>
      <c r="BW1514" s="107"/>
      <c r="BX1514" s="107"/>
      <c r="BY1514" s="107"/>
      <c r="BZ1514" s="107"/>
      <c r="CA1514" s="107"/>
      <c r="CB1514" s="107"/>
      <c r="CC1514" s="107"/>
      <c r="CD1514" s="107"/>
      <c r="CE1514" s="107"/>
      <c r="CF1514" s="107"/>
      <c r="CG1514" s="107"/>
      <c r="CH1514" s="107"/>
      <c r="CI1514" s="107"/>
      <c r="CJ1514" s="107"/>
      <c r="CK1514" s="107"/>
      <c r="CL1514" s="107"/>
      <c r="CM1514" s="107"/>
      <c r="CN1514" s="107"/>
      <c r="CO1514" s="107"/>
      <c r="CP1514" s="107"/>
      <c r="CQ1514" s="107"/>
      <c r="CR1514" s="107"/>
      <c r="CS1514" s="107"/>
      <c r="CT1514" s="107"/>
      <c r="CU1514" s="107"/>
      <c r="CV1514" s="107"/>
    </row>
    <row r="1515" customFormat="false" ht="13.8" hidden="false" customHeight="false" outlineLevel="0" collapsed="false">
      <c r="B1515" s="138"/>
      <c r="C1515" s="128"/>
      <c r="D1515" s="77"/>
      <c r="E1515" s="80"/>
      <c r="F1515" s="122"/>
      <c r="G1515" s="137"/>
      <c r="H1515" s="79" t="str">
        <f aca="false">IFERROR(VLOOKUP(E:E,'Item Data Support Sheet'!A:O,2,0),"")</f>
        <v/>
      </c>
      <c r="I1515" s="80"/>
      <c r="J1515" s="80"/>
      <c r="K1515" s="124"/>
      <c r="L1515" s="124"/>
      <c r="M1515" s="83"/>
      <c r="N1515" s="84" t="n">
        <f aca="false">+O1515+Q1515+T1515+U1515</f>
        <v>0</v>
      </c>
      <c r="O1515" s="85"/>
      <c r="P1515" s="86"/>
      <c r="Q1515" s="86"/>
      <c r="R1515" s="132"/>
      <c r="S1515" s="128"/>
      <c r="T1515" s="132"/>
      <c r="U1515" s="128"/>
      <c r="V1515" s="128"/>
      <c r="W1515" s="90" t="n">
        <f aca="false">IFERROR(O1515/V1515,0)</f>
        <v>0</v>
      </c>
      <c r="X1515" s="91" t="e">
        <f aca="false">O1515/L1515</f>
        <v>#DIV/0!</v>
      </c>
      <c r="Y1515" s="92" t="n">
        <f aca="false">IFERROR(VLOOKUP(E:E,'Item Data Support Sheet'!A:J,6,0),0)</f>
        <v>0</v>
      </c>
      <c r="Z1515" s="93" t="n">
        <f aca="false">IFERROR(VLOOKUP(E:E,'Item Data Support Sheet'!A:O,4,0),0)</f>
        <v>0</v>
      </c>
      <c r="AA1515" s="93" t="n">
        <f aca="false">IFERROR(((N1515)*(Z1515/1000))+P1515,0)</f>
        <v>0</v>
      </c>
      <c r="AB1515" s="94" t="str">
        <f aca="false">IFERROR((O1515*(Z1515/1000)/(AA1515))," ")</f>
        <v> </v>
      </c>
      <c r="AC1515" s="95" t="n">
        <f aca="false">IFERROR((T1515)/((T1515)+O1515),0)</f>
        <v>0</v>
      </c>
      <c r="AD1515" s="96" t="n">
        <f aca="false">IFERROR(Q1515/(Q1515+N1515),0)</f>
        <v>0</v>
      </c>
      <c r="AE1515" s="91" t="e">
        <f aca="false">(N1515-T1515)/N1515</f>
        <v>#DIV/0!</v>
      </c>
      <c r="AF1515" s="97" t="n">
        <f aca="false">BR1515</f>
        <v>0</v>
      </c>
      <c r="AG1515" s="98" t="n">
        <f aca="false">K1515-AF1515</f>
        <v>0</v>
      </c>
      <c r="AH1515" s="99" t="str">
        <f aca="false">IFERROR(AG1515/K1515," ")</f>
        <v> </v>
      </c>
      <c r="AI1515" s="100" t="n">
        <f aca="false">IFERROR(O1515/K1515,0)</f>
        <v>0</v>
      </c>
      <c r="AJ1515" s="101" t="e">
        <f aca="false">VLOOKUP(D1515,'Standard Cycle time'!C:D,2,0)</f>
        <v>#N/A</v>
      </c>
      <c r="AK1515" s="101" t="e">
        <f aca="false">AG1515*V1515*3600/O1515</f>
        <v>#DIV/0!</v>
      </c>
      <c r="AL1515" s="102" t="e">
        <f aca="false">AJ1515/AK1515</f>
        <v>#N/A</v>
      </c>
      <c r="AM1515" s="99" t="e">
        <f aca="false">AE1515*AL1515*AH1515</f>
        <v>#DIV/0!</v>
      </c>
      <c r="AN1515" s="103"/>
      <c r="AO1515" s="112"/>
      <c r="AP1515" s="105" t="n">
        <v>0</v>
      </c>
      <c r="AQ1515" s="105" t="n">
        <v>0</v>
      </c>
      <c r="AR1515" s="105" t="n">
        <v>0</v>
      </c>
      <c r="AS1515" s="105" t="n">
        <v>0</v>
      </c>
      <c r="AT1515" s="105" t="n">
        <v>0</v>
      </c>
      <c r="AU1515" s="105" t="n">
        <v>0</v>
      </c>
      <c r="AV1515" s="105" t="n">
        <v>0</v>
      </c>
      <c r="AW1515" s="105" t="n">
        <v>0</v>
      </c>
      <c r="AX1515" s="105" t="n">
        <v>0</v>
      </c>
      <c r="AY1515" s="105" t="n">
        <v>0</v>
      </c>
      <c r="AZ1515" s="105" t="n">
        <v>0</v>
      </c>
      <c r="BA1515" s="105" t="n">
        <v>0</v>
      </c>
      <c r="BB1515" s="105" t="n">
        <v>0</v>
      </c>
      <c r="BC1515" s="105" t="n">
        <v>0</v>
      </c>
      <c r="BD1515" s="105" t="n">
        <v>0</v>
      </c>
      <c r="BE1515" s="105" t="n">
        <v>0</v>
      </c>
      <c r="BF1515" s="105" t="n">
        <v>0</v>
      </c>
      <c r="BG1515" s="105" t="n">
        <v>0</v>
      </c>
      <c r="BH1515" s="105" t="n">
        <v>0</v>
      </c>
      <c r="BI1515" s="105" t="n">
        <v>0</v>
      </c>
      <c r="BJ1515" s="105" t="n">
        <v>0</v>
      </c>
      <c r="BK1515" s="105" t="n">
        <v>0</v>
      </c>
      <c r="BL1515" s="105" t="n">
        <v>0</v>
      </c>
      <c r="BM1515" s="105" t="n">
        <v>0</v>
      </c>
      <c r="BN1515" s="105" t="n">
        <v>0</v>
      </c>
      <c r="BO1515" s="105" t="n">
        <v>0</v>
      </c>
      <c r="BP1515" s="105" t="n">
        <v>0</v>
      </c>
      <c r="BQ1515" s="105" t="n">
        <v>0</v>
      </c>
      <c r="BR1515" s="106" t="n">
        <v>0</v>
      </c>
      <c r="BS1515" s="106"/>
      <c r="BT1515" s="107"/>
      <c r="BU1515" s="107"/>
      <c r="BV1515" s="107"/>
      <c r="BW1515" s="107"/>
      <c r="BX1515" s="107"/>
      <c r="BY1515" s="107"/>
      <c r="BZ1515" s="107"/>
      <c r="CA1515" s="107"/>
      <c r="CB1515" s="107"/>
      <c r="CC1515" s="107"/>
      <c r="CD1515" s="107"/>
      <c r="CE1515" s="107"/>
      <c r="CF1515" s="107"/>
      <c r="CG1515" s="107"/>
      <c r="CH1515" s="107"/>
      <c r="CI1515" s="107"/>
      <c r="CJ1515" s="107"/>
      <c r="CK1515" s="107"/>
      <c r="CL1515" s="107"/>
      <c r="CM1515" s="107"/>
      <c r="CN1515" s="107"/>
      <c r="CO1515" s="107"/>
      <c r="CP1515" s="107"/>
      <c r="CQ1515" s="107"/>
      <c r="CR1515" s="107"/>
      <c r="CS1515" s="107"/>
      <c r="CT1515" s="107"/>
      <c r="CU1515" s="107"/>
      <c r="CV1515" s="107"/>
    </row>
    <row r="1516" customFormat="false" ht="13.8" hidden="false" customHeight="false" outlineLevel="0" collapsed="false">
      <c r="B1516" s="138"/>
      <c r="C1516" s="128"/>
      <c r="D1516" s="77"/>
      <c r="E1516" s="80"/>
      <c r="F1516" s="122"/>
      <c r="G1516" s="137"/>
      <c r="H1516" s="79" t="str">
        <f aca="false">IFERROR(VLOOKUP(E:E,'Item Data Support Sheet'!A:O,2,0),"")</f>
        <v/>
      </c>
      <c r="I1516" s="80"/>
      <c r="J1516" s="80"/>
      <c r="K1516" s="124"/>
      <c r="L1516" s="124"/>
      <c r="M1516" s="83"/>
      <c r="N1516" s="84" t="n">
        <f aca="false">+O1516+Q1516+T1516+U1516</f>
        <v>0</v>
      </c>
      <c r="O1516" s="85"/>
      <c r="P1516" s="86"/>
      <c r="Q1516" s="86"/>
      <c r="R1516" s="132"/>
      <c r="S1516" s="128"/>
      <c r="T1516" s="132"/>
      <c r="U1516" s="128"/>
      <c r="V1516" s="128"/>
      <c r="W1516" s="90" t="n">
        <f aca="false">IFERROR(O1516/V1516,0)</f>
        <v>0</v>
      </c>
      <c r="X1516" s="91" t="e">
        <f aca="false">O1516/L1516</f>
        <v>#DIV/0!</v>
      </c>
      <c r="Y1516" s="92" t="n">
        <f aca="false">IFERROR(VLOOKUP(E:E,'Item Data Support Sheet'!A:J,6,0),0)</f>
        <v>0</v>
      </c>
      <c r="Z1516" s="93" t="n">
        <f aca="false">IFERROR(VLOOKUP(E:E,'Item Data Support Sheet'!A:O,4,0),0)</f>
        <v>0</v>
      </c>
      <c r="AA1516" s="93" t="n">
        <f aca="false">IFERROR(((N1516)*(Z1516/1000))+P1516,0)</f>
        <v>0</v>
      </c>
      <c r="AB1516" s="94" t="str">
        <f aca="false">IFERROR((O1516*(Z1516/1000)/(AA1516))," ")</f>
        <v> </v>
      </c>
      <c r="AC1516" s="95" t="n">
        <f aca="false">IFERROR((T1516)/((T1516)+O1516),0)</f>
        <v>0</v>
      </c>
      <c r="AD1516" s="96" t="n">
        <f aca="false">IFERROR(Q1516/(Q1516+N1516),0)</f>
        <v>0</v>
      </c>
      <c r="AE1516" s="91" t="e">
        <f aca="false">(N1516-T1516)/N1516</f>
        <v>#DIV/0!</v>
      </c>
      <c r="AF1516" s="97" t="n">
        <f aca="false">BR1516</f>
        <v>0</v>
      </c>
      <c r="AG1516" s="98" t="n">
        <f aca="false">K1516-AF1516</f>
        <v>0</v>
      </c>
      <c r="AH1516" s="99" t="str">
        <f aca="false">IFERROR(AG1516/K1516," ")</f>
        <v> </v>
      </c>
      <c r="AI1516" s="100" t="n">
        <f aca="false">IFERROR(O1516/K1516,0)</f>
        <v>0</v>
      </c>
      <c r="AJ1516" s="101" t="e">
        <f aca="false">VLOOKUP(D1516,'Standard Cycle time'!C:D,2,0)</f>
        <v>#N/A</v>
      </c>
      <c r="AK1516" s="101" t="e">
        <f aca="false">AG1516*V1516*3600/O1516</f>
        <v>#DIV/0!</v>
      </c>
      <c r="AL1516" s="102" t="e">
        <f aca="false">AJ1516/AK1516</f>
        <v>#N/A</v>
      </c>
      <c r="AM1516" s="99" t="e">
        <f aca="false">AE1516*AL1516*AH1516</f>
        <v>#DIV/0!</v>
      </c>
      <c r="AN1516" s="103"/>
      <c r="AO1516" s="112"/>
      <c r="AP1516" s="105" t="n">
        <v>0</v>
      </c>
      <c r="AQ1516" s="105" t="n">
        <v>0</v>
      </c>
      <c r="AR1516" s="105" t="n">
        <v>0</v>
      </c>
      <c r="AS1516" s="105" t="n">
        <v>0</v>
      </c>
      <c r="AT1516" s="105" t="n">
        <v>0</v>
      </c>
      <c r="AU1516" s="105" t="n">
        <v>0</v>
      </c>
      <c r="AV1516" s="105" t="n">
        <v>0</v>
      </c>
      <c r="AW1516" s="105" t="n">
        <v>0</v>
      </c>
      <c r="AX1516" s="105" t="n">
        <v>0</v>
      </c>
      <c r="AY1516" s="105" t="n">
        <v>0</v>
      </c>
      <c r="AZ1516" s="105" t="n">
        <v>0</v>
      </c>
      <c r="BA1516" s="105" t="n">
        <v>0</v>
      </c>
      <c r="BB1516" s="105" t="n">
        <v>0</v>
      </c>
      <c r="BC1516" s="105" t="n">
        <v>0</v>
      </c>
      <c r="BD1516" s="105" t="n">
        <v>0</v>
      </c>
      <c r="BE1516" s="105" t="n">
        <v>0</v>
      </c>
      <c r="BF1516" s="105" t="n">
        <v>0</v>
      </c>
      <c r="BG1516" s="105" t="n">
        <v>0</v>
      </c>
      <c r="BH1516" s="105" t="n">
        <v>0</v>
      </c>
      <c r="BI1516" s="105" t="n">
        <v>0</v>
      </c>
      <c r="BJ1516" s="105" t="n">
        <v>0</v>
      </c>
      <c r="BK1516" s="105" t="n">
        <v>0</v>
      </c>
      <c r="BL1516" s="105" t="n">
        <v>0</v>
      </c>
      <c r="BM1516" s="105" t="n">
        <v>0</v>
      </c>
      <c r="BN1516" s="105" t="n">
        <v>0</v>
      </c>
      <c r="BO1516" s="105" t="n">
        <v>0</v>
      </c>
      <c r="BP1516" s="105" t="n">
        <v>0</v>
      </c>
      <c r="BQ1516" s="105" t="n">
        <v>0</v>
      </c>
      <c r="BR1516" s="106" t="n">
        <v>0</v>
      </c>
      <c r="BS1516" s="106"/>
      <c r="BT1516" s="107"/>
      <c r="BU1516" s="107"/>
      <c r="BV1516" s="107"/>
      <c r="BW1516" s="107"/>
      <c r="BX1516" s="107"/>
      <c r="BY1516" s="107"/>
      <c r="BZ1516" s="107"/>
      <c r="CA1516" s="107"/>
      <c r="CB1516" s="107"/>
      <c r="CC1516" s="107"/>
      <c r="CD1516" s="107"/>
      <c r="CE1516" s="107"/>
      <c r="CF1516" s="107"/>
      <c r="CG1516" s="107"/>
      <c r="CH1516" s="107"/>
      <c r="CI1516" s="107"/>
      <c r="CJ1516" s="107"/>
      <c r="CK1516" s="107"/>
      <c r="CL1516" s="107"/>
      <c r="CM1516" s="107"/>
      <c r="CN1516" s="107"/>
      <c r="CO1516" s="107"/>
      <c r="CP1516" s="107"/>
      <c r="CQ1516" s="107"/>
      <c r="CR1516" s="107"/>
      <c r="CS1516" s="107"/>
      <c r="CT1516" s="107"/>
      <c r="CU1516" s="107"/>
      <c r="CV1516" s="107"/>
    </row>
    <row r="1517" customFormat="false" ht="13.8" hidden="false" customHeight="false" outlineLevel="0" collapsed="false">
      <c r="B1517" s="138"/>
      <c r="C1517" s="128"/>
      <c r="D1517" s="77"/>
      <c r="E1517" s="80"/>
      <c r="F1517" s="122"/>
      <c r="G1517" s="137"/>
      <c r="H1517" s="79" t="str">
        <f aca="false">IFERROR(VLOOKUP(E:E,'Item Data Support Sheet'!A:O,2,0),"")</f>
        <v/>
      </c>
      <c r="I1517" s="80"/>
      <c r="J1517" s="80"/>
      <c r="K1517" s="124"/>
      <c r="L1517" s="124"/>
      <c r="M1517" s="83"/>
      <c r="N1517" s="84" t="n">
        <f aca="false">+O1517+Q1517+T1517+U1517</f>
        <v>0</v>
      </c>
      <c r="O1517" s="85"/>
      <c r="P1517" s="86"/>
      <c r="Q1517" s="86"/>
      <c r="R1517" s="132"/>
      <c r="S1517" s="128"/>
      <c r="T1517" s="132"/>
      <c r="U1517" s="128"/>
      <c r="V1517" s="128"/>
      <c r="W1517" s="90" t="n">
        <f aca="false">IFERROR(O1517/V1517,0)</f>
        <v>0</v>
      </c>
      <c r="X1517" s="91" t="e">
        <f aca="false">O1517/L1517</f>
        <v>#DIV/0!</v>
      </c>
      <c r="Y1517" s="92" t="n">
        <f aca="false">IFERROR(VLOOKUP(E:E,'Item Data Support Sheet'!A:J,6,0),0)</f>
        <v>0</v>
      </c>
      <c r="Z1517" s="93" t="n">
        <f aca="false">IFERROR(VLOOKUP(E:E,'Item Data Support Sheet'!A:O,4,0),0)</f>
        <v>0</v>
      </c>
      <c r="AA1517" s="93" t="n">
        <f aca="false">IFERROR(((N1517)*(Z1517/1000))+P1517,0)</f>
        <v>0</v>
      </c>
      <c r="AB1517" s="94" t="str">
        <f aca="false">IFERROR((O1517*(Z1517/1000)/(AA1517))," ")</f>
        <v> </v>
      </c>
      <c r="AC1517" s="95" t="n">
        <f aca="false">IFERROR((T1517)/((T1517)+O1517),0)</f>
        <v>0</v>
      </c>
      <c r="AD1517" s="96" t="n">
        <f aca="false">IFERROR(Q1517/(Q1517+N1517),0)</f>
        <v>0</v>
      </c>
      <c r="AE1517" s="91" t="e">
        <f aca="false">(N1517-T1517)/N1517</f>
        <v>#DIV/0!</v>
      </c>
      <c r="AF1517" s="97" t="n">
        <f aca="false">BR1517</f>
        <v>0</v>
      </c>
      <c r="AG1517" s="98" t="n">
        <f aca="false">K1517-AF1517</f>
        <v>0</v>
      </c>
      <c r="AH1517" s="99" t="str">
        <f aca="false">IFERROR(AG1517/K1517," ")</f>
        <v> </v>
      </c>
      <c r="AI1517" s="100" t="n">
        <f aca="false">IFERROR(O1517/K1517,0)</f>
        <v>0</v>
      </c>
      <c r="AJ1517" s="101" t="e">
        <f aca="false">VLOOKUP(D1517,'Standard Cycle time'!C:D,2,0)</f>
        <v>#N/A</v>
      </c>
      <c r="AK1517" s="101" t="e">
        <f aca="false">AG1517*V1517*3600/O1517</f>
        <v>#DIV/0!</v>
      </c>
      <c r="AL1517" s="102" t="e">
        <f aca="false">AJ1517/AK1517</f>
        <v>#N/A</v>
      </c>
      <c r="AM1517" s="99" t="e">
        <f aca="false">AE1517*AL1517*AH1517</f>
        <v>#DIV/0!</v>
      </c>
      <c r="AN1517" s="103"/>
      <c r="AO1517" s="112"/>
      <c r="AP1517" s="105"/>
      <c r="AQ1517" s="105"/>
      <c r="AR1517" s="105"/>
      <c r="AS1517" s="105"/>
      <c r="AT1517" s="105"/>
      <c r="AU1517" s="105"/>
      <c r="AV1517" s="105"/>
      <c r="AW1517" s="105"/>
      <c r="AX1517" s="105"/>
      <c r="AY1517" s="105"/>
      <c r="AZ1517" s="105"/>
      <c r="BA1517" s="105"/>
      <c r="BB1517" s="105"/>
      <c r="BC1517" s="105"/>
      <c r="BD1517" s="105"/>
      <c r="BE1517" s="105"/>
      <c r="BF1517" s="105"/>
      <c r="BG1517" s="105"/>
      <c r="BH1517" s="105"/>
      <c r="BI1517" s="105"/>
      <c r="BJ1517" s="105"/>
      <c r="BK1517" s="105"/>
      <c r="BL1517" s="105"/>
      <c r="BM1517" s="105"/>
      <c r="BN1517" s="105"/>
      <c r="BO1517" s="105"/>
      <c r="BP1517" s="105"/>
      <c r="BQ1517" s="105"/>
      <c r="BR1517" s="106"/>
      <c r="BS1517" s="106"/>
      <c r="BT1517" s="107"/>
      <c r="BU1517" s="107"/>
      <c r="BV1517" s="107"/>
      <c r="BW1517" s="107"/>
      <c r="BX1517" s="107"/>
      <c r="BY1517" s="107"/>
      <c r="BZ1517" s="107"/>
      <c r="CA1517" s="107"/>
      <c r="CB1517" s="107"/>
      <c r="CC1517" s="107"/>
      <c r="CD1517" s="107"/>
      <c r="CE1517" s="107"/>
      <c r="CF1517" s="107"/>
      <c r="CG1517" s="107"/>
      <c r="CH1517" s="107"/>
      <c r="CI1517" s="107"/>
      <c r="CJ1517" s="107"/>
      <c r="CK1517" s="107"/>
      <c r="CL1517" s="107"/>
      <c r="CM1517" s="107"/>
      <c r="CN1517" s="107"/>
      <c r="CO1517" s="107"/>
      <c r="CP1517" s="107"/>
      <c r="CQ1517" s="107"/>
      <c r="CR1517" s="107"/>
      <c r="CS1517" s="107"/>
      <c r="CT1517" s="107"/>
      <c r="CU1517" s="107"/>
      <c r="CV1517" s="107"/>
    </row>
    <row r="1518" customFormat="false" ht="13.8" hidden="false" customHeight="false" outlineLevel="0" collapsed="false">
      <c r="B1518" s="138"/>
      <c r="C1518" s="128"/>
      <c r="D1518" s="77"/>
      <c r="E1518" s="80"/>
      <c r="F1518" s="122"/>
      <c r="G1518" s="137"/>
      <c r="H1518" s="79" t="str">
        <f aca="false">IFERROR(VLOOKUP(E:E,'Item Data Support Sheet'!A:O,2,0),"")</f>
        <v/>
      </c>
      <c r="I1518" s="80"/>
      <c r="J1518" s="80"/>
      <c r="K1518" s="124"/>
      <c r="L1518" s="124"/>
      <c r="M1518" s="83"/>
      <c r="N1518" s="84" t="n">
        <f aca="false">+O1518+Q1518+T1518+U1518</f>
        <v>0</v>
      </c>
      <c r="O1518" s="85"/>
      <c r="P1518" s="86"/>
      <c r="Q1518" s="86"/>
      <c r="R1518" s="132"/>
      <c r="S1518" s="128"/>
      <c r="T1518" s="132"/>
      <c r="U1518" s="128"/>
      <c r="V1518" s="128"/>
      <c r="W1518" s="90" t="n">
        <f aca="false">IFERROR(O1518/V1518,0)</f>
        <v>0</v>
      </c>
      <c r="X1518" s="91" t="e">
        <f aca="false">O1518/L1518</f>
        <v>#DIV/0!</v>
      </c>
      <c r="Y1518" s="92" t="n">
        <f aca="false">IFERROR(VLOOKUP(E:E,'Item Data Support Sheet'!A:J,6,0),0)</f>
        <v>0</v>
      </c>
      <c r="Z1518" s="93" t="n">
        <f aca="false">IFERROR(VLOOKUP(E:E,'Item Data Support Sheet'!A:O,4,0),0)</f>
        <v>0</v>
      </c>
      <c r="AA1518" s="93" t="n">
        <f aca="false">IFERROR(((N1518)*(Z1518/1000))+P1518,0)</f>
        <v>0</v>
      </c>
      <c r="AB1518" s="94" t="str">
        <f aca="false">IFERROR((O1518*(Z1518/1000)/(AA1518))," ")</f>
        <v> </v>
      </c>
      <c r="AC1518" s="95" t="n">
        <f aca="false">IFERROR((T1518)/((T1518)+O1518),0)</f>
        <v>0</v>
      </c>
      <c r="AD1518" s="96" t="n">
        <f aca="false">IFERROR(Q1518/(Q1518+N1518),0)</f>
        <v>0</v>
      </c>
      <c r="AE1518" s="91" t="e">
        <f aca="false">(N1518-T1518)/N1518</f>
        <v>#DIV/0!</v>
      </c>
      <c r="AF1518" s="97" t="n">
        <f aca="false">BR1518</f>
        <v>0</v>
      </c>
      <c r="AG1518" s="98" t="n">
        <f aca="false">K1518-AF1518</f>
        <v>0</v>
      </c>
      <c r="AH1518" s="99" t="str">
        <f aca="false">IFERROR(AG1518/K1518," ")</f>
        <v> </v>
      </c>
      <c r="AI1518" s="100" t="n">
        <f aca="false">IFERROR(O1518/K1518,0)</f>
        <v>0</v>
      </c>
      <c r="AJ1518" s="101" t="e">
        <f aca="false">VLOOKUP(D1518,'Standard Cycle time'!C:D,2,0)</f>
        <v>#N/A</v>
      </c>
      <c r="AK1518" s="101" t="e">
        <f aca="false">AG1518*V1518*3600/O1518</f>
        <v>#DIV/0!</v>
      </c>
      <c r="AL1518" s="102" t="e">
        <f aca="false">AJ1518/AK1518</f>
        <v>#N/A</v>
      </c>
      <c r="AM1518" s="99" t="e">
        <f aca="false">AE1518*AL1518*AH1518</f>
        <v>#DIV/0!</v>
      </c>
      <c r="AN1518" s="103"/>
      <c r="AO1518" s="112"/>
      <c r="AP1518" s="105"/>
      <c r="AQ1518" s="105"/>
      <c r="AR1518" s="105"/>
      <c r="AS1518" s="105"/>
      <c r="AT1518" s="105"/>
      <c r="AU1518" s="105"/>
      <c r="AV1518" s="105"/>
      <c r="AW1518" s="105"/>
      <c r="AX1518" s="105"/>
      <c r="AY1518" s="105"/>
      <c r="AZ1518" s="105"/>
      <c r="BA1518" s="105"/>
      <c r="BB1518" s="105"/>
      <c r="BC1518" s="105"/>
      <c r="BD1518" s="105"/>
      <c r="BE1518" s="105"/>
      <c r="BF1518" s="105"/>
      <c r="BG1518" s="105"/>
      <c r="BH1518" s="105"/>
      <c r="BI1518" s="105"/>
      <c r="BJ1518" s="105"/>
      <c r="BK1518" s="105"/>
      <c r="BL1518" s="105"/>
      <c r="BM1518" s="105"/>
      <c r="BN1518" s="105"/>
      <c r="BO1518" s="105"/>
      <c r="BP1518" s="105"/>
      <c r="BQ1518" s="105"/>
      <c r="BR1518" s="106"/>
      <c r="BS1518" s="106"/>
      <c r="BT1518" s="107"/>
      <c r="BU1518" s="107"/>
      <c r="BV1518" s="107"/>
      <c r="BW1518" s="107"/>
      <c r="BX1518" s="107"/>
      <c r="BY1518" s="107"/>
      <c r="BZ1518" s="107"/>
      <c r="CA1518" s="107"/>
      <c r="CB1518" s="107"/>
      <c r="CC1518" s="107"/>
      <c r="CD1518" s="107"/>
      <c r="CE1518" s="107"/>
      <c r="CF1518" s="107"/>
      <c r="CG1518" s="107"/>
      <c r="CH1518" s="107"/>
      <c r="CI1518" s="107"/>
      <c r="CJ1518" s="107"/>
      <c r="CK1518" s="107"/>
      <c r="CL1518" s="107"/>
      <c r="CM1518" s="107"/>
      <c r="CN1518" s="107"/>
      <c r="CO1518" s="107"/>
      <c r="CP1518" s="107"/>
      <c r="CQ1518" s="107"/>
      <c r="CR1518" s="107"/>
      <c r="CS1518" s="107"/>
      <c r="CT1518" s="107"/>
      <c r="CU1518" s="107"/>
      <c r="CV1518" s="107"/>
    </row>
    <row r="1519" customFormat="false" ht="13.8" hidden="false" customHeight="false" outlineLevel="0" collapsed="false">
      <c r="B1519" s="138"/>
      <c r="C1519" s="128"/>
      <c r="D1519" s="77"/>
      <c r="E1519" s="80"/>
      <c r="F1519" s="122"/>
      <c r="G1519" s="137"/>
      <c r="H1519" s="79" t="str">
        <f aca="false">IFERROR(VLOOKUP(E:E,'Item Data Support Sheet'!A:O,2,0),"")</f>
        <v/>
      </c>
      <c r="I1519" s="80"/>
      <c r="J1519" s="80"/>
      <c r="K1519" s="124"/>
      <c r="L1519" s="124"/>
      <c r="M1519" s="83"/>
      <c r="N1519" s="84" t="n">
        <f aca="false">+O1519+Q1519+T1519+U1519</f>
        <v>0</v>
      </c>
      <c r="O1519" s="85"/>
      <c r="P1519" s="86"/>
      <c r="Q1519" s="86"/>
      <c r="R1519" s="132"/>
      <c r="S1519" s="128"/>
      <c r="T1519" s="132"/>
      <c r="U1519" s="128"/>
      <c r="V1519" s="128"/>
      <c r="W1519" s="90" t="n">
        <f aca="false">IFERROR(O1519/V1519,0)</f>
        <v>0</v>
      </c>
      <c r="X1519" s="91" t="e">
        <f aca="false">O1519/L1519</f>
        <v>#DIV/0!</v>
      </c>
      <c r="Y1519" s="92" t="n">
        <f aca="false">IFERROR(VLOOKUP(E:E,'Item Data Support Sheet'!A:J,6,0),0)</f>
        <v>0</v>
      </c>
      <c r="Z1519" s="93" t="n">
        <f aca="false">IFERROR(VLOOKUP(E:E,'Item Data Support Sheet'!A:O,4,0),0)</f>
        <v>0</v>
      </c>
      <c r="AA1519" s="93" t="n">
        <f aca="false">IFERROR(((N1519)*(Z1519/1000))+P1519,0)</f>
        <v>0</v>
      </c>
      <c r="AB1519" s="94" t="str">
        <f aca="false">IFERROR((O1519*(Z1519/1000)/(AA1519))," ")</f>
        <v> </v>
      </c>
      <c r="AC1519" s="95" t="n">
        <f aca="false">IFERROR((T1519)/((T1519)+O1519),0)</f>
        <v>0</v>
      </c>
      <c r="AD1519" s="96" t="n">
        <f aca="false">IFERROR(Q1519/(Q1519+N1519),0)</f>
        <v>0</v>
      </c>
      <c r="AE1519" s="91" t="e">
        <f aca="false">(N1519-T1519)/N1519</f>
        <v>#DIV/0!</v>
      </c>
      <c r="AF1519" s="97" t="n">
        <f aca="false">BR1519</f>
        <v>0</v>
      </c>
      <c r="AG1519" s="98" t="n">
        <f aca="false">K1519-AF1519</f>
        <v>0</v>
      </c>
      <c r="AH1519" s="99" t="str">
        <f aca="false">IFERROR(AG1519/K1519," ")</f>
        <v> </v>
      </c>
      <c r="AI1519" s="100" t="n">
        <f aca="false">IFERROR(O1519/K1519,0)</f>
        <v>0</v>
      </c>
      <c r="AJ1519" s="101" t="e">
        <f aca="false">VLOOKUP(D1519,'Standard Cycle time'!C:D,2,0)</f>
        <v>#N/A</v>
      </c>
      <c r="AK1519" s="101" t="e">
        <f aca="false">AG1519*V1519*3600/O1519</f>
        <v>#DIV/0!</v>
      </c>
      <c r="AL1519" s="102" t="e">
        <f aca="false">AJ1519/AK1519</f>
        <v>#N/A</v>
      </c>
      <c r="AM1519" s="99" t="e">
        <f aca="false">AE1519*AL1519*AH1519</f>
        <v>#DIV/0!</v>
      </c>
      <c r="AN1519" s="103"/>
      <c r="AO1519" s="112"/>
      <c r="AP1519" s="105"/>
      <c r="AQ1519" s="105"/>
      <c r="AR1519" s="105"/>
      <c r="AS1519" s="105"/>
      <c r="AT1519" s="105"/>
      <c r="AU1519" s="105"/>
      <c r="AV1519" s="105"/>
      <c r="AW1519" s="105"/>
      <c r="AX1519" s="105"/>
      <c r="AY1519" s="105"/>
      <c r="AZ1519" s="105"/>
      <c r="BA1519" s="105"/>
      <c r="BB1519" s="105"/>
      <c r="BC1519" s="105"/>
      <c r="BD1519" s="105"/>
      <c r="BE1519" s="105"/>
      <c r="BF1519" s="105"/>
      <c r="BG1519" s="105"/>
      <c r="BH1519" s="105"/>
      <c r="BI1519" s="105"/>
      <c r="BJ1519" s="105"/>
      <c r="BK1519" s="105"/>
      <c r="BL1519" s="105"/>
      <c r="BM1519" s="105"/>
      <c r="BN1519" s="105"/>
      <c r="BO1519" s="105"/>
      <c r="BP1519" s="105"/>
      <c r="BQ1519" s="105"/>
      <c r="BR1519" s="106"/>
      <c r="BS1519" s="106"/>
      <c r="BT1519" s="107"/>
      <c r="BU1519" s="107"/>
      <c r="BV1519" s="107"/>
      <c r="BW1519" s="107"/>
      <c r="BX1519" s="107"/>
      <c r="BY1519" s="107"/>
      <c r="BZ1519" s="107"/>
      <c r="CA1519" s="107"/>
      <c r="CB1519" s="107"/>
      <c r="CC1519" s="107"/>
      <c r="CD1519" s="107"/>
      <c r="CE1519" s="107"/>
      <c r="CF1519" s="107"/>
      <c r="CG1519" s="107"/>
      <c r="CH1519" s="107"/>
      <c r="CI1519" s="107"/>
      <c r="CJ1519" s="107"/>
      <c r="CK1519" s="107"/>
      <c r="CL1519" s="107"/>
      <c r="CM1519" s="107"/>
      <c r="CN1519" s="107"/>
      <c r="CO1519" s="107"/>
      <c r="CP1519" s="107"/>
      <c r="CQ1519" s="107"/>
      <c r="CR1519" s="107"/>
      <c r="CS1519" s="107"/>
      <c r="CT1519" s="107"/>
      <c r="CU1519" s="107"/>
      <c r="CV1519" s="107"/>
    </row>
    <row r="1520" customFormat="false" ht="13.8" hidden="false" customHeight="false" outlineLevel="0" collapsed="false">
      <c r="B1520" s="138"/>
      <c r="C1520" s="128"/>
      <c r="D1520" s="77"/>
      <c r="E1520" s="80"/>
      <c r="F1520" s="122"/>
      <c r="G1520" s="137"/>
      <c r="H1520" s="79" t="str">
        <f aca="false">IFERROR(VLOOKUP(E:E,'Item Data Support Sheet'!A:O,2,0),"")</f>
        <v/>
      </c>
      <c r="I1520" s="80"/>
      <c r="J1520" s="80"/>
      <c r="K1520" s="124"/>
      <c r="L1520" s="124"/>
      <c r="M1520" s="83"/>
      <c r="N1520" s="84" t="n">
        <f aca="false">+O1520+Q1520+T1520+U1520</f>
        <v>0</v>
      </c>
      <c r="O1520" s="85"/>
      <c r="P1520" s="86"/>
      <c r="Q1520" s="86"/>
      <c r="R1520" s="132"/>
      <c r="S1520" s="128"/>
      <c r="T1520" s="132"/>
      <c r="U1520" s="128"/>
      <c r="V1520" s="128"/>
      <c r="W1520" s="90" t="n">
        <f aca="false">IFERROR(O1520/V1520,0)</f>
        <v>0</v>
      </c>
      <c r="X1520" s="91" t="e">
        <f aca="false">O1520/L1520</f>
        <v>#DIV/0!</v>
      </c>
      <c r="Y1520" s="92" t="n">
        <f aca="false">IFERROR(VLOOKUP(E:E,'Item Data Support Sheet'!A:J,6,0),0)</f>
        <v>0</v>
      </c>
      <c r="Z1520" s="93" t="n">
        <f aca="false">IFERROR(VLOOKUP(E:E,'Item Data Support Sheet'!A:O,4,0),0)</f>
        <v>0</v>
      </c>
      <c r="AA1520" s="93" t="n">
        <f aca="false">IFERROR(((N1520)*(Z1520/1000))+P1520,0)</f>
        <v>0</v>
      </c>
      <c r="AB1520" s="94" t="str">
        <f aca="false">IFERROR((O1520*(Z1520/1000)/(AA1520))," ")</f>
        <v> </v>
      </c>
      <c r="AC1520" s="95" t="n">
        <f aca="false">IFERROR((T1520)/((T1520)+O1520),0)</f>
        <v>0</v>
      </c>
      <c r="AD1520" s="96" t="n">
        <f aca="false">IFERROR(Q1520/(Q1520+N1520),0)</f>
        <v>0</v>
      </c>
      <c r="AE1520" s="91" t="e">
        <f aca="false">(N1520-T1520)/N1520</f>
        <v>#DIV/0!</v>
      </c>
      <c r="AF1520" s="97" t="n">
        <f aca="false">BR1520</f>
        <v>0</v>
      </c>
      <c r="AG1520" s="98" t="n">
        <f aca="false">K1520-AF1520</f>
        <v>0</v>
      </c>
      <c r="AH1520" s="99" t="str">
        <f aca="false">IFERROR(AG1520/K1520," ")</f>
        <v> </v>
      </c>
      <c r="AI1520" s="100" t="n">
        <f aca="false">IFERROR(O1520/K1520,0)</f>
        <v>0</v>
      </c>
      <c r="AJ1520" s="101" t="e">
        <f aca="false">VLOOKUP(D1520,'Standard Cycle time'!C:D,2,0)</f>
        <v>#N/A</v>
      </c>
      <c r="AK1520" s="101" t="e">
        <f aca="false">AG1520*V1520*3600/O1520</f>
        <v>#DIV/0!</v>
      </c>
      <c r="AL1520" s="102" t="e">
        <f aca="false">AJ1520/AK1520</f>
        <v>#N/A</v>
      </c>
      <c r="AM1520" s="99" t="e">
        <f aca="false">AE1520*AL1520*AH1520</f>
        <v>#DIV/0!</v>
      </c>
      <c r="AN1520" s="103"/>
      <c r="AO1520" s="112"/>
      <c r="AP1520" s="105"/>
      <c r="AQ1520" s="105"/>
      <c r="AR1520" s="105"/>
      <c r="AS1520" s="105"/>
      <c r="AT1520" s="105"/>
      <c r="AU1520" s="105"/>
      <c r="AV1520" s="105"/>
      <c r="AW1520" s="105"/>
      <c r="AX1520" s="105"/>
      <c r="AY1520" s="105"/>
      <c r="AZ1520" s="105"/>
      <c r="BA1520" s="105"/>
      <c r="BB1520" s="105"/>
      <c r="BC1520" s="105"/>
      <c r="BD1520" s="105"/>
      <c r="BE1520" s="105"/>
      <c r="BF1520" s="105"/>
      <c r="BG1520" s="105"/>
      <c r="BH1520" s="105"/>
      <c r="BI1520" s="105"/>
      <c r="BJ1520" s="105"/>
      <c r="BK1520" s="105"/>
      <c r="BL1520" s="105"/>
      <c r="BM1520" s="105"/>
      <c r="BN1520" s="105"/>
      <c r="BO1520" s="105"/>
      <c r="BP1520" s="105"/>
      <c r="BQ1520" s="105"/>
      <c r="BR1520" s="106"/>
      <c r="BS1520" s="106"/>
      <c r="BT1520" s="107"/>
      <c r="BU1520" s="107"/>
      <c r="BV1520" s="107"/>
      <c r="BW1520" s="107"/>
      <c r="BX1520" s="107"/>
      <c r="BY1520" s="107"/>
      <c r="BZ1520" s="107"/>
      <c r="CA1520" s="107"/>
      <c r="CB1520" s="107"/>
      <c r="CC1520" s="107"/>
      <c r="CD1520" s="107"/>
      <c r="CE1520" s="107"/>
      <c r="CF1520" s="107"/>
      <c r="CG1520" s="107"/>
      <c r="CH1520" s="107"/>
      <c r="CI1520" s="107"/>
      <c r="CJ1520" s="107"/>
      <c r="CK1520" s="107"/>
      <c r="CL1520" s="107"/>
      <c r="CM1520" s="107"/>
      <c r="CN1520" s="107"/>
      <c r="CO1520" s="107"/>
      <c r="CP1520" s="107"/>
      <c r="CQ1520" s="107"/>
      <c r="CR1520" s="107"/>
      <c r="CS1520" s="107"/>
      <c r="CT1520" s="107"/>
      <c r="CU1520" s="107"/>
      <c r="CV1520" s="107"/>
    </row>
    <row r="1521" customFormat="false" ht="13.8" hidden="false" customHeight="false" outlineLevel="0" collapsed="false">
      <c r="B1521" s="138"/>
      <c r="C1521" s="128"/>
      <c r="D1521" s="77"/>
      <c r="E1521" s="80"/>
      <c r="F1521" s="122"/>
      <c r="G1521" s="137"/>
      <c r="H1521" s="79" t="str">
        <f aca="false">IFERROR(VLOOKUP(E:E,'Item Data Support Sheet'!A:O,2,0),"")</f>
        <v/>
      </c>
      <c r="I1521" s="80"/>
      <c r="J1521" s="80"/>
      <c r="K1521" s="124"/>
      <c r="L1521" s="124"/>
      <c r="M1521" s="83"/>
      <c r="N1521" s="84" t="n">
        <f aca="false">+O1521+Q1521+T1521+U1521</f>
        <v>0</v>
      </c>
      <c r="O1521" s="85"/>
      <c r="P1521" s="86"/>
      <c r="Q1521" s="86"/>
      <c r="R1521" s="132"/>
      <c r="S1521" s="128"/>
      <c r="T1521" s="132"/>
      <c r="U1521" s="128"/>
      <c r="V1521" s="128"/>
      <c r="W1521" s="90" t="n">
        <f aca="false">IFERROR(O1521/V1521,0)</f>
        <v>0</v>
      </c>
      <c r="X1521" s="91" t="e">
        <f aca="false">O1521/L1521</f>
        <v>#DIV/0!</v>
      </c>
      <c r="Y1521" s="92" t="n">
        <f aca="false">IFERROR(VLOOKUP(E:E,'Item Data Support Sheet'!A:J,6,0),0)</f>
        <v>0</v>
      </c>
      <c r="Z1521" s="93" t="n">
        <f aca="false">IFERROR(VLOOKUP(E:E,'Item Data Support Sheet'!A:O,4,0),0)</f>
        <v>0</v>
      </c>
      <c r="AA1521" s="93" t="n">
        <f aca="false">IFERROR(((N1521)*(Z1521/1000))+P1521,0)</f>
        <v>0</v>
      </c>
      <c r="AB1521" s="94" t="str">
        <f aca="false">IFERROR((O1521*(Z1521/1000)/(AA1521))," ")</f>
        <v> </v>
      </c>
      <c r="AC1521" s="95" t="n">
        <f aca="false">IFERROR((T1521)/((T1521)+O1521),0)</f>
        <v>0</v>
      </c>
      <c r="AD1521" s="96" t="n">
        <f aca="false">IFERROR(Q1521/(Q1521+N1521),0)</f>
        <v>0</v>
      </c>
      <c r="AE1521" s="91" t="e">
        <f aca="false">(N1521-T1521)/N1521</f>
        <v>#DIV/0!</v>
      </c>
      <c r="AF1521" s="97" t="n">
        <f aca="false">BR1521</f>
        <v>0</v>
      </c>
      <c r="AG1521" s="98" t="n">
        <f aca="false">K1521-AF1521</f>
        <v>0</v>
      </c>
      <c r="AH1521" s="99" t="str">
        <f aca="false">IFERROR(AG1521/K1521," ")</f>
        <v> </v>
      </c>
      <c r="AI1521" s="100" t="n">
        <f aca="false">IFERROR(O1521/K1521,0)</f>
        <v>0</v>
      </c>
      <c r="AJ1521" s="101" t="e">
        <f aca="false">VLOOKUP(D1521,'Standard Cycle time'!C:D,2,0)</f>
        <v>#N/A</v>
      </c>
      <c r="AK1521" s="101" t="e">
        <f aca="false">AG1521*V1521*3600/O1521</f>
        <v>#DIV/0!</v>
      </c>
      <c r="AL1521" s="102" t="e">
        <f aca="false">AJ1521/AK1521</f>
        <v>#N/A</v>
      </c>
      <c r="AM1521" s="99" t="e">
        <f aca="false">AE1521*AL1521*AH1521</f>
        <v>#DIV/0!</v>
      </c>
      <c r="AN1521" s="103"/>
      <c r="AO1521" s="112"/>
      <c r="AP1521" s="105"/>
      <c r="AQ1521" s="105"/>
      <c r="AR1521" s="105"/>
      <c r="AS1521" s="105"/>
      <c r="AT1521" s="105"/>
      <c r="AU1521" s="105"/>
      <c r="AV1521" s="105"/>
      <c r="AW1521" s="105"/>
      <c r="AX1521" s="105"/>
      <c r="AY1521" s="105"/>
      <c r="AZ1521" s="105"/>
      <c r="BA1521" s="105"/>
      <c r="BB1521" s="105"/>
      <c r="BC1521" s="105"/>
      <c r="BD1521" s="105"/>
      <c r="BE1521" s="105"/>
      <c r="BF1521" s="105"/>
      <c r="BG1521" s="105"/>
      <c r="BH1521" s="105"/>
      <c r="BI1521" s="105"/>
      <c r="BJ1521" s="105"/>
      <c r="BK1521" s="105"/>
      <c r="BL1521" s="105"/>
      <c r="BM1521" s="105"/>
      <c r="BN1521" s="105"/>
      <c r="BO1521" s="105"/>
      <c r="BP1521" s="105"/>
      <c r="BQ1521" s="105"/>
      <c r="BR1521" s="106"/>
      <c r="BS1521" s="106"/>
      <c r="BT1521" s="107"/>
      <c r="BU1521" s="107"/>
      <c r="BV1521" s="107"/>
      <c r="BW1521" s="107"/>
      <c r="BX1521" s="107"/>
      <c r="BY1521" s="107"/>
      <c r="BZ1521" s="107"/>
      <c r="CA1521" s="107"/>
      <c r="CB1521" s="107"/>
      <c r="CC1521" s="107"/>
      <c r="CD1521" s="107"/>
      <c r="CE1521" s="107"/>
      <c r="CF1521" s="107"/>
      <c r="CG1521" s="107"/>
      <c r="CH1521" s="107"/>
      <c r="CI1521" s="107"/>
      <c r="CJ1521" s="107"/>
      <c r="CK1521" s="107"/>
      <c r="CL1521" s="107"/>
      <c r="CM1521" s="107"/>
      <c r="CN1521" s="107"/>
      <c r="CO1521" s="107"/>
      <c r="CP1521" s="107"/>
      <c r="CQ1521" s="107"/>
      <c r="CR1521" s="107"/>
      <c r="CS1521" s="107"/>
      <c r="CT1521" s="107"/>
      <c r="CU1521" s="107"/>
      <c r="CV1521" s="107"/>
    </row>
    <row r="1522" customFormat="false" ht="13.8" hidden="false" customHeight="false" outlineLevel="0" collapsed="false">
      <c r="B1522" s="138"/>
      <c r="C1522" s="128"/>
      <c r="D1522" s="77"/>
      <c r="E1522" s="80"/>
      <c r="F1522" s="122"/>
      <c r="G1522" s="137"/>
      <c r="H1522" s="79" t="str">
        <f aca="false">IFERROR(VLOOKUP(E:E,'Item Data Support Sheet'!A:O,2,0),"")</f>
        <v/>
      </c>
      <c r="I1522" s="80"/>
      <c r="J1522" s="80"/>
      <c r="K1522" s="124"/>
      <c r="L1522" s="124"/>
      <c r="M1522" s="83"/>
      <c r="N1522" s="84" t="n">
        <f aca="false">+O1522+Q1522+T1522+U1522</f>
        <v>0</v>
      </c>
      <c r="O1522" s="85"/>
      <c r="P1522" s="86"/>
      <c r="Q1522" s="86"/>
      <c r="R1522" s="132"/>
      <c r="S1522" s="128"/>
      <c r="T1522" s="132"/>
      <c r="U1522" s="128"/>
      <c r="V1522" s="128"/>
      <c r="W1522" s="90" t="n">
        <f aca="false">IFERROR(O1522/V1522,0)</f>
        <v>0</v>
      </c>
      <c r="X1522" s="91" t="e">
        <f aca="false">O1522/L1522</f>
        <v>#DIV/0!</v>
      </c>
      <c r="Y1522" s="92" t="n">
        <f aca="false">IFERROR(VLOOKUP(E:E,'Item Data Support Sheet'!A:J,6,0),0)</f>
        <v>0</v>
      </c>
      <c r="Z1522" s="93" t="n">
        <f aca="false">IFERROR(VLOOKUP(E:E,'Item Data Support Sheet'!A:O,4,0),0)</f>
        <v>0</v>
      </c>
      <c r="AA1522" s="93" t="n">
        <f aca="false">IFERROR(((N1522)*(Z1522/1000))+P1522,0)</f>
        <v>0</v>
      </c>
      <c r="AB1522" s="94" t="str">
        <f aca="false">IFERROR((O1522*(Z1522/1000)/(AA1522))," ")</f>
        <v> </v>
      </c>
      <c r="AC1522" s="95" t="n">
        <f aca="false">IFERROR((T1522)/((T1522)+O1522),0)</f>
        <v>0</v>
      </c>
      <c r="AD1522" s="96" t="n">
        <f aca="false">IFERROR(Q1522/(Q1522+N1522),0)</f>
        <v>0</v>
      </c>
      <c r="AE1522" s="91" t="e">
        <f aca="false">(N1522-T1522)/N1522</f>
        <v>#DIV/0!</v>
      </c>
      <c r="AF1522" s="97" t="n">
        <f aca="false">BR1522</f>
        <v>0</v>
      </c>
      <c r="AG1522" s="98" t="n">
        <f aca="false">K1522-AF1522</f>
        <v>0</v>
      </c>
      <c r="AH1522" s="99" t="str">
        <f aca="false">IFERROR(AG1522/K1522," ")</f>
        <v> </v>
      </c>
      <c r="AI1522" s="100" t="n">
        <f aca="false">IFERROR(O1522/K1522,0)</f>
        <v>0</v>
      </c>
      <c r="AJ1522" s="101" t="e">
        <f aca="false">VLOOKUP(D1522,'Standard Cycle time'!C:D,2,0)</f>
        <v>#N/A</v>
      </c>
      <c r="AK1522" s="101" t="e">
        <f aca="false">AG1522*V1522*3600/O1522</f>
        <v>#DIV/0!</v>
      </c>
      <c r="AL1522" s="102" t="e">
        <f aca="false">AJ1522/AK1522</f>
        <v>#N/A</v>
      </c>
      <c r="AM1522" s="99" t="e">
        <f aca="false">AE1522*AL1522*AH1522</f>
        <v>#DIV/0!</v>
      </c>
      <c r="AN1522" s="103"/>
      <c r="AO1522" s="112"/>
      <c r="AP1522" s="105"/>
      <c r="AQ1522" s="105"/>
      <c r="AR1522" s="105"/>
      <c r="AS1522" s="105"/>
      <c r="AT1522" s="105"/>
      <c r="AU1522" s="105"/>
      <c r="AV1522" s="105"/>
      <c r="AW1522" s="105"/>
      <c r="AX1522" s="105"/>
      <c r="AY1522" s="105"/>
      <c r="AZ1522" s="105"/>
      <c r="BA1522" s="105"/>
      <c r="BB1522" s="105"/>
      <c r="BC1522" s="105"/>
      <c r="BD1522" s="105"/>
      <c r="BE1522" s="105"/>
      <c r="BF1522" s="105"/>
      <c r="BG1522" s="105"/>
      <c r="BH1522" s="105"/>
      <c r="BI1522" s="105"/>
      <c r="BJ1522" s="105"/>
      <c r="BK1522" s="105"/>
      <c r="BL1522" s="105"/>
      <c r="BM1522" s="105"/>
      <c r="BN1522" s="105"/>
      <c r="BO1522" s="105"/>
      <c r="BP1522" s="105"/>
      <c r="BQ1522" s="105"/>
      <c r="BR1522" s="106"/>
      <c r="BS1522" s="106"/>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c r="CO1522" s="107"/>
      <c r="CP1522" s="107"/>
      <c r="CQ1522" s="107"/>
      <c r="CR1522" s="107"/>
      <c r="CS1522" s="107"/>
      <c r="CT1522" s="107"/>
      <c r="CU1522" s="107"/>
      <c r="CV1522" s="107"/>
    </row>
    <row r="1523" customFormat="false" ht="13.8" hidden="false" customHeight="false" outlineLevel="0" collapsed="false">
      <c r="B1523" s="138"/>
      <c r="C1523" s="128"/>
      <c r="D1523" s="77"/>
      <c r="E1523" s="80"/>
      <c r="F1523" s="122"/>
      <c r="G1523" s="137"/>
      <c r="H1523" s="79" t="str">
        <f aca="false">IFERROR(VLOOKUP(E:E,'Item Data Support Sheet'!A:O,2,0),"")</f>
        <v/>
      </c>
      <c r="I1523" s="80"/>
      <c r="J1523" s="80"/>
      <c r="K1523" s="124"/>
      <c r="L1523" s="124"/>
      <c r="M1523" s="83"/>
      <c r="N1523" s="84" t="n">
        <f aca="false">+O1523+Q1523+T1523+U1523</f>
        <v>0</v>
      </c>
      <c r="O1523" s="85"/>
      <c r="P1523" s="86"/>
      <c r="Q1523" s="86"/>
      <c r="R1523" s="132"/>
      <c r="S1523" s="128"/>
      <c r="T1523" s="132"/>
      <c r="U1523" s="128"/>
      <c r="V1523" s="128"/>
      <c r="W1523" s="90" t="n">
        <f aca="false">IFERROR(O1523/V1523,0)</f>
        <v>0</v>
      </c>
      <c r="X1523" s="91" t="e">
        <f aca="false">O1523/L1523</f>
        <v>#DIV/0!</v>
      </c>
      <c r="Y1523" s="92" t="n">
        <f aca="false">IFERROR(VLOOKUP(E:E,'Item Data Support Sheet'!A:J,6,0),0)</f>
        <v>0</v>
      </c>
      <c r="Z1523" s="93" t="n">
        <f aca="false">IFERROR(VLOOKUP(E:E,'Item Data Support Sheet'!A:O,4,0),0)</f>
        <v>0</v>
      </c>
      <c r="AA1523" s="93" t="n">
        <f aca="false">IFERROR(((N1523)*(Z1523/1000))+P1523,0)</f>
        <v>0</v>
      </c>
      <c r="AB1523" s="94" t="str">
        <f aca="false">IFERROR((O1523*(Z1523/1000)/(AA1523))," ")</f>
        <v> </v>
      </c>
      <c r="AC1523" s="95" t="n">
        <f aca="false">IFERROR((T1523)/((T1523)+O1523),0)</f>
        <v>0</v>
      </c>
      <c r="AD1523" s="96" t="n">
        <f aca="false">IFERROR(Q1523/(Q1523+N1523),0)</f>
        <v>0</v>
      </c>
      <c r="AE1523" s="91" t="e">
        <f aca="false">(N1523-T1523)/N1523</f>
        <v>#DIV/0!</v>
      </c>
      <c r="AF1523" s="97" t="n">
        <f aca="false">BR1523</f>
        <v>0</v>
      </c>
      <c r="AG1523" s="98" t="n">
        <f aca="false">K1523-AF1523</f>
        <v>0</v>
      </c>
      <c r="AH1523" s="99" t="str">
        <f aca="false">IFERROR(AG1523/K1523," ")</f>
        <v> </v>
      </c>
      <c r="AI1523" s="100" t="n">
        <f aca="false">IFERROR(O1523/K1523,0)</f>
        <v>0</v>
      </c>
      <c r="AJ1523" s="101" t="e">
        <f aca="false">VLOOKUP(D1523,'Standard Cycle time'!C:D,2,0)</f>
        <v>#N/A</v>
      </c>
      <c r="AK1523" s="101" t="e">
        <f aca="false">AG1523*V1523*3600/O1523</f>
        <v>#DIV/0!</v>
      </c>
      <c r="AL1523" s="102" t="e">
        <f aca="false">AJ1523/AK1523</f>
        <v>#N/A</v>
      </c>
      <c r="AM1523" s="99" t="e">
        <f aca="false">AE1523*AL1523*AH1523</f>
        <v>#DIV/0!</v>
      </c>
      <c r="AN1523" s="103"/>
      <c r="AO1523" s="112"/>
      <c r="AP1523" s="105"/>
      <c r="AQ1523" s="105"/>
      <c r="AR1523" s="105"/>
      <c r="AS1523" s="105"/>
      <c r="AT1523" s="105"/>
      <c r="AU1523" s="105"/>
      <c r="AV1523" s="105"/>
      <c r="AW1523" s="105"/>
      <c r="AX1523" s="105"/>
      <c r="AY1523" s="105"/>
      <c r="AZ1523" s="105"/>
      <c r="BA1523" s="105"/>
      <c r="BB1523" s="105"/>
      <c r="BC1523" s="105"/>
      <c r="BD1523" s="105"/>
      <c r="BE1523" s="105"/>
      <c r="BF1523" s="105"/>
      <c r="BG1523" s="105"/>
      <c r="BH1523" s="105"/>
      <c r="BI1523" s="105"/>
      <c r="BJ1523" s="105"/>
      <c r="BK1523" s="105"/>
      <c r="BL1523" s="105"/>
      <c r="BM1523" s="105"/>
      <c r="BN1523" s="105"/>
      <c r="BO1523" s="105"/>
      <c r="BP1523" s="105"/>
      <c r="BQ1523" s="105"/>
      <c r="BR1523" s="106"/>
      <c r="BS1523" s="106"/>
      <c r="BT1523" s="107"/>
      <c r="BU1523" s="107"/>
      <c r="BV1523" s="107"/>
      <c r="BW1523" s="107"/>
      <c r="BX1523" s="107"/>
      <c r="BY1523" s="107"/>
      <c r="BZ1523" s="107"/>
      <c r="CA1523" s="107"/>
      <c r="CB1523" s="107"/>
      <c r="CC1523" s="107"/>
      <c r="CD1523" s="107"/>
      <c r="CE1523" s="107"/>
      <c r="CF1523" s="107"/>
      <c r="CG1523" s="107"/>
      <c r="CH1523" s="107"/>
      <c r="CI1523" s="107"/>
      <c r="CJ1523" s="107"/>
      <c r="CK1523" s="107"/>
      <c r="CL1523" s="107"/>
      <c r="CM1523" s="107"/>
      <c r="CN1523" s="107"/>
      <c r="CO1523" s="107"/>
      <c r="CP1523" s="107"/>
      <c r="CQ1523" s="107"/>
      <c r="CR1523" s="107"/>
      <c r="CS1523" s="107"/>
      <c r="CT1523" s="107"/>
      <c r="CU1523" s="107"/>
      <c r="CV1523" s="107"/>
    </row>
    <row r="1524" customFormat="false" ht="13.8" hidden="false" customHeight="false" outlineLevel="0" collapsed="false">
      <c r="B1524" s="138"/>
      <c r="C1524" s="128"/>
      <c r="D1524" s="77"/>
      <c r="E1524" s="80"/>
      <c r="F1524" s="122"/>
      <c r="G1524" s="137"/>
      <c r="H1524" s="79" t="str">
        <f aca="false">IFERROR(VLOOKUP(E:E,'Item Data Support Sheet'!A:O,2,0),"")</f>
        <v/>
      </c>
      <c r="I1524" s="80"/>
      <c r="J1524" s="80"/>
      <c r="K1524" s="124"/>
      <c r="L1524" s="124"/>
      <c r="M1524" s="83"/>
      <c r="N1524" s="84" t="n">
        <f aca="false">+O1524+Q1524+T1524+U1524</f>
        <v>0</v>
      </c>
      <c r="O1524" s="85"/>
      <c r="P1524" s="86"/>
      <c r="Q1524" s="86"/>
      <c r="R1524" s="132"/>
      <c r="S1524" s="128"/>
      <c r="T1524" s="132"/>
      <c r="U1524" s="128"/>
      <c r="V1524" s="128"/>
      <c r="W1524" s="90" t="n">
        <f aca="false">IFERROR(O1524/V1524,0)</f>
        <v>0</v>
      </c>
      <c r="X1524" s="91" t="e">
        <f aca="false">O1524/L1524</f>
        <v>#DIV/0!</v>
      </c>
      <c r="Y1524" s="92" t="n">
        <f aca="false">IFERROR(VLOOKUP(E:E,'Item Data Support Sheet'!A:J,6,0),0)</f>
        <v>0</v>
      </c>
      <c r="Z1524" s="93" t="n">
        <f aca="false">IFERROR(VLOOKUP(E:E,'Item Data Support Sheet'!A:O,4,0),0)</f>
        <v>0</v>
      </c>
      <c r="AA1524" s="93" t="n">
        <f aca="false">IFERROR(((N1524)*(Z1524/1000))+P1524,0)</f>
        <v>0</v>
      </c>
      <c r="AB1524" s="94" t="str">
        <f aca="false">IFERROR((O1524*(Z1524/1000)/(AA1524))," ")</f>
        <v> </v>
      </c>
      <c r="AC1524" s="95" t="n">
        <f aca="false">IFERROR((T1524)/((T1524)+O1524),0)</f>
        <v>0</v>
      </c>
      <c r="AD1524" s="96" t="n">
        <f aca="false">IFERROR(Q1524/(Q1524+N1524),0)</f>
        <v>0</v>
      </c>
      <c r="AE1524" s="91" t="e">
        <f aca="false">(N1524-T1524)/N1524</f>
        <v>#DIV/0!</v>
      </c>
      <c r="AF1524" s="97" t="n">
        <f aca="false">BR1524</f>
        <v>0</v>
      </c>
      <c r="AG1524" s="98" t="n">
        <f aca="false">K1524-AF1524</f>
        <v>0</v>
      </c>
      <c r="AH1524" s="99" t="str">
        <f aca="false">IFERROR(AG1524/K1524," ")</f>
        <v> </v>
      </c>
      <c r="AI1524" s="100" t="n">
        <f aca="false">IFERROR(O1524/K1524,0)</f>
        <v>0</v>
      </c>
      <c r="AJ1524" s="101" t="e">
        <f aca="false">VLOOKUP(D1524,'Standard Cycle time'!C:D,2,0)</f>
        <v>#N/A</v>
      </c>
      <c r="AK1524" s="101" t="e">
        <f aca="false">AG1524*V1524*3600/O1524</f>
        <v>#DIV/0!</v>
      </c>
      <c r="AL1524" s="102" t="e">
        <f aca="false">AJ1524/AK1524</f>
        <v>#N/A</v>
      </c>
      <c r="AM1524" s="99" t="e">
        <f aca="false">AE1524*AL1524*AH1524</f>
        <v>#DIV/0!</v>
      </c>
      <c r="AN1524" s="103"/>
      <c r="AO1524" s="112"/>
      <c r="AP1524" s="105"/>
      <c r="AQ1524" s="105"/>
      <c r="AR1524" s="105"/>
      <c r="AS1524" s="105"/>
      <c r="AT1524" s="105"/>
      <c r="AU1524" s="105"/>
      <c r="AV1524" s="105"/>
      <c r="AW1524" s="105"/>
      <c r="AX1524" s="105"/>
      <c r="AY1524" s="105"/>
      <c r="AZ1524" s="105"/>
      <c r="BA1524" s="105"/>
      <c r="BB1524" s="105"/>
      <c r="BC1524" s="105"/>
      <c r="BD1524" s="105"/>
      <c r="BE1524" s="105"/>
      <c r="BF1524" s="105"/>
      <c r="BG1524" s="105"/>
      <c r="BH1524" s="105"/>
      <c r="BI1524" s="105"/>
      <c r="BJ1524" s="105"/>
      <c r="BK1524" s="105"/>
      <c r="BL1524" s="105"/>
      <c r="BM1524" s="105"/>
      <c r="BN1524" s="105"/>
      <c r="BO1524" s="105"/>
      <c r="BP1524" s="105"/>
      <c r="BQ1524" s="105"/>
      <c r="BR1524" s="106"/>
      <c r="BS1524" s="106"/>
      <c r="BT1524" s="107"/>
      <c r="BU1524" s="107"/>
      <c r="BV1524" s="107"/>
      <c r="BW1524" s="107"/>
      <c r="BX1524" s="107"/>
      <c r="BY1524" s="107"/>
      <c r="BZ1524" s="107"/>
      <c r="CA1524" s="107"/>
      <c r="CB1524" s="107"/>
      <c r="CC1524" s="107"/>
      <c r="CD1524" s="107"/>
      <c r="CE1524" s="107"/>
      <c r="CF1524" s="107"/>
      <c r="CG1524" s="107"/>
      <c r="CH1524" s="107"/>
      <c r="CI1524" s="107"/>
      <c r="CJ1524" s="107"/>
      <c r="CK1524" s="107"/>
      <c r="CL1524" s="107"/>
      <c r="CM1524" s="107"/>
      <c r="CN1524" s="107"/>
      <c r="CO1524" s="107"/>
      <c r="CP1524" s="107"/>
      <c r="CQ1524" s="107"/>
      <c r="CR1524" s="107"/>
      <c r="CS1524" s="107"/>
      <c r="CT1524" s="107"/>
      <c r="CU1524" s="107"/>
      <c r="CV1524" s="107"/>
    </row>
    <row r="1525" customFormat="false" ht="13.8" hidden="false" customHeight="false" outlineLevel="0" collapsed="false">
      <c r="B1525" s="138"/>
      <c r="C1525" s="128"/>
      <c r="D1525" s="77"/>
      <c r="E1525" s="80"/>
      <c r="F1525" s="122"/>
      <c r="G1525" s="137"/>
      <c r="H1525" s="79" t="str">
        <f aca="false">IFERROR(VLOOKUP(E:E,'Item Data Support Sheet'!A:O,2,0),"")</f>
        <v/>
      </c>
      <c r="I1525" s="80"/>
      <c r="J1525" s="80"/>
      <c r="K1525" s="124"/>
      <c r="L1525" s="124"/>
      <c r="M1525" s="83"/>
      <c r="N1525" s="84" t="n">
        <f aca="false">+O1525+Q1525+T1525+U1525</f>
        <v>0</v>
      </c>
      <c r="O1525" s="85"/>
      <c r="P1525" s="86"/>
      <c r="Q1525" s="86"/>
      <c r="R1525" s="132"/>
      <c r="S1525" s="128"/>
      <c r="T1525" s="132"/>
      <c r="U1525" s="128"/>
      <c r="V1525" s="128"/>
      <c r="W1525" s="90" t="n">
        <f aca="false">IFERROR(O1525/V1525,0)</f>
        <v>0</v>
      </c>
      <c r="X1525" s="91" t="e">
        <f aca="false">O1525/L1525</f>
        <v>#DIV/0!</v>
      </c>
      <c r="Y1525" s="92" t="n">
        <f aca="false">IFERROR(VLOOKUP(E:E,'Item Data Support Sheet'!A:J,6,0),0)</f>
        <v>0</v>
      </c>
      <c r="Z1525" s="93" t="n">
        <f aca="false">IFERROR(VLOOKUP(E:E,'Item Data Support Sheet'!A:O,4,0),0)</f>
        <v>0</v>
      </c>
      <c r="AA1525" s="93" t="n">
        <f aca="false">IFERROR(((N1525)*(Z1525/1000))+P1525,0)</f>
        <v>0</v>
      </c>
      <c r="AB1525" s="94" t="str">
        <f aca="false">IFERROR((O1525*(Z1525/1000)/(AA1525))," ")</f>
        <v> </v>
      </c>
      <c r="AC1525" s="95" t="n">
        <f aca="false">IFERROR((T1525)/((T1525)+O1525),0)</f>
        <v>0</v>
      </c>
      <c r="AD1525" s="96" t="n">
        <f aca="false">IFERROR(Q1525/(Q1525+N1525),0)</f>
        <v>0</v>
      </c>
      <c r="AE1525" s="91" t="e">
        <f aca="false">(N1525-T1525)/N1525</f>
        <v>#DIV/0!</v>
      </c>
      <c r="AF1525" s="97" t="n">
        <f aca="false">BR1525</f>
        <v>0</v>
      </c>
      <c r="AG1525" s="98" t="n">
        <f aca="false">K1525-AF1525</f>
        <v>0</v>
      </c>
      <c r="AH1525" s="99" t="str">
        <f aca="false">IFERROR(AG1525/K1525," ")</f>
        <v> </v>
      </c>
      <c r="AI1525" s="100" t="n">
        <f aca="false">IFERROR(O1525/K1525,0)</f>
        <v>0</v>
      </c>
      <c r="AJ1525" s="101" t="e">
        <f aca="false">VLOOKUP(D1525,'Standard Cycle time'!C:D,2,0)</f>
        <v>#N/A</v>
      </c>
      <c r="AK1525" s="101" t="e">
        <f aca="false">AG1525*V1525*3600/O1525</f>
        <v>#DIV/0!</v>
      </c>
      <c r="AL1525" s="102" t="e">
        <f aca="false">AJ1525/AK1525</f>
        <v>#N/A</v>
      </c>
      <c r="AM1525" s="99" t="e">
        <f aca="false">AE1525*AL1525*AH1525</f>
        <v>#DIV/0!</v>
      </c>
      <c r="AN1525" s="103"/>
      <c r="AO1525" s="112"/>
      <c r="AP1525" s="105"/>
      <c r="AQ1525" s="105"/>
      <c r="AR1525" s="105"/>
      <c r="AS1525" s="105"/>
      <c r="AT1525" s="105"/>
      <c r="AU1525" s="105"/>
      <c r="AV1525" s="105"/>
      <c r="AW1525" s="105"/>
      <c r="AX1525" s="105"/>
      <c r="AY1525" s="105"/>
      <c r="AZ1525" s="105"/>
      <c r="BA1525" s="105"/>
      <c r="BB1525" s="105"/>
      <c r="BC1525" s="105"/>
      <c r="BD1525" s="105"/>
      <c r="BE1525" s="105"/>
      <c r="BF1525" s="105"/>
      <c r="BG1525" s="105"/>
      <c r="BH1525" s="105"/>
      <c r="BI1525" s="105"/>
      <c r="BJ1525" s="105"/>
      <c r="BK1525" s="105"/>
      <c r="BL1525" s="105"/>
      <c r="BM1525" s="105"/>
      <c r="BN1525" s="105"/>
      <c r="BO1525" s="105"/>
      <c r="BP1525" s="105"/>
      <c r="BQ1525" s="105"/>
      <c r="BR1525" s="106"/>
      <c r="BS1525" s="106"/>
      <c r="BT1525" s="107"/>
      <c r="BU1525" s="107"/>
      <c r="BV1525" s="107"/>
      <c r="BW1525" s="107"/>
      <c r="BX1525" s="107"/>
      <c r="BY1525" s="107"/>
      <c r="BZ1525" s="107"/>
      <c r="CA1525" s="107"/>
      <c r="CB1525" s="107"/>
      <c r="CC1525" s="107"/>
      <c r="CD1525" s="107"/>
      <c r="CE1525" s="107"/>
      <c r="CF1525" s="107"/>
      <c r="CG1525" s="107"/>
      <c r="CH1525" s="107"/>
      <c r="CI1525" s="107"/>
      <c r="CJ1525" s="107"/>
      <c r="CK1525" s="107"/>
      <c r="CL1525" s="107"/>
      <c r="CM1525" s="107"/>
      <c r="CN1525" s="107"/>
      <c r="CO1525" s="107"/>
      <c r="CP1525" s="107"/>
      <c r="CQ1525" s="107"/>
      <c r="CR1525" s="107"/>
      <c r="CS1525" s="107"/>
      <c r="CT1525" s="107"/>
      <c r="CU1525" s="107"/>
      <c r="CV1525" s="107"/>
    </row>
    <row r="1526" customFormat="false" ht="13.8" hidden="false" customHeight="false" outlineLevel="0" collapsed="false">
      <c r="B1526" s="138"/>
      <c r="C1526" s="128"/>
      <c r="D1526" s="77"/>
      <c r="E1526" s="80"/>
      <c r="F1526" s="122"/>
      <c r="G1526" s="137"/>
      <c r="H1526" s="79" t="str">
        <f aca="false">IFERROR(VLOOKUP(E:E,'Item Data Support Sheet'!A:O,2,0),"")</f>
        <v/>
      </c>
      <c r="I1526" s="80"/>
      <c r="J1526" s="80"/>
      <c r="K1526" s="124"/>
      <c r="L1526" s="124"/>
      <c r="M1526" s="83"/>
      <c r="N1526" s="84" t="n">
        <f aca="false">+O1526+Q1526+T1526+U1526</f>
        <v>0</v>
      </c>
      <c r="O1526" s="85"/>
      <c r="P1526" s="86"/>
      <c r="Q1526" s="86"/>
      <c r="R1526" s="132"/>
      <c r="S1526" s="128"/>
      <c r="T1526" s="132"/>
      <c r="U1526" s="128"/>
      <c r="V1526" s="128"/>
      <c r="W1526" s="90" t="n">
        <f aca="false">IFERROR(O1526/V1526,0)</f>
        <v>0</v>
      </c>
      <c r="X1526" s="91" t="e">
        <f aca="false">O1526/L1526</f>
        <v>#DIV/0!</v>
      </c>
      <c r="Y1526" s="92" t="n">
        <f aca="false">IFERROR(VLOOKUP(E:E,'Item Data Support Sheet'!A:J,6,0),0)</f>
        <v>0</v>
      </c>
      <c r="Z1526" s="93" t="n">
        <f aca="false">IFERROR(VLOOKUP(E:E,'Item Data Support Sheet'!A:O,4,0),0)</f>
        <v>0</v>
      </c>
      <c r="AA1526" s="93" t="n">
        <f aca="false">IFERROR(((N1526)*(Z1526/1000))+P1526,0)</f>
        <v>0</v>
      </c>
      <c r="AB1526" s="94" t="str">
        <f aca="false">IFERROR((O1526*(Z1526/1000)/(AA1526))," ")</f>
        <v> </v>
      </c>
      <c r="AC1526" s="95" t="n">
        <f aca="false">IFERROR((T1526)/((T1526)+O1526),0)</f>
        <v>0</v>
      </c>
      <c r="AD1526" s="96" t="n">
        <f aca="false">IFERROR(Q1526/(Q1526+N1526),0)</f>
        <v>0</v>
      </c>
      <c r="AE1526" s="91" t="e">
        <f aca="false">(N1526-T1526)/N1526</f>
        <v>#DIV/0!</v>
      </c>
      <c r="AF1526" s="97" t="n">
        <f aca="false">BR1526</f>
        <v>0</v>
      </c>
      <c r="AG1526" s="98" t="n">
        <f aca="false">K1526-AF1526</f>
        <v>0</v>
      </c>
      <c r="AH1526" s="99" t="str">
        <f aca="false">IFERROR(AG1526/K1526," ")</f>
        <v> </v>
      </c>
      <c r="AI1526" s="100" t="n">
        <f aca="false">IFERROR(O1526/K1526,0)</f>
        <v>0</v>
      </c>
      <c r="AJ1526" s="101" t="e">
        <f aca="false">VLOOKUP(D1526,'Standard Cycle time'!C:D,2,0)</f>
        <v>#N/A</v>
      </c>
      <c r="AK1526" s="101" t="e">
        <f aca="false">AG1526*V1526*3600/O1526</f>
        <v>#DIV/0!</v>
      </c>
      <c r="AL1526" s="102" t="e">
        <f aca="false">AJ1526/AK1526</f>
        <v>#N/A</v>
      </c>
      <c r="AM1526" s="99" t="e">
        <f aca="false">AE1526*AL1526*AH1526</f>
        <v>#DIV/0!</v>
      </c>
      <c r="AN1526" s="103"/>
      <c r="AO1526" s="112"/>
      <c r="AP1526" s="105"/>
      <c r="AQ1526" s="105"/>
      <c r="AR1526" s="105"/>
      <c r="AS1526" s="105"/>
      <c r="AT1526" s="105"/>
      <c r="AU1526" s="105"/>
      <c r="AV1526" s="105"/>
      <c r="AW1526" s="105"/>
      <c r="AX1526" s="105"/>
      <c r="AY1526" s="105"/>
      <c r="AZ1526" s="105"/>
      <c r="BA1526" s="105"/>
      <c r="BB1526" s="105"/>
      <c r="BC1526" s="105"/>
      <c r="BD1526" s="105"/>
      <c r="BE1526" s="105"/>
      <c r="BF1526" s="105"/>
      <c r="BG1526" s="105"/>
      <c r="BH1526" s="105"/>
      <c r="BI1526" s="105"/>
      <c r="BJ1526" s="105"/>
      <c r="BK1526" s="105"/>
      <c r="BL1526" s="105"/>
      <c r="BM1526" s="105"/>
      <c r="BN1526" s="105"/>
      <c r="BO1526" s="105"/>
      <c r="BP1526" s="105"/>
      <c r="BQ1526" s="105"/>
      <c r="BR1526" s="106"/>
      <c r="BS1526" s="106"/>
      <c r="BT1526" s="107"/>
      <c r="BU1526" s="107"/>
      <c r="BV1526" s="107"/>
      <c r="BW1526" s="107"/>
      <c r="BX1526" s="107"/>
      <c r="BY1526" s="107"/>
      <c r="BZ1526" s="107"/>
      <c r="CA1526" s="107"/>
      <c r="CB1526" s="107"/>
      <c r="CC1526" s="107"/>
      <c r="CD1526" s="107"/>
      <c r="CE1526" s="107"/>
      <c r="CF1526" s="107"/>
      <c r="CG1526" s="107"/>
      <c r="CH1526" s="107"/>
      <c r="CI1526" s="107"/>
      <c r="CJ1526" s="107"/>
      <c r="CK1526" s="107"/>
      <c r="CL1526" s="107"/>
      <c r="CM1526" s="107"/>
      <c r="CN1526" s="107"/>
      <c r="CO1526" s="107"/>
      <c r="CP1526" s="107"/>
      <c r="CQ1526" s="107"/>
      <c r="CR1526" s="107"/>
      <c r="CS1526" s="107"/>
      <c r="CT1526" s="107"/>
      <c r="CU1526" s="107"/>
      <c r="CV1526" s="107"/>
    </row>
    <row r="1527" customFormat="false" ht="13.8" hidden="false" customHeight="false" outlineLevel="0" collapsed="false">
      <c r="B1527" s="138"/>
      <c r="C1527" s="128"/>
      <c r="D1527" s="77"/>
      <c r="E1527" s="80"/>
      <c r="F1527" s="122"/>
      <c r="G1527" s="137"/>
      <c r="H1527" s="79" t="str">
        <f aca="false">IFERROR(VLOOKUP(E:E,'Item Data Support Sheet'!A:O,2,0),"")</f>
        <v/>
      </c>
      <c r="I1527" s="80"/>
      <c r="J1527" s="80"/>
      <c r="K1527" s="124"/>
      <c r="L1527" s="124"/>
      <c r="M1527" s="83"/>
      <c r="N1527" s="84" t="n">
        <f aca="false">+O1527+Q1527+T1527+U1527</f>
        <v>0</v>
      </c>
      <c r="O1527" s="85"/>
      <c r="P1527" s="86"/>
      <c r="Q1527" s="86"/>
      <c r="R1527" s="132"/>
      <c r="S1527" s="128"/>
      <c r="T1527" s="132"/>
      <c r="U1527" s="128"/>
      <c r="V1527" s="128"/>
      <c r="W1527" s="90" t="n">
        <f aca="false">IFERROR(O1527/V1527,0)</f>
        <v>0</v>
      </c>
      <c r="X1527" s="91" t="e">
        <f aca="false">O1527/L1527</f>
        <v>#DIV/0!</v>
      </c>
      <c r="Y1527" s="92" t="n">
        <f aca="false">IFERROR(VLOOKUP(E:E,'Item Data Support Sheet'!A:J,6,0),0)</f>
        <v>0</v>
      </c>
      <c r="Z1527" s="93" t="n">
        <f aca="false">IFERROR(VLOOKUP(E:E,'Item Data Support Sheet'!A:O,4,0),0)</f>
        <v>0</v>
      </c>
      <c r="AA1527" s="93" t="n">
        <f aca="false">IFERROR(((N1527)*(Z1527/1000))+P1527,0)</f>
        <v>0</v>
      </c>
      <c r="AB1527" s="94" t="str">
        <f aca="false">IFERROR((O1527*(Z1527/1000)/(AA1527))," ")</f>
        <v> </v>
      </c>
      <c r="AC1527" s="95" t="n">
        <f aca="false">IFERROR((T1527)/((T1527)+O1527),0)</f>
        <v>0</v>
      </c>
      <c r="AD1527" s="96" t="n">
        <f aca="false">IFERROR(Q1527/(Q1527+N1527),0)</f>
        <v>0</v>
      </c>
      <c r="AE1527" s="91" t="e">
        <f aca="false">(N1527-T1527)/N1527</f>
        <v>#DIV/0!</v>
      </c>
      <c r="AF1527" s="97" t="n">
        <f aca="false">BR1527</f>
        <v>0</v>
      </c>
      <c r="AG1527" s="98" t="n">
        <f aca="false">K1527-AF1527</f>
        <v>0</v>
      </c>
      <c r="AH1527" s="99" t="str">
        <f aca="false">IFERROR(AG1527/K1527," ")</f>
        <v> </v>
      </c>
      <c r="AI1527" s="100" t="n">
        <f aca="false">IFERROR(O1527/K1527,0)</f>
        <v>0</v>
      </c>
      <c r="AJ1527" s="101" t="e">
        <f aca="false">VLOOKUP(D1527,'Standard Cycle time'!C:D,2,0)</f>
        <v>#N/A</v>
      </c>
      <c r="AK1527" s="101" t="e">
        <f aca="false">AG1527*V1527*3600/O1527</f>
        <v>#DIV/0!</v>
      </c>
      <c r="AL1527" s="102" t="e">
        <f aca="false">AJ1527/AK1527</f>
        <v>#N/A</v>
      </c>
      <c r="AM1527" s="99" t="e">
        <f aca="false">AE1527*AL1527*AH1527</f>
        <v>#DIV/0!</v>
      </c>
      <c r="AN1527" s="103"/>
      <c r="AO1527" s="112"/>
      <c r="AP1527" s="105"/>
      <c r="AQ1527" s="105"/>
      <c r="AR1527" s="105"/>
      <c r="AS1527" s="105"/>
      <c r="AT1527" s="105"/>
      <c r="AU1527" s="105"/>
      <c r="AV1527" s="105"/>
      <c r="AW1527" s="105"/>
      <c r="AX1527" s="105"/>
      <c r="AY1527" s="105"/>
      <c r="AZ1527" s="105"/>
      <c r="BA1527" s="105"/>
      <c r="BB1527" s="105"/>
      <c r="BC1527" s="105"/>
      <c r="BD1527" s="105"/>
      <c r="BE1527" s="105"/>
      <c r="BF1527" s="105"/>
      <c r="BG1527" s="105"/>
      <c r="BH1527" s="105"/>
      <c r="BI1527" s="105"/>
      <c r="BJ1527" s="105"/>
      <c r="BK1527" s="105"/>
      <c r="BL1527" s="105"/>
      <c r="BM1527" s="105"/>
      <c r="BN1527" s="105"/>
      <c r="BO1527" s="105"/>
      <c r="BP1527" s="105"/>
      <c r="BQ1527" s="105"/>
      <c r="BR1527" s="106"/>
      <c r="BS1527" s="106"/>
      <c r="BT1527" s="107"/>
      <c r="BU1527" s="107"/>
      <c r="BV1527" s="107"/>
      <c r="BW1527" s="107"/>
      <c r="BX1527" s="107"/>
      <c r="BY1527" s="107"/>
      <c r="BZ1527" s="107"/>
      <c r="CA1527" s="107"/>
      <c r="CB1527" s="107"/>
      <c r="CC1527" s="107"/>
      <c r="CD1527" s="107"/>
      <c r="CE1527" s="107"/>
      <c r="CF1527" s="107"/>
      <c r="CG1527" s="107"/>
      <c r="CH1527" s="107"/>
      <c r="CI1527" s="107"/>
      <c r="CJ1527" s="107"/>
      <c r="CK1527" s="107"/>
      <c r="CL1527" s="107"/>
      <c r="CM1527" s="107"/>
      <c r="CN1527" s="107"/>
      <c r="CO1527" s="107"/>
      <c r="CP1527" s="107"/>
      <c r="CQ1527" s="107"/>
      <c r="CR1527" s="107"/>
      <c r="CS1527" s="107"/>
      <c r="CT1527" s="107"/>
      <c r="CU1527" s="107"/>
      <c r="CV1527" s="107"/>
    </row>
    <row r="1528" customFormat="false" ht="13.8" hidden="false" customHeight="false" outlineLevel="0" collapsed="false">
      <c r="B1528" s="138"/>
      <c r="C1528" s="128"/>
      <c r="D1528" s="77"/>
      <c r="E1528" s="80"/>
      <c r="F1528" s="122"/>
      <c r="G1528" s="137"/>
      <c r="H1528" s="79" t="str">
        <f aca="false">IFERROR(VLOOKUP(E:E,'Item Data Support Sheet'!A:O,2,0),"")</f>
        <v/>
      </c>
      <c r="I1528" s="80"/>
      <c r="J1528" s="80"/>
      <c r="K1528" s="124"/>
      <c r="L1528" s="124"/>
      <c r="M1528" s="83"/>
      <c r="N1528" s="84" t="n">
        <f aca="false">+O1528+Q1528+T1528+U1528</f>
        <v>0</v>
      </c>
      <c r="O1528" s="85"/>
      <c r="P1528" s="86"/>
      <c r="Q1528" s="86"/>
      <c r="R1528" s="132"/>
      <c r="S1528" s="128"/>
      <c r="T1528" s="132"/>
      <c r="U1528" s="128"/>
      <c r="V1528" s="128"/>
      <c r="W1528" s="90" t="n">
        <f aca="false">IFERROR(O1528/V1528,0)</f>
        <v>0</v>
      </c>
      <c r="X1528" s="91" t="e">
        <f aca="false">O1528/L1528</f>
        <v>#DIV/0!</v>
      </c>
      <c r="Y1528" s="92" t="n">
        <f aca="false">IFERROR(VLOOKUP(E:E,'Item Data Support Sheet'!A:J,6,0),0)</f>
        <v>0</v>
      </c>
      <c r="Z1528" s="93" t="n">
        <f aca="false">IFERROR(VLOOKUP(E:E,'Item Data Support Sheet'!A:O,4,0),0)</f>
        <v>0</v>
      </c>
      <c r="AA1528" s="93" t="n">
        <f aca="false">IFERROR(((N1528)*(Z1528/1000))+P1528,0)</f>
        <v>0</v>
      </c>
      <c r="AB1528" s="94" t="str">
        <f aca="false">IFERROR((O1528*(Z1528/1000)/(AA1528))," ")</f>
        <v> </v>
      </c>
      <c r="AC1528" s="95" t="n">
        <f aca="false">IFERROR((T1528)/((T1528)+O1528),0)</f>
        <v>0</v>
      </c>
      <c r="AD1528" s="96" t="n">
        <f aca="false">IFERROR(Q1528/(Q1528+N1528),0)</f>
        <v>0</v>
      </c>
      <c r="AE1528" s="91" t="e">
        <f aca="false">(N1528-T1528)/N1528</f>
        <v>#DIV/0!</v>
      </c>
      <c r="AF1528" s="97" t="n">
        <f aca="false">BR1528</f>
        <v>0</v>
      </c>
      <c r="AG1528" s="98" t="n">
        <f aca="false">K1528-AF1528</f>
        <v>0</v>
      </c>
      <c r="AH1528" s="99" t="str">
        <f aca="false">IFERROR(AG1528/K1528," ")</f>
        <v> </v>
      </c>
      <c r="AI1528" s="100" t="n">
        <f aca="false">IFERROR(O1528/K1528,0)</f>
        <v>0</v>
      </c>
      <c r="AJ1528" s="101" t="e">
        <f aca="false">VLOOKUP(D1528,'Standard Cycle time'!C:D,2,0)</f>
        <v>#N/A</v>
      </c>
      <c r="AK1528" s="101" t="e">
        <f aca="false">AG1528*V1528*3600/O1528</f>
        <v>#DIV/0!</v>
      </c>
      <c r="AL1528" s="102" t="e">
        <f aca="false">AJ1528/AK1528</f>
        <v>#N/A</v>
      </c>
      <c r="AM1528" s="99" t="e">
        <f aca="false">AE1528*AL1528*AH1528</f>
        <v>#DIV/0!</v>
      </c>
      <c r="AN1528" s="103"/>
      <c r="AO1528" s="112"/>
      <c r="AP1528" s="105"/>
      <c r="AQ1528" s="105"/>
      <c r="AR1528" s="105"/>
      <c r="AS1528" s="105"/>
      <c r="AT1528" s="105"/>
      <c r="AU1528" s="105"/>
      <c r="AV1528" s="105"/>
      <c r="AW1528" s="105"/>
      <c r="AX1528" s="105"/>
      <c r="AY1528" s="105"/>
      <c r="AZ1528" s="105"/>
      <c r="BA1528" s="105"/>
      <c r="BB1528" s="105"/>
      <c r="BC1528" s="105"/>
      <c r="BD1528" s="105"/>
      <c r="BE1528" s="105"/>
      <c r="BF1528" s="105"/>
      <c r="BG1528" s="105"/>
      <c r="BH1528" s="105"/>
      <c r="BI1528" s="105"/>
      <c r="BJ1528" s="105"/>
      <c r="BK1528" s="105"/>
      <c r="BL1528" s="105"/>
      <c r="BM1528" s="105"/>
      <c r="BN1528" s="105"/>
      <c r="BO1528" s="105"/>
      <c r="BP1528" s="105"/>
      <c r="BQ1528" s="105"/>
      <c r="BR1528" s="106"/>
      <c r="BS1528" s="106"/>
      <c r="BT1528" s="107"/>
      <c r="BU1528" s="107"/>
      <c r="BV1528" s="107"/>
      <c r="BW1528" s="107"/>
      <c r="BX1528" s="107"/>
      <c r="BY1528" s="107"/>
      <c r="BZ1528" s="107"/>
      <c r="CA1528" s="107"/>
      <c r="CB1528" s="107"/>
      <c r="CC1528" s="107"/>
      <c r="CD1528" s="107"/>
      <c r="CE1528" s="107"/>
      <c r="CF1528" s="107"/>
      <c r="CG1528" s="107"/>
      <c r="CH1528" s="107"/>
      <c r="CI1528" s="107"/>
      <c r="CJ1528" s="107"/>
      <c r="CK1528" s="107"/>
      <c r="CL1528" s="107"/>
      <c r="CM1528" s="107"/>
      <c r="CN1528" s="107"/>
      <c r="CO1528" s="107"/>
      <c r="CP1528" s="107"/>
      <c r="CQ1528" s="107"/>
      <c r="CR1528" s="107"/>
      <c r="CS1528" s="107"/>
      <c r="CT1528" s="107"/>
      <c r="CU1528" s="107"/>
      <c r="CV1528" s="107"/>
    </row>
    <row r="1529" customFormat="false" ht="13.8" hidden="false" customHeight="false" outlineLevel="0" collapsed="false">
      <c r="B1529" s="138"/>
      <c r="C1529" s="128"/>
      <c r="D1529" s="77"/>
      <c r="E1529" s="80"/>
      <c r="F1529" s="122"/>
      <c r="G1529" s="137"/>
      <c r="H1529" s="79" t="str">
        <f aca="false">IFERROR(VLOOKUP(E:E,'Item Data Support Sheet'!A:O,2,0),"")</f>
        <v/>
      </c>
      <c r="I1529" s="80"/>
      <c r="J1529" s="80"/>
      <c r="K1529" s="124"/>
      <c r="L1529" s="124"/>
      <c r="M1529" s="83"/>
      <c r="N1529" s="84" t="n">
        <f aca="false">+O1529+Q1529+T1529+U1529</f>
        <v>0</v>
      </c>
      <c r="O1529" s="85"/>
      <c r="P1529" s="86"/>
      <c r="Q1529" s="86"/>
      <c r="R1529" s="132"/>
      <c r="S1529" s="128"/>
      <c r="T1529" s="132"/>
      <c r="U1529" s="128"/>
      <c r="V1529" s="128"/>
      <c r="W1529" s="90" t="n">
        <f aca="false">IFERROR(O1529/V1529,0)</f>
        <v>0</v>
      </c>
      <c r="X1529" s="91" t="e">
        <f aca="false">O1529/L1529</f>
        <v>#DIV/0!</v>
      </c>
      <c r="Y1529" s="92" t="n">
        <f aca="false">IFERROR(VLOOKUP(E:E,'Item Data Support Sheet'!A:J,6,0),0)</f>
        <v>0</v>
      </c>
      <c r="Z1529" s="93" t="n">
        <f aca="false">IFERROR(VLOOKUP(E:E,'Item Data Support Sheet'!A:O,4,0),0)</f>
        <v>0</v>
      </c>
      <c r="AA1529" s="93" t="n">
        <f aca="false">IFERROR(((N1529)*(Z1529/1000))+P1529,0)</f>
        <v>0</v>
      </c>
      <c r="AB1529" s="94" t="str">
        <f aca="false">IFERROR((O1529*(Z1529/1000)/(AA1529))," ")</f>
        <v> </v>
      </c>
      <c r="AC1529" s="95" t="n">
        <f aca="false">IFERROR((T1529)/((T1529)+O1529),0)</f>
        <v>0</v>
      </c>
      <c r="AD1529" s="96" t="n">
        <f aca="false">IFERROR(Q1529/(Q1529+N1529),0)</f>
        <v>0</v>
      </c>
      <c r="AE1529" s="91" t="e">
        <f aca="false">(N1529-T1529)/N1529</f>
        <v>#DIV/0!</v>
      </c>
      <c r="AF1529" s="97" t="n">
        <f aca="false">BR1529</f>
        <v>0</v>
      </c>
      <c r="AG1529" s="98" t="n">
        <f aca="false">K1529-AF1529</f>
        <v>0</v>
      </c>
      <c r="AH1529" s="99" t="str">
        <f aca="false">IFERROR(AG1529/K1529," ")</f>
        <v> </v>
      </c>
      <c r="AI1529" s="100" t="n">
        <f aca="false">IFERROR(O1529/K1529,0)</f>
        <v>0</v>
      </c>
      <c r="AJ1529" s="101" t="e">
        <f aca="false">VLOOKUP(D1529,'Standard Cycle time'!C:D,2,0)</f>
        <v>#N/A</v>
      </c>
      <c r="AK1529" s="101" t="e">
        <f aca="false">AG1529*V1529*3600/O1529</f>
        <v>#DIV/0!</v>
      </c>
      <c r="AL1529" s="102" t="e">
        <f aca="false">AJ1529/AK1529</f>
        <v>#N/A</v>
      </c>
      <c r="AM1529" s="99" t="e">
        <f aca="false">AE1529*AL1529*AH1529</f>
        <v>#DIV/0!</v>
      </c>
      <c r="AN1529" s="103"/>
      <c r="AO1529" s="112"/>
      <c r="AP1529" s="105"/>
      <c r="AQ1529" s="105"/>
      <c r="AR1529" s="105"/>
      <c r="AS1529" s="105"/>
      <c r="AT1529" s="105"/>
      <c r="AU1529" s="105"/>
      <c r="AV1529" s="105"/>
      <c r="AW1529" s="105"/>
      <c r="AX1529" s="105"/>
      <c r="AY1529" s="105"/>
      <c r="AZ1529" s="105"/>
      <c r="BA1529" s="105"/>
      <c r="BB1529" s="105"/>
      <c r="BC1529" s="105"/>
      <c r="BD1529" s="105"/>
      <c r="BE1529" s="105"/>
      <c r="BF1529" s="105"/>
      <c r="BG1529" s="105"/>
      <c r="BH1529" s="105"/>
      <c r="BI1529" s="105"/>
      <c r="BJ1529" s="105"/>
      <c r="BK1529" s="105"/>
      <c r="BL1529" s="105"/>
      <c r="BM1529" s="105"/>
      <c r="BN1529" s="105"/>
      <c r="BO1529" s="105"/>
      <c r="BP1529" s="105"/>
      <c r="BQ1529" s="105"/>
      <c r="BR1529" s="106"/>
      <c r="BS1529" s="106"/>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c r="CO1529" s="107"/>
      <c r="CP1529" s="107"/>
      <c r="CQ1529" s="107"/>
      <c r="CR1529" s="107"/>
      <c r="CS1529" s="107"/>
      <c r="CT1529" s="107"/>
      <c r="CU1529" s="107"/>
      <c r="CV1529" s="107"/>
    </row>
    <row r="1530" customFormat="false" ht="13.8" hidden="false" customHeight="false" outlineLevel="0" collapsed="false">
      <c r="B1530" s="138"/>
      <c r="C1530" s="128"/>
      <c r="D1530" s="77"/>
      <c r="E1530" s="80"/>
      <c r="F1530" s="122"/>
      <c r="G1530" s="137"/>
      <c r="H1530" s="79" t="str">
        <f aca="false">IFERROR(VLOOKUP(E:E,'Item Data Support Sheet'!A:O,2,0),"")</f>
        <v/>
      </c>
      <c r="I1530" s="80"/>
      <c r="J1530" s="80"/>
      <c r="K1530" s="124"/>
      <c r="L1530" s="124"/>
      <c r="M1530" s="83"/>
      <c r="N1530" s="84" t="n">
        <f aca="false">+O1530+Q1530+T1530+U1530</f>
        <v>0</v>
      </c>
      <c r="O1530" s="85"/>
      <c r="P1530" s="86"/>
      <c r="Q1530" s="86"/>
      <c r="R1530" s="132"/>
      <c r="S1530" s="128"/>
      <c r="T1530" s="132"/>
      <c r="U1530" s="128"/>
      <c r="V1530" s="128"/>
      <c r="W1530" s="90" t="n">
        <f aca="false">IFERROR(O1530/V1530,0)</f>
        <v>0</v>
      </c>
      <c r="X1530" s="91" t="e">
        <f aca="false">O1530/L1530</f>
        <v>#DIV/0!</v>
      </c>
      <c r="Y1530" s="92" t="n">
        <f aca="false">IFERROR(VLOOKUP(E:E,'Item Data Support Sheet'!A:J,6,0),0)</f>
        <v>0</v>
      </c>
      <c r="Z1530" s="93" t="n">
        <f aca="false">IFERROR(VLOOKUP(E:E,'Item Data Support Sheet'!A:O,4,0),0)</f>
        <v>0</v>
      </c>
      <c r="AA1530" s="93" t="n">
        <f aca="false">IFERROR(((N1530)*(Z1530/1000))+P1530,0)</f>
        <v>0</v>
      </c>
      <c r="AB1530" s="94" t="str">
        <f aca="false">IFERROR((O1530*(Z1530/1000)/(AA1530))," ")</f>
        <v> </v>
      </c>
      <c r="AC1530" s="95" t="n">
        <f aca="false">IFERROR((T1530)/((T1530)+O1530),0)</f>
        <v>0</v>
      </c>
      <c r="AD1530" s="96" t="n">
        <f aca="false">IFERROR(Q1530/(Q1530+N1530),0)</f>
        <v>0</v>
      </c>
      <c r="AE1530" s="91" t="e">
        <f aca="false">(N1530-T1530)/N1530</f>
        <v>#DIV/0!</v>
      </c>
      <c r="AF1530" s="97" t="n">
        <f aca="false">BR1530</f>
        <v>0</v>
      </c>
      <c r="AG1530" s="98" t="n">
        <f aca="false">K1530-AF1530</f>
        <v>0</v>
      </c>
      <c r="AH1530" s="99" t="str">
        <f aca="false">IFERROR(AG1530/K1530," ")</f>
        <v> </v>
      </c>
      <c r="AI1530" s="100" t="n">
        <f aca="false">IFERROR(O1530/K1530,0)</f>
        <v>0</v>
      </c>
      <c r="AJ1530" s="101" t="e">
        <f aca="false">VLOOKUP(D1530,'Standard Cycle time'!C:D,2,0)</f>
        <v>#N/A</v>
      </c>
      <c r="AK1530" s="101" t="e">
        <f aca="false">AG1530*V1530*3600/O1530</f>
        <v>#DIV/0!</v>
      </c>
      <c r="AL1530" s="102" t="e">
        <f aca="false">AJ1530/AK1530</f>
        <v>#N/A</v>
      </c>
      <c r="AM1530" s="99" t="e">
        <f aca="false">AE1530*AL1530*AH1530</f>
        <v>#DIV/0!</v>
      </c>
      <c r="AN1530" s="103"/>
      <c r="AO1530" s="112"/>
      <c r="AP1530" s="105"/>
      <c r="AQ1530" s="105"/>
      <c r="AR1530" s="105"/>
      <c r="AS1530" s="105"/>
      <c r="AT1530" s="105"/>
      <c r="AU1530" s="105"/>
      <c r="AV1530" s="105"/>
      <c r="AW1530" s="105"/>
      <c r="AX1530" s="105"/>
      <c r="AY1530" s="105"/>
      <c r="AZ1530" s="105"/>
      <c r="BA1530" s="105"/>
      <c r="BB1530" s="105"/>
      <c r="BC1530" s="105"/>
      <c r="BD1530" s="105"/>
      <c r="BE1530" s="105"/>
      <c r="BF1530" s="105"/>
      <c r="BG1530" s="105"/>
      <c r="BH1530" s="105"/>
      <c r="BI1530" s="105"/>
      <c r="BJ1530" s="105"/>
      <c r="BK1530" s="105"/>
      <c r="BL1530" s="105"/>
      <c r="BM1530" s="105"/>
      <c r="BN1530" s="105"/>
      <c r="BO1530" s="105"/>
      <c r="BP1530" s="105"/>
      <c r="BQ1530" s="105"/>
      <c r="BR1530" s="106"/>
      <c r="BS1530" s="106"/>
      <c r="BT1530" s="107"/>
      <c r="BU1530" s="107"/>
      <c r="BV1530" s="107"/>
      <c r="BW1530" s="107"/>
      <c r="BX1530" s="107"/>
      <c r="BY1530" s="107"/>
      <c r="BZ1530" s="107"/>
      <c r="CA1530" s="107"/>
      <c r="CB1530" s="107"/>
      <c r="CC1530" s="107"/>
      <c r="CD1530" s="107"/>
      <c r="CE1530" s="107"/>
      <c r="CF1530" s="107"/>
      <c r="CG1530" s="107"/>
      <c r="CH1530" s="107"/>
      <c r="CI1530" s="107"/>
      <c r="CJ1530" s="107"/>
      <c r="CK1530" s="107"/>
      <c r="CL1530" s="107"/>
      <c r="CM1530" s="107"/>
      <c r="CN1530" s="107"/>
      <c r="CO1530" s="107"/>
      <c r="CP1530" s="107"/>
      <c r="CQ1530" s="107"/>
      <c r="CR1530" s="107"/>
      <c r="CS1530" s="107"/>
      <c r="CT1530" s="107"/>
      <c r="CU1530" s="107"/>
      <c r="CV1530" s="107"/>
    </row>
    <row r="1531" customFormat="false" ht="13.8" hidden="false" customHeight="false" outlineLevel="0" collapsed="false">
      <c r="B1531" s="138"/>
      <c r="C1531" s="128"/>
      <c r="D1531" s="77"/>
      <c r="E1531" s="80"/>
      <c r="F1531" s="122"/>
      <c r="G1531" s="137"/>
      <c r="H1531" s="79" t="str">
        <f aca="false">IFERROR(VLOOKUP(E:E,'Item Data Support Sheet'!A:O,2,0),"")</f>
        <v/>
      </c>
      <c r="I1531" s="80"/>
      <c r="J1531" s="80"/>
      <c r="K1531" s="124"/>
      <c r="L1531" s="124"/>
      <c r="M1531" s="83"/>
      <c r="N1531" s="84" t="n">
        <f aca="false">+O1531+Q1531+T1531+U1531</f>
        <v>0</v>
      </c>
      <c r="O1531" s="85"/>
      <c r="P1531" s="86"/>
      <c r="Q1531" s="86"/>
      <c r="R1531" s="132"/>
      <c r="S1531" s="128"/>
      <c r="T1531" s="132"/>
      <c r="U1531" s="128"/>
      <c r="V1531" s="128"/>
      <c r="W1531" s="90" t="n">
        <f aca="false">IFERROR(O1531/V1531,0)</f>
        <v>0</v>
      </c>
      <c r="X1531" s="91" t="e">
        <f aca="false">O1531/L1531</f>
        <v>#DIV/0!</v>
      </c>
      <c r="Y1531" s="92" t="n">
        <f aca="false">IFERROR(VLOOKUP(E:E,'Item Data Support Sheet'!A:J,6,0),0)</f>
        <v>0</v>
      </c>
      <c r="Z1531" s="93" t="n">
        <f aca="false">IFERROR(VLOOKUP(E:E,'Item Data Support Sheet'!A:O,4,0),0)</f>
        <v>0</v>
      </c>
      <c r="AA1531" s="93" t="n">
        <f aca="false">IFERROR(((N1531)*(Z1531/1000))+P1531,0)</f>
        <v>0</v>
      </c>
      <c r="AB1531" s="94" t="str">
        <f aca="false">IFERROR((O1531*(Z1531/1000)/(AA1531))," ")</f>
        <v> </v>
      </c>
      <c r="AC1531" s="95" t="n">
        <f aca="false">IFERROR((T1531)/((T1531)+O1531),0)</f>
        <v>0</v>
      </c>
      <c r="AD1531" s="96" t="n">
        <f aca="false">IFERROR(Q1531/(Q1531+N1531),0)</f>
        <v>0</v>
      </c>
      <c r="AE1531" s="91" t="e">
        <f aca="false">(N1531-T1531)/N1531</f>
        <v>#DIV/0!</v>
      </c>
      <c r="AF1531" s="97" t="n">
        <f aca="false">BR1531</f>
        <v>0</v>
      </c>
      <c r="AG1531" s="98" t="n">
        <f aca="false">K1531-AF1531</f>
        <v>0</v>
      </c>
      <c r="AH1531" s="99" t="str">
        <f aca="false">IFERROR(AG1531/K1531," ")</f>
        <v> </v>
      </c>
      <c r="AI1531" s="100" t="n">
        <f aca="false">IFERROR(O1531/K1531,0)</f>
        <v>0</v>
      </c>
      <c r="AJ1531" s="101" t="e">
        <f aca="false">VLOOKUP(D1531,'Standard Cycle time'!C:D,2,0)</f>
        <v>#N/A</v>
      </c>
      <c r="AK1531" s="101" t="e">
        <f aca="false">AG1531*V1531*3600/O1531</f>
        <v>#DIV/0!</v>
      </c>
      <c r="AL1531" s="102" t="e">
        <f aca="false">AJ1531/AK1531</f>
        <v>#N/A</v>
      </c>
      <c r="AM1531" s="99" t="e">
        <f aca="false">AE1531*AL1531*AH1531</f>
        <v>#DIV/0!</v>
      </c>
      <c r="AN1531" s="103"/>
      <c r="AO1531" s="112"/>
      <c r="AP1531" s="105"/>
      <c r="AQ1531" s="105"/>
      <c r="AR1531" s="105"/>
      <c r="AS1531" s="105"/>
      <c r="AT1531" s="105"/>
      <c r="AU1531" s="105"/>
      <c r="AV1531" s="105"/>
      <c r="AW1531" s="105"/>
      <c r="AX1531" s="105"/>
      <c r="AY1531" s="105"/>
      <c r="AZ1531" s="105"/>
      <c r="BA1531" s="105"/>
      <c r="BB1531" s="105"/>
      <c r="BC1531" s="105"/>
      <c r="BD1531" s="105"/>
      <c r="BE1531" s="105"/>
      <c r="BF1531" s="105"/>
      <c r="BG1531" s="105"/>
      <c r="BH1531" s="105"/>
      <c r="BI1531" s="105"/>
      <c r="BJ1531" s="105"/>
      <c r="BK1531" s="105"/>
      <c r="BL1531" s="105"/>
      <c r="BM1531" s="105"/>
      <c r="BN1531" s="105"/>
      <c r="BO1531" s="105"/>
      <c r="BP1531" s="105"/>
      <c r="BQ1531" s="105"/>
      <c r="BR1531" s="106"/>
      <c r="BS1531" s="106"/>
      <c r="BT1531" s="107"/>
      <c r="BU1531" s="107"/>
      <c r="BV1531" s="107"/>
      <c r="BW1531" s="107"/>
      <c r="BX1531" s="107"/>
      <c r="BY1531" s="107"/>
      <c r="BZ1531" s="107"/>
      <c r="CA1531" s="107"/>
      <c r="CB1531" s="107"/>
      <c r="CC1531" s="107"/>
      <c r="CD1531" s="107"/>
      <c r="CE1531" s="107"/>
      <c r="CF1531" s="107"/>
      <c r="CG1531" s="107"/>
      <c r="CH1531" s="107"/>
      <c r="CI1531" s="107"/>
      <c r="CJ1531" s="107"/>
      <c r="CK1531" s="107"/>
      <c r="CL1531" s="107"/>
      <c r="CM1531" s="107"/>
      <c r="CN1531" s="107"/>
      <c r="CO1531" s="107"/>
      <c r="CP1531" s="107"/>
      <c r="CQ1531" s="107"/>
      <c r="CR1531" s="107"/>
      <c r="CS1531" s="107"/>
      <c r="CT1531" s="107"/>
      <c r="CU1531" s="107"/>
      <c r="CV1531" s="107"/>
    </row>
    <row r="1532" customFormat="false" ht="13.8" hidden="false" customHeight="false" outlineLevel="0" collapsed="false">
      <c r="B1532" s="138"/>
      <c r="C1532" s="128"/>
      <c r="D1532" s="77"/>
      <c r="E1532" s="80"/>
      <c r="F1532" s="122"/>
      <c r="G1532" s="137"/>
      <c r="H1532" s="79" t="str">
        <f aca="false">IFERROR(VLOOKUP(E:E,'Item Data Support Sheet'!A:O,2,0),"")</f>
        <v/>
      </c>
      <c r="I1532" s="80"/>
      <c r="J1532" s="80"/>
      <c r="K1532" s="124"/>
      <c r="L1532" s="124"/>
      <c r="M1532" s="83"/>
      <c r="N1532" s="84" t="n">
        <f aca="false">+O1532+Q1532+T1532+U1532</f>
        <v>0</v>
      </c>
      <c r="O1532" s="85"/>
      <c r="P1532" s="86"/>
      <c r="Q1532" s="86"/>
      <c r="R1532" s="132"/>
      <c r="S1532" s="128"/>
      <c r="T1532" s="132"/>
      <c r="U1532" s="128"/>
      <c r="V1532" s="128"/>
      <c r="W1532" s="90" t="n">
        <f aca="false">IFERROR(O1532/V1532,0)</f>
        <v>0</v>
      </c>
      <c r="X1532" s="91" t="e">
        <f aca="false">O1532/L1532</f>
        <v>#DIV/0!</v>
      </c>
      <c r="Y1532" s="92" t="n">
        <f aca="false">IFERROR(VLOOKUP(E:E,'Item Data Support Sheet'!A:J,6,0),0)</f>
        <v>0</v>
      </c>
      <c r="Z1532" s="93" t="n">
        <f aca="false">IFERROR(VLOOKUP(E:E,'Item Data Support Sheet'!A:O,4,0),0)</f>
        <v>0</v>
      </c>
      <c r="AA1532" s="93" t="n">
        <f aca="false">IFERROR(((N1532)*(Z1532/1000))+P1532,0)</f>
        <v>0</v>
      </c>
      <c r="AB1532" s="94" t="str">
        <f aca="false">IFERROR((O1532*(Z1532/1000)/(AA1532))," ")</f>
        <v> </v>
      </c>
      <c r="AC1532" s="95" t="n">
        <f aca="false">IFERROR((T1532)/((T1532)+O1532),0)</f>
        <v>0</v>
      </c>
      <c r="AD1532" s="96" t="n">
        <f aca="false">IFERROR(Q1532/(Q1532+N1532),0)</f>
        <v>0</v>
      </c>
      <c r="AE1532" s="91" t="e">
        <f aca="false">(N1532-T1532)/N1532</f>
        <v>#DIV/0!</v>
      </c>
      <c r="AF1532" s="97" t="n">
        <f aca="false">BR1532</f>
        <v>0</v>
      </c>
      <c r="AG1532" s="98" t="n">
        <f aca="false">K1532-AF1532</f>
        <v>0</v>
      </c>
      <c r="AH1532" s="99" t="str">
        <f aca="false">IFERROR(AG1532/K1532," ")</f>
        <v> </v>
      </c>
      <c r="AI1532" s="100" t="n">
        <f aca="false">IFERROR(O1532/K1532,0)</f>
        <v>0</v>
      </c>
      <c r="AJ1532" s="101" t="e">
        <f aca="false">VLOOKUP(D1532,'Standard Cycle time'!C:D,2,0)</f>
        <v>#N/A</v>
      </c>
      <c r="AK1532" s="101" t="e">
        <f aca="false">AG1532*V1532*3600/O1532</f>
        <v>#DIV/0!</v>
      </c>
      <c r="AL1532" s="102" t="e">
        <f aca="false">AJ1532/AK1532</f>
        <v>#N/A</v>
      </c>
      <c r="AM1532" s="99" t="e">
        <f aca="false">AE1532*AL1532*AH1532</f>
        <v>#DIV/0!</v>
      </c>
      <c r="AN1532" s="103"/>
      <c r="AO1532" s="112"/>
      <c r="AP1532" s="105"/>
      <c r="AQ1532" s="105"/>
      <c r="AR1532" s="105"/>
      <c r="AS1532" s="105"/>
      <c r="AT1532" s="105"/>
      <c r="AU1532" s="105"/>
      <c r="AV1532" s="105"/>
      <c r="AW1532" s="105"/>
      <c r="AX1532" s="105"/>
      <c r="AY1532" s="105"/>
      <c r="AZ1532" s="105"/>
      <c r="BA1532" s="105"/>
      <c r="BB1532" s="105"/>
      <c r="BC1532" s="105"/>
      <c r="BD1532" s="105"/>
      <c r="BE1532" s="105"/>
      <c r="BF1532" s="105"/>
      <c r="BG1532" s="105"/>
      <c r="BH1532" s="105"/>
      <c r="BI1532" s="105"/>
      <c r="BJ1532" s="105"/>
      <c r="BK1532" s="105"/>
      <c r="BL1532" s="105"/>
      <c r="BM1532" s="105"/>
      <c r="BN1532" s="105"/>
      <c r="BO1532" s="105"/>
      <c r="BP1532" s="105"/>
      <c r="BQ1532" s="105"/>
      <c r="BR1532" s="106"/>
      <c r="BS1532" s="106"/>
      <c r="BT1532" s="107"/>
      <c r="BU1532" s="107"/>
      <c r="BV1532" s="107"/>
      <c r="BW1532" s="107"/>
      <c r="BX1532" s="107"/>
      <c r="BY1532" s="107"/>
      <c r="BZ1532" s="107"/>
      <c r="CA1532" s="107"/>
      <c r="CB1532" s="107"/>
      <c r="CC1532" s="107"/>
      <c r="CD1532" s="107"/>
      <c r="CE1532" s="107"/>
      <c r="CF1532" s="107"/>
      <c r="CG1532" s="107"/>
      <c r="CH1532" s="107"/>
      <c r="CI1532" s="107"/>
      <c r="CJ1532" s="107"/>
      <c r="CK1532" s="107"/>
      <c r="CL1532" s="107"/>
      <c r="CM1532" s="107"/>
      <c r="CN1532" s="107"/>
      <c r="CO1532" s="107"/>
      <c r="CP1532" s="107"/>
      <c r="CQ1532" s="107"/>
      <c r="CR1532" s="107"/>
      <c r="CS1532" s="107"/>
      <c r="CT1532" s="107"/>
      <c r="CU1532" s="107"/>
      <c r="CV1532" s="107"/>
    </row>
    <row r="1533" customFormat="false" ht="13.8" hidden="false" customHeight="false" outlineLevel="0" collapsed="false">
      <c r="B1533" s="138"/>
      <c r="C1533" s="128"/>
      <c r="D1533" s="77"/>
      <c r="E1533" s="80"/>
      <c r="F1533" s="122"/>
      <c r="G1533" s="137"/>
      <c r="H1533" s="79" t="str">
        <f aca="false">IFERROR(VLOOKUP(E:E,'Item Data Support Sheet'!A:O,2,0),"")</f>
        <v/>
      </c>
      <c r="I1533" s="80"/>
      <c r="J1533" s="80"/>
      <c r="K1533" s="124"/>
      <c r="L1533" s="124"/>
      <c r="M1533" s="83"/>
      <c r="N1533" s="84" t="n">
        <f aca="false">+O1533+Q1533+T1533+U1533</f>
        <v>0</v>
      </c>
      <c r="O1533" s="85"/>
      <c r="P1533" s="86"/>
      <c r="Q1533" s="86"/>
      <c r="R1533" s="132"/>
      <c r="S1533" s="128"/>
      <c r="T1533" s="132"/>
      <c r="U1533" s="128"/>
      <c r="V1533" s="128"/>
      <c r="W1533" s="90" t="n">
        <f aca="false">IFERROR(O1533/V1533,0)</f>
        <v>0</v>
      </c>
      <c r="X1533" s="91" t="e">
        <f aca="false">O1533/L1533</f>
        <v>#DIV/0!</v>
      </c>
      <c r="Y1533" s="92" t="n">
        <f aca="false">IFERROR(VLOOKUP(E:E,'Item Data Support Sheet'!A:J,6,0),0)</f>
        <v>0</v>
      </c>
      <c r="Z1533" s="93" t="n">
        <f aca="false">IFERROR(VLOOKUP(E:E,'Item Data Support Sheet'!A:O,4,0),0)</f>
        <v>0</v>
      </c>
      <c r="AA1533" s="93" t="n">
        <f aca="false">IFERROR(((N1533)*(Z1533/1000))+P1533,0)</f>
        <v>0</v>
      </c>
      <c r="AB1533" s="94" t="str">
        <f aca="false">IFERROR((O1533*(Z1533/1000)/(AA1533))," ")</f>
        <v> </v>
      </c>
      <c r="AC1533" s="95" t="n">
        <f aca="false">IFERROR((T1533)/((T1533)+O1533),0)</f>
        <v>0</v>
      </c>
      <c r="AD1533" s="96" t="n">
        <f aca="false">IFERROR(Q1533/(Q1533+N1533),0)</f>
        <v>0</v>
      </c>
      <c r="AE1533" s="91" t="e">
        <f aca="false">(N1533-T1533)/N1533</f>
        <v>#DIV/0!</v>
      </c>
      <c r="AF1533" s="97" t="n">
        <f aca="false">BR1533</f>
        <v>0</v>
      </c>
      <c r="AG1533" s="98" t="n">
        <f aca="false">K1533-AF1533</f>
        <v>0</v>
      </c>
      <c r="AH1533" s="99" t="str">
        <f aca="false">IFERROR(AG1533/K1533," ")</f>
        <v> </v>
      </c>
      <c r="AI1533" s="100" t="n">
        <f aca="false">IFERROR(O1533/K1533,0)</f>
        <v>0</v>
      </c>
      <c r="AJ1533" s="101" t="e">
        <f aca="false">VLOOKUP(D1533,'Standard Cycle time'!C:D,2,0)</f>
        <v>#N/A</v>
      </c>
      <c r="AK1533" s="101" t="e">
        <f aca="false">AG1533*V1533*3600/O1533</f>
        <v>#DIV/0!</v>
      </c>
      <c r="AL1533" s="102" t="e">
        <f aca="false">AJ1533/AK1533</f>
        <v>#N/A</v>
      </c>
      <c r="AM1533" s="99" t="e">
        <f aca="false">AE1533*AL1533*AH1533</f>
        <v>#DIV/0!</v>
      </c>
      <c r="AN1533" s="103"/>
      <c r="AO1533" s="112"/>
      <c r="AP1533" s="105"/>
      <c r="AQ1533" s="105"/>
      <c r="AR1533" s="105"/>
      <c r="AS1533" s="105"/>
      <c r="AT1533" s="105"/>
      <c r="AU1533" s="105"/>
      <c r="AV1533" s="105"/>
      <c r="AW1533" s="105"/>
      <c r="AX1533" s="105"/>
      <c r="AY1533" s="105"/>
      <c r="AZ1533" s="105"/>
      <c r="BA1533" s="105"/>
      <c r="BB1533" s="105"/>
      <c r="BC1533" s="105"/>
      <c r="BD1533" s="105"/>
      <c r="BE1533" s="105"/>
      <c r="BF1533" s="105"/>
      <c r="BG1533" s="105"/>
      <c r="BH1533" s="105"/>
      <c r="BI1533" s="105"/>
      <c r="BJ1533" s="105"/>
      <c r="BK1533" s="105"/>
      <c r="BL1533" s="105"/>
      <c r="BM1533" s="105"/>
      <c r="BN1533" s="105"/>
      <c r="BO1533" s="105"/>
      <c r="BP1533" s="105"/>
      <c r="BQ1533" s="105"/>
      <c r="BR1533" s="106"/>
      <c r="BS1533" s="106"/>
      <c r="BT1533" s="107"/>
      <c r="BU1533" s="107"/>
      <c r="BV1533" s="107"/>
      <c r="BW1533" s="107"/>
      <c r="BX1533" s="107"/>
      <c r="BY1533" s="107"/>
      <c r="BZ1533" s="107"/>
      <c r="CA1533" s="107"/>
      <c r="CB1533" s="107"/>
      <c r="CC1533" s="107"/>
      <c r="CD1533" s="107"/>
      <c r="CE1533" s="107"/>
      <c r="CF1533" s="107"/>
      <c r="CG1533" s="107"/>
      <c r="CH1533" s="107"/>
      <c r="CI1533" s="107"/>
      <c r="CJ1533" s="107"/>
      <c r="CK1533" s="107"/>
      <c r="CL1533" s="107"/>
      <c r="CM1533" s="107"/>
      <c r="CN1533" s="107"/>
      <c r="CO1533" s="107"/>
      <c r="CP1533" s="107"/>
      <c r="CQ1533" s="107"/>
      <c r="CR1533" s="107"/>
      <c r="CS1533" s="107"/>
      <c r="CT1533" s="107"/>
      <c r="CU1533" s="107"/>
      <c r="CV1533" s="107"/>
    </row>
    <row r="1534" customFormat="false" ht="13.8" hidden="false" customHeight="false" outlineLevel="0" collapsed="false">
      <c r="B1534" s="138"/>
      <c r="C1534" s="128"/>
      <c r="D1534" s="77"/>
      <c r="E1534" s="80"/>
      <c r="F1534" s="122"/>
      <c r="G1534" s="137"/>
      <c r="H1534" s="79" t="str">
        <f aca="false">IFERROR(VLOOKUP(E:E,'Item Data Support Sheet'!A:O,2,0),"")</f>
        <v/>
      </c>
      <c r="I1534" s="80"/>
      <c r="J1534" s="80"/>
      <c r="K1534" s="124"/>
      <c r="L1534" s="124"/>
      <c r="M1534" s="83"/>
      <c r="N1534" s="84" t="n">
        <f aca="false">+O1534+Q1534+T1534+U1534</f>
        <v>0</v>
      </c>
      <c r="O1534" s="85"/>
      <c r="P1534" s="86"/>
      <c r="Q1534" s="86"/>
      <c r="R1534" s="132"/>
      <c r="S1534" s="128"/>
      <c r="T1534" s="132"/>
      <c r="U1534" s="128"/>
      <c r="V1534" s="128"/>
      <c r="W1534" s="90" t="n">
        <f aca="false">IFERROR(O1534/V1534,0)</f>
        <v>0</v>
      </c>
      <c r="X1534" s="91" t="e">
        <f aca="false">O1534/L1534</f>
        <v>#DIV/0!</v>
      </c>
      <c r="Y1534" s="92" t="n">
        <f aca="false">IFERROR(VLOOKUP(E:E,'Item Data Support Sheet'!A:J,6,0),0)</f>
        <v>0</v>
      </c>
      <c r="Z1534" s="93" t="n">
        <f aca="false">IFERROR(VLOOKUP(E:E,'Item Data Support Sheet'!A:O,4,0),0)</f>
        <v>0</v>
      </c>
      <c r="AA1534" s="93" t="n">
        <f aca="false">IFERROR(((N1534)*(Z1534/1000))+P1534,0)</f>
        <v>0</v>
      </c>
      <c r="AB1534" s="94" t="str">
        <f aca="false">IFERROR((O1534*(Z1534/1000)/(AA1534))," ")</f>
        <v> </v>
      </c>
      <c r="AC1534" s="95" t="n">
        <f aca="false">IFERROR((T1534)/((T1534)+O1534),0)</f>
        <v>0</v>
      </c>
      <c r="AD1534" s="96" t="n">
        <f aca="false">IFERROR(Q1534/(Q1534+N1534),0)</f>
        <v>0</v>
      </c>
      <c r="AE1534" s="91" t="e">
        <f aca="false">(N1534-T1534)/N1534</f>
        <v>#DIV/0!</v>
      </c>
      <c r="AF1534" s="97" t="n">
        <f aca="false">BR1534</f>
        <v>0</v>
      </c>
      <c r="AG1534" s="98" t="n">
        <f aca="false">K1534-AF1534</f>
        <v>0</v>
      </c>
      <c r="AH1534" s="99" t="str">
        <f aca="false">IFERROR(AG1534/K1534," ")</f>
        <v> </v>
      </c>
      <c r="AI1534" s="100" t="n">
        <f aca="false">IFERROR(O1534/K1534,0)</f>
        <v>0</v>
      </c>
      <c r="AJ1534" s="101" t="e">
        <f aca="false">VLOOKUP(D1534,'Standard Cycle time'!C:D,2,0)</f>
        <v>#N/A</v>
      </c>
      <c r="AK1534" s="101" t="e">
        <f aca="false">AG1534*V1534*3600/O1534</f>
        <v>#DIV/0!</v>
      </c>
      <c r="AL1534" s="102" t="e">
        <f aca="false">AJ1534/AK1534</f>
        <v>#N/A</v>
      </c>
      <c r="AM1534" s="99" t="e">
        <f aca="false">AE1534*AL1534*AH1534</f>
        <v>#DIV/0!</v>
      </c>
      <c r="AN1534" s="103"/>
      <c r="AO1534" s="112"/>
      <c r="AP1534" s="105"/>
      <c r="AQ1534" s="105"/>
      <c r="AR1534" s="105"/>
      <c r="AS1534" s="105"/>
      <c r="AT1534" s="105"/>
      <c r="AU1534" s="105"/>
      <c r="AV1534" s="105"/>
      <c r="AW1534" s="105"/>
      <c r="AX1534" s="105"/>
      <c r="AY1534" s="105"/>
      <c r="AZ1534" s="105"/>
      <c r="BA1534" s="105"/>
      <c r="BB1534" s="105"/>
      <c r="BC1534" s="105"/>
      <c r="BD1534" s="105"/>
      <c r="BE1534" s="105"/>
      <c r="BF1534" s="105"/>
      <c r="BG1534" s="105"/>
      <c r="BH1534" s="105"/>
      <c r="BI1534" s="105"/>
      <c r="BJ1534" s="105"/>
      <c r="BK1534" s="105"/>
      <c r="BL1534" s="105"/>
      <c r="BM1534" s="105"/>
      <c r="BN1534" s="105"/>
      <c r="BO1534" s="105"/>
      <c r="BP1534" s="105"/>
      <c r="BQ1534" s="105"/>
      <c r="BR1534" s="106"/>
      <c r="BS1534" s="106"/>
      <c r="BT1534" s="107"/>
      <c r="BU1534" s="107"/>
      <c r="BV1534" s="107"/>
      <c r="BW1534" s="107"/>
      <c r="BX1534" s="107"/>
      <c r="BY1534" s="107"/>
      <c r="BZ1534" s="107"/>
      <c r="CA1534" s="107"/>
      <c r="CB1534" s="107"/>
      <c r="CC1534" s="107"/>
      <c r="CD1534" s="107"/>
      <c r="CE1534" s="107"/>
      <c r="CF1534" s="107"/>
      <c r="CG1534" s="107"/>
      <c r="CH1534" s="107"/>
      <c r="CI1534" s="107"/>
      <c r="CJ1534" s="107"/>
      <c r="CK1534" s="107"/>
      <c r="CL1534" s="107"/>
      <c r="CM1534" s="107"/>
      <c r="CN1534" s="107"/>
      <c r="CO1534" s="107"/>
      <c r="CP1534" s="107"/>
      <c r="CQ1534" s="107"/>
      <c r="CR1534" s="107"/>
      <c r="CS1534" s="107"/>
      <c r="CT1534" s="107"/>
      <c r="CU1534" s="107"/>
      <c r="CV1534" s="107"/>
    </row>
    <row r="1535" customFormat="false" ht="13.8" hidden="false" customHeight="false" outlineLevel="0" collapsed="false">
      <c r="B1535" s="138"/>
      <c r="C1535" s="128"/>
      <c r="D1535" s="77"/>
      <c r="E1535" s="80"/>
      <c r="F1535" s="122"/>
      <c r="G1535" s="137"/>
      <c r="H1535" s="79" t="str">
        <f aca="false">IFERROR(VLOOKUP(E:E,'Item Data Support Sheet'!A:O,2,0),"")</f>
        <v/>
      </c>
      <c r="I1535" s="80"/>
      <c r="J1535" s="80"/>
      <c r="K1535" s="124"/>
      <c r="L1535" s="124"/>
      <c r="M1535" s="83"/>
      <c r="N1535" s="84" t="n">
        <f aca="false">+O1535+Q1535+T1535+U1535</f>
        <v>0</v>
      </c>
      <c r="O1535" s="85"/>
      <c r="P1535" s="86"/>
      <c r="Q1535" s="86"/>
      <c r="R1535" s="132"/>
      <c r="S1535" s="128"/>
      <c r="T1535" s="132"/>
      <c r="U1535" s="128"/>
      <c r="V1535" s="128"/>
      <c r="W1535" s="90" t="n">
        <f aca="false">IFERROR(O1535/V1535,0)</f>
        <v>0</v>
      </c>
      <c r="X1535" s="91" t="e">
        <f aca="false">O1535/L1535</f>
        <v>#DIV/0!</v>
      </c>
      <c r="Y1535" s="92" t="n">
        <f aca="false">IFERROR(VLOOKUP(E:E,'Item Data Support Sheet'!A:J,6,0),0)</f>
        <v>0</v>
      </c>
      <c r="Z1535" s="93" t="n">
        <f aca="false">IFERROR(VLOOKUP(E:E,'Item Data Support Sheet'!A:O,4,0),0)</f>
        <v>0</v>
      </c>
      <c r="AA1535" s="93" t="n">
        <f aca="false">IFERROR(((N1535)*(Z1535/1000))+P1535,0)</f>
        <v>0</v>
      </c>
      <c r="AB1535" s="94" t="str">
        <f aca="false">IFERROR((O1535*(Z1535/1000)/(AA1535))," ")</f>
        <v> </v>
      </c>
      <c r="AC1535" s="95" t="n">
        <f aca="false">IFERROR((T1535)/((T1535)+O1535),0)</f>
        <v>0</v>
      </c>
      <c r="AD1535" s="96" t="n">
        <f aca="false">IFERROR(Q1535/(Q1535+N1535),0)</f>
        <v>0</v>
      </c>
      <c r="AE1535" s="91" t="e">
        <f aca="false">(N1535-T1535)/N1535</f>
        <v>#DIV/0!</v>
      </c>
      <c r="AF1535" s="97" t="n">
        <f aca="false">BR1535</f>
        <v>0</v>
      </c>
      <c r="AG1535" s="98" t="n">
        <f aca="false">K1535-AF1535</f>
        <v>0</v>
      </c>
      <c r="AH1535" s="99" t="str">
        <f aca="false">IFERROR(AG1535/K1535," ")</f>
        <v> </v>
      </c>
      <c r="AI1535" s="100" t="n">
        <f aca="false">IFERROR(O1535/K1535,0)</f>
        <v>0</v>
      </c>
      <c r="AJ1535" s="101" t="e">
        <f aca="false">VLOOKUP(D1535,'Standard Cycle time'!C:D,2,0)</f>
        <v>#N/A</v>
      </c>
      <c r="AK1535" s="101" t="e">
        <f aca="false">AG1535*V1535*3600/O1535</f>
        <v>#DIV/0!</v>
      </c>
      <c r="AL1535" s="102" t="e">
        <f aca="false">AJ1535/AK1535</f>
        <v>#N/A</v>
      </c>
      <c r="AM1535" s="99" t="e">
        <f aca="false">AE1535*AL1535*AH1535</f>
        <v>#DIV/0!</v>
      </c>
      <c r="AN1535" s="103"/>
      <c r="AO1535" s="112"/>
      <c r="AP1535" s="105"/>
      <c r="AQ1535" s="105"/>
      <c r="AR1535" s="105"/>
      <c r="AS1535" s="105"/>
      <c r="AT1535" s="105"/>
      <c r="AU1535" s="105"/>
      <c r="AV1535" s="105"/>
      <c r="AW1535" s="105"/>
      <c r="AX1535" s="105"/>
      <c r="AY1535" s="105"/>
      <c r="AZ1535" s="105"/>
      <c r="BA1535" s="105"/>
      <c r="BB1535" s="105"/>
      <c r="BC1535" s="105"/>
      <c r="BD1535" s="105"/>
      <c r="BE1535" s="105"/>
      <c r="BF1535" s="105"/>
      <c r="BG1535" s="105"/>
      <c r="BH1535" s="105"/>
      <c r="BI1535" s="105"/>
      <c r="BJ1535" s="105"/>
      <c r="BK1535" s="105"/>
      <c r="BL1535" s="105"/>
      <c r="BM1535" s="105"/>
      <c r="BN1535" s="105"/>
      <c r="BO1535" s="105"/>
      <c r="BP1535" s="105"/>
      <c r="BQ1535" s="105"/>
      <c r="BR1535" s="106"/>
      <c r="BS1535" s="106"/>
      <c r="BT1535" s="107"/>
      <c r="BU1535" s="107"/>
      <c r="BV1535" s="107"/>
      <c r="BW1535" s="107"/>
      <c r="BX1535" s="107"/>
      <c r="BY1535" s="107"/>
      <c r="BZ1535" s="107"/>
      <c r="CA1535" s="107"/>
      <c r="CB1535" s="107"/>
      <c r="CC1535" s="107"/>
      <c r="CD1535" s="107"/>
      <c r="CE1535" s="107"/>
      <c r="CF1535" s="107"/>
      <c r="CG1535" s="107"/>
      <c r="CH1535" s="107"/>
      <c r="CI1535" s="107"/>
      <c r="CJ1535" s="107"/>
      <c r="CK1535" s="107"/>
      <c r="CL1535" s="107"/>
      <c r="CM1535" s="107"/>
      <c r="CN1535" s="107"/>
      <c r="CO1535" s="107"/>
      <c r="CP1535" s="107"/>
      <c r="CQ1535" s="107"/>
      <c r="CR1535" s="107"/>
      <c r="CS1535" s="107"/>
      <c r="CT1535" s="107"/>
      <c r="CU1535" s="107"/>
      <c r="CV1535" s="107"/>
    </row>
    <row r="1536" customFormat="false" ht="13.8" hidden="false" customHeight="false" outlineLevel="0" collapsed="false">
      <c r="B1536" s="138"/>
      <c r="C1536" s="128"/>
      <c r="D1536" s="77"/>
      <c r="E1536" s="80"/>
      <c r="F1536" s="122"/>
      <c r="G1536" s="137"/>
      <c r="H1536" s="79" t="str">
        <f aca="false">IFERROR(VLOOKUP(E:E,'Item Data Support Sheet'!A:O,2,0),"")</f>
        <v/>
      </c>
      <c r="I1536" s="80"/>
      <c r="J1536" s="80"/>
      <c r="K1536" s="124"/>
      <c r="L1536" s="124"/>
      <c r="M1536" s="83"/>
      <c r="N1536" s="84" t="n">
        <f aca="false">+O1536+Q1536+T1536+U1536</f>
        <v>0</v>
      </c>
      <c r="O1536" s="85"/>
      <c r="P1536" s="86"/>
      <c r="Q1536" s="86"/>
      <c r="R1536" s="132"/>
      <c r="S1536" s="128"/>
      <c r="T1536" s="132"/>
      <c r="U1536" s="128"/>
      <c r="V1536" s="128"/>
      <c r="W1536" s="90" t="n">
        <f aca="false">IFERROR(O1536/V1536,0)</f>
        <v>0</v>
      </c>
      <c r="X1536" s="91" t="e">
        <f aca="false">O1536/L1536</f>
        <v>#DIV/0!</v>
      </c>
      <c r="Y1536" s="92" t="n">
        <f aca="false">IFERROR(VLOOKUP(E:E,'Item Data Support Sheet'!A:J,6,0),0)</f>
        <v>0</v>
      </c>
      <c r="Z1536" s="93" t="n">
        <f aca="false">IFERROR(VLOOKUP(E:E,'Item Data Support Sheet'!A:O,4,0),0)</f>
        <v>0</v>
      </c>
      <c r="AA1536" s="93" t="n">
        <f aca="false">IFERROR(((N1536)*(Z1536/1000))+P1536,0)</f>
        <v>0</v>
      </c>
      <c r="AB1536" s="94" t="str">
        <f aca="false">IFERROR((O1536*(Z1536/1000)/(AA1536))," ")</f>
        <v> </v>
      </c>
      <c r="AC1536" s="95" t="n">
        <f aca="false">IFERROR((T1536)/((T1536)+O1536),0)</f>
        <v>0</v>
      </c>
      <c r="AD1536" s="96" t="n">
        <f aca="false">IFERROR(Q1536/(Q1536+N1536),0)</f>
        <v>0</v>
      </c>
      <c r="AE1536" s="91" t="e">
        <f aca="false">(N1536-T1536)/N1536</f>
        <v>#DIV/0!</v>
      </c>
      <c r="AF1536" s="97" t="n">
        <f aca="false">BR1536</f>
        <v>0</v>
      </c>
      <c r="AG1536" s="98" t="n">
        <f aca="false">K1536-AF1536</f>
        <v>0</v>
      </c>
      <c r="AH1536" s="99" t="str">
        <f aca="false">IFERROR(AG1536/K1536," ")</f>
        <v> </v>
      </c>
      <c r="AI1536" s="100" t="n">
        <f aca="false">IFERROR(O1536/K1536,0)</f>
        <v>0</v>
      </c>
      <c r="AJ1536" s="101" t="e">
        <f aca="false">VLOOKUP(D1536,'Standard Cycle time'!C:D,2,0)</f>
        <v>#N/A</v>
      </c>
      <c r="AK1536" s="101" t="e">
        <f aca="false">AG1536*V1536*3600/O1536</f>
        <v>#DIV/0!</v>
      </c>
      <c r="AL1536" s="102" t="e">
        <f aca="false">AJ1536/AK1536</f>
        <v>#N/A</v>
      </c>
      <c r="AM1536" s="99" t="e">
        <f aca="false">AE1536*AL1536*AH1536</f>
        <v>#DIV/0!</v>
      </c>
      <c r="AN1536" s="103"/>
      <c r="AO1536" s="112"/>
      <c r="AP1536" s="105"/>
      <c r="AQ1536" s="105"/>
      <c r="AR1536" s="105"/>
      <c r="AS1536" s="105"/>
      <c r="AT1536" s="105"/>
      <c r="AU1536" s="105"/>
      <c r="AV1536" s="105"/>
      <c r="AW1536" s="105"/>
      <c r="AX1536" s="105"/>
      <c r="AY1536" s="105"/>
      <c r="AZ1536" s="105"/>
      <c r="BA1536" s="105"/>
      <c r="BB1536" s="105"/>
      <c r="BC1536" s="105"/>
      <c r="BD1536" s="105"/>
      <c r="BE1536" s="105"/>
      <c r="BF1536" s="105"/>
      <c r="BG1536" s="105"/>
      <c r="BH1536" s="105"/>
      <c r="BI1536" s="105"/>
      <c r="BJ1536" s="105"/>
      <c r="BK1536" s="105"/>
      <c r="BL1536" s="105"/>
      <c r="BM1536" s="105"/>
      <c r="BN1536" s="105"/>
      <c r="BO1536" s="105"/>
      <c r="BP1536" s="105"/>
      <c r="BQ1536" s="105"/>
      <c r="BR1536" s="106"/>
      <c r="BS1536" s="106"/>
      <c r="BT1536" s="107"/>
      <c r="BU1536" s="107"/>
      <c r="BV1536" s="107"/>
      <c r="BW1536" s="107"/>
      <c r="BX1536" s="107"/>
      <c r="BY1536" s="107"/>
      <c r="BZ1536" s="107"/>
      <c r="CA1536" s="107"/>
      <c r="CB1536" s="107"/>
      <c r="CC1536" s="107"/>
      <c r="CD1536" s="107"/>
      <c r="CE1536" s="107"/>
      <c r="CF1536" s="107"/>
      <c r="CG1536" s="107"/>
      <c r="CH1536" s="107"/>
      <c r="CI1536" s="107"/>
      <c r="CJ1536" s="107"/>
      <c r="CK1536" s="107"/>
      <c r="CL1536" s="107"/>
      <c r="CM1536" s="107"/>
      <c r="CN1536" s="107"/>
      <c r="CO1536" s="107"/>
      <c r="CP1536" s="107"/>
      <c r="CQ1536" s="107"/>
      <c r="CR1536" s="107"/>
      <c r="CS1536" s="107"/>
      <c r="CT1536" s="107"/>
      <c r="CU1536" s="107"/>
      <c r="CV1536" s="107"/>
    </row>
    <row r="1537" customFormat="false" ht="13.8" hidden="false" customHeight="false" outlineLevel="0" collapsed="false">
      <c r="B1537" s="138"/>
      <c r="C1537" s="128"/>
      <c r="D1537" s="77"/>
      <c r="E1537" s="80"/>
      <c r="F1537" s="122"/>
      <c r="G1537" s="137"/>
      <c r="H1537" s="79" t="str">
        <f aca="false">IFERROR(VLOOKUP(E:E,'Item Data Support Sheet'!A:O,2,0),"")</f>
        <v/>
      </c>
      <c r="I1537" s="80"/>
      <c r="J1537" s="80"/>
      <c r="K1537" s="124"/>
      <c r="L1537" s="124"/>
      <c r="M1537" s="83"/>
      <c r="N1537" s="84" t="n">
        <f aca="false">+O1537+Q1537+T1537+U1537</f>
        <v>0</v>
      </c>
      <c r="O1537" s="85"/>
      <c r="P1537" s="86"/>
      <c r="Q1537" s="86"/>
      <c r="R1537" s="132"/>
      <c r="S1537" s="128"/>
      <c r="T1537" s="132"/>
      <c r="U1537" s="128"/>
      <c r="V1537" s="128"/>
      <c r="W1537" s="90" t="n">
        <f aca="false">IFERROR(O1537/V1537,0)</f>
        <v>0</v>
      </c>
      <c r="X1537" s="91" t="e">
        <f aca="false">O1537/L1537</f>
        <v>#DIV/0!</v>
      </c>
      <c r="Y1537" s="92" t="n">
        <f aca="false">IFERROR(VLOOKUP(E:E,'Item Data Support Sheet'!A:J,6,0),0)</f>
        <v>0</v>
      </c>
      <c r="Z1537" s="93" t="n">
        <f aca="false">IFERROR(VLOOKUP(E:E,'Item Data Support Sheet'!A:O,4,0),0)</f>
        <v>0</v>
      </c>
      <c r="AA1537" s="93" t="n">
        <f aca="false">IFERROR(((N1537)*(Z1537/1000))+P1537,0)</f>
        <v>0</v>
      </c>
      <c r="AB1537" s="94" t="str">
        <f aca="false">IFERROR((O1537*(Z1537/1000)/(AA1537))," ")</f>
        <v> </v>
      </c>
      <c r="AC1537" s="95" t="n">
        <f aca="false">IFERROR((T1537)/((T1537)+O1537),0)</f>
        <v>0</v>
      </c>
      <c r="AD1537" s="96" t="n">
        <f aca="false">IFERROR(Q1537/(Q1537+N1537),0)</f>
        <v>0</v>
      </c>
      <c r="AE1537" s="91" t="e">
        <f aca="false">(N1537-T1537)/N1537</f>
        <v>#DIV/0!</v>
      </c>
      <c r="AF1537" s="97" t="n">
        <f aca="false">BR1537</f>
        <v>0</v>
      </c>
      <c r="AG1537" s="98" t="n">
        <f aca="false">K1537-AF1537</f>
        <v>0</v>
      </c>
      <c r="AH1537" s="99" t="str">
        <f aca="false">IFERROR(AG1537/K1537," ")</f>
        <v> </v>
      </c>
      <c r="AI1537" s="100" t="n">
        <f aca="false">IFERROR(O1537/K1537,0)</f>
        <v>0</v>
      </c>
      <c r="AJ1537" s="101" t="e">
        <f aca="false">VLOOKUP(D1537,'Standard Cycle time'!C:D,2,0)</f>
        <v>#N/A</v>
      </c>
      <c r="AK1537" s="101" t="e">
        <f aca="false">AG1537*V1537*3600/O1537</f>
        <v>#DIV/0!</v>
      </c>
      <c r="AL1537" s="102" t="e">
        <f aca="false">AJ1537/AK1537</f>
        <v>#N/A</v>
      </c>
      <c r="AM1537" s="99" t="e">
        <f aca="false">AE1537*AL1537*AH1537</f>
        <v>#DIV/0!</v>
      </c>
      <c r="AN1537" s="103"/>
      <c r="AO1537" s="112"/>
      <c r="AP1537" s="105"/>
      <c r="AQ1537" s="105"/>
      <c r="AR1537" s="105"/>
      <c r="AS1537" s="105"/>
      <c r="AT1537" s="105"/>
      <c r="AU1537" s="105"/>
      <c r="AV1537" s="105"/>
      <c r="AW1537" s="105"/>
      <c r="AX1537" s="105"/>
      <c r="AY1537" s="105"/>
      <c r="AZ1537" s="105"/>
      <c r="BA1537" s="105"/>
      <c r="BB1537" s="105"/>
      <c r="BC1537" s="105"/>
      <c r="BD1537" s="105"/>
      <c r="BE1537" s="105"/>
      <c r="BF1537" s="105"/>
      <c r="BG1537" s="105"/>
      <c r="BH1537" s="105"/>
      <c r="BI1537" s="105"/>
      <c r="BJ1537" s="105"/>
      <c r="BK1537" s="105"/>
      <c r="BL1537" s="105"/>
      <c r="BM1537" s="105"/>
      <c r="BN1537" s="105"/>
      <c r="BO1537" s="105"/>
      <c r="BP1537" s="105"/>
      <c r="BQ1537" s="105"/>
      <c r="BR1537" s="106"/>
      <c r="BS1537" s="106"/>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c r="CO1537" s="107"/>
      <c r="CP1537" s="107"/>
      <c r="CQ1537" s="107"/>
      <c r="CR1537" s="107"/>
      <c r="CS1537" s="107"/>
      <c r="CT1537" s="107"/>
      <c r="CU1537" s="107"/>
      <c r="CV1537" s="107"/>
    </row>
    <row r="1538" customFormat="false" ht="13.8" hidden="false" customHeight="false" outlineLevel="0" collapsed="false">
      <c r="B1538" s="138"/>
      <c r="C1538" s="128"/>
      <c r="D1538" s="77"/>
      <c r="E1538" s="80"/>
      <c r="F1538" s="122"/>
      <c r="G1538" s="137"/>
      <c r="H1538" s="79" t="str">
        <f aca="false">IFERROR(VLOOKUP(E:E,'Item Data Support Sheet'!A:O,2,0),"")</f>
        <v/>
      </c>
      <c r="I1538" s="80"/>
      <c r="J1538" s="80"/>
      <c r="K1538" s="124"/>
      <c r="L1538" s="124"/>
      <c r="M1538" s="83"/>
      <c r="N1538" s="84" t="n">
        <f aca="false">+O1538+Q1538+T1538+U1538</f>
        <v>0</v>
      </c>
      <c r="O1538" s="85"/>
      <c r="P1538" s="86"/>
      <c r="Q1538" s="86"/>
      <c r="R1538" s="132"/>
      <c r="S1538" s="128"/>
      <c r="T1538" s="132"/>
      <c r="U1538" s="128"/>
      <c r="V1538" s="128"/>
      <c r="W1538" s="90" t="n">
        <f aca="false">IFERROR(O1538/V1538,0)</f>
        <v>0</v>
      </c>
      <c r="X1538" s="91" t="e">
        <f aca="false">O1538/L1538</f>
        <v>#DIV/0!</v>
      </c>
      <c r="Y1538" s="92" t="n">
        <f aca="false">IFERROR(VLOOKUP(E:E,'Item Data Support Sheet'!A:J,6,0),0)</f>
        <v>0</v>
      </c>
      <c r="Z1538" s="93" t="n">
        <f aca="false">IFERROR(VLOOKUP(E:E,'Item Data Support Sheet'!A:O,4,0),0)</f>
        <v>0</v>
      </c>
      <c r="AA1538" s="93" t="n">
        <f aca="false">IFERROR(((N1538)*(Z1538/1000))+P1538,0)</f>
        <v>0</v>
      </c>
      <c r="AB1538" s="94" t="str">
        <f aca="false">IFERROR((O1538*(Z1538/1000)/(AA1538))," ")</f>
        <v> </v>
      </c>
      <c r="AC1538" s="95" t="n">
        <f aca="false">IFERROR((T1538)/((T1538)+O1538),0)</f>
        <v>0</v>
      </c>
      <c r="AD1538" s="96" t="n">
        <f aca="false">IFERROR(Q1538/(Q1538+N1538),0)</f>
        <v>0</v>
      </c>
      <c r="AE1538" s="91" t="e">
        <f aca="false">(N1538-T1538)/N1538</f>
        <v>#DIV/0!</v>
      </c>
      <c r="AF1538" s="97" t="n">
        <f aca="false">BR1538</f>
        <v>0</v>
      </c>
      <c r="AG1538" s="98" t="n">
        <f aca="false">K1538-AF1538</f>
        <v>0</v>
      </c>
      <c r="AH1538" s="99" t="str">
        <f aca="false">IFERROR(AG1538/K1538," ")</f>
        <v> </v>
      </c>
      <c r="AI1538" s="100" t="n">
        <f aca="false">IFERROR(O1538/K1538,0)</f>
        <v>0</v>
      </c>
      <c r="AJ1538" s="101" t="e">
        <f aca="false">VLOOKUP(D1538,'Standard Cycle time'!C:D,2,0)</f>
        <v>#N/A</v>
      </c>
      <c r="AK1538" s="101" t="e">
        <f aca="false">AG1538*V1538*3600/O1538</f>
        <v>#DIV/0!</v>
      </c>
      <c r="AL1538" s="102" t="e">
        <f aca="false">AJ1538/AK1538</f>
        <v>#N/A</v>
      </c>
      <c r="AM1538" s="99" t="e">
        <f aca="false">AE1538*AL1538*AH1538</f>
        <v>#DIV/0!</v>
      </c>
      <c r="AN1538" s="103"/>
      <c r="AO1538" s="112"/>
      <c r="AP1538" s="105"/>
      <c r="AQ1538" s="105"/>
      <c r="AR1538" s="105"/>
      <c r="AS1538" s="105"/>
      <c r="AT1538" s="105"/>
      <c r="AU1538" s="105"/>
      <c r="AV1538" s="105"/>
      <c r="AW1538" s="105"/>
      <c r="AX1538" s="105"/>
      <c r="AY1538" s="105"/>
      <c r="AZ1538" s="105"/>
      <c r="BA1538" s="105"/>
      <c r="BB1538" s="105"/>
      <c r="BC1538" s="105"/>
      <c r="BD1538" s="105"/>
      <c r="BE1538" s="105"/>
      <c r="BF1538" s="105"/>
      <c r="BG1538" s="105"/>
      <c r="BH1538" s="105"/>
      <c r="BI1538" s="105"/>
      <c r="BJ1538" s="105"/>
      <c r="BK1538" s="105"/>
      <c r="BL1538" s="105"/>
      <c r="BM1538" s="105"/>
      <c r="BN1538" s="105"/>
      <c r="BO1538" s="105"/>
      <c r="BP1538" s="105"/>
      <c r="BQ1538" s="105"/>
      <c r="BR1538" s="106"/>
      <c r="BS1538" s="106"/>
      <c r="BT1538" s="107"/>
      <c r="BU1538" s="107"/>
      <c r="BV1538" s="107"/>
      <c r="BW1538" s="107"/>
      <c r="BX1538" s="107"/>
      <c r="BY1538" s="107"/>
      <c r="BZ1538" s="107"/>
      <c r="CA1538" s="107"/>
      <c r="CB1538" s="107"/>
      <c r="CC1538" s="107"/>
      <c r="CD1538" s="107"/>
      <c r="CE1538" s="107"/>
      <c r="CF1538" s="107"/>
      <c r="CG1538" s="107"/>
      <c r="CH1538" s="107"/>
      <c r="CI1538" s="107"/>
      <c r="CJ1538" s="107"/>
      <c r="CK1538" s="107"/>
      <c r="CL1538" s="107"/>
      <c r="CM1538" s="107"/>
      <c r="CN1538" s="107"/>
      <c r="CO1538" s="107"/>
      <c r="CP1538" s="107"/>
      <c r="CQ1538" s="107"/>
      <c r="CR1538" s="107"/>
      <c r="CS1538" s="107"/>
      <c r="CT1538" s="107"/>
      <c r="CU1538" s="107"/>
      <c r="CV1538" s="107"/>
    </row>
    <row r="1539" customFormat="false" ht="13.8" hidden="false" customHeight="false" outlineLevel="0" collapsed="false">
      <c r="B1539" s="138"/>
      <c r="C1539" s="128"/>
      <c r="D1539" s="77"/>
      <c r="E1539" s="80"/>
      <c r="F1539" s="122"/>
      <c r="G1539" s="137"/>
      <c r="H1539" s="79" t="str">
        <f aca="false">IFERROR(VLOOKUP(E:E,'Item Data Support Sheet'!A:O,2,0),"")</f>
        <v/>
      </c>
      <c r="I1539" s="80"/>
      <c r="J1539" s="80"/>
      <c r="K1539" s="124"/>
      <c r="L1539" s="124"/>
      <c r="M1539" s="83"/>
      <c r="N1539" s="84" t="n">
        <f aca="false">+O1539+Q1539+T1539+U1539</f>
        <v>0</v>
      </c>
      <c r="O1539" s="85"/>
      <c r="P1539" s="86"/>
      <c r="Q1539" s="86"/>
      <c r="R1539" s="132"/>
      <c r="S1539" s="128"/>
      <c r="T1539" s="132"/>
      <c r="U1539" s="128"/>
      <c r="V1539" s="128"/>
      <c r="W1539" s="90" t="n">
        <f aca="false">IFERROR(O1539/V1539,0)</f>
        <v>0</v>
      </c>
      <c r="X1539" s="91" t="e">
        <f aca="false">O1539/L1539</f>
        <v>#DIV/0!</v>
      </c>
      <c r="Y1539" s="92" t="n">
        <f aca="false">IFERROR(VLOOKUP(E:E,'Item Data Support Sheet'!A:J,6,0),0)</f>
        <v>0</v>
      </c>
      <c r="Z1539" s="93" t="n">
        <f aca="false">IFERROR(VLOOKUP(E:E,'Item Data Support Sheet'!A:O,4,0),0)</f>
        <v>0</v>
      </c>
      <c r="AA1539" s="93" t="n">
        <f aca="false">IFERROR(((N1539)*(Z1539/1000))+P1539,0)</f>
        <v>0</v>
      </c>
      <c r="AB1539" s="94" t="str">
        <f aca="false">IFERROR((O1539*(Z1539/1000)/(AA1539))," ")</f>
        <v> </v>
      </c>
      <c r="AC1539" s="95" t="n">
        <f aca="false">IFERROR((T1539)/((T1539)+O1539),0)</f>
        <v>0</v>
      </c>
      <c r="AD1539" s="96" t="n">
        <f aca="false">IFERROR(Q1539/(Q1539+N1539),0)</f>
        <v>0</v>
      </c>
      <c r="AE1539" s="91" t="e">
        <f aca="false">(N1539-T1539)/N1539</f>
        <v>#DIV/0!</v>
      </c>
      <c r="AF1539" s="97" t="n">
        <f aca="false">BR1539</f>
        <v>0</v>
      </c>
      <c r="AG1539" s="98" t="n">
        <f aca="false">K1539-AF1539</f>
        <v>0</v>
      </c>
      <c r="AH1539" s="99" t="str">
        <f aca="false">IFERROR(AG1539/K1539," ")</f>
        <v> </v>
      </c>
      <c r="AI1539" s="100" t="n">
        <f aca="false">IFERROR(O1539/K1539,0)</f>
        <v>0</v>
      </c>
      <c r="AJ1539" s="101" t="e">
        <f aca="false">VLOOKUP(D1539,'Standard Cycle time'!C:D,2,0)</f>
        <v>#N/A</v>
      </c>
      <c r="AK1539" s="101" t="e">
        <f aca="false">AG1539*V1539*3600/O1539</f>
        <v>#DIV/0!</v>
      </c>
      <c r="AL1539" s="102" t="e">
        <f aca="false">AJ1539/AK1539</f>
        <v>#N/A</v>
      </c>
      <c r="AM1539" s="99" t="e">
        <f aca="false">AE1539*AL1539*AH1539</f>
        <v>#DIV/0!</v>
      </c>
      <c r="AN1539" s="103"/>
      <c r="AO1539" s="112"/>
      <c r="AP1539" s="105"/>
      <c r="AQ1539" s="105"/>
      <c r="AR1539" s="105"/>
      <c r="AS1539" s="105"/>
      <c r="AT1539" s="105"/>
      <c r="AU1539" s="105"/>
      <c r="AV1539" s="105"/>
      <c r="AW1539" s="105"/>
      <c r="AX1539" s="105"/>
      <c r="AY1539" s="105"/>
      <c r="AZ1539" s="105"/>
      <c r="BA1539" s="105"/>
      <c r="BB1539" s="105"/>
      <c r="BC1539" s="105"/>
      <c r="BD1539" s="105"/>
      <c r="BE1539" s="105"/>
      <c r="BF1539" s="105"/>
      <c r="BG1539" s="105"/>
      <c r="BH1539" s="105"/>
      <c r="BI1539" s="105"/>
      <c r="BJ1539" s="105"/>
      <c r="BK1539" s="105"/>
      <c r="BL1539" s="105"/>
      <c r="BM1539" s="105"/>
      <c r="BN1539" s="105"/>
      <c r="BO1539" s="105"/>
      <c r="BP1539" s="105"/>
      <c r="BQ1539" s="105"/>
      <c r="BR1539" s="106"/>
      <c r="BS1539" s="106"/>
      <c r="BT1539" s="107"/>
      <c r="BU1539" s="107"/>
      <c r="BV1539" s="107"/>
      <c r="BW1539" s="107"/>
      <c r="BX1539" s="107"/>
      <c r="BY1539" s="107"/>
      <c r="BZ1539" s="107"/>
      <c r="CA1539" s="107"/>
      <c r="CB1539" s="107"/>
      <c r="CC1539" s="107"/>
      <c r="CD1539" s="107"/>
      <c r="CE1539" s="107"/>
      <c r="CF1539" s="107"/>
      <c r="CG1539" s="107"/>
      <c r="CH1539" s="107"/>
      <c r="CI1539" s="107"/>
      <c r="CJ1539" s="107"/>
      <c r="CK1539" s="107"/>
      <c r="CL1539" s="107"/>
      <c r="CM1539" s="107"/>
      <c r="CN1539" s="107"/>
      <c r="CO1539" s="107"/>
      <c r="CP1539" s="107"/>
      <c r="CQ1539" s="107"/>
      <c r="CR1539" s="107"/>
      <c r="CS1539" s="107"/>
      <c r="CT1539" s="107"/>
      <c r="CU1539" s="107"/>
      <c r="CV1539" s="107"/>
    </row>
    <row r="1540" customFormat="false" ht="13.8" hidden="false" customHeight="false" outlineLevel="0" collapsed="false">
      <c r="B1540" s="138"/>
      <c r="C1540" s="128"/>
      <c r="D1540" s="77"/>
      <c r="E1540" s="80"/>
      <c r="F1540" s="122"/>
      <c r="G1540" s="137"/>
      <c r="H1540" s="79" t="str">
        <f aca="false">IFERROR(VLOOKUP(E:E,'Item Data Support Sheet'!A:O,2,0),"")</f>
        <v/>
      </c>
      <c r="I1540" s="80"/>
      <c r="J1540" s="80"/>
      <c r="K1540" s="81"/>
      <c r="L1540" s="124"/>
      <c r="M1540" s="83"/>
      <c r="N1540" s="84" t="n">
        <f aca="false">+O1540+Q1540+T1540+U1540</f>
        <v>0</v>
      </c>
      <c r="O1540" s="85"/>
      <c r="P1540" s="86"/>
      <c r="Q1540" s="86"/>
      <c r="R1540" s="132"/>
      <c r="S1540" s="128"/>
      <c r="T1540" s="132"/>
      <c r="U1540" s="128"/>
      <c r="V1540" s="128"/>
      <c r="W1540" s="90" t="n">
        <f aca="false">IFERROR(O1540/V1540,0)</f>
        <v>0</v>
      </c>
      <c r="X1540" s="91" t="e">
        <f aca="false">O1540/L1540</f>
        <v>#DIV/0!</v>
      </c>
      <c r="Y1540" s="92" t="n">
        <f aca="false">IFERROR(VLOOKUP(E:E,'Item Data Support Sheet'!A:J,6,0),0)</f>
        <v>0</v>
      </c>
      <c r="Z1540" s="93" t="n">
        <f aca="false">IFERROR(VLOOKUP(E:E,'Item Data Support Sheet'!A:O,4,0),0)</f>
        <v>0</v>
      </c>
      <c r="AA1540" s="93" t="n">
        <f aca="false">IFERROR(((N1540)*(Z1540/1000))+P1540,0)</f>
        <v>0</v>
      </c>
      <c r="AB1540" s="94" t="str">
        <f aca="false">IFERROR((O1540*(Z1540/1000)/(AA1540))," ")</f>
        <v> </v>
      </c>
      <c r="AC1540" s="95" t="n">
        <f aca="false">IFERROR((T1540)/((T1540)+O1540),0)</f>
        <v>0</v>
      </c>
      <c r="AD1540" s="96" t="n">
        <f aca="false">IFERROR(Q1540/(Q1540+N1540),0)</f>
        <v>0</v>
      </c>
      <c r="AE1540" s="91" t="e">
        <f aca="false">(N1540-T1540)/N1540</f>
        <v>#DIV/0!</v>
      </c>
      <c r="AF1540" s="97" t="n">
        <f aca="false">BR1540</f>
        <v>0</v>
      </c>
      <c r="AG1540" s="98" t="n">
        <f aca="false">K1540-AF1540</f>
        <v>0</v>
      </c>
      <c r="AH1540" s="99" t="str">
        <f aca="false">IFERROR(AG1540/K1540," ")</f>
        <v> </v>
      </c>
      <c r="AI1540" s="100" t="n">
        <f aca="false">IFERROR(O1540/K1540,0)</f>
        <v>0</v>
      </c>
      <c r="AJ1540" s="101" t="e">
        <f aca="false">VLOOKUP(D1540,'Standard Cycle time'!C:D,2,0)</f>
        <v>#N/A</v>
      </c>
      <c r="AK1540" s="101" t="e">
        <f aca="false">AG1540*V1540*3600/O1540</f>
        <v>#DIV/0!</v>
      </c>
      <c r="AL1540" s="102" t="e">
        <f aca="false">AJ1540/AK1540</f>
        <v>#N/A</v>
      </c>
      <c r="AM1540" s="99" t="e">
        <f aca="false">AE1540*AL1540*AH1540</f>
        <v>#DIV/0!</v>
      </c>
      <c r="AN1540" s="103"/>
      <c r="AO1540" s="112"/>
      <c r="AP1540" s="105"/>
      <c r="AQ1540" s="105"/>
      <c r="AR1540" s="105"/>
      <c r="AS1540" s="105"/>
      <c r="AT1540" s="105"/>
      <c r="AU1540" s="105"/>
      <c r="AV1540" s="105"/>
      <c r="AW1540" s="105"/>
      <c r="AX1540" s="105"/>
      <c r="AY1540" s="105"/>
      <c r="AZ1540" s="105"/>
      <c r="BA1540" s="105"/>
      <c r="BB1540" s="105"/>
      <c r="BC1540" s="105"/>
      <c r="BD1540" s="105"/>
      <c r="BE1540" s="105"/>
      <c r="BF1540" s="105"/>
      <c r="BG1540" s="105"/>
      <c r="BH1540" s="105"/>
      <c r="BI1540" s="105"/>
      <c r="BJ1540" s="105"/>
      <c r="BK1540" s="105"/>
      <c r="BL1540" s="105"/>
      <c r="BM1540" s="105"/>
      <c r="BN1540" s="105"/>
      <c r="BO1540" s="105"/>
      <c r="BP1540" s="105"/>
      <c r="BQ1540" s="105"/>
      <c r="BR1540" s="106"/>
      <c r="BS1540" s="106"/>
      <c r="BT1540" s="107"/>
      <c r="BU1540" s="107"/>
      <c r="BV1540" s="107"/>
      <c r="BW1540" s="107"/>
      <c r="BX1540" s="107"/>
      <c r="BY1540" s="107"/>
      <c r="BZ1540" s="107"/>
      <c r="CA1540" s="107"/>
      <c r="CB1540" s="107"/>
      <c r="CC1540" s="107"/>
      <c r="CD1540" s="107"/>
      <c r="CE1540" s="107"/>
      <c r="CF1540" s="107"/>
      <c r="CG1540" s="107"/>
      <c r="CH1540" s="107"/>
      <c r="CI1540" s="107"/>
      <c r="CJ1540" s="107"/>
      <c r="CK1540" s="107"/>
      <c r="CL1540" s="107"/>
      <c r="CM1540" s="107"/>
      <c r="CN1540" s="107"/>
      <c r="CO1540" s="107"/>
      <c r="CP1540" s="107"/>
      <c r="CQ1540" s="107"/>
      <c r="CR1540" s="107"/>
      <c r="CS1540" s="107"/>
      <c r="CT1540" s="107"/>
      <c r="CU1540" s="107"/>
      <c r="CV1540" s="107"/>
    </row>
    <row r="1541" customFormat="false" ht="13.8" hidden="false" customHeight="false" outlineLevel="0" collapsed="false">
      <c r="B1541" s="138"/>
      <c r="C1541" s="128"/>
      <c r="D1541" s="77"/>
      <c r="E1541" s="80"/>
      <c r="F1541" s="122"/>
      <c r="G1541" s="137"/>
      <c r="H1541" s="79" t="str">
        <f aca="false">IFERROR(VLOOKUP(E:E,'Item Data Support Sheet'!A:O,2,0),"")</f>
        <v/>
      </c>
      <c r="I1541" s="80"/>
      <c r="J1541" s="80"/>
      <c r="K1541" s="81"/>
      <c r="L1541" s="124"/>
      <c r="M1541" s="83"/>
      <c r="N1541" s="84" t="n">
        <f aca="false">+O1541+Q1541+T1541+U1541</f>
        <v>0</v>
      </c>
      <c r="O1541" s="85"/>
      <c r="P1541" s="86"/>
      <c r="Q1541" s="86"/>
      <c r="R1541" s="132"/>
      <c r="S1541" s="128"/>
      <c r="T1541" s="132"/>
      <c r="U1541" s="128"/>
      <c r="V1541" s="128"/>
      <c r="W1541" s="90" t="n">
        <f aca="false">IFERROR(O1541/V1541,0)</f>
        <v>0</v>
      </c>
      <c r="X1541" s="91" t="e">
        <f aca="false">O1541/L1541</f>
        <v>#DIV/0!</v>
      </c>
      <c r="Y1541" s="92" t="n">
        <f aca="false">IFERROR(VLOOKUP(E:E,'Item Data Support Sheet'!A:J,6,0),0)</f>
        <v>0</v>
      </c>
      <c r="Z1541" s="93" t="n">
        <f aca="false">IFERROR(VLOOKUP(E:E,'Item Data Support Sheet'!A:O,4,0),0)</f>
        <v>0</v>
      </c>
      <c r="AA1541" s="93" t="n">
        <f aca="false">IFERROR(((N1541)*(Z1541/1000))+P1541,0)</f>
        <v>0</v>
      </c>
      <c r="AB1541" s="94" t="str">
        <f aca="false">IFERROR((O1541*(Z1541/1000)/(AA1541))," ")</f>
        <v> </v>
      </c>
      <c r="AC1541" s="95" t="n">
        <f aca="false">IFERROR((T1541)/((T1541)+O1541),0)</f>
        <v>0</v>
      </c>
      <c r="AD1541" s="96" t="n">
        <f aca="false">IFERROR(Q1541/(Q1541+N1541),0)</f>
        <v>0</v>
      </c>
      <c r="AE1541" s="91" t="e">
        <f aca="false">(N1541-T1541)/N1541</f>
        <v>#DIV/0!</v>
      </c>
      <c r="AF1541" s="97" t="n">
        <f aca="false">BR1541</f>
        <v>0</v>
      </c>
      <c r="AG1541" s="98" t="n">
        <f aca="false">K1541-AF1541</f>
        <v>0</v>
      </c>
      <c r="AH1541" s="99" t="str">
        <f aca="false">IFERROR(AG1541/K1541," ")</f>
        <v> </v>
      </c>
      <c r="AI1541" s="100" t="n">
        <f aca="false">IFERROR(O1541/K1541,0)</f>
        <v>0</v>
      </c>
      <c r="AJ1541" s="101" t="e">
        <f aca="false">VLOOKUP(D1541,'Standard Cycle time'!C:D,2,0)</f>
        <v>#N/A</v>
      </c>
      <c r="AK1541" s="101" t="e">
        <f aca="false">AG1541*V1541*3600/O1541</f>
        <v>#DIV/0!</v>
      </c>
      <c r="AL1541" s="102" t="e">
        <f aca="false">AJ1541/AK1541</f>
        <v>#N/A</v>
      </c>
      <c r="AM1541" s="99" t="e">
        <f aca="false">AE1541*AL1541*AH1541</f>
        <v>#DIV/0!</v>
      </c>
      <c r="AN1541" s="103"/>
      <c r="AO1541" s="112"/>
      <c r="AP1541" s="105"/>
      <c r="AQ1541" s="105"/>
      <c r="AR1541" s="105"/>
      <c r="AS1541" s="105"/>
      <c r="AT1541" s="105"/>
      <c r="AU1541" s="105"/>
      <c r="AV1541" s="105"/>
      <c r="AW1541" s="105"/>
      <c r="AX1541" s="105"/>
      <c r="AY1541" s="105"/>
      <c r="AZ1541" s="105"/>
      <c r="BA1541" s="105"/>
      <c r="BB1541" s="105"/>
      <c r="BC1541" s="105"/>
      <c r="BD1541" s="105"/>
      <c r="BE1541" s="105"/>
      <c r="BF1541" s="105"/>
      <c r="BG1541" s="105"/>
      <c r="BH1541" s="105"/>
      <c r="BI1541" s="105"/>
      <c r="BJ1541" s="105"/>
      <c r="BK1541" s="105"/>
      <c r="BL1541" s="105"/>
      <c r="BM1541" s="105"/>
      <c r="BN1541" s="105"/>
      <c r="BO1541" s="105"/>
      <c r="BP1541" s="105"/>
      <c r="BQ1541" s="105"/>
      <c r="BR1541" s="106"/>
      <c r="BS1541" s="106"/>
      <c r="BT1541" s="107"/>
      <c r="BU1541" s="107"/>
      <c r="BV1541" s="107"/>
      <c r="BW1541" s="107"/>
      <c r="BX1541" s="107"/>
      <c r="BY1541" s="107"/>
      <c r="BZ1541" s="107"/>
      <c r="CA1541" s="107"/>
      <c r="CB1541" s="107"/>
      <c r="CC1541" s="107"/>
      <c r="CD1541" s="107"/>
      <c r="CE1541" s="107"/>
      <c r="CF1541" s="107"/>
      <c r="CG1541" s="107"/>
      <c r="CH1541" s="107"/>
      <c r="CI1541" s="107"/>
      <c r="CJ1541" s="107"/>
      <c r="CK1541" s="107"/>
      <c r="CL1541" s="107"/>
      <c r="CM1541" s="107"/>
      <c r="CN1541" s="107"/>
      <c r="CO1541" s="107"/>
      <c r="CP1541" s="107"/>
      <c r="CQ1541" s="107"/>
      <c r="CR1541" s="107"/>
      <c r="CS1541" s="107"/>
      <c r="CT1541" s="107"/>
      <c r="CU1541" s="107"/>
      <c r="CV1541" s="107"/>
    </row>
    <row r="1542" customFormat="false" ht="13.8" hidden="false" customHeight="false" outlineLevel="0" collapsed="false">
      <c r="B1542" s="138"/>
      <c r="C1542" s="128"/>
      <c r="D1542" s="77"/>
      <c r="E1542" s="80"/>
      <c r="F1542" s="122"/>
      <c r="G1542" s="137"/>
      <c r="H1542" s="79" t="str">
        <f aca="false">IFERROR(VLOOKUP(E:E,'Item Data Support Sheet'!A:O,2,0),"")</f>
        <v/>
      </c>
      <c r="I1542" s="80"/>
      <c r="J1542" s="80"/>
      <c r="K1542" s="81"/>
      <c r="L1542" s="124"/>
      <c r="M1542" s="83"/>
      <c r="N1542" s="84" t="n">
        <f aca="false">+O1542+Q1542+T1542+U1542</f>
        <v>0</v>
      </c>
      <c r="O1542" s="85"/>
      <c r="P1542" s="86"/>
      <c r="Q1542" s="86"/>
      <c r="R1542" s="132"/>
      <c r="S1542" s="128"/>
      <c r="T1542" s="132"/>
      <c r="U1542" s="128"/>
      <c r="V1542" s="128"/>
      <c r="W1542" s="90" t="n">
        <f aca="false">IFERROR(O1542/V1542,0)</f>
        <v>0</v>
      </c>
      <c r="X1542" s="91" t="e">
        <f aca="false">O1542/L1542</f>
        <v>#DIV/0!</v>
      </c>
      <c r="Y1542" s="92" t="n">
        <f aca="false">IFERROR(VLOOKUP(E:E,'Item Data Support Sheet'!A:J,6,0),0)</f>
        <v>0</v>
      </c>
      <c r="Z1542" s="93" t="n">
        <f aca="false">IFERROR(VLOOKUP(E:E,'Item Data Support Sheet'!A:O,4,0),0)</f>
        <v>0</v>
      </c>
      <c r="AA1542" s="93" t="n">
        <f aca="false">IFERROR(((N1542)*(Z1542/1000))+P1542,0)</f>
        <v>0</v>
      </c>
      <c r="AB1542" s="94" t="str">
        <f aca="false">IFERROR((O1542*(Z1542/1000)/(AA1542))," ")</f>
        <v> </v>
      </c>
      <c r="AC1542" s="95" t="n">
        <f aca="false">IFERROR((T1542)/((T1542)+O1542),0)</f>
        <v>0</v>
      </c>
      <c r="AD1542" s="96" t="n">
        <f aca="false">IFERROR(Q1542/(Q1542+N1542),0)</f>
        <v>0</v>
      </c>
      <c r="AE1542" s="91" t="e">
        <f aca="false">(N1542-T1542)/N1542</f>
        <v>#DIV/0!</v>
      </c>
      <c r="AF1542" s="97" t="n">
        <f aca="false">BR1542</f>
        <v>0</v>
      </c>
      <c r="AG1542" s="98" t="n">
        <f aca="false">K1542-AF1542</f>
        <v>0</v>
      </c>
      <c r="AH1542" s="99" t="str">
        <f aca="false">IFERROR(AG1542/K1542," ")</f>
        <v> </v>
      </c>
      <c r="AI1542" s="100" t="n">
        <f aca="false">IFERROR(O1542/K1542,0)</f>
        <v>0</v>
      </c>
      <c r="AJ1542" s="101" t="e">
        <f aca="false">VLOOKUP(D1542,'Standard Cycle time'!C:D,2,0)</f>
        <v>#N/A</v>
      </c>
      <c r="AK1542" s="101" t="e">
        <f aca="false">AG1542*V1542*3600/O1542</f>
        <v>#DIV/0!</v>
      </c>
      <c r="AL1542" s="102" t="e">
        <f aca="false">AJ1542/AK1542</f>
        <v>#N/A</v>
      </c>
      <c r="AM1542" s="99" t="e">
        <f aca="false">AE1542*AL1542*AH1542</f>
        <v>#DIV/0!</v>
      </c>
      <c r="AN1542" s="103"/>
      <c r="AO1542" s="112"/>
      <c r="AP1542" s="105"/>
      <c r="AQ1542" s="105"/>
      <c r="AR1542" s="105"/>
      <c r="AS1542" s="105"/>
      <c r="AT1542" s="105"/>
      <c r="AU1542" s="105"/>
      <c r="AV1542" s="105"/>
      <c r="AW1542" s="105"/>
      <c r="AX1542" s="105"/>
      <c r="AY1542" s="105"/>
      <c r="AZ1542" s="105"/>
      <c r="BA1542" s="105"/>
      <c r="BB1542" s="105"/>
      <c r="BC1542" s="105"/>
      <c r="BD1542" s="105"/>
      <c r="BE1542" s="105"/>
      <c r="BF1542" s="105"/>
      <c r="BG1542" s="105"/>
      <c r="BH1542" s="105"/>
      <c r="BI1542" s="105"/>
      <c r="BJ1542" s="105"/>
      <c r="BK1542" s="105"/>
      <c r="BL1542" s="105"/>
      <c r="BM1542" s="105"/>
      <c r="BN1542" s="105"/>
      <c r="BO1542" s="105"/>
      <c r="BP1542" s="105"/>
      <c r="BQ1542" s="105"/>
      <c r="BR1542" s="106"/>
      <c r="BS1542" s="106"/>
      <c r="BT1542" s="107"/>
      <c r="BU1542" s="107"/>
      <c r="BV1542" s="107"/>
      <c r="BW1542" s="107"/>
      <c r="BX1542" s="107"/>
      <c r="BY1542" s="107"/>
      <c r="BZ1542" s="107"/>
      <c r="CA1542" s="107"/>
      <c r="CB1542" s="107"/>
      <c r="CC1542" s="107"/>
      <c r="CD1542" s="107"/>
      <c r="CE1542" s="107"/>
      <c r="CF1542" s="107"/>
      <c r="CG1542" s="107"/>
      <c r="CH1542" s="107"/>
      <c r="CI1542" s="107"/>
      <c r="CJ1542" s="107"/>
      <c r="CK1542" s="107"/>
      <c r="CL1542" s="107"/>
      <c r="CM1542" s="107"/>
      <c r="CN1542" s="107"/>
      <c r="CO1542" s="107"/>
      <c r="CP1542" s="107"/>
      <c r="CQ1542" s="107"/>
      <c r="CR1542" s="107"/>
      <c r="CS1542" s="107"/>
      <c r="CT1542" s="107"/>
      <c r="CU1542" s="107"/>
      <c r="CV1542" s="107"/>
    </row>
    <row r="1543" customFormat="false" ht="13.8" hidden="false" customHeight="false" outlineLevel="0" collapsed="false">
      <c r="B1543" s="138"/>
      <c r="C1543" s="128"/>
      <c r="D1543" s="77"/>
      <c r="E1543" s="80"/>
      <c r="F1543" s="122"/>
      <c r="G1543" s="137"/>
      <c r="H1543" s="79" t="str">
        <f aca="false">IFERROR(VLOOKUP(E:E,'Item Data Support Sheet'!A:O,2,0),"")</f>
        <v/>
      </c>
      <c r="I1543" s="80"/>
      <c r="J1543" s="80"/>
      <c r="K1543" s="81"/>
      <c r="L1543" s="124"/>
      <c r="M1543" s="83"/>
      <c r="N1543" s="84" t="n">
        <f aca="false">+O1543+Q1543+T1543+U1543</f>
        <v>0</v>
      </c>
      <c r="O1543" s="85"/>
      <c r="P1543" s="86"/>
      <c r="Q1543" s="86"/>
      <c r="R1543" s="132"/>
      <c r="S1543" s="128"/>
      <c r="T1543" s="132"/>
      <c r="U1543" s="128"/>
      <c r="V1543" s="128"/>
      <c r="W1543" s="90" t="n">
        <f aca="false">IFERROR(O1543/V1543,0)</f>
        <v>0</v>
      </c>
      <c r="X1543" s="91" t="e">
        <f aca="false">O1543/L1543</f>
        <v>#DIV/0!</v>
      </c>
      <c r="Y1543" s="92" t="n">
        <f aca="false">IFERROR(VLOOKUP(E:E,'Item Data Support Sheet'!A:J,6,0),0)</f>
        <v>0</v>
      </c>
      <c r="Z1543" s="93" t="n">
        <f aca="false">IFERROR(VLOOKUP(E:E,'Item Data Support Sheet'!A:O,4,0),0)</f>
        <v>0</v>
      </c>
      <c r="AA1543" s="93" t="n">
        <f aca="false">IFERROR(((N1543)*(Z1543/1000))+P1543,0)</f>
        <v>0</v>
      </c>
      <c r="AB1543" s="94" t="str">
        <f aca="false">IFERROR((O1543*(Z1543/1000)/(AA1543))," ")</f>
        <v> </v>
      </c>
      <c r="AC1543" s="95" t="n">
        <f aca="false">IFERROR((T1543)/((T1543)+O1543),0)</f>
        <v>0</v>
      </c>
      <c r="AD1543" s="96" t="n">
        <f aca="false">IFERROR(Q1543/(Q1543+N1543),0)</f>
        <v>0</v>
      </c>
      <c r="AE1543" s="91" t="e">
        <f aca="false">(N1543-T1543)/N1543</f>
        <v>#DIV/0!</v>
      </c>
      <c r="AF1543" s="97" t="n">
        <f aca="false">BR1543</f>
        <v>0</v>
      </c>
      <c r="AG1543" s="98" t="n">
        <f aca="false">K1543-AF1543</f>
        <v>0</v>
      </c>
      <c r="AH1543" s="99" t="str">
        <f aca="false">IFERROR(AG1543/K1543," ")</f>
        <v> </v>
      </c>
      <c r="AI1543" s="100" t="n">
        <f aca="false">IFERROR(O1543/K1543,0)</f>
        <v>0</v>
      </c>
      <c r="AJ1543" s="101" t="e">
        <f aca="false">VLOOKUP(D1543,'Standard Cycle time'!C:D,2,0)</f>
        <v>#N/A</v>
      </c>
      <c r="AK1543" s="101" t="e">
        <f aca="false">AG1543*V1543*3600/O1543</f>
        <v>#DIV/0!</v>
      </c>
      <c r="AL1543" s="102" t="e">
        <f aca="false">AJ1543/AK1543</f>
        <v>#N/A</v>
      </c>
      <c r="AM1543" s="99" t="e">
        <f aca="false">AE1543*AL1543*AH1543</f>
        <v>#DIV/0!</v>
      </c>
      <c r="AN1543" s="103"/>
      <c r="AO1543" s="112"/>
      <c r="AP1543" s="105"/>
      <c r="AQ1543" s="105"/>
      <c r="AR1543" s="105"/>
      <c r="AS1543" s="105"/>
      <c r="AT1543" s="105"/>
      <c r="AU1543" s="105"/>
      <c r="AV1543" s="105"/>
      <c r="AW1543" s="105"/>
      <c r="AX1543" s="105"/>
      <c r="AY1543" s="105"/>
      <c r="AZ1543" s="105"/>
      <c r="BA1543" s="105"/>
      <c r="BB1543" s="105"/>
      <c r="BC1543" s="105"/>
      <c r="BD1543" s="105"/>
      <c r="BE1543" s="105"/>
      <c r="BF1543" s="105"/>
      <c r="BG1543" s="105"/>
      <c r="BH1543" s="105"/>
      <c r="BI1543" s="105"/>
      <c r="BJ1543" s="105"/>
      <c r="BK1543" s="105"/>
      <c r="BL1543" s="105"/>
      <c r="BM1543" s="105"/>
      <c r="BN1543" s="105"/>
      <c r="BO1543" s="105"/>
      <c r="BP1543" s="105"/>
      <c r="BQ1543" s="105"/>
      <c r="BR1543" s="106"/>
      <c r="BS1543" s="106"/>
      <c r="BT1543" s="107"/>
      <c r="BU1543" s="107"/>
      <c r="BV1543" s="107"/>
      <c r="BW1543" s="107"/>
      <c r="BX1543" s="107"/>
      <c r="BY1543" s="107"/>
      <c r="BZ1543" s="107"/>
      <c r="CA1543" s="107"/>
      <c r="CB1543" s="107"/>
      <c r="CC1543" s="107"/>
      <c r="CD1543" s="107"/>
      <c r="CE1543" s="107"/>
      <c r="CF1543" s="107"/>
      <c r="CG1543" s="107"/>
      <c r="CH1543" s="107"/>
      <c r="CI1543" s="107"/>
      <c r="CJ1543" s="107"/>
      <c r="CK1543" s="107"/>
      <c r="CL1543" s="107"/>
      <c r="CM1543" s="107"/>
      <c r="CN1543" s="107"/>
      <c r="CO1543" s="107"/>
      <c r="CP1543" s="107"/>
      <c r="CQ1543" s="107"/>
      <c r="CR1543" s="107"/>
      <c r="CS1543" s="107"/>
      <c r="CT1543" s="107"/>
      <c r="CU1543" s="107"/>
      <c r="CV1543" s="107"/>
    </row>
    <row r="1544" customFormat="false" ht="13.8" hidden="false" customHeight="false" outlineLevel="0" collapsed="false">
      <c r="B1544" s="138"/>
      <c r="C1544" s="128"/>
      <c r="D1544" s="77"/>
      <c r="E1544" s="80"/>
      <c r="F1544" s="122"/>
      <c r="G1544" s="137"/>
      <c r="H1544" s="79" t="str">
        <f aca="false">IFERROR(VLOOKUP(E:E,'Item Data Support Sheet'!A:O,2,0),"")</f>
        <v/>
      </c>
      <c r="I1544" s="80"/>
      <c r="J1544" s="80"/>
      <c r="K1544" s="81"/>
      <c r="L1544" s="124"/>
      <c r="M1544" s="83"/>
      <c r="N1544" s="84" t="n">
        <f aca="false">+O1544+Q1544+T1544+U1544</f>
        <v>0</v>
      </c>
      <c r="O1544" s="85"/>
      <c r="P1544" s="86"/>
      <c r="Q1544" s="86"/>
      <c r="R1544" s="132"/>
      <c r="S1544" s="128"/>
      <c r="T1544" s="132"/>
      <c r="U1544" s="128"/>
      <c r="V1544" s="128"/>
      <c r="W1544" s="90" t="n">
        <f aca="false">IFERROR(O1544/V1544,0)</f>
        <v>0</v>
      </c>
      <c r="X1544" s="91" t="e">
        <f aca="false">O1544/L1544</f>
        <v>#DIV/0!</v>
      </c>
      <c r="Y1544" s="92" t="n">
        <f aca="false">IFERROR(VLOOKUP(E:E,'Item Data Support Sheet'!A:J,6,0),0)</f>
        <v>0</v>
      </c>
      <c r="Z1544" s="93" t="n">
        <f aca="false">IFERROR(VLOOKUP(E:E,'Item Data Support Sheet'!A:O,4,0),0)</f>
        <v>0</v>
      </c>
      <c r="AA1544" s="93" t="n">
        <f aca="false">IFERROR(((N1544)*(Z1544/1000))+P1544,0)</f>
        <v>0</v>
      </c>
      <c r="AB1544" s="94" t="str">
        <f aca="false">IFERROR((O1544*(Z1544/1000)/(AA1544))," ")</f>
        <v> </v>
      </c>
      <c r="AC1544" s="95" t="n">
        <f aca="false">IFERROR((T1544)/((T1544)+O1544),0)</f>
        <v>0</v>
      </c>
      <c r="AD1544" s="96" t="n">
        <f aca="false">IFERROR(Q1544/(Q1544+N1544),0)</f>
        <v>0</v>
      </c>
      <c r="AE1544" s="91" t="e">
        <f aca="false">(N1544-T1544)/N1544</f>
        <v>#DIV/0!</v>
      </c>
      <c r="AF1544" s="97" t="n">
        <f aca="false">BR1544</f>
        <v>0</v>
      </c>
      <c r="AG1544" s="98" t="n">
        <f aca="false">K1544-AF1544</f>
        <v>0</v>
      </c>
      <c r="AH1544" s="99" t="str">
        <f aca="false">IFERROR(AG1544/K1544," ")</f>
        <v> </v>
      </c>
      <c r="AI1544" s="100" t="n">
        <f aca="false">IFERROR(O1544/K1544,0)</f>
        <v>0</v>
      </c>
      <c r="AJ1544" s="101" t="e">
        <f aca="false">VLOOKUP(D1544,'Standard Cycle time'!C:D,2,0)</f>
        <v>#N/A</v>
      </c>
      <c r="AK1544" s="101" t="e">
        <f aca="false">AG1544*V1544*3600/O1544</f>
        <v>#DIV/0!</v>
      </c>
      <c r="AL1544" s="102" t="e">
        <f aca="false">AJ1544/AK1544</f>
        <v>#N/A</v>
      </c>
      <c r="AM1544" s="99" t="e">
        <f aca="false">AE1544*AL1544*AH1544</f>
        <v>#DIV/0!</v>
      </c>
      <c r="AN1544" s="103"/>
      <c r="AO1544" s="112"/>
      <c r="AP1544" s="105"/>
      <c r="AQ1544" s="105"/>
      <c r="AR1544" s="105"/>
      <c r="AS1544" s="105"/>
      <c r="AT1544" s="105"/>
      <c r="AU1544" s="105"/>
      <c r="AV1544" s="105"/>
      <c r="AW1544" s="105"/>
      <c r="AX1544" s="105"/>
      <c r="AY1544" s="105"/>
      <c r="AZ1544" s="105"/>
      <c r="BA1544" s="105"/>
      <c r="BB1544" s="105"/>
      <c r="BC1544" s="105"/>
      <c r="BD1544" s="105"/>
      <c r="BE1544" s="105"/>
      <c r="BF1544" s="105"/>
      <c r="BG1544" s="105"/>
      <c r="BH1544" s="105"/>
      <c r="BI1544" s="105"/>
      <c r="BJ1544" s="105"/>
      <c r="BK1544" s="105"/>
      <c r="BL1544" s="105"/>
      <c r="BM1544" s="105"/>
      <c r="BN1544" s="105"/>
      <c r="BO1544" s="105"/>
      <c r="BP1544" s="105"/>
      <c r="BQ1544" s="105"/>
      <c r="BR1544" s="106"/>
      <c r="BS1544" s="106"/>
      <c r="BT1544" s="107"/>
      <c r="BU1544" s="107"/>
      <c r="BV1544" s="107"/>
      <c r="BW1544" s="107"/>
      <c r="BX1544" s="107"/>
      <c r="BY1544" s="107"/>
      <c r="BZ1544" s="107"/>
      <c r="CA1544" s="107"/>
      <c r="CB1544" s="107"/>
      <c r="CC1544" s="107"/>
      <c r="CD1544" s="107"/>
      <c r="CE1544" s="107"/>
      <c r="CF1544" s="107"/>
      <c r="CG1544" s="107"/>
      <c r="CH1544" s="107"/>
      <c r="CI1544" s="107"/>
      <c r="CJ1544" s="107"/>
      <c r="CK1544" s="107"/>
      <c r="CL1544" s="107"/>
      <c r="CM1544" s="107"/>
      <c r="CN1544" s="107"/>
      <c r="CO1544" s="107"/>
      <c r="CP1544" s="107"/>
      <c r="CQ1544" s="107"/>
      <c r="CR1544" s="107"/>
      <c r="CS1544" s="107"/>
      <c r="CT1544" s="107"/>
      <c r="CU1544" s="107"/>
      <c r="CV1544" s="107"/>
    </row>
    <row r="1545" customFormat="false" ht="13.8" hidden="false" customHeight="false" outlineLevel="0" collapsed="false">
      <c r="B1545" s="138"/>
      <c r="C1545" s="128"/>
      <c r="D1545" s="77"/>
      <c r="E1545" s="80"/>
      <c r="F1545" s="122"/>
      <c r="G1545" s="137"/>
      <c r="H1545" s="79" t="str">
        <f aca="false">IFERROR(VLOOKUP(E:E,'Item Data Support Sheet'!A:O,2,0),"")</f>
        <v/>
      </c>
      <c r="I1545" s="80"/>
      <c r="J1545" s="80"/>
      <c r="K1545" s="81"/>
      <c r="L1545" s="124"/>
      <c r="M1545" s="83"/>
      <c r="N1545" s="84" t="n">
        <f aca="false">+O1545+Q1545+T1545+U1545</f>
        <v>0</v>
      </c>
      <c r="O1545" s="85"/>
      <c r="P1545" s="86"/>
      <c r="Q1545" s="86"/>
      <c r="R1545" s="132"/>
      <c r="S1545" s="128"/>
      <c r="T1545" s="132"/>
      <c r="U1545" s="128"/>
      <c r="V1545" s="128"/>
      <c r="W1545" s="90" t="n">
        <f aca="false">IFERROR(O1545/V1545,0)</f>
        <v>0</v>
      </c>
      <c r="X1545" s="91" t="e">
        <f aca="false">O1545/L1545</f>
        <v>#DIV/0!</v>
      </c>
      <c r="Y1545" s="92" t="n">
        <f aca="false">IFERROR(VLOOKUP(E:E,'Item Data Support Sheet'!A:J,6,0),0)</f>
        <v>0</v>
      </c>
      <c r="Z1545" s="93" t="n">
        <f aca="false">IFERROR(VLOOKUP(E:E,'Item Data Support Sheet'!A:O,4,0),0)</f>
        <v>0</v>
      </c>
      <c r="AA1545" s="93" t="n">
        <f aca="false">IFERROR(((N1545)*(Z1545/1000))+P1545,0)</f>
        <v>0</v>
      </c>
      <c r="AB1545" s="94" t="str">
        <f aca="false">IFERROR((O1545*(Z1545/1000)/(AA1545))," ")</f>
        <v> </v>
      </c>
      <c r="AC1545" s="95" t="n">
        <f aca="false">IFERROR((T1545)/((T1545)+O1545),0)</f>
        <v>0</v>
      </c>
      <c r="AD1545" s="96" t="n">
        <f aca="false">IFERROR(Q1545/(Q1545+N1545),0)</f>
        <v>0</v>
      </c>
      <c r="AE1545" s="91" t="e">
        <f aca="false">(N1545-T1545)/N1545</f>
        <v>#DIV/0!</v>
      </c>
      <c r="AF1545" s="97" t="n">
        <f aca="false">BR1545</f>
        <v>0</v>
      </c>
      <c r="AG1545" s="98" t="n">
        <f aca="false">K1545-AF1545</f>
        <v>0</v>
      </c>
      <c r="AH1545" s="99" t="str">
        <f aca="false">IFERROR(AG1545/K1545," ")</f>
        <v> </v>
      </c>
      <c r="AI1545" s="100" t="n">
        <f aca="false">IFERROR(O1545/K1545,0)</f>
        <v>0</v>
      </c>
      <c r="AJ1545" s="101" t="e">
        <f aca="false">VLOOKUP(D1545,'Standard Cycle time'!C:D,2,0)</f>
        <v>#N/A</v>
      </c>
      <c r="AK1545" s="101" t="e">
        <f aca="false">AG1545*V1545*3600/O1545</f>
        <v>#DIV/0!</v>
      </c>
      <c r="AL1545" s="102" t="e">
        <f aca="false">AJ1545/AK1545</f>
        <v>#N/A</v>
      </c>
      <c r="AM1545" s="99" t="e">
        <f aca="false">AE1545*AL1545*AH1545</f>
        <v>#DIV/0!</v>
      </c>
      <c r="AN1545" s="103"/>
      <c r="AO1545" s="112"/>
      <c r="AP1545" s="105"/>
      <c r="AQ1545" s="105"/>
      <c r="AR1545" s="105"/>
      <c r="AS1545" s="105"/>
      <c r="AT1545" s="105"/>
      <c r="AU1545" s="105"/>
      <c r="AV1545" s="105"/>
      <c r="AW1545" s="105"/>
      <c r="AX1545" s="105"/>
      <c r="AY1545" s="105"/>
      <c r="AZ1545" s="105"/>
      <c r="BA1545" s="105"/>
      <c r="BB1545" s="105"/>
      <c r="BC1545" s="105"/>
      <c r="BD1545" s="105"/>
      <c r="BE1545" s="105"/>
      <c r="BF1545" s="105"/>
      <c r="BG1545" s="105"/>
      <c r="BH1545" s="105"/>
      <c r="BI1545" s="105"/>
      <c r="BJ1545" s="105"/>
      <c r="BK1545" s="105"/>
      <c r="BL1545" s="105"/>
      <c r="BM1545" s="105"/>
      <c r="BN1545" s="105"/>
      <c r="BO1545" s="105"/>
      <c r="BP1545" s="105"/>
      <c r="BQ1545" s="105"/>
      <c r="BR1545" s="106"/>
      <c r="BS1545" s="106"/>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c r="CO1545" s="107"/>
      <c r="CP1545" s="107"/>
      <c r="CQ1545" s="107"/>
      <c r="CR1545" s="107"/>
      <c r="CS1545" s="107"/>
      <c r="CT1545" s="107"/>
      <c r="CU1545" s="107"/>
      <c r="CV1545" s="107"/>
    </row>
    <row r="1546" customFormat="false" ht="13.8" hidden="false" customHeight="false" outlineLevel="0" collapsed="false">
      <c r="B1546" s="138"/>
      <c r="C1546" s="128"/>
      <c r="D1546" s="77"/>
      <c r="E1546" s="80"/>
      <c r="F1546" s="122"/>
      <c r="G1546" s="137"/>
      <c r="H1546" s="79" t="str">
        <f aca="false">IFERROR(VLOOKUP(E:E,'Item Data Support Sheet'!A:O,2,0),"")</f>
        <v/>
      </c>
      <c r="I1546" s="80"/>
      <c r="J1546" s="80"/>
      <c r="K1546" s="81"/>
      <c r="L1546" s="124"/>
      <c r="M1546" s="83"/>
      <c r="N1546" s="84" t="n">
        <f aca="false">+O1546+Q1546+T1546+U1546</f>
        <v>0</v>
      </c>
      <c r="O1546" s="85"/>
      <c r="P1546" s="86"/>
      <c r="Q1546" s="86"/>
      <c r="R1546" s="132"/>
      <c r="S1546" s="128"/>
      <c r="T1546" s="132"/>
      <c r="U1546" s="128"/>
      <c r="V1546" s="128"/>
      <c r="W1546" s="90" t="n">
        <f aca="false">IFERROR(O1546/V1546,0)</f>
        <v>0</v>
      </c>
      <c r="X1546" s="91" t="e">
        <f aca="false">O1546/L1546</f>
        <v>#DIV/0!</v>
      </c>
      <c r="Y1546" s="92" t="n">
        <f aca="false">IFERROR(VLOOKUP(E:E,'Item Data Support Sheet'!A:J,6,0),0)</f>
        <v>0</v>
      </c>
      <c r="Z1546" s="93" t="n">
        <f aca="false">IFERROR(VLOOKUP(E:E,'Item Data Support Sheet'!A:O,4,0),0)</f>
        <v>0</v>
      </c>
      <c r="AA1546" s="93" t="n">
        <f aca="false">IFERROR(((N1546)*(Z1546/1000))+P1546,0)</f>
        <v>0</v>
      </c>
      <c r="AB1546" s="94" t="str">
        <f aca="false">IFERROR((O1546*(Z1546/1000)/(AA1546))," ")</f>
        <v> </v>
      </c>
      <c r="AC1546" s="95" t="n">
        <f aca="false">IFERROR((T1546)/((T1546)+O1546),0)</f>
        <v>0</v>
      </c>
      <c r="AD1546" s="96" t="n">
        <f aca="false">IFERROR(Q1546/(Q1546+N1546),0)</f>
        <v>0</v>
      </c>
      <c r="AE1546" s="91" t="e">
        <f aca="false">(N1546-T1546)/N1546</f>
        <v>#DIV/0!</v>
      </c>
      <c r="AF1546" s="97" t="n">
        <f aca="false">BR1546</f>
        <v>0</v>
      </c>
      <c r="AG1546" s="98" t="n">
        <f aca="false">K1546-AF1546</f>
        <v>0</v>
      </c>
      <c r="AH1546" s="99" t="str">
        <f aca="false">IFERROR(AG1546/K1546," ")</f>
        <v> </v>
      </c>
      <c r="AI1546" s="100" t="n">
        <f aca="false">IFERROR(O1546/K1546,0)</f>
        <v>0</v>
      </c>
      <c r="AJ1546" s="101" t="e">
        <f aca="false">VLOOKUP(D1546,'Standard Cycle time'!C:D,2,0)</f>
        <v>#N/A</v>
      </c>
      <c r="AK1546" s="101" t="e">
        <f aca="false">AG1546*V1546*3600/O1546</f>
        <v>#DIV/0!</v>
      </c>
      <c r="AL1546" s="102" t="e">
        <f aca="false">AJ1546/AK1546</f>
        <v>#N/A</v>
      </c>
      <c r="AM1546" s="99" t="e">
        <f aca="false">AE1546*AL1546*AH1546</f>
        <v>#DIV/0!</v>
      </c>
      <c r="AN1546" s="103"/>
      <c r="AO1546" s="112"/>
      <c r="AP1546" s="105"/>
      <c r="AQ1546" s="105"/>
      <c r="AR1546" s="105"/>
      <c r="AS1546" s="105"/>
      <c r="AT1546" s="105"/>
      <c r="AU1546" s="105"/>
      <c r="AV1546" s="105"/>
      <c r="AW1546" s="105"/>
      <c r="AX1546" s="105"/>
      <c r="AY1546" s="105"/>
      <c r="AZ1546" s="105"/>
      <c r="BA1546" s="105"/>
      <c r="BB1546" s="105"/>
      <c r="BC1546" s="105"/>
      <c r="BD1546" s="105"/>
      <c r="BE1546" s="105"/>
      <c r="BF1546" s="105"/>
      <c r="BG1546" s="105"/>
      <c r="BH1546" s="105"/>
      <c r="BI1546" s="105"/>
      <c r="BJ1546" s="105"/>
      <c r="BK1546" s="105"/>
      <c r="BL1546" s="105"/>
      <c r="BM1546" s="105"/>
      <c r="BN1546" s="105"/>
      <c r="BO1546" s="105"/>
      <c r="BP1546" s="105"/>
      <c r="BQ1546" s="105"/>
      <c r="BR1546" s="106"/>
      <c r="BS1546" s="106"/>
      <c r="BT1546" s="107"/>
      <c r="BU1546" s="107"/>
      <c r="BV1546" s="107"/>
      <c r="BW1546" s="107"/>
      <c r="BX1546" s="107"/>
      <c r="BY1546" s="107"/>
      <c r="BZ1546" s="107"/>
      <c r="CA1546" s="107"/>
      <c r="CB1546" s="107"/>
      <c r="CC1546" s="107"/>
      <c r="CD1546" s="107"/>
      <c r="CE1546" s="107"/>
      <c r="CF1546" s="107"/>
      <c r="CG1546" s="107"/>
      <c r="CH1546" s="107"/>
      <c r="CI1546" s="107"/>
      <c r="CJ1546" s="107"/>
      <c r="CK1546" s="107"/>
      <c r="CL1546" s="107"/>
      <c r="CM1546" s="107"/>
      <c r="CN1546" s="107"/>
      <c r="CO1546" s="107"/>
      <c r="CP1546" s="107"/>
      <c r="CQ1546" s="107"/>
      <c r="CR1546" s="107"/>
      <c r="CS1546" s="107"/>
      <c r="CT1546" s="107"/>
      <c r="CU1546" s="107"/>
      <c r="CV1546" s="107"/>
    </row>
    <row r="1547" customFormat="false" ht="13.8" hidden="false" customHeight="false" outlineLevel="0" collapsed="false">
      <c r="B1547" s="138"/>
      <c r="C1547" s="128"/>
      <c r="D1547" s="77"/>
      <c r="E1547" s="80"/>
      <c r="F1547" s="122"/>
      <c r="G1547" s="137"/>
      <c r="H1547" s="79" t="str">
        <f aca="false">IFERROR(VLOOKUP(E:E,'Item Data Support Sheet'!A:O,2,0),"")</f>
        <v/>
      </c>
      <c r="I1547" s="80"/>
      <c r="J1547" s="80"/>
      <c r="K1547" s="81"/>
      <c r="L1547" s="124"/>
      <c r="M1547" s="83"/>
      <c r="N1547" s="84" t="n">
        <f aca="false">+O1547+Q1547+T1547+U1547</f>
        <v>0</v>
      </c>
      <c r="O1547" s="85"/>
      <c r="P1547" s="86"/>
      <c r="Q1547" s="86"/>
      <c r="R1547" s="132"/>
      <c r="S1547" s="128"/>
      <c r="T1547" s="132"/>
      <c r="U1547" s="128"/>
      <c r="V1547" s="128"/>
      <c r="W1547" s="90" t="n">
        <f aca="false">IFERROR(O1547/V1547,0)</f>
        <v>0</v>
      </c>
      <c r="X1547" s="91" t="e">
        <f aca="false">O1547/L1547</f>
        <v>#DIV/0!</v>
      </c>
      <c r="Y1547" s="92" t="n">
        <f aca="false">IFERROR(VLOOKUP(E:E,'Item Data Support Sheet'!A:J,6,0),0)</f>
        <v>0</v>
      </c>
      <c r="Z1547" s="93" t="n">
        <f aca="false">IFERROR(VLOOKUP(E:E,'Item Data Support Sheet'!A:O,4,0),0)</f>
        <v>0</v>
      </c>
      <c r="AA1547" s="93" t="n">
        <f aca="false">IFERROR(((N1547)*(Z1547/1000))+P1547,0)</f>
        <v>0</v>
      </c>
      <c r="AB1547" s="94" t="str">
        <f aca="false">IFERROR((O1547*(Z1547/1000)/(AA1547))," ")</f>
        <v> </v>
      </c>
      <c r="AC1547" s="95" t="n">
        <f aca="false">IFERROR((T1547)/((T1547)+O1547),0)</f>
        <v>0</v>
      </c>
      <c r="AD1547" s="96" t="n">
        <f aca="false">IFERROR(Q1547/(Q1547+N1547),0)</f>
        <v>0</v>
      </c>
      <c r="AE1547" s="91" t="e">
        <f aca="false">(N1547-T1547)/N1547</f>
        <v>#DIV/0!</v>
      </c>
      <c r="AF1547" s="97" t="n">
        <f aca="false">BR1547</f>
        <v>0</v>
      </c>
      <c r="AG1547" s="98" t="n">
        <f aca="false">K1547-AF1547</f>
        <v>0</v>
      </c>
      <c r="AH1547" s="99" t="str">
        <f aca="false">IFERROR(AG1547/K1547," ")</f>
        <v> </v>
      </c>
      <c r="AI1547" s="100" t="n">
        <f aca="false">IFERROR(O1547/K1547,0)</f>
        <v>0</v>
      </c>
      <c r="AJ1547" s="101" t="e">
        <f aca="false">VLOOKUP(D1547,'Standard Cycle time'!C:D,2,0)</f>
        <v>#N/A</v>
      </c>
      <c r="AK1547" s="101" t="e">
        <f aca="false">AG1547*V1547*3600/O1547</f>
        <v>#DIV/0!</v>
      </c>
      <c r="AL1547" s="102" t="e">
        <f aca="false">AJ1547/AK1547</f>
        <v>#N/A</v>
      </c>
      <c r="AM1547" s="99" t="e">
        <f aca="false">AE1547*AL1547*AH1547</f>
        <v>#DIV/0!</v>
      </c>
      <c r="AN1547" s="103"/>
      <c r="AO1547" s="112"/>
      <c r="AP1547" s="105"/>
      <c r="AQ1547" s="105"/>
      <c r="AR1547" s="105"/>
      <c r="AS1547" s="105"/>
      <c r="AT1547" s="105"/>
      <c r="AU1547" s="105"/>
      <c r="AV1547" s="105"/>
      <c r="AW1547" s="105"/>
      <c r="AX1547" s="105"/>
      <c r="AY1547" s="105"/>
      <c r="AZ1547" s="105"/>
      <c r="BA1547" s="105"/>
      <c r="BB1547" s="105"/>
      <c r="BC1547" s="105"/>
      <c r="BD1547" s="105"/>
      <c r="BE1547" s="105"/>
      <c r="BF1547" s="105"/>
      <c r="BG1547" s="105"/>
      <c r="BH1547" s="105"/>
      <c r="BI1547" s="105"/>
      <c r="BJ1547" s="105"/>
      <c r="BK1547" s="105"/>
      <c r="BL1547" s="105"/>
      <c r="BM1547" s="105"/>
      <c r="BN1547" s="105"/>
      <c r="BO1547" s="105"/>
      <c r="BP1547" s="105"/>
      <c r="BQ1547" s="105"/>
      <c r="BR1547" s="106"/>
      <c r="BS1547" s="106"/>
      <c r="BT1547" s="107"/>
      <c r="BU1547" s="107"/>
      <c r="BV1547" s="107"/>
      <c r="BW1547" s="107"/>
      <c r="BX1547" s="107"/>
      <c r="BY1547" s="107"/>
      <c r="BZ1547" s="107"/>
      <c r="CA1547" s="107"/>
      <c r="CB1547" s="107"/>
      <c r="CC1547" s="107"/>
      <c r="CD1547" s="107"/>
      <c r="CE1547" s="107"/>
      <c r="CF1547" s="107"/>
      <c r="CG1547" s="107"/>
      <c r="CH1547" s="107"/>
      <c r="CI1547" s="107"/>
      <c r="CJ1547" s="107"/>
      <c r="CK1547" s="107"/>
      <c r="CL1547" s="107"/>
      <c r="CM1547" s="107"/>
      <c r="CN1547" s="107"/>
      <c r="CO1547" s="107"/>
      <c r="CP1547" s="107"/>
      <c r="CQ1547" s="107"/>
      <c r="CR1547" s="107"/>
      <c r="CS1547" s="107"/>
      <c r="CT1547" s="107"/>
      <c r="CU1547" s="107"/>
      <c r="CV1547" s="107"/>
    </row>
    <row r="1548" customFormat="false" ht="13.8" hidden="false" customHeight="false" outlineLevel="0" collapsed="false">
      <c r="B1548" s="138"/>
      <c r="C1548" s="128"/>
      <c r="D1548" s="77"/>
      <c r="E1548" s="80"/>
      <c r="F1548" s="122"/>
      <c r="G1548" s="137"/>
      <c r="H1548" s="79" t="str">
        <f aca="false">IFERROR(VLOOKUP(E:E,'Item Data Support Sheet'!A:O,2,0),"")</f>
        <v/>
      </c>
      <c r="I1548" s="80"/>
      <c r="J1548" s="80"/>
      <c r="K1548" s="81"/>
      <c r="L1548" s="124"/>
      <c r="M1548" s="83"/>
      <c r="N1548" s="84" t="n">
        <f aca="false">+O1548+Q1548+T1548+U1548</f>
        <v>0</v>
      </c>
      <c r="O1548" s="85"/>
      <c r="P1548" s="86"/>
      <c r="Q1548" s="86"/>
      <c r="R1548" s="132"/>
      <c r="S1548" s="128"/>
      <c r="T1548" s="132"/>
      <c r="U1548" s="128"/>
      <c r="V1548" s="128"/>
      <c r="W1548" s="90" t="n">
        <f aca="false">IFERROR(O1548/V1548,0)</f>
        <v>0</v>
      </c>
      <c r="X1548" s="91" t="e">
        <f aca="false">O1548/L1548</f>
        <v>#DIV/0!</v>
      </c>
      <c r="Y1548" s="92" t="n">
        <f aca="false">IFERROR(VLOOKUP(E:E,'Item Data Support Sheet'!A:J,6,0),0)</f>
        <v>0</v>
      </c>
      <c r="Z1548" s="93" t="n">
        <f aca="false">IFERROR(VLOOKUP(E:E,'Item Data Support Sheet'!A:O,4,0),0)</f>
        <v>0</v>
      </c>
      <c r="AA1548" s="93" t="n">
        <f aca="false">IFERROR(((N1548)*(Z1548/1000))+P1548,0)</f>
        <v>0</v>
      </c>
      <c r="AB1548" s="94" t="str">
        <f aca="false">IFERROR((O1548*(Z1548/1000)/(AA1548))," ")</f>
        <v> </v>
      </c>
      <c r="AC1548" s="95" t="n">
        <f aca="false">IFERROR((T1548)/((T1548)+O1548),0)</f>
        <v>0</v>
      </c>
      <c r="AD1548" s="96" t="n">
        <f aca="false">IFERROR(Q1548/(Q1548+N1548),0)</f>
        <v>0</v>
      </c>
      <c r="AE1548" s="91" t="e">
        <f aca="false">(N1548-T1548)/N1548</f>
        <v>#DIV/0!</v>
      </c>
      <c r="AF1548" s="97" t="n">
        <f aca="false">BR1548</f>
        <v>0</v>
      </c>
      <c r="AG1548" s="98" t="n">
        <f aca="false">K1548-AF1548</f>
        <v>0</v>
      </c>
      <c r="AH1548" s="99" t="str">
        <f aca="false">IFERROR(AG1548/K1548," ")</f>
        <v> </v>
      </c>
      <c r="AI1548" s="100" t="n">
        <f aca="false">IFERROR(O1548/K1548,0)</f>
        <v>0</v>
      </c>
      <c r="AJ1548" s="101" t="e">
        <f aca="false">VLOOKUP(D1548,'Standard Cycle time'!C:D,2,0)</f>
        <v>#N/A</v>
      </c>
      <c r="AK1548" s="101" t="e">
        <f aca="false">AG1548*V1548*3600/O1548</f>
        <v>#DIV/0!</v>
      </c>
      <c r="AL1548" s="102" t="e">
        <f aca="false">AJ1548/AK1548</f>
        <v>#N/A</v>
      </c>
      <c r="AM1548" s="99" t="e">
        <f aca="false">AE1548*AL1548*AH1548</f>
        <v>#DIV/0!</v>
      </c>
      <c r="AN1548" s="103"/>
      <c r="AO1548" s="112"/>
      <c r="AP1548" s="105"/>
      <c r="AQ1548" s="105"/>
      <c r="AR1548" s="105"/>
      <c r="AS1548" s="105"/>
      <c r="AT1548" s="105"/>
      <c r="AU1548" s="105"/>
      <c r="AV1548" s="105"/>
      <c r="AW1548" s="105"/>
      <c r="AX1548" s="105"/>
      <c r="AY1548" s="105"/>
      <c r="AZ1548" s="105"/>
      <c r="BA1548" s="105"/>
      <c r="BB1548" s="105"/>
      <c r="BC1548" s="105"/>
      <c r="BD1548" s="105"/>
      <c r="BE1548" s="105"/>
      <c r="BF1548" s="105"/>
      <c r="BG1548" s="105"/>
      <c r="BH1548" s="105"/>
      <c r="BI1548" s="105"/>
      <c r="BJ1548" s="105"/>
      <c r="BK1548" s="105"/>
      <c r="BL1548" s="105"/>
      <c r="BM1548" s="105"/>
      <c r="BN1548" s="105"/>
      <c r="BO1548" s="105"/>
      <c r="BP1548" s="105"/>
      <c r="BQ1548" s="105"/>
      <c r="BR1548" s="106"/>
      <c r="BS1548" s="106"/>
      <c r="BT1548" s="107"/>
      <c r="BU1548" s="107"/>
      <c r="BV1548" s="107"/>
      <c r="BW1548" s="107"/>
      <c r="BX1548" s="107"/>
      <c r="BY1548" s="107"/>
      <c r="BZ1548" s="107"/>
      <c r="CA1548" s="107"/>
      <c r="CB1548" s="107"/>
      <c r="CC1548" s="107"/>
      <c r="CD1548" s="107"/>
      <c r="CE1548" s="107"/>
      <c r="CF1548" s="107"/>
      <c r="CG1548" s="107"/>
      <c r="CH1548" s="107"/>
      <c r="CI1548" s="107"/>
      <c r="CJ1548" s="107"/>
      <c r="CK1548" s="107"/>
      <c r="CL1548" s="107"/>
      <c r="CM1548" s="107"/>
      <c r="CN1548" s="107"/>
      <c r="CO1548" s="107"/>
      <c r="CP1548" s="107"/>
      <c r="CQ1548" s="107"/>
      <c r="CR1548" s="107"/>
      <c r="CS1548" s="107"/>
      <c r="CT1548" s="107"/>
      <c r="CU1548" s="107"/>
      <c r="CV1548" s="107"/>
    </row>
    <row r="1549" customFormat="false" ht="13.8" hidden="false" customHeight="false" outlineLevel="0" collapsed="false">
      <c r="B1549" s="138"/>
      <c r="C1549" s="128"/>
      <c r="D1549" s="77"/>
      <c r="E1549" s="80"/>
      <c r="F1549" s="122"/>
      <c r="G1549" s="137"/>
      <c r="H1549" s="79" t="str">
        <f aca="false">IFERROR(VLOOKUP(E:E,'Item Data Support Sheet'!A:O,2,0),"")</f>
        <v/>
      </c>
      <c r="I1549" s="80"/>
      <c r="J1549" s="80"/>
      <c r="K1549" s="81"/>
      <c r="L1549" s="124"/>
      <c r="M1549" s="83"/>
      <c r="N1549" s="84" t="n">
        <f aca="false">+O1549+Q1549+T1549+U1549</f>
        <v>0</v>
      </c>
      <c r="O1549" s="85"/>
      <c r="P1549" s="86"/>
      <c r="Q1549" s="86"/>
      <c r="R1549" s="132"/>
      <c r="S1549" s="128"/>
      <c r="T1549" s="132"/>
      <c r="U1549" s="128"/>
      <c r="V1549" s="128"/>
      <c r="W1549" s="90" t="n">
        <f aca="false">IFERROR(O1549/V1549,0)</f>
        <v>0</v>
      </c>
      <c r="X1549" s="91" t="e">
        <f aca="false">O1549/L1549</f>
        <v>#DIV/0!</v>
      </c>
      <c r="Y1549" s="92" t="n">
        <f aca="false">IFERROR(VLOOKUP(E:E,'Item Data Support Sheet'!A:J,6,0),0)</f>
        <v>0</v>
      </c>
      <c r="Z1549" s="93" t="n">
        <f aca="false">IFERROR(VLOOKUP(E:E,'Item Data Support Sheet'!A:O,4,0),0)</f>
        <v>0</v>
      </c>
      <c r="AA1549" s="93" t="n">
        <f aca="false">IFERROR(((N1549)*(Z1549/1000))+P1549,0)</f>
        <v>0</v>
      </c>
      <c r="AB1549" s="94" t="str">
        <f aca="false">IFERROR((O1549*(Z1549/1000)/(AA1549))," ")</f>
        <v> </v>
      </c>
      <c r="AC1549" s="95" t="n">
        <f aca="false">IFERROR((T1549)/((T1549)+O1549),0)</f>
        <v>0</v>
      </c>
      <c r="AD1549" s="96" t="n">
        <f aca="false">IFERROR(Q1549/(Q1549+N1549),0)</f>
        <v>0</v>
      </c>
      <c r="AE1549" s="91" t="e">
        <f aca="false">(N1549-T1549)/N1549</f>
        <v>#DIV/0!</v>
      </c>
      <c r="AF1549" s="97" t="n">
        <f aca="false">BR1549</f>
        <v>0</v>
      </c>
      <c r="AG1549" s="98" t="n">
        <f aca="false">K1549-AF1549</f>
        <v>0</v>
      </c>
      <c r="AH1549" s="99" t="str">
        <f aca="false">IFERROR(AG1549/K1549," ")</f>
        <v> </v>
      </c>
      <c r="AI1549" s="100" t="n">
        <f aca="false">IFERROR(O1549/K1549,0)</f>
        <v>0</v>
      </c>
      <c r="AJ1549" s="101" t="e">
        <f aca="false">VLOOKUP(D1549,'Standard Cycle time'!C:D,2,0)</f>
        <v>#N/A</v>
      </c>
      <c r="AK1549" s="101" t="e">
        <f aca="false">AG1549*V1549*3600/O1549</f>
        <v>#DIV/0!</v>
      </c>
      <c r="AL1549" s="102" t="e">
        <f aca="false">AJ1549/AK1549</f>
        <v>#N/A</v>
      </c>
      <c r="AM1549" s="99" t="e">
        <f aca="false">AE1549*AL1549*AH1549</f>
        <v>#DIV/0!</v>
      </c>
      <c r="AN1549" s="103"/>
      <c r="AO1549" s="112"/>
      <c r="AP1549" s="105"/>
      <c r="AQ1549" s="105"/>
      <c r="AR1549" s="105"/>
      <c r="AS1549" s="105"/>
      <c r="AT1549" s="105"/>
      <c r="AU1549" s="105"/>
      <c r="AV1549" s="105"/>
      <c r="AW1549" s="105"/>
      <c r="AX1549" s="105"/>
      <c r="AY1549" s="105"/>
      <c r="AZ1549" s="105"/>
      <c r="BA1549" s="105"/>
      <c r="BB1549" s="105"/>
      <c r="BC1549" s="105"/>
      <c r="BD1549" s="105"/>
      <c r="BE1549" s="105"/>
      <c r="BF1549" s="105"/>
      <c r="BG1549" s="105"/>
      <c r="BH1549" s="105"/>
      <c r="BI1549" s="105"/>
      <c r="BJ1549" s="105"/>
      <c r="BK1549" s="105"/>
      <c r="BL1549" s="105"/>
      <c r="BM1549" s="105"/>
      <c r="BN1549" s="105"/>
      <c r="BO1549" s="105"/>
      <c r="BP1549" s="105"/>
      <c r="BQ1549" s="105"/>
      <c r="BR1549" s="106"/>
      <c r="BS1549" s="106"/>
      <c r="BT1549" s="107"/>
      <c r="BU1549" s="107"/>
      <c r="BV1549" s="107"/>
      <c r="BW1549" s="107"/>
      <c r="BX1549" s="107"/>
      <c r="BY1549" s="107"/>
      <c r="BZ1549" s="107"/>
      <c r="CA1549" s="107"/>
      <c r="CB1549" s="107"/>
      <c r="CC1549" s="107"/>
      <c r="CD1549" s="107"/>
      <c r="CE1549" s="107"/>
      <c r="CF1549" s="107"/>
      <c r="CG1549" s="107"/>
      <c r="CH1549" s="107"/>
      <c r="CI1549" s="107"/>
      <c r="CJ1549" s="107"/>
      <c r="CK1549" s="107"/>
      <c r="CL1549" s="107"/>
      <c r="CM1549" s="107"/>
      <c r="CN1549" s="107"/>
      <c r="CO1549" s="107"/>
      <c r="CP1549" s="107"/>
      <c r="CQ1549" s="107"/>
      <c r="CR1549" s="107"/>
      <c r="CS1549" s="107"/>
      <c r="CT1549" s="107"/>
      <c r="CU1549" s="107"/>
      <c r="CV1549" s="107"/>
    </row>
    <row r="1550" customFormat="false" ht="13.8" hidden="false" customHeight="false" outlineLevel="0" collapsed="false">
      <c r="B1550" s="138"/>
      <c r="C1550" s="128"/>
      <c r="D1550" s="77"/>
      <c r="E1550" s="80"/>
      <c r="F1550" s="122"/>
      <c r="G1550" s="137"/>
      <c r="H1550" s="79" t="str">
        <f aca="false">IFERROR(VLOOKUP(E:E,'Item Data Support Sheet'!A:O,2,0),"")</f>
        <v/>
      </c>
      <c r="I1550" s="80"/>
      <c r="J1550" s="80"/>
      <c r="K1550" s="81"/>
      <c r="L1550" s="124"/>
      <c r="M1550" s="83"/>
      <c r="N1550" s="84" t="n">
        <f aca="false">+O1550+Q1550+T1550+U1550</f>
        <v>0</v>
      </c>
      <c r="O1550" s="85"/>
      <c r="P1550" s="86"/>
      <c r="Q1550" s="86"/>
      <c r="R1550" s="132"/>
      <c r="S1550" s="128"/>
      <c r="T1550" s="132"/>
      <c r="U1550" s="128"/>
      <c r="V1550" s="128"/>
      <c r="W1550" s="90" t="n">
        <f aca="false">IFERROR(O1550/V1550,0)</f>
        <v>0</v>
      </c>
      <c r="X1550" s="91" t="e">
        <f aca="false">O1550/L1550</f>
        <v>#DIV/0!</v>
      </c>
      <c r="Y1550" s="92" t="n">
        <f aca="false">IFERROR(VLOOKUP(E:E,'Item Data Support Sheet'!A:J,6,0),0)</f>
        <v>0</v>
      </c>
      <c r="Z1550" s="93" t="n">
        <f aca="false">IFERROR(VLOOKUP(E:E,'Item Data Support Sheet'!A:O,4,0),0)</f>
        <v>0</v>
      </c>
      <c r="AA1550" s="93" t="n">
        <f aca="false">IFERROR(((N1550)*(Z1550/1000))+P1550,0)</f>
        <v>0</v>
      </c>
      <c r="AB1550" s="94" t="str">
        <f aca="false">IFERROR((O1550*(Z1550/1000)/(AA1550))," ")</f>
        <v> </v>
      </c>
      <c r="AC1550" s="95" t="n">
        <f aca="false">IFERROR((T1550)/((T1550)+O1550),0)</f>
        <v>0</v>
      </c>
      <c r="AD1550" s="96" t="n">
        <f aca="false">IFERROR(Q1550/(Q1550+N1550),0)</f>
        <v>0</v>
      </c>
      <c r="AE1550" s="91" t="e">
        <f aca="false">(N1550-T1550)/N1550</f>
        <v>#DIV/0!</v>
      </c>
      <c r="AF1550" s="97" t="n">
        <f aca="false">BR1550</f>
        <v>0</v>
      </c>
      <c r="AG1550" s="98" t="n">
        <f aca="false">K1550-AF1550</f>
        <v>0</v>
      </c>
      <c r="AH1550" s="99" t="str">
        <f aca="false">IFERROR(AG1550/K1550," ")</f>
        <v> </v>
      </c>
      <c r="AI1550" s="100" t="n">
        <f aca="false">IFERROR(O1550/K1550,0)</f>
        <v>0</v>
      </c>
      <c r="AJ1550" s="101" t="e">
        <f aca="false">VLOOKUP(D1550,'Standard Cycle time'!C:D,2,0)</f>
        <v>#N/A</v>
      </c>
      <c r="AK1550" s="101" t="e">
        <f aca="false">AG1550*V1550*3600/O1550</f>
        <v>#DIV/0!</v>
      </c>
      <c r="AL1550" s="102" t="e">
        <f aca="false">AJ1550/AK1550</f>
        <v>#N/A</v>
      </c>
      <c r="AM1550" s="99" t="e">
        <f aca="false">AE1550*AL1550*AH1550</f>
        <v>#DIV/0!</v>
      </c>
      <c r="AN1550" s="103"/>
      <c r="AO1550" s="112"/>
      <c r="AP1550" s="105"/>
      <c r="AQ1550" s="105"/>
      <c r="AR1550" s="105"/>
      <c r="AS1550" s="105"/>
      <c r="AT1550" s="105"/>
      <c r="AU1550" s="105"/>
      <c r="AV1550" s="105"/>
      <c r="AW1550" s="105"/>
      <c r="AX1550" s="105"/>
      <c r="AY1550" s="105"/>
      <c r="AZ1550" s="105"/>
      <c r="BA1550" s="105"/>
      <c r="BB1550" s="105"/>
      <c r="BC1550" s="105"/>
      <c r="BD1550" s="105"/>
      <c r="BE1550" s="105"/>
      <c r="BF1550" s="105"/>
      <c r="BG1550" s="105"/>
      <c r="BH1550" s="105"/>
      <c r="BI1550" s="105"/>
      <c r="BJ1550" s="105"/>
      <c r="BK1550" s="105"/>
      <c r="BL1550" s="105"/>
      <c r="BM1550" s="105"/>
      <c r="BN1550" s="105"/>
      <c r="BO1550" s="105"/>
      <c r="BP1550" s="105"/>
      <c r="BQ1550" s="105"/>
      <c r="BR1550" s="106"/>
      <c r="BS1550" s="106"/>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c r="CO1550" s="107"/>
      <c r="CP1550" s="107"/>
      <c r="CQ1550" s="107"/>
      <c r="CR1550" s="107"/>
      <c r="CS1550" s="107"/>
      <c r="CT1550" s="107"/>
      <c r="CU1550" s="107"/>
      <c r="CV1550" s="107"/>
    </row>
    <row r="1551" customFormat="false" ht="13.8" hidden="false" customHeight="false" outlineLevel="0" collapsed="false">
      <c r="B1551" s="138"/>
      <c r="C1551" s="128"/>
      <c r="D1551" s="77"/>
      <c r="E1551" s="80"/>
      <c r="F1551" s="122"/>
      <c r="G1551" s="137"/>
      <c r="H1551" s="79" t="str">
        <f aca="false">IFERROR(VLOOKUP(E:E,'Item Data Support Sheet'!A:O,2,0),"")</f>
        <v/>
      </c>
      <c r="I1551" s="80"/>
      <c r="J1551" s="80"/>
      <c r="K1551" s="81"/>
      <c r="L1551" s="124"/>
      <c r="M1551" s="83"/>
      <c r="N1551" s="84" t="n">
        <f aca="false">+O1551+Q1551+T1551+U1551</f>
        <v>0</v>
      </c>
      <c r="O1551" s="85"/>
      <c r="P1551" s="86"/>
      <c r="Q1551" s="86"/>
      <c r="R1551" s="132"/>
      <c r="S1551" s="128"/>
      <c r="T1551" s="132"/>
      <c r="U1551" s="128"/>
      <c r="V1551" s="128"/>
      <c r="W1551" s="90" t="n">
        <f aca="false">IFERROR(O1551/V1551,0)</f>
        <v>0</v>
      </c>
      <c r="X1551" s="91" t="e">
        <f aca="false">O1551/L1551</f>
        <v>#DIV/0!</v>
      </c>
      <c r="Y1551" s="92" t="n">
        <f aca="false">IFERROR(VLOOKUP(E:E,'Item Data Support Sheet'!A:J,6,0),0)</f>
        <v>0</v>
      </c>
      <c r="Z1551" s="93" t="n">
        <f aca="false">IFERROR(VLOOKUP(E:E,'Item Data Support Sheet'!A:O,4,0),0)</f>
        <v>0</v>
      </c>
      <c r="AA1551" s="93" t="n">
        <f aca="false">IFERROR(((N1551)*(Z1551/1000))+P1551,0)</f>
        <v>0</v>
      </c>
      <c r="AB1551" s="94" t="str">
        <f aca="false">IFERROR((O1551*(Z1551/1000)/(AA1551))," ")</f>
        <v> </v>
      </c>
      <c r="AC1551" s="95" t="n">
        <f aca="false">IFERROR((T1551)/((T1551)+O1551),0)</f>
        <v>0</v>
      </c>
      <c r="AD1551" s="96" t="n">
        <f aca="false">IFERROR(Q1551/(Q1551+N1551),0)</f>
        <v>0</v>
      </c>
      <c r="AE1551" s="91" t="e">
        <f aca="false">(N1551-T1551)/N1551</f>
        <v>#DIV/0!</v>
      </c>
      <c r="AF1551" s="97" t="n">
        <f aca="false">BR1551</f>
        <v>0</v>
      </c>
      <c r="AG1551" s="98" t="n">
        <f aca="false">K1551-AF1551</f>
        <v>0</v>
      </c>
      <c r="AH1551" s="99" t="str">
        <f aca="false">IFERROR(AG1551/K1551," ")</f>
        <v> </v>
      </c>
      <c r="AI1551" s="100" t="n">
        <f aca="false">IFERROR(O1551/K1551,0)</f>
        <v>0</v>
      </c>
      <c r="AJ1551" s="101" t="e">
        <f aca="false">VLOOKUP(D1551,'Standard Cycle time'!C:D,2,0)</f>
        <v>#N/A</v>
      </c>
      <c r="AK1551" s="101" t="e">
        <f aca="false">AG1551*V1551*3600/O1551</f>
        <v>#DIV/0!</v>
      </c>
      <c r="AL1551" s="102" t="e">
        <f aca="false">AJ1551/AK1551</f>
        <v>#N/A</v>
      </c>
      <c r="AM1551" s="99" t="e">
        <f aca="false">AE1551*AL1551*AH1551</f>
        <v>#DIV/0!</v>
      </c>
      <c r="AN1551" s="103"/>
      <c r="AO1551" s="112"/>
      <c r="AP1551" s="105"/>
      <c r="AQ1551" s="105"/>
      <c r="AR1551" s="105"/>
      <c r="AS1551" s="105"/>
      <c r="AT1551" s="105"/>
      <c r="AU1551" s="105"/>
      <c r="AV1551" s="105"/>
      <c r="AW1551" s="105"/>
      <c r="AX1551" s="105"/>
      <c r="AY1551" s="105"/>
      <c r="AZ1551" s="105"/>
      <c r="BA1551" s="105"/>
      <c r="BB1551" s="105"/>
      <c r="BC1551" s="105"/>
      <c r="BD1551" s="105"/>
      <c r="BE1551" s="105"/>
      <c r="BF1551" s="105"/>
      <c r="BG1551" s="105"/>
      <c r="BH1551" s="105"/>
      <c r="BI1551" s="105"/>
      <c r="BJ1551" s="105"/>
      <c r="BK1551" s="105"/>
      <c r="BL1551" s="105"/>
      <c r="BM1551" s="105"/>
      <c r="BN1551" s="105"/>
      <c r="BO1551" s="105"/>
      <c r="BP1551" s="105"/>
      <c r="BQ1551" s="105"/>
      <c r="BR1551" s="106"/>
      <c r="BS1551" s="106"/>
      <c r="BT1551" s="107"/>
      <c r="BU1551" s="107"/>
      <c r="BV1551" s="107"/>
      <c r="BW1551" s="107"/>
      <c r="BX1551" s="107"/>
      <c r="BY1551" s="107"/>
      <c r="BZ1551" s="107"/>
      <c r="CA1551" s="107"/>
      <c r="CB1551" s="107"/>
      <c r="CC1551" s="107"/>
      <c r="CD1551" s="107"/>
      <c r="CE1551" s="107"/>
      <c r="CF1551" s="107"/>
      <c r="CG1551" s="107"/>
      <c r="CH1551" s="107"/>
      <c r="CI1551" s="107"/>
      <c r="CJ1551" s="107"/>
      <c r="CK1551" s="107"/>
      <c r="CL1551" s="107"/>
      <c r="CM1551" s="107"/>
      <c r="CN1551" s="107"/>
      <c r="CO1551" s="107"/>
      <c r="CP1551" s="107"/>
      <c r="CQ1551" s="107"/>
      <c r="CR1551" s="107"/>
      <c r="CS1551" s="107"/>
      <c r="CT1551" s="107"/>
      <c r="CU1551" s="107"/>
      <c r="CV1551" s="107"/>
    </row>
    <row r="1552" customFormat="false" ht="13.8" hidden="false" customHeight="false" outlineLevel="0" collapsed="false">
      <c r="B1552" s="138"/>
      <c r="C1552" s="128"/>
      <c r="D1552" s="77"/>
      <c r="E1552" s="80"/>
      <c r="F1552" s="122"/>
      <c r="G1552" s="137"/>
      <c r="H1552" s="79" t="str">
        <f aca="false">IFERROR(VLOOKUP(E:E,'Item Data Support Sheet'!A:O,2,0),"")</f>
        <v/>
      </c>
      <c r="I1552" s="80"/>
      <c r="J1552" s="80"/>
      <c r="K1552" s="81"/>
      <c r="L1552" s="124"/>
      <c r="M1552" s="83"/>
      <c r="N1552" s="84" t="n">
        <f aca="false">+O1552+Q1552+T1552+U1552</f>
        <v>0</v>
      </c>
      <c r="O1552" s="85"/>
      <c r="P1552" s="86"/>
      <c r="Q1552" s="86"/>
      <c r="R1552" s="132"/>
      <c r="S1552" s="128"/>
      <c r="T1552" s="132"/>
      <c r="U1552" s="128"/>
      <c r="V1552" s="128"/>
      <c r="W1552" s="90" t="n">
        <f aca="false">IFERROR(O1552/V1552,0)</f>
        <v>0</v>
      </c>
      <c r="X1552" s="91" t="e">
        <f aca="false">O1552/L1552</f>
        <v>#DIV/0!</v>
      </c>
      <c r="Y1552" s="92" t="n">
        <f aca="false">IFERROR(VLOOKUP(E:E,'Item Data Support Sheet'!A:J,6,0),0)</f>
        <v>0</v>
      </c>
      <c r="Z1552" s="93" t="n">
        <f aca="false">IFERROR(VLOOKUP(E:E,'Item Data Support Sheet'!A:O,4,0),0)</f>
        <v>0</v>
      </c>
      <c r="AA1552" s="93" t="n">
        <f aca="false">IFERROR(((N1552)*(Z1552/1000))+P1552,0)</f>
        <v>0</v>
      </c>
      <c r="AB1552" s="94" t="str">
        <f aca="false">IFERROR((O1552*(Z1552/1000)/(AA1552))," ")</f>
        <v> </v>
      </c>
      <c r="AC1552" s="95" t="n">
        <f aca="false">IFERROR((T1552)/((T1552)+O1552),0)</f>
        <v>0</v>
      </c>
      <c r="AD1552" s="96" t="n">
        <f aca="false">IFERROR(Q1552/(Q1552+N1552),0)</f>
        <v>0</v>
      </c>
      <c r="AE1552" s="91" t="e">
        <f aca="false">(N1552-T1552)/N1552</f>
        <v>#DIV/0!</v>
      </c>
      <c r="AF1552" s="97" t="n">
        <f aca="false">BR1552</f>
        <v>0</v>
      </c>
      <c r="AG1552" s="98" t="n">
        <f aca="false">K1552-AF1552</f>
        <v>0</v>
      </c>
      <c r="AH1552" s="99" t="str">
        <f aca="false">IFERROR(AG1552/K1552," ")</f>
        <v> </v>
      </c>
      <c r="AI1552" s="100" t="n">
        <f aca="false">IFERROR(O1552/K1552,0)</f>
        <v>0</v>
      </c>
      <c r="AJ1552" s="101" t="e">
        <f aca="false">VLOOKUP(D1552,'Standard Cycle time'!C:D,2,0)</f>
        <v>#N/A</v>
      </c>
      <c r="AK1552" s="101" t="e">
        <f aca="false">AG1552*V1552*3600/O1552</f>
        <v>#DIV/0!</v>
      </c>
      <c r="AL1552" s="102" t="e">
        <f aca="false">AJ1552/AK1552</f>
        <v>#N/A</v>
      </c>
      <c r="AM1552" s="99" t="e">
        <f aca="false">AE1552*AL1552*AH1552</f>
        <v>#DIV/0!</v>
      </c>
      <c r="AN1552" s="103"/>
      <c r="AO1552" s="112"/>
      <c r="AP1552" s="105"/>
      <c r="AQ1552" s="105"/>
      <c r="AR1552" s="105"/>
      <c r="AS1552" s="105"/>
      <c r="AT1552" s="105"/>
      <c r="AU1552" s="105"/>
      <c r="AV1552" s="105"/>
      <c r="AW1552" s="105"/>
      <c r="AX1552" s="105"/>
      <c r="AY1552" s="105"/>
      <c r="AZ1552" s="105"/>
      <c r="BA1552" s="105"/>
      <c r="BB1552" s="105"/>
      <c r="BC1552" s="105"/>
      <c r="BD1552" s="105"/>
      <c r="BE1552" s="105"/>
      <c r="BF1552" s="105"/>
      <c r="BG1552" s="105"/>
      <c r="BH1552" s="105"/>
      <c r="BI1552" s="105"/>
      <c r="BJ1552" s="105"/>
      <c r="BK1552" s="105"/>
      <c r="BL1552" s="105"/>
      <c r="BM1552" s="105"/>
      <c r="BN1552" s="105"/>
      <c r="BO1552" s="105"/>
      <c r="BP1552" s="105"/>
      <c r="BQ1552" s="105"/>
      <c r="BR1552" s="106"/>
      <c r="BS1552" s="106"/>
      <c r="BT1552" s="107"/>
      <c r="BU1552" s="107"/>
      <c r="BV1552" s="107"/>
      <c r="BW1552" s="107"/>
      <c r="BX1552" s="107"/>
      <c r="BY1552" s="107"/>
      <c r="BZ1552" s="107"/>
      <c r="CA1552" s="107"/>
      <c r="CB1552" s="107"/>
      <c r="CC1552" s="107"/>
      <c r="CD1552" s="107"/>
      <c r="CE1552" s="107"/>
      <c r="CF1552" s="107"/>
      <c r="CG1552" s="107"/>
      <c r="CH1552" s="107"/>
      <c r="CI1552" s="107"/>
      <c r="CJ1552" s="107"/>
      <c r="CK1552" s="107"/>
      <c r="CL1552" s="107"/>
      <c r="CM1552" s="107"/>
      <c r="CN1552" s="107"/>
      <c r="CO1552" s="107"/>
      <c r="CP1552" s="107"/>
      <c r="CQ1552" s="107"/>
      <c r="CR1552" s="107"/>
      <c r="CS1552" s="107"/>
      <c r="CT1552" s="107"/>
      <c r="CU1552" s="107"/>
      <c r="CV1552" s="107"/>
    </row>
    <row r="1553" customFormat="false" ht="13.8" hidden="false" customHeight="false" outlineLevel="0" collapsed="false">
      <c r="B1553" s="138"/>
      <c r="C1553" s="128"/>
      <c r="D1553" s="77"/>
      <c r="E1553" s="80"/>
      <c r="F1553" s="122"/>
      <c r="G1553" s="137"/>
      <c r="H1553" s="79" t="str">
        <f aca="false">IFERROR(VLOOKUP(E:E,'Item Data Support Sheet'!A:O,2,0),"")</f>
        <v/>
      </c>
      <c r="I1553" s="80"/>
      <c r="J1553" s="80"/>
      <c r="K1553" s="81"/>
      <c r="L1553" s="124"/>
      <c r="M1553" s="83"/>
      <c r="N1553" s="84" t="n">
        <f aca="false">+O1553+Q1553+T1553+U1553</f>
        <v>0</v>
      </c>
      <c r="O1553" s="85"/>
      <c r="P1553" s="86"/>
      <c r="Q1553" s="86"/>
      <c r="R1553" s="132"/>
      <c r="S1553" s="128"/>
      <c r="T1553" s="132"/>
      <c r="U1553" s="128"/>
      <c r="V1553" s="128"/>
      <c r="W1553" s="90" t="n">
        <f aca="false">IFERROR(O1553/V1553,0)</f>
        <v>0</v>
      </c>
      <c r="X1553" s="91" t="e">
        <f aca="false">O1553/L1553</f>
        <v>#DIV/0!</v>
      </c>
      <c r="Y1553" s="92" t="n">
        <f aca="false">IFERROR(VLOOKUP(E:E,'Item Data Support Sheet'!A:J,6,0),0)</f>
        <v>0</v>
      </c>
      <c r="Z1553" s="93" t="n">
        <f aca="false">IFERROR(VLOOKUP(E:E,'Item Data Support Sheet'!A:O,4,0),0)</f>
        <v>0</v>
      </c>
      <c r="AA1553" s="93" t="n">
        <f aca="false">IFERROR(((N1553)*(Z1553/1000))+P1553,0)</f>
        <v>0</v>
      </c>
      <c r="AB1553" s="94" t="str">
        <f aca="false">IFERROR((O1553*(Z1553/1000)/(AA1553))," ")</f>
        <v> </v>
      </c>
      <c r="AC1553" s="95" t="n">
        <f aca="false">IFERROR((T1553)/((T1553)+O1553),0)</f>
        <v>0</v>
      </c>
      <c r="AD1553" s="96" t="n">
        <f aca="false">IFERROR(Q1553/(Q1553+N1553),0)</f>
        <v>0</v>
      </c>
      <c r="AE1553" s="91" t="e">
        <f aca="false">(N1553-T1553)/N1553</f>
        <v>#DIV/0!</v>
      </c>
      <c r="AF1553" s="97" t="n">
        <f aca="false">BR1553</f>
        <v>0</v>
      </c>
      <c r="AG1553" s="98" t="n">
        <f aca="false">K1553-AF1553</f>
        <v>0</v>
      </c>
      <c r="AH1553" s="99" t="str">
        <f aca="false">IFERROR(AG1553/K1553," ")</f>
        <v> </v>
      </c>
      <c r="AI1553" s="100" t="n">
        <f aca="false">IFERROR(O1553/K1553,0)</f>
        <v>0</v>
      </c>
      <c r="AJ1553" s="101" t="e">
        <f aca="false">VLOOKUP(D1553,'Standard Cycle time'!C:D,2,0)</f>
        <v>#N/A</v>
      </c>
      <c r="AK1553" s="101" t="e">
        <f aca="false">AG1553*V1553*3600/O1553</f>
        <v>#DIV/0!</v>
      </c>
      <c r="AL1553" s="102" t="e">
        <f aca="false">AJ1553/AK1553</f>
        <v>#N/A</v>
      </c>
      <c r="AM1553" s="99" t="e">
        <f aca="false">AE1553*AL1553*AH1553</f>
        <v>#DIV/0!</v>
      </c>
      <c r="AN1553" s="103"/>
      <c r="AO1553" s="112"/>
      <c r="AP1553" s="105"/>
      <c r="AQ1553" s="105"/>
      <c r="AR1553" s="105"/>
      <c r="AS1553" s="105"/>
      <c r="AT1553" s="105"/>
      <c r="AU1553" s="105"/>
      <c r="AV1553" s="105"/>
      <c r="AW1553" s="105"/>
      <c r="AX1553" s="105"/>
      <c r="AY1553" s="105"/>
      <c r="AZ1553" s="105"/>
      <c r="BA1553" s="105"/>
      <c r="BB1553" s="105"/>
      <c r="BC1553" s="105"/>
      <c r="BD1553" s="105"/>
      <c r="BE1553" s="105"/>
      <c r="BF1553" s="105"/>
      <c r="BG1553" s="105"/>
      <c r="BH1553" s="105"/>
      <c r="BI1553" s="105"/>
      <c r="BJ1553" s="105"/>
      <c r="BK1553" s="105"/>
      <c r="BL1553" s="105"/>
      <c r="BM1553" s="105"/>
      <c r="BN1553" s="105"/>
      <c r="BO1553" s="105"/>
      <c r="BP1553" s="105"/>
      <c r="BQ1553" s="105"/>
      <c r="BR1553" s="106"/>
      <c r="BS1553" s="106"/>
      <c r="BT1553" s="107"/>
      <c r="BU1553" s="107"/>
      <c r="BV1553" s="107"/>
      <c r="BW1553" s="107"/>
      <c r="BX1553" s="107"/>
      <c r="BY1553" s="107"/>
      <c r="BZ1553" s="107"/>
      <c r="CA1553" s="107"/>
      <c r="CB1553" s="107"/>
      <c r="CC1553" s="107"/>
      <c r="CD1553" s="107"/>
      <c r="CE1553" s="107"/>
      <c r="CF1553" s="107"/>
      <c r="CG1553" s="107"/>
      <c r="CH1553" s="107"/>
      <c r="CI1553" s="107"/>
      <c r="CJ1553" s="107"/>
      <c r="CK1553" s="107"/>
      <c r="CL1553" s="107"/>
      <c r="CM1553" s="107"/>
      <c r="CN1553" s="107"/>
      <c r="CO1553" s="107"/>
      <c r="CP1553" s="107"/>
      <c r="CQ1553" s="107"/>
      <c r="CR1553" s="107"/>
      <c r="CS1553" s="107"/>
      <c r="CT1553" s="107"/>
      <c r="CU1553" s="107"/>
      <c r="CV1553" s="107"/>
    </row>
    <row r="1554" customFormat="false" ht="13.8" hidden="false" customHeight="false" outlineLevel="0" collapsed="false">
      <c r="B1554" s="138"/>
      <c r="C1554" s="128"/>
      <c r="D1554" s="77"/>
      <c r="E1554" s="80"/>
      <c r="F1554" s="122"/>
      <c r="G1554" s="137"/>
      <c r="H1554" s="79" t="str">
        <f aca="false">IFERROR(VLOOKUP(E:E,'Item Data Support Sheet'!A:O,2,0),"")</f>
        <v/>
      </c>
      <c r="I1554" s="80"/>
      <c r="J1554" s="80"/>
      <c r="K1554" s="81"/>
      <c r="L1554" s="124"/>
      <c r="M1554" s="83"/>
      <c r="N1554" s="84" t="n">
        <f aca="false">+O1554+Q1554+T1554+U1554</f>
        <v>0</v>
      </c>
      <c r="O1554" s="85"/>
      <c r="P1554" s="86"/>
      <c r="Q1554" s="86"/>
      <c r="R1554" s="132"/>
      <c r="S1554" s="128"/>
      <c r="T1554" s="132"/>
      <c r="U1554" s="128"/>
      <c r="V1554" s="128"/>
      <c r="W1554" s="90" t="n">
        <f aca="false">IFERROR(O1554/V1554,0)</f>
        <v>0</v>
      </c>
      <c r="X1554" s="91" t="e">
        <f aca="false">O1554/L1554</f>
        <v>#DIV/0!</v>
      </c>
      <c r="Y1554" s="92" t="n">
        <f aca="false">IFERROR(VLOOKUP(E:E,'Item Data Support Sheet'!A:J,6,0),0)</f>
        <v>0</v>
      </c>
      <c r="Z1554" s="93" t="n">
        <f aca="false">IFERROR(VLOOKUP(E:E,'Item Data Support Sheet'!A:O,4,0),0)</f>
        <v>0</v>
      </c>
      <c r="AA1554" s="93" t="n">
        <f aca="false">IFERROR(((N1554)*(Z1554/1000))+P1554,0)</f>
        <v>0</v>
      </c>
      <c r="AB1554" s="94" t="str">
        <f aca="false">IFERROR((O1554*(Z1554/1000)/(AA1554))," ")</f>
        <v> </v>
      </c>
      <c r="AC1554" s="95" t="n">
        <f aca="false">IFERROR((T1554)/((T1554)+O1554),0)</f>
        <v>0</v>
      </c>
      <c r="AD1554" s="96" t="n">
        <f aca="false">IFERROR(Q1554/(Q1554+N1554),0)</f>
        <v>0</v>
      </c>
      <c r="AE1554" s="91" t="e">
        <f aca="false">(N1554-T1554)/N1554</f>
        <v>#DIV/0!</v>
      </c>
      <c r="AF1554" s="97" t="n">
        <f aca="false">BR1554</f>
        <v>0</v>
      </c>
      <c r="AG1554" s="98" t="n">
        <f aca="false">K1554-AF1554</f>
        <v>0</v>
      </c>
      <c r="AH1554" s="99" t="str">
        <f aca="false">IFERROR(AG1554/K1554," ")</f>
        <v> </v>
      </c>
      <c r="AI1554" s="100" t="n">
        <f aca="false">IFERROR(O1554/K1554,0)</f>
        <v>0</v>
      </c>
      <c r="AJ1554" s="101" t="e">
        <f aca="false">VLOOKUP(D1554,'Standard Cycle time'!C:D,2,0)</f>
        <v>#N/A</v>
      </c>
      <c r="AK1554" s="101" t="e">
        <f aca="false">AG1554*V1554*3600/O1554</f>
        <v>#DIV/0!</v>
      </c>
      <c r="AL1554" s="102" t="e">
        <f aca="false">AJ1554/AK1554</f>
        <v>#N/A</v>
      </c>
      <c r="AM1554" s="99" t="e">
        <f aca="false">AE1554*AL1554*AH1554</f>
        <v>#DIV/0!</v>
      </c>
      <c r="AN1554" s="103"/>
      <c r="AO1554" s="112"/>
      <c r="AP1554" s="105"/>
      <c r="AQ1554" s="105"/>
      <c r="AR1554" s="105"/>
      <c r="AS1554" s="105"/>
      <c r="AT1554" s="105"/>
      <c r="AU1554" s="105"/>
      <c r="AV1554" s="105"/>
      <c r="AW1554" s="105"/>
      <c r="AX1554" s="105"/>
      <c r="AY1554" s="105"/>
      <c r="AZ1554" s="105"/>
      <c r="BA1554" s="105"/>
      <c r="BB1554" s="105"/>
      <c r="BC1554" s="105"/>
      <c r="BD1554" s="105"/>
      <c r="BE1554" s="105"/>
      <c r="BF1554" s="105"/>
      <c r="BG1554" s="105"/>
      <c r="BH1554" s="105"/>
      <c r="BI1554" s="105"/>
      <c r="BJ1554" s="105"/>
      <c r="BK1554" s="105"/>
      <c r="BL1554" s="105"/>
      <c r="BM1554" s="105"/>
      <c r="BN1554" s="105"/>
      <c r="BO1554" s="105"/>
      <c r="BP1554" s="105"/>
      <c r="BQ1554" s="105"/>
      <c r="BR1554" s="106"/>
      <c r="BS1554" s="106"/>
      <c r="BT1554" s="107"/>
      <c r="BU1554" s="107"/>
      <c r="BV1554" s="107"/>
      <c r="BW1554" s="107"/>
      <c r="BX1554" s="107"/>
      <c r="BY1554" s="107"/>
      <c r="BZ1554" s="107"/>
      <c r="CA1554" s="107"/>
      <c r="CB1554" s="107"/>
      <c r="CC1554" s="107"/>
      <c r="CD1554" s="107"/>
      <c r="CE1554" s="107"/>
      <c r="CF1554" s="107"/>
      <c r="CG1554" s="107"/>
      <c r="CH1554" s="107"/>
      <c r="CI1554" s="107"/>
      <c r="CJ1554" s="107"/>
      <c r="CK1554" s="107"/>
      <c r="CL1554" s="107"/>
      <c r="CM1554" s="107"/>
      <c r="CN1554" s="107"/>
      <c r="CO1554" s="107"/>
      <c r="CP1554" s="107"/>
      <c r="CQ1554" s="107"/>
      <c r="CR1554" s="107"/>
      <c r="CS1554" s="107"/>
      <c r="CT1554" s="107"/>
      <c r="CU1554" s="107"/>
      <c r="CV1554" s="107"/>
    </row>
    <row r="1555" customFormat="false" ht="13.8" hidden="false" customHeight="false" outlineLevel="0" collapsed="false">
      <c r="B1555" s="138"/>
      <c r="C1555" s="128"/>
      <c r="D1555" s="77"/>
      <c r="E1555" s="80"/>
      <c r="F1555" s="122"/>
      <c r="G1555" s="137"/>
      <c r="H1555" s="79" t="str">
        <f aca="false">IFERROR(VLOOKUP(E:E,'Item Data Support Sheet'!A:O,2,0),"")</f>
        <v/>
      </c>
      <c r="I1555" s="80"/>
      <c r="J1555" s="80"/>
      <c r="K1555" s="81"/>
      <c r="L1555" s="124"/>
      <c r="M1555" s="83"/>
      <c r="N1555" s="84" t="n">
        <f aca="false">+O1555+Q1555+T1555+U1555</f>
        <v>0</v>
      </c>
      <c r="O1555" s="85"/>
      <c r="P1555" s="86"/>
      <c r="Q1555" s="86"/>
      <c r="R1555" s="132"/>
      <c r="S1555" s="128"/>
      <c r="T1555" s="132"/>
      <c r="U1555" s="128"/>
      <c r="V1555" s="128"/>
      <c r="W1555" s="90" t="n">
        <f aca="false">IFERROR(O1555/V1555,0)</f>
        <v>0</v>
      </c>
      <c r="X1555" s="91" t="e">
        <f aca="false">O1555/L1555</f>
        <v>#DIV/0!</v>
      </c>
      <c r="Y1555" s="92" t="n">
        <f aca="false">IFERROR(VLOOKUP(E:E,'Item Data Support Sheet'!A:J,6,0),0)</f>
        <v>0</v>
      </c>
      <c r="Z1555" s="93" t="n">
        <f aca="false">IFERROR(VLOOKUP(E:E,'Item Data Support Sheet'!A:O,4,0),0)</f>
        <v>0</v>
      </c>
      <c r="AA1555" s="93" t="n">
        <f aca="false">IFERROR(((N1555)*(Z1555/1000))+P1555,0)</f>
        <v>0</v>
      </c>
      <c r="AB1555" s="94" t="str">
        <f aca="false">IFERROR((O1555*(Z1555/1000)/(AA1555))," ")</f>
        <v> </v>
      </c>
      <c r="AC1555" s="95" t="n">
        <f aca="false">IFERROR((T1555)/((T1555)+O1555),0)</f>
        <v>0</v>
      </c>
      <c r="AD1555" s="96" t="n">
        <f aca="false">IFERROR(Q1555/(Q1555+N1555),0)</f>
        <v>0</v>
      </c>
      <c r="AE1555" s="91" t="e">
        <f aca="false">(N1555-T1555)/N1555</f>
        <v>#DIV/0!</v>
      </c>
      <c r="AF1555" s="97" t="n">
        <f aca="false">BR1555</f>
        <v>0</v>
      </c>
      <c r="AG1555" s="98" t="n">
        <f aca="false">K1555-AF1555</f>
        <v>0</v>
      </c>
      <c r="AH1555" s="99" t="str">
        <f aca="false">IFERROR(AG1555/K1555," ")</f>
        <v> </v>
      </c>
      <c r="AI1555" s="100" t="n">
        <f aca="false">IFERROR(O1555/K1555,0)</f>
        <v>0</v>
      </c>
      <c r="AJ1555" s="101" t="e">
        <f aca="false">VLOOKUP(D1555,'Standard Cycle time'!C:D,2,0)</f>
        <v>#N/A</v>
      </c>
      <c r="AK1555" s="101" t="e">
        <f aca="false">AG1555*V1555*3600/O1555</f>
        <v>#DIV/0!</v>
      </c>
      <c r="AL1555" s="102" t="e">
        <f aca="false">AJ1555/AK1555</f>
        <v>#N/A</v>
      </c>
      <c r="AM1555" s="99" t="e">
        <f aca="false">AE1555*AL1555*AH1555</f>
        <v>#DIV/0!</v>
      </c>
      <c r="AN1555" s="103"/>
      <c r="AO1555" s="112"/>
      <c r="AP1555" s="105"/>
      <c r="AQ1555" s="105"/>
      <c r="AR1555" s="105"/>
      <c r="AS1555" s="105"/>
      <c r="AT1555" s="105"/>
      <c r="AU1555" s="105"/>
      <c r="AV1555" s="105"/>
      <c r="AW1555" s="105"/>
      <c r="AX1555" s="105"/>
      <c r="AY1555" s="105"/>
      <c r="AZ1555" s="105"/>
      <c r="BA1555" s="105"/>
      <c r="BB1555" s="105"/>
      <c r="BC1555" s="105"/>
      <c r="BD1555" s="105"/>
      <c r="BE1555" s="105"/>
      <c r="BF1555" s="105"/>
      <c r="BG1555" s="105"/>
      <c r="BH1555" s="105"/>
      <c r="BI1555" s="105"/>
      <c r="BJ1555" s="105"/>
      <c r="BK1555" s="105"/>
      <c r="BL1555" s="105"/>
      <c r="BM1555" s="105"/>
      <c r="BN1555" s="105"/>
      <c r="BO1555" s="105"/>
      <c r="BP1555" s="105"/>
      <c r="BQ1555" s="105"/>
      <c r="BR1555" s="106"/>
      <c r="BS1555" s="106"/>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c r="CO1555" s="107"/>
      <c r="CP1555" s="107"/>
      <c r="CQ1555" s="107"/>
      <c r="CR1555" s="107"/>
      <c r="CS1555" s="107"/>
      <c r="CT1555" s="107"/>
      <c r="CU1555" s="107"/>
      <c r="CV1555" s="107"/>
    </row>
    <row r="1556" customFormat="false" ht="13.8" hidden="false" customHeight="false" outlineLevel="0" collapsed="false">
      <c r="B1556" s="138"/>
      <c r="C1556" s="128"/>
      <c r="D1556" s="77"/>
      <c r="E1556" s="80"/>
      <c r="F1556" s="122"/>
      <c r="G1556" s="137"/>
      <c r="H1556" s="79" t="str">
        <f aca="false">IFERROR(VLOOKUP(E:E,'Item Data Support Sheet'!A:O,2,0),"")</f>
        <v/>
      </c>
      <c r="I1556" s="80"/>
      <c r="J1556" s="80"/>
      <c r="K1556" s="81"/>
      <c r="L1556" s="124"/>
      <c r="M1556" s="83"/>
      <c r="N1556" s="84" t="n">
        <f aca="false">+O1556+Q1556+T1556+U1556</f>
        <v>0</v>
      </c>
      <c r="O1556" s="85"/>
      <c r="P1556" s="86"/>
      <c r="Q1556" s="86"/>
      <c r="R1556" s="132"/>
      <c r="S1556" s="128"/>
      <c r="T1556" s="132"/>
      <c r="U1556" s="128"/>
      <c r="V1556" s="128"/>
      <c r="W1556" s="90" t="n">
        <f aca="false">IFERROR(O1556/V1556,0)</f>
        <v>0</v>
      </c>
      <c r="X1556" s="91" t="e">
        <f aca="false">O1556/L1556</f>
        <v>#DIV/0!</v>
      </c>
      <c r="Y1556" s="92" t="n">
        <f aca="false">IFERROR(VLOOKUP(E:E,'Item Data Support Sheet'!A:J,6,0),0)</f>
        <v>0</v>
      </c>
      <c r="Z1556" s="93" t="n">
        <f aca="false">IFERROR(VLOOKUP(E:E,'Item Data Support Sheet'!A:O,4,0),0)</f>
        <v>0</v>
      </c>
      <c r="AA1556" s="93" t="n">
        <f aca="false">IFERROR(((N1556)*(Z1556/1000))+P1556,0)</f>
        <v>0</v>
      </c>
      <c r="AB1556" s="94" t="str">
        <f aca="false">IFERROR((O1556*(Z1556/1000)/(AA1556))," ")</f>
        <v> </v>
      </c>
      <c r="AC1556" s="95" t="n">
        <f aca="false">IFERROR((T1556)/((T1556)+O1556),0)</f>
        <v>0</v>
      </c>
      <c r="AD1556" s="96" t="n">
        <f aca="false">IFERROR(Q1556/(Q1556+N1556),0)</f>
        <v>0</v>
      </c>
      <c r="AE1556" s="91" t="e">
        <f aca="false">(N1556-T1556)/N1556</f>
        <v>#DIV/0!</v>
      </c>
      <c r="AF1556" s="97" t="n">
        <f aca="false">BR1556</f>
        <v>0</v>
      </c>
      <c r="AG1556" s="98" t="n">
        <f aca="false">K1556-AF1556</f>
        <v>0</v>
      </c>
      <c r="AH1556" s="99" t="str">
        <f aca="false">IFERROR(AG1556/K1556," ")</f>
        <v> </v>
      </c>
      <c r="AI1556" s="100" t="n">
        <f aca="false">IFERROR(O1556/K1556,0)</f>
        <v>0</v>
      </c>
      <c r="AJ1556" s="101" t="e">
        <f aca="false">VLOOKUP(D1556,'Standard Cycle time'!C:D,2,0)</f>
        <v>#N/A</v>
      </c>
      <c r="AK1556" s="101" t="e">
        <f aca="false">AG1556*V1556*3600/O1556</f>
        <v>#DIV/0!</v>
      </c>
      <c r="AL1556" s="102" t="e">
        <f aca="false">AJ1556/AK1556</f>
        <v>#N/A</v>
      </c>
      <c r="AM1556" s="99" t="e">
        <f aca="false">AE1556*AL1556*AH1556</f>
        <v>#DIV/0!</v>
      </c>
      <c r="AN1556" s="103"/>
      <c r="AO1556" s="112"/>
      <c r="AP1556" s="105"/>
      <c r="AQ1556" s="105"/>
      <c r="AR1556" s="105"/>
      <c r="AS1556" s="105"/>
      <c r="AT1556" s="105"/>
      <c r="AU1556" s="105"/>
      <c r="AV1556" s="105"/>
      <c r="AW1556" s="105"/>
      <c r="AX1556" s="105"/>
      <c r="AY1556" s="105"/>
      <c r="AZ1556" s="105"/>
      <c r="BA1556" s="105"/>
      <c r="BB1556" s="105"/>
      <c r="BC1556" s="105"/>
      <c r="BD1556" s="105"/>
      <c r="BE1556" s="105"/>
      <c r="BF1556" s="105"/>
      <c r="BG1556" s="105"/>
      <c r="BH1556" s="105"/>
      <c r="BI1556" s="105"/>
      <c r="BJ1556" s="105"/>
      <c r="BK1556" s="105"/>
      <c r="BL1556" s="105"/>
      <c r="BM1556" s="105"/>
      <c r="BN1556" s="105"/>
      <c r="BO1556" s="105"/>
      <c r="BP1556" s="105"/>
      <c r="BQ1556" s="105"/>
      <c r="BR1556" s="106"/>
      <c r="BS1556" s="106"/>
      <c r="BT1556" s="107"/>
      <c r="BU1556" s="107"/>
      <c r="BV1556" s="107"/>
      <c r="BW1556" s="107"/>
      <c r="BX1556" s="107"/>
      <c r="BY1556" s="107"/>
      <c r="BZ1556" s="107"/>
      <c r="CA1556" s="107"/>
      <c r="CB1556" s="107"/>
      <c r="CC1556" s="107"/>
      <c r="CD1556" s="107"/>
      <c r="CE1556" s="107"/>
      <c r="CF1556" s="107"/>
      <c r="CG1556" s="107"/>
      <c r="CH1556" s="107"/>
      <c r="CI1556" s="107"/>
      <c r="CJ1556" s="107"/>
      <c r="CK1556" s="107"/>
      <c r="CL1556" s="107"/>
      <c r="CM1556" s="107"/>
      <c r="CN1556" s="107"/>
      <c r="CO1556" s="107"/>
      <c r="CP1556" s="107"/>
      <c r="CQ1556" s="107"/>
      <c r="CR1556" s="107"/>
      <c r="CS1556" s="107"/>
      <c r="CT1556" s="107"/>
      <c r="CU1556" s="107"/>
      <c r="CV1556" s="107"/>
    </row>
    <row r="1557" customFormat="false" ht="13.8" hidden="false" customHeight="false" outlineLevel="0" collapsed="false">
      <c r="B1557" s="138"/>
      <c r="C1557" s="128"/>
      <c r="D1557" s="77"/>
      <c r="E1557" s="80"/>
      <c r="F1557" s="122"/>
      <c r="G1557" s="137"/>
      <c r="H1557" s="79" t="str">
        <f aca="false">IFERROR(VLOOKUP(E:E,'Item Data Support Sheet'!A:O,2,0),"")</f>
        <v/>
      </c>
      <c r="I1557" s="80"/>
      <c r="J1557" s="80"/>
      <c r="K1557" s="81"/>
      <c r="L1557" s="124"/>
      <c r="M1557" s="83"/>
      <c r="N1557" s="84" t="n">
        <f aca="false">+O1557+Q1557+T1557+U1557</f>
        <v>0</v>
      </c>
      <c r="O1557" s="85"/>
      <c r="P1557" s="86"/>
      <c r="Q1557" s="86"/>
      <c r="R1557" s="132"/>
      <c r="S1557" s="128"/>
      <c r="T1557" s="132"/>
      <c r="U1557" s="128"/>
      <c r="V1557" s="128"/>
      <c r="W1557" s="90" t="n">
        <f aca="false">IFERROR(O1557/V1557,0)</f>
        <v>0</v>
      </c>
      <c r="X1557" s="91" t="e">
        <f aca="false">O1557/L1557</f>
        <v>#DIV/0!</v>
      </c>
      <c r="Y1557" s="92" t="n">
        <f aca="false">IFERROR(VLOOKUP(E:E,'Item Data Support Sheet'!A:J,6,0),0)</f>
        <v>0</v>
      </c>
      <c r="Z1557" s="93" t="n">
        <f aca="false">IFERROR(VLOOKUP(E:E,'Item Data Support Sheet'!A:O,4,0),0)</f>
        <v>0</v>
      </c>
      <c r="AA1557" s="93" t="n">
        <f aca="false">IFERROR(((N1557)*(Z1557/1000))+P1557,0)</f>
        <v>0</v>
      </c>
      <c r="AB1557" s="94" t="str">
        <f aca="false">IFERROR((O1557*(Z1557/1000)/(AA1557))," ")</f>
        <v> </v>
      </c>
      <c r="AC1557" s="95" t="n">
        <f aca="false">IFERROR((T1557)/((T1557)+O1557),0)</f>
        <v>0</v>
      </c>
      <c r="AD1557" s="96" t="n">
        <f aca="false">IFERROR(Q1557/(Q1557+N1557),0)</f>
        <v>0</v>
      </c>
      <c r="AE1557" s="91" t="e">
        <f aca="false">(N1557-T1557)/N1557</f>
        <v>#DIV/0!</v>
      </c>
      <c r="AF1557" s="97" t="n">
        <f aca="false">BR1557</f>
        <v>0</v>
      </c>
      <c r="AG1557" s="98" t="n">
        <f aca="false">K1557-AF1557</f>
        <v>0</v>
      </c>
      <c r="AH1557" s="99" t="str">
        <f aca="false">IFERROR(AG1557/K1557," ")</f>
        <v> </v>
      </c>
      <c r="AI1557" s="100" t="n">
        <f aca="false">IFERROR(O1557/K1557,0)</f>
        <v>0</v>
      </c>
      <c r="AJ1557" s="101" t="e">
        <f aca="false">VLOOKUP(D1557,'Standard Cycle time'!C:D,2,0)</f>
        <v>#N/A</v>
      </c>
      <c r="AK1557" s="101" t="e">
        <f aca="false">AG1557*V1557*3600/O1557</f>
        <v>#DIV/0!</v>
      </c>
      <c r="AL1557" s="102" t="e">
        <f aca="false">AJ1557/AK1557</f>
        <v>#N/A</v>
      </c>
      <c r="AM1557" s="99" t="e">
        <f aca="false">AE1557*AL1557*AH1557</f>
        <v>#DIV/0!</v>
      </c>
      <c r="AN1557" s="103"/>
      <c r="AO1557" s="112"/>
      <c r="AP1557" s="105"/>
      <c r="AQ1557" s="105"/>
      <c r="AR1557" s="105"/>
      <c r="AS1557" s="105"/>
      <c r="AT1557" s="105"/>
      <c r="AU1557" s="105"/>
      <c r="AV1557" s="105"/>
      <c r="AW1557" s="105"/>
      <c r="AX1557" s="105"/>
      <c r="AY1557" s="105"/>
      <c r="AZ1557" s="105"/>
      <c r="BA1557" s="105"/>
      <c r="BB1557" s="105"/>
      <c r="BC1557" s="105"/>
      <c r="BD1557" s="105"/>
      <c r="BE1557" s="105"/>
      <c r="BF1557" s="105"/>
      <c r="BG1557" s="105"/>
      <c r="BH1557" s="105"/>
      <c r="BI1557" s="105"/>
      <c r="BJ1557" s="105"/>
      <c r="BK1557" s="105"/>
      <c r="BL1557" s="105"/>
      <c r="BM1557" s="105"/>
      <c r="BN1557" s="105"/>
      <c r="BO1557" s="105"/>
      <c r="BP1557" s="105"/>
      <c r="BQ1557" s="105"/>
      <c r="BR1557" s="106"/>
      <c r="BS1557" s="106"/>
      <c r="BT1557" s="107"/>
      <c r="BU1557" s="107"/>
      <c r="BV1557" s="107"/>
      <c r="BW1557" s="107"/>
      <c r="BX1557" s="107"/>
      <c r="BY1557" s="107"/>
      <c r="BZ1557" s="107"/>
      <c r="CA1557" s="107"/>
      <c r="CB1557" s="107"/>
      <c r="CC1557" s="107"/>
      <c r="CD1557" s="107"/>
      <c r="CE1557" s="107"/>
      <c r="CF1557" s="107"/>
      <c r="CG1557" s="107"/>
      <c r="CH1557" s="107"/>
      <c r="CI1557" s="107"/>
      <c r="CJ1557" s="107"/>
      <c r="CK1557" s="107"/>
      <c r="CL1557" s="107"/>
      <c r="CM1557" s="107"/>
      <c r="CN1557" s="107"/>
      <c r="CO1557" s="107"/>
      <c r="CP1557" s="107"/>
      <c r="CQ1557" s="107"/>
      <c r="CR1557" s="107"/>
      <c r="CS1557" s="107"/>
      <c r="CT1557" s="107"/>
      <c r="CU1557" s="107"/>
      <c r="CV1557" s="107"/>
    </row>
    <row r="1558" customFormat="false" ht="13.8" hidden="false" customHeight="false" outlineLevel="0" collapsed="false">
      <c r="B1558" s="138"/>
      <c r="C1558" s="128"/>
      <c r="D1558" s="77"/>
      <c r="E1558" s="80"/>
      <c r="F1558" s="122"/>
      <c r="G1558" s="137"/>
      <c r="H1558" s="79" t="str">
        <f aca="false">IFERROR(VLOOKUP(E:E,'Item Data Support Sheet'!A:O,2,0),"")</f>
        <v/>
      </c>
      <c r="I1558" s="80"/>
      <c r="J1558" s="80"/>
      <c r="K1558" s="81"/>
      <c r="L1558" s="124"/>
      <c r="M1558" s="83"/>
      <c r="N1558" s="84" t="n">
        <f aca="false">+O1558+Q1558+T1558+U1558</f>
        <v>0</v>
      </c>
      <c r="O1558" s="85"/>
      <c r="P1558" s="86"/>
      <c r="Q1558" s="86"/>
      <c r="R1558" s="132"/>
      <c r="S1558" s="128"/>
      <c r="T1558" s="132"/>
      <c r="U1558" s="128"/>
      <c r="V1558" s="128"/>
      <c r="W1558" s="90" t="n">
        <f aca="false">IFERROR(O1558/V1558,0)</f>
        <v>0</v>
      </c>
      <c r="X1558" s="91" t="e">
        <f aca="false">O1558/L1558</f>
        <v>#DIV/0!</v>
      </c>
      <c r="Y1558" s="92" t="n">
        <f aca="false">IFERROR(VLOOKUP(E:E,'Item Data Support Sheet'!A:J,6,0),0)</f>
        <v>0</v>
      </c>
      <c r="Z1558" s="93" t="n">
        <f aca="false">IFERROR(VLOOKUP(E:E,'Item Data Support Sheet'!A:O,4,0),0)</f>
        <v>0</v>
      </c>
      <c r="AA1558" s="93" t="n">
        <f aca="false">IFERROR(((N1558)*(Z1558/1000))+P1558,0)</f>
        <v>0</v>
      </c>
      <c r="AB1558" s="94" t="str">
        <f aca="false">IFERROR((O1558*(Z1558/1000)/(AA1558))," ")</f>
        <v> </v>
      </c>
      <c r="AC1558" s="95" t="n">
        <f aca="false">IFERROR((T1558)/((T1558)+O1558),0)</f>
        <v>0</v>
      </c>
      <c r="AD1558" s="96" t="n">
        <f aca="false">IFERROR(Q1558/(Q1558+N1558),0)</f>
        <v>0</v>
      </c>
      <c r="AE1558" s="91" t="e">
        <f aca="false">(N1558-T1558)/N1558</f>
        <v>#DIV/0!</v>
      </c>
      <c r="AF1558" s="97" t="n">
        <f aca="false">BR1558</f>
        <v>0</v>
      </c>
      <c r="AG1558" s="98" t="n">
        <f aca="false">K1558-AF1558</f>
        <v>0</v>
      </c>
      <c r="AH1558" s="99" t="str">
        <f aca="false">IFERROR(AG1558/K1558," ")</f>
        <v> </v>
      </c>
      <c r="AI1558" s="100" t="n">
        <f aca="false">IFERROR(O1558/K1558,0)</f>
        <v>0</v>
      </c>
      <c r="AJ1558" s="101" t="e">
        <f aca="false">VLOOKUP(D1558,'Standard Cycle time'!C:D,2,0)</f>
        <v>#N/A</v>
      </c>
      <c r="AK1558" s="101" t="e">
        <f aca="false">AG1558*V1558*3600/O1558</f>
        <v>#DIV/0!</v>
      </c>
      <c r="AL1558" s="102" t="e">
        <f aca="false">AJ1558/AK1558</f>
        <v>#N/A</v>
      </c>
      <c r="AM1558" s="99" t="e">
        <f aca="false">AE1558*AL1558*AH1558</f>
        <v>#DIV/0!</v>
      </c>
      <c r="AN1558" s="103"/>
      <c r="AO1558" s="112"/>
      <c r="AP1558" s="105"/>
      <c r="AQ1558" s="105"/>
      <c r="AR1558" s="105"/>
      <c r="AS1558" s="105"/>
      <c r="AT1558" s="105"/>
      <c r="AU1558" s="105"/>
      <c r="AV1558" s="105"/>
      <c r="AW1558" s="105"/>
      <c r="AX1558" s="105"/>
      <c r="AY1558" s="105"/>
      <c r="AZ1558" s="105"/>
      <c r="BA1558" s="105"/>
      <c r="BB1558" s="105"/>
      <c r="BC1558" s="105"/>
      <c r="BD1558" s="105"/>
      <c r="BE1558" s="105"/>
      <c r="BF1558" s="105"/>
      <c r="BG1558" s="105"/>
      <c r="BH1558" s="105"/>
      <c r="BI1558" s="105"/>
      <c r="BJ1558" s="105"/>
      <c r="BK1558" s="105"/>
      <c r="BL1558" s="105"/>
      <c r="BM1558" s="105"/>
      <c r="BN1558" s="105"/>
      <c r="BO1558" s="105"/>
      <c r="BP1558" s="105"/>
      <c r="BQ1558" s="105"/>
      <c r="BR1558" s="106"/>
      <c r="BS1558" s="106"/>
      <c r="BT1558" s="107"/>
      <c r="BU1558" s="107"/>
      <c r="BV1558" s="107"/>
      <c r="BW1558" s="107"/>
      <c r="BX1558" s="107"/>
      <c r="BY1558" s="107"/>
      <c r="BZ1558" s="107"/>
      <c r="CA1558" s="107"/>
      <c r="CB1558" s="107"/>
      <c r="CC1558" s="107"/>
      <c r="CD1558" s="107"/>
      <c r="CE1558" s="107"/>
      <c r="CF1558" s="107"/>
      <c r="CG1558" s="107"/>
      <c r="CH1558" s="107"/>
      <c r="CI1558" s="107"/>
      <c r="CJ1558" s="107"/>
      <c r="CK1558" s="107"/>
      <c r="CL1558" s="107"/>
      <c r="CM1558" s="107"/>
      <c r="CN1558" s="107"/>
      <c r="CO1558" s="107"/>
      <c r="CP1558" s="107"/>
      <c r="CQ1558" s="107"/>
      <c r="CR1558" s="107"/>
      <c r="CS1558" s="107"/>
      <c r="CT1558" s="107"/>
      <c r="CU1558" s="107"/>
      <c r="CV1558" s="107"/>
    </row>
    <row r="1559" customFormat="false" ht="13.8" hidden="false" customHeight="false" outlineLevel="0" collapsed="false">
      <c r="B1559" s="138"/>
      <c r="C1559" s="128"/>
      <c r="D1559" s="77"/>
      <c r="E1559" s="80"/>
      <c r="F1559" s="122"/>
      <c r="G1559" s="137"/>
      <c r="H1559" s="79" t="str">
        <f aca="false">IFERROR(VLOOKUP(E:E,'Item Data Support Sheet'!A:O,2,0),"")</f>
        <v/>
      </c>
      <c r="I1559" s="80"/>
      <c r="J1559" s="80"/>
      <c r="K1559" s="81"/>
      <c r="L1559" s="124"/>
      <c r="M1559" s="83"/>
      <c r="N1559" s="84" t="n">
        <f aca="false">+O1559+Q1559+T1559+U1559</f>
        <v>0</v>
      </c>
      <c r="O1559" s="85"/>
      <c r="P1559" s="86"/>
      <c r="Q1559" s="86"/>
      <c r="R1559" s="132"/>
      <c r="S1559" s="128"/>
      <c r="T1559" s="132"/>
      <c r="U1559" s="128"/>
      <c r="V1559" s="128"/>
      <c r="W1559" s="90" t="n">
        <f aca="false">IFERROR(O1559/V1559,0)</f>
        <v>0</v>
      </c>
      <c r="X1559" s="91" t="e">
        <f aca="false">O1559/L1559</f>
        <v>#DIV/0!</v>
      </c>
      <c r="Y1559" s="92" t="n">
        <f aca="false">IFERROR(VLOOKUP(E:E,'Item Data Support Sheet'!A:J,6,0),0)</f>
        <v>0</v>
      </c>
      <c r="Z1559" s="93" t="n">
        <f aca="false">IFERROR(VLOOKUP(E:E,'Item Data Support Sheet'!A:O,4,0),0)</f>
        <v>0</v>
      </c>
      <c r="AA1559" s="93" t="n">
        <f aca="false">IFERROR(((N1559)*(Z1559/1000))+P1559,0)</f>
        <v>0</v>
      </c>
      <c r="AB1559" s="94" t="str">
        <f aca="false">IFERROR((O1559*(Z1559/1000)/(AA1559))," ")</f>
        <v> </v>
      </c>
      <c r="AC1559" s="95" t="n">
        <f aca="false">IFERROR((T1559)/((T1559)+O1559),0)</f>
        <v>0</v>
      </c>
      <c r="AD1559" s="96" t="n">
        <f aca="false">IFERROR(Q1559/(Q1559+N1559),0)</f>
        <v>0</v>
      </c>
      <c r="AE1559" s="91" t="e">
        <f aca="false">(N1559-T1559)/N1559</f>
        <v>#DIV/0!</v>
      </c>
      <c r="AF1559" s="97" t="n">
        <f aca="false">BR1559</f>
        <v>0</v>
      </c>
      <c r="AG1559" s="98" t="n">
        <f aca="false">K1559-AF1559</f>
        <v>0</v>
      </c>
      <c r="AH1559" s="99" t="str">
        <f aca="false">IFERROR(AG1559/K1559," ")</f>
        <v> </v>
      </c>
      <c r="AI1559" s="100" t="n">
        <f aca="false">IFERROR(O1559/K1559,0)</f>
        <v>0</v>
      </c>
      <c r="AJ1559" s="101" t="e">
        <f aca="false">VLOOKUP(D1559,'Standard Cycle time'!C:D,2,0)</f>
        <v>#N/A</v>
      </c>
      <c r="AK1559" s="101" t="e">
        <f aca="false">AG1559*V1559*3600/O1559</f>
        <v>#DIV/0!</v>
      </c>
      <c r="AL1559" s="102" t="e">
        <f aca="false">AJ1559/AK1559</f>
        <v>#N/A</v>
      </c>
      <c r="AM1559" s="99" t="e">
        <f aca="false">AE1559*AL1559*AH1559</f>
        <v>#DIV/0!</v>
      </c>
      <c r="AN1559" s="103"/>
      <c r="AO1559" s="112"/>
      <c r="AP1559" s="105"/>
      <c r="AQ1559" s="105"/>
      <c r="AR1559" s="105"/>
      <c r="AS1559" s="105"/>
      <c r="AT1559" s="105"/>
      <c r="AU1559" s="105"/>
      <c r="AV1559" s="105"/>
      <c r="AW1559" s="105"/>
      <c r="AX1559" s="105"/>
      <c r="AY1559" s="105"/>
      <c r="AZ1559" s="105"/>
      <c r="BA1559" s="105"/>
      <c r="BB1559" s="105"/>
      <c r="BC1559" s="105"/>
      <c r="BD1559" s="105"/>
      <c r="BE1559" s="105"/>
      <c r="BF1559" s="105"/>
      <c r="BG1559" s="105"/>
      <c r="BH1559" s="105"/>
      <c r="BI1559" s="105"/>
      <c r="BJ1559" s="105"/>
      <c r="BK1559" s="105"/>
      <c r="BL1559" s="105"/>
      <c r="BM1559" s="105"/>
      <c r="BN1559" s="105"/>
      <c r="BO1559" s="105"/>
      <c r="BP1559" s="105"/>
      <c r="BQ1559" s="105"/>
      <c r="BR1559" s="106"/>
      <c r="BS1559" s="106"/>
      <c r="BT1559" s="107"/>
      <c r="BU1559" s="107"/>
      <c r="BV1559" s="107"/>
      <c r="BW1559" s="107"/>
      <c r="BX1559" s="107"/>
      <c r="BY1559" s="107"/>
      <c r="BZ1559" s="107"/>
      <c r="CA1559" s="107"/>
      <c r="CB1559" s="107"/>
      <c r="CC1559" s="107"/>
      <c r="CD1559" s="107"/>
      <c r="CE1559" s="107"/>
      <c r="CF1559" s="107"/>
      <c r="CG1559" s="107"/>
      <c r="CH1559" s="107"/>
      <c r="CI1559" s="107"/>
      <c r="CJ1559" s="107"/>
      <c r="CK1559" s="107"/>
      <c r="CL1559" s="107"/>
      <c r="CM1559" s="107"/>
      <c r="CN1559" s="107"/>
      <c r="CO1559" s="107"/>
      <c r="CP1559" s="107"/>
      <c r="CQ1559" s="107"/>
      <c r="CR1559" s="107"/>
      <c r="CS1559" s="107"/>
      <c r="CT1559" s="107"/>
      <c r="CU1559" s="107"/>
      <c r="CV1559" s="107"/>
    </row>
    <row r="1560" customFormat="false" ht="13.8" hidden="false" customHeight="false" outlineLevel="0" collapsed="false">
      <c r="B1560" s="138"/>
      <c r="C1560" s="128"/>
      <c r="D1560" s="77"/>
      <c r="E1560" s="80"/>
      <c r="F1560" s="122"/>
      <c r="G1560" s="137"/>
      <c r="H1560" s="79" t="str">
        <f aca="false">IFERROR(VLOOKUP(E:E,'Item Data Support Sheet'!A:O,2,0),"")</f>
        <v/>
      </c>
      <c r="I1560" s="80"/>
      <c r="J1560" s="80"/>
      <c r="K1560" s="81"/>
      <c r="L1560" s="124"/>
      <c r="M1560" s="83"/>
      <c r="N1560" s="84" t="n">
        <f aca="false">+O1560+Q1560+T1560+U1560</f>
        <v>0</v>
      </c>
      <c r="O1560" s="85"/>
      <c r="P1560" s="86"/>
      <c r="Q1560" s="86"/>
      <c r="R1560" s="132"/>
      <c r="S1560" s="128"/>
      <c r="T1560" s="132"/>
      <c r="U1560" s="128"/>
      <c r="V1560" s="128"/>
      <c r="W1560" s="90" t="n">
        <f aca="false">IFERROR(O1560/V1560,0)</f>
        <v>0</v>
      </c>
      <c r="X1560" s="91" t="e">
        <f aca="false">O1560/L1560</f>
        <v>#DIV/0!</v>
      </c>
      <c r="Y1560" s="92" t="n">
        <f aca="false">IFERROR(VLOOKUP(E:E,'Item Data Support Sheet'!A:J,6,0),0)</f>
        <v>0</v>
      </c>
      <c r="Z1560" s="93" t="n">
        <f aca="false">IFERROR(VLOOKUP(E:E,'Item Data Support Sheet'!A:O,4,0),0)</f>
        <v>0</v>
      </c>
      <c r="AA1560" s="93" t="n">
        <f aca="false">IFERROR(((N1560)*(Z1560/1000))+P1560,0)</f>
        <v>0</v>
      </c>
      <c r="AB1560" s="94" t="str">
        <f aca="false">IFERROR((O1560*(Z1560/1000)/(AA1560))," ")</f>
        <v> </v>
      </c>
      <c r="AC1560" s="95" t="n">
        <f aca="false">IFERROR((T1560)/((T1560)+O1560),0)</f>
        <v>0</v>
      </c>
      <c r="AD1560" s="96" t="n">
        <f aca="false">IFERROR(Q1560/(Q1560+N1560),0)</f>
        <v>0</v>
      </c>
      <c r="AE1560" s="91" t="e">
        <f aca="false">(N1560-T1560)/N1560</f>
        <v>#DIV/0!</v>
      </c>
      <c r="AF1560" s="97" t="n">
        <f aca="false">BR1560</f>
        <v>0</v>
      </c>
      <c r="AG1560" s="98" t="n">
        <f aca="false">K1560-AF1560</f>
        <v>0</v>
      </c>
      <c r="AH1560" s="99" t="str">
        <f aca="false">IFERROR(AG1560/K1560," ")</f>
        <v> </v>
      </c>
      <c r="AI1560" s="100" t="n">
        <f aca="false">IFERROR(O1560/K1560,0)</f>
        <v>0</v>
      </c>
      <c r="AJ1560" s="101" t="e">
        <f aca="false">VLOOKUP(D1560,'Standard Cycle time'!C:D,2,0)</f>
        <v>#N/A</v>
      </c>
      <c r="AK1560" s="101" t="e">
        <f aca="false">AG1560*V1560*3600/O1560</f>
        <v>#DIV/0!</v>
      </c>
      <c r="AL1560" s="102" t="e">
        <f aca="false">AJ1560/AK1560</f>
        <v>#N/A</v>
      </c>
      <c r="AM1560" s="99" t="e">
        <f aca="false">AE1560*AL1560*AH1560</f>
        <v>#DIV/0!</v>
      </c>
      <c r="AN1560" s="103"/>
      <c r="AO1560" s="112"/>
      <c r="AP1560" s="105"/>
      <c r="AQ1560" s="105"/>
      <c r="AR1560" s="105"/>
      <c r="AS1560" s="105"/>
      <c r="AT1560" s="105"/>
      <c r="AU1560" s="105"/>
      <c r="AV1560" s="105"/>
      <c r="AW1560" s="105"/>
      <c r="AX1560" s="105"/>
      <c r="AY1560" s="105"/>
      <c r="AZ1560" s="105"/>
      <c r="BA1560" s="105"/>
      <c r="BB1560" s="105"/>
      <c r="BC1560" s="105"/>
      <c r="BD1560" s="105"/>
      <c r="BE1560" s="105"/>
      <c r="BF1560" s="105"/>
      <c r="BG1560" s="105"/>
      <c r="BH1560" s="105"/>
      <c r="BI1560" s="105"/>
      <c r="BJ1560" s="105"/>
      <c r="BK1560" s="105"/>
      <c r="BL1560" s="105"/>
      <c r="BM1560" s="105"/>
      <c r="BN1560" s="105"/>
      <c r="BO1560" s="105"/>
      <c r="BP1560" s="105"/>
      <c r="BQ1560" s="105"/>
      <c r="BR1560" s="106"/>
      <c r="BS1560" s="106"/>
      <c r="BT1560" s="107"/>
      <c r="BU1560" s="107"/>
      <c r="BV1560" s="107"/>
      <c r="BW1560" s="107"/>
      <c r="BX1560" s="107"/>
      <c r="BY1560" s="107"/>
      <c r="BZ1560" s="107"/>
      <c r="CA1560" s="107"/>
      <c r="CB1560" s="107"/>
      <c r="CC1560" s="107"/>
      <c r="CD1560" s="107"/>
      <c r="CE1560" s="107"/>
      <c r="CF1560" s="107"/>
      <c r="CG1560" s="107"/>
      <c r="CH1560" s="107"/>
      <c r="CI1560" s="107"/>
      <c r="CJ1560" s="107"/>
      <c r="CK1560" s="107"/>
      <c r="CL1560" s="107"/>
      <c r="CM1560" s="107"/>
      <c r="CN1560" s="107"/>
      <c r="CO1560" s="107"/>
      <c r="CP1560" s="107"/>
      <c r="CQ1560" s="107"/>
      <c r="CR1560" s="107"/>
      <c r="CS1560" s="107"/>
      <c r="CT1560" s="107"/>
      <c r="CU1560" s="107"/>
      <c r="CV1560" s="107"/>
    </row>
    <row r="1561" customFormat="false" ht="13.8" hidden="false" customHeight="false" outlineLevel="0" collapsed="false">
      <c r="B1561" s="138"/>
      <c r="C1561" s="128"/>
      <c r="D1561" s="77"/>
      <c r="E1561" s="80"/>
      <c r="F1561" s="122"/>
      <c r="G1561" s="137"/>
      <c r="H1561" s="79" t="str">
        <f aca="false">IFERROR(VLOOKUP(E:E,'Item Data Support Sheet'!A:O,2,0),"")</f>
        <v/>
      </c>
      <c r="I1561" s="80"/>
      <c r="J1561" s="80"/>
      <c r="K1561" s="81"/>
      <c r="L1561" s="124"/>
      <c r="M1561" s="83"/>
      <c r="N1561" s="84" t="n">
        <f aca="false">+O1561+Q1561+T1561+U1561</f>
        <v>0</v>
      </c>
      <c r="O1561" s="85"/>
      <c r="P1561" s="86"/>
      <c r="Q1561" s="86"/>
      <c r="R1561" s="132"/>
      <c r="S1561" s="128"/>
      <c r="T1561" s="132"/>
      <c r="U1561" s="128"/>
      <c r="V1561" s="128"/>
      <c r="W1561" s="90" t="n">
        <f aca="false">IFERROR(O1561/V1561,0)</f>
        <v>0</v>
      </c>
      <c r="X1561" s="91" t="e">
        <f aca="false">O1561/L1561</f>
        <v>#DIV/0!</v>
      </c>
      <c r="Y1561" s="92" t="n">
        <f aca="false">IFERROR(VLOOKUP(E:E,'Item Data Support Sheet'!A:J,6,0),0)</f>
        <v>0</v>
      </c>
      <c r="Z1561" s="93" t="n">
        <f aca="false">IFERROR(VLOOKUP(E:E,'Item Data Support Sheet'!A:O,4,0),0)</f>
        <v>0</v>
      </c>
      <c r="AA1561" s="93" t="n">
        <f aca="false">IFERROR(((N1561)*(Z1561/1000))+P1561,0)</f>
        <v>0</v>
      </c>
      <c r="AB1561" s="94" t="str">
        <f aca="false">IFERROR((O1561*(Z1561/1000)/(AA1561))," ")</f>
        <v> </v>
      </c>
      <c r="AC1561" s="95" t="n">
        <f aca="false">IFERROR((T1561)/((T1561)+O1561),0)</f>
        <v>0</v>
      </c>
      <c r="AD1561" s="96" t="n">
        <f aca="false">IFERROR(Q1561/(Q1561+N1561),0)</f>
        <v>0</v>
      </c>
      <c r="AE1561" s="91" t="e">
        <f aca="false">(N1561-T1561)/N1561</f>
        <v>#DIV/0!</v>
      </c>
      <c r="AF1561" s="97" t="n">
        <f aca="false">BR1561</f>
        <v>0</v>
      </c>
      <c r="AG1561" s="98" t="n">
        <f aca="false">K1561-AF1561</f>
        <v>0</v>
      </c>
      <c r="AH1561" s="99" t="str">
        <f aca="false">IFERROR(AG1561/K1561," ")</f>
        <v> </v>
      </c>
      <c r="AI1561" s="100" t="n">
        <f aca="false">IFERROR(O1561/K1561,0)</f>
        <v>0</v>
      </c>
      <c r="AJ1561" s="101" t="e">
        <f aca="false">VLOOKUP(D1561,'Standard Cycle time'!C:D,2,0)</f>
        <v>#N/A</v>
      </c>
      <c r="AK1561" s="101" t="e">
        <f aca="false">AG1561*V1561*3600/O1561</f>
        <v>#DIV/0!</v>
      </c>
      <c r="AL1561" s="102" t="e">
        <f aca="false">AJ1561/AK1561</f>
        <v>#N/A</v>
      </c>
      <c r="AM1561" s="99" t="e">
        <f aca="false">AE1561*AL1561*AH1561</f>
        <v>#DIV/0!</v>
      </c>
      <c r="AN1561" s="103"/>
      <c r="AO1561" s="112"/>
      <c r="AP1561" s="105"/>
      <c r="AQ1561" s="105"/>
      <c r="AR1561" s="105"/>
      <c r="AS1561" s="105"/>
      <c r="AT1561" s="105"/>
      <c r="AU1561" s="105"/>
      <c r="AV1561" s="105"/>
      <c r="AW1561" s="105"/>
      <c r="AX1561" s="105"/>
      <c r="AY1561" s="105"/>
      <c r="AZ1561" s="105"/>
      <c r="BA1561" s="105"/>
      <c r="BB1561" s="105"/>
      <c r="BC1561" s="105"/>
      <c r="BD1561" s="105"/>
      <c r="BE1561" s="105"/>
      <c r="BF1561" s="105"/>
      <c r="BG1561" s="105"/>
      <c r="BH1561" s="105"/>
      <c r="BI1561" s="105"/>
      <c r="BJ1561" s="105"/>
      <c r="BK1561" s="105"/>
      <c r="BL1561" s="105"/>
      <c r="BM1561" s="105"/>
      <c r="BN1561" s="105"/>
      <c r="BO1561" s="105"/>
      <c r="BP1561" s="105"/>
      <c r="BQ1561" s="105"/>
      <c r="BR1561" s="106"/>
      <c r="BS1561" s="106"/>
      <c r="BT1561" s="107"/>
      <c r="BU1561" s="107"/>
      <c r="BV1561" s="107"/>
      <c r="BW1561" s="107"/>
      <c r="BX1561" s="107"/>
      <c r="BY1561" s="107"/>
      <c r="BZ1561" s="107"/>
      <c r="CA1561" s="107"/>
      <c r="CB1561" s="107"/>
      <c r="CC1561" s="107"/>
      <c r="CD1561" s="107"/>
      <c r="CE1561" s="107"/>
      <c r="CF1561" s="107"/>
      <c r="CG1561" s="107"/>
      <c r="CH1561" s="107"/>
      <c r="CI1561" s="107"/>
      <c r="CJ1561" s="107"/>
      <c r="CK1561" s="107"/>
      <c r="CL1561" s="107"/>
      <c r="CM1561" s="107"/>
      <c r="CN1561" s="107"/>
      <c r="CO1561" s="107"/>
      <c r="CP1561" s="107"/>
      <c r="CQ1561" s="107"/>
      <c r="CR1561" s="107"/>
      <c r="CS1561" s="107"/>
      <c r="CT1561" s="107"/>
      <c r="CU1561" s="107"/>
      <c r="CV1561" s="107"/>
    </row>
    <row r="1562" customFormat="false" ht="13.8" hidden="false" customHeight="false" outlineLevel="0" collapsed="false">
      <c r="B1562" s="138"/>
      <c r="C1562" s="128"/>
      <c r="D1562" s="77"/>
      <c r="E1562" s="80"/>
      <c r="F1562" s="122"/>
      <c r="G1562" s="137"/>
      <c r="H1562" s="79" t="str">
        <f aca="false">IFERROR(VLOOKUP(E:E,'Item Data Support Sheet'!A:O,2,0),"")</f>
        <v/>
      </c>
      <c r="I1562" s="80"/>
      <c r="J1562" s="80"/>
      <c r="K1562" s="81"/>
      <c r="L1562" s="124"/>
      <c r="M1562" s="83"/>
      <c r="N1562" s="84" t="n">
        <f aca="false">+O1562+Q1562+T1562+U1562</f>
        <v>0</v>
      </c>
      <c r="O1562" s="85"/>
      <c r="P1562" s="86"/>
      <c r="Q1562" s="86"/>
      <c r="R1562" s="132"/>
      <c r="S1562" s="128"/>
      <c r="T1562" s="132"/>
      <c r="U1562" s="128"/>
      <c r="V1562" s="128"/>
      <c r="W1562" s="90" t="n">
        <f aca="false">IFERROR(O1562/V1562,0)</f>
        <v>0</v>
      </c>
      <c r="X1562" s="91" t="e">
        <f aca="false">O1562/L1562</f>
        <v>#DIV/0!</v>
      </c>
      <c r="Y1562" s="92" t="n">
        <f aca="false">IFERROR(VLOOKUP(E:E,'Item Data Support Sheet'!A:J,6,0),0)</f>
        <v>0</v>
      </c>
      <c r="Z1562" s="93" t="n">
        <f aca="false">IFERROR(VLOOKUP(E:E,'Item Data Support Sheet'!A:O,4,0),0)</f>
        <v>0</v>
      </c>
      <c r="AA1562" s="93" t="n">
        <f aca="false">IFERROR(((N1562)*(Z1562/1000))+P1562,0)</f>
        <v>0</v>
      </c>
      <c r="AB1562" s="94" t="str">
        <f aca="false">IFERROR((O1562*(Z1562/1000)/(AA1562))," ")</f>
        <v> </v>
      </c>
      <c r="AC1562" s="95" t="n">
        <f aca="false">IFERROR((T1562)/((T1562)+O1562),0)</f>
        <v>0</v>
      </c>
      <c r="AD1562" s="96" t="n">
        <f aca="false">IFERROR(Q1562/(Q1562+N1562),0)</f>
        <v>0</v>
      </c>
      <c r="AE1562" s="91" t="e">
        <f aca="false">(N1562-T1562)/N1562</f>
        <v>#DIV/0!</v>
      </c>
      <c r="AF1562" s="97" t="n">
        <f aca="false">BR1562</f>
        <v>0</v>
      </c>
      <c r="AG1562" s="98" t="n">
        <f aca="false">K1562-AF1562</f>
        <v>0</v>
      </c>
      <c r="AH1562" s="99" t="str">
        <f aca="false">IFERROR(AG1562/K1562," ")</f>
        <v> </v>
      </c>
      <c r="AI1562" s="100" t="n">
        <f aca="false">IFERROR(O1562/K1562,0)</f>
        <v>0</v>
      </c>
      <c r="AJ1562" s="101" t="e">
        <f aca="false">VLOOKUP(D1562,'Standard Cycle time'!C:D,2,0)</f>
        <v>#N/A</v>
      </c>
      <c r="AK1562" s="101" t="e">
        <f aca="false">AG1562*V1562*3600/O1562</f>
        <v>#DIV/0!</v>
      </c>
      <c r="AL1562" s="102" t="e">
        <f aca="false">AJ1562/AK1562</f>
        <v>#N/A</v>
      </c>
      <c r="AM1562" s="99" t="e">
        <f aca="false">AE1562*AL1562*AH1562</f>
        <v>#DIV/0!</v>
      </c>
      <c r="AN1562" s="103"/>
      <c r="AO1562" s="112"/>
      <c r="AP1562" s="105"/>
      <c r="AQ1562" s="105"/>
      <c r="AR1562" s="105"/>
      <c r="AS1562" s="105"/>
      <c r="AT1562" s="105"/>
      <c r="AU1562" s="105"/>
      <c r="AV1562" s="105"/>
      <c r="AW1562" s="105"/>
      <c r="AX1562" s="105"/>
      <c r="AY1562" s="105"/>
      <c r="AZ1562" s="105"/>
      <c r="BA1562" s="105"/>
      <c r="BB1562" s="105"/>
      <c r="BC1562" s="105"/>
      <c r="BD1562" s="105"/>
      <c r="BE1562" s="105"/>
      <c r="BF1562" s="105"/>
      <c r="BG1562" s="105"/>
      <c r="BH1562" s="105"/>
      <c r="BI1562" s="105"/>
      <c r="BJ1562" s="105"/>
      <c r="BK1562" s="105"/>
      <c r="BL1562" s="105"/>
      <c r="BM1562" s="105"/>
      <c r="BN1562" s="105"/>
      <c r="BO1562" s="105"/>
      <c r="BP1562" s="105"/>
      <c r="BQ1562" s="105"/>
      <c r="BR1562" s="106"/>
      <c r="BS1562" s="106"/>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c r="CO1562" s="107"/>
      <c r="CP1562" s="107"/>
      <c r="CQ1562" s="107"/>
      <c r="CR1562" s="107"/>
      <c r="CS1562" s="107"/>
      <c r="CT1562" s="107"/>
      <c r="CU1562" s="107"/>
      <c r="CV1562" s="107"/>
    </row>
    <row r="1563" customFormat="false" ht="13.8" hidden="false" customHeight="false" outlineLevel="0" collapsed="false">
      <c r="B1563" s="138"/>
      <c r="C1563" s="128"/>
      <c r="D1563" s="77"/>
      <c r="E1563" s="80"/>
      <c r="F1563" s="122"/>
      <c r="G1563" s="137"/>
      <c r="H1563" s="79" t="str">
        <f aca="false">IFERROR(VLOOKUP(E:E,'Item Data Support Sheet'!A:O,2,0),"")</f>
        <v/>
      </c>
      <c r="I1563" s="80"/>
      <c r="J1563" s="80"/>
      <c r="K1563" s="81"/>
      <c r="L1563" s="124"/>
      <c r="M1563" s="83"/>
      <c r="N1563" s="84" t="n">
        <f aca="false">+O1563+Q1563+T1563+U1563</f>
        <v>0</v>
      </c>
      <c r="O1563" s="85"/>
      <c r="P1563" s="86"/>
      <c r="Q1563" s="86"/>
      <c r="R1563" s="132"/>
      <c r="S1563" s="128"/>
      <c r="T1563" s="132"/>
      <c r="U1563" s="128"/>
      <c r="V1563" s="128"/>
      <c r="W1563" s="90" t="n">
        <f aca="false">IFERROR(O1563/V1563,0)</f>
        <v>0</v>
      </c>
      <c r="X1563" s="91" t="e">
        <f aca="false">O1563/L1563</f>
        <v>#DIV/0!</v>
      </c>
      <c r="Y1563" s="92" t="n">
        <f aca="false">IFERROR(VLOOKUP(E:E,'Item Data Support Sheet'!A:J,6,0),0)</f>
        <v>0</v>
      </c>
      <c r="Z1563" s="93" t="n">
        <f aca="false">IFERROR(VLOOKUP(E:E,'Item Data Support Sheet'!A:O,4,0),0)</f>
        <v>0</v>
      </c>
      <c r="AA1563" s="93" t="n">
        <f aca="false">IFERROR(((N1563)*(Z1563/1000))+P1563,0)</f>
        <v>0</v>
      </c>
      <c r="AB1563" s="94" t="str">
        <f aca="false">IFERROR((O1563*(Z1563/1000)/(AA1563))," ")</f>
        <v> </v>
      </c>
      <c r="AC1563" s="95" t="n">
        <f aca="false">IFERROR((T1563)/((T1563)+O1563),0)</f>
        <v>0</v>
      </c>
      <c r="AD1563" s="96" t="n">
        <f aca="false">IFERROR(Q1563/(Q1563+N1563),0)</f>
        <v>0</v>
      </c>
      <c r="AE1563" s="91" t="e">
        <f aca="false">(N1563-T1563)/N1563</f>
        <v>#DIV/0!</v>
      </c>
      <c r="AF1563" s="97" t="n">
        <f aca="false">BR1563</f>
        <v>0</v>
      </c>
      <c r="AG1563" s="98" t="n">
        <f aca="false">K1563-AF1563</f>
        <v>0</v>
      </c>
      <c r="AH1563" s="99" t="str">
        <f aca="false">IFERROR(AG1563/K1563," ")</f>
        <v> </v>
      </c>
      <c r="AI1563" s="100" t="n">
        <f aca="false">IFERROR(O1563/K1563,0)</f>
        <v>0</v>
      </c>
      <c r="AJ1563" s="101" t="e">
        <f aca="false">VLOOKUP(D1563,'Standard Cycle time'!C:D,2,0)</f>
        <v>#N/A</v>
      </c>
      <c r="AK1563" s="101" t="e">
        <f aca="false">AG1563*V1563*3600/O1563</f>
        <v>#DIV/0!</v>
      </c>
      <c r="AL1563" s="102" t="e">
        <f aca="false">AJ1563/AK1563</f>
        <v>#N/A</v>
      </c>
      <c r="AM1563" s="99" t="e">
        <f aca="false">AE1563*AL1563*AH1563</f>
        <v>#DIV/0!</v>
      </c>
      <c r="AN1563" s="103"/>
      <c r="AO1563" s="112"/>
      <c r="AP1563" s="105"/>
      <c r="AQ1563" s="105"/>
      <c r="AR1563" s="105"/>
      <c r="AS1563" s="105"/>
      <c r="AT1563" s="105"/>
      <c r="AU1563" s="105"/>
      <c r="AV1563" s="105"/>
      <c r="AW1563" s="105"/>
      <c r="AX1563" s="105"/>
      <c r="AY1563" s="105"/>
      <c r="AZ1563" s="105"/>
      <c r="BA1563" s="105"/>
      <c r="BB1563" s="105"/>
      <c r="BC1563" s="105"/>
      <c r="BD1563" s="105"/>
      <c r="BE1563" s="105"/>
      <c r="BF1563" s="105"/>
      <c r="BG1563" s="105"/>
      <c r="BH1563" s="105"/>
      <c r="BI1563" s="105"/>
      <c r="BJ1563" s="105"/>
      <c r="BK1563" s="105"/>
      <c r="BL1563" s="105"/>
      <c r="BM1563" s="105"/>
      <c r="BN1563" s="105"/>
      <c r="BO1563" s="105"/>
      <c r="BP1563" s="105"/>
      <c r="BQ1563" s="105"/>
      <c r="BR1563" s="106"/>
      <c r="BS1563" s="106"/>
      <c r="BT1563" s="107"/>
      <c r="BU1563" s="107"/>
      <c r="BV1563" s="107"/>
      <c r="BW1563" s="107"/>
      <c r="BX1563" s="107"/>
      <c r="BY1563" s="107"/>
      <c r="BZ1563" s="107"/>
      <c r="CA1563" s="107"/>
      <c r="CB1563" s="107"/>
      <c r="CC1563" s="107"/>
      <c r="CD1563" s="107"/>
      <c r="CE1563" s="107"/>
      <c r="CF1563" s="107"/>
      <c r="CG1563" s="107"/>
      <c r="CH1563" s="107"/>
      <c r="CI1563" s="107"/>
      <c r="CJ1563" s="107"/>
      <c r="CK1563" s="107"/>
      <c r="CL1563" s="107"/>
      <c r="CM1563" s="107"/>
      <c r="CN1563" s="107"/>
      <c r="CO1563" s="107"/>
      <c r="CP1563" s="107"/>
      <c r="CQ1563" s="107"/>
      <c r="CR1563" s="107"/>
      <c r="CS1563" s="107"/>
      <c r="CT1563" s="107"/>
      <c r="CU1563" s="107"/>
      <c r="CV1563" s="107"/>
    </row>
    <row r="1564" customFormat="false" ht="13.8" hidden="false" customHeight="false" outlineLevel="0" collapsed="false">
      <c r="B1564" s="138"/>
      <c r="C1564" s="128"/>
      <c r="D1564" s="77"/>
      <c r="E1564" s="80"/>
      <c r="F1564" s="122"/>
      <c r="G1564" s="137"/>
      <c r="H1564" s="79" t="str">
        <f aca="false">IFERROR(VLOOKUP(E:E,'Item Data Support Sheet'!A:O,2,0),"")</f>
        <v/>
      </c>
      <c r="I1564" s="80"/>
      <c r="J1564" s="80"/>
      <c r="K1564" s="81"/>
      <c r="L1564" s="124"/>
      <c r="M1564" s="83"/>
      <c r="N1564" s="84" t="n">
        <f aca="false">+O1564+Q1564+T1564+U1564</f>
        <v>0</v>
      </c>
      <c r="O1564" s="85"/>
      <c r="P1564" s="86"/>
      <c r="Q1564" s="86"/>
      <c r="R1564" s="132"/>
      <c r="S1564" s="128"/>
      <c r="T1564" s="132"/>
      <c r="U1564" s="128"/>
      <c r="V1564" s="128"/>
      <c r="W1564" s="90" t="n">
        <f aca="false">IFERROR(O1564/V1564,0)</f>
        <v>0</v>
      </c>
      <c r="X1564" s="91" t="e">
        <f aca="false">O1564/L1564</f>
        <v>#DIV/0!</v>
      </c>
      <c r="Y1564" s="92" t="n">
        <f aca="false">IFERROR(VLOOKUP(E:E,'Item Data Support Sheet'!A:J,6,0),0)</f>
        <v>0</v>
      </c>
      <c r="Z1564" s="93" t="n">
        <f aca="false">IFERROR(VLOOKUP(E:E,'Item Data Support Sheet'!A:O,4,0),0)</f>
        <v>0</v>
      </c>
      <c r="AA1564" s="93" t="n">
        <f aca="false">IFERROR(((N1564)*(Z1564/1000))+P1564,0)</f>
        <v>0</v>
      </c>
      <c r="AB1564" s="94" t="str">
        <f aca="false">IFERROR((O1564*(Z1564/1000)/(AA1564))," ")</f>
        <v> </v>
      </c>
      <c r="AC1564" s="95" t="n">
        <f aca="false">IFERROR((T1564)/((T1564)+O1564),0)</f>
        <v>0</v>
      </c>
      <c r="AD1564" s="96" t="n">
        <f aca="false">IFERROR(Q1564/(Q1564+N1564),0)</f>
        <v>0</v>
      </c>
      <c r="AE1564" s="91" t="e">
        <f aca="false">(N1564-T1564)/N1564</f>
        <v>#DIV/0!</v>
      </c>
      <c r="AF1564" s="97" t="n">
        <f aca="false">BR1564</f>
        <v>0</v>
      </c>
      <c r="AG1564" s="98" t="n">
        <f aca="false">K1564-AF1564</f>
        <v>0</v>
      </c>
      <c r="AH1564" s="99" t="str">
        <f aca="false">IFERROR(AG1564/K1564," ")</f>
        <v> </v>
      </c>
      <c r="AI1564" s="100" t="n">
        <f aca="false">IFERROR(O1564/K1564,0)</f>
        <v>0</v>
      </c>
      <c r="AJ1564" s="101" t="e">
        <f aca="false">VLOOKUP(D1564,'Standard Cycle time'!C:D,2,0)</f>
        <v>#N/A</v>
      </c>
      <c r="AK1564" s="101" t="e">
        <f aca="false">AG1564*V1564*3600/O1564</f>
        <v>#DIV/0!</v>
      </c>
      <c r="AL1564" s="102" t="e">
        <f aca="false">AJ1564/AK1564</f>
        <v>#N/A</v>
      </c>
      <c r="AM1564" s="99" t="e">
        <f aca="false">AE1564*AL1564*AH1564</f>
        <v>#DIV/0!</v>
      </c>
      <c r="AN1564" s="103"/>
      <c r="AO1564" s="112"/>
      <c r="AP1564" s="105"/>
      <c r="AQ1564" s="105"/>
      <c r="AR1564" s="105"/>
      <c r="AS1564" s="105"/>
      <c r="AT1564" s="105"/>
      <c r="AU1564" s="105"/>
      <c r="AV1564" s="105"/>
      <c r="AW1564" s="105"/>
      <c r="AX1564" s="105"/>
      <c r="AY1564" s="105"/>
      <c r="AZ1564" s="105"/>
      <c r="BA1564" s="105"/>
      <c r="BB1564" s="105"/>
      <c r="BC1564" s="105"/>
      <c r="BD1564" s="105"/>
      <c r="BE1564" s="105"/>
      <c r="BF1564" s="105"/>
      <c r="BG1564" s="105"/>
      <c r="BH1564" s="105"/>
      <c r="BI1564" s="105"/>
      <c r="BJ1564" s="105"/>
      <c r="BK1564" s="105"/>
      <c r="BL1564" s="105"/>
      <c r="BM1564" s="105"/>
      <c r="BN1564" s="105"/>
      <c r="BO1564" s="105"/>
      <c r="BP1564" s="105"/>
      <c r="BQ1564" s="105"/>
      <c r="BR1564" s="106"/>
      <c r="BS1564" s="106"/>
      <c r="BT1564" s="107"/>
      <c r="BU1564" s="107"/>
      <c r="BV1564" s="107"/>
      <c r="BW1564" s="107"/>
      <c r="BX1564" s="107"/>
      <c r="BY1564" s="107"/>
      <c r="BZ1564" s="107"/>
      <c r="CA1564" s="107"/>
      <c r="CB1564" s="107"/>
      <c r="CC1564" s="107"/>
      <c r="CD1564" s="107"/>
      <c r="CE1564" s="107"/>
      <c r="CF1564" s="107"/>
      <c r="CG1564" s="107"/>
      <c r="CH1564" s="107"/>
      <c r="CI1564" s="107"/>
      <c r="CJ1564" s="107"/>
      <c r="CK1564" s="107"/>
      <c r="CL1564" s="107"/>
      <c r="CM1564" s="107"/>
      <c r="CN1564" s="107"/>
      <c r="CO1564" s="107"/>
      <c r="CP1564" s="107"/>
      <c r="CQ1564" s="107"/>
      <c r="CR1564" s="107"/>
      <c r="CS1564" s="107"/>
      <c r="CT1564" s="107"/>
      <c r="CU1564" s="107"/>
      <c r="CV1564" s="107"/>
    </row>
    <row r="1565" customFormat="false" ht="13.8" hidden="false" customHeight="false" outlineLevel="0" collapsed="false">
      <c r="B1565" s="138"/>
      <c r="C1565" s="128"/>
      <c r="D1565" s="77"/>
      <c r="E1565" s="80"/>
      <c r="F1565" s="122"/>
      <c r="G1565" s="137"/>
      <c r="H1565" s="79" t="str">
        <f aca="false">IFERROR(VLOOKUP(E:E,'Item Data Support Sheet'!A:O,2,0),"")</f>
        <v/>
      </c>
      <c r="I1565" s="80"/>
      <c r="J1565" s="80"/>
      <c r="K1565" s="81"/>
      <c r="L1565" s="124"/>
      <c r="M1565" s="83"/>
      <c r="N1565" s="84" t="n">
        <f aca="false">+O1565+Q1565+T1565+U1565</f>
        <v>0</v>
      </c>
      <c r="O1565" s="85"/>
      <c r="P1565" s="86"/>
      <c r="Q1565" s="86"/>
      <c r="R1565" s="132"/>
      <c r="S1565" s="128"/>
      <c r="T1565" s="132"/>
      <c r="U1565" s="128"/>
      <c r="V1565" s="128"/>
      <c r="W1565" s="90" t="n">
        <f aca="false">IFERROR(O1565/V1565,0)</f>
        <v>0</v>
      </c>
      <c r="X1565" s="91" t="e">
        <f aca="false">O1565/L1565</f>
        <v>#DIV/0!</v>
      </c>
      <c r="Y1565" s="92" t="n">
        <f aca="false">IFERROR(VLOOKUP(E:E,'Item Data Support Sheet'!A:J,6,0),0)</f>
        <v>0</v>
      </c>
      <c r="Z1565" s="93" t="n">
        <f aca="false">IFERROR(VLOOKUP(E:E,'Item Data Support Sheet'!A:O,4,0),0)</f>
        <v>0</v>
      </c>
      <c r="AA1565" s="93" t="n">
        <f aca="false">IFERROR(((N1565)*(Z1565/1000))+P1565,0)</f>
        <v>0</v>
      </c>
      <c r="AB1565" s="94" t="str">
        <f aca="false">IFERROR((O1565*(Z1565/1000)/(AA1565))," ")</f>
        <v> </v>
      </c>
      <c r="AC1565" s="95" t="n">
        <f aca="false">IFERROR((T1565)/((T1565)+O1565),0)</f>
        <v>0</v>
      </c>
      <c r="AD1565" s="96" t="n">
        <f aca="false">IFERROR(Q1565/(Q1565+N1565),0)</f>
        <v>0</v>
      </c>
      <c r="AE1565" s="91" t="e">
        <f aca="false">(N1565-T1565)/N1565</f>
        <v>#DIV/0!</v>
      </c>
      <c r="AF1565" s="97" t="n">
        <f aca="false">BR1565</f>
        <v>0</v>
      </c>
      <c r="AG1565" s="98" t="n">
        <f aca="false">K1565-AF1565</f>
        <v>0</v>
      </c>
      <c r="AH1565" s="99" t="str">
        <f aca="false">IFERROR(AG1565/K1565," ")</f>
        <v> </v>
      </c>
      <c r="AI1565" s="100" t="n">
        <f aca="false">IFERROR(O1565/K1565,0)</f>
        <v>0</v>
      </c>
      <c r="AJ1565" s="101" t="e">
        <f aca="false">VLOOKUP(D1565,'Standard Cycle time'!C:D,2,0)</f>
        <v>#N/A</v>
      </c>
      <c r="AK1565" s="101" t="e">
        <f aca="false">AG1565*V1565*3600/O1565</f>
        <v>#DIV/0!</v>
      </c>
      <c r="AL1565" s="102" t="e">
        <f aca="false">AJ1565/AK1565</f>
        <v>#N/A</v>
      </c>
      <c r="AM1565" s="99" t="e">
        <f aca="false">AE1565*AL1565*AH1565</f>
        <v>#DIV/0!</v>
      </c>
      <c r="AN1565" s="103"/>
      <c r="AO1565" s="112"/>
      <c r="AP1565" s="105"/>
      <c r="AQ1565" s="105"/>
      <c r="AR1565" s="105"/>
      <c r="AS1565" s="105"/>
      <c r="AT1565" s="105"/>
      <c r="AU1565" s="105"/>
      <c r="AV1565" s="105"/>
      <c r="AW1565" s="105"/>
      <c r="AX1565" s="105"/>
      <c r="AY1565" s="105"/>
      <c r="AZ1565" s="105"/>
      <c r="BA1565" s="105"/>
      <c r="BB1565" s="105"/>
      <c r="BC1565" s="105"/>
      <c r="BD1565" s="105"/>
      <c r="BE1565" s="105"/>
      <c r="BF1565" s="105"/>
      <c r="BG1565" s="105"/>
      <c r="BH1565" s="105"/>
      <c r="BI1565" s="105"/>
      <c r="BJ1565" s="105"/>
      <c r="BK1565" s="105"/>
      <c r="BL1565" s="105"/>
      <c r="BM1565" s="105"/>
      <c r="BN1565" s="105"/>
      <c r="BO1565" s="105"/>
      <c r="BP1565" s="105"/>
      <c r="BQ1565" s="105"/>
      <c r="BR1565" s="106"/>
      <c r="BS1565" s="106"/>
      <c r="BT1565" s="107"/>
      <c r="BU1565" s="107"/>
      <c r="BV1565" s="107"/>
      <c r="BW1565" s="107"/>
      <c r="BX1565" s="107"/>
      <c r="BY1565" s="107"/>
      <c r="BZ1565" s="107"/>
      <c r="CA1565" s="107"/>
      <c r="CB1565" s="107"/>
      <c r="CC1565" s="107"/>
      <c r="CD1565" s="107"/>
      <c r="CE1565" s="107"/>
      <c r="CF1565" s="107"/>
      <c r="CG1565" s="107"/>
      <c r="CH1565" s="107"/>
      <c r="CI1565" s="107"/>
      <c r="CJ1565" s="107"/>
      <c r="CK1565" s="107"/>
      <c r="CL1565" s="107"/>
      <c r="CM1565" s="107"/>
      <c r="CN1565" s="107"/>
      <c r="CO1565" s="107"/>
      <c r="CP1565" s="107"/>
      <c r="CQ1565" s="107"/>
      <c r="CR1565" s="107"/>
      <c r="CS1565" s="107"/>
      <c r="CT1565" s="107"/>
      <c r="CU1565" s="107"/>
      <c r="CV1565" s="107"/>
    </row>
    <row r="1566" customFormat="false" ht="13.8" hidden="false" customHeight="false" outlineLevel="0" collapsed="false">
      <c r="B1566" s="138"/>
      <c r="C1566" s="128"/>
      <c r="D1566" s="77"/>
      <c r="E1566" s="80"/>
      <c r="F1566" s="122"/>
      <c r="G1566" s="137"/>
      <c r="H1566" s="139" t="str">
        <f aca="false">IFERROR(VLOOKUP(E:E,'Item Data Support Sheet'!A:O,2,0),"")</f>
        <v/>
      </c>
      <c r="I1566" s="80"/>
      <c r="J1566" s="80"/>
      <c r="K1566" s="81"/>
      <c r="L1566" s="124"/>
      <c r="M1566" s="83"/>
      <c r="N1566" s="84" t="n">
        <f aca="false">+O1566+Q1566+T1566+U1566</f>
        <v>0</v>
      </c>
      <c r="O1566" s="85"/>
      <c r="P1566" s="86"/>
      <c r="Q1566" s="86"/>
      <c r="R1566" s="132"/>
      <c r="S1566" s="128"/>
      <c r="T1566" s="132"/>
      <c r="U1566" s="128"/>
      <c r="V1566" s="128"/>
      <c r="W1566" s="90" t="n">
        <f aca="false">IFERROR(O1566/V1566,0)</f>
        <v>0</v>
      </c>
      <c r="X1566" s="91" t="e">
        <f aca="false">O1566/L1566</f>
        <v>#DIV/0!</v>
      </c>
      <c r="Y1566" s="92" t="n">
        <f aca="false">IFERROR(VLOOKUP(E:E,'Item Data Support Sheet'!A:J,6,0),0)</f>
        <v>0</v>
      </c>
      <c r="Z1566" s="93" t="n">
        <f aca="false">IFERROR(VLOOKUP(E:E,'Item Data Support Sheet'!A:O,4,0),0)</f>
        <v>0</v>
      </c>
      <c r="AA1566" s="93" t="n">
        <f aca="false">IFERROR(((N1566)*(Z1566/1000))+P1566,0)</f>
        <v>0</v>
      </c>
      <c r="AB1566" s="94" t="str">
        <f aca="false">IFERROR((O1566*(Z1566/1000)/(AA1566))," ")</f>
        <v> </v>
      </c>
      <c r="AC1566" s="95" t="n">
        <f aca="false">IFERROR((T1566)/((T1566)+O1566),0)</f>
        <v>0</v>
      </c>
      <c r="AD1566" s="96" t="n">
        <f aca="false">IFERROR(Q1566/(Q1566+N1566),0)</f>
        <v>0</v>
      </c>
      <c r="AE1566" s="91" t="e">
        <f aca="false">(N1566-T1566)/N1566</f>
        <v>#DIV/0!</v>
      </c>
      <c r="AF1566" s="97" t="n">
        <f aca="false">BR1566</f>
        <v>0</v>
      </c>
      <c r="AG1566" s="98" t="n">
        <f aca="false">K1566-AF1566</f>
        <v>0</v>
      </c>
      <c r="AH1566" s="99" t="str">
        <f aca="false">IFERROR(AG1566/K1566," ")</f>
        <v> </v>
      </c>
      <c r="AI1566" s="100" t="n">
        <f aca="false">IFERROR(O1566/K1566,0)</f>
        <v>0</v>
      </c>
      <c r="AJ1566" s="101" t="e">
        <f aca="false">VLOOKUP(D1566,'Standard Cycle time'!C:D,2,0)</f>
        <v>#N/A</v>
      </c>
      <c r="AK1566" s="101" t="e">
        <f aca="false">AG1566*V1566*3600/O1566</f>
        <v>#DIV/0!</v>
      </c>
      <c r="AL1566" s="102" t="e">
        <f aca="false">AJ1566/AK1566</f>
        <v>#N/A</v>
      </c>
      <c r="AM1566" s="99" t="e">
        <f aca="false">AE1566*AL1566*AH1566</f>
        <v>#DIV/0!</v>
      </c>
      <c r="AN1566" s="103"/>
      <c r="AO1566" s="112"/>
      <c r="AP1566" s="105"/>
      <c r="AQ1566" s="105"/>
      <c r="AR1566" s="105"/>
      <c r="AS1566" s="105"/>
      <c r="AT1566" s="105"/>
      <c r="AU1566" s="105"/>
      <c r="AV1566" s="105"/>
      <c r="AW1566" s="105"/>
      <c r="AX1566" s="105"/>
      <c r="AY1566" s="105"/>
      <c r="AZ1566" s="105"/>
      <c r="BA1566" s="105"/>
      <c r="BB1566" s="105"/>
      <c r="BC1566" s="105"/>
      <c r="BD1566" s="105"/>
      <c r="BE1566" s="105"/>
      <c r="BF1566" s="105"/>
      <c r="BG1566" s="105"/>
      <c r="BH1566" s="105"/>
      <c r="BI1566" s="105"/>
      <c r="BJ1566" s="105"/>
      <c r="BK1566" s="105"/>
      <c r="BL1566" s="105"/>
      <c r="BM1566" s="105"/>
      <c r="BN1566" s="105"/>
      <c r="BO1566" s="105"/>
      <c r="BP1566" s="105"/>
      <c r="BQ1566" s="105"/>
      <c r="BR1566" s="106"/>
      <c r="BS1566" s="106"/>
      <c r="BT1566" s="107"/>
      <c r="BU1566" s="107"/>
      <c r="BV1566" s="107"/>
      <c r="BW1566" s="107"/>
      <c r="BX1566" s="107"/>
      <c r="BY1566" s="107"/>
      <c r="BZ1566" s="107"/>
      <c r="CA1566" s="107"/>
      <c r="CB1566" s="107"/>
      <c r="CC1566" s="107"/>
      <c r="CD1566" s="107"/>
      <c r="CE1566" s="107"/>
      <c r="CF1566" s="107"/>
      <c r="CG1566" s="107"/>
      <c r="CH1566" s="107"/>
      <c r="CI1566" s="107"/>
      <c r="CJ1566" s="107"/>
      <c r="CK1566" s="107"/>
      <c r="CL1566" s="107"/>
      <c r="CM1566" s="107"/>
      <c r="CN1566" s="107"/>
      <c r="CO1566" s="107"/>
      <c r="CP1566" s="107"/>
      <c r="CQ1566" s="107"/>
      <c r="CR1566" s="107"/>
      <c r="CS1566" s="107"/>
      <c r="CT1566" s="107"/>
      <c r="CU1566" s="107"/>
      <c r="CV1566" s="107"/>
    </row>
    <row r="1567" customFormat="false" ht="13.8" hidden="false" customHeight="false" outlineLevel="0" collapsed="false">
      <c r="B1567" s="138"/>
      <c r="C1567" s="128"/>
      <c r="D1567" s="77"/>
      <c r="E1567" s="80"/>
      <c r="F1567" s="122"/>
      <c r="G1567" s="137"/>
      <c r="H1567" s="139" t="str">
        <f aca="false">IFERROR(VLOOKUP(E:E,'Item Data Support Sheet'!A:O,2,0),"")</f>
        <v/>
      </c>
      <c r="I1567" s="80"/>
      <c r="J1567" s="80"/>
      <c r="K1567" s="81"/>
      <c r="L1567" s="124"/>
      <c r="M1567" s="83"/>
      <c r="N1567" s="84" t="n">
        <f aca="false">+O1567+Q1567+T1567+U1567</f>
        <v>0</v>
      </c>
      <c r="O1567" s="85"/>
      <c r="P1567" s="86"/>
      <c r="Q1567" s="86"/>
      <c r="R1567" s="132"/>
      <c r="S1567" s="128"/>
      <c r="T1567" s="132"/>
      <c r="U1567" s="128"/>
      <c r="V1567" s="128"/>
      <c r="W1567" s="90" t="n">
        <f aca="false">IFERROR(O1567/V1567,0)</f>
        <v>0</v>
      </c>
      <c r="X1567" s="91" t="e">
        <f aca="false">O1567/L1567</f>
        <v>#DIV/0!</v>
      </c>
      <c r="Y1567" s="92" t="n">
        <f aca="false">IFERROR(VLOOKUP(E:E,'Item Data Support Sheet'!A:J,6,0),0)</f>
        <v>0</v>
      </c>
      <c r="Z1567" s="93" t="n">
        <f aca="false">IFERROR(VLOOKUP(E:E,'Item Data Support Sheet'!A:O,4,0),0)</f>
        <v>0</v>
      </c>
      <c r="AA1567" s="93" t="n">
        <f aca="false">IFERROR(((N1567)*(Z1567/1000))+P1567,0)</f>
        <v>0</v>
      </c>
      <c r="AB1567" s="94" t="str">
        <f aca="false">IFERROR((O1567*(Z1567/1000)/(AA1567))," ")</f>
        <v> </v>
      </c>
      <c r="AC1567" s="95" t="n">
        <f aca="false">IFERROR((T1567)/((T1567)+O1567),0)</f>
        <v>0</v>
      </c>
      <c r="AD1567" s="96" t="n">
        <f aca="false">IFERROR(Q1567/(Q1567+N1567),0)</f>
        <v>0</v>
      </c>
      <c r="AE1567" s="91" t="e">
        <f aca="false">(N1567-T1567)/N1567</f>
        <v>#DIV/0!</v>
      </c>
      <c r="AF1567" s="97" t="n">
        <f aca="false">BR1567</f>
        <v>0</v>
      </c>
      <c r="AG1567" s="98" t="n">
        <f aca="false">K1567-AF1567</f>
        <v>0</v>
      </c>
      <c r="AH1567" s="99" t="str">
        <f aca="false">IFERROR(AG1567/K1567," ")</f>
        <v> </v>
      </c>
      <c r="AI1567" s="100" t="n">
        <f aca="false">IFERROR(O1567/K1567,0)</f>
        <v>0</v>
      </c>
      <c r="AJ1567" s="101" t="e">
        <f aca="false">VLOOKUP(D1567,'Standard Cycle time'!C:D,2,0)</f>
        <v>#N/A</v>
      </c>
      <c r="AK1567" s="101" t="e">
        <f aca="false">AG1567*V1567*3600/O1567</f>
        <v>#DIV/0!</v>
      </c>
      <c r="AL1567" s="102" t="e">
        <f aca="false">AJ1567/AK1567</f>
        <v>#N/A</v>
      </c>
      <c r="AM1567" s="99" t="e">
        <f aca="false">AE1567*AL1567*AH1567</f>
        <v>#DIV/0!</v>
      </c>
      <c r="AN1567" s="103"/>
      <c r="AO1567" s="112"/>
      <c r="AP1567" s="105"/>
      <c r="AQ1567" s="105"/>
      <c r="AR1567" s="105"/>
      <c r="AS1567" s="105"/>
      <c r="AT1567" s="105"/>
      <c r="AU1567" s="105"/>
      <c r="AV1567" s="105"/>
      <c r="AW1567" s="105"/>
      <c r="AX1567" s="105"/>
      <c r="AY1567" s="105"/>
      <c r="AZ1567" s="105"/>
      <c r="BA1567" s="105"/>
      <c r="BB1567" s="105"/>
      <c r="BC1567" s="105"/>
      <c r="BD1567" s="105"/>
      <c r="BE1567" s="105"/>
      <c r="BF1567" s="105"/>
      <c r="BG1567" s="105"/>
      <c r="BH1567" s="105"/>
      <c r="BI1567" s="105"/>
      <c r="BJ1567" s="105"/>
      <c r="BK1567" s="105"/>
      <c r="BL1567" s="105"/>
      <c r="BM1567" s="105"/>
      <c r="BN1567" s="105"/>
      <c r="BO1567" s="105"/>
      <c r="BP1567" s="105"/>
      <c r="BQ1567" s="105"/>
      <c r="BR1567" s="106"/>
      <c r="BS1567" s="106"/>
      <c r="BT1567" s="107"/>
      <c r="BU1567" s="107"/>
      <c r="BV1567" s="107"/>
      <c r="BW1567" s="107"/>
      <c r="BX1567" s="107"/>
      <c r="BY1567" s="107"/>
      <c r="BZ1567" s="107"/>
      <c r="CA1567" s="107"/>
      <c r="CB1567" s="107"/>
      <c r="CC1567" s="107"/>
      <c r="CD1567" s="107"/>
      <c r="CE1567" s="107"/>
      <c r="CF1567" s="107"/>
      <c r="CG1567" s="107"/>
      <c r="CH1567" s="107"/>
      <c r="CI1567" s="107"/>
      <c r="CJ1567" s="107"/>
      <c r="CK1567" s="107"/>
      <c r="CL1567" s="107"/>
      <c r="CM1567" s="107"/>
      <c r="CN1567" s="107"/>
      <c r="CO1567" s="107"/>
      <c r="CP1567" s="107"/>
      <c r="CQ1567" s="107"/>
      <c r="CR1567" s="107"/>
      <c r="CS1567" s="107"/>
      <c r="CT1567" s="107"/>
      <c r="CU1567" s="107"/>
      <c r="CV1567" s="107"/>
    </row>
    <row r="1568" customFormat="false" ht="13.8" hidden="false" customHeight="false" outlineLevel="0" collapsed="false">
      <c r="B1568" s="138"/>
      <c r="C1568" s="128"/>
      <c r="D1568" s="77"/>
      <c r="E1568" s="80"/>
      <c r="F1568" s="122"/>
      <c r="G1568" s="137"/>
      <c r="H1568" s="139" t="str">
        <f aca="false">IFERROR(VLOOKUP(E:E,'Item Data Support Sheet'!A:O,2,0),"")</f>
        <v/>
      </c>
      <c r="I1568" s="80"/>
      <c r="J1568" s="80"/>
      <c r="K1568" s="81"/>
      <c r="L1568" s="124"/>
      <c r="M1568" s="83"/>
      <c r="N1568" s="84" t="n">
        <f aca="false">+O1568+Q1568+T1568+U1568</f>
        <v>0</v>
      </c>
      <c r="O1568" s="85"/>
      <c r="P1568" s="86"/>
      <c r="Q1568" s="86"/>
      <c r="R1568" s="132"/>
      <c r="S1568" s="128"/>
      <c r="T1568" s="132"/>
      <c r="U1568" s="128"/>
      <c r="V1568" s="128"/>
      <c r="W1568" s="90" t="n">
        <f aca="false">IFERROR(O1568/V1568,0)</f>
        <v>0</v>
      </c>
      <c r="X1568" s="91" t="e">
        <f aca="false">O1568/L1568</f>
        <v>#DIV/0!</v>
      </c>
      <c r="Y1568" s="92" t="n">
        <f aca="false">IFERROR(VLOOKUP(E:E,'Item Data Support Sheet'!A:J,6,0),0)</f>
        <v>0</v>
      </c>
      <c r="Z1568" s="93" t="n">
        <f aca="false">IFERROR(VLOOKUP(E:E,'Item Data Support Sheet'!A:O,4,0),0)</f>
        <v>0</v>
      </c>
      <c r="AA1568" s="93" t="n">
        <f aca="false">IFERROR(((N1568)*(Z1568/1000))+P1568,0)</f>
        <v>0</v>
      </c>
      <c r="AB1568" s="94" t="str">
        <f aca="false">IFERROR((O1568*(Z1568/1000)/(AA1568))," ")</f>
        <v> </v>
      </c>
      <c r="AC1568" s="95" t="n">
        <f aca="false">IFERROR((T1568)/((T1568)+O1568),0)</f>
        <v>0</v>
      </c>
      <c r="AD1568" s="96" t="n">
        <f aca="false">IFERROR(Q1568/(Q1568+N1568),0)</f>
        <v>0</v>
      </c>
      <c r="AE1568" s="91" t="e">
        <f aca="false">(N1568-T1568)/N1568</f>
        <v>#DIV/0!</v>
      </c>
      <c r="AF1568" s="97" t="n">
        <f aca="false">BR1568</f>
        <v>0</v>
      </c>
      <c r="AG1568" s="98" t="n">
        <f aca="false">K1568-AF1568</f>
        <v>0</v>
      </c>
      <c r="AH1568" s="99" t="str">
        <f aca="false">IFERROR(AG1568/K1568," ")</f>
        <v> </v>
      </c>
      <c r="AI1568" s="100" t="n">
        <f aca="false">IFERROR(O1568/K1568,0)</f>
        <v>0</v>
      </c>
      <c r="AJ1568" s="101" t="e">
        <f aca="false">VLOOKUP(D1568,'Standard Cycle time'!C:D,2,0)</f>
        <v>#N/A</v>
      </c>
      <c r="AK1568" s="101" t="e">
        <f aca="false">AG1568*V1568*3600/O1568</f>
        <v>#DIV/0!</v>
      </c>
      <c r="AL1568" s="102" t="e">
        <f aca="false">AJ1568/AK1568</f>
        <v>#N/A</v>
      </c>
      <c r="AM1568" s="99" t="e">
        <f aca="false">AE1568*AL1568*AH1568</f>
        <v>#DIV/0!</v>
      </c>
      <c r="AN1568" s="103"/>
      <c r="AO1568" s="112"/>
      <c r="AP1568" s="105"/>
      <c r="AQ1568" s="105"/>
      <c r="AR1568" s="105"/>
      <c r="AS1568" s="105"/>
      <c r="AT1568" s="105"/>
      <c r="AU1568" s="105"/>
      <c r="AV1568" s="105"/>
      <c r="AW1568" s="105"/>
      <c r="AX1568" s="105"/>
      <c r="AY1568" s="105"/>
      <c r="AZ1568" s="105"/>
      <c r="BA1568" s="105"/>
      <c r="BB1568" s="105"/>
      <c r="BC1568" s="105"/>
      <c r="BD1568" s="105"/>
      <c r="BE1568" s="105"/>
      <c r="BF1568" s="105"/>
      <c r="BG1568" s="105"/>
      <c r="BH1568" s="105"/>
      <c r="BI1568" s="105"/>
      <c r="BJ1568" s="105"/>
      <c r="BK1568" s="105"/>
      <c r="BL1568" s="105"/>
      <c r="BM1568" s="105"/>
      <c r="BN1568" s="105"/>
      <c r="BO1568" s="105"/>
      <c r="BP1568" s="105"/>
      <c r="BQ1568" s="105"/>
      <c r="BR1568" s="106"/>
      <c r="BS1568" s="106"/>
      <c r="BT1568" s="107"/>
      <c r="BU1568" s="107"/>
      <c r="BV1568" s="107"/>
      <c r="BW1568" s="107"/>
      <c r="BX1568" s="107"/>
      <c r="BY1568" s="107"/>
      <c r="BZ1568" s="107"/>
      <c r="CA1568" s="107"/>
      <c r="CB1568" s="107"/>
      <c r="CC1568" s="107"/>
      <c r="CD1568" s="107"/>
      <c r="CE1568" s="107"/>
      <c r="CF1568" s="107"/>
      <c r="CG1568" s="107"/>
      <c r="CH1568" s="107"/>
      <c r="CI1568" s="107"/>
      <c r="CJ1568" s="107"/>
      <c r="CK1568" s="107"/>
      <c r="CL1568" s="107"/>
      <c r="CM1568" s="107"/>
      <c r="CN1568" s="107"/>
      <c r="CO1568" s="107"/>
      <c r="CP1568" s="107"/>
      <c r="CQ1568" s="107"/>
      <c r="CR1568" s="107"/>
      <c r="CS1568" s="107"/>
      <c r="CT1568" s="107"/>
      <c r="CU1568" s="107"/>
      <c r="CV1568" s="107"/>
    </row>
    <row r="1569" customFormat="false" ht="13.8" hidden="false" customHeight="false" outlineLevel="0" collapsed="false">
      <c r="B1569" s="138"/>
      <c r="C1569" s="128"/>
      <c r="D1569" s="77"/>
      <c r="E1569" s="80"/>
      <c r="F1569" s="122"/>
      <c r="G1569" s="137"/>
      <c r="H1569" s="139" t="str">
        <f aca="false">IFERROR(VLOOKUP(E:E,'Item Data Support Sheet'!A:O,2,0),"")</f>
        <v/>
      </c>
      <c r="I1569" s="80"/>
      <c r="J1569" s="80"/>
      <c r="K1569" s="81"/>
      <c r="L1569" s="124"/>
      <c r="M1569" s="83"/>
      <c r="N1569" s="84" t="n">
        <f aca="false">+O1569+Q1569+T1569+U1569</f>
        <v>0</v>
      </c>
      <c r="O1569" s="85"/>
      <c r="P1569" s="86"/>
      <c r="Q1569" s="86"/>
      <c r="R1569" s="132"/>
      <c r="S1569" s="128"/>
      <c r="T1569" s="132"/>
      <c r="U1569" s="128"/>
      <c r="V1569" s="128"/>
      <c r="W1569" s="90" t="n">
        <f aca="false">IFERROR(O1569/V1569,0)</f>
        <v>0</v>
      </c>
      <c r="X1569" s="91" t="e">
        <f aca="false">O1569/L1569</f>
        <v>#DIV/0!</v>
      </c>
      <c r="Y1569" s="92" t="n">
        <f aca="false">IFERROR(VLOOKUP(E:E,'Item Data Support Sheet'!A:J,6,0),0)</f>
        <v>0</v>
      </c>
      <c r="Z1569" s="93" t="n">
        <f aca="false">IFERROR(VLOOKUP(E:E,'Item Data Support Sheet'!A:O,4,0),0)</f>
        <v>0</v>
      </c>
      <c r="AA1569" s="93" t="n">
        <f aca="false">IFERROR(((N1569)*(Z1569/1000))+P1569,0)</f>
        <v>0</v>
      </c>
      <c r="AB1569" s="94" t="str">
        <f aca="false">IFERROR((O1569*(Z1569/1000)/(AA1569))," ")</f>
        <v> </v>
      </c>
      <c r="AC1569" s="95" t="n">
        <f aca="false">IFERROR((T1569)/((T1569)+O1569),0)</f>
        <v>0</v>
      </c>
      <c r="AD1569" s="96" t="n">
        <f aca="false">IFERROR(Q1569/(Q1569+N1569),0)</f>
        <v>0</v>
      </c>
      <c r="AE1569" s="91" t="e">
        <f aca="false">(N1569-T1569)/N1569</f>
        <v>#DIV/0!</v>
      </c>
      <c r="AF1569" s="97" t="n">
        <f aca="false">BR1569</f>
        <v>0</v>
      </c>
      <c r="AG1569" s="98" t="n">
        <f aca="false">K1569-AF1569</f>
        <v>0</v>
      </c>
      <c r="AH1569" s="99" t="str">
        <f aca="false">IFERROR(AG1569/K1569," ")</f>
        <v> </v>
      </c>
      <c r="AI1569" s="100" t="n">
        <f aca="false">IFERROR(O1569/K1569,0)</f>
        <v>0</v>
      </c>
      <c r="AJ1569" s="101" t="e">
        <f aca="false">VLOOKUP(D1569,'Standard Cycle time'!C:D,2,0)</f>
        <v>#N/A</v>
      </c>
      <c r="AK1569" s="101" t="e">
        <f aca="false">AG1569*V1569*3600/O1569</f>
        <v>#DIV/0!</v>
      </c>
      <c r="AL1569" s="102" t="e">
        <f aca="false">AJ1569/AK1569</f>
        <v>#N/A</v>
      </c>
      <c r="AM1569" s="99" t="e">
        <f aca="false">AE1569*AL1569*AH1569</f>
        <v>#DIV/0!</v>
      </c>
      <c r="AN1569" s="103"/>
      <c r="AO1569" s="112"/>
      <c r="AP1569" s="105"/>
      <c r="AQ1569" s="105"/>
      <c r="AR1569" s="105"/>
      <c r="AS1569" s="105"/>
      <c r="AT1569" s="105"/>
      <c r="AU1569" s="105"/>
      <c r="AV1569" s="105"/>
      <c r="AW1569" s="105"/>
      <c r="AX1569" s="105"/>
      <c r="AY1569" s="105"/>
      <c r="AZ1569" s="105"/>
      <c r="BA1569" s="105"/>
      <c r="BB1569" s="105"/>
      <c r="BC1569" s="105"/>
      <c r="BD1569" s="105"/>
      <c r="BE1569" s="105"/>
      <c r="BF1569" s="105"/>
      <c r="BG1569" s="105"/>
      <c r="BH1569" s="105"/>
      <c r="BI1569" s="105"/>
      <c r="BJ1569" s="105"/>
      <c r="BK1569" s="105"/>
      <c r="BL1569" s="105"/>
      <c r="BM1569" s="105"/>
      <c r="BN1569" s="105"/>
      <c r="BO1569" s="105"/>
      <c r="BP1569" s="105"/>
      <c r="BQ1569" s="105"/>
      <c r="BR1569" s="106"/>
      <c r="BS1569" s="106"/>
      <c r="BT1569" s="107"/>
      <c r="BU1569" s="107"/>
      <c r="BV1569" s="107"/>
      <c r="BW1569" s="107"/>
      <c r="BX1569" s="107"/>
      <c r="BY1569" s="107"/>
      <c r="BZ1569" s="107"/>
      <c r="CA1569" s="107"/>
      <c r="CB1569" s="107"/>
      <c r="CC1569" s="107"/>
      <c r="CD1569" s="107"/>
      <c r="CE1569" s="107"/>
      <c r="CF1569" s="107"/>
      <c r="CG1569" s="107"/>
      <c r="CH1569" s="107"/>
      <c r="CI1569" s="107"/>
      <c r="CJ1569" s="107"/>
      <c r="CK1569" s="107"/>
      <c r="CL1569" s="107"/>
      <c r="CM1569" s="107"/>
      <c r="CN1569" s="107"/>
      <c r="CO1569" s="107"/>
      <c r="CP1569" s="107"/>
      <c r="CQ1569" s="107"/>
      <c r="CR1569" s="107"/>
      <c r="CS1569" s="107"/>
      <c r="CT1569" s="107"/>
      <c r="CU1569" s="107"/>
      <c r="CV1569" s="107"/>
    </row>
    <row r="1570" customFormat="false" ht="13.8" hidden="false" customHeight="false" outlineLevel="0" collapsed="false">
      <c r="B1570" s="138"/>
      <c r="C1570" s="128"/>
      <c r="D1570" s="77"/>
      <c r="E1570" s="80"/>
      <c r="F1570" s="122"/>
      <c r="G1570" s="137"/>
      <c r="H1570" s="139" t="str">
        <f aca="false">IFERROR(VLOOKUP(E:E,'Item Data Support Sheet'!A:O,2,0),"")</f>
        <v/>
      </c>
      <c r="I1570" s="80"/>
      <c r="J1570" s="80"/>
      <c r="K1570" s="81"/>
      <c r="L1570" s="124"/>
      <c r="M1570" s="83"/>
      <c r="N1570" s="84" t="n">
        <f aca="false">+O1570+Q1570+T1570+U1570</f>
        <v>0</v>
      </c>
      <c r="O1570" s="85"/>
      <c r="P1570" s="86"/>
      <c r="Q1570" s="86"/>
      <c r="R1570" s="132"/>
      <c r="S1570" s="128"/>
      <c r="T1570" s="132"/>
      <c r="U1570" s="128"/>
      <c r="V1570" s="128"/>
      <c r="W1570" s="90" t="n">
        <f aca="false">IFERROR(O1570/V1570,0)</f>
        <v>0</v>
      </c>
      <c r="X1570" s="91" t="e">
        <f aca="false">O1570/L1570</f>
        <v>#DIV/0!</v>
      </c>
      <c r="Y1570" s="92" t="n">
        <f aca="false">IFERROR(VLOOKUP(E:E,'Item Data Support Sheet'!A:J,6,0),0)</f>
        <v>0</v>
      </c>
      <c r="Z1570" s="93" t="n">
        <f aca="false">IFERROR(VLOOKUP(E:E,'Item Data Support Sheet'!A:O,4,0),0)</f>
        <v>0</v>
      </c>
      <c r="AA1570" s="93" t="n">
        <f aca="false">IFERROR(((N1570)*(Z1570/1000))+P1570,0)</f>
        <v>0</v>
      </c>
      <c r="AB1570" s="94" t="str">
        <f aca="false">IFERROR((O1570*(Z1570/1000)/(AA1570))," ")</f>
        <v> </v>
      </c>
      <c r="AC1570" s="95" t="n">
        <f aca="false">IFERROR((T1570)/((T1570)+O1570),0)</f>
        <v>0</v>
      </c>
      <c r="AD1570" s="96" t="n">
        <f aca="false">IFERROR(Q1570/(Q1570+N1570),0)</f>
        <v>0</v>
      </c>
      <c r="AE1570" s="91" t="e">
        <f aca="false">(N1570-T1570)/N1570</f>
        <v>#DIV/0!</v>
      </c>
      <c r="AF1570" s="97" t="n">
        <f aca="false">BR1570</f>
        <v>0</v>
      </c>
      <c r="AG1570" s="98" t="n">
        <f aca="false">K1570-AF1570</f>
        <v>0</v>
      </c>
      <c r="AH1570" s="99" t="str">
        <f aca="false">IFERROR(AG1570/K1570," ")</f>
        <v> </v>
      </c>
      <c r="AI1570" s="100" t="n">
        <f aca="false">IFERROR(O1570/K1570,0)</f>
        <v>0</v>
      </c>
      <c r="AJ1570" s="101" t="e">
        <f aca="false">VLOOKUP(D1570,'Standard Cycle time'!C:D,2,0)</f>
        <v>#N/A</v>
      </c>
      <c r="AK1570" s="101" t="e">
        <f aca="false">AG1570*V1570*3600/O1570</f>
        <v>#DIV/0!</v>
      </c>
      <c r="AL1570" s="102" t="e">
        <f aca="false">AJ1570/AK1570</f>
        <v>#N/A</v>
      </c>
      <c r="AM1570" s="99" t="e">
        <f aca="false">AE1570*AL1570*AH1570</f>
        <v>#DIV/0!</v>
      </c>
      <c r="AN1570" s="103"/>
      <c r="AO1570" s="112"/>
      <c r="AP1570" s="105"/>
      <c r="AQ1570" s="105"/>
      <c r="AR1570" s="105"/>
      <c r="AS1570" s="105"/>
      <c r="AT1570" s="105"/>
      <c r="AU1570" s="105"/>
      <c r="AV1570" s="105"/>
      <c r="AW1570" s="105"/>
      <c r="AX1570" s="105"/>
      <c r="AY1570" s="105"/>
      <c r="AZ1570" s="105"/>
      <c r="BA1570" s="105"/>
      <c r="BB1570" s="105"/>
      <c r="BC1570" s="105"/>
      <c r="BD1570" s="105"/>
      <c r="BE1570" s="105"/>
      <c r="BF1570" s="105"/>
      <c r="BG1570" s="105"/>
      <c r="BH1570" s="105"/>
      <c r="BI1570" s="105"/>
      <c r="BJ1570" s="105"/>
      <c r="BK1570" s="105"/>
      <c r="BL1570" s="105"/>
      <c r="BM1570" s="105"/>
      <c r="BN1570" s="105"/>
      <c r="BO1570" s="105"/>
      <c r="BP1570" s="105"/>
      <c r="BQ1570" s="105"/>
      <c r="BR1570" s="106"/>
      <c r="BS1570" s="106"/>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c r="CO1570" s="107"/>
      <c r="CP1570" s="107"/>
      <c r="CQ1570" s="107"/>
      <c r="CR1570" s="107"/>
      <c r="CS1570" s="107"/>
      <c r="CT1570" s="107"/>
      <c r="CU1570" s="107"/>
      <c r="CV1570" s="107"/>
    </row>
    <row r="1571" customFormat="false" ht="13.8" hidden="false" customHeight="false" outlineLevel="0" collapsed="false">
      <c r="B1571" s="138"/>
      <c r="C1571" s="128"/>
      <c r="D1571" s="77"/>
      <c r="E1571" s="80"/>
      <c r="F1571" s="122"/>
      <c r="G1571" s="137"/>
      <c r="H1571" s="139" t="str">
        <f aca="false">IFERROR(VLOOKUP(E:E,'Item Data Support Sheet'!A:O,2,0),"")</f>
        <v/>
      </c>
      <c r="I1571" s="80"/>
      <c r="J1571" s="80"/>
      <c r="K1571" s="81"/>
      <c r="L1571" s="124"/>
      <c r="M1571" s="83"/>
      <c r="N1571" s="84" t="n">
        <f aca="false">+O1571+Q1571+T1571+U1571</f>
        <v>0</v>
      </c>
      <c r="O1571" s="85"/>
      <c r="P1571" s="86"/>
      <c r="Q1571" s="86"/>
      <c r="R1571" s="132"/>
      <c r="S1571" s="128"/>
      <c r="T1571" s="132"/>
      <c r="U1571" s="128"/>
      <c r="V1571" s="128"/>
      <c r="W1571" s="90" t="n">
        <f aca="false">IFERROR(O1571/V1571,0)</f>
        <v>0</v>
      </c>
      <c r="X1571" s="91" t="e">
        <f aca="false">O1571/L1571</f>
        <v>#DIV/0!</v>
      </c>
      <c r="Y1571" s="92" t="n">
        <f aca="false">IFERROR(VLOOKUP(E:E,'Item Data Support Sheet'!A:J,6,0),0)</f>
        <v>0</v>
      </c>
      <c r="Z1571" s="93" t="n">
        <f aca="false">IFERROR(VLOOKUP(E:E,'Item Data Support Sheet'!A:O,4,0),0)</f>
        <v>0</v>
      </c>
      <c r="AA1571" s="93" t="n">
        <f aca="false">IFERROR(((N1571)*(Z1571/1000))+P1571,0)</f>
        <v>0</v>
      </c>
      <c r="AB1571" s="94" t="str">
        <f aca="false">IFERROR((O1571*(Z1571/1000)/(AA1571))," ")</f>
        <v> </v>
      </c>
      <c r="AC1571" s="95" t="n">
        <f aca="false">IFERROR((T1571)/((T1571)+O1571),0)</f>
        <v>0</v>
      </c>
      <c r="AD1571" s="96" t="n">
        <f aca="false">IFERROR(Q1571/(Q1571+N1571),0)</f>
        <v>0</v>
      </c>
      <c r="AE1571" s="91" t="e">
        <f aca="false">(N1571-T1571)/N1571</f>
        <v>#DIV/0!</v>
      </c>
      <c r="AF1571" s="97" t="n">
        <f aca="false">BR1571</f>
        <v>0</v>
      </c>
      <c r="AG1571" s="98" t="n">
        <f aca="false">K1571-AF1571</f>
        <v>0</v>
      </c>
      <c r="AH1571" s="99" t="str">
        <f aca="false">IFERROR(AG1571/K1571," ")</f>
        <v> </v>
      </c>
      <c r="AI1571" s="100" t="n">
        <f aca="false">IFERROR(O1571/K1571,0)</f>
        <v>0</v>
      </c>
      <c r="AJ1571" s="101" t="e">
        <f aca="false">VLOOKUP(D1571,'Standard Cycle time'!C:D,2,0)</f>
        <v>#N/A</v>
      </c>
      <c r="AK1571" s="101" t="e">
        <f aca="false">AG1571*V1571*3600/O1571</f>
        <v>#DIV/0!</v>
      </c>
      <c r="AL1571" s="102" t="e">
        <f aca="false">AJ1571/AK1571</f>
        <v>#N/A</v>
      </c>
      <c r="AM1571" s="99" t="e">
        <f aca="false">AE1571*AL1571*AH1571</f>
        <v>#DIV/0!</v>
      </c>
      <c r="AN1571" s="103"/>
      <c r="AO1571" s="112"/>
      <c r="AP1571" s="105"/>
      <c r="AQ1571" s="105"/>
      <c r="AR1571" s="105"/>
      <c r="AS1571" s="105"/>
      <c r="AT1571" s="105"/>
      <c r="AU1571" s="105"/>
      <c r="AV1571" s="105"/>
      <c r="AW1571" s="105"/>
      <c r="AX1571" s="105"/>
      <c r="AY1571" s="105"/>
      <c r="AZ1571" s="105"/>
      <c r="BA1571" s="105"/>
      <c r="BB1571" s="105"/>
      <c r="BC1571" s="105"/>
      <c r="BD1571" s="105"/>
      <c r="BE1571" s="105"/>
      <c r="BF1571" s="105"/>
      <c r="BG1571" s="105"/>
      <c r="BH1571" s="105"/>
      <c r="BI1571" s="105"/>
      <c r="BJ1571" s="105"/>
      <c r="BK1571" s="105"/>
      <c r="BL1571" s="105"/>
      <c r="BM1571" s="105"/>
      <c r="BN1571" s="105"/>
      <c r="BO1571" s="105"/>
      <c r="BP1571" s="105"/>
      <c r="BQ1571" s="105"/>
      <c r="BR1571" s="106"/>
      <c r="BS1571" s="106"/>
      <c r="BT1571" s="107"/>
      <c r="BU1571" s="107"/>
      <c r="BV1571" s="107"/>
      <c r="BW1571" s="107"/>
      <c r="BX1571" s="107"/>
      <c r="BY1571" s="107"/>
      <c r="BZ1571" s="107"/>
      <c r="CA1571" s="107"/>
      <c r="CB1571" s="107"/>
      <c r="CC1571" s="107"/>
      <c r="CD1571" s="107"/>
      <c r="CE1571" s="107"/>
      <c r="CF1571" s="107"/>
      <c r="CG1571" s="107"/>
      <c r="CH1571" s="107"/>
      <c r="CI1571" s="107"/>
      <c r="CJ1571" s="107"/>
      <c r="CK1571" s="107"/>
      <c r="CL1571" s="107"/>
      <c r="CM1571" s="107"/>
      <c r="CN1571" s="107"/>
      <c r="CO1571" s="107"/>
      <c r="CP1571" s="107"/>
      <c r="CQ1571" s="107"/>
      <c r="CR1571" s="107"/>
      <c r="CS1571" s="107"/>
      <c r="CT1571" s="107"/>
      <c r="CU1571" s="107"/>
      <c r="CV1571" s="107"/>
    </row>
    <row r="1572" customFormat="false" ht="13.8" hidden="false" customHeight="false" outlineLevel="0" collapsed="false">
      <c r="B1572" s="138"/>
      <c r="C1572" s="128"/>
      <c r="D1572" s="77"/>
      <c r="E1572" s="80"/>
      <c r="F1572" s="122"/>
      <c r="G1572" s="137"/>
      <c r="H1572" s="139" t="str">
        <f aca="false">IFERROR(VLOOKUP(E:E,'Item Data Support Sheet'!A:O,2,0),"")</f>
        <v/>
      </c>
      <c r="I1572" s="80"/>
      <c r="J1572" s="80"/>
      <c r="K1572" s="81"/>
      <c r="L1572" s="124"/>
      <c r="M1572" s="83"/>
      <c r="N1572" s="84" t="n">
        <f aca="false">+O1572+Q1572+T1572+U1572</f>
        <v>0</v>
      </c>
      <c r="O1572" s="85"/>
      <c r="P1572" s="86"/>
      <c r="Q1572" s="86"/>
      <c r="R1572" s="132"/>
      <c r="S1572" s="128"/>
      <c r="T1572" s="132"/>
      <c r="U1572" s="128"/>
      <c r="V1572" s="128"/>
      <c r="W1572" s="90" t="n">
        <f aca="false">IFERROR(O1572/V1572,0)</f>
        <v>0</v>
      </c>
      <c r="X1572" s="91" t="e">
        <f aca="false">O1572/L1572</f>
        <v>#DIV/0!</v>
      </c>
      <c r="Y1572" s="92" t="n">
        <f aca="false">IFERROR(VLOOKUP(E:E,'Item Data Support Sheet'!A:J,6,0),0)</f>
        <v>0</v>
      </c>
      <c r="Z1572" s="93" t="n">
        <f aca="false">IFERROR(VLOOKUP(E:E,'Item Data Support Sheet'!A:O,4,0),0)</f>
        <v>0</v>
      </c>
      <c r="AA1572" s="93" t="n">
        <f aca="false">IFERROR(((N1572)*(Z1572/1000))+P1572,0)</f>
        <v>0</v>
      </c>
      <c r="AB1572" s="94" t="str">
        <f aca="false">IFERROR((O1572*(Z1572/1000)/(AA1572))," ")</f>
        <v> </v>
      </c>
      <c r="AC1572" s="95" t="n">
        <f aca="false">IFERROR((T1572)/((T1572)+O1572),0)</f>
        <v>0</v>
      </c>
      <c r="AD1572" s="96" t="n">
        <f aca="false">IFERROR(Q1572/(Q1572+N1572),0)</f>
        <v>0</v>
      </c>
      <c r="AE1572" s="91" t="e">
        <f aca="false">(N1572-T1572)/N1572</f>
        <v>#DIV/0!</v>
      </c>
      <c r="AF1572" s="97" t="n">
        <f aca="false">BR1572</f>
        <v>0</v>
      </c>
      <c r="AG1572" s="98" t="n">
        <f aca="false">K1572-AF1572</f>
        <v>0</v>
      </c>
      <c r="AH1572" s="99" t="str">
        <f aca="false">IFERROR(AG1572/K1572," ")</f>
        <v> </v>
      </c>
      <c r="AI1572" s="100" t="n">
        <f aca="false">IFERROR(O1572/K1572,0)</f>
        <v>0</v>
      </c>
      <c r="AJ1572" s="101" t="e">
        <f aca="false">VLOOKUP(D1572,'Standard Cycle time'!C:D,2,0)</f>
        <v>#N/A</v>
      </c>
      <c r="AK1572" s="101" t="e">
        <f aca="false">AG1572*V1572*3600/O1572</f>
        <v>#DIV/0!</v>
      </c>
      <c r="AL1572" s="102" t="e">
        <f aca="false">AJ1572/AK1572</f>
        <v>#N/A</v>
      </c>
      <c r="AM1572" s="99" t="e">
        <f aca="false">AE1572*AL1572*AH1572</f>
        <v>#DIV/0!</v>
      </c>
      <c r="AN1572" s="103"/>
      <c r="AO1572" s="112"/>
      <c r="AP1572" s="105"/>
      <c r="AQ1572" s="105"/>
      <c r="AR1572" s="105"/>
      <c r="AS1572" s="105"/>
      <c r="AT1572" s="105"/>
      <c r="AU1572" s="105"/>
      <c r="AV1572" s="105"/>
      <c r="AW1572" s="105"/>
      <c r="AX1572" s="105"/>
      <c r="AY1572" s="105"/>
      <c r="AZ1572" s="105"/>
      <c r="BA1572" s="105"/>
      <c r="BB1572" s="105"/>
      <c r="BC1572" s="105"/>
      <c r="BD1572" s="105"/>
      <c r="BE1572" s="105"/>
      <c r="BF1572" s="105"/>
      <c r="BG1572" s="105"/>
      <c r="BH1572" s="105"/>
      <c r="BI1572" s="105"/>
      <c r="BJ1572" s="105"/>
      <c r="BK1572" s="105"/>
      <c r="BL1572" s="105"/>
      <c r="BM1572" s="105"/>
      <c r="BN1572" s="105"/>
      <c r="BO1572" s="105"/>
      <c r="BP1572" s="105"/>
      <c r="BQ1572" s="105"/>
      <c r="BR1572" s="106"/>
      <c r="BS1572" s="106"/>
      <c r="BT1572" s="107"/>
      <c r="BU1572" s="107"/>
      <c r="BV1572" s="107"/>
      <c r="BW1572" s="107"/>
      <c r="BX1572" s="107"/>
      <c r="BY1572" s="107"/>
      <c r="BZ1572" s="107"/>
      <c r="CA1572" s="107"/>
      <c r="CB1572" s="107"/>
      <c r="CC1572" s="107"/>
      <c r="CD1572" s="107"/>
      <c r="CE1572" s="107"/>
      <c r="CF1572" s="107"/>
      <c r="CG1572" s="107"/>
      <c r="CH1572" s="107"/>
      <c r="CI1572" s="107"/>
      <c r="CJ1572" s="107"/>
      <c r="CK1572" s="107"/>
      <c r="CL1572" s="107"/>
      <c r="CM1572" s="107"/>
      <c r="CN1572" s="107"/>
      <c r="CO1572" s="107"/>
      <c r="CP1572" s="107"/>
      <c r="CQ1572" s="107"/>
      <c r="CR1572" s="107"/>
      <c r="CS1572" s="107"/>
      <c r="CT1572" s="107"/>
      <c r="CU1572" s="107"/>
      <c r="CV1572" s="107"/>
    </row>
    <row r="1573" customFormat="false" ht="13.8" hidden="false" customHeight="false" outlineLevel="0" collapsed="false">
      <c r="B1573" s="138"/>
      <c r="C1573" s="128"/>
      <c r="D1573" s="77"/>
      <c r="E1573" s="80"/>
      <c r="F1573" s="122"/>
      <c r="G1573" s="137"/>
      <c r="H1573" s="139" t="str">
        <f aca="false">IFERROR(VLOOKUP(E:E,'Item Data Support Sheet'!A:O,2,0),"")</f>
        <v/>
      </c>
      <c r="I1573" s="80"/>
      <c r="J1573" s="80"/>
      <c r="K1573" s="81"/>
      <c r="L1573" s="124"/>
      <c r="M1573" s="83"/>
      <c r="N1573" s="84" t="n">
        <f aca="false">+O1573+Q1573+T1573+U1573</f>
        <v>0</v>
      </c>
      <c r="O1573" s="85"/>
      <c r="P1573" s="86"/>
      <c r="Q1573" s="86"/>
      <c r="R1573" s="132"/>
      <c r="S1573" s="128"/>
      <c r="T1573" s="132"/>
      <c r="U1573" s="128"/>
      <c r="V1573" s="128"/>
      <c r="W1573" s="90" t="n">
        <f aca="false">IFERROR(O1573/V1573,0)</f>
        <v>0</v>
      </c>
      <c r="X1573" s="91" t="e">
        <f aca="false">O1573/L1573</f>
        <v>#DIV/0!</v>
      </c>
      <c r="Y1573" s="92" t="n">
        <f aca="false">IFERROR(VLOOKUP(E:E,'Item Data Support Sheet'!A:J,6,0),0)</f>
        <v>0</v>
      </c>
      <c r="Z1573" s="93" t="n">
        <f aca="false">IFERROR(VLOOKUP(E:E,'Item Data Support Sheet'!A:O,4,0),0)</f>
        <v>0</v>
      </c>
      <c r="AA1573" s="93" t="n">
        <f aca="false">IFERROR(((N1573)*(Z1573/1000))+P1573,0)</f>
        <v>0</v>
      </c>
      <c r="AB1573" s="94" t="str">
        <f aca="false">IFERROR((O1573*(Z1573/1000)/(AA1573))," ")</f>
        <v> </v>
      </c>
      <c r="AC1573" s="95" t="n">
        <f aca="false">IFERROR((T1573)/((T1573)+O1573),0)</f>
        <v>0</v>
      </c>
      <c r="AD1573" s="96" t="n">
        <f aca="false">IFERROR(Q1573/(Q1573+N1573),0)</f>
        <v>0</v>
      </c>
      <c r="AE1573" s="91" t="e">
        <f aca="false">(N1573-T1573)/N1573</f>
        <v>#DIV/0!</v>
      </c>
      <c r="AF1573" s="97" t="n">
        <f aca="false">BR1573</f>
        <v>0</v>
      </c>
      <c r="AG1573" s="98" t="n">
        <f aca="false">K1573-AF1573</f>
        <v>0</v>
      </c>
      <c r="AH1573" s="99" t="str">
        <f aca="false">IFERROR(AG1573/K1573," ")</f>
        <v> </v>
      </c>
      <c r="AI1573" s="100" t="n">
        <f aca="false">IFERROR(O1573/K1573,0)</f>
        <v>0</v>
      </c>
      <c r="AJ1573" s="101" t="e">
        <f aca="false">VLOOKUP(D1573,'Standard Cycle time'!C:D,2,0)</f>
        <v>#N/A</v>
      </c>
      <c r="AK1573" s="101" t="e">
        <f aca="false">AG1573*V1573*3600/O1573</f>
        <v>#DIV/0!</v>
      </c>
      <c r="AL1573" s="102" t="e">
        <f aca="false">AJ1573/AK1573</f>
        <v>#N/A</v>
      </c>
      <c r="AM1573" s="99" t="e">
        <f aca="false">AE1573*AL1573*AH1573</f>
        <v>#DIV/0!</v>
      </c>
      <c r="AN1573" s="103"/>
      <c r="AO1573" s="112"/>
      <c r="AP1573" s="105"/>
      <c r="AQ1573" s="105"/>
      <c r="AR1573" s="105"/>
      <c r="AS1573" s="105"/>
      <c r="AT1573" s="105"/>
      <c r="AU1573" s="105"/>
      <c r="AV1573" s="105"/>
      <c r="AW1573" s="105"/>
      <c r="AX1573" s="105"/>
      <c r="AY1573" s="105"/>
      <c r="AZ1573" s="105"/>
      <c r="BA1573" s="105"/>
      <c r="BB1573" s="105"/>
      <c r="BC1573" s="105"/>
      <c r="BD1573" s="105"/>
      <c r="BE1573" s="105"/>
      <c r="BF1573" s="105"/>
      <c r="BG1573" s="105"/>
      <c r="BH1573" s="105"/>
      <c r="BI1573" s="105"/>
      <c r="BJ1573" s="105"/>
      <c r="BK1573" s="105"/>
      <c r="BL1573" s="105"/>
      <c r="BM1573" s="105"/>
      <c r="BN1573" s="105"/>
      <c r="BO1573" s="105"/>
      <c r="BP1573" s="105"/>
      <c r="BQ1573" s="105"/>
      <c r="BR1573" s="106"/>
      <c r="BS1573" s="106"/>
      <c r="BT1573" s="107"/>
      <c r="BU1573" s="107"/>
      <c r="BV1573" s="107"/>
      <c r="BW1573" s="107"/>
      <c r="BX1573" s="107"/>
      <c r="BY1573" s="107"/>
      <c r="BZ1573" s="107"/>
      <c r="CA1573" s="107"/>
      <c r="CB1573" s="107"/>
      <c r="CC1573" s="107"/>
      <c r="CD1573" s="107"/>
      <c r="CE1573" s="107"/>
      <c r="CF1573" s="107"/>
      <c r="CG1573" s="107"/>
      <c r="CH1573" s="107"/>
      <c r="CI1573" s="107"/>
      <c r="CJ1573" s="107"/>
      <c r="CK1573" s="107"/>
      <c r="CL1573" s="107"/>
      <c r="CM1573" s="107"/>
      <c r="CN1573" s="107"/>
      <c r="CO1573" s="107"/>
      <c r="CP1573" s="107"/>
      <c r="CQ1573" s="107"/>
      <c r="CR1573" s="107"/>
      <c r="CS1573" s="107"/>
      <c r="CT1573" s="107"/>
      <c r="CU1573" s="107"/>
      <c r="CV1573" s="107"/>
    </row>
    <row r="1574" customFormat="false" ht="13.8" hidden="false" customHeight="false" outlineLevel="0" collapsed="false">
      <c r="B1574" s="138"/>
      <c r="C1574" s="128"/>
      <c r="D1574" s="77"/>
      <c r="E1574" s="80"/>
      <c r="F1574" s="122"/>
      <c r="G1574" s="137"/>
      <c r="H1574" s="139" t="str">
        <f aca="false">IFERROR(VLOOKUP(E:E,'Item Data Support Sheet'!A:O,2,0),"")</f>
        <v/>
      </c>
      <c r="I1574" s="80"/>
      <c r="J1574" s="80"/>
      <c r="K1574" s="81"/>
      <c r="L1574" s="124"/>
      <c r="M1574" s="83"/>
      <c r="N1574" s="84" t="n">
        <f aca="false">+O1574+Q1574+T1574+U1574</f>
        <v>0</v>
      </c>
      <c r="O1574" s="85"/>
      <c r="P1574" s="86"/>
      <c r="Q1574" s="86"/>
      <c r="R1574" s="132"/>
      <c r="S1574" s="128"/>
      <c r="T1574" s="132"/>
      <c r="U1574" s="128"/>
      <c r="V1574" s="128"/>
      <c r="W1574" s="90" t="n">
        <f aca="false">IFERROR(O1574/V1574,0)</f>
        <v>0</v>
      </c>
      <c r="X1574" s="91" t="e">
        <f aca="false">O1574/L1574</f>
        <v>#DIV/0!</v>
      </c>
      <c r="Y1574" s="92" t="n">
        <f aca="false">IFERROR(VLOOKUP(E:E,'Item Data Support Sheet'!A:J,6,0),0)</f>
        <v>0</v>
      </c>
      <c r="Z1574" s="93" t="n">
        <f aca="false">IFERROR(VLOOKUP(E:E,'Item Data Support Sheet'!A:O,4,0),0)</f>
        <v>0</v>
      </c>
      <c r="AA1574" s="93" t="n">
        <f aca="false">IFERROR(((N1574)*(Z1574/1000))+P1574,0)</f>
        <v>0</v>
      </c>
      <c r="AB1574" s="94" t="str">
        <f aca="false">IFERROR((O1574*(Z1574/1000)/(AA1574))," ")</f>
        <v> </v>
      </c>
      <c r="AC1574" s="95" t="n">
        <f aca="false">IFERROR((T1574)/((T1574)+O1574),0)</f>
        <v>0</v>
      </c>
      <c r="AD1574" s="96" t="n">
        <f aca="false">IFERROR(Q1574/(Q1574+N1574),0)</f>
        <v>0</v>
      </c>
      <c r="AE1574" s="91" t="e">
        <f aca="false">(N1574-T1574)/N1574</f>
        <v>#DIV/0!</v>
      </c>
      <c r="AF1574" s="97" t="n">
        <f aca="false">BR1574</f>
        <v>0</v>
      </c>
      <c r="AG1574" s="98" t="n">
        <f aca="false">K1574-AF1574</f>
        <v>0</v>
      </c>
      <c r="AH1574" s="99" t="str">
        <f aca="false">IFERROR(AG1574/K1574," ")</f>
        <v> </v>
      </c>
      <c r="AI1574" s="100" t="n">
        <f aca="false">IFERROR(O1574/K1574,0)</f>
        <v>0</v>
      </c>
      <c r="AJ1574" s="101" t="e">
        <f aca="false">VLOOKUP(D1574,'Standard Cycle time'!C:D,2,0)</f>
        <v>#N/A</v>
      </c>
      <c r="AK1574" s="101" t="e">
        <f aca="false">AG1574*V1574*3600/O1574</f>
        <v>#DIV/0!</v>
      </c>
      <c r="AL1574" s="102" t="e">
        <f aca="false">AJ1574/AK1574</f>
        <v>#N/A</v>
      </c>
      <c r="AM1574" s="99" t="e">
        <f aca="false">AE1574*AL1574*AH1574</f>
        <v>#DIV/0!</v>
      </c>
      <c r="AN1574" s="103"/>
      <c r="AO1574" s="112"/>
      <c r="AP1574" s="105"/>
      <c r="AQ1574" s="105"/>
      <c r="AR1574" s="105"/>
      <c r="AS1574" s="105"/>
      <c r="AT1574" s="105"/>
      <c r="AU1574" s="105"/>
      <c r="AV1574" s="105"/>
      <c r="AW1574" s="105"/>
      <c r="AX1574" s="105"/>
      <c r="AY1574" s="105"/>
      <c r="AZ1574" s="105"/>
      <c r="BA1574" s="105"/>
      <c r="BB1574" s="105"/>
      <c r="BC1574" s="105"/>
      <c r="BD1574" s="105"/>
      <c r="BE1574" s="105"/>
      <c r="BF1574" s="105"/>
      <c r="BG1574" s="105"/>
      <c r="BH1574" s="105"/>
      <c r="BI1574" s="105"/>
      <c r="BJ1574" s="105"/>
      <c r="BK1574" s="105"/>
      <c r="BL1574" s="105"/>
      <c r="BM1574" s="105"/>
      <c r="BN1574" s="105"/>
      <c r="BO1574" s="105"/>
      <c r="BP1574" s="105"/>
      <c r="BQ1574" s="105"/>
      <c r="BR1574" s="106"/>
      <c r="BS1574" s="106"/>
      <c r="BT1574" s="107"/>
      <c r="BU1574" s="107"/>
      <c r="BV1574" s="107"/>
      <c r="BW1574" s="107"/>
      <c r="BX1574" s="107"/>
      <c r="BY1574" s="107"/>
      <c r="BZ1574" s="107"/>
      <c r="CA1574" s="107"/>
      <c r="CB1574" s="107"/>
      <c r="CC1574" s="107"/>
      <c r="CD1574" s="107"/>
      <c r="CE1574" s="107"/>
      <c r="CF1574" s="107"/>
      <c r="CG1574" s="107"/>
      <c r="CH1574" s="107"/>
      <c r="CI1574" s="107"/>
      <c r="CJ1574" s="107"/>
      <c r="CK1574" s="107"/>
      <c r="CL1574" s="107"/>
      <c r="CM1574" s="107"/>
      <c r="CN1574" s="107"/>
      <c r="CO1574" s="107"/>
      <c r="CP1574" s="107"/>
      <c r="CQ1574" s="107"/>
      <c r="CR1574" s="107"/>
      <c r="CS1574" s="107"/>
      <c r="CT1574" s="107"/>
      <c r="CU1574" s="107"/>
      <c r="CV1574" s="107"/>
    </row>
    <row r="1575" customFormat="false" ht="13.8" hidden="false" customHeight="false" outlineLevel="0" collapsed="false">
      <c r="B1575" s="138"/>
      <c r="C1575" s="128"/>
      <c r="D1575" s="77"/>
      <c r="E1575" s="80"/>
      <c r="F1575" s="122"/>
      <c r="G1575" s="137"/>
      <c r="H1575" s="139" t="str">
        <f aca="false">IFERROR(VLOOKUP(E:E,'Item Data Support Sheet'!A:O,2,0),"")</f>
        <v/>
      </c>
      <c r="I1575" s="80"/>
      <c r="J1575" s="80"/>
      <c r="K1575" s="81"/>
      <c r="L1575" s="124"/>
      <c r="M1575" s="83"/>
      <c r="N1575" s="84" t="n">
        <f aca="false">+O1575+Q1575+T1575+U1575</f>
        <v>0</v>
      </c>
      <c r="O1575" s="85"/>
      <c r="P1575" s="86"/>
      <c r="Q1575" s="86"/>
      <c r="R1575" s="132"/>
      <c r="S1575" s="128"/>
      <c r="T1575" s="132"/>
      <c r="U1575" s="128"/>
      <c r="V1575" s="128"/>
      <c r="W1575" s="90" t="n">
        <f aca="false">IFERROR(O1575/V1575,0)</f>
        <v>0</v>
      </c>
      <c r="X1575" s="91" t="e">
        <f aca="false">O1575/L1575</f>
        <v>#DIV/0!</v>
      </c>
      <c r="Y1575" s="92" t="n">
        <f aca="false">IFERROR(VLOOKUP(E:E,'Item Data Support Sheet'!A:J,6,0),0)</f>
        <v>0</v>
      </c>
      <c r="Z1575" s="93" t="n">
        <f aca="false">IFERROR(VLOOKUP(E:E,'Item Data Support Sheet'!A:O,4,0),0)</f>
        <v>0</v>
      </c>
      <c r="AA1575" s="93" t="n">
        <f aca="false">IFERROR(((N1575)*(Z1575/1000))+P1575,0)</f>
        <v>0</v>
      </c>
      <c r="AB1575" s="94" t="str">
        <f aca="false">IFERROR((O1575*(Z1575/1000)/(AA1575))," ")</f>
        <v> </v>
      </c>
      <c r="AC1575" s="95" t="n">
        <f aca="false">IFERROR((T1575)/((T1575)+O1575),0)</f>
        <v>0</v>
      </c>
      <c r="AD1575" s="96" t="n">
        <f aca="false">IFERROR(Q1575/(Q1575+N1575),0)</f>
        <v>0</v>
      </c>
      <c r="AE1575" s="91" t="e">
        <f aca="false">(N1575-T1575)/N1575</f>
        <v>#DIV/0!</v>
      </c>
      <c r="AF1575" s="97" t="n">
        <f aca="false">BR1575</f>
        <v>0</v>
      </c>
      <c r="AG1575" s="98" t="n">
        <f aca="false">K1575-AF1575</f>
        <v>0</v>
      </c>
      <c r="AH1575" s="99" t="str">
        <f aca="false">IFERROR(AG1575/K1575," ")</f>
        <v> </v>
      </c>
      <c r="AI1575" s="100" t="n">
        <f aca="false">IFERROR(O1575/K1575,0)</f>
        <v>0</v>
      </c>
      <c r="AJ1575" s="101" t="e">
        <f aca="false">VLOOKUP(D1575,'Standard Cycle time'!C:D,2,0)</f>
        <v>#N/A</v>
      </c>
      <c r="AK1575" s="101" t="e">
        <f aca="false">AG1575*V1575*3600/O1575</f>
        <v>#DIV/0!</v>
      </c>
      <c r="AL1575" s="102" t="e">
        <f aca="false">AJ1575/AK1575</f>
        <v>#N/A</v>
      </c>
      <c r="AM1575" s="99" t="e">
        <f aca="false">AE1575*AL1575*AH1575</f>
        <v>#DIV/0!</v>
      </c>
      <c r="AN1575" s="103"/>
      <c r="AO1575" s="112"/>
      <c r="AP1575" s="105"/>
      <c r="AQ1575" s="105"/>
      <c r="AR1575" s="105"/>
      <c r="AS1575" s="105"/>
      <c r="AT1575" s="105"/>
      <c r="AU1575" s="105"/>
      <c r="AV1575" s="105"/>
      <c r="AW1575" s="105"/>
      <c r="AX1575" s="105"/>
      <c r="AY1575" s="105"/>
      <c r="AZ1575" s="105"/>
      <c r="BA1575" s="105"/>
      <c r="BB1575" s="105"/>
      <c r="BC1575" s="105"/>
      <c r="BD1575" s="105"/>
      <c r="BE1575" s="105"/>
      <c r="BF1575" s="105"/>
      <c r="BG1575" s="105"/>
      <c r="BH1575" s="105"/>
      <c r="BI1575" s="105"/>
      <c r="BJ1575" s="105"/>
      <c r="BK1575" s="105"/>
      <c r="BL1575" s="105"/>
      <c r="BM1575" s="105"/>
      <c r="BN1575" s="105"/>
      <c r="BO1575" s="105"/>
      <c r="BP1575" s="105"/>
      <c r="BQ1575" s="105"/>
      <c r="BR1575" s="106"/>
      <c r="BS1575" s="106"/>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c r="CO1575" s="107"/>
      <c r="CP1575" s="107"/>
      <c r="CQ1575" s="107"/>
      <c r="CR1575" s="107"/>
      <c r="CS1575" s="107"/>
      <c r="CT1575" s="107"/>
      <c r="CU1575" s="107"/>
      <c r="CV1575" s="107"/>
    </row>
    <row r="1576" customFormat="false" ht="13.8" hidden="false" customHeight="false" outlineLevel="0" collapsed="false">
      <c r="B1576" s="138"/>
      <c r="C1576" s="128"/>
      <c r="D1576" s="77"/>
      <c r="E1576" s="80"/>
      <c r="F1576" s="122"/>
      <c r="G1576" s="137"/>
      <c r="H1576" s="139" t="str">
        <f aca="false">IFERROR(VLOOKUP(E:E,'Item Data Support Sheet'!A:O,2,0),"")</f>
        <v/>
      </c>
      <c r="I1576" s="80"/>
      <c r="J1576" s="80"/>
      <c r="K1576" s="81"/>
      <c r="L1576" s="124"/>
      <c r="M1576" s="83"/>
      <c r="N1576" s="84" t="n">
        <f aca="false">+O1576+Q1576+T1576+U1576</f>
        <v>0</v>
      </c>
      <c r="O1576" s="85"/>
      <c r="P1576" s="86"/>
      <c r="Q1576" s="86"/>
      <c r="R1576" s="132"/>
      <c r="S1576" s="128"/>
      <c r="T1576" s="132"/>
      <c r="U1576" s="128"/>
      <c r="V1576" s="128"/>
      <c r="W1576" s="90" t="n">
        <f aca="false">IFERROR(O1576/V1576,0)</f>
        <v>0</v>
      </c>
      <c r="X1576" s="91" t="e">
        <f aca="false">O1576/L1576</f>
        <v>#DIV/0!</v>
      </c>
      <c r="Y1576" s="92" t="n">
        <f aca="false">IFERROR(VLOOKUP(E:E,'Item Data Support Sheet'!A:J,6,0),0)</f>
        <v>0</v>
      </c>
      <c r="Z1576" s="93" t="n">
        <f aca="false">IFERROR(VLOOKUP(E:E,'Item Data Support Sheet'!A:O,4,0),0)</f>
        <v>0</v>
      </c>
      <c r="AA1576" s="93" t="n">
        <f aca="false">IFERROR(((N1576)*(Z1576/1000))+P1576,0)</f>
        <v>0</v>
      </c>
      <c r="AB1576" s="94" t="str">
        <f aca="false">IFERROR((O1576*(Z1576/1000)/(AA1576))," ")</f>
        <v> </v>
      </c>
      <c r="AC1576" s="95" t="n">
        <f aca="false">IFERROR((T1576)/((T1576)+O1576),0)</f>
        <v>0</v>
      </c>
      <c r="AD1576" s="96" t="n">
        <f aca="false">IFERROR(Q1576/(Q1576+N1576),0)</f>
        <v>0</v>
      </c>
      <c r="AE1576" s="91" t="e">
        <f aca="false">(N1576-T1576)/N1576</f>
        <v>#DIV/0!</v>
      </c>
      <c r="AF1576" s="97" t="n">
        <f aca="false">BR1576</f>
        <v>0</v>
      </c>
      <c r="AG1576" s="98" t="n">
        <f aca="false">K1576-AF1576</f>
        <v>0</v>
      </c>
      <c r="AH1576" s="99" t="str">
        <f aca="false">IFERROR(AG1576/K1576," ")</f>
        <v> </v>
      </c>
      <c r="AI1576" s="100" t="n">
        <f aca="false">IFERROR(O1576/K1576,0)</f>
        <v>0</v>
      </c>
      <c r="AJ1576" s="101" t="e">
        <f aca="false">VLOOKUP(D1576,'Standard Cycle time'!C:D,2,0)</f>
        <v>#N/A</v>
      </c>
      <c r="AK1576" s="101" t="e">
        <f aca="false">AG1576*V1576*3600/O1576</f>
        <v>#DIV/0!</v>
      </c>
      <c r="AL1576" s="102" t="e">
        <f aca="false">AJ1576/AK1576</f>
        <v>#N/A</v>
      </c>
      <c r="AM1576" s="99" t="e">
        <f aca="false">AE1576*AL1576*AH1576</f>
        <v>#DIV/0!</v>
      </c>
      <c r="AN1576" s="103"/>
      <c r="AO1576" s="112"/>
      <c r="AP1576" s="105"/>
      <c r="AQ1576" s="105"/>
      <c r="AR1576" s="105"/>
      <c r="AS1576" s="105"/>
      <c r="AT1576" s="105"/>
      <c r="AU1576" s="105"/>
      <c r="AV1576" s="105"/>
      <c r="AW1576" s="105"/>
      <c r="AX1576" s="105"/>
      <c r="AY1576" s="105"/>
      <c r="AZ1576" s="105"/>
      <c r="BA1576" s="105"/>
      <c r="BB1576" s="105"/>
      <c r="BC1576" s="105"/>
      <c r="BD1576" s="105"/>
      <c r="BE1576" s="105"/>
      <c r="BF1576" s="105"/>
      <c r="BG1576" s="105"/>
      <c r="BH1576" s="105"/>
      <c r="BI1576" s="105"/>
      <c r="BJ1576" s="105"/>
      <c r="BK1576" s="105"/>
      <c r="BL1576" s="105"/>
      <c r="BM1576" s="105"/>
      <c r="BN1576" s="105"/>
      <c r="BO1576" s="105"/>
      <c r="BP1576" s="105"/>
      <c r="BQ1576" s="105"/>
      <c r="BR1576" s="106"/>
      <c r="BS1576" s="106"/>
      <c r="BT1576" s="107"/>
      <c r="BU1576" s="107"/>
      <c r="BV1576" s="107"/>
      <c r="BW1576" s="107"/>
      <c r="BX1576" s="107"/>
      <c r="BY1576" s="107"/>
      <c r="BZ1576" s="107"/>
      <c r="CA1576" s="107"/>
      <c r="CB1576" s="107"/>
      <c r="CC1576" s="107"/>
      <c r="CD1576" s="107"/>
      <c r="CE1576" s="107"/>
      <c r="CF1576" s="107"/>
      <c r="CG1576" s="107"/>
      <c r="CH1576" s="107"/>
      <c r="CI1576" s="107"/>
      <c r="CJ1576" s="107"/>
      <c r="CK1576" s="107"/>
      <c r="CL1576" s="107"/>
      <c r="CM1576" s="107"/>
      <c r="CN1576" s="107"/>
      <c r="CO1576" s="107"/>
      <c r="CP1576" s="107"/>
      <c r="CQ1576" s="107"/>
      <c r="CR1576" s="107"/>
      <c r="CS1576" s="107"/>
      <c r="CT1576" s="107"/>
      <c r="CU1576" s="107"/>
      <c r="CV1576" s="107"/>
    </row>
    <row r="1577" customFormat="false" ht="13.8" hidden="false" customHeight="false" outlineLevel="0" collapsed="false">
      <c r="B1577" s="138"/>
      <c r="C1577" s="128"/>
      <c r="D1577" s="77"/>
      <c r="E1577" s="80"/>
      <c r="F1577" s="122"/>
      <c r="G1577" s="137"/>
      <c r="H1577" s="139" t="str">
        <f aca="false">IFERROR(VLOOKUP(E:E,'Item Data Support Sheet'!A:O,2,0),"")</f>
        <v/>
      </c>
      <c r="I1577" s="80"/>
      <c r="J1577" s="80"/>
      <c r="K1577" s="81"/>
      <c r="L1577" s="124"/>
      <c r="M1577" s="83"/>
      <c r="N1577" s="84" t="n">
        <f aca="false">+O1577+Q1577+T1577+U1577</f>
        <v>0</v>
      </c>
      <c r="O1577" s="85"/>
      <c r="P1577" s="86"/>
      <c r="Q1577" s="86"/>
      <c r="R1577" s="132"/>
      <c r="S1577" s="128"/>
      <c r="T1577" s="132"/>
      <c r="U1577" s="128"/>
      <c r="V1577" s="128"/>
      <c r="W1577" s="90" t="n">
        <f aca="false">IFERROR(O1577/V1577,0)</f>
        <v>0</v>
      </c>
      <c r="X1577" s="91" t="e">
        <f aca="false">O1577/L1577</f>
        <v>#DIV/0!</v>
      </c>
      <c r="Y1577" s="92" t="n">
        <f aca="false">IFERROR(VLOOKUP(E:E,'Item Data Support Sheet'!A:J,6,0),0)</f>
        <v>0</v>
      </c>
      <c r="Z1577" s="93" t="n">
        <f aca="false">IFERROR(VLOOKUP(E:E,'Item Data Support Sheet'!A:O,4,0),0)</f>
        <v>0</v>
      </c>
      <c r="AA1577" s="93" t="n">
        <f aca="false">IFERROR(((N1577)*(Z1577/1000))+P1577,0)</f>
        <v>0</v>
      </c>
      <c r="AB1577" s="94" t="str">
        <f aca="false">IFERROR((O1577*(Z1577/1000)/(AA1577))," ")</f>
        <v> </v>
      </c>
      <c r="AC1577" s="95" t="n">
        <f aca="false">IFERROR((T1577)/((T1577)+O1577),0)</f>
        <v>0</v>
      </c>
      <c r="AD1577" s="96" t="n">
        <f aca="false">IFERROR(Q1577/(Q1577+N1577),0)</f>
        <v>0</v>
      </c>
      <c r="AE1577" s="91" t="e">
        <f aca="false">(N1577-T1577)/N1577</f>
        <v>#DIV/0!</v>
      </c>
      <c r="AF1577" s="97" t="n">
        <f aca="false">BR1577</f>
        <v>0</v>
      </c>
      <c r="AG1577" s="98" t="n">
        <f aca="false">K1577-AF1577</f>
        <v>0</v>
      </c>
      <c r="AH1577" s="99" t="str">
        <f aca="false">IFERROR(AG1577/K1577," ")</f>
        <v> </v>
      </c>
      <c r="AI1577" s="100" t="n">
        <f aca="false">IFERROR(O1577/K1577,0)</f>
        <v>0</v>
      </c>
      <c r="AJ1577" s="101" t="e">
        <f aca="false">VLOOKUP(D1577,'Standard Cycle time'!C:D,2,0)</f>
        <v>#N/A</v>
      </c>
      <c r="AK1577" s="101" t="e">
        <f aca="false">AG1577*V1577*3600/O1577</f>
        <v>#DIV/0!</v>
      </c>
      <c r="AL1577" s="102" t="e">
        <f aca="false">AJ1577/AK1577</f>
        <v>#N/A</v>
      </c>
      <c r="AM1577" s="99" t="e">
        <f aca="false">AE1577*AL1577*AH1577</f>
        <v>#DIV/0!</v>
      </c>
      <c r="AN1577" s="103"/>
      <c r="AO1577" s="112"/>
      <c r="AP1577" s="105"/>
      <c r="AQ1577" s="105"/>
      <c r="AR1577" s="105"/>
      <c r="AS1577" s="105"/>
      <c r="AT1577" s="105"/>
      <c r="AU1577" s="105"/>
      <c r="AV1577" s="105"/>
      <c r="AW1577" s="105"/>
      <c r="AX1577" s="105"/>
      <c r="AY1577" s="105"/>
      <c r="AZ1577" s="105"/>
      <c r="BA1577" s="105"/>
      <c r="BB1577" s="105"/>
      <c r="BC1577" s="105"/>
      <c r="BD1577" s="105"/>
      <c r="BE1577" s="105"/>
      <c r="BF1577" s="105"/>
      <c r="BG1577" s="105"/>
      <c r="BH1577" s="105"/>
      <c r="BI1577" s="105"/>
      <c r="BJ1577" s="105"/>
      <c r="BK1577" s="105"/>
      <c r="BL1577" s="105"/>
      <c r="BM1577" s="105"/>
      <c r="BN1577" s="105"/>
      <c r="BO1577" s="105"/>
      <c r="BP1577" s="105"/>
      <c r="BQ1577" s="105"/>
      <c r="BR1577" s="106"/>
      <c r="BS1577" s="106"/>
      <c r="BT1577" s="107"/>
      <c r="BU1577" s="107"/>
      <c r="BV1577" s="107"/>
      <c r="BW1577" s="107"/>
      <c r="BX1577" s="107"/>
      <c r="BY1577" s="107"/>
      <c r="BZ1577" s="107"/>
      <c r="CA1577" s="107"/>
      <c r="CB1577" s="107"/>
      <c r="CC1577" s="107"/>
      <c r="CD1577" s="107"/>
      <c r="CE1577" s="107"/>
      <c r="CF1577" s="107"/>
      <c r="CG1577" s="107"/>
      <c r="CH1577" s="107"/>
      <c r="CI1577" s="107"/>
      <c r="CJ1577" s="107"/>
      <c r="CK1577" s="107"/>
      <c r="CL1577" s="107"/>
      <c r="CM1577" s="107"/>
      <c r="CN1577" s="107"/>
      <c r="CO1577" s="107"/>
      <c r="CP1577" s="107"/>
      <c r="CQ1577" s="107"/>
      <c r="CR1577" s="107"/>
      <c r="CS1577" s="107"/>
      <c r="CT1577" s="107"/>
      <c r="CU1577" s="107"/>
      <c r="CV1577" s="107"/>
    </row>
    <row r="1578" customFormat="false" ht="13.8" hidden="false" customHeight="false" outlineLevel="0" collapsed="false">
      <c r="B1578" s="138"/>
      <c r="C1578" s="128"/>
      <c r="D1578" s="77"/>
      <c r="E1578" s="80"/>
      <c r="F1578" s="122"/>
      <c r="G1578" s="137"/>
      <c r="H1578" s="139" t="str">
        <f aca="false">IFERROR(VLOOKUP(E:E,'Item Data Support Sheet'!A:O,2,0),"")</f>
        <v/>
      </c>
      <c r="I1578" s="80"/>
      <c r="J1578" s="80"/>
      <c r="K1578" s="81"/>
      <c r="L1578" s="124"/>
      <c r="M1578" s="83"/>
      <c r="N1578" s="84" t="n">
        <f aca="false">+O1578+Q1578+T1578+U1578</f>
        <v>0</v>
      </c>
      <c r="O1578" s="85"/>
      <c r="P1578" s="86"/>
      <c r="Q1578" s="86"/>
      <c r="R1578" s="132"/>
      <c r="S1578" s="128"/>
      <c r="T1578" s="132"/>
      <c r="U1578" s="128"/>
      <c r="V1578" s="128"/>
      <c r="W1578" s="90" t="n">
        <f aca="false">IFERROR(O1578/V1578,0)</f>
        <v>0</v>
      </c>
      <c r="X1578" s="91" t="e">
        <f aca="false">O1578/L1578</f>
        <v>#DIV/0!</v>
      </c>
      <c r="Y1578" s="92" t="n">
        <f aca="false">IFERROR(VLOOKUP(E:E,'Item Data Support Sheet'!A:J,6,0),0)</f>
        <v>0</v>
      </c>
      <c r="Z1578" s="93" t="n">
        <f aca="false">IFERROR(VLOOKUP(E:E,'Item Data Support Sheet'!A:O,4,0),0)</f>
        <v>0</v>
      </c>
      <c r="AA1578" s="93" t="n">
        <f aca="false">IFERROR(((N1578)*(Z1578/1000))+P1578,0)</f>
        <v>0</v>
      </c>
      <c r="AB1578" s="94" t="str">
        <f aca="false">IFERROR((O1578*(Z1578/1000)/(AA1578))," ")</f>
        <v> </v>
      </c>
      <c r="AC1578" s="95" t="n">
        <f aca="false">IFERROR((T1578)/((T1578)+O1578),0)</f>
        <v>0</v>
      </c>
      <c r="AD1578" s="96" t="n">
        <f aca="false">IFERROR(Q1578/(Q1578+N1578),0)</f>
        <v>0</v>
      </c>
      <c r="AE1578" s="91" t="e">
        <f aca="false">(N1578-T1578)/N1578</f>
        <v>#DIV/0!</v>
      </c>
      <c r="AF1578" s="97" t="n">
        <f aca="false">BR1578</f>
        <v>0</v>
      </c>
      <c r="AG1578" s="98" t="n">
        <f aca="false">K1578-AF1578</f>
        <v>0</v>
      </c>
      <c r="AH1578" s="99" t="str">
        <f aca="false">IFERROR(AG1578/K1578," ")</f>
        <v> </v>
      </c>
      <c r="AI1578" s="100" t="n">
        <f aca="false">IFERROR(O1578/K1578,0)</f>
        <v>0</v>
      </c>
      <c r="AJ1578" s="101" t="e">
        <f aca="false">VLOOKUP(D1578,'Standard Cycle time'!C:D,2,0)</f>
        <v>#N/A</v>
      </c>
      <c r="AK1578" s="101" t="e">
        <f aca="false">AG1578*V1578*3600/O1578</f>
        <v>#DIV/0!</v>
      </c>
      <c r="AL1578" s="102" t="e">
        <f aca="false">AJ1578/AK1578</f>
        <v>#N/A</v>
      </c>
      <c r="AM1578" s="99" t="e">
        <f aca="false">AE1578*AL1578*AH1578</f>
        <v>#DIV/0!</v>
      </c>
      <c r="AN1578" s="103"/>
      <c r="AO1578" s="112"/>
      <c r="AP1578" s="105"/>
      <c r="AQ1578" s="105"/>
      <c r="AR1578" s="105"/>
      <c r="AS1578" s="105"/>
      <c r="AT1578" s="105"/>
      <c r="AU1578" s="105"/>
      <c r="AV1578" s="105"/>
      <c r="AW1578" s="105"/>
      <c r="AX1578" s="105"/>
      <c r="AY1578" s="105"/>
      <c r="AZ1578" s="105"/>
      <c r="BA1578" s="105"/>
      <c r="BB1578" s="105"/>
      <c r="BC1578" s="105"/>
      <c r="BD1578" s="105"/>
      <c r="BE1578" s="105"/>
      <c r="BF1578" s="105"/>
      <c r="BG1578" s="105"/>
      <c r="BH1578" s="105"/>
      <c r="BI1578" s="105"/>
      <c r="BJ1578" s="105"/>
      <c r="BK1578" s="105"/>
      <c r="BL1578" s="105"/>
      <c r="BM1578" s="105"/>
      <c r="BN1578" s="105"/>
      <c r="BO1578" s="105"/>
      <c r="BP1578" s="105"/>
      <c r="BQ1578" s="105"/>
      <c r="BR1578" s="106"/>
      <c r="BS1578" s="106"/>
      <c r="BT1578" s="107"/>
      <c r="BU1578" s="107"/>
      <c r="BV1578" s="107"/>
      <c r="BW1578" s="107"/>
      <c r="BX1578" s="107"/>
      <c r="BY1578" s="107"/>
      <c r="BZ1578" s="107"/>
      <c r="CA1578" s="107"/>
      <c r="CB1578" s="107"/>
      <c r="CC1578" s="107"/>
      <c r="CD1578" s="107"/>
      <c r="CE1578" s="107"/>
      <c r="CF1578" s="107"/>
      <c r="CG1578" s="107"/>
      <c r="CH1578" s="107"/>
      <c r="CI1578" s="107"/>
      <c r="CJ1578" s="107"/>
      <c r="CK1578" s="107"/>
      <c r="CL1578" s="107"/>
      <c r="CM1578" s="107"/>
      <c r="CN1578" s="107"/>
      <c r="CO1578" s="107"/>
      <c r="CP1578" s="107"/>
      <c r="CQ1578" s="107"/>
      <c r="CR1578" s="107"/>
      <c r="CS1578" s="107"/>
      <c r="CT1578" s="107"/>
      <c r="CU1578" s="107"/>
      <c r="CV1578" s="107"/>
    </row>
    <row r="1579" customFormat="false" ht="13.8" hidden="false" customHeight="false" outlineLevel="0" collapsed="false">
      <c r="B1579" s="138"/>
      <c r="C1579" s="128"/>
      <c r="D1579" s="77"/>
      <c r="E1579" s="80"/>
      <c r="F1579" s="122"/>
      <c r="G1579" s="137"/>
      <c r="H1579" s="139" t="str">
        <f aca="false">IFERROR(VLOOKUP(E:E,'Item Data Support Sheet'!A:O,2,0),"")</f>
        <v/>
      </c>
      <c r="I1579" s="80"/>
      <c r="J1579" s="80"/>
      <c r="K1579" s="81"/>
      <c r="L1579" s="124"/>
      <c r="M1579" s="83"/>
      <c r="N1579" s="84" t="n">
        <f aca="false">+O1579+Q1579+T1579+U1579</f>
        <v>0</v>
      </c>
      <c r="O1579" s="85"/>
      <c r="P1579" s="86"/>
      <c r="Q1579" s="86"/>
      <c r="R1579" s="132"/>
      <c r="S1579" s="128"/>
      <c r="T1579" s="132"/>
      <c r="U1579" s="128"/>
      <c r="V1579" s="128"/>
      <c r="W1579" s="90" t="n">
        <f aca="false">IFERROR(O1579/V1579,0)</f>
        <v>0</v>
      </c>
      <c r="X1579" s="91" t="e">
        <f aca="false">O1579/L1579</f>
        <v>#DIV/0!</v>
      </c>
      <c r="Y1579" s="92" t="n">
        <f aca="false">IFERROR(VLOOKUP(E:E,'Item Data Support Sheet'!A:J,6,0),0)</f>
        <v>0</v>
      </c>
      <c r="Z1579" s="93" t="n">
        <f aca="false">IFERROR(VLOOKUP(E:E,'Item Data Support Sheet'!A:O,4,0),0)</f>
        <v>0</v>
      </c>
      <c r="AA1579" s="93" t="n">
        <f aca="false">IFERROR(((N1579)*(Z1579/1000))+P1579,0)</f>
        <v>0</v>
      </c>
      <c r="AB1579" s="94" t="str">
        <f aca="false">IFERROR((O1579*(Z1579/1000)/(AA1579))," ")</f>
        <v> </v>
      </c>
      <c r="AC1579" s="95" t="n">
        <f aca="false">IFERROR((T1579)/((T1579)+O1579),0)</f>
        <v>0</v>
      </c>
      <c r="AD1579" s="96" t="n">
        <f aca="false">IFERROR(Q1579/(Q1579+N1579),0)</f>
        <v>0</v>
      </c>
      <c r="AE1579" s="91" t="e">
        <f aca="false">(N1579-T1579)/N1579</f>
        <v>#DIV/0!</v>
      </c>
      <c r="AF1579" s="97" t="n">
        <f aca="false">BR1579</f>
        <v>0</v>
      </c>
      <c r="AG1579" s="98" t="n">
        <f aca="false">K1579-AF1579</f>
        <v>0</v>
      </c>
      <c r="AH1579" s="99" t="str">
        <f aca="false">IFERROR(AG1579/K1579," ")</f>
        <v> </v>
      </c>
      <c r="AI1579" s="100" t="n">
        <f aca="false">IFERROR(O1579/K1579,0)</f>
        <v>0</v>
      </c>
      <c r="AJ1579" s="101" t="e">
        <f aca="false">VLOOKUP(D1579,'Standard Cycle time'!C:D,2,0)</f>
        <v>#N/A</v>
      </c>
      <c r="AK1579" s="101" t="e">
        <f aca="false">AG1579*V1579*3600/O1579</f>
        <v>#DIV/0!</v>
      </c>
      <c r="AL1579" s="102" t="e">
        <f aca="false">AJ1579/AK1579</f>
        <v>#N/A</v>
      </c>
      <c r="AM1579" s="99" t="e">
        <f aca="false">AE1579*AL1579*AH1579</f>
        <v>#DIV/0!</v>
      </c>
      <c r="AN1579" s="103"/>
      <c r="AO1579" s="112"/>
      <c r="AP1579" s="105"/>
      <c r="AQ1579" s="105"/>
      <c r="AR1579" s="105"/>
      <c r="AS1579" s="105"/>
      <c r="AT1579" s="105"/>
      <c r="AU1579" s="105"/>
      <c r="AV1579" s="105"/>
      <c r="AW1579" s="105"/>
      <c r="AX1579" s="105"/>
      <c r="AY1579" s="105"/>
      <c r="AZ1579" s="105"/>
      <c r="BA1579" s="105"/>
      <c r="BB1579" s="105"/>
      <c r="BC1579" s="105"/>
      <c r="BD1579" s="105"/>
      <c r="BE1579" s="105"/>
      <c r="BF1579" s="105"/>
      <c r="BG1579" s="105"/>
      <c r="BH1579" s="105"/>
      <c r="BI1579" s="105"/>
      <c r="BJ1579" s="105"/>
      <c r="BK1579" s="105"/>
      <c r="BL1579" s="105"/>
      <c r="BM1579" s="105"/>
      <c r="BN1579" s="105"/>
      <c r="BO1579" s="105"/>
      <c r="BP1579" s="105"/>
      <c r="BQ1579" s="105"/>
      <c r="BR1579" s="106"/>
      <c r="BS1579" s="106"/>
      <c r="BT1579" s="107"/>
      <c r="BU1579" s="107"/>
      <c r="BV1579" s="107"/>
      <c r="BW1579" s="107"/>
      <c r="BX1579" s="107"/>
      <c r="BY1579" s="107"/>
      <c r="BZ1579" s="107"/>
      <c r="CA1579" s="107"/>
      <c r="CB1579" s="107"/>
      <c r="CC1579" s="107"/>
      <c r="CD1579" s="107"/>
      <c r="CE1579" s="107"/>
      <c r="CF1579" s="107"/>
      <c r="CG1579" s="107"/>
      <c r="CH1579" s="107"/>
      <c r="CI1579" s="107"/>
      <c r="CJ1579" s="107"/>
      <c r="CK1579" s="107"/>
      <c r="CL1579" s="107"/>
      <c r="CM1579" s="107"/>
      <c r="CN1579" s="107"/>
      <c r="CO1579" s="107"/>
      <c r="CP1579" s="107"/>
      <c r="CQ1579" s="107"/>
      <c r="CR1579" s="107"/>
      <c r="CS1579" s="107"/>
      <c r="CT1579" s="107"/>
      <c r="CU1579" s="107"/>
      <c r="CV1579" s="107"/>
    </row>
    <row r="1580" customFormat="false" ht="13.8" hidden="false" customHeight="false" outlineLevel="0" collapsed="false">
      <c r="B1580" s="138"/>
      <c r="C1580" s="128"/>
      <c r="D1580" s="77"/>
      <c r="E1580" s="80"/>
      <c r="F1580" s="122"/>
      <c r="G1580" s="137"/>
      <c r="H1580" s="139" t="str">
        <f aca="false">IFERROR(VLOOKUP(E:E,'Item Data Support Sheet'!A:O,2,0),"")</f>
        <v/>
      </c>
      <c r="I1580" s="80"/>
      <c r="J1580" s="80"/>
      <c r="K1580" s="81"/>
      <c r="L1580" s="124"/>
      <c r="M1580" s="83"/>
      <c r="N1580" s="84" t="n">
        <f aca="false">+O1580+Q1580+T1580+U1580</f>
        <v>0</v>
      </c>
      <c r="O1580" s="85"/>
      <c r="P1580" s="86"/>
      <c r="Q1580" s="86"/>
      <c r="R1580" s="132"/>
      <c r="S1580" s="128"/>
      <c r="T1580" s="132"/>
      <c r="U1580" s="128"/>
      <c r="V1580" s="128"/>
      <c r="W1580" s="90" t="n">
        <f aca="false">IFERROR(O1580/V1580,0)</f>
        <v>0</v>
      </c>
      <c r="X1580" s="91" t="e">
        <f aca="false">O1580/L1580</f>
        <v>#DIV/0!</v>
      </c>
      <c r="Y1580" s="92" t="n">
        <f aca="false">IFERROR(VLOOKUP(E:E,'Item Data Support Sheet'!A:J,6,0),0)</f>
        <v>0</v>
      </c>
      <c r="Z1580" s="93" t="n">
        <f aca="false">IFERROR(VLOOKUP(E:E,'Item Data Support Sheet'!A:O,4,0),0)</f>
        <v>0</v>
      </c>
      <c r="AA1580" s="93" t="n">
        <f aca="false">IFERROR(((N1580)*(Z1580/1000))+P1580,0)</f>
        <v>0</v>
      </c>
      <c r="AB1580" s="94" t="str">
        <f aca="false">IFERROR((O1580*(Z1580/1000)/(AA1580))," ")</f>
        <v> </v>
      </c>
      <c r="AC1580" s="95" t="n">
        <f aca="false">IFERROR((T1580)/((T1580)+O1580),0)</f>
        <v>0</v>
      </c>
      <c r="AD1580" s="96" t="n">
        <f aca="false">IFERROR(Q1580/(Q1580+N1580),0)</f>
        <v>0</v>
      </c>
      <c r="AE1580" s="91" t="e">
        <f aca="false">(N1580-T1580)/N1580</f>
        <v>#DIV/0!</v>
      </c>
      <c r="AF1580" s="97" t="n">
        <f aca="false">BR1580</f>
        <v>0</v>
      </c>
      <c r="AG1580" s="98" t="n">
        <f aca="false">K1580-AF1580</f>
        <v>0</v>
      </c>
      <c r="AH1580" s="99" t="str">
        <f aca="false">IFERROR(AG1580/K1580," ")</f>
        <v> </v>
      </c>
      <c r="AI1580" s="100" t="n">
        <f aca="false">IFERROR(O1580/K1580,0)</f>
        <v>0</v>
      </c>
      <c r="AJ1580" s="101" t="e">
        <f aca="false">VLOOKUP(D1580,'Standard Cycle time'!C:D,2,0)</f>
        <v>#N/A</v>
      </c>
      <c r="AK1580" s="101" t="e">
        <f aca="false">AG1580*V1580*3600/O1580</f>
        <v>#DIV/0!</v>
      </c>
      <c r="AL1580" s="102" t="e">
        <f aca="false">AJ1580/AK1580</f>
        <v>#N/A</v>
      </c>
      <c r="AM1580" s="99" t="e">
        <f aca="false">AE1580*AL1580*AH1580</f>
        <v>#DIV/0!</v>
      </c>
      <c r="AN1580" s="103"/>
      <c r="AO1580" s="112"/>
      <c r="AP1580" s="105"/>
      <c r="AQ1580" s="105"/>
      <c r="AR1580" s="105"/>
      <c r="AS1580" s="105"/>
      <c r="AT1580" s="105"/>
      <c r="AU1580" s="105"/>
      <c r="AV1580" s="105"/>
      <c r="AW1580" s="105"/>
      <c r="AX1580" s="105"/>
      <c r="AY1580" s="105"/>
      <c r="AZ1580" s="105"/>
      <c r="BA1580" s="105"/>
      <c r="BB1580" s="105"/>
      <c r="BC1580" s="105"/>
      <c r="BD1580" s="105"/>
      <c r="BE1580" s="105"/>
      <c r="BF1580" s="105"/>
      <c r="BG1580" s="105"/>
      <c r="BH1580" s="105"/>
      <c r="BI1580" s="105"/>
      <c r="BJ1580" s="105"/>
      <c r="BK1580" s="105"/>
      <c r="BL1580" s="105"/>
      <c r="BM1580" s="105"/>
      <c r="BN1580" s="105"/>
      <c r="BO1580" s="105"/>
      <c r="BP1580" s="105"/>
      <c r="BQ1580" s="105"/>
      <c r="BR1580" s="106"/>
      <c r="BS1580" s="106"/>
      <c r="BT1580" s="107"/>
      <c r="BU1580" s="107"/>
      <c r="BV1580" s="107"/>
      <c r="BW1580" s="107"/>
      <c r="BX1580" s="107"/>
      <c r="BY1580" s="107"/>
      <c r="BZ1580" s="107"/>
      <c r="CA1580" s="107"/>
      <c r="CB1580" s="107"/>
      <c r="CC1580" s="107"/>
      <c r="CD1580" s="107"/>
      <c r="CE1580" s="107"/>
      <c r="CF1580" s="107"/>
      <c r="CG1580" s="107"/>
      <c r="CH1580" s="107"/>
      <c r="CI1580" s="107"/>
      <c r="CJ1580" s="107"/>
      <c r="CK1580" s="107"/>
      <c r="CL1580" s="107"/>
      <c r="CM1580" s="107"/>
      <c r="CN1580" s="107"/>
      <c r="CO1580" s="107"/>
      <c r="CP1580" s="107"/>
      <c r="CQ1580" s="107"/>
      <c r="CR1580" s="107"/>
      <c r="CS1580" s="107"/>
      <c r="CT1580" s="107"/>
      <c r="CU1580" s="107"/>
      <c r="CV1580" s="107"/>
    </row>
    <row r="1581" customFormat="false" ht="13.8" hidden="false" customHeight="false" outlineLevel="0" collapsed="false">
      <c r="B1581" s="138"/>
      <c r="C1581" s="128"/>
      <c r="D1581" s="77"/>
      <c r="E1581" s="80"/>
      <c r="F1581" s="122"/>
      <c r="G1581" s="137"/>
      <c r="H1581" s="139" t="str">
        <f aca="false">IFERROR(VLOOKUP(E:E,'Item Data Support Sheet'!A:O,2,0),"")</f>
        <v/>
      </c>
      <c r="I1581" s="80"/>
      <c r="J1581" s="80"/>
      <c r="K1581" s="81"/>
      <c r="L1581" s="124"/>
      <c r="M1581" s="83"/>
      <c r="N1581" s="84" t="n">
        <f aca="false">+O1581+Q1581+T1581+U1581</f>
        <v>0</v>
      </c>
      <c r="O1581" s="85"/>
      <c r="P1581" s="86"/>
      <c r="Q1581" s="86"/>
      <c r="R1581" s="132"/>
      <c r="S1581" s="128"/>
      <c r="T1581" s="132"/>
      <c r="U1581" s="128"/>
      <c r="V1581" s="128"/>
      <c r="W1581" s="90" t="n">
        <f aca="false">IFERROR(O1581/V1581,0)</f>
        <v>0</v>
      </c>
      <c r="X1581" s="91" t="e">
        <f aca="false">O1581/L1581</f>
        <v>#DIV/0!</v>
      </c>
      <c r="Y1581" s="92" t="n">
        <f aca="false">IFERROR(VLOOKUP(E:E,'Item Data Support Sheet'!A:J,6,0),0)</f>
        <v>0</v>
      </c>
      <c r="Z1581" s="93" t="n">
        <f aca="false">IFERROR(VLOOKUP(E:E,'Item Data Support Sheet'!A:O,4,0),0)</f>
        <v>0</v>
      </c>
      <c r="AA1581" s="93" t="n">
        <f aca="false">IFERROR(((N1581)*(Z1581/1000))+P1581,0)</f>
        <v>0</v>
      </c>
      <c r="AB1581" s="94" t="str">
        <f aca="false">IFERROR((O1581*(Z1581/1000)/(AA1581))," ")</f>
        <v> </v>
      </c>
      <c r="AC1581" s="95" t="n">
        <f aca="false">IFERROR((T1581)/((T1581)+O1581),0)</f>
        <v>0</v>
      </c>
      <c r="AD1581" s="96" t="n">
        <f aca="false">IFERROR(Q1581/(Q1581+N1581),0)</f>
        <v>0</v>
      </c>
      <c r="AE1581" s="91" t="e">
        <f aca="false">(N1581-T1581)/N1581</f>
        <v>#DIV/0!</v>
      </c>
      <c r="AF1581" s="97" t="n">
        <f aca="false">BR1581</f>
        <v>0</v>
      </c>
      <c r="AG1581" s="98" t="n">
        <f aca="false">K1581-AF1581</f>
        <v>0</v>
      </c>
      <c r="AH1581" s="99" t="str">
        <f aca="false">IFERROR(AG1581/K1581," ")</f>
        <v> </v>
      </c>
      <c r="AI1581" s="100" t="n">
        <f aca="false">IFERROR(O1581/K1581,0)</f>
        <v>0</v>
      </c>
      <c r="AJ1581" s="101" t="e">
        <f aca="false">VLOOKUP(D1581,'Standard Cycle time'!C:D,2,0)</f>
        <v>#N/A</v>
      </c>
      <c r="AK1581" s="101" t="e">
        <f aca="false">AG1581*V1581*3600/O1581</f>
        <v>#DIV/0!</v>
      </c>
      <c r="AL1581" s="102" t="e">
        <f aca="false">AJ1581/AK1581</f>
        <v>#N/A</v>
      </c>
      <c r="AM1581" s="99" t="e">
        <f aca="false">AE1581*AL1581*AH1581</f>
        <v>#DIV/0!</v>
      </c>
      <c r="AN1581" s="103"/>
      <c r="AO1581" s="112"/>
      <c r="AP1581" s="105"/>
      <c r="AQ1581" s="105"/>
      <c r="AR1581" s="105"/>
      <c r="AS1581" s="105"/>
      <c r="AT1581" s="105"/>
      <c r="AU1581" s="105"/>
      <c r="AV1581" s="105"/>
      <c r="AW1581" s="105"/>
      <c r="AX1581" s="105"/>
      <c r="AY1581" s="105"/>
      <c r="AZ1581" s="105"/>
      <c r="BA1581" s="105"/>
      <c r="BB1581" s="105"/>
      <c r="BC1581" s="105"/>
      <c r="BD1581" s="105"/>
      <c r="BE1581" s="105"/>
      <c r="BF1581" s="105"/>
      <c r="BG1581" s="105"/>
      <c r="BH1581" s="105"/>
      <c r="BI1581" s="105"/>
      <c r="BJ1581" s="105"/>
      <c r="BK1581" s="105"/>
      <c r="BL1581" s="105"/>
      <c r="BM1581" s="105"/>
      <c r="BN1581" s="105"/>
      <c r="BO1581" s="105"/>
      <c r="BP1581" s="105"/>
      <c r="BQ1581" s="105"/>
      <c r="BR1581" s="106"/>
      <c r="BS1581" s="106"/>
      <c r="BT1581" s="107"/>
      <c r="BU1581" s="107"/>
      <c r="BV1581" s="107"/>
      <c r="BW1581" s="107"/>
      <c r="BX1581" s="107"/>
      <c r="BY1581" s="107"/>
      <c r="BZ1581" s="107"/>
      <c r="CA1581" s="107"/>
      <c r="CB1581" s="107"/>
      <c r="CC1581" s="107"/>
      <c r="CD1581" s="107"/>
      <c r="CE1581" s="107"/>
      <c r="CF1581" s="107"/>
      <c r="CG1581" s="107"/>
      <c r="CH1581" s="107"/>
      <c r="CI1581" s="107"/>
      <c r="CJ1581" s="107"/>
      <c r="CK1581" s="107"/>
      <c r="CL1581" s="107"/>
      <c r="CM1581" s="107"/>
      <c r="CN1581" s="107"/>
      <c r="CO1581" s="107"/>
      <c r="CP1581" s="107"/>
      <c r="CQ1581" s="107"/>
      <c r="CR1581" s="107"/>
      <c r="CS1581" s="107"/>
      <c r="CT1581" s="107"/>
      <c r="CU1581" s="107"/>
      <c r="CV1581" s="107"/>
    </row>
    <row r="1582" customFormat="false" ht="13.8" hidden="false" customHeight="false" outlineLevel="0" collapsed="false">
      <c r="B1582" s="138"/>
      <c r="C1582" s="128"/>
      <c r="D1582" s="77"/>
      <c r="E1582" s="80"/>
      <c r="F1582" s="122"/>
      <c r="G1582" s="137"/>
      <c r="H1582" s="139" t="str">
        <f aca="false">IFERROR(VLOOKUP(E:E,'Item Data Support Sheet'!A:O,2,0),"")</f>
        <v/>
      </c>
      <c r="I1582" s="80"/>
      <c r="J1582" s="80"/>
      <c r="K1582" s="81"/>
      <c r="L1582" s="124"/>
      <c r="M1582" s="83"/>
      <c r="N1582" s="84" t="n">
        <f aca="false">+O1582+Q1582+T1582+U1582</f>
        <v>0</v>
      </c>
      <c r="O1582" s="85"/>
      <c r="P1582" s="86"/>
      <c r="Q1582" s="86"/>
      <c r="R1582" s="132"/>
      <c r="S1582" s="128"/>
      <c r="T1582" s="132"/>
      <c r="U1582" s="128"/>
      <c r="V1582" s="128"/>
      <c r="W1582" s="90" t="n">
        <f aca="false">IFERROR(O1582/V1582,0)</f>
        <v>0</v>
      </c>
      <c r="X1582" s="91" t="e">
        <f aca="false">O1582/L1582</f>
        <v>#DIV/0!</v>
      </c>
      <c r="Y1582" s="92" t="n">
        <f aca="false">IFERROR(VLOOKUP(E:E,'Item Data Support Sheet'!A:J,6,0),0)</f>
        <v>0</v>
      </c>
      <c r="Z1582" s="93" t="n">
        <f aca="false">IFERROR(VLOOKUP(E:E,'Item Data Support Sheet'!A:O,4,0),0)</f>
        <v>0</v>
      </c>
      <c r="AA1582" s="93" t="n">
        <f aca="false">IFERROR(((N1582)*(Z1582/1000))+P1582,0)</f>
        <v>0</v>
      </c>
      <c r="AB1582" s="94" t="str">
        <f aca="false">IFERROR((O1582*(Z1582/1000)/(AA1582))," ")</f>
        <v> </v>
      </c>
      <c r="AC1582" s="95" t="n">
        <f aca="false">IFERROR((T1582)/((T1582)+O1582),0)</f>
        <v>0</v>
      </c>
      <c r="AD1582" s="96" t="n">
        <f aca="false">IFERROR(Q1582/(Q1582+N1582),0)</f>
        <v>0</v>
      </c>
      <c r="AE1582" s="91" t="e">
        <f aca="false">(N1582-T1582)/N1582</f>
        <v>#DIV/0!</v>
      </c>
      <c r="AF1582" s="97" t="n">
        <f aca="false">BR1582</f>
        <v>0</v>
      </c>
      <c r="AG1582" s="98" t="n">
        <f aca="false">K1582-AF1582</f>
        <v>0</v>
      </c>
      <c r="AH1582" s="99" t="str">
        <f aca="false">IFERROR(AG1582/K1582," ")</f>
        <v> </v>
      </c>
      <c r="AI1582" s="100" t="n">
        <f aca="false">IFERROR(O1582/K1582,0)</f>
        <v>0</v>
      </c>
      <c r="AJ1582" s="101" t="e">
        <f aca="false">VLOOKUP(D1582,'Standard Cycle time'!C:D,2,0)</f>
        <v>#N/A</v>
      </c>
      <c r="AK1582" s="101" t="e">
        <f aca="false">AG1582*V1582*3600/O1582</f>
        <v>#DIV/0!</v>
      </c>
      <c r="AL1582" s="102" t="e">
        <f aca="false">AJ1582/AK1582</f>
        <v>#N/A</v>
      </c>
      <c r="AM1582" s="99" t="e">
        <f aca="false">AE1582*AL1582*AH1582</f>
        <v>#DIV/0!</v>
      </c>
      <c r="AN1582" s="103"/>
      <c r="AO1582" s="112"/>
      <c r="AP1582" s="105"/>
      <c r="AQ1582" s="105"/>
      <c r="AR1582" s="105"/>
      <c r="AS1582" s="105"/>
      <c r="AT1582" s="105"/>
      <c r="AU1582" s="105"/>
      <c r="AV1582" s="105"/>
      <c r="AW1582" s="105"/>
      <c r="AX1582" s="105"/>
      <c r="AY1582" s="105"/>
      <c r="AZ1582" s="105"/>
      <c r="BA1582" s="105"/>
      <c r="BB1582" s="105"/>
      <c r="BC1582" s="105"/>
      <c r="BD1582" s="105"/>
      <c r="BE1582" s="105"/>
      <c r="BF1582" s="105"/>
      <c r="BG1582" s="105"/>
      <c r="BH1582" s="105"/>
      <c r="BI1582" s="105"/>
      <c r="BJ1582" s="105"/>
      <c r="BK1582" s="105"/>
      <c r="BL1582" s="105"/>
      <c r="BM1582" s="105"/>
      <c r="BN1582" s="105"/>
      <c r="BO1582" s="105"/>
      <c r="BP1582" s="105"/>
      <c r="BQ1582" s="105"/>
      <c r="BR1582" s="106"/>
      <c r="BS1582" s="106"/>
      <c r="BT1582" s="107"/>
      <c r="BU1582" s="107"/>
      <c r="BV1582" s="107"/>
      <c r="BW1582" s="107"/>
      <c r="BX1582" s="107"/>
      <c r="BY1582" s="107"/>
      <c r="BZ1582" s="107"/>
      <c r="CA1582" s="107"/>
      <c r="CB1582" s="107"/>
      <c r="CC1582" s="107"/>
      <c r="CD1582" s="107"/>
      <c r="CE1582" s="107"/>
      <c r="CF1582" s="107"/>
      <c r="CG1582" s="107"/>
      <c r="CH1582" s="107"/>
      <c r="CI1582" s="107"/>
      <c r="CJ1582" s="107"/>
      <c r="CK1582" s="107"/>
      <c r="CL1582" s="107"/>
      <c r="CM1582" s="107"/>
      <c r="CN1582" s="107"/>
      <c r="CO1582" s="107"/>
      <c r="CP1582" s="107"/>
      <c r="CQ1582" s="107"/>
      <c r="CR1582" s="107"/>
      <c r="CS1582" s="107"/>
      <c r="CT1582" s="107"/>
      <c r="CU1582" s="107"/>
      <c r="CV1582" s="107"/>
    </row>
    <row r="1583" customFormat="false" ht="13.8" hidden="false" customHeight="false" outlineLevel="0" collapsed="false">
      <c r="B1583" s="138"/>
      <c r="C1583" s="128"/>
      <c r="D1583" s="77"/>
      <c r="E1583" s="80"/>
      <c r="F1583" s="122"/>
      <c r="G1583" s="137"/>
      <c r="H1583" s="139" t="str">
        <f aca="false">IFERROR(VLOOKUP(E:E,'Item Data Support Sheet'!A:O,2,0),"")</f>
        <v/>
      </c>
      <c r="I1583" s="80"/>
      <c r="J1583" s="80"/>
      <c r="K1583" s="81"/>
      <c r="L1583" s="124"/>
      <c r="M1583" s="83"/>
      <c r="N1583" s="84" t="n">
        <f aca="false">+O1583+Q1583+T1583+U1583</f>
        <v>0</v>
      </c>
      <c r="O1583" s="85"/>
      <c r="P1583" s="86"/>
      <c r="Q1583" s="86"/>
      <c r="R1583" s="132"/>
      <c r="S1583" s="128"/>
      <c r="T1583" s="132"/>
      <c r="U1583" s="128"/>
      <c r="V1583" s="128"/>
      <c r="W1583" s="90" t="n">
        <f aca="false">IFERROR(O1583/V1583,0)</f>
        <v>0</v>
      </c>
      <c r="X1583" s="91" t="e">
        <f aca="false">O1583/L1583</f>
        <v>#DIV/0!</v>
      </c>
      <c r="Y1583" s="92" t="n">
        <f aca="false">IFERROR(VLOOKUP(E:E,'Item Data Support Sheet'!A:J,6,0),0)</f>
        <v>0</v>
      </c>
      <c r="Z1583" s="93" t="n">
        <f aca="false">IFERROR(VLOOKUP(E:E,'Item Data Support Sheet'!A:O,4,0),0)</f>
        <v>0</v>
      </c>
      <c r="AA1583" s="93" t="n">
        <f aca="false">IFERROR(((N1583)*(Z1583/1000))+P1583,0)</f>
        <v>0</v>
      </c>
      <c r="AB1583" s="94" t="str">
        <f aca="false">IFERROR((O1583*(Z1583/1000)/(AA1583))," ")</f>
        <v> </v>
      </c>
      <c r="AC1583" s="95" t="n">
        <f aca="false">IFERROR((T1583)/((T1583)+O1583),0)</f>
        <v>0</v>
      </c>
      <c r="AD1583" s="96" t="n">
        <f aca="false">IFERROR(Q1583/(Q1583+N1583),0)</f>
        <v>0</v>
      </c>
      <c r="AE1583" s="91" t="e">
        <f aca="false">(N1583-T1583)/N1583</f>
        <v>#DIV/0!</v>
      </c>
      <c r="AF1583" s="97" t="n">
        <f aca="false">BR1583</f>
        <v>0</v>
      </c>
      <c r="AG1583" s="98" t="n">
        <f aca="false">K1583-AF1583</f>
        <v>0</v>
      </c>
      <c r="AH1583" s="99" t="str">
        <f aca="false">IFERROR(AG1583/K1583," ")</f>
        <v> </v>
      </c>
      <c r="AI1583" s="100" t="n">
        <f aca="false">IFERROR(O1583/K1583,0)</f>
        <v>0</v>
      </c>
      <c r="AJ1583" s="101" t="e">
        <f aca="false">VLOOKUP(D1583,'Standard Cycle time'!C:D,2,0)</f>
        <v>#N/A</v>
      </c>
      <c r="AK1583" s="101" t="e">
        <f aca="false">AG1583*V1583*3600/O1583</f>
        <v>#DIV/0!</v>
      </c>
      <c r="AL1583" s="102" t="e">
        <f aca="false">AJ1583/AK1583</f>
        <v>#N/A</v>
      </c>
      <c r="AM1583" s="99" t="e">
        <f aca="false">AE1583*AL1583*AH1583</f>
        <v>#DIV/0!</v>
      </c>
      <c r="AN1583" s="103"/>
      <c r="AO1583" s="112"/>
      <c r="AP1583" s="105"/>
      <c r="AQ1583" s="105"/>
      <c r="AR1583" s="105"/>
      <c r="AS1583" s="105"/>
      <c r="AT1583" s="105"/>
      <c r="AU1583" s="105"/>
      <c r="AV1583" s="105"/>
      <c r="AW1583" s="105"/>
      <c r="AX1583" s="105"/>
      <c r="AY1583" s="105"/>
      <c r="AZ1583" s="105"/>
      <c r="BA1583" s="105"/>
      <c r="BB1583" s="105"/>
      <c r="BC1583" s="105"/>
      <c r="BD1583" s="105"/>
      <c r="BE1583" s="105"/>
      <c r="BF1583" s="105"/>
      <c r="BG1583" s="105"/>
      <c r="BH1583" s="105"/>
      <c r="BI1583" s="105"/>
      <c r="BJ1583" s="105"/>
      <c r="BK1583" s="105"/>
      <c r="BL1583" s="105"/>
      <c r="BM1583" s="105"/>
      <c r="BN1583" s="105"/>
      <c r="BO1583" s="105"/>
      <c r="BP1583" s="105"/>
      <c r="BQ1583" s="105"/>
      <c r="BR1583" s="106"/>
      <c r="BS1583" s="106"/>
      <c r="BT1583" s="107"/>
      <c r="BU1583" s="107"/>
      <c r="BV1583" s="107"/>
      <c r="BW1583" s="107"/>
      <c r="BX1583" s="107"/>
      <c r="BY1583" s="107"/>
      <c r="BZ1583" s="107"/>
      <c r="CA1583" s="107"/>
      <c r="CB1583" s="107"/>
      <c r="CC1583" s="107"/>
      <c r="CD1583" s="107"/>
      <c r="CE1583" s="107"/>
      <c r="CF1583" s="107"/>
      <c r="CG1583" s="107"/>
      <c r="CH1583" s="107"/>
      <c r="CI1583" s="107"/>
      <c r="CJ1583" s="107"/>
      <c r="CK1583" s="107"/>
      <c r="CL1583" s="107"/>
      <c r="CM1583" s="107"/>
      <c r="CN1583" s="107"/>
      <c r="CO1583" s="107"/>
      <c r="CP1583" s="107"/>
      <c r="CQ1583" s="107"/>
      <c r="CR1583" s="107"/>
      <c r="CS1583" s="107"/>
      <c r="CT1583" s="107"/>
      <c r="CU1583" s="107"/>
      <c r="CV1583" s="107"/>
    </row>
    <row r="1584" customFormat="false" ht="13.8" hidden="false" customHeight="false" outlineLevel="0" collapsed="false">
      <c r="B1584" s="138"/>
      <c r="C1584" s="128"/>
      <c r="D1584" s="77"/>
      <c r="E1584" s="80"/>
      <c r="F1584" s="122"/>
      <c r="G1584" s="137"/>
      <c r="H1584" s="139" t="str">
        <f aca="false">IFERROR(VLOOKUP(E:E,'Item Data Support Sheet'!A:O,2,0),"")</f>
        <v/>
      </c>
      <c r="I1584" s="80"/>
      <c r="J1584" s="80"/>
      <c r="K1584" s="81"/>
      <c r="L1584" s="124"/>
      <c r="M1584" s="83"/>
      <c r="N1584" s="84" t="n">
        <f aca="false">+O1584+Q1584+T1584+U1584</f>
        <v>0</v>
      </c>
      <c r="O1584" s="85"/>
      <c r="P1584" s="86"/>
      <c r="Q1584" s="86"/>
      <c r="R1584" s="132"/>
      <c r="S1584" s="128"/>
      <c r="T1584" s="132"/>
      <c r="U1584" s="128"/>
      <c r="V1584" s="128"/>
      <c r="W1584" s="90" t="n">
        <f aca="false">IFERROR(O1584/V1584,0)</f>
        <v>0</v>
      </c>
      <c r="X1584" s="91" t="e">
        <f aca="false">O1584/L1584</f>
        <v>#DIV/0!</v>
      </c>
      <c r="Y1584" s="92" t="n">
        <f aca="false">IFERROR(VLOOKUP(E:E,'Item Data Support Sheet'!A:J,6,0),0)</f>
        <v>0</v>
      </c>
      <c r="Z1584" s="93" t="n">
        <f aca="false">IFERROR(VLOOKUP(E:E,'Item Data Support Sheet'!A:O,4,0),0)</f>
        <v>0</v>
      </c>
      <c r="AA1584" s="93" t="n">
        <f aca="false">IFERROR(((N1584)*(Z1584/1000))+P1584,0)</f>
        <v>0</v>
      </c>
      <c r="AB1584" s="94" t="str">
        <f aca="false">IFERROR((O1584*(Z1584/1000)/(AA1584))," ")</f>
        <v> </v>
      </c>
      <c r="AC1584" s="95" t="n">
        <f aca="false">IFERROR((T1584)/((T1584)+O1584),0)</f>
        <v>0</v>
      </c>
      <c r="AD1584" s="96" t="n">
        <f aca="false">IFERROR(Q1584/(Q1584+N1584),0)</f>
        <v>0</v>
      </c>
      <c r="AE1584" s="91" t="e">
        <f aca="false">(N1584-T1584)/N1584</f>
        <v>#DIV/0!</v>
      </c>
      <c r="AF1584" s="97" t="n">
        <f aca="false">BR1584</f>
        <v>0</v>
      </c>
      <c r="AG1584" s="98" t="n">
        <f aca="false">K1584-AF1584</f>
        <v>0</v>
      </c>
      <c r="AH1584" s="99" t="str">
        <f aca="false">IFERROR(AG1584/K1584," ")</f>
        <v> </v>
      </c>
      <c r="AI1584" s="100" t="n">
        <f aca="false">IFERROR(O1584/K1584,0)</f>
        <v>0</v>
      </c>
      <c r="AJ1584" s="101" t="e">
        <f aca="false">VLOOKUP(D1584,'Standard Cycle time'!C:D,2,0)</f>
        <v>#N/A</v>
      </c>
      <c r="AK1584" s="101" t="e">
        <f aca="false">AG1584*V1584*3600/O1584</f>
        <v>#DIV/0!</v>
      </c>
      <c r="AL1584" s="102" t="e">
        <f aca="false">AJ1584/AK1584</f>
        <v>#N/A</v>
      </c>
      <c r="AM1584" s="99" t="e">
        <f aca="false">AE1584*AL1584*AH1584</f>
        <v>#DIV/0!</v>
      </c>
      <c r="AN1584" s="103"/>
      <c r="AO1584" s="112"/>
      <c r="AP1584" s="105"/>
      <c r="AQ1584" s="105"/>
      <c r="AR1584" s="105"/>
      <c r="AS1584" s="105"/>
      <c r="AT1584" s="105"/>
      <c r="AU1584" s="105"/>
      <c r="AV1584" s="105"/>
      <c r="AW1584" s="105"/>
      <c r="AX1584" s="105"/>
      <c r="AY1584" s="105"/>
      <c r="AZ1584" s="105"/>
      <c r="BA1584" s="105"/>
      <c r="BB1584" s="105"/>
      <c r="BC1584" s="105"/>
      <c r="BD1584" s="105"/>
      <c r="BE1584" s="105"/>
      <c r="BF1584" s="105"/>
      <c r="BG1584" s="105"/>
      <c r="BH1584" s="105"/>
      <c r="BI1584" s="105"/>
      <c r="BJ1584" s="105"/>
      <c r="BK1584" s="105"/>
      <c r="BL1584" s="105"/>
      <c r="BM1584" s="105"/>
      <c r="BN1584" s="105"/>
      <c r="BO1584" s="105"/>
      <c r="BP1584" s="105"/>
      <c r="BQ1584" s="105"/>
      <c r="BR1584" s="106"/>
      <c r="BS1584" s="106"/>
      <c r="BT1584" s="107"/>
      <c r="BU1584" s="107"/>
      <c r="BV1584" s="107"/>
      <c r="BW1584" s="107"/>
      <c r="BX1584" s="107"/>
      <c r="BY1584" s="107"/>
      <c r="BZ1584" s="107"/>
      <c r="CA1584" s="107"/>
      <c r="CB1584" s="107"/>
      <c r="CC1584" s="107"/>
      <c r="CD1584" s="107"/>
      <c r="CE1584" s="107"/>
      <c r="CF1584" s="107"/>
      <c r="CG1584" s="107"/>
      <c r="CH1584" s="107"/>
      <c r="CI1584" s="107"/>
      <c r="CJ1584" s="107"/>
      <c r="CK1584" s="107"/>
      <c r="CL1584" s="107"/>
      <c r="CM1584" s="107"/>
      <c r="CN1584" s="107"/>
      <c r="CO1584" s="107"/>
      <c r="CP1584" s="107"/>
      <c r="CQ1584" s="107"/>
      <c r="CR1584" s="107"/>
      <c r="CS1584" s="107"/>
      <c r="CT1584" s="107"/>
      <c r="CU1584" s="107"/>
      <c r="CV1584" s="107"/>
    </row>
    <row r="1585" customFormat="false" ht="13.8" hidden="false" customHeight="false" outlineLevel="0" collapsed="false">
      <c r="B1585" s="138"/>
      <c r="C1585" s="128"/>
      <c r="D1585" s="77"/>
      <c r="E1585" s="80"/>
      <c r="F1585" s="122"/>
      <c r="G1585" s="137"/>
      <c r="H1585" s="139" t="str">
        <f aca="false">IFERROR(VLOOKUP(E:E,'Item Data Support Sheet'!A:O,2,0),"")</f>
        <v/>
      </c>
      <c r="I1585" s="80"/>
      <c r="J1585" s="80"/>
      <c r="K1585" s="81"/>
      <c r="L1585" s="124"/>
      <c r="M1585" s="83"/>
      <c r="N1585" s="84" t="n">
        <f aca="false">+O1585+Q1585+T1585+U1585</f>
        <v>0</v>
      </c>
      <c r="O1585" s="85"/>
      <c r="P1585" s="86"/>
      <c r="Q1585" s="86"/>
      <c r="R1585" s="132"/>
      <c r="S1585" s="128"/>
      <c r="T1585" s="132"/>
      <c r="U1585" s="128"/>
      <c r="V1585" s="128"/>
      <c r="W1585" s="90" t="n">
        <f aca="false">IFERROR(O1585/V1585,0)</f>
        <v>0</v>
      </c>
      <c r="X1585" s="91" t="e">
        <f aca="false">O1585/L1585</f>
        <v>#DIV/0!</v>
      </c>
      <c r="Y1585" s="92" t="n">
        <f aca="false">IFERROR(VLOOKUP(E:E,'Item Data Support Sheet'!A:J,6,0),0)</f>
        <v>0</v>
      </c>
      <c r="Z1585" s="93" t="n">
        <f aca="false">IFERROR(VLOOKUP(E:E,'Item Data Support Sheet'!A:O,4,0),0)</f>
        <v>0</v>
      </c>
      <c r="AA1585" s="93" t="n">
        <f aca="false">IFERROR(((N1585)*(Z1585/1000))+P1585,0)</f>
        <v>0</v>
      </c>
      <c r="AB1585" s="94" t="str">
        <f aca="false">IFERROR((O1585*(Z1585/1000)/(AA1585))," ")</f>
        <v> </v>
      </c>
      <c r="AC1585" s="95" t="n">
        <f aca="false">IFERROR((T1585)/((T1585)+O1585),0)</f>
        <v>0</v>
      </c>
      <c r="AD1585" s="96" t="n">
        <f aca="false">IFERROR(Q1585/(Q1585+N1585),0)</f>
        <v>0</v>
      </c>
      <c r="AE1585" s="91" t="e">
        <f aca="false">(N1585-T1585)/N1585</f>
        <v>#DIV/0!</v>
      </c>
      <c r="AF1585" s="97" t="n">
        <f aca="false">BR1585</f>
        <v>0</v>
      </c>
      <c r="AG1585" s="98" t="n">
        <f aca="false">K1585-AF1585</f>
        <v>0</v>
      </c>
      <c r="AH1585" s="99" t="str">
        <f aca="false">IFERROR(AG1585/K1585," ")</f>
        <v> </v>
      </c>
      <c r="AI1585" s="100" t="n">
        <f aca="false">IFERROR(O1585/K1585,0)</f>
        <v>0</v>
      </c>
      <c r="AJ1585" s="101" t="e">
        <f aca="false">VLOOKUP(D1585,'Standard Cycle time'!C:D,2,0)</f>
        <v>#N/A</v>
      </c>
      <c r="AK1585" s="101" t="e">
        <f aca="false">AG1585*V1585*3600/O1585</f>
        <v>#DIV/0!</v>
      </c>
      <c r="AL1585" s="102" t="e">
        <f aca="false">AJ1585/AK1585</f>
        <v>#N/A</v>
      </c>
      <c r="AM1585" s="99" t="e">
        <f aca="false">AE1585*AL1585*AH1585</f>
        <v>#DIV/0!</v>
      </c>
      <c r="AN1585" s="103"/>
      <c r="AO1585" s="112"/>
      <c r="AP1585" s="105"/>
      <c r="AQ1585" s="105"/>
      <c r="AR1585" s="105"/>
      <c r="AS1585" s="105"/>
      <c r="AT1585" s="105"/>
      <c r="AU1585" s="105"/>
      <c r="AV1585" s="105"/>
      <c r="AW1585" s="105"/>
      <c r="AX1585" s="105"/>
      <c r="AY1585" s="105"/>
      <c r="AZ1585" s="105"/>
      <c r="BA1585" s="105"/>
      <c r="BB1585" s="105"/>
      <c r="BC1585" s="105"/>
      <c r="BD1585" s="105"/>
      <c r="BE1585" s="105"/>
      <c r="BF1585" s="105"/>
      <c r="BG1585" s="105"/>
      <c r="BH1585" s="105"/>
      <c r="BI1585" s="105"/>
      <c r="BJ1585" s="105"/>
      <c r="BK1585" s="105"/>
      <c r="BL1585" s="105"/>
      <c r="BM1585" s="105"/>
      <c r="BN1585" s="105"/>
      <c r="BO1585" s="105"/>
      <c r="BP1585" s="105"/>
      <c r="BQ1585" s="105"/>
      <c r="BR1585" s="106"/>
      <c r="BS1585" s="106"/>
      <c r="BT1585" s="107"/>
      <c r="BU1585" s="107"/>
      <c r="BV1585" s="107"/>
      <c r="BW1585" s="107"/>
      <c r="BX1585" s="107"/>
      <c r="BY1585" s="107"/>
      <c r="BZ1585" s="107"/>
      <c r="CA1585" s="107"/>
      <c r="CB1585" s="107"/>
      <c r="CC1585" s="107"/>
      <c r="CD1585" s="107"/>
      <c r="CE1585" s="107"/>
      <c r="CF1585" s="107"/>
      <c r="CG1585" s="107"/>
      <c r="CH1585" s="107"/>
      <c r="CI1585" s="107"/>
      <c r="CJ1585" s="107"/>
      <c r="CK1585" s="107"/>
      <c r="CL1585" s="107"/>
      <c r="CM1585" s="107"/>
      <c r="CN1585" s="107"/>
      <c r="CO1585" s="107"/>
      <c r="CP1585" s="107"/>
      <c r="CQ1585" s="107"/>
      <c r="CR1585" s="107"/>
      <c r="CS1585" s="107"/>
      <c r="CT1585" s="107"/>
      <c r="CU1585" s="107"/>
      <c r="CV1585" s="107"/>
    </row>
    <row r="1586" customFormat="false" ht="13.8" hidden="false" customHeight="false" outlineLevel="0" collapsed="false">
      <c r="B1586" s="138"/>
      <c r="C1586" s="128"/>
      <c r="D1586" s="77"/>
      <c r="E1586" s="80"/>
      <c r="F1586" s="122"/>
      <c r="G1586" s="137"/>
      <c r="H1586" s="139" t="str">
        <f aca="false">IFERROR(VLOOKUP(E:E,'Item Data Support Sheet'!A:O,2,0),"")</f>
        <v/>
      </c>
      <c r="I1586" s="80"/>
      <c r="J1586" s="80"/>
      <c r="K1586" s="81"/>
      <c r="L1586" s="124"/>
      <c r="M1586" s="83"/>
      <c r="N1586" s="84" t="n">
        <f aca="false">+O1586+Q1586+T1586+U1586</f>
        <v>0</v>
      </c>
      <c r="O1586" s="85"/>
      <c r="P1586" s="86"/>
      <c r="Q1586" s="86"/>
      <c r="R1586" s="132"/>
      <c r="S1586" s="128"/>
      <c r="T1586" s="132"/>
      <c r="U1586" s="128"/>
      <c r="V1586" s="128"/>
      <c r="W1586" s="90" t="n">
        <f aca="false">IFERROR(O1586/V1586,0)</f>
        <v>0</v>
      </c>
      <c r="X1586" s="91" t="e">
        <f aca="false">O1586/L1586</f>
        <v>#DIV/0!</v>
      </c>
      <c r="Y1586" s="92" t="n">
        <f aca="false">IFERROR(VLOOKUP(E:E,'Item Data Support Sheet'!A:J,6,0),0)</f>
        <v>0</v>
      </c>
      <c r="Z1586" s="93" t="n">
        <f aca="false">IFERROR(VLOOKUP(E:E,'Item Data Support Sheet'!A:O,4,0),0)</f>
        <v>0</v>
      </c>
      <c r="AA1586" s="93" t="n">
        <f aca="false">IFERROR(((N1586)*(Z1586/1000))+P1586,0)</f>
        <v>0</v>
      </c>
      <c r="AB1586" s="94" t="str">
        <f aca="false">IFERROR((O1586*(Z1586/1000)/(AA1586))," ")</f>
        <v> </v>
      </c>
      <c r="AC1586" s="95" t="n">
        <f aca="false">IFERROR((T1586)/((T1586)+O1586),0)</f>
        <v>0</v>
      </c>
      <c r="AD1586" s="96" t="n">
        <f aca="false">IFERROR(Q1586/(Q1586+N1586),0)</f>
        <v>0</v>
      </c>
      <c r="AE1586" s="91" t="e">
        <f aca="false">(N1586-T1586)/N1586</f>
        <v>#DIV/0!</v>
      </c>
      <c r="AF1586" s="97" t="n">
        <f aca="false">BR1586</f>
        <v>0</v>
      </c>
      <c r="AG1586" s="98" t="n">
        <f aca="false">K1586-AF1586</f>
        <v>0</v>
      </c>
      <c r="AH1586" s="99" t="str">
        <f aca="false">IFERROR(AG1586/K1586," ")</f>
        <v> </v>
      </c>
      <c r="AI1586" s="100" t="n">
        <f aca="false">IFERROR(O1586/K1586,0)</f>
        <v>0</v>
      </c>
      <c r="AJ1586" s="101" t="e">
        <f aca="false">VLOOKUP(D1586,'Standard Cycle time'!C:D,2,0)</f>
        <v>#N/A</v>
      </c>
      <c r="AK1586" s="101" t="e">
        <f aca="false">AG1586*V1586*3600/O1586</f>
        <v>#DIV/0!</v>
      </c>
      <c r="AL1586" s="102" t="e">
        <f aca="false">AJ1586/AK1586</f>
        <v>#N/A</v>
      </c>
      <c r="AM1586" s="99" t="e">
        <f aca="false">AE1586*AL1586*AH1586</f>
        <v>#DIV/0!</v>
      </c>
      <c r="AN1586" s="103"/>
      <c r="AO1586" s="112"/>
      <c r="AP1586" s="105"/>
      <c r="AQ1586" s="105"/>
      <c r="AR1586" s="105"/>
      <c r="AS1586" s="105"/>
      <c r="AT1586" s="105"/>
      <c r="AU1586" s="105"/>
      <c r="AV1586" s="105"/>
      <c r="AW1586" s="105"/>
      <c r="AX1586" s="105"/>
      <c r="AY1586" s="105"/>
      <c r="AZ1586" s="105"/>
      <c r="BA1586" s="105"/>
      <c r="BB1586" s="105"/>
      <c r="BC1586" s="105"/>
      <c r="BD1586" s="105"/>
      <c r="BE1586" s="105"/>
      <c r="BF1586" s="105"/>
      <c r="BG1586" s="105"/>
      <c r="BH1586" s="105"/>
      <c r="BI1586" s="105"/>
      <c r="BJ1586" s="105"/>
      <c r="BK1586" s="105"/>
      <c r="BL1586" s="105"/>
      <c r="BM1586" s="105"/>
      <c r="BN1586" s="105"/>
      <c r="BO1586" s="105"/>
      <c r="BP1586" s="105"/>
      <c r="BQ1586" s="105"/>
      <c r="BR1586" s="106"/>
      <c r="BS1586" s="106"/>
      <c r="BT1586" s="107"/>
      <c r="BU1586" s="107"/>
      <c r="BV1586" s="107"/>
      <c r="BW1586" s="107"/>
      <c r="BX1586" s="107"/>
      <c r="BY1586" s="107"/>
      <c r="BZ1586" s="107"/>
      <c r="CA1586" s="107"/>
      <c r="CB1586" s="107"/>
      <c r="CC1586" s="107"/>
      <c r="CD1586" s="107"/>
      <c r="CE1586" s="107"/>
      <c r="CF1586" s="107"/>
      <c r="CG1586" s="107"/>
      <c r="CH1586" s="107"/>
      <c r="CI1586" s="107"/>
      <c r="CJ1586" s="107"/>
      <c r="CK1586" s="107"/>
      <c r="CL1586" s="107"/>
      <c r="CM1586" s="107"/>
      <c r="CN1586" s="107"/>
      <c r="CO1586" s="107"/>
      <c r="CP1586" s="107"/>
      <c r="CQ1586" s="107"/>
      <c r="CR1586" s="107"/>
      <c r="CS1586" s="107"/>
      <c r="CT1586" s="107"/>
      <c r="CU1586" s="107"/>
      <c r="CV1586" s="107"/>
    </row>
    <row r="1587" customFormat="false" ht="13.8" hidden="false" customHeight="false" outlineLevel="0" collapsed="false">
      <c r="B1587" s="138"/>
      <c r="C1587" s="128"/>
      <c r="D1587" s="77"/>
      <c r="E1587" s="80"/>
      <c r="F1587" s="122"/>
      <c r="G1587" s="137"/>
      <c r="H1587" s="139" t="str">
        <f aca="false">IFERROR(VLOOKUP(E:E,'Item Data Support Sheet'!A:O,2,0),"")</f>
        <v/>
      </c>
      <c r="I1587" s="80"/>
      <c r="J1587" s="80"/>
      <c r="K1587" s="81"/>
      <c r="L1587" s="124"/>
      <c r="M1587" s="83"/>
      <c r="N1587" s="84" t="n">
        <f aca="false">+O1587+Q1587+T1587+U1587</f>
        <v>0</v>
      </c>
      <c r="O1587" s="85"/>
      <c r="P1587" s="86"/>
      <c r="Q1587" s="86"/>
      <c r="R1587" s="132"/>
      <c r="S1587" s="128"/>
      <c r="T1587" s="132"/>
      <c r="U1587" s="128"/>
      <c r="V1587" s="128"/>
      <c r="W1587" s="90" t="n">
        <f aca="false">IFERROR(O1587/V1587,0)</f>
        <v>0</v>
      </c>
      <c r="X1587" s="91" t="e">
        <f aca="false">O1587/L1587</f>
        <v>#DIV/0!</v>
      </c>
      <c r="Y1587" s="92" t="n">
        <f aca="false">IFERROR(VLOOKUP(E:E,'Item Data Support Sheet'!A:J,6,0),0)</f>
        <v>0</v>
      </c>
      <c r="Z1587" s="93" t="n">
        <f aca="false">IFERROR(VLOOKUP(E:E,'Item Data Support Sheet'!A:O,4,0),0)</f>
        <v>0</v>
      </c>
      <c r="AA1587" s="93" t="n">
        <f aca="false">IFERROR(((N1587)*(Z1587/1000))+P1587,0)</f>
        <v>0</v>
      </c>
      <c r="AB1587" s="94" t="str">
        <f aca="false">IFERROR((O1587*(Z1587/1000)/(AA1587))," ")</f>
        <v> </v>
      </c>
      <c r="AC1587" s="95" t="n">
        <f aca="false">IFERROR((T1587)/((T1587)+O1587),0)</f>
        <v>0</v>
      </c>
      <c r="AD1587" s="96" t="n">
        <f aca="false">IFERROR(Q1587/(Q1587+N1587),0)</f>
        <v>0</v>
      </c>
      <c r="AE1587" s="91" t="e">
        <f aca="false">(N1587-T1587)/N1587</f>
        <v>#DIV/0!</v>
      </c>
      <c r="AF1587" s="97" t="n">
        <f aca="false">BR1587</f>
        <v>0</v>
      </c>
      <c r="AG1587" s="98" t="n">
        <f aca="false">K1587-AF1587</f>
        <v>0</v>
      </c>
      <c r="AH1587" s="99" t="str">
        <f aca="false">IFERROR(AG1587/K1587," ")</f>
        <v> </v>
      </c>
      <c r="AI1587" s="100" t="n">
        <f aca="false">IFERROR(O1587/K1587,0)</f>
        <v>0</v>
      </c>
      <c r="AJ1587" s="101" t="e">
        <f aca="false">VLOOKUP(D1587,'Standard Cycle time'!C:D,2,0)</f>
        <v>#N/A</v>
      </c>
      <c r="AK1587" s="101" t="e">
        <f aca="false">AG1587*V1587*3600/O1587</f>
        <v>#DIV/0!</v>
      </c>
      <c r="AL1587" s="102" t="e">
        <f aca="false">AJ1587/AK1587</f>
        <v>#N/A</v>
      </c>
      <c r="AM1587" s="99" t="e">
        <f aca="false">AE1587*AL1587*AH1587</f>
        <v>#DIV/0!</v>
      </c>
      <c r="AN1587" s="103"/>
      <c r="AO1587" s="112"/>
      <c r="AP1587" s="105"/>
      <c r="AQ1587" s="105"/>
      <c r="AR1587" s="105"/>
      <c r="AS1587" s="105"/>
      <c r="AT1587" s="105"/>
      <c r="AU1587" s="105"/>
      <c r="AV1587" s="105"/>
      <c r="AW1587" s="105"/>
      <c r="AX1587" s="105"/>
      <c r="AY1587" s="105"/>
      <c r="AZ1587" s="105"/>
      <c r="BA1587" s="105"/>
      <c r="BB1587" s="105"/>
      <c r="BC1587" s="105"/>
      <c r="BD1587" s="105"/>
      <c r="BE1587" s="105"/>
      <c r="BF1587" s="105"/>
      <c r="BG1587" s="105"/>
      <c r="BH1587" s="105"/>
      <c r="BI1587" s="105"/>
      <c r="BJ1587" s="105"/>
      <c r="BK1587" s="105"/>
      <c r="BL1587" s="105"/>
      <c r="BM1587" s="105"/>
      <c r="BN1587" s="105"/>
      <c r="BO1587" s="105"/>
      <c r="BP1587" s="105"/>
      <c r="BQ1587" s="105"/>
      <c r="BR1587" s="106"/>
      <c r="BS1587" s="106"/>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c r="CO1587" s="107"/>
      <c r="CP1587" s="107"/>
      <c r="CQ1587" s="107"/>
      <c r="CR1587" s="107"/>
      <c r="CS1587" s="107"/>
      <c r="CT1587" s="107"/>
      <c r="CU1587" s="107"/>
      <c r="CV1587" s="107"/>
    </row>
    <row r="1588" customFormat="false" ht="13.8" hidden="false" customHeight="false" outlineLevel="0" collapsed="false">
      <c r="B1588" s="138"/>
      <c r="C1588" s="128"/>
      <c r="D1588" s="77"/>
      <c r="E1588" s="80"/>
      <c r="F1588" s="122"/>
      <c r="G1588" s="137"/>
      <c r="H1588" s="139" t="str">
        <f aca="false">IFERROR(VLOOKUP(E:E,'Item Data Support Sheet'!A:O,2,0),"")</f>
        <v/>
      </c>
      <c r="I1588" s="80"/>
      <c r="J1588" s="80"/>
      <c r="K1588" s="81"/>
      <c r="L1588" s="124"/>
      <c r="M1588" s="83"/>
      <c r="N1588" s="84" t="n">
        <f aca="false">+O1588+Q1588+T1588+U1588</f>
        <v>0</v>
      </c>
      <c r="O1588" s="85"/>
      <c r="P1588" s="86"/>
      <c r="Q1588" s="86"/>
      <c r="R1588" s="132"/>
      <c r="S1588" s="128"/>
      <c r="T1588" s="132"/>
      <c r="U1588" s="128"/>
      <c r="V1588" s="128"/>
      <c r="W1588" s="90" t="n">
        <f aca="false">IFERROR(O1588/V1588,0)</f>
        <v>0</v>
      </c>
      <c r="X1588" s="91" t="e">
        <f aca="false">O1588/L1588</f>
        <v>#DIV/0!</v>
      </c>
      <c r="Y1588" s="92" t="n">
        <f aca="false">IFERROR(VLOOKUP(E:E,'Item Data Support Sheet'!A:J,6,0),0)</f>
        <v>0</v>
      </c>
      <c r="Z1588" s="93" t="n">
        <f aca="false">IFERROR(VLOOKUP(E:E,'Item Data Support Sheet'!A:O,4,0),0)</f>
        <v>0</v>
      </c>
      <c r="AA1588" s="93" t="n">
        <f aca="false">IFERROR(((N1588)*(Z1588/1000))+P1588,0)</f>
        <v>0</v>
      </c>
      <c r="AB1588" s="94" t="str">
        <f aca="false">IFERROR((O1588*(Z1588/1000)/(AA1588))," ")</f>
        <v> </v>
      </c>
      <c r="AC1588" s="95" t="n">
        <f aca="false">IFERROR((T1588)/((T1588)+O1588),0)</f>
        <v>0</v>
      </c>
      <c r="AD1588" s="96" t="n">
        <f aca="false">IFERROR(Q1588/(Q1588+N1588),0)</f>
        <v>0</v>
      </c>
      <c r="AE1588" s="91" t="e">
        <f aca="false">(N1588-T1588)/N1588</f>
        <v>#DIV/0!</v>
      </c>
      <c r="AF1588" s="97" t="n">
        <f aca="false">BR1588</f>
        <v>0</v>
      </c>
      <c r="AG1588" s="98" t="n">
        <f aca="false">K1588-AF1588</f>
        <v>0</v>
      </c>
      <c r="AH1588" s="99" t="str">
        <f aca="false">IFERROR(AG1588/K1588," ")</f>
        <v> </v>
      </c>
      <c r="AI1588" s="100" t="n">
        <f aca="false">IFERROR(O1588/K1588,0)</f>
        <v>0</v>
      </c>
      <c r="AJ1588" s="101" t="e">
        <f aca="false">VLOOKUP(D1588,'Standard Cycle time'!C:D,2,0)</f>
        <v>#N/A</v>
      </c>
      <c r="AK1588" s="101" t="e">
        <f aca="false">AG1588*V1588*3600/O1588</f>
        <v>#DIV/0!</v>
      </c>
      <c r="AL1588" s="102" t="e">
        <f aca="false">AJ1588/AK1588</f>
        <v>#N/A</v>
      </c>
      <c r="AM1588" s="99" t="e">
        <f aca="false">AE1588*AL1588*AH1588</f>
        <v>#DIV/0!</v>
      </c>
      <c r="AN1588" s="103"/>
      <c r="AO1588" s="112"/>
      <c r="AP1588" s="105"/>
      <c r="AQ1588" s="105"/>
      <c r="AR1588" s="105"/>
      <c r="AS1588" s="105"/>
      <c r="AT1588" s="105"/>
      <c r="AU1588" s="105"/>
      <c r="AV1588" s="105"/>
      <c r="AW1588" s="105"/>
      <c r="AX1588" s="105"/>
      <c r="AY1588" s="105"/>
      <c r="AZ1588" s="105"/>
      <c r="BA1588" s="105"/>
      <c r="BB1588" s="105"/>
      <c r="BC1588" s="105"/>
      <c r="BD1588" s="105"/>
      <c r="BE1588" s="105"/>
      <c r="BF1588" s="105"/>
      <c r="BG1588" s="105"/>
      <c r="BH1588" s="105"/>
      <c r="BI1588" s="105"/>
      <c r="BJ1588" s="105"/>
      <c r="BK1588" s="105"/>
      <c r="BL1588" s="105"/>
      <c r="BM1588" s="105"/>
      <c r="BN1588" s="105"/>
      <c r="BO1588" s="105"/>
      <c r="BP1588" s="105"/>
      <c r="BQ1588" s="105"/>
      <c r="BR1588" s="106"/>
      <c r="BS1588" s="106"/>
      <c r="BT1588" s="107"/>
      <c r="BU1588" s="107"/>
      <c r="BV1588" s="107"/>
      <c r="BW1588" s="107"/>
      <c r="BX1588" s="107"/>
      <c r="BY1588" s="107"/>
      <c r="BZ1588" s="107"/>
      <c r="CA1588" s="107"/>
      <c r="CB1588" s="107"/>
      <c r="CC1588" s="107"/>
      <c r="CD1588" s="107"/>
      <c r="CE1588" s="107"/>
      <c r="CF1588" s="107"/>
      <c r="CG1588" s="107"/>
      <c r="CH1588" s="107"/>
      <c r="CI1588" s="107"/>
      <c r="CJ1588" s="107"/>
      <c r="CK1588" s="107"/>
      <c r="CL1588" s="107"/>
      <c r="CM1588" s="107"/>
      <c r="CN1588" s="107"/>
      <c r="CO1588" s="107"/>
      <c r="CP1588" s="107"/>
      <c r="CQ1588" s="107"/>
      <c r="CR1588" s="107"/>
      <c r="CS1588" s="107"/>
      <c r="CT1588" s="107"/>
      <c r="CU1588" s="107"/>
      <c r="CV1588" s="107"/>
    </row>
    <row r="1589" customFormat="false" ht="13.8" hidden="false" customHeight="false" outlineLevel="0" collapsed="false">
      <c r="B1589" s="138"/>
      <c r="C1589" s="128"/>
      <c r="D1589" s="77"/>
      <c r="E1589" s="80"/>
      <c r="F1589" s="122"/>
      <c r="G1589" s="137"/>
      <c r="H1589" s="139" t="str">
        <f aca="false">IFERROR(VLOOKUP(E:E,'Item Data Support Sheet'!A:O,2,0),"")</f>
        <v/>
      </c>
      <c r="I1589" s="80"/>
      <c r="J1589" s="80"/>
      <c r="K1589" s="81"/>
      <c r="L1589" s="124"/>
      <c r="M1589" s="83"/>
      <c r="N1589" s="84" t="n">
        <f aca="false">+O1589+Q1589+T1589+U1589</f>
        <v>0</v>
      </c>
      <c r="O1589" s="85"/>
      <c r="P1589" s="86"/>
      <c r="Q1589" s="86"/>
      <c r="R1589" s="132"/>
      <c r="S1589" s="128"/>
      <c r="T1589" s="132"/>
      <c r="U1589" s="128"/>
      <c r="V1589" s="128"/>
      <c r="W1589" s="90" t="n">
        <f aca="false">IFERROR(O1589/V1589,0)</f>
        <v>0</v>
      </c>
      <c r="X1589" s="91" t="e">
        <f aca="false">O1589/L1589</f>
        <v>#DIV/0!</v>
      </c>
      <c r="Y1589" s="92" t="n">
        <f aca="false">IFERROR(VLOOKUP(E:E,'Item Data Support Sheet'!A:J,6,0),0)</f>
        <v>0</v>
      </c>
      <c r="Z1589" s="93" t="n">
        <f aca="false">IFERROR(VLOOKUP(E:E,'Item Data Support Sheet'!A:O,4,0),0)</f>
        <v>0</v>
      </c>
      <c r="AA1589" s="93" t="n">
        <f aca="false">IFERROR(((N1589)*(Z1589/1000))+P1589,0)</f>
        <v>0</v>
      </c>
      <c r="AB1589" s="94" t="str">
        <f aca="false">IFERROR((O1589*(Z1589/1000)/(AA1589))," ")</f>
        <v> </v>
      </c>
      <c r="AC1589" s="95" t="n">
        <f aca="false">IFERROR((T1589)/((T1589)+O1589),0)</f>
        <v>0</v>
      </c>
      <c r="AD1589" s="96" t="n">
        <f aca="false">IFERROR(Q1589/(Q1589+N1589),0)</f>
        <v>0</v>
      </c>
      <c r="AE1589" s="91" t="e">
        <f aca="false">(N1589-T1589)/N1589</f>
        <v>#DIV/0!</v>
      </c>
      <c r="AF1589" s="97" t="n">
        <f aca="false">BR1589</f>
        <v>0</v>
      </c>
      <c r="AG1589" s="98" t="n">
        <f aca="false">K1589-AF1589</f>
        <v>0</v>
      </c>
      <c r="AH1589" s="99" t="str">
        <f aca="false">IFERROR(AG1589/K1589," ")</f>
        <v> </v>
      </c>
      <c r="AI1589" s="100" t="n">
        <f aca="false">IFERROR(O1589/K1589,0)</f>
        <v>0</v>
      </c>
      <c r="AJ1589" s="101" t="e">
        <f aca="false">VLOOKUP(D1589,'Standard Cycle time'!C:D,2,0)</f>
        <v>#N/A</v>
      </c>
      <c r="AK1589" s="101" t="e">
        <f aca="false">AG1589*V1589*3600/O1589</f>
        <v>#DIV/0!</v>
      </c>
      <c r="AL1589" s="102" t="e">
        <f aca="false">AJ1589/AK1589</f>
        <v>#N/A</v>
      </c>
      <c r="AM1589" s="99" t="e">
        <f aca="false">AE1589*AL1589*AH1589</f>
        <v>#DIV/0!</v>
      </c>
      <c r="AN1589" s="103"/>
      <c r="AO1589" s="112"/>
      <c r="AP1589" s="105"/>
      <c r="AQ1589" s="105"/>
      <c r="AR1589" s="105"/>
      <c r="AS1589" s="105"/>
      <c r="AT1589" s="105"/>
      <c r="AU1589" s="105"/>
      <c r="AV1589" s="105"/>
      <c r="AW1589" s="105"/>
      <c r="AX1589" s="105"/>
      <c r="AY1589" s="105"/>
      <c r="AZ1589" s="105"/>
      <c r="BA1589" s="105"/>
      <c r="BB1589" s="105"/>
      <c r="BC1589" s="105"/>
      <c r="BD1589" s="105"/>
      <c r="BE1589" s="105"/>
      <c r="BF1589" s="105"/>
      <c r="BG1589" s="105"/>
      <c r="BH1589" s="105"/>
      <c r="BI1589" s="105"/>
      <c r="BJ1589" s="105"/>
      <c r="BK1589" s="105"/>
      <c r="BL1589" s="105"/>
      <c r="BM1589" s="105"/>
      <c r="BN1589" s="105"/>
      <c r="BO1589" s="105"/>
      <c r="BP1589" s="105"/>
      <c r="BQ1589" s="105"/>
      <c r="BR1589" s="106"/>
      <c r="BS1589" s="106"/>
      <c r="BT1589" s="107"/>
      <c r="BU1589" s="107"/>
      <c r="BV1589" s="107"/>
      <c r="BW1589" s="107"/>
      <c r="BX1589" s="107"/>
      <c r="BY1589" s="107"/>
      <c r="BZ1589" s="107"/>
      <c r="CA1589" s="107"/>
      <c r="CB1589" s="107"/>
      <c r="CC1589" s="107"/>
      <c r="CD1589" s="107"/>
      <c r="CE1589" s="107"/>
      <c r="CF1589" s="107"/>
      <c r="CG1589" s="107"/>
      <c r="CH1589" s="107"/>
      <c r="CI1589" s="107"/>
      <c r="CJ1589" s="107"/>
      <c r="CK1589" s="107"/>
      <c r="CL1589" s="107"/>
      <c r="CM1589" s="107"/>
      <c r="CN1589" s="107"/>
      <c r="CO1589" s="107"/>
      <c r="CP1589" s="107"/>
      <c r="CQ1589" s="107"/>
      <c r="CR1589" s="107"/>
      <c r="CS1589" s="107"/>
      <c r="CT1589" s="107"/>
      <c r="CU1589" s="107"/>
      <c r="CV1589" s="107"/>
    </row>
    <row r="1590" customFormat="false" ht="13.8" hidden="false" customHeight="false" outlineLevel="0" collapsed="false">
      <c r="B1590" s="138"/>
      <c r="C1590" s="128"/>
      <c r="D1590" s="77"/>
      <c r="E1590" s="80"/>
      <c r="F1590" s="122"/>
      <c r="G1590" s="137"/>
      <c r="H1590" s="139" t="str">
        <f aca="false">IFERROR(VLOOKUP(E:E,'Item Data Support Sheet'!A:O,2,0),"")</f>
        <v/>
      </c>
      <c r="I1590" s="80"/>
      <c r="J1590" s="80"/>
      <c r="K1590" s="81"/>
      <c r="L1590" s="124"/>
      <c r="M1590" s="83"/>
      <c r="N1590" s="84" t="n">
        <f aca="false">+O1590+Q1590+T1590+U1590</f>
        <v>0</v>
      </c>
      <c r="O1590" s="85"/>
      <c r="P1590" s="86"/>
      <c r="Q1590" s="86"/>
      <c r="R1590" s="132"/>
      <c r="S1590" s="128"/>
      <c r="T1590" s="132"/>
      <c r="U1590" s="128"/>
      <c r="V1590" s="128"/>
      <c r="W1590" s="90" t="n">
        <f aca="false">IFERROR(O1590/V1590,0)</f>
        <v>0</v>
      </c>
      <c r="X1590" s="91" t="e">
        <f aca="false">O1590/L1590</f>
        <v>#DIV/0!</v>
      </c>
      <c r="Y1590" s="92" t="n">
        <f aca="false">IFERROR(VLOOKUP(E:E,'Item Data Support Sheet'!A:J,6,0),0)</f>
        <v>0</v>
      </c>
      <c r="Z1590" s="93" t="n">
        <f aca="false">IFERROR(VLOOKUP(E:E,'Item Data Support Sheet'!A:O,4,0),0)</f>
        <v>0</v>
      </c>
      <c r="AA1590" s="93" t="n">
        <f aca="false">IFERROR(((N1590)*(Z1590/1000))+P1590,0)</f>
        <v>0</v>
      </c>
      <c r="AB1590" s="94" t="str">
        <f aca="false">IFERROR((O1590*(Z1590/1000)/(AA1590))," ")</f>
        <v> </v>
      </c>
      <c r="AC1590" s="95" t="n">
        <f aca="false">IFERROR((T1590)/((T1590)+O1590),0)</f>
        <v>0</v>
      </c>
      <c r="AD1590" s="96" t="n">
        <f aca="false">IFERROR(Q1590/(Q1590+N1590),0)</f>
        <v>0</v>
      </c>
      <c r="AE1590" s="91" t="e">
        <f aca="false">(N1590-T1590)/N1590</f>
        <v>#DIV/0!</v>
      </c>
      <c r="AF1590" s="97" t="n">
        <f aca="false">BR1590</f>
        <v>0</v>
      </c>
      <c r="AG1590" s="98" t="n">
        <f aca="false">K1590-AF1590</f>
        <v>0</v>
      </c>
      <c r="AH1590" s="99" t="str">
        <f aca="false">IFERROR(AG1590/K1590," ")</f>
        <v> </v>
      </c>
      <c r="AI1590" s="100" t="n">
        <f aca="false">IFERROR(O1590/K1590,0)</f>
        <v>0</v>
      </c>
      <c r="AJ1590" s="101" t="e">
        <f aca="false">VLOOKUP(D1590,'Standard Cycle time'!C:D,2,0)</f>
        <v>#N/A</v>
      </c>
      <c r="AK1590" s="101" t="e">
        <f aca="false">AG1590*V1590*3600/O1590</f>
        <v>#DIV/0!</v>
      </c>
      <c r="AL1590" s="102" t="e">
        <f aca="false">AJ1590/AK1590</f>
        <v>#N/A</v>
      </c>
      <c r="AM1590" s="99" t="e">
        <f aca="false">AE1590*AL1590*AH1590</f>
        <v>#DIV/0!</v>
      </c>
      <c r="AN1590" s="103"/>
      <c r="AO1590" s="112"/>
      <c r="AP1590" s="105"/>
      <c r="AQ1590" s="105"/>
      <c r="AR1590" s="105"/>
      <c r="AS1590" s="105"/>
      <c r="AT1590" s="105"/>
      <c r="AU1590" s="105"/>
      <c r="AV1590" s="105"/>
      <c r="AW1590" s="105"/>
      <c r="AX1590" s="105"/>
      <c r="AY1590" s="105"/>
      <c r="AZ1590" s="105"/>
      <c r="BA1590" s="105"/>
      <c r="BB1590" s="105"/>
      <c r="BC1590" s="105"/>
      <c r="BD1590" s="105"/>
      <c r="BE1590" s="105"/>
      <c r="BF1590" s="105"/>
      <c r="BG1590" s="105"/>
      <c r="BH1590" s="105"/>
      <c r="BI1590" s="105"/>
      <c r="BJ1590" s="105"/>
      <c r="BK1590" s="105"/>
      <c r="BL1590" s="105"/>
      <c r="BM1590" s="105"/>
      <c r="BN1590" s="105"/>
      <c r="BO1590" s="105"/>
      <c r="BP1590" s="105"/>
      <c r="BQ1590" s="105"/>
      <c r="BR1590" s="106"/>
      <c r="BS1590" s="106"/>
      <c r="BT1590" s="107"/>
      <c r="BU1590" s="107"/>
      <c r="BV1590" s="107"/>
      <c r="BW1590" s="107"/>
      <c r="BX1590" s="107"/>
      <c r="BY1590" s="107"/>
      <c r="BZ1590" s="107"/>
      <c r="CA1590" s="107"/>
      <c r="CB1590" s="107"/>
      <c r="CC1590" s="107"/>
      <c r="CD1590" s="107"/>
      <c r="CE1590" s="107"/>
      <c r="CF1590" s="107"/>
      <c r="CG1590" s="107"/>
      <c r="CH1590" s="107"/>
      <c r="CI1590" s="107"/>
      <c r="CJ1590" s="107"/>
      <c r="CK1590" s="107"/>
      <c r="CL1590" s="107"/>
      <c r="CM1590" s="107"/>
      <c r="CN1590" s="107"/>
      <c r="CO1590" s="107"/>
      <c r="CP1590" s="107"/>
      <c r="CQ1590" s="107"/>
      <c r="CR1590" s="107"/>
      <c r="CS1590" s="107"/>
      <c r="CT1590" s="107"/>
      <c r="CU1590" s="107"/>
      <c r="CV1590" s="107"/>
    </row>
    <row r="1591" customFormat="false" ht="13.8" hidden="false" customHeight="false" outlineLevel="0" collapsed="false">
      <c r="B1591" s="138"/>
      <c r="C1591" s="128"/>
      <c r="D1591" s="77"/>
      <c r="E1591" s="80"/>
      <c r="F1591" s="122"/>
      <c r="G1591" s="137"/>
      <c r="H1591" s="139" t="str">
        <f aca="false">IFERROR(VLOOKUP(E:E,'Item Data Support Sheet'!A:O,2,0),"")</f>
        <v/>
      </c>
      <c r="I1591" s="80"/>
      <c r="J1591" s="80"/>
      <c r="K1591" s="81"/>
      <c r="L1591" s="124"/>
      <c r="M1591" s="83"/>
      <c r="N1591" s="84" t="n">
        <f aca="false">+O1591+Q1591+T1591+U1591</f>
        <v>0</v>
      </c>
      <c r="O1591" s="85"/>
      <c r="P1591" s="86"/>
      <c r="Q1591" s="86"/>
      <c r="R1591" s="132"/>
      <c r="S1591" s="128"/>
      <c r="T1591" s="132"/>
      <c r="U1591" s="128"/>
      <c r="V1591" s="128"/>
      <c r="W1591" s="90" t="n">
        <f aca="false">IFERROR(O1591/V1591,0)</f>
        <v>0</v>
      </c>
      <c r="X1591" s="91" t="e">
        <f aca="false">O1591/L1591</f>
        <v>#DIV/0!</v>
      </c>
      <c r="Y1591" s="92" t="n">
        <f aca="false">IFERROR(VLOOKUP(E:E,'Item Data Support Sheet'!A:J,6,0),0)</f>
        <v>0</v>
      </c>
      <c r="Z1591" s="93" t="n">
        <f aca="false">IFERROR(VLOOKUP(E:E,'Item Data Support Sheet'!A:O,4,0),0)</f>
        <v>0</v>
      </c>
      <c r="AA1591" s="93" t="n">
        <f aca="false">IFERROR(((N1591)*(Z1591/1000))+P1591,0)</f>
        <v>0</v>
      </c>
      <c r="AB1591" s="94" t="str">
        <f aca="false">IFERROR((O1591*(Z1591/1000)/(AA1591))," ")</f>
        <v> </v>
      </c>
      <c r="AC1591" s="95" t="n">
        <f aca="false">IFERROR((T1591)/((T1591)+O1591),0)</f>
        <v>0</v>
      </c>
      <c r="AD1591" s="96" t="n">
        <f aca="false">IFERROR(Q1591/(Q1591+N1591),0)</f>
        <v>0</v>
      </c>
      <c r="AE1591" s="91" t="e">
        <f aca="false">(N1591-T1591)/N1591</f>
        <v>#DIV/0!</v>
      </c>
      <c r="AF1591" s="97" t="n">
        <f aca="false">BR1591</f>
        <v>0</v>
      </c>
      <c r="AG1591" s="98" t="n">
        <f aca="false">K1591-AF1591</f>
        <v>0</v>
      </c>
      <c r="AH1591" s="99" t="str">
        <f aca="false">IFERROR(AG1591/K1591," ")</f>
        <v> </v>
      </c>
      <c r="AI1591" s="100" t="n">
        <f aca="false">IFERROR(O1591/K1591,0)</f>
        <v>0</v>
      </c>
      <c r="AJ1591" s="101" t="e">
        <f aca="false">VLOOKUP(D1591,'Standard Cycle time'!C:D,2,0)</f>
        <v>#N/A</v>
      </c>
      <c r="AK1591" s="101" t="e">
        <f aca="false">AG1591*V1591*3600/O1591</f>
        <v>#DIV/0!</v>
      </c>
      <c r="AL1591" s="102" t="e">
        <f aca="false">AJ1591/AK1591</f>
        <v>#N/A</v>
      </c>
      <c r="AM1591" s="99" t="e">
        <f aca="false">AE1591*AL1591*AH1591</f>
        <v>#DIV/0!</v>
      </c>
      <c r="AN1591" s="103"/>
      <c r="AO1591" s="112"/>
      <c r="AP1591" s="105"/>
      <c r="AQ1591" s="105"/>
      <c r="AR1591" s="105"/>
      <c r="AS1591" s="105"/>
      <c r="AT1591" s="105"/>
      <c r="AU1591" s="105"/>
      <c r="AV1591" s="105"/>
      <c r="AW1591" s="105"/>
      <c r="AX1591" s="105"/>
      <c r="AY1591" s="105"/>
      <c r="AZ1591" s="105"/>
      <c r="BA1591" s="105"/>
      <c r="BB1591" s="105"/>
      <c r="BC1591" s="105"/>
      <c r="BD1591" s="105"/>
      <c r="BE1591" s="105"/>
      <c r="BF1591" s="105"/>
      <c r="BG1591" s="105"/>
      <c r="BH1591" s="105"/>
      <c r="BI1591" s="105"/>
      <c r="BJ1591" s="105"/>
      <c r="BK1591" s="105"/>
      <c r="BL1591" s="105"/>
      <c r="BM1591" s="105"/>
      <c r="BN1591" s="105"/>
      <c r="BO1591" s="105"/>
      <c r="BP1591" s="105"/>
      <c r="BQ1591" s="105"/>
      <c r="BR1591" s="106"/>
      <c r="BS1591" s="106"/>
      <c r="BT1591" s="107"/>
      <c r="BU1591" s="107"/>
      <c r="BV1591" s="107"/>
      <c r="BW1591" s="107"/>
      <c r="BX1591" s="107"/>
      <c r="BY1591" s="107"/>
      <c r="BZ1591" s="107"/>
      <c r="CA1591" s="107"/>
      <c r="CB1591" s="107"/>
      <c r="CC1591" s="107"/>
      <c r="CD1591" s="107"/>
      <c r="CE1591" s="107"/>
      <c r="CF1591" s="107"/>
      <c r="CG1591" s="107"/>
      <c r="CH1591" s="107"/>
      <c r="CI1591" s="107"/>
      <c r="CJ1591" s="107"/>
      <c r="CK1591" s="107"/>
      <c r="CL1591" s="107"/>
      <c r="CM1591" s="107"/>
      <c r="CN1591" s="107"/>
      <c r="CO1591" s="107"/>
      <c r="CP1591" s="107"/>
      <c r="CQ1591" s="107"/>
      <c r="CR1591" s="107"/>
      <c r="CS1591" s="107"/>
      <c r="CT1591" s="107"/>
      <c r="CU1591" s="107"/>
      <c r="CV1591" s="107"/>
    </row>
    <row r="1592" customFormat="false" ht="13.8" hidden="false" customHeight="false" outlineLevel="0" collapsed="false">
      <c r="B1592" s="138"/>
      <c r="C1592" s="128"/>
      <c r="D1592" s="77"/>
      <c r="E1592" s="80"/>
      <c r="F1592" s="122"/>
      <c r="G1592" s="137"/>
      <c r="H1592" s="139" t="str">
        <f aca="false">IFERROR(VLOOKUP(E:E,'Item Data Support Sheet'!A:O,2,0),"")</f>
        <v/>
      </c>
      <c r="I1592" s="80"/>
      <c r="J1592" s="80"/>
      <c r="K1592" s="81"/>
      <c r="L1592" s="124"/>
      <c r="M1592" s="83"/>
      <c r="N1592" s="84" t="n">
        <f aca="false">+O1592+Q1592+T1592+U1592</f>
        <v>0</v>
      </c>
      <c r="O1592" s="85"/>
      <c r="P1592" s="86"/>
      <c r="Q1592" s="86"/>
      <c r="R1592" s="132"/>
      <c r="S1592" s="128"/>
      <c r="T1592" s="132"/>
      <c r="U1592" s="128"/>
      <c r="V1592" s="128"/>
      <c r="W1592" s="90" t="n">
        <f aca="false">IFERROR(O1592/V1592,0)</f>
        <v>0</v>
      </c>
      <c r="X1592" s="91" t="e">
        <f aca="false">O1592/L1592</f>
        <v>#DIV/0!</v>
      </c>
      <c r="Y1592" s="92" t="n">
        <f aca="false">IFERROR(VLOOKUP(E:E,'Item Data Support Sheet'!A:J,6,0),0)</f>
        <v>0</v>
      </c>
      <c r="Z1592" s="93" t="n">
        <f aca="false">IFERROR(VLOOKUP(E:E,'Item Data Support Sheet'!A:O,4,0),0)</f>
        <v>0</v>
      </c>
      <c r="AA1592" s="93" t="n">
        <f aca="false">IFERROR(((N1592)*(Z1592/1000))+P1592,0)</f>
        <v>0</v>
      </c>
      <c r="AB1592" s="94" t="str">
        <f aca="false">IFERROR((O1592*(Z1592/1000)/(AA1592))," ")</f>
        <v> </v>
      </c>
      <c r="AC1592" s="95" t="n">
        <f aca="false">IFERROR((T1592)/((T1592)+O1592),0)</f>
        <v>0</v>
      </c>
      <c r="AD1592" s="96" t="n">
        <f aca="false">IFERROR(Q1592/(Q1592+N1592),0)</f>
        <v>0</v>
      </c>
      <c r="AE1592" s="91" t="e">
        <f aca="false">(N1592-T1592)/N1592</f>
        <v>#DIV/0!</v>
      </c>
      <c r="AF1592" s="97" t="n">
        <f aca="false">BR1592</f>
        <v>0</v>
      </c>
      <c r="AG1592" s="98" t="n">
        <f aca="false">K1592-AF1592</f>
        <v>0</v>
      </c>
      <c r="AH1592" s="99" t="str">
        <f aca="false">IFERROR(AG1592/K1592," ")</f>
        <v> </v>
      </c>
      <c r="AI1592" s="100" t="n">
        <f aca="false">IFERROR(O1592/K1592,0)</f>
        <v>0</v>
      </c>
      <c r="AJ1592" s="101" t="e">
        <f aca="false">VLOOKUP(D1592,'Standard Cycle time'!C:D,2,0)</f>
        <v>#N/A</v>
      </c>
      <c r="AK1592" s="101" t="e">
        <f aca="false">AG1592*V1592*3600/O1592</f>
        <v>#DIV/0!</v>
      </c>
      <c r="AL1592" s="102" t="e">
        <f aca="false">AJ1592/AK1592</f>
        <v>#N/A</v>
      </c>
      <c r="AM1592" s="99" t="e">
        <f aca="false">AE1592*AL1592*AH1592</f>
        <v>#DIV/0!</v>
      </c>
      <c r="AN1592" s="103"/>
      <c r="AO1592" s="112"/>
      <c r="AP1592" s="105"/>
      <c r="AQ1592" s="105"/>
      <c r="AR1592" s="105"/>
      <c r="AS1592" s="105"/>
      <c r="AT1592" s="105"/>
      <c r="AU1592" s="105"/>
      <c r="AV1592" s="105"/>
      <c r="AW1592" s="105"/>
      <c r="AX1592" s="105"/>
      <c r="AY1592" s="105"/>
      <c r="AZ1592" s="105"/>
      <c r="BA1592" s="105"/>
      <c r="BB1592" s="105"/>
      <c r="BC1592" s="105"/>
      <c r="BD1592" s="105"/>
      <c r="BE1592" s="105"/>
      <c r="BF1592" s="105"/>
      <c r="BG1592" s="105"/>
      <c r="BH1592" s="105"/>
      <c r="BI1592" s="105"/>
      <c r="BJ1592" s="105"/>
      <c r="BK1592" s="105"/>
      <c r="BL1592" s="105"/>
      <c r="BM1592" s="105"/>
      <c r="BN1592" s="105"/>
      <c r="BO1592" s="105"/>
      <c r="BP1592" s="105"/>
      <c r="BQ1592" s="105"/>
      <c r="BR1592" s="106"/>
      <c r="BS1592" s="106"/>
      <c r="BT1592" s="107"/>
      <c r="BU1592" s="107"/>
      <c r="BV1592" s="107"/>
      <c r="BW1592" s="107"/>
      <c r="BX1592" s="107"/>
      <c r="BY1592" s="107"/>
      <c r="BZ1592" s="107"/>
      <c r="CA1592" s="107"/>
      <c r="CB1592" s="107"/>
      <c r="CC1592" s="107"/>
      <c r="CD1592" s="107"/>
      <c r="CE1592" s="107"/>
      <c r="CF1592" s="107"/>
      <c r="CG1592" s="107"/>
      <c r="CH1592" s="107"/>
      <c r="CI1592" s="107"/>
      <c r="CJ1592" s="107"/>
      <c r="CK1592" s="107"/>
      <c r="CL1592" s="107"/>
      <c r="CM1592" s="107"/>
      <c r="CN1592" s="107"/>
      <c r="CO1592" s="107"/>
      <c r="CP1592" s="107"/>
      <c r="CQ1592" s="107"/>
      <c r="CR1592" s="107"/>
      <c r="CS1592" s="107"/>
      <c r="CT1592" s="107"/>
      <c r="CU1592" s="107"/>
      <c r="CV1592" s="107"/>
    </row>
    <row r="1593" customFormat="false" ht="13.8" hidden="false" customHeight="false" outlineLevel="0" collapsed="false">
      <c r="B1593" s="138"/>
      <c r="C1593" s="128"/>
      <c r="D1593" s="77"/>
      <c r="E1593" s="80"/>
      <c r="F1593" s="122"/>
      <c r="G1593" s="137"/>
      <c r="H1593" s="139" t="str">
        <f aca="false">IFERROR(VLOOKUP(E:E,'Item Data Support Sheet'!A:O,2,0),"")</f>
        <v/>
      </c>
      <c r="I1593" s="80"/>
      <c r="J1593" s="80"/>
      <c r="K1593" s="81"/>
      <c r="L1593" s="124"/>
      <c r="M1593" s="83"/>
      <c r="N1593" s="84" t="n">
        <f aca="false">+O1593+Q1593+T1593+U1593</f>
        <v>0</v>
      </c>
      <c r="O1593" s="85"/>
      <c r="P1593" s="86"/>
      <c r="Q1593" s="86"/>
      <c r="R1593" s="132"/>
      <c r="S1593" s="128"/>
      <c r="T1593" s="132"/>
      <c r="U1593" s="128"/>
      <c r="V1593" s="128"/>
      <c r="W1593" s="90" t="n">
        <f aca="false">IFERROR(O1593/V1593,0)</f>
        <v>0</v>
      </c>
      <c r="X1593" s="91" t="e">
        <f aca="false">O1593/L1593</f>
        <v>#DIV/0!</v>
      </c>
      <c r="Y1593" s="92" t="n">
        <f aca="false">IFERROR(VLOOKUP(E:E,'Item Data Support Sheet'!A:J,6,0),0)</f>
        <v>0</v>
      </c>
      <c r="Z1593" s="93" t="n">
        <f aca="false">IFERROR(VLOOKUP(E:E,'Item Data Support Sheet'!A:O,4,0),0)</f>
        <v>0</v>
      </c>
      <c r="AA1593" s="93" t="n">
        <f aca="false">IFERROR(((N1593)*(Z1593/1000))+P1593,0)</f>
        <v>0</v>
      </c>
      <c r="AB1593" s="94" t="str">
        <f aca="false">IFERROR((O1593*(Z1593/1000)/(AA1593))," ")</f>
        <v> </v>
      </c>
      <c r="AC1593" s="95" t="n">
        <f aca="false">IFERROR((T1593)/((T1593)+O1593),0)</f>
        <v>0</v>
      </c>
      <c r="AD1593" s="96" t="n">
        <f aca="false">IFERROR(Q1593/(Q1593+N1593),0)</f>
        <v>0</v>
      </c>
      <c r="AE1593" s="91" t="e">
        <f aca="false">(N1593-T1593)/N1593</f>
        <v>#DIV/0!</v>
      </c>
      <c r="AF1593" s="97" t="n">
        <f aca="false">BR1593</f>
        <v>0</v>
      </c>
      <c r="AG1593" s="98" t="n">
        <f aca="false">K1593-AF1593</f>
        <v>0</v>
      </c>
      <c r="AH1593" s="99" t="str">
        <f aca="false">IFERROR(AG1593/K1593," ")</f>
        <v> </v>
      </c>
      <c r="AI1593" s="100" t="n">
        <f aca="false">IFERROR(O1593/K1593,0)</f>
        <v>0</v>
      </c>
      <c r="AJ1593" s="101" t="e">
        <f aca="false">VLOOKUP(D1593,'Standard Cycle time'!C:D,2,0)</f>
        <v>#N/A</v>
      </c>
      <c r="AK1593" s="101" t="e">
        <f aca="false">AG1593*V1593*3600/O1593</f>
        <v>#DIV/0!</v>
      </c>
      <c r="AL1593" s="102" t="e">
        <f aca="false">AJ1593/AK1593</f>
        <v>#N/A</v>
      </c>
      <c r="AM1593" s="99" t="e">
        <f aca="false">AE1593*AL1593*AH1593</f>
        <v>#DIV/0!</v>
      </c>
      <c r="AN1593" s="103"/>
      <c r="AO1593" s="112"/>
      <c r="AP1593" s="105"/>
      <c r="AQ1593" s="105"/>
      <c r="AR1593" s="105"/>
      <c r="AS1593" s="105"/>
      <c r="AT1593" s="105"/>
      <c r="AU1593" s="105"/>
      <c r="AV1593" s="105"/>
      <c r="AW1593" s="105"/>
      <c r="AX1593" s="105"/>
      <c r="AY1593" s="105"/>
      <c r="AZ1593" s="105"/>
      <c r="BA1593" s="105"/>
      <c r="BB1593" s="105"/>
      <c r="BC1593" s="105"/>
      <c r="BD1593" s="105"/>
      <c r="BE1593" s="105"/>
      <c r="BF1593" s="105"/>
      <c r="BG1593" s="105"/>
      <c r="BH1593" s="105"/>
      <c r="BI1593" s="105"/>
      <c r="BJ1593" s="105"/>
      <c r="BK1593" s="105"/>
      <c r="BL1593" s="105"/>
      <c r="BM1593" s="105"/>
      <c r="BN1593" s="105"/>
      <c r="BO1593" s="105"/>
      <c r="BP1593" s="105"/>
      <c r="BQ1593" s="105"/>
      <c r="BR1593" s="106"/>
      <c r="BS1593" s="106"/>
      <c r="BT1593" s="107"/>
      <c r="BU1593" s="107"/>
      <c r="BV1593" s="107"/>
      <c r="BW1593" s="107"/>
      <c r="BX1593" s="107"/>
      <c r="BY1593" s="107"/>
      <c r="BZ1593" s="107"/>
      <c r="CA1593" s="107"/>
      <c r="CB1593" s="107"/>
      <c r="CC1593" s="107"/>
      <c r="CD1593" s="107"/>
      <c r="CE1593" s="107"/>
      <c r="CF1593" s="107"/>
      <c r="CG1593" s="107"/>
      <c r="CH1593" s="107"/>
      <c r="CI1593" s="107"/>
      <c r="CJ1593" s="107"/>
      <c r="CK1593" s="107"/>
      <c r="CL1593" s="107"/>
      <c r="CM1593" s="107"/>
      <c r="CN1593" s="107"/>
      <c r="CO1593" s="107"/>
      <c r="CP1593" s="107"/>
      <c r="CQ1593" s="107"/>
      <c r="CR1593" s="107"/>
      <c r="CS1593" s="107"/>
      <c r="CT1593" s="107"/>
      <c r="CU1593" s="107"/>
      <c r="CV1593" s="107"/>
    </row>
    <row r="1594" customFormat="false" ht="13.8" hidden="false" customHeight="false" outlineLevel="0" collapsed="false">
      <c r="B1594" s="138"/>
      <c r="C1594" s="128"/>
      <c r="D1594" s="77"/>
      <c r="E1594" s="80"/>
      <c r="F1594" s="122"/>
      <c r="G1594" s="137"/>
      <c r="H1594" s="139" t="str">
        <f aca="false">IFERROR(VLOOKUP(E:E,'Item Data Support Sheet'!A:O,2,0),"")</f>
        <v/>
      </c>
      <c r="I1594" s="80"/>
      <c r="J1594" s="80"/>
      <c r="K1594" s="81"/>
      <c r="L1594" s="124"/>
      <c r="M1594" s="83"/>
      <c r="N1594" s="84" t="n">
        <f aca="false">+O1594+Q1594+T1594+U1594</f>
        <v>0</v>
      </c>
      <c r="O1594" s="85"/>
      <c r="P1594" s="86"/>
      <c r="Q1594" s="86"/>
      <c r="R1594" s="132"/>
      <c r="S1594" s="128"/>
      <c r="T1594" s="132"/>
      <c r="U1594" s="128"/>
      <c r="V1594" s="128"/>
      <c r="W1594" s="90" t="n">
        <f aca="false">IFERROR(O1594/V1594,0)</f>
        <v>0</v>
      </c>
      <c r="X1594" s="91" t="e">
        <f aca="false">O1594/L1594</f>
        <v>#DIV/0!</v>
      </c>
      <c r="Y1594" s="92" t="n">
        <f aca="false">IFERROR(VLOOKUP(E:E,'Item Data Support Sheet'!A:J,6,0),0)</f>
        <v>0</v>
      </c>
      <c r="Z1594" s="93" t="n">
        <f aca="false">IFERROR(VLOOKUP(E:E,'Item Data Support Sheet'!A:O,4,0),0)</f>
        <v>0</v>
      </c>
      <c r="AA1594" s="93" t="n">
        <f aca="false">IFERROR(((N1594)*(Z1594/1000))+P1594,0)</f>
        <v>0</v>
      </c>
      <c r="AB1594" s="94" t="str">
        <f aca="false">IFERROR((O1594*(Z1594/1000)/(AA1594))," ")</f>
        <v> </v>
      </c>
      <c r="AC1594" s="95" t="n">
        <f aca="false">IFERROR((T1594)/((T1594)+O1594),0)</f>
        <v>0</v>
      </c>
      <c r="AD1594" s="96" t="n">
        <f aca="false">IFERROR(Q1594/(Q1594+N1594),0)</f>
        <v>0</v>
      </c>
      <c r="AE1594" s="91" t="e">
        <f aca="false">(N1594-T1594)/N1594</f>
        <v>#DIV/0!</v>
      </c>
      <c r="AF1594" s="97" t="n">
        <f aca="false">BR1594</f>
        <v>0</v>
      </c>
      <c r="AG1594" s="98" t="n">
        <f aca="false">K1594-AF1594</f>
        <v>0</v>
      </c>
      <c r="AH1594" s="99" t="str">
        <f aca="false">IFERROR(AG1594/K1594," ")</f>
        <v> </v>
      </c>
      <c r="AI1594" s="100" t="n">
        <f aca="false">IFERROR(O1594/K1594,0)</f>
        <v>0</v>
      </c>
      <c r="AJ1594" s="101" t="e">
        <f aca="false">VLOOKUP(D1594,'Standard Cycle time'!C:D,2,0)</f>
        <v>#N/A</v>
      </c>
      <c r="AK1594" s="101" t="e">
        <f aca="false">AG1594*V1594*3600/O1594</f>
        <v>#DIV/0!</v>
      </c>
      <c r="AL1594" s="102" t="e">
        <f aca="false">AJ1594/AK1594</f>
        <v>#N/A</v>
      </c>
      <c r="AM1594" s="99" t="e">
        <f aca="false">AE1594*AL1594*AH1594</f>
        <v>#DIV/0!</v>
      </c>
      <c r="AN1594" s="103"/>
      <c r="AO1594" s="112"/>
      <c r="AP1594" s="105"/>
      <c r="AQ1594" s="105"/>
      <c r="AR1594" s="105"/>
      <c r="AS1594" s="105"/>
      <c r="AT1594" s="105"/>
      <c r="AU1594" s="105"/>
      <c r="AV1594" s="105"/>
      <c r="AW1594" s="105"/>
      <c r="AX1594" s="105"/>
      <c r="AY1594" s="105"/>
      <c r="AZ1594" s="105"/>
      <c r="BA1594" s="105"/>
      <c r="BB1594" s="105"/>
      <c r="BC1594" s="105"/>
      <c r="BD1594" s="105"/>
      <c r="BE1594" s="105"/>
      <c r="BF1594" s="105"/>
      <c r="BG1594" s="105"/>
      <c r="BH1594" s="105"/>
      <c r="BI1594" s="105"/>
      <c r="BJ1594" s="105"/>
      <c r="BK1594" s="105"/>
      <c r="BL1594" s="105"/>
      <c r="BM1594" s="105"/>
      <c r="BN1594" s="105"/>
      <c r="BO1594" s="105"/>
      <c r="BP1594" s="105"/>
      <c r="BQ1594" s="105"/>
      <c r="BR1594" s="106"/>
      <c r="BS1594" s="106"/>
      <c r="BT1594" s="107"/>
      <c r="BU1594" s="107"/>
      <c r="BV1594" s="107"/>
      <c r="BW1594" s="107"/>
      <c r="BX1594" s="107"/>
      <c r="BY1594" s="107"/>
      <c r="BZ1594" s="107"/>
      <c r="CA1594" s="107"/>
      <c r="CB1594" s="107"/>
      <c r="CC1594" s="107"/>
      <c r="CD1594" s="107"/>
      <c r="CE1594" s="107"/>
      <c r="CF1594" s="107"/>
      <c r="CG1594" s="107"/>
      <c r="CH1594" s="107"/>
      <c r="CI1594" s="107"/>
      <c r="CJ1594" s="107"/>
      <c r="CK1594" s="107"/>
      <c r="CL1594" s="107"/>
      <c r="CM1594" s="107"/>
      <c r="CN1594" s="107"/>
      <c r="CO1594" s="107"/>
      <c r="CP1594" s="107"/>
      <c r="CQ1594" s="107"/>
      <c r="CR1594" s="107"/>
      <c r="CS1594" s="107"/>
      <c r="CT1594" s="107"/>
      <c r="CU1594" s="107"/>
      <c r="CV1594" s="107"/>
    </row>
    <row r="1595" customFormat="false" ht="13.8" hidden="false" customHeight="false" outlineLevel="0" collapsed="false">
      <c r="H1595" s="139" t="str">
        <f aca="false">IFERROR(VLOOKUP(E:E,'Item Data Support Sheet'!A:O,2,0),"")</f>
        <v/>
      </c>
      <c r="N1595" s="84" t="n">
        <f aca="false">+O1595+Q1595+T1595+U1595</f>
        <v>0</v>
      </c>
      <c r="W1595" s="90" t="n">
        <f aca="false">IFERROR(O1595/V1595,0)</f>
        <v>0</v>
      </c>
      <c r="X1595" s="91" t="e">
        <f aca="false">O1595/L1595</f>
        <v>#DIV/0!</v>
      </c>
      <c r="Y1595" s="92" t="n">
        <f aca="false">IFERROR(VLOOKUP(E:E,'Item Data Support Sheet'!A:J,6,0),0)</f>
        <v>0</v>
      </c>
      <c r="Z1595" s="93" t="n">
        <f aca="false">IFERROR(VLOOKUP(E:E,'Item Data Support Sheet'!A:O,4,0),0)</f>
        <v>0</v>
      </c>
      <c r="AA1595" s="93" t="n">
        <f aca="false">IFERROR(((N1595)*(Z1595/1000))+P1595,0)</f>
        <v>0</v>
      </c>
      <c r="AB1595" s="94" t="str">
        <f aca="false">IFERROR((O1595*(Z1595/1000)/(AA1595))," ")</f>
        <v> </v>
      </c>
      <c r="AC1595" s="95" t="n">
        <f aca="false">IFERROR((T1595)/((T1595)+O1595),0)</f>
        <v>0</v>
      </c>
      <c r="AD1595" s="96" t="n">
        <f aca="false">IFERROR(Q1595/(Q1595+N1595),0)</f>
        <v>0</v>
      </c>
      <c r="AE1595" s="91" t="e">
        <f aca="false">(N1595-T1595)/N1595</f>
        <v>#DIV/0!</v>
      </c>
      <c r="AF1595" s="97" t="n">
        <f aca="false">BR1595</f>
        <v>0</v>
      </c>
      <c r="AG1595" s="98" t="n">
        <f aca="false">K1595-AF1595</f>
        <v>0</v>
      </c>
      <c r="AH1595" s="99" t="str">
        <f aca="false">IFERROR(AG1595/K1595," ")</f>
        <v> </v>
      </c>
      <c r="AI1595" s="100" t="n">
        <f aca="false">IFERROR(O1595/K1595,0)</f>
        <v>0</v>
      </c>
      <c r="AJ1595" s="101" t="e">
        <f aca="false">VLOOKUP(D1595,'Standard Cycle time'!C:D,2,0)</f>
        <v>#N/A</v>
      </c>
      <c r="AK1595" s="101" t="e">
        <f aca="false">AG1595*V1595*3600/O1595</f>
        <v>#DIV/0!</v>
      </c>
      <c r="AL1595" s="102" t="e">
        <f aca="false">AJ1595/AK1595</f>
        <v>#N/A</v>
      </c>
      <c r="AM1595" s="99" t="e">
        <f aca="false">AE1595*AL1595*AH1595</f>
        <v>#DIV/0!</v>
      </c>
    </row>
    <row r="1596" customFormat="false" ht="13.8" hidden="false" customHeight="false" outlineLevel="0" collapsed="false">
      <c r="H1596" s="139" t="str">
        <f aca="false">IFERROR(VLOOKUP(E:E,'Item Data Support Sheet'!A:O,2,0),"")</f>
        <v/>
      </c>
      <c r="N1596" s="84" t="n">
        <f aca="false">+O1596+Q1596+T1596+U1596</f>
        <v>0</v>
      </c>
      <c r="W1596" s="90" t="n">
        <f aca="false">IFERROR(O1596/V1596,0)</f>
        <v>0</v>
      </c>
      <c r="X1596" s="91" t="e">
        <f aca="false">O1596/L1596</f>
        <v>#DIV/0!</v>
      </c>
      <c r="Y1596" s="92" t="n">
        <f aca="false">IFERROR(VLOOKUP(E:E,'Item Data Support Sheet'!A:J,6,0),0)</f>
        <v>0</v>
      </c>
      <c r="Z1596" s="93" t="n">
        <f aca="false">IFERROR(VLOOKUP(E:E,'Item Data Support Sheet'!A:O,4,0),0)</f>
        <v>0</v>
      </c>
      <c r="AA1596" s="93" t="n">
        <f aca="false">IFERROR(((N1596)*(Z1596/1000))+P1596,0)</f>
        <v>0</v>
      </c>
      <c r="AB1596" s="94" t="str">
        <f aca="false">IFERROR((O1596*(Z1596/1000)/(AA1596))," ")</f>
        <v> </v>
      </c>
      <c r="AC1596" s="95" t="n">
        <f aca="false">IFERROR((T1596)/((T1596)+O1596),0)</f>
        <v>0</v>
      </c>
      <c r="AD1596" s="96" t="n">
        <f aca="false">IFERROR(Q1596/(Q1596+N1596),0)</f>
        <v>0</v>
      </c>
      <c r="AE1596" s="91" t="e">
        <f aca="false">(N1596-T1596)/N1596</f>
        <v>#DIV/0!</v>
      </c>
      <c r="AF1596" s="97" t="n">
        <f aca="false">BR1596</f>
        <v>0</v>
      </c>
      <c r="AG1596" s="98" t="n">
        <f aca="false">K1596-AF1596</f>
        <v>0</v>
      </c>
      <c r="AH1596" s="99" t="str">
        <f aca="false">IFERROR(AG1596/K1596," ")</f>
        <v> </v>
      </c>
      <c r="AI1596" s="100" t="n">
        <f aca="false">IFERROR(O1596/K1596,0)</f>
        <v>0</v>
      </c>
      <c r="AJ1596" s="101" t="e">
        <f aca="false">VLOOKUP(D1596,'Standard Cycle time'!C:D,2,0)</f>
        <v>#N/A</v>
      </c>
      <c r="AK1596" s="101" t="e">
        <f aca="false">AG1596*V1596*3600/O1596</f>
        <v>#DIV/0!</v>
      </c>
      <c r="AL1596" s="102" t="e">
        <f aca="false">AJ1596/AK1596</f>
        <v>#N/A</v>
      </c>
      <c r="AM1596" s="99" t="e">
        <f aca="false">AE1596*AL1596*AH1596</f>
        <v>#DIV/0!</v>
      </c>
    </row>
    <row r="1597" customFormat="false" ht="13.8" hidden="false" customHeight="false" outlineLevel="0" collapsed="false">
      <c r="H1597" s="139" t="str">
        <f aca="false">IFERROR(VLOOKUP(E:E,'Item Data Support Sheet'!A:O,2,0),"")</f>
        <v/>
      </c>
      <c r="N1597" s="84" t="n">
        <f aca="false">+O1597+Q1597+T1597+U1597</f>
        <v>0</v>
      </c>
      <c r="W1597" s="90" t="n">
        <f aca="false">IFERROR(O1597/V1597,0)</f>
        <v>0</v>
      </c>
      <c r="X1597" s="91" t="e">
        <f aca="false">O1597/L1597</f>
        <v>#DIV/0!</v>
      </c>
      <c r="Y1597" s="92" t="n">
        <f aca="false">IFERROR(VLOOKUP(E:E,'Item Data Support Sheet'!A:J,6,0),0)</f>
        <v>0</v>
      </c>
      <c r="Z1597" s="93" t="n">
        <f aca="false">IFERROR(VLOOKUP(E:E,'Item Data Support Sheet'!A:O,4,0),0)</f>
        <v>0</v>
      </c>
      <c r="AA1597" s="93" t="n">
        <f aca="false">IFERROR(((N1597)*(Z1597/1000))+P1597,0)</f>
        <v>0</v>
      </c>
      <c r="AB1597" s="94" t="str">
        <f aca="false">IFERROR((O1597*(Z1597/1000)/(AA1597))," ")</f>
        <v> </v>
      </c>
      <c r="AC1597" s="95" t="n">
        <f aca="false">IFERROR((T1597)/((T1597)+O1597),0)</f>
        <v>0</v>
      </c>
      <c r="AD1597" s="96" t="n">
        <f aca="false">IFERROR(Q1597/(Q1597+N1597),0)</f>
        <v>0</v>
      </c>
      <c r="AE1597" s="91" t="e">
        <f aca="false">(N1597-T1597)/N1597</f>
        <v>#DIV/0!</v>
      </c>
      <c r="AF1597" s="97" t="n">
        <f aca="false">BR1597</f>
        <v>0</v>
      </c>
      <c r="AG1597" s="98" t="n">
        <f aca="false">K1597-AF1597</f>
        <v>0</v>
      </c>
      <c r="AH1597" s="99" t="str">
        <f aca="false">IFERROR(AG1597/K1597," ")</f>
        <v> </v>
      </c>
      <c r="AI1597" s="100" t="n">
        <f aca="false">IFERROR(O1597/K1597,0)</f>
        <v>0</v>
      </c>
      <c r="AJ1597" s="101" t="e">
        <f aca="false">VLOOKUP(D1597,'Standard Cycle time'!C:D,2,0)</f>
        <v>#N/A</v>
      </c>
      <c r="AK1597" s="101" t="e">
        <f aca="false">AG1597*V1597*3600/O1597</f>
        <v>#DIV/0!</v>
      </c>
      <c r="AL1597" s="102" t="e">
        <f aca="false">AJ1597/AK1597</f>
        <v>#N/A</v>
      </c>
      <c r="AM1597" s="99" t="e">
        <f aca="false">AE1597*AL1597*AH1597</f>
        <v>#DIV/0!</v>
      </c>
    </row>
    <row r="1598" customFormat="false" ht="13.8" hidden="false" customHeight="false" outlineLevel="0" collapsed="false">
      <c r="H1598" s="139" t="str">
        <f aca="false">IFERROR(VLOOKUP(E:E,'Item Data Support Sheet'!A:O,2,0),"")</f>
        <v/>
      </c>
      <c r="N1598" s="84" t="n">
        <f aca="false">+O1598+Q1598+T1598+U1598</f>
        <v>0</v>
      </c>
      <c r="W1598" s="90" t="n">
        <f aca="false">IFERROR(O1598/V1598,0)</f>
        <v>0</v>
      </c>
      <c r="X1598" s="91" t="e">
        <f aca="false">O1598/L1598</f>
        <v>#DIV/0!</v>
      </c>
      <c r="Y1598" s="92" t="n">
        <f aca="false">IFERROR(VLOOKUP(E:E,'Item Data Support Sheet'!A:J,6,0),0)</f>
        <v>0</v>
      </c>
      <c r="Z1598" s="93" t="n">
        <f aca="false">IFERROR(VLOOKUP(E:E,'Item Data Support Sheet'!A:O,4,0),0)</f>
        <v>0</v>
      </c>
      <c r="AA1598" s="93" t="n">
        <f aca="false">IFERROR(((N1598)*(Z1598/1000))+P1598,0)</f>
        <v>0</v>
      </c>
      <c r="AB1598" s="94" t="str">
        <f aca="false">IFERROR((O1598*(Z1598/1000)/(AA1598))," ")</f>
        <v> </v>
      </c>
      <c r="AC1598" s="95" t="n">
        <f aca="false">IFERROR((T1598)/((T1598)+O1598),0)</f>
        <v>0</v>
      </c>
      <c r="AD1598" s="96" t="n">
        <f aca="false">IFERROR(Q1598/(Q1598+N1598),0)</f>
        <v>0</v>
      </c>
      <c r="AE1598" s="91" t="e">
        <f aca="false">(N1598-T1598)/N1598</f>
        <v>#DIV/0!</v>
      </c>
      <c r="AF1598" s="97" t="n">
        <f aca="false">BR1598</f>
        <v>0</v>
      </c>
      <c r="AG1598" s="98" t="n">
        <f aca="false">K1598-AF1598</f>
        <v>0</v>
      </c>
      <c r="AH1598" s="99" t="str">
        <f aca="false">IFERROR(AG1598/K1598," ")</f>
        <v> </v>
      </c>
      <c r="AI1598" s="100" t="n">
        <f aca="false">IFERROR(O1598/K1598,0)</f>
        <v>0</v>
      </c>
      <c r="AJ1598" s="101" t="e">
        <f aca="false">VLOOKUP(D1598,'Standard Cycle time'!C:D,2,0)</f>
        <v>#N/A</v>
      </c>
      <c r="AK1598" s="101" t="e">
        <f aca="false">AG1598*V1598*3600/O1598</f>
        <v>#DIV/0!</v>
      </c>
      <c r="AL1598" s="102" t="e">
        <f aca="false">AJ1598/AK1598</f>
        <v>#N/A</v>
      </c>
      <c r="AM1598" s="99" t="e">
        <f aca="false">AE1598*AL1598*AH1598</f>
        <v>#DIV/0!</v>
      </c>
    </row>
    <row r="1599" customFormat="false" ht="13.8" hidden="false" customHeight="false" outlineLevel="0" collapsed="false">
      <c r="H1599" s="139" t="str">
        <f aca="false">IFERROR(VLOOKUP(E:E,'Item Data Support Sheet'!A:O,2,0),"")</f>
        <v/>
      </c>
      <c r="N1599" s="84" t="n">
        <f aca="false">+O1599+Q1599+T1599+U1599</f>
        <v>0</v>
      </c>
      <c r="W1599" s="90" t="n">
        <f aca="false">IFERROR(O1599/V1599,0)</f>
        <v>0</v>
      </c>
      <c r="X1599" s="91" t="e">
        <f aca="false">O1599/L1599</f>
        <v>#DIV/0!</v>
      </c>
      <c r="Y1599" s="92" t="n">
        <f aca="false">IFERROR(VLOOKUP(E:E,'Item Data Support Sheet'!A:J,6,0),0)</f>
        <v>0</v>
      </c>
      <c r="Z1599" s="93" t="n">
        <f aca="false">IFERROR(VLOOKUP(E:E,'Item Data Support Sheet'!A:O,4,0),0)</f>
        <v>0</v>
      </c>
      <c r="AA1599" s="93" t="n">
        <f aca="false">IFERROR(((N1599)*(Z1599/1000))+P1599,0)</f>
        <v>0</v>
      </c>
      <c r="AB1599" s="94" t="str">
        <f aca="false">IFERROR((O1599*(Z1599/1000)/(AA1599))," ")</f>
        <v> </v>
      </c>
      <c r="AC1599" s="95" t="n">
        <f aca="false">IFERROR((T1599)/((T1599)+O1599),0)</f>
        <v>0</v>
      </c>
      <c r="AD1599" s="96" t="n">
        <f aca="false">IFERROR(Q1599/(Q1599+N1599),0)</f>
        <v>0</v>
      </c>
      <c r="AE1599" s="91" t="e">
        <f aca="false">(N1599-T1599)/N1599</f>
        <v>#DIV/0!</v>
      </c>
      <c r="AF1599" s="97" t="n">
        <f aca="false">BR1599</f>
        <v>0</v>
      </c>
      <c r="AG1599" s="98" t="n">
        <f aca="false">K1599-AF1599</f>
        <v>0</v>
      </c>
      <c r="AH1599" s="99" t="str">
        <f aca="false">IFERROR(AG1599/K1599," ")</f>
        <v> </v>
      </c>
      <c r="AI1599" s="100" t="n">
        <f aca="false">IFERROR(O1599/K1599,0)</f>
        <v>0</v>
      </c>
      <c r="AJ1599" s="101" t="e">
        <f aca="false">VLOOKUP(D1599,'Standard Cycle time'!C:D,2,0)</f>
        <v>#N/A</v>
      </c>
      <c r="AK1599" s="101" t="e">
        <f aca="false">AG1599*V1599*3600/O1599</f>
        <v>#DIV/0!</v>
      </c>
      <c r="AL1599" s="102" t="e">
        <f aca="false">AJ1599/AK1599</f>
        <v>#N/A</v>
      </c>
      <c r="AM1599" s="99" t="e">
        <f aca="false">AE1599*AL1599*AH1599</f>
        <v>#DIV/0!</v>
      </c>
    </row>
    <row r="1600" customFormat="false" ht="13.8" hidden="false" customHeight="false" outlineLevel="0" collapsed="false">
      <c r="H1600" s="139" t="str">
        <f aca="false">IFERROR(VLOOKUP(E:E,'Item Data Support Sheet'!A:O,2,0),"")</f>
        <v/>
      </c>
      <c r="N1600" s="84" t="n">
        <f aca="false">+O1600+Q1600+T1600+U1600</f>
        <v>0</v>
      </c>
      <c r="W1600" s="90" t="n">
        <f aca="false">IFERROR(O1600/V1600,0)</f>
        <v>0</v>
      </c>
      <c r="X1600" s="91" t="e">
        <f aca="false">O1600/L1600</f>
        <v>#DIV/0!</v>
      </c>
      <c r="Y1600" s="92" t="n">
        <f aca="false">IFERROR(VLOOKUP(E:E,'Item Data Support Sheet'!A:J,6,0),0)</f>
        <v>0</v>
      </c>
      <c r="Z1600" s="93" t="n">
        <f aca="false">IFERROR(VLOOKUP(E:E,'Item Data Support Sheet'!A:O,4,0),0)</f>
        <v>0</v>
      </c>
      <c r="AA1600" s="93" t="n">
        <f aca="false">IFERROR(((N1600)*(Z1600/1000))+P1600,0)</f>
        <v>0</v>
      </c>
      <c r="AB1600" s="94" t="str">
        <f aca="false">IFERROR((O1600*(Z1600/1000)/(AA1600))," ")</f>
        <v> </v>
      </c>
      <c r="AC1600" s="95" t="n">
        <f aca="false">IFERROR((T1600)/((T1600)+O1600),0)</f>
        <v>0</v>
      </c>
      <c r="AD1600" s="96" t="n">
        <f aca="false">IFERROR(Q1600/(Q1600+N1600),0)</f>
        <v>0</v>
      </c>
      <c r="AE1600" s="91" t="e">
        <f aca="false">(N1600-T1600)/N1600</f>
        <v>#DIV/0!</v>
      </c>
      <c r="AF1600" s="97" t="n">
        <f aca="false">BR1600</f>
        <v>0</v>
      </c>
      <c r="AG1600" s="98" t="n">
        <f aca="false">K1600-AF1600</f>
        <v>0</v>
      </c>
      <c r="AH1600" s="99" t="str">
        <f aca="false">IFERROR(AG1600/K1600," ")</f>
        <v> </v>
      </c>
      <c r="AI1600" s="100" t="n">
        <f aca="false">IFERROR(O1600/K1600,0)</f>
        <v>0</v>
      </c>
      <c r="AJ1600" s="101" t="e">
        <f aca="false">VLOOKUP(D1600,'Standard Cycle time'!C:D,2,0)</f>
        <v>#N/A</v>
      </c>
      <c r="AK1600" s="101" t="e">
        <f aca="false">AG1600*V1600*3600/O1600</f>
        <v>#DIV/0!</v>
      </c>
      <c r="AL1600" s="102" t="e">
        <f aca="false">AJ1600/AK1600</f>
        <v>#N/A</v>
      </c>
      <c r="AM1600" s="99" t="e">
        <f aca="false">AE1600*AL1600*AH1600</f>
        <v>#DIV/0!</v>
      </c>
    </row>
    <row r="1601" customFormat="false" ht="13.8" hidden="false" customHeight="false" outlineLevel="0" collapsed="false">
      <c r="H1601" s="139" t="str">
        <f aca="false">IFERROR(VLOOKUP(E:E,'Item Data Support Sheet'!A:O,2,0),"")</f>
        <v/>
      </c>
      <c r="N1601" s="84" t="n">
        <f aca="false">+O1601+Q1601+T1601+U1601</f>
        <v>0</v>
      </c>
      <c r="W1601" s="90" t="n">
        <f aca="false">IFERROR(O1601/V1601,0)</f>
        <v>0</v>
      </c>
      <c r="X1601" s="91" t="e">
        <f aca="false">O1601/L1601</f>
        <v>#DIV/0!</v>
      </c>
      <c r="Y1601" s="92" t="n">
        <f aca="false">IFERROR(VLOOKUP(E:E,'Item Data Support Sheet'!A:J,6,0),0)</f>
        <v>0</v>
      </c>
      <c r="Z1601" s="93" t="n">
        <f aca="false">IFERROR(VLOOKUP(E:E,'Item Data Support Sheet'!A:O,4,0),0)</f>
        <v>0</v>
      </c>
      <c r="AA1601" s="93" t="n">
        <f aca="false">IFERROR(((N1601)*(Z1601/1000))+P1601,0)</f>
        <v>0</v>
      </c>
      <c r="AB1601" s="94" t="str">
        <f aca="false">IFERROR((O1601*(Z1601/1000)/(AA1601))," ")</f>
        <v> </v>
      </c>
      <c r="AC1601" s="95" t="n">
        <f aca="false">IFERROR((T1601)/((T1601)+O1601),0)</f>
        <v>0</v>
      </c>
      <c r="AD1601" s="96" t="n">
        <f aca="false">IFERROR(Q1601/(Q1601+N1601),0)</f>
        <v>0</v>
      </c>
      <c r="AE1601" s="91" t="e">
        <f aca="false">(N1601-T1601)/N1601</f>
        <v>#DIV/0!</v>
      </c>
      <c r="AF1601" s="97" t="n">
        <f aca="false">BR1601</f>
        <v>0</v>
      </c>
      <c r="AG1601" s="98" t="n">
        <f aca="false">K1601-AF1601</f>
        <v>0</v>
      </c>
      <c r="AH1601" s="99" t="str">
        <f aca="false">IFERROR(AG1601/K1601," ")</f>
        <v> </v>
      </c>
      <c r="AI1601" s="100" t="n">
        <f aca="false">IFERROR(O1601/K1601,0)</f>
        <v>0</v>
      </c>
      <c r="AJ1601" s="101" t="e">
        <f aca="false">VLOOKUP(D1601,'Standard Cycle time'!C:D,2,0)</f>
        <v>#N/A</v>
      </c>
      <c r="AK1601" s="101" t="e">
        <f aca="false">AG1601*V1601*3600/O1601</f>
        <v>#DIV/0!</v>
      </c>
      <c r="AL1601" s="102" t="e">
        <f aca="false">AJ1601/AK1601</f>
        <v>#N/A</v>
      </c>
      <c r="AM1601" s="99" t="e">
        <f aca="false">AE1601*AL1601*AH1601</f>
        <v>#DIV/0!</v>
      </c>
    </row>
    <row r="1602" customFormat="false" ht="13.8" hidden="false" customHeight="false" outlineLevel="0" collapsed="false">
      <c r="H1602" s="139" t="str">
        <f aca="false">IFERROR(VLOOKUP(E:E,'Item Data Support Sheet'!A:O,2,0),"")</f>
        <v/>
      </c>
      <c r="N1602" s="84" t="n">
        <f aca="false">+O1602+Q1602+T1602+U1602</f>
        <v>0</v>
      </c>
      <c r="W1602" s="90" t="n">
        <f aca="false">IFERROR(O1602/V1602,0)</f>
        <v>0</v>
      </c>
      <c r="X1602" s="91" t="e">
        <f aca="false">O1602/L1602</f>
        <v>#DIV/0!</v>
      </c>
      <c r="Y1602" s="92" t="n">
        <f aca="false">IFERROR(VLOOKUP(E:E,'Item Data Support Sheet'!A:J,6,0),0)</f>
        <v>0</v>
      </c>
      <c r="Z1602" s="93" t="n">
        <f aca="false">IFERROR(VLOOKUP(E:E,'Item Data Support Sheet'!A:O,4,0),0)</f>
        <v>0</v>
      </c>
      <c r="AA1602" s="93" t="n">
        <f aca="false">IFERROR(((N1602)*(Z1602/1000))+P1602,0)</f>
        <v>0</v>
      </c>
      <c r="AB1602" s="94" t="str">
        <f aca="false">IFERROR((O1602*(Z1602/1000)/(AA1602))," ")</f>
        <v> </v>
      </c>
      <c r="AC1602" s="95" t="n">
        <f aca="false">IFERROR((T1602)/((T1602)+O1602),0)</f>
        <v>0</v>
      </c>
      <c r="AD1602" s="96" t="n">
        <f aca="false">IFERROR(Q1602/(Q1602+N1602),0)</f>
        <v>0</v>
      </c>
      <c r="AE1602" s="91" t="e">
        <f aca="false">(N1602-T1602)/N1602</f>
        <v>#DIV/0!</v>
      </c>
      <c r="AF1602" s="97" t="n">
        <f aca="false">BR1602</f>
        <v>0</v>
      </c>
      <c r="AG1602" s="98" t="n">
        <f aca="false">K1602-AF1602</f>
        <v>0</v>
      </c>
      <c r="AH1602" s="99" t="str">
        <f aca="false">IFERROR(AG1602/K1602," ")</f>
        <v> </v>
      </c>
      <c r="AI1602" s="100" t="n">
        <f aca="false">IFERROR(O1602/K1602,0)</f>
        <v>0</v>
      </c>
      <c r="AJ1602" s="101" t="e">
        <f aca="false">VLOOKUP(D1602,'Standard Cycle time'!C:D,2,0)</f>
        <v>#N/A</v>
      </c>
      <c r="AK1602" s="101" t="e">
        <f aca="false">AG1602*V1602*3600/O1602</f>
        <v>#DIV/0!</v>
      </c>
      <c r="AL1602" s="102" t="e">
        <f aca="false">AJ1602/AK1602</f>
        <v>#N/A</v>
      </c>
      <c r="AM1602" s="99" t="e">
        <f aca="false">AE1602*AL1602*AH1602</f>
        <v>#DIV/0!</v>
      </c>
    </row>
    <row r="1603" customFormat="false" ht="13.8" hidden="false" customHeight="false" outlineLevel="0" collapsed="false">
      <c r="H1603" s="139" t="str">
        <f aca="false">IFERROR(VLOOKUP(E:E,'Item Data Support Sheet'!A:O,2,0),"")</f>
        <v/>
      </c>
      <c r="N1603" s="84" t="n">
        <f aca="false">+O1603+Q1603+T1603+U1603</f>
        <v>0</v>
      </c>
      <c r="W1603" s="90" t="n">
        <f aca="false">IFERROR(O1603/V1603,0)</f>
        <v>0</v>
      </c>
      <c r="X1603" s="91" t="e">
        <f aca="false">O1603/L1603</f>
        <v>#DIV/0!</v>
      </c>
      <c r="Y1603" s="92" t="n">
        <f aca="false">IFERROR(VLOOKUP(E:E,'Item Data Support Sheet'!A:J,6,0),0)</f>
        <v>0</v>
      </c>
      <c r="Z1603" s="93" t="n">
        <f aca="false">IFERROR(VLOOKUP(E:E,'Item Data Support Sheet'!A:O,4,0),0)</f>
        <v>0</v>
      </c>
      <c r="AA1603" s="93" t="n">
        <f aca="false">IFERROR(((N1603)*(Z1603/1000))+P1603,0)</f>
        <v>0</v>
      </c>
      <c r="AB1603" s="94" t="str">
        <f aca="false">IFERROR((O1603*(Z1603/1000)/(AA1603))," ")</f>
        <v> </v>
      </c>
      <c r="AC1603" s="95" t="n">
        <f aca="false">IFERROR((T1603)/((T1603)+O1603),0)</f>
        <v>0</v>
      </c>
      <c r="AD1603" s="96" t="n">
        <f aca="false">IFERROR(Q1603/(Q1603+N1603),0)</f>
        <v>0</v>
      </c>
      <c r="AE1603" s="91" t="e">
        <f aca="false">(N1603-T1603)/N1603</f>
        <v>#DIV/0!</v>
      </c>
      <c r="AF1603" s="97" t="n">
        <f aca="false">BR1603</f>
        <v>0</v>
      </c>
      <c r="AG1603" s="98" t="n">
        <f aca="false">K1603-AF1603</f>
        <v>0</v>
      </c>
      <c r="AH1603" s="99" t="str">
        <f aca="false">IFERROR(AG1603/K1603," ")</f>
        <v> </v>
      </c>
      <c r="AI1603" s="100" t="n">
        <f aca="false">IFERROR(O1603/K1603,0)</f>
        <v>0</v>
      </c>
      <c r="AJ1603" s="101" t="e">
        <f aca="false">VLOOKUP(D1603,'Standard Cycle time'!C:D,2,0)</f>
        <v>#N/A</v>
      </c>
      <c r="AK1603" s="101" t="e">
        <f aca="false">AG1603*V1603*3600/O1603</f>
        <v>#DIV/0!</v>
      </c>
      <c r="AL1603" s="102" t="e">
        <f aca="false">AJ1603/AK1603</f>
        <v>#N/A</v>
      </c>
      <c r="AM1603" s="99" t="e">
        <f aca="false">AE1603*AL1603*AH1603</f>
        <v>#DIV/0!</v>
      </c>
    </row>
    <row r="1604" customFormat="false" ht="13.8" hidden="false" customHeight="false" outlineLevel="0" collapsed="false">
      <c r="H1604" s="139" t="str">
        <f aca="false">IFERROR(VLOOKUP(E:E,'Item Data Support Sheet'!A:O,2,0),"")</f>
        <v/>
      </c>
      <c r="N1604" s="84" t="n">
        <f aca="false">+O1604+Q1604+T1604+U1604</f>
        <v>0</v>
      </c>
      <c r="W1604" s="90" t="n">
        <f aca="false">IFERROR(O1604/V1604,0)</f>
        <v>0</v>
      </c>
      <c r="X1604" s="91" t="e">
        <f aca="false">O1604/L1604</f>
        <v>#DIV/0!</v>
      </c>
      <c r="Y1604" s="92" t="n">
        <f aca="false">IFERROR(VLOOKUP(E:E,'Item Data Support Sheet'!A:J,6,0),0)</f>
        <v>0</v>
      </c>
      <c r="Z1604" s="93" t="n">
        <f aca="false">IFERROR(VLOOKUP(E:E,'Item Data Support Sheet'!A:O,4,0),0)</f>
        <v>0</v>
      </c>
      <c r="AA1604" s="93" t="n">
        <f aca="false">IFERROR(((N1604)*(Z1604/1000))+P1604,0)</f>
        <v>0</v>
      </c>
      <c r="AB1604" s="94" t="str">
        <f aca="false">IFERROR((O1604*(Z1604/1000)/(AA1604))," ")</f>
        <v> </v>
      </c>
      <c r="AC1604" s="95" t="n">
        <f aca="false">IFERROR((T1604)/((T1604)+O1604),0)</f>
        <v>0</v>
      </c>
      <c r="AD1604" s="96" t="n">
        <f aca="false">IFERROR(Q1604/(Q1604+N1604),0)</f>
        <v>0</v>
      </c>
      <c r="AE1604" s="91" t="e">
        <f aca="false">(N1604-T1604)/N1604</f>
        <v>#DIV/0!</v>
      </c>
      <c r="AF1604" s="97" t="n">
        <f aca="false">BR1604</f>
        <v>0</v>
      </c>
      <c r="AG1604" s="98" t="n">
        <f aca="false">K1604-AF1604</f>
        <v>0</v>
      </c>
      <c r="AH1604" s="99" t="str">
        <f aca="false">IFERROR(AG1604/K1604," ")</f>
        <v> </v>
      </c>
      <c r="AI1604" s="100" t="n">
        <f aca="false">IFERROR(O1604/K1604,0)</f>
        <v>0</v>
      </c>
      <c r="AJ1604" s="101" t="e">
        <f aca="false">VLOOKUP(D1604,'Standard Cycle time'!C:D,2,0)</f>
        <v>#N/A</v>
      </c>
      <c r="AK1604" s="101" t="e">
        <f aca="false">AG1604*V1604*3600/O1604</f>
        <v>#DIV/0!</v>
      </c>
      <c r="AL1604" s="102" t="e">
        <f aca="false">AJ1604/AK1604</f>
        <v>#N/A</v>
      </c>
      <c r="AM1604" s="99" t="e">
        <f aca="false">AE1604*AL1604*AH1604</f>
        <v>#DIV/0!</v>
      </c>
    </row>
    <row r="1605" customFormat="false" ht="13.8" hidden="false" customHeight="false" outlineLevel="0" collapsed="false">
      <c r="H1605" s="139" t="str">
        <f aca="false">IFERROR(VLOOKUP(E:E,'Item Data Support Sheet'!A:O,2,0),"")</f>
        <v/>
      </c>
      <c r="N1605" s="84" t="n">
        <f aca="false">+O1605+Q1605+T1605+U1605</f>
        <v>0</v>
      </c>
      <c r="W1605" s="90" t="n">
        <f aca="false">IFERROR(O1605/V1605,0)</f>
        <v>0</v>
      </c>
      <c r="X1605" s="91" t="e">
        <f aca="false">O1605/L1605</f>
        <v>#DIV/0!</v>
      </c>
      <c r="Y1605" s="92" t="n">
        <f aca="false">IFERROR(VLOOKUP(E:E,'Item Data Support Sheet'!A:J,6,0),0)</f>
        <v>0</v>
      </c>
      <c r="Z1605" s="93" t="n">
        <f aca="false">IFERROR(VLOOKUP(E:E,'Item Data Support Sheet'!A:O,4,0),0)</f>
        <v>0</v>
      </c>
      <c r="AA1605" s="93" t="n">
        <f aca="false">IFERROR(((N1605)*(Z1605/1000))+P1605,0)</f>
        <v>0</v>
      </c>
      <c r="AB1605" s="94" t="str">
        <f aca="false">IFERROR((O1605*(Z1605/1000)/(AA1605))," ")</f>
        <v> </v>
      </c>
      <c r="AC1605" s="95" t="n">
        <f aca="false">IFERROR((T1605)/((T1605)+O1605),0)</f>
        <v>0</v>
      </c>
      <c r="AD1605" s="96" t="n">
        <f aca="false">IFERROR(Q1605/(Q1605+N1605),0)</f>
        <v>0</v>
      </c>
      <c r="AE1605" s="91" t="e">
        <f aca="false">(N1605-T1605)/N1605</f>
        <v>#DIV/0!</v>
      </c>
      <c r="AF1605" s="97" t="n">
        <f aca="false">BR1605</f>
        <v>0</v>
      </c>
      <c r="AG1605" s="98" t="n">
        <f aca="false">K1605-AF1605</f>
        <v>0</v>
      </c>
      <c r="AH1605" s="99" t="str">
        <f aca="false">IFERROR(AG1605/K1605," ")</f>
        <v> </v>
      </c>
      <c r="AI1605" s="100" t="n">
        <f aca="false">IFERROR(O1605/K1605,0)</f>
        <v>0</v>
      </c>
      <c r="AJ1605" s="101" t="e">
        <f aca="false">VLOOKUP(D1605,'Standard Cycle time'!C:D,2,0)</f>
        <v>#N/A</v>
      </c>
      <c r="AK1605" s="101" t="e">
        <f aca="false">AG1605*V1605*3600/O1605</f>
        <v>#DIV/0!</v>
      </c>
      <c r="AL1605" s="102" t="e">
        <f aca="false">AJ1605/AK1605</f>
        <v>#N/A</v>
      </c>
      <c r="AM1605" s="99" t="e">
        <f aca="false">AE1605*AL1605*AH1605</f>
        <v>#DIV/0!</v>
      </c>
    </row>
    <row r="1606" customFormat="false" ht="13.8" hidden="false" customHeight="false" outlineLevel="0" collapsed="false">
      <c r="H1606" s="139" t="str">
        <f aca="false">IFERROR(VLOOKUP(E:E,'Item Data Support Sheet'!A:O,2,0),"")</f>
        <v/>
      </c>
      <c r="N1606" s="84" t="n">
        <f aca="false">+O1606+Q1606+T1606+U1606</f>
        <v>0</v>
      </c>
      <c r="W1606" s="90" t="n">
        <f aca="false">IFERROR(O1606/V1606,0)</f>
        <v>0</v>
      </c>
      <c r="X1606" s="91" t="e">
        <f aca="false">O1606/L1606</f>
        <v>#DIV/0!</v>
      </c>
      <c r="Y1606" s="92" t="n">
        <f aca="false">IFERROR(VLOOKUP(E:E,'Item Data Support Sheet'!A:J,6,0),0)</f>
        <v>0</v>
      </c>
      <c r="Z1606" s="93" t="n">
        <f aca="false">IFERROR(VLOOKUP(E:E,'Item Data Support Sheet'!A:O,4,0),0)</f>
        <v>0</v>
      </c>
      <c r="AA1606" s="93" t="n">
        <f aca="false">IFERROR(((N1606)*(Z1606/1000))+P1606,0)</f>
        <v>0</v>
      </c>
      <c r="AB1606" s="94" t="str">
        <f aca="false">IFERROR((O1606*(Z1606/1000)/(AA1606))," ")</f>
        <v> </v>
      </c>
      <c r="AC1606" s="95" t="n">
        <f aca="false">IFERROR((T1606)/((T1606)+O1606),0)</f>
        <v>0</v>
      </c>
      <c r="AD1606" s="96" t="n">
        <f aca="false">IFERROR(Q1606/(Q1606+N1606),0)</f>
        <v>0</v>
      </c>
      <c r="AE1606" s="91" t="e">
        <f aca="false">(N1606-T1606)/N1606</f>
        <v>#DIV/0!</v>
      </c>
      <c r="AF1606" s="97" t="n">
        <f aca="false">BR1606</f>
        <v>0</v>
      </c>
      <c r="AG1606" s="98" t="n">
        <f aca="false">K1606-AF1606</f>
        <v>0</v>
      </c>
      <c r="AH1606" s="99" t="str">
        <f aca="false">IFERROR(AG1606/K1606," ")</f>
        <v> </v>
      </c>
      <c r="AI1606" s="100" t="n">
        <f aca="false">IFERROR(O1606/K1606,0)</f>
        <v>0</v>
      </c>
      <c r="AJ1606" s="101" t="e">
        <f aca="false">VLOOKUP(D1606,'Standard Cycle time'!C:D,2,0)</f>
        <v>#N/A</v>
      </c>
      <c r="AK1606" s="101" t="e">
        <f aca="false">AG1606*V1606*3600/O1606</f>
        <v>#DIV/0!</v>
      </c>
      <c r="AL1606" s="102" t="e">
        <f aca="false">AJ1606/AK1606</f>
        <v>#N/A</v>
      </c>
      <c r="AM1606" s="99" t="e">
        <f aca="false">AE1606*AL1606*AH1606</f>
        <v>#DIV/0!</v>
      </c>
    </row>
    <row r="1607" customFormat="false" ht="13.8" hidden="false" customHeight="false" outlineLevel="0" collapsed="false">
      <c r="H1607" s="139" t="str">
        <f aca="false">IFERROR(VLOOKUP(E:E,'Item Data Support Sheet'!A:O,2,0),"")</f>
        <v/>
      </c>
      <c r="N1607" s="84" t="n">
        <f aca="false">+O1607+Q1607+T1607+U1607</f>
        <v>0</v>
      </c>
      <c r="W1607" s="90" t="n">
        <f aca="false">IFERROR(O1607/V1607,0)</f>
        <v>0</v>
      </c>
      <c r="X1607" s="91" t="e">
        <f aca="false">O1607/L1607</f>
        <v>#DIV/0!</v>
      </c>
      <c r="Y1607" s="92" t="n">
        <f aca="false">IFERROR(VLOOKUP(E:E,'Item Data Support Sheet'!A:J,6,0),0)</f>
        <v>0</v>
      </c>
      <c r="Z1607" s="93" t="n">
        <f aca="false">IFERROR(VLOOKUP(E:E,'Item Data Support Sheet'!A:O,4,0),0)</f>
        <v>0</v>
      </c>
      <c r="AA1607" s="93" t="n">
        <f aca="false">IFERROR(((N1607)*(Z1607/1000))+P1607,0)</f>
        <v>0</v>
      </c>
      <c r="AB1607" s="94" t="str">
        <f aca="false">IFERROR((O1607*(Z1607/1000)/(AA1607))," ")</f>
        <v> </v>
      </c>
      <c r="AC1607" s="95" t="n">
        <f aca="false">IFERROR((T1607)/((T1607)+O1607),0)</f>
        <v>0</v>
      </c>
      <c r="AD1607" s="96" t="n">
        <f aca="false">IFERROR(Q1607/(Q1607+N1607),0)</f>
        <v>0</v>
      </c>
      <c r="AE1607" s="91" t="e">
        <f aca="false">(N1607-T1607)/N1607</f>
        <v>#DIV/0!</v>
      </c>
      <c r="AF1607" s="97" t="n">
        <f aca="false">BR1607</f>
        <v>0</v>
      </c>
      <c r="AG1607" s="98" t="n">
        <f aca="false">K1607-AF1607</f>
        <v>0</v>
      </c>
      <c r="AH1607" s="99" t="str">
        <f aca="false">IFERROR(AG1607/K1607," ")</f>
        <v> </v>
      </c>
      <c r="AI1607" s="100" t="n">
        <f aca="false">IFERROR(O1607/K1607,0)</f>
        <v>0</v>
      </c>
      <c r="AJ1607" s="101" t="e">
        <f aca="false">VLOOKUP(D1607,'Standard Cycle time'!C:D,2,0)</f>
        <v>#N/A</v>
      </c>
      <c r="AK1607" s="101" t="e">
        <f aca="false">AG1607*V1607*3600/O1607</f>
        <v>#DIV/0!</v>
      </c>
      <c r="AL1607" s="102" t="e">
        <f aca="false">AJ1607/AK1607</f>
        <v>#N/A</v>
      </c>
      <c r="AM1607" s="99" t="e">
        <f aca="false">AE1607*AL1607*AH1607</f>
        <v>#DIV/0!</v>
      </c>
    </row>
    <row r="1608" customFormat="false" ht="13.8" hidden="false" customHeight="false" outlineLevel="0" collapsed="false">
      <c r="H1608" s="139" t="str">
        <f aca="false">IFERROR(VLOOKUP(E:E,'Item Data Support Sheet'!A:O,2,0),"")</f>
        <v/>
      </c>
      <c r="N1608" s="84" t="n">
        <f aca="false">+O1608+Q1608+T1608+U1608</f>
        <v>0</v>
      </c>
      <c r="W1608" s="90" t="n">
        <f aca="false">IFERROR(O1608/V1608,0)</f>
        <v>0</v>
      </c>
      <c r="X1608" s="91" t="e">
        <f aca="false">O1608/L1608</f>
        <v>#DIV/0!</v>
      </c>
      <c r="Y1608" s="92" t="n">
        <f aca="false">IFERROR(VLOOKUP(E:E,'Item Data Support Sheet'!A:J,6,0),0)</f>
        <v>0</v>
      </c>
      <c r="Z1608" s="93" t="n">
        <f aca="false">IFERROR(VLOOKUP(E:E,'Item Data Support Sheet'!A:O,4,0),0)</f>
        <v>0</v>
      </c>
      <c r="AA1608" s="93" t="n">
        <f aca="false">IFERROR(((N1608)*(Z1608/1000))+P1608,0)</f>
        <v>0</v>
      </c>
      <c r="AB1608" s="94" t="str">
        <f aca="false">IFERROR((O1608*(Z1608/1000)/(AA1608))," ")</f>
        <v> </v>
      </c>
      <c r="AC1608" s="95" t="n">
        <f aca="false">IFERROR((T1608)/((T1608)+O1608),0)</f>
        <v>0</v>
      </c>
      <c r="AD1608" s="96" t="n">
        <f aca="false">IFERROR(Q1608/(Q1608+N1608),0)</f>
        <v>0</v>
      </c>
      <c r="AE1608" s="91" t="e">
        <f aca="false">(N1608-T1608)/N1608</f>
        <v>#DIV/0!</v>
      </c>
      <c r="AF1608" s="97" t="n">
        <f aca="false">BR1608</f>
        <v>0</v>
      </c>
      <c r="AG1608" s="98" t="n">
        <f aca="false">K1608-AF1608</f>
        <v>0</v>
      </c>
      <c r="AH1608" s="99" t="str">
        <f aca="false">IFERROR(AG1608/K1608," ")</f>
        <v> </v>
      </c>
      <c r="AI1608" s="100" t="n">
        <f aca="false">IFERROR(O1608/K1608,0)</f>
        <v>0</v>
      </c>
      <c r="AJ1608" s="101" t="e">
        <f aca="false">VLOOKUP(D1608,'Standard Cycle time'!C:D,2,0)</f>
        <v>#N/A</v>
      </c>
      <c r="AK1608" s="101" t="e">
        <f aca="false">AG1608*V1608*3600/O1608</f>
        <v>#DIV/0!</v>
      </c>
      <c r="AL1608" s="102" t="e">
        <f aca="false">AJ1608/AK1608</f>
        <v>#N/A</v>
      </c>
      <c r="AM1608" s="99" t="e">
        <f aca="false">AE1608*AL1608*AH1608</f>
        <v>#DIV/0!</v>
      </c>
    </row>
    <row r="1609" customFormat="false" ht="13.8" hidden="false" customHeight="false" outlineLevel="0" collapsed="false">
      <c r="H1609" s="139" t="str">
        <f aca="false">IFERROR(VLOOKUP(E:E,'Item Data Support Sheet'!A:O,2,0),"")</f>
        <v/>
      </c>
      <c r="N1609" s="84" t="n">
        <f aca="false">+O1609+Q1609+T1609+U1609</f>
        <v>0</v>
      </c>
      <c r="W1609" s="90" t="n">
        <f aca="false">IFERROR(O1609/V1609,0)</f>
        <v>0</v>
      </c>
      <c r="X1609" s="91" t="e">
        <f aca="false">O1609/L1609</f>
        <v>#DIV/0!</v>
      </c>
      <c r="Y1609" s="92" t="n">
        <f aca="false">IFERROR(VLOOKUP(E:E,'Item Data Support Sheet'!A:J,6,0),0)</f>
        <v>0</v>
      </c>
      <c r="Z1609" s="93" t="n">
        <f aca="false">IFERROR(VLOOKUP(E:E,'Item Data Support Sheet'!A:O,4,0),0)</f>
        <v>0</v>
      </c>
      <c r="AA1609" s="93" t="n">
        <f aca="false">IFERROR(((N1609)*(Z1609/1000))+P1609,0)</f>
        <v>0</v>
      </c>
      <c r="AB1609" s="94" t="str">
        <f aca="false">IFERROR((O1609*(Z1609/1000)/(AA1609))," ")</f>
        <v> </v>
      </c>
      <c r="AC1609" s="95" t="n">
        <f aca="false">IFERROR((T1609)/((T1609)+O1609),0)</f>
        <v>0</v>
      </c>
      <c r="AD1609" s="96" t="n">
        <f aca="false">IFERROR(Q1609/(Q1609+N1609),0)</f>
        <v>0</v>
      </c>
      <c r="AE1609" s="91" t="e">
        <f aca="false">(N1609-T1609)/N1609</f>
        <v>#DIV/0!</v>
      </c>
      <c r="AF1609" s="97" t="n">
        <f aca="false">BR1609</f>
        <v>0</v>
      </c>
      <c r="AG1609" s="98" t="n">
        <f aca="false">K1609-AF1609</f>
        <v>0</v>
      </c>
      <c r="AH1609" s="99" t="str">
        <f aca="false">IFERROR(AG1609/K1609," ")</f>
        <v> </v>
      </c>
      <c r="AI1609" s="100" t="n">
        <f aca="false">IFERROR(O1609/K1609,0)</f>
        <v>0</v>
      </c>
      <c r="AJ1609" s="101" t="e">
        <f aca="false">VLOOKUP(D1609,'Standard Cycle time'!C:D,2,0)</f>
        <v>#N/A</v>
      </c>
      <c r="AK1609" s="101" t="e">
        <f aca="false">AG1609*V1609*3600/O1609</f>
        <v>#DIV/0!</v>
      </c>
      <c r="AL1609" s="102" t="e">
        <f aca="false">AJ1609/AK1609</f>
        <v>#N/A</v>
      </c>
      <c r="AM1609" s="99" t="e">
        <f aca="false">AE1609*AL1609*AH1609</f>
        <v>#DIV/0!</v>
      </c>
    </row>
    <row r="1610" customFormat="false" ht="13.8" hidden="false" customHeight="false" outlineLevel="0" collapsed="false">
      <c r="H1610" s="139" t="str">
        <f aca="false">IFERROR(VLOOKUP(E:E,'Item Data Support Sheet'!A:O,2,0),"")</f>
        <v/>
      </c>
      <c r="N1610" s="84" t="n">
        <f aca="false">+O1610+Q1610+T1610+U1610</f>
        <v>0</v>
      </c>
      <c r="W1610" s="90" t="n">
        <f aca="false">IFERROR(O1610/V1610,0)</f>
        <v>0</v>
      </c>
      <c r="X1610" s="91" t="e">
        <f aca="false">O1610/L1610</f>
        <v>#DIV/0!</v>
      </c>
      <c r="Y1610" s="92" t="n">
        <f aca="false">IFERROR(VLOOKUP(E:E,'Item Data Support Sheet'!A:J,6,0),0)</f>
        <v>0</v>
      </c>
      <c r="Z1610" s="93" t="n">
        <f aca="false">IFERROR(VLOOKUP(E:E,'Item Data Support Sheet'!A:O,4,0),0)</f>
        <v>0</v>
      </c>
      <c r="AA1610" s="93" t="n">
        <f aca="false">IFERROR(((N1610)*(Z1610/1000))+P1610,0)</f>
        <v>0</v>
      </c>
      <c r="AB1610" s="94" t="str">
        <f aca="false">IFERROR((O1610*(Z1610/1000)/(AA1610))," ")</f>
        <v> </v>
      </c>
      <c r="AC1610" s="95" t="n">
        <f aca="false">IFERROR((T1610)/((T1610)+O1610),0)</f>
        <v>0</v>
      </c>
      <c r="AD1610" s="96" t="n">
        <f aca="false">IFERROR(Q1610/(Q1610+N1610),0)</f>
        <v>0</v>
      </c>
      <c r="AE1610" s="91" t="e">
        <f aca="false">(N1610-T1610)/N1610</f>
        <v>#DIV/0!</v>
      </c>
      <c r="AF1610" s="97" t="n">
        <f aca="false">BR1610</f>
        <v>0</v>
      </c>
      <c r="AG1610" s="98" t="n">
        <f aca="false">K1610-AF1610</f>
        <v>0</v>
      </c>
      <c r="AH1610" s="99" t="str">
        <f aca="false">IFERROR(AG1610/K1610," ")</f>
        <v> </v>
      </c>
      <c r="AI1610" s="100" t="n">
        <f aca="false">IFERROR(O1610/K1610,0)</f>
        <v>0</v>
      </c>
      <c r="AJ1610" s="101" t="e">
        <f aca="false">VLOOKUP(D1610,'Standard Cycle time'!C:D,2,0)</f>
        <v>#N/A</v>
      </c>
      <c r="AK1610" s="101" t="e">
        <f aca="false">AG1610*V1610*3600/O1610</f>
        <v>#DIV/0!</v>
      </c>
      <c r="AL1610" s="102" t="e">
        <f aca="false">AJ1610/AK1610</f>
        <v>#N/A</v>
      </c>
      <c r="AM1610" s="99" t="e">
        <f aca="false">AE1610*AL1610*AH1610</f>
        <v>#DIV/0!</v>
      </c>
    </row>
    <row r="1611" customFormat="false" ht="13.8" hidden="false" customHeight="false" outlineLevel="0" collapsed="false">
      <c r="H1611" s="139" t="str">
        <f aca="false">IFERROR(VLOOKUP(E:E,'Item Data Support Sheet'!A:O,2,0),"")</f>
        <v/>
      </c>
      <c r="N1611" s="84" t="n">
        <f aca="false">+O1611+Q1611+T1611+U1611</f>
        <v>0</v>
      </c>
      <c r="W1611" s="90" t="n">
        <f aca="false">IFERROR(O1611/V1611,0)</f>
        <v>0</v>
      </c>
      <c r="X1611" s="91" t="e">
        <f aca="false">O1611/L1611</f>
        <v>#DIV/0!</v>
      </c>
      <c r="Y1611" s="92" t="n">
        <f aca="false">IFERROR(VLOOKUP(E:E,'Item Data Support Sheet'!A:J,6,0),0)</f>
        <v>0</v>
      </c>
      <c r="Z1611" s="93" t="n">
        <f aca="false">IFERROR(VLOOKUP(E:E,'Item Data Support Sheet'!A:O,4,0),0)</f>
        <v>0</v>
      </c>
      <c r="AA1611" s="93" t="n">
        <f aca="false">IFERROR(((N1611)*(Z1611/1000))+P1611,0)</f>
        <v>0</v>
      </c>
      <c r="AB1611" s="94" t="str">
        <f aca="false">IFERROR((O1611*(Z1611/1000)/(AA1611))," ")</f>
        <v> </v>
      </c>
      <c r="AC1611" s="95" t="n">
        <f aca="false">IFERROR((T1611)/((T1611)+O1611),0)</f>
        <v>0</v>
      </c>
      <c r="AD1611" s="96" t="n">
        <f aca="false">IFERROR(Q1611/(Q1611+N1611),0)</f>
        <v>0</v>
      </c>
      <c r="AE1611" s="91" t="e">
        <f aca="false">(N1611-T1611)/N1611</f>
        <v>#DIV/0!</v>
      </c>
      <c r="AF1611" s="97" t="n">
        <f aca="false">BR1611</f>
        <v>0</v>
      </c>
      <c r="AG1611" s="98" t="n">
        <f aca="false">K1611-AF1611</f>
        <v>0</v>
      </c>
      <c r="AH1611" s="99" t="str">
        <f aca="false">IFERROR(AG1611/K1611," ")</f>
        <v> </v>
      </c>
      <c r="AI1611" s="100" t="n">
        <f aca="false">IFERROR(O1611/K1611,0)</f>
        <v>0</v>
      </c>
      <c r="AJ1611" s="101" t="e">
        <f aca="false">VLOOKUP(D1611,'Standard Cycle time'!C:D,2,0)</f>
        <v>#N/A</v>
      </c>
      <c r="AK1611" s="101" t="e">
        <f aca="false">AG1611*V1611*3600/O1611</f>
        <v>#DIV/0!</v>
      </c>
      <c r="AL1611" s="102" t="e">
        <f aca="false">AJ1611/AK1611</f>
        <v>#N/A</v>
      </c>
      <c r="AM1611" s="99" t="e">
        <f aca="false">AE1611*AL1611*AH1611</f>
        <v>#DIV/0!</v>
      </c>
    </row>
    <row r="1612" customFormat="false" ht="13.8" hidden="false" customHeight="false" outlineLevel="0" collapsed="false">
      <c r="H1612" s="139" t="str">
        <f aca="false">IFERROR(VLOOKUP(E:E,'Item Data Support Sheet'!A:O,2,0),"")</f>
        <v/>
      </c>
      <c r="N1612" s="84" t="n">
        <f aca="false">+O1612+Q1612+T1612+U1612</f>
        <v>0</v>
      </c>
      <c r="W1612" s="90" t="n">
        <f aca="false">IFERROR(O1612/V1612,0)</f>
        <v>0</v>
      </c>
      <c r="X1612" s="91" t="e">
        <f aca="false">O1612/L1612</f>
        <v>#DIV/0!</v>
      </c>
      <c r="Y1612" s="92" t="n">
        <f aca="false">IFERROR(VLOOKUP(E:E,'Item Data Support Sheet'!A:J,6,0),0)</f>
        <v>0</v>
      </c>
      <c r="Z1612" s="93" t="n">
        <f aca="false">IFERROR(VLOOKUP(E:E,'Item Data Support Sheet'!A:O,4,0),0)</f>
        <v>0</v>
      </c>
      <c r="AA1612" s="93" t="n">
        <f aca="false">IFERROR(((N1612)*(Z1612/1000))+P1612,0)</f>
        <v>0</v>
      </c>
      <c r="AB1612" s="94" t="str">
        <f aca="false">IFERROR((O1612*(Z1612/1000)/(AA1612))," ")</f>
        <v> </v>
      </c>
      <c r="AC1612" s="95" t="n">
        <f aca="false">IFERROR((T1612)/((T1612)+O1612),0)</f>
        <v>0</v>
      </c>
      <c r="AD1612" s="96" t="n">
        <f aca="false">IFERROR(Q1612/(Q1612+N1612),0)</f>
        <v>0</v>
      </c>
      <c r="AE1612" s="91" t="e">
        <f aca="false">(N1612-T1612)/N1612</f>
        <v>#DIV/0!</v>
      </c>
      <c r="AF1612" s="97" t="n">
        <f aca="false">BR1612</f>
        <v>0</v>
      </c>
      <c r="AG1612" s="98" t="n">
        <f aca="false">K1612-AF1612</f>
        <v>0</v>
      </c>
      <c r="AH1612" s="99" t="str">
        <f aca="false">IFERROR(AG1612/K1612," ")</f>
        <v> </v>
      </c>
      <c r="AI1612" s="100" t="n">
        <f aca="false">IFERROR(O1612/K1612,0)</f>
        <v>0</v>
      </c>
      <c r="AJ1612" s="101" t="e">
        <f aca="false">VLOOKUP(D1612,'Standard Cycle time'!C:D,2,0)</f>
        <v>#N/A</v>
      </c>
      <c r="AK1612" s="101" t="e">
        <f aca="false">AG1612*V1612*3600/O1612</f>
        <v>#DIV/0!</v>
      </c>
      <c r="AL1612" s="102" t="e">
        <f aca="false">AJ1612/AK1612</f>
        <v>#N/A</v>
      </c>
      <c r="AM1612" s="99" t="e">
        <f aca="false">AE1612*AL1612*AH1612</f>
        <v>#DIV/0!</v>
      </c>
    </row>
    <row r="1613" customFormat="false" ht="13.8" hidden="false" customHeight="false" outlineLevel="0" collapsed="false">
      <c r="H1613" s="139" t="str">
        <f aca="false">IFERROR(VLOOKUP(E:E,'Item Data Support Sheet'!A:O,2,0),"")</f>
        <v/>
      </c>
      <c r="N1613" s="84" t="n">
        <f aca="false">+O1613+Q1613+T1613+U1613</f>
        <v>0</v>
      </c>
      <c r="W1613" s="90" t="n">
        <f aca="false">IFERROR(O1613/V1613,0)</f>
        <v>0</v>
      </c>
      <c r="X1613" s="91" t="e">
        <f aca="false">O1613/L1613</f>
        <v>#DIV/0!</v>
      </c>
      <c r="Y1613" s="92" t="n">
        <f aca="false">IFERROR(VLOOKUP(E:E,'Item Data Support Sheet'!A:J,6,0),0)</f>
        <v>0</v>
      </c>
      <c r="Z1613" s="93" t="n">
        <f aca="false">IFERROR(VLOOKUP(E:E,'Item Data Support Sheet'!A:O,4,0),0)</f>
        <v>0</v>
      </c>
      <c r="AA1613" s="93" t="n">
        <f aca="false">IFERROR(((N1613)*(Z1613/1000))+P1613,0)</f>
        <v>0</v>
      </c>
      <c r="AB1613" s="94" t="str">
        <f aca="false">IFERROR((O1613*(Z1613/1000)/(AA1613))," ")</f>
        <v> </v>
      </c>
      <c r="AC1613" s="95" t="n">
        <f aca="false">IFERROR((T1613)/((T1613)+O1613),0)</f>
        <v>0</v>
      </c>
      <c r="AD1613" s="96" t="n">
        <f aca="false">IFERROR(Q1613/(Q1613+N1613),0)</f>
        <v>0</v>
      </c>
      <c r="AE1613" s="91" t="e">
        <f aca="false">(N1613-T1613)/N1613</f>
        <v>#DIV/0!</v>
      </c>
      <c r="AF1613" s="97" t="n">
        <f aca="false">BR1613</f>
        <v>0</v>
      </c>
      <c r="AG1613" s="98" t="n">
        <f aca="false">K1613-AF1613</f>
        <v>0</v>
      </c>
      <c r="AH1613" s="99" t="str">
        <f aca="false">IFERROR(AG1613/K1613," ")</f>
        <v> </v>
      </c>
      <c r="AI1613" s="100" t="n">
        <f aca="false">IFERROR(O1613/K1613,0)</f>
        <v>0</v>
      </c>
      <c r="AJ1613" s="101" t="e">
        <f aca="false">VLOOKUP(D1613,'Standard Cycle time'!C:D,2,0)</f>
        <v>#N/A</v>
      </c>
      <c r="AK1613" s="101" t="e">
        <f aca="false">AG1613*V1613*3600/O1613</f>
        <v>#DIV/0!</v>
      </c>
      <c r="AL1613" s="102" t="e">
        <f aca="false">AJ1613/AK1613</f>
        <v>#N/A</v>
      </c>
      <c r="AM1613" s="99" t="e">
        <f aca="false">AE1613*AL1613*AH1613</f>
        <v>#DIV/0!</v>
      </c>
    </row>
    <row r="1614" customFormat="false" ht="13.8" hidden="false" customHeight="false" outlineLevel="0" collapsed="false">
      <c r="H1614" s="139" t="str">
        <f aca="false">IFERROR(VLOOKUP(E:E,'Item Data Support Sheet'!A:O,2,0),"")</f>
        <v/>
      </c>
      <c r="N1614" s="84" t="n">
        <f aca="false">+O1614+Q1614+T1614+U1614</f>
        <v>0</v>
      </c>
      <c r="W1614" s="90" t="n">
        <f aca="false">IFERROR(O1614/V1614,0)</f>
        <v>0</v>
      </c>
      <c r="X1614" s="91" t="e">
        <f aca="false">O1614/L1614</f>
        <v>#DIV/0!</v>
      </c>
      <c r="Y1614" s="92" t="n">
        <f aca="false">IFERROR(VLOOKUP(E:E,'Item Data Support Sheet'!A:J,6,0),0)</f>
        <v>0</v>
      </c>
      <c r="Z1614" s="93" t="n">
        <f aca="false">IFERROR(VLOOKUP(E:E,'Item Data Support Sheet'!A:O,4,0),0)</f>
        <v>0</v>
      </c>
      <c r="AA1614" s="93" t="n">
        <f aca="false">IFERROR(((N1614)*(Z1614/1000))+P1614,0)</f>
        <v>0</v>
      </c>
      <c r="AB1614" s="94" t="str">
        <f aca="false">IFERROR((O1614*(Z1614/1000)/(AA1614))," ")</f>
        <v> </v>
      </c>
      <c r="AC1614" s="95" t="n">
        <f aca="false">IFERROR((T1614)/((T1614)+O1614),0)</f>
        <v>0</v>
      </c>
      <c r="AD1614" s="96" t="n">
        <f aca="false">IFERROR(Q1614/(Q1614+N1614),0)</f>
        <v>0</v>
      </c>
      <c r="AE1614" s="91" t="e">
        <f aca="false">(N1614-T1614)/N1614</f>
        <v>#DIV/0!</v>
      </c>
      <c r="AF1614" s="97" t="n">
        <f aca="false">BR1614</f>
        <v>0</v>
      </c>
      <c r="AG1614" s="98" t="n">
        <f aca="false">K1614-AF1614</f>
        <v>0</v>
      </c>
      <c r="AH1614" s="99" t="str">
        <f aca="false">IFERROR(AG1614/K1614," ")</f>
        <v> </v>
      </c>
      <c r="AI1614" s="100" t="n">
        <f aca="false">IFERROR(O1614/K1614,0)</f>
        <v>0</v>
      </c>
      <c r="AJ1614" s="101" t="e">
        <f aca="false">VLOOKUP(D1614,'Standard Cycle time'!C:D,2,0)</f>
        <v>#N/A</v>
      </c>
      <c r="AK1614" s="101" t="e">
        <f aca="false">AG1614*V1614*3600/O1614</f>
        <v>#DIV/0!</v>
      </c>
      <c r="AL1614" s="102" t="e">
        <f aca="false">AJ1614/AK1614</f>
        <v>#N/A</v>
      </c>
      <c r="AM1614" s="99" t="e">
        <f aca="false">AE1614*AL1614*AH1614</f>
        <v>#DIV/0!</v>
      </c>
    </row>
    <row r="1615" customFormat="false" ht="13.8" hidden="false" customHeight="false" outlineLevel="0" collapsed="false">
      <c r="H1615" s="139" t="str">
        <f aca="false">IFERROR(VLOOKUP(E:E,'Item Data Support Sheet'!A:O,2,0),"")</f>
        <v/>
      </c>
      <c r="N1615" s="84" t="n">
        <f aca="false">+O1615+Q1615+T1615+U1615</f>
        <v>0</v>
      </c>
      <c r="W1615" s="90" t="n">
        <f aca="false">IFERROR(O1615/V1615,0)</f>
        <v>0</v>
      </c>
      <c r="X1615" s="91" t="e">
        <f aca="false">O1615/L1615</f>
        <v>#DIV/0!</v>
      </c>
      <c r="Y1615" s="92" t="n">
        <f aca="false">IFERROR(VLOOKUP(E:E,'Item Data Support Sheet'!A:J,6,0),0)</f>
        <v>0</v>
      </c>
      <c r="Z1615" s="93" t="n">
        <f aca="false">IFERROR(VLOOKUP(E:E,'Item Data Support Sheet'!A:O,4,0),0)</f>
        <v>0</v>
      </c>
      <c r="AA1615" s="93" t="n">
        <f aca="false">IFERROR(((N1615)*(Z1615/1000))+P1615,0)</f>
        <v>0</v>
      </c>
      <c r="AB1615" s="94" t="str">
        <f aca="false">IFERROR((O1615*(Z1615/1000)/(AA1615))," ")</f>
        <v> </v>
      </c>
      <c r="AC1615" s="95" t="n">
        <f aca="false">IFERROR((T1615)/((T1615)+O1615),0)</f>
        <v>0</v>
      </c>
      <c r="AD1615" s="96" t="n">
        <f aca="false">IFERROR(Q1615/(Q1615+N1615),0)</f>
        <v>0</v>
      </c>
      <c r="AE1615" s="91" t="e">
        <f aca="false">(N1615-T1615)/N1615</f>
        <v>#DIV/0!</v>
      </c>
      <c r="AF1615" s="97" t="n">
        <f aca="false">BR1615</f>
        <v>0</v>
      </c>
      <c r="AG1615" s="98" t="n">
        <f aca="false">K1615-AF1615</f>
        <v>0</v>
      </c>
      <c r="AH1615" s="99" t="str">
        <f aca="false">IFERROR(AG1615/K1615," ")</f>
        <v> </v>
      </c>
      <c r="AI1615" s="100" t="n">
        <f aca="false">IFERROR(O1615/K1615,0)</f>
        <v>0</v>
      </c>
      <c r="AJ1615" s="101" t="e">
        <f aca="false">VLOOKUP(D1615,'Standard Cycle time'!C:D,2,0)</f>
        <v>#N/A</v>
      </c>
      <c r="AK1615" s="101" t="e">
        <f aca="false">AG1615*V1615*3600/O1615</f>
        <v>#DIV/0!</v>
      </c>
      <c r="AL1615" s="102" t="e">
        <f aca="false">AJ1615/AK1615</f>
        <v>#N/A</v>
      </c>
      <c r="AM1615" s="99" t="e">
        <f aca="false">AE1615*AL1615*AH1615</f>
        <v>#DIV/0!</v>
      </c>
    </row>
    <row r="1616" customFormat="false" ht="13.8" hidden="false" customHeight="false" outlineLevel="0" collapsed="false">
      <c r="H1616" s="139" t="str">
        <f aca="false">IFERROR(VLOOKUP(E:E,'Item Data Support Sheet'!A:O,2,0),"")</f>
        <v/>
      </c>
      <c r="N1616" s="84" t="n">
        <f aca="false">+O1616+Q1616+T1616+U1616</f>
        <v>0</v>
      </c>
      <c r="W1616" s="90" t="n">
        <f aca="false">IFERROR(O1616/V1616,0)</f>
        <v>0</v>
      </c>
      <c r="X1616" s="91" t="e">
        <f aca="false">O1616/L1616</f>
        <v>#DIV/0!</v>
      </c>
      <c r="Y1616" s="92" t="n">
        <f aca="false">IFERROR(VLOOKUP(E:E,'Item Data Support Sheet'!A:J,6,0),0)</f>
        <v>0</v>
      </c>
      <c r="Z1616" s="93" t="n">
        <f aca="false">IFERROR(VLOOKUP(E:E,'Item Data Support Sheet'!A:O,4,0),0)</f>
        <v>0</v>
      </c>
      <c r="AA1616" s="93" t="n">
        <f aca="false">IFERROR(((N1616)*(Z1616/1000))+P1616,0)</f>
        <v>0</v>
      </c>
      <c r="AB1616" s="94" t="str">
        <f aca="false">IFERROR((O1616*(Z1616/1000)/(AA1616))," ")</f>
        <v> </v>
      </c>
      <c r="AC1616" s="95" t="n">
        <f aca="false">IFERROR((T1616)/((T1616)+O1616),0)</f>
        <v>0</v>
      </c>
      <c r="AD1616" s="96" t="n">
        <f aca="false">IFERROR(Q1616/(Q1616+N1616),0)</f>
        <v>0</v>
      </c>
      <c r="AE1616" s="91" t="e">
        <f aca="false">(N1616-T1616)/N1616</f>
        <v>#DIV/0!</v>
      </c>
      <c r="AF1616" s="97" t="n">
        <f aca="false">BR1616</f>
        <v>0</v>
      </c>
      <c r="AG1616" s="98" t="n">
        <f aca="false">K1616-AF1616</f>
        <v>0</v>
      </c>
      <c r="AH1616" s="99" t="str">
        <f aca="false">IFERROR(AG1616/K1616," ")</f>
        <v> </v>
      </c>
      <c r="AI1616" s="100" t="n">
        <f aca="false">IFERROR(O1616/K1616,0)</f>
        <v>0</v>
      </c>
      <c r="AJ1616" s="101" t="e">
        <f aca="false">VLOOKUP(D1616,'Standard Cycle time'!C:D,2,0)</f>
        <v>#N/A</v>
      </c>
      <c r="AK1616" s="101" t="e">
        <f aca="false">AG1616*V1616*3600/O1616</f>
        <v>#DIV/0!</v>
      </c>
      <c r="AL1616" s="102" t="e">
        <f aca="false">AJ1616/AK1616</f>
        <v>#N/A</v>
      </c>
      <c r="AM1616" s="99" t="e">
        <f aca="false">AE1616*AL1616*AH1616</f>
        <v>#DIV/0!</v>
      </c>
    </row>
    <row r="1617" customFormat="false" ht="13.8" hidden="false" customHeight="false" outlineLevel="0" collapsed="false">
      <c r="H1617" s="139" t="str">
        <f aca="false">IFERROR(VLOOKUP(E:E,'Item Data Support Sheet'!A:O,2,0),"")</f>
        <v/>
      </c>
      <c r="N1617" s="84" t="n">
        <f aca="false">+O1617+Q1617+T1617+U1617</f>
        <v>0</v>
      </c>
      <c r="W1617" s="90" t="n">
        <f aca="false">IFERROR(O1617/V1617,0)</f>
        <v>0</v>
      </c>
      <c r="X1617" s="91" t="e">
        <f aca="false">O1617/L1617</f>
        <v>#DIV/0!</v>
      </c>
      <c r="Y1617" s="92" t="n">
        <f aca="false">IFERROR(VLOOKUP(E:E,'Item Data Support Sheet'!A:J,6,0),0)</f>
        <v>0</v>
      </c>
      <c r="Z1617" s="93" t="n">
        <f aca="false">IFERROR(VLOOKUP(E:E,'Item Data Support Sheet'!A:O,4,0),0)</f>
        <v>0</v>
      </c>
      <c r="AA1617" s="93" t="n">
        <f aca="false">IFERROR(((N1617)*(Z1617/1000))+P1617,0)</f>
        <v>0</v>
      </c>
      <c r="AB1617" s="94" t="str">
        <f aca="false">IFERROR((O1617*(Z1617/1000)/(AA1617))," ")</f>
        <v> </v>
      </c>
      <c r="AC1617" s="95" t="n">
        <f aca="false">IFERROR((T1617)/((T1617)+O1617),0)</f>
        <v>0</v>
      </c>
      <c r="AD1617" s="96" t="n">
        <f aca="false">IFERROR(Q1617/(Q1617+N1617),0)</f>
        <v>0</v>
      </c>
      <c r="AE1617" s="91" t="e">
        <f aca="false">(N1617-T1617)/N1617</f>
        <v>#DIV/0!</v>
      </c>
      <c r="AF1617" s="97" t="n">
        <f aca="false">BR1617</f>
        <v>0</v>
      </c>
      <c r="AG1617" s="98" t="n">
        <f aca="false">K1617-AF1617</f>
        <v>0</v>
      </c>
      <c r="AH1617" s="99" t="str">
        <f aca="false">IFERROR(AG1617/K1617," ")</f>
        <v> </v>
      </c>
      <c r="AI1617" s="100" t="n">
        <f aca="false">IFERROR(O1617/K1617,0)</f>
        <v>0</v>
      </c>
      <c r="AJ1617" s="101" t="e">
        <f aca="false">VLOOKUP(D1617,'Standard Cycle time'!C:D,2,0)</f>
        <v>#N/A</v>
      </c>
      <c r="AK1617" s="101" t="e">
        <f aca="false">AG1617*V1617*3600/O1617</f>
        <v>#DIV/0!</v>
      </c>
      <c r="AL1617" s="102" t="e">
        <f aca="false">AJ1617/AK1617</f>
        <v>#N/A</v>
      </c>
      <c r="AM1617" s="99" t="e">
        <f aca="false">AE1617*AL1617*AH1617</f>
        <v>#DIV/0!</v>
      </c>
    </row>
    <row r="1618" customFormat="false" ht="13.8" hidden="false" customHeight="false" outlineLevel="0" collapsed="false">
      <c r="H1618" s="139" t="str">
        <f aca="false">IFERROR(VLOOKUP(E:E,'Item Data Support Sheet'!A:O,2,0),"")</f>
        <v/>
      </c>
      <c r="W1618" s="90" t="n">
        <f aca="false">IFERROR(O1618/V1618,0)</f>
        <v>0</v>
      </c>
      <c r="X1618" s="91" t="e">
        <f aca="false">O1618/L1618</f>
        <v>#DIV/0!</v>
      </c>
      <c r="Y1618" s="92" t="n">
        <f aca="false">IFERROR(VLOOKUP(E:E,'Item Data Support Sheet'!A:J,6,0),0)</f>
        <v>0</v>
      </c>
      <c r="Z1618" s="93" t="n">
        <f aca="false">IFERROR(VLOOKUP(E:E,'Item Data Support Sheet'!A:O,4,0),0)</f>
        <v>0</v>
      </c>
      <c r="AA1618" s="93" t="n">
        <f aca="false">IFERROR(((N1618)*(Z1618/1000))+P1618,0)</f>
        <v>0</v>
      </c>
      <c r="AB1618" s="94" t="str">
        <f aca="false">IFERROR((O1618*(Z1618/1000)/(AA1618))," ")</f>
        <v> </v>
      </c>
      <c r="AC1618" s="95" t="n">
        <f aca="false">IFERROR((T1618)/((T1618)+O1618),0)</f>
        <v>0</v>
      </c>
      <c r="AD1618" s="96" t="n">
        <f aca="false">IFERROR(Q1618/(Q1618+N1618),0)</f>
        <v>0</v>
      </c>
      <c r="AE1618" s="91" t="e">
        <f aca="false">(N1618-T1618)/N1618</f>
        <v>#DIV/0!</v>
      </c>
      <c r="AF1618" s="97" t="n">
        <f aca="false">BR1618</f>
        <v>0</v>
      </c>
      <c r="AG1618" s="98" t="n">
        <f aca="false">K1618-AF1618</f>
        <v>0</v>
      </c>
      <c r="AH1618" s="99" t="str">
        <f aca="false">IFERROR(AG1618/K1618," ")</f>
        <v> </v>
      </c>
      <c r="AI1618" s="100" t="n">
        <f aca="false">IFERROR(O1618/K1618,0)</f>
        <v>0</v>
      </c>
      <c r="AJ1618" s="101" t="e">
        <f aca="false">VLOOKUP(D1618,'Standard Cycle time'!C:D,2,0)</f>
        <v>#N/A</v>
      </c>
      <c r="AK1618" s="101" t="e">
        <f aca="false">AG1618*V1618*3600/O1618</f>
        <v>#DIV/0!</v>
      </c>
      <c r="AL1618" s="102" t="e">
        <f aca="false">AJ1618/AK1618</f>
        <v>#N/A</v>
      </c>
      <c r="AM1618" s="99" t="e">
        <f aca="false">AE1618*AL1618*AH1618</f>
        <v>#DIV/0!</v>
      </c>
    </row>
    <row r="1619" customFormat="false" ht="13.8" hidden="false" customHeight="false" outlineLevel="0" collapsed="false">
      <c r="H1619" s="139" t="str">
        <f aca="false">IFERROR(VLOOKUP(E:E,'Item Data Support Sheet'!A:O,2,0),"")</f>
        <v/>
      </c>
      <c r="W1619" s="90" t="n">
        <f aca="false">IFERROR(O1619/V1619,0)</f>
        <v>0</v>
      </c>
      <c r="X1619" s="91" t="e">
        <f aca="false">O1619/L1619</f>
        <v>#DIV/0!</v>
      </c>
      <c r="Y1619" s="92" t="n">
        <f aca="false">IFERROR(VLOOKUP(E:E,'Item Data Support Sheet'!A:J,6,0),0)</f>
        <v>0</v>
      </c>
      <c r="Z1619" s="93" t="n">
        <f aca="false">IFERROR(VLOOKUP(E:E,'Item Data Support Sheet'!A:O,4,0),0)</f>
        <v>0</v>
      </c>
      <c r="AA1619" s="93" t="n">
        <f aca="false">IFERROR(((N1619)*(Z1619/1000))+P1619,0)</f>
        <v>0</v>
      </c>
      <c r="AB1619" s="94" t="str">
        <f aca="false">IFERROR((O1619*(Z1619/1000)/(AA1619))," ")</f>
        <v> </v>
      </c>
      <c r="AC1619" s="95" t="n">
        <f aca="false">IFERROR((T1619)/((T1619)+O1619),0)</f>
        <v>0</v>
      </c>
      <c r="AD1619" s="96" t="n">
        <f aca="false">IFERROR(Q1619/(Q1619+N1619),0)</f>
        <v>0</v>
      </c>
      <c r="AE1619" s="91" t="e">
        <f aca="false">(N1619-T1619)/N1619</f>
        <v>#DIV/0!</v>
      </c>
      <c r="AF1619" s="97" t="n">
        <f aca="false">BR1619</f>
        <v>0</v>
      </c>
      <c r="AG1619" s="98" t="n">
        <f aca="false">K1619-AF1619</f>
        <v>0</v>
      </c>
      <c r="AH1619" s="99" t="str">
        <f aca="false">IFERROR(AG1619/K1619," ")</f>
        <v> </v>
      </c>
      <c r="AI1619" s="100" t="n">
        <f aca="false">IFERROR(O1619/K1619,0)</f>
        <v>0</v>
      </c>
      <c r="AJ1619" s="101" t="e">
        <f aca="false">VLOOKUP(D1619,'Standard Cycle time'!C:D,2,0)</f>
        <v>#N/A</v>
      </c>
      <c r="AK1619" s="101" t="e">
        <f aca="false">AG1619*V1619*3600/O1619</f>
        <v>#DIV/0!</v>
      </c>
      <c r="AL1619" s="102" t="e">
        <f aca="false">AJ1619/AK1619</f>
        <v>#N/A</v>
      </c>
      <c r="AM1619" s="99" t="e">
        <f aca="false">AE1619*AL1619*AH1619</f>
        <v>#DIV/0!</v>
      </c>
    </row>
    <row r="1620" customFormat="false" ht="13.8" hidden="false" customHeight="false" outlineLevel="0" collapsed="false">
      <c r="H1620" s="139" t="str">
        <f aca="false">IFERROR(VLOOKUP(E:E,'Item Data Support Sheet'!A:O,2,0),"")</f>
        <v/>
      </c>
      <c r="W1620" s="90" t="n">
        <f aca="false">IFERROR(O1620/V1620,0)</f>
        <v>0</v>
      </c>
      <c r="X1620" s="91" t="e">
        <f aca="false">O1620/L1620</f>
        <v>#DIV/0!</v>
      </c>
      <c r="Y1620" s="92" t="n">
        <f aca="false">IFERROR(VLOOKUP(E:E,'Item Data Support Sheet'!A:J,6,0),0)</f>
        <v>0</v>
      </c>
      <c r="Z1620" s="93" t="n">
        <f aca="false">IFERROR(VLOOKUP(E:E,'Item Data Support Sheet'!A:O,4,0),0)</f>
        <v>0</v>
      </c>
      <c r="AA1620" s="93" t="n">
        <f aca="false">IFERROR(((N1620)*(Z1620/1000))+P1620,0)</f>
        <v>0</v>
      </c>
      <c r="AB1620" s="94" t="str">
        <f aca="false">IFERROR((O1620*(Z1620/1000)/(AA1620))," ")</f>
        <v> </v>
      </c>
      <c r="AC1620" s="95" t="n">
        <f aca="false">IFERROR((T1620)/((T1620)+O1620),0)</f>
        <v>0</v>
      </c>
      <c r="AD1620" s="96" t="n">
        <f aca="false">IFERROR(Q1620/(Q1620+N1620),0)</f>
        <v>0</v>
      </c>
      <c r="AE1620" s="91" t="e">
        <f aca="false">(N1620-T1620)/N1620</f>
        <v>#DIV/0!</v>
      </c>
      <c r="AF1620" s="97" t="n">
        <f aca="false">BR1620</f>
        <v>0</v>
      </c>
      <c r="AG1620" s="98" t="n">
        <f aca="false">K1620-AF1620</f>
        <v>0</v>
      </c>
      <c r="AH1620" s="99" t="str">
        <f aca="false">IFERROR(AG1620/K1620," ")</f>
        <v> </v>
      </c>
      <c r="AI1620" s="100" t="n">
        <f aca="false">IFERROR(O1620/K1620,0)</f>
        <v>0</v>
      </c>
      <c r="AJ1620" s="101" t="e">
        <f aca="false">VLOOKUP(D1620,'Standard Cycle time'!C:D,2,0)</f>
        <v>#N/A</v>
      </c>
      <c r="AK1620" s="101" t="e">
        <f aca="false">AG1620*V1620*3600/O1620</f>
        <v>#DIV/0!</v>
      </c>
      <c r="AL1620" s="102" t="e">
        <f aca="false">AJ1620/AK1620</f>
        <v>#N/A</v>
      </c>
      <c r="AM1620" s="99" t="e">
        <f aca="false">AE1620*AL1620*AH1620</f>
        <v>#DIV/0!</v>
      </c>
    </row>
    <row r="1621" customFormat="false" ht="13.8" hidden="false" customHeight="false" outlineLevel="0" collapsed="false">
      <c r="H1621" s="139" t="str">
        <f aca="false">IFERROR(VLOOKUP(E:E,'Item Data Support Sheet'!A:O,2,0),"")</f>
        <v/>
      </c>
      <c r="W1621" s="90" t="n">
        <f aca="false">IFERROR(O1621/V1621,0)</f>
        <v>0</v>
      </c>
      <c r="X1621" s="91" t="e">
        <f aca="false">O1621/L1621</f>
        <v>#DIV/0!</v>
      </c>
      <c r="Y1621" s="92" t="n">
        <f aca="false">IFERROR(VLOOKUP(E:E,'Item Data Support Sheet'!A:J,6,0),0)</f>
        <v>0</v>
      </c>
      <c r="Z1621" s="93" t="n">
        <f aca="false">IFERROR(VLOOKUP(E:E,'Item Data Support Sheet'!A:O,4,0),0)</f>
        <v>0</v>
      </c>
      <c r="AA1621" s="93" t="n">
        <f aca="false">IFERROR(((N1621)*(Z1621/1000))+P1621,0)</f>
        <v>0</v>
      </c>
      <c r="AB1621" s="94" t="str">
        <f aca="false">IFERROR((O1621*(Z1621/1000)/(AA1621))," ")</f>
        <v> </v>
      </c>
      <c r="AC1621" s="95" t="n">
        <f aca="false">IFERROR((T1621)/((T1621)+O1621),0)</f>
        <v>0</v>
      </c>
      <c r="AD1621" s="96" t="n">
        <f aca="false">IFERROR(Q1621/(Q1621+N1621),0)</f>
        <v>0</v>
      </c>
      <c r="AE1621" s="91" t="e">
        <f aca="false">(N1621-T1621)/N1621</f>
        <v>#DIV/0!</v>
      </c>
      <c r="AF1621" s="97" t="n">
        <f aca="false">BR1621</f>
        <v>0</v>
      </c>
      <c r="AG1621" s="98" t="n">
        <f aca="false">K1621-AF1621</f>
        <v>0</v>
      </c>
      <c r="AH1621" s="99" t="str">
        <f aca="false">IFERROR(AG1621/K1621," ")</f>
        <v> </v>
      </c>
      <c r="AI1621" s="100" t="n">
        <f aca="false">IFERROR(O1621/K1621,0)</f>
        <v>0</v>
      </c>
      <c r="AJ1621" s="101" t="e">
        <f aca="false">VLOOKUP(D1621,'Standard Cycle time'!C:D,2,0)</f>
        <v>#N/A</v>
      </c>
      <c r="AK1621" s="101" t="e">
        <f aca="false">AG1621*V1621*3600/O1621</f>
        <v>#DIV/0!</v>
      </c>
      <c r="AL1621" s="102" t="e">
        <f aca="false">AJ1621/AK1621</f>
        <v>#N/A</v>
      </c>
      <c r="AM1621" s="99" t="e">
        <f aca="false">AE1621*AL1621*AH1621</f>
        <v>#DIV/0!</v>
      </c>
    </row>
    <row r="1622" customFormat="false" ht="13.8" hidden="false" customHeight="false" outlineLevel="0" collapsed="false">
      <c r="H1622" s="139" t="str">
        <f aca="false">IFERROR(VLOOKUP(E:E,'Item Data Support Sheet'!A:O,2,0),"")</f>
        <v/>
      </c>
      <c r="W1622" s="90" t="n">
        <f aca="false">IFERROR(O1622/V1622,0)</f>
        <v>0</v>
      </c>
      <c r="X1622" s="91" t="e">
        <f aca="false">O1622/L1622</f>
        <v>#DIV/0!</v>
      </c>
      <c r="Y1622" s="92" t="n">
        <f aca="false">IFERROR(VLOOKUP(E:E,'Item Data Support Sheet'!A:J,6,0),0)</f>
        <v>0</v>
      </c>
      <c r="Z1622" s="93" t="n">
        <f aca="false">IFERROR(VLOOKUP(E:E,'Item Data Support Sheet'!A:O,4,0),0)</f>
        <v>0</v>
      </c>
      <c r="AA1622" s="93" t="n">
        <f aca="false">IFERROR(((N1622)*(Z1622/1000))+P1622,0)</f>
        <v>0</v>
      </c>
      <c r="AB1622" s="94" t="str">
        <f aca="false">IFERROR((O1622*(Z1622/1000)/(AA1622))," ")</f>
        <v> </v>
      </c>
      <c r="AC1622" s="95" t="n">
        <f aca="false">IFERROR((T1622)/((T1622)+O1622),0)</f>
        <v>0</v>
      </c>
      <c r="AD1622" s="96" t="n">
        <f aca="false">IFERROR(Q1622/(Q1622+N1622),0)</f>
        <v>0</v>
      </c>
      <c r="AE1622" s="91" t="e">
        <f aca="false">(N1622-T1622)/N1622</f>
        <v>#DIV/0!</v>
      </c>
      <c r="AF1622" s="97" t="n">
        <f aca="false">BR1622</f>
        <v>0</v>
      </c>
      <c r="AG1622" s="98" t="n">
        <f aca="false">K1622-AF1622</f>
        <v>0</v>
      </c>
      <c r="AH1622" s="99" t="str">
        <f aca="false">IFERROR(AG1622/K1622," ")</f>
        <v> </v>
      </c>
      <c r="AI1622" s="100" t="n">
        <f aca="false">IFERROR(O1622/K1622,0)</f>
        <v>0</v>
      </c>
      <c r="AJ1622" s="101" t="e">
        <f aca="false">VLOOKUP(D1622,'Standard Cycle time'!C:D,2,0)</f>
        <v>#N/A</v>
      </c>
      <c r="AK1622" s="101" t="e">
        <f aca="false">AG1622*V1622*3600/O1622</f>
        <v>#DIV/0!</v>
      </c>
      <c r="AL1622" s="102" t="e">
        <f aca="false">AJ1622/AK1622</f>
        <v>#N/A</v>
      </c>
      <c r="AM1622" s="99" t="e">
        <f aca="false">AE1622*AL1622*AH1622</f>
        <v>#DIV/0!</v>
      </c>
    </row>
    <row r="1623" customFormat="false" ht="13.8" hidden="false" customHeight="false" outlineLevel="0" collapsed="false">
      <c r="H1623" s="139" t="str">
        <f aca="false">IFERROR(VLOOKUP(E:E,'Item Data Support Sheet'!A:O,2,0),"")</f>
        <v/>
      </c>
      <c r="W1623" s="90" t="n">
        <f aca="false">IFERROR(O1623/V1623,0)</f>
        <v>0</v>
      </c>
      <c r="X1623" s="91" t="e">
        <f aca="false">O1623/L1623</f>
        <v>#DIV/0!</v>
      </c>
      <c r="Y1623" s="92" t="n">
        <f aca="false">IFERROR(VLOOKUP(E:E,'Item Data Support Sheet'!A:J,6,0),0)</f>
        <v>0</v>
      </c>
      <c r="Z1623" s="93" t="n">
        <f aca="false">IFERROR(VLOOKUP(E:E,'Item Data Support Sheet'!A:O,4,0),0)</f>
        <v>0</v>
      </c>
      <c r="AA1623" s="93" t="n">
        <f aca="false">IFERROR(((N1623)*(Z1623/1000))+P1623,0)</f>
        <v>0</v>
      </c>
      <c r="AB1623" s="94" t="str">
        <f aca="false">IFERROR((O1623*(Z1623/1000)/(AA1623))," ")</f>
        <v> </v>
      </c>
      <c r="AC1623" s="95" t="n">
        <f aca="false">IFERROR((T1623)/((T1623)+O1623),0)</f>
        <v>0</v>
      </c>
      <c r="AD1623" s="96" t="n">
        <f aca="false">IFERROR(Q1623/(Q1623+N1623),0)</f>
        <v>0</v>
      </c>
      <c r="AE1623" s="91" t="e">
        <f aca="false">(N1623-T1623)/N1623</f>
        <v>#DIV/0!</v>
      </c>
      <c r="AF1623" s="97" t="n">
        <f aca="false">BR1623</f>
        <v>0</v>
      </c>
      <c r="AG1623" s="98" t="n">
        <f aca="false">K1623-AF1623</f>
        <v>0</v>
      </c>
      <c r="AH1623" s="99" t="str">
        <f aca="false">IFERROR(AG1623/K1623," ")</f>
        <v> </v>
      </c>
      <c r="AI1623" s="100" t="n">
        <f aca="false">IFERROR(O1623/K1623,0)</f>
        <v>0</v>
      </c>
      <c r="AJ1623" s="101" t="e">
        <f aca="false">VLOOKUP(D1623,'Standard Cycle time'!C:D,2,0)</f>
        <v>#N/A</v>
      </c>
      <c r="AK1623" s="101" t="e">
        <f aca="false">AG1623*V1623*3600/O1623</f>
        <v>#DIV/0!</v>
      </c>
      <c r="AL1623" s="102" t="e">
        <f aca="false">AJ1623/AK1623</f>
        <v>#N/A</v>
      </c>
      <c r="AM1623" s="99" t="e">
        <f aca="false">AE1623*AL1623*AH1623</f>
        <v>#DIV/0!</v>
      </c>
    </row>
    <row r="1624" customFormat="false" ht="13.8" hidden="false" customHeight="false" outlineLevel="0" collapsed="false">
      <c r="H1624" s="139" t="str">
        <f aca="false">IFERROR(VLOOKUP(E:E,'Item Data Support Sheet'!A:O,2,0),"")</f>
        <v/>
      </c>
      <c r="W1624" s="90" t="n">
        <f aca="false">IFERROR(O1624/V1624,0)</f>
        <v>0</v>
      </c>
      <c r="X1624" s="91" t="e">
        <f aca="false">O1624/L1624</f>
        <v>#DIV/0!</v>
      </c>
      <c r="Y1624" s="92" t="n">
        <f aca="false">IFERROR(VLOOKUP(E:E,'Item Data Support Sheet'!A:J,6,0),0)</f>
        <v>0</v>
      </c>
      <c r="Z1624" s="93" t="n">
        <f aca="false">IFERROR(VLOOKUP(E:E,'Item Data Support Sheet'!A:O,4,0),0)</f>
        <v>0</v>
      </c>
      <c r="AA1624" s="93" t="n">
        <f aca="false">IFERROR(((N1624)*(Z1624/1000))+P1624,0)</f>
        <v>0</v>
      </c>
      <c r="AB1624" s="94" t="str">
        <f aca="false">IFERROR((O1624*(Z1624/1000)/(AA1624))," ")</f>
        <v> </v>
      </c>
      <c r="AC1624" s="95" t="n">
        <f aca="false">IFERROR((T1624)/((T1624)+O1624),0)</f>
        <v>0</v>
      </c>
      <c r="AD1624" s="96" t="n">
        <f aca="false">IFERROR(Q1624/(Q1624+N1624),0)</f>
        <v>0</v>
      </c>
      <c r="AE1624" s="91" t="e">
        <f aca="false">(N1624-T1624)/N1624</f>
        <v>#DIV/0!</v>
      </c>
      <c r="AF1624" s="97" t="n">
        <f aca="false">BR1624</f>
        <v>0</v>
      </c>
      <c r="AG1624" s="98" t="n">
        <f aca="false">K1624-AF1624</f>
        <v>0</v>
      </c>
      <c r="AH1624" s="99" t="str">
        <f aca="false">IFERROR(AG1624/K1624," ")</f>
        <v> </v>
      </c>
      <c r="AI1624" s="100" t="n">
        <f aca="false">IFERROR(O1624/K1624,0)</f>
        <v>0</v>
      </c>
      <c r="AJ1624" s="101" t="e">
        <f aca="false">VLOOKUP(D1624,'Standard Cycle time'!C:D,2,0)</f>
        <v>#N/A</v>
      </c>
      <c r="AK1624" s="101" t="e">
        <f aca="false">AG1624*V1624*3600/O1624</f>
        <v>#DIV/0!</v>
      </c>
      <c r="AL1624" s="102" t="e">
        <f aca="false">AJ1624/AK1624</f>
        <v>#N/A</v>
      </c>
      <c r="AM1624" s="99" t="e">
        <f aca="false">AE1624*AL1624*AH1624</f>
        <v>#DIV/0!</v>
      </c>
    </row>
    <row r="1625" customFormat="false" ht="13.8" hidden="false" customHeight="false" outlineLevel="0" collapsed="false">
      <c r="H1625" s="139" t="str">
        <f aca="false">IFERROR(VLOOKUP(E:E,'Item Data Support Sheet'!A:O,2,0),"")</f>
        <v/>
      </c>
      <c r="W1625" s="90" t="n">
        <f aca="false">IFERROR(O1625/V1625,0)</f>
        <v>0</v>
      </c>
      <c r="X1625" s="91" t="e">
        <f aca="false">O1625/L1625</f>
        <v>#DIV/0!</v>
      </c>
      <c r="Y1625" s="92" t="n">
        <f aca="false">IFERROR(VLOOKUP(E:E,'Item Data Support Sheet'!A:J,6,0),0)</f>
        <v>0</v>
      </c>
      <c r="Z1625" s="93" t="n">
        <f aca="false">IFERROR(VLOOKUP(E:E,'Item Data Support Sheet'!A:O,4,0),0)</f>
        <v>0</v>
      </c>
      <c r="AA1625" s="93" t="n">
        <f aca="false">IFERROR(((N1625)*(Z1625/1000))+P1625,0)</f>
        <v>0</v>
      </c>
      <c r="AB1625" s="94" t="str">
        <f aca="false">IFERROR((O1625*(Z1625/1000)/(AA1625))," ")</f>
        <v> </v>
      </c>
      <c r="AC1625" s="95" t="n">
        <f aca="false">IFERROR((T1625)/((T1625)+O1625),0)</f>
        <v>0</v>
      </c>
      <c r="AD1625" s="96" t="n">
        <f aca="false">IFERROR(Q1625/(Q1625+N1625),0)</f>
        <v>0</v>
      </c>
      <c r="AE1625" s="91" t="e">
        <f aca="false">(N1625-T1625)/N1625</f>
        <v>#DIV/0!</v>
      </c>
      <c r="AF1625" s="97" t="n">
        <f aca="false">BR1625</f>
        <v>0</v>
      </c>
      <c r="AG1625" s="98" t="n">
        <f aca="false">K1625-AF1625</f>
        <v>0</v>
      </c>
      <c r="AH1625" s="99" t="str">
        <f aca="false">IFERROR(AG1625/K1625," ")</f>
        <v> </v>
      </c>
      <c r="AI1625" s="100" t="n">
        <f aca="false">IFERROR(O1625/K1625,0)</f>
        <v>0</v>
      </c>
      <c r="AJ1625" s="101" t="e">
        <f aca="false">VLOOKUP(D1625,'Standard Cycle time'!C:D,2,0)</f>
        <v>#N/A</v>
      </c>
      <c r="AK1625" s="101" t="e">
        <f aca="false">AG1625*V1625*3600/O1625</f>
        <v>#DIV/0!</v>
      </c>
      <c r="AL1625" s="102" t="e">
        <f aca="false">AJ1625/AK1625</f>
        <v>#N/A</v>
      </c>
      <c r="AM1625" s="99" t="e">
        <f aca="false">AE1625*AL1625*AH1625</f>
        <v>#DIV/0!</v>
      </c>
    </row>
    <row r="1626" customFormat="false" ht="13.8" hidden="false" customHeight="false" outlineLevel="0" collapsed="false">
      <c r="H1626" s="139" t="str">
        <f aca="false">IFERROR(VLOOKUP(E:E,'Item Data Support Sheet'!A:O,2,0),"")</f>
        <v/>
      </c>
      <c r="W1626" s="90" t="n">
        <f aca="false">IFERROR(O1626/V1626,0)</f>
        <v>0</v>
      </c>
      <c r="X1626" s="91" t="e">
        <f aca="false">O1626/L1626</f>
        <v>#DIV/0!</v>
      </c>
      <c r="Y1626" s="92" t="n">
        <f aca="false">IFERROR(VLOOKUP(E:E,'Item Data Support Sheet'!A:J,6,0),0)</f>
        <v>0</v>
      </c>
      <c r="Z1626" s="93" t="n">
        <f aca="false">IFERROR(VLOOKUP(E:E,'Item Data Support Sheet'!A:O,4,0),0)</f>
        <v>0</v>
      </c>
      <c r="AA1626" s="93" t="n">
        <f aca="false">IFERROR(((N1626)*(Z1626/1000))+P1626,0)</f>
        <v>0</v>
      </c>
      <c r="AB1626" s="94" t="str">
        <f aca="false">IFERROR((O1626*(Z1626/1000)/(AA1626))," ")</f>
        <v> </v>
      </c>
      <c r="AC1626" s="95" t="n">
        <f aca="false">IFERROR((T1626)/((T1626)+O1626),0)</f>
        <v>0</v>
      </c>
      <c r="AD1626" s="96" t="n">
        <f aca="false">IFERROR(Q1626/(Q1626+N1626),0)</f>
        <v>0</v>
      </c>
      <c r="AE1626" s="91" t="e">
        <f aca="false">(N1626-T1626)/N1626</f>
        <v>#DIV/0!</v>
      </c>
      <c r="AF1626" s="97" t="n">
        <f aca="false">BR1626</f>
        <v>0</v>
      </c>
      <c r="AG1626" s="98" t="n">
        <f aca="false">K1626-AF1626</f>
        <v>0</v>
      </c>
      <c r="AH1626" s="99" t="str">
        <f aca="false">IFERROR(AG1626/K1626," ")</f>
        <v> </v>
      </c>
      <c r="AI1626" s="100" t="n">
        <f aca="false">IFERROR(O1626/K1626,0)</f>
        <v>0</v>
      </c>
      <c r="AJ1626" s="101" t="e">
        <f aca="false">VLOOKUP(D1626,'Standard Cycle time'!C:D,2,0)</f>
        <v>#N/A</v>
      </c>
      <c r="AK1626" s="101" t="e">
        <f aca="false">AG1626*V1626*3600/O1626</f>
        <v>#DIV/0!</v>
      </c>
      <c r="AL1626" s="102" t="e">
        <f aca="false">AJ1626/AK1626</f>
        <v>#N/A</v>
      </c>
      <c r="AM1626" s="99" t="e">
        <f aca="false">AE1626*AL1626*AH1626</f>
        <v>#DIV/0!</v>
      </c>
    </row>
    <row r="1627" customFormat="false" ht="13.8" hidden="false" customHeight="false" outlineLevel="0" collapsed="false">
      <c r="H1627" s="139" t="str">
        <f aca="false">IFERROR(VLOOKUP(E:E,'Item Data Support Sheet'!A:O,2,0),"")</f>
        <v/>
      </c>
      <c r="W1627" s="90" t="n">
        <f aca="false">IFERROR(O1627/V1627,0)</f>
        <v>0</v>
      </c>
      <c r="X1627" s="91" t="e">
        <f aca="false">O1627/L1627</f>
        <v>#DIV/0!</v>
      </c>
      <c r="Y1627" s="92" t="n">
        <f aca="false">IFERROR(VLOOKUP(E:E,'Item Data Support Sheet'!A:J,6,0),0)</f>
        <v>0</v>
      </c>
      <c r="Z1627" s="93" t="n">
        <f aca="false">IFERROR(VLOOKUP(E:E,'Item Data Support Sheet'!A:O,4,0),0)</f>
        <v>0</v>
      </c>
      <c r="AA1627" s="93" t="n">
        <f aca="false">IFERROR(((N1627)*(Z1627/1000))+P1627,0)</f>
        <v>0</v>
      </c>
      <c r="AB1627" s="94" t="str">
        <f aca="false">IFERROR((O1627*(Z1627/1000)/(AA1627))," ")</f>
        <v> </v>
      </c>
      <c r="AC1627" s="95" t="n">
        <f aca="false">IFERROR((T1627)/((T1627)+O1627),0)</f>
        <v>0</v>
      </c>
      <c r="AD1627" s="96" t="n">
        <f aca="false">IFERROR(Q1627/(Q1627+N1627),0)</f>
        <v>0</v>
      </c>
      <c r="AE1627" s="91" t="e">
        <f aca="false">(N1627-T1627)/N1627</f>
        <v>#DIV/0!</v>
      </c>
      <c r="AF1627" s="97" t="n">
        <f aca="false">BR1627</f>
        <v>0</v>
      </c>
      <c r="AG1627" s="98" t="n">
        <f aca="false">K1627-AF1627</f>
        <v>0</v>
      </c>
      <c r="AH1627" s="99" t="str">
        <f aca="false">IFERROR(AG1627/K1627," ")</f>
        <v> </v>
      </c>
      <c r="AI1627" s="100" t="n">
        <f aca="false">IFERROR(O1627/K1627,0)</f>
        <v>0</v>
      </c>
      <c r="AJ1627" s="101" t="e">
        <f aca="false">VLOOKUP(D1627,'Standard Cycle time'!C:D,2,0)</f>
        <v>#N/A</v>
      </c>
      <c r="AK1627" s="101" t="e">
        <f aca="false">AG1627*V1627*3600/O1627</f>
        <v>#DIV/0!</v>
      </c>
      <c r="AL1627" s="102" t="e">
        <f aca="false">AJ1627/AK1627</f>
        <v>#N/A</v>
      </c>
      <c r="AM1627" s="99" t="e">
        <f aca="false">AE1627*AL1627*AH1627</f>
        <v>#DIV/0!</v>
      </c>
    </row>
    <row r="1628" customFormat="false" ht="13.8" hidden="false" customHeight="false" outlineLevel="0" collapsed="false">
      <c r="H1628" s="139" t="str">
        <f aca="false">IFERROR(VLOOKUP(E:E,'Item Data Support Sheet'!A:O,2,0),"")</f>
        <v/>
      </c>
      <c r="W1628" s="90" t="n">
        <f aca="false">IFERROR(O1628/V1628,0)</f>
        <v>0</v>
      </c>
      <c r="X1628" s="91" t="e">
        <f aca="false">O1628/L1628</f>
        <v>#DIV/0!</v>
      </c>
      <c r="Y1628" s="92" t="n">
        <f aca="false">IFERROR(VLOOKUP(E:E,'Item Data Support Sheet'!A:J,6,0),0)</f>
        <v>0</v>
      </c>
      <c r="Z1628" s="93" t="n">
        <f aca="false">IFERROR(VLOOKUP(E:E,'Item Data Support Sheet'!A:O,4,0),0)</f>
        <v>0</v>
      </c>
      <c r="AA1628" s="93" t="n">
        <f aca="false">IFERROR(((N1628)*(Z1628/1000))+P1628,0)</f>
        <v>0</v>
      </c>
      <c r="AB1628" s="94" t="str">
        <f aca="false">IFERROR((O1628*(Z1628/1000)/(AA1628))," ")</f>
        <v> </v>
      </c>
      <c r="AC1628" s="95" t="n">
        <f aca="false">IFERROR((T1628)/((T1628)+O1628),0)</f>
        <v>0</v>
      </c>
      <c r="AD1628" s="96" t="n">
        <f aca="false">IFERROR(Q1628/(Q1628+N1628),0)</f>
        <v>0</v>
      </c>
      <c r="AE1628" s="91" t="e">
        <f aca="false">(N1628-T1628)/N1628</f>
        <v>#DIV/0!</v>
      </c>
      <c r="AF1628" s="97" t="n">
        <f aca="false">BR1628</f>
        <v>0</v>
      </c>
      <c r="AG1628" s="98" t="n">
        <f aca="false">K1628-AF1628</f>
        <v>0</v>
      </c>
      <c r="AH1628" s="99" t="str">
        <f aca="false">IFERROR(AG1628/K1628," ")</f>
        <v> </v>
      </c>
      <c r="AI1628" s="100" t="n">
        <f aca="false">IFERROR(O1628/K1628,0)</f>
        <v>0</v>
      </c>
      <c r="AJ1628" s="101" t="e">
        <f aca="false">VLOOKUP(D1628,'Standard Cycle time'!C:D,2,0)</f>
        <v>#N/A</v>
      </c>
      <c r="AK1628" s="101" t="e">
        <f aca="false">AG1628*V1628*3600/O1628</f>
        <v>#DIV/0!</v>
      </c>
      <c r="AL1628" s="102" t="e">
        <f aca="false">AJ1628/AK1628</f>
        <v>#N/A</v>
      </c>
      <c r="AM1628" s="99" t="e">
        <f aca="false">AE1628*AL1628*AH1628</f>
        <v>#DIV/0!</v>
      </c>
    </row>
    <row r="1629" customFormat="false" ht="13.8" hidden="false" customHeight="false" outlineLevel="0" collapsed="false">
      <c r="H1629" s="139" t="str">
        <f aca="false">IFERROR(VLOOKUP(E:E,'Item Data Support Sheet'!A:O,2,0),"")</f>
        <v/>
      </c>
      <c r="W1629" s="90" t="n">
        <f aca="false">IFERROR(O1629/V1629,0)</f>
        <v>0</v>
      </c>
      <c r="X1629" s="91" t="e">
        <f aca="false">O1629/L1629</f>
        <v>#DIV/0!</v>
      </c>
      <c r="Y1629" s="92" t="n">
        <f aca="false">IFERROR(VLOOKUP(E:E,'Item Data Support Sheet'!A:J,6,0),0)</f>
        <v>0</v>
      </c>
      <c r="Z1629" s="93" t="n">
        <f aca="false">IFERROR(VLOOKUP(E:E,'Item Data Support Sheet'!A:O,4,0),0)</f>
        <v>0</v>
      </c>
      <c r="AA1629" s="93" t="n">
        <f aca="false">IFERROR(((N1629)*(Z1629/1000))+P1629,0)</f>
        <v>0</v>
      </c>
      <c r="AB1629" s="94" t="str">
        <f aca="false">IFERROR((O1629*(Z1629/1000)/(AA1629))," ")</f>
        <v> </v>
      </c>
      <c r="AC1629" s="95" t="n">
        <f aca="false">IFERROR((T1629)/((T1629)+O1629),0)</f>
        <v>0</v>
      </c>
      <c r="AD1629" s="96" t="n">
        <f aca="false">IFERROR(Q1629/(Q1629+N1629),0)</f>
        <v>0</v>
      </c>
      <c r="AE1629" s="91" t="e">
        <f aca="false">(N1629-T1629)/N1629</f>
        <v>#DIV/0!</v>
      </c>
      <c r="AF1629" s="97" t="n">
        <f aca="false">BR1629</f>
        <v>0</v>
      </c>
      <c r="AG1629" s="98" t="n">
        <f aca="false">K1629-AF1629</f>
        <v>0</v>
      </c>
      <c r="AH1629" s="99" t="str">
        <f aca="false">IFERROR(AG1629/K1629," ")</f>
        <v> </v>
      </c>
      <c r="AI1629" s="100" t="n">
        <f aca="false">IFERROR(O1629/K1629,0)</f>
        <v>0</v>
      </c>
      <c r="AJ1629" s="101" t="e">
        <f aca="false">VLOOKUP(D1629,'Standard Cycle time'!C:D,2,0)</f>
        <v>#N/A</v>
      </c>
      <c r="AK1629" s="101" t="e">
        <f aca="false">AG1629*V1629*3600/O1629</f>
        <v>#DIV/0!</v>
      </c>
      <c r="AL1629" s="102" t="e">
        <f aca="false">AJ1629/AK1629</f>
        <v>#N/A</v>
      </c>
      <c r="AM1629" s="99" t="e">
        <f aca="false">AE1629*AL1629*AH1629</f>
        <v>#DIV/0!</v>
      </c>
    </row>
    <row r="1630" customFormat="false" ht="13.8" hidden="false" customHeight="false" outlineLevel="0" collapsed="false">
      <c r="H1630" s="139" t="str">
        <f aca="false">IFERROR(VLOOKUP(E:E,'Item Data Support Sheet'!A:O,2,0),"")</f>
        <v/>
      </c>
      <c r="W1630" s="90" t="n">
        <f aca="false">IFERROR(O1630/V1630,0)</f>
        <v>0</v>
      </c>
      <c r="X1630" s="91" t="e">
        <f aca="false">O1630/L1630</f>
        <v>#DIV/0!</v>
      </c>
      <c r="Y1630" s="92" t="n">
        <f aca="false">IFERROR(VLOOKUP(E:E,'Item Data Support Sheet'!A:J,6,0),0)</f>
        <v>0</v>
      </c>
      <c r="Z1630" s="93" t="n">
        <f aca="false">IFERROR(VLOOKUP(E:E,'Item Data Support Sheet'!A:O,4,0),0)</f>
        <v>0</v>
      </c>
      <c r="AA1630" s="93" t="n">
        <f aca="false">IFERROR(((N1630)*(Z1630/1000))+P1630,0)</f>
        <v>0</v>
      </c>
      <c r="AB1630" s="94" t="str">
        <f aca="false">IFERROR((O1630*(Z1630/1000)/(AA1630))," ")</f>
        <v> </v>
      </c>
      <c r="AC1630" s="95" t="n">
        <f aca="false">IFERROR((T1630)/((T1630)+O1630),0)</f>
        <v>0</v>
      </c>
      <c r="AD1630" s="96" t="n">
        <f aca="false">IFERROR(Q1630/(Q1630+N1630),0)</f>
        <v>0</v>
      </c>
      <c r="AE1630" s="91" t="e">
        <f aca="false">(N1630-T1630)/N1630</f>
        <v>#DIV/0!</v>
      </c>
      <c r="AF1630" s="97" t="n">
        <f aca="false">BR1630</f>
        <v>0</v>
      </c>
      <c r="AG1630" s="98" t="n">
        <f aca="false">K1630-AF1630</f>
        <v>0</v>
      </c>
      <c r="AH1630" s="99" t="str">
        <f aca="false">IFERROR(AG1630/K1630," ")</f>
        <v> </v>
      </c>
      <c r="AI1630" s="100" t="n">
        <f aca="false">IFERROR(O1630/K1630,0)</f>
        <v>0</v>
      </c>
      <c r="AJ1630" s="101" t="e">
        <f aca="false">VLOOKUP(D1630,'Standard Cycle time'!C:D,2,0)</f>
        <v>#N/A</v>
      </c>
      <c r="AK1630" s="101" t="e">
        <f aca="false">AG1630*V1630*3600/O1630</f>
        <v>#DIV/0!</v>
      </c>
      <c r="AL1630" s="102" t="e">
        <f aca="false">AJ1630/AK1630</f>
        <v>#N/A</v>
      </c>
      <c r="AM1630" s="99" t="e">
        <f aca="false">AE1630*AL1630*AH1630</f>
        <v>#DIV/0!</v>
      </c>
    </row>
    <row r="1631" customFormat="false" ht="13.8" hidden="false" customHeight="false" outlineLevel="0" collapsed="false">
      <c r="H1631" s="139" t="str">
        <f aca="false">IFERROR(VLOOKUP(E:E,'Item Data Support Sheet'!A:O,2,0),"")</f>
        <v/>
      </c>
      <c r="W1631" s="90" t="n">
        <f aca="false">IFERROR(O1631/V1631,0)</f>
        <v>0</v>
      </c>
      <c r="X1631" s="91" t="e">
        <f aca="false">O1631/L1631</f>
        <v>#DIV/0!</v>
      </c>
      <c r="Y1631" s="92" t="n">
        <f aca="false">IFERROR(VLOOKUP(E:E,'Item Data Support Sheet'!A:J,6,0),0)</f>
        <v>0</v>
      </c>
      <c r="Z1631" s="93" t="n">
        <f aca="false">IFERROR(VLOOKUP(E:E,'Item Data Support Sheet'!A:O,4,0),0)</f>
        <v>0</v>
      </c>
      <c r="AA1631" s="93" t="n">
        <f aca="false">IFERROR(((N1631)*(Z1631/1000))+P1631,0)</f>
        <v>0</v>
      </c>
      <c r="AB1631" s="94" t="str">
        <f aca="false">IFERROR((O1631*(Z1631/1000)/(AA1631))," ")</f>
        <v> </v>
      </c>
      <c r="AC1631" s="95" t="n">
        <f aca="false">IFERROR((T1631)/((T1631)+O1631),0)</f>
        <v>0</v>
      </c>
      <c r="AD1631" s="96" t="n">
        <f aca="false">IFERROR(Q1631/(Q1631+N1631),0)</f>
        <v>0</v>
      </c>
      <c r="AE1631" s="91" t="e">
        <f aca="false">(N1631-T1631)/N1631</f>
        <v>#DIV/0!</v>
      </c>
      <c r="AF1631" s="97" t="n">
        <f aca="false">BR1631</f>
        <v>0</v>
      </c>
      <c r="AG1631" s="98" t="n">
        <f aca="false">K1631-AF1631</f>
        <v>0</v>
      </c>
      <c r="AH1631" s="99" t="str">
        <f aca="false">IFERROR(AG1631/K1631," ")</f>
        <v> </v>
      </c>
      <c r="AI1631" s="100" t="n">
        <f aca="false">IFERROR(O1631/K1631,0)</f>
        <v>0</v>
      </c>
      <c r="AJ1631" s="101" t="e">
        <f aca="false">VLOOKUP(D1631,'Standard Cycle time'!C:D,2,0)</f>
        <v>#N/A</v>
      </c>
      <c r="AK1631" s="101" t="e">
        <f aca="false">AG1631*V1631*3600/O1631</f>
        <v>#DIV/0!</v>
      </c>
      <c r="AL1631" s="102" t="e">
        <f aca="false">AJ1631/AK1631</f>
        <v>#N/A</v>
      </c>
      <c r="AM1631" s="99" t="e">
        <f aca="false">AE1631*AL1631*AH1631</f>
        <v>#DIV/0!</v>
      </c>
    </row>
    <row r="1632" customFormat="false" ht="13.8" hidden="false" customHeight="false" outlineLevel="0" collapsed="false">
      <c r="H1632" s="139" t="str">
        <f aca="false">IFERROR(VLOOKUP(E:E,'Item Data Support Sheet'!A:O,2,0),"")</f>
        <v/>
      </c>
      <c r="W1632" s="90" t="n">
        <f aca="false">IFERROR(O1632/V1632,0)</f>
        <v>0</v>
      </c>
      <c r="X1632" s="91" t="e">
        <f aca="false">O1632/L1632</f>
        <v>#DIV/0!</v>
      </c>
      <c r="Y1632" s="92" t="n">
        <f aca="false">IFERROR(VLOOKUP(E:E,'Item Data Support Sheet'!A:J,6,0),0)</f>
        <v>0</v>
      </c>
      <c r="Z1632" s="93" t="n">
        <f aca="false">IFERROR(VLOOKUP(E:E,'Item Data Support Sheet'!A:O,4,0),0)</f>
        <v>0</v>
      </c>
      <c r="AA1632" s="93" t="n">
        <f aca="false">IFERROR(((N1632)*(Z1632/1000))+P1632,0)</f>
        <v>0</v>
      </c>
      <c r="AB1632" s="94" t="str">
        <f aca="false">IFERROR((O1632*(Z1632/1000)/(AA1632))," ")</f>
        <v> </v>
      </c>
      <c r="AC1632" s="95" t="n">
        <f aca="false">IFERROR((T1632)/((T1632)+O1632),0)</f>
        <v>0</v>
      </c>
      <c r="AD1632" s="96" t="n">
        <f aca="false">IFERROR(Q1632/(Q1632+N1632),0)</f>
        <v>0</v>
      </c>
      <c r="AE1632" s="91" t="e">
        <f aca="false">(N1632-T1632)/N1632</f>
        <v>#DIV/0!</v>
      </c>
      <c r="AF1632" s="97" t="n">
        <f aca="false">BR1632</f>
        <v>0</v>
      </c>
      <c r="AG1632" s="98" t="n">
        <f aca="false">K1632-AF1632</f>
        <v>0</v>
      </c>
      <c r="AH1632" s="99" t="str">
        <f aca="false">IFERROR(AG1632/K1632," ")</f>
        <v> </v>
      </c>
      <c r="AI1632" s="100" t="n">
        <f aca="false">IFERROR(O1632/K1632,0)</f>
        <v>0</v>
      </c>
      <c r="AJ1632" s="101" t="e">
        <f aca="false">VLOOKUP(D1632,'Standard Cycle time'!C:D,2,0)</f>
        <v>#N/A</v>
      </c>
      <c r="AK1632" s="101" t="e">
        <f aca="false">AG1632*V1632*3600/O1632</f>
        <v>#DIV/0!</v>
      </c>
      <c r="AL1632" s="102" t="e">
        <f aca="false">AJ1632/AK1632</f>
        <v>#N/A</v>
      </c>
      <c r="AM1632" s="99" t="e">
        <f aca="false">AE1632*AL1632*AH1632</f>
        <v>#DIV/0!</v>
      </c>
    </row>
    <row r="1633" customFormat="false" ht="13.8" hidden="false" customHeight="false" outlineLevel="0" collapsed="false">
      <c r="H1633" s="139" t="str">
        <f aca="false">IFERROR(VLOOKUP(E:E,'Item Data Support Sheet'!A:O,2,0),"")</f>
        <v/>
      </c>
      <c r="W1633" s="90" t="n">
        <f aca="false">IFERROR(O1633/V1633,0)</f>
        <v>0</v>
      </c>
      <c r="X1633" s="91" t="e">
        <f aca="false">O1633/L1633</f>
        <v>#DIV/0!</v>
      </c>
      <c r="Y1633" s="92" t="n">
        <f aca="false">IFERROR(VLOOKUP(E:E,'Item Data Support Sheet'!A:J,6,0),0)</f>
        <v>0</v>
      </c>
      <c r="Z1633" s="93" t="n">
        <f aca="false">IFERROR(VLOOKUP(E:E,'Item Data Support Sheet'!A:O,4,0),0)</f>
        <v>0</v>
      </c>
      <c r="AA1633" s="93" t="n">
        <f aca="false">IFERROR(((N1633)*(Z1633/1000))+P1633,0)</f>
        <v>0</v>
      </c>
      <c r="AB1633" s="94" t="str">
        <f aca="false">IFERROR((O1633*(Z1633/1000)/(AA1633))," ")</f>
        <v> </v>
      </c>
      <c r="AC1633" s="95" t="n">
        <f aca="false">IFERROR((T1633)/((T1633)+O1633),0)</f>
        <v>0</v>
      </c>
      <c r="AD1633" s="96" t="n">
        <f aca="false">IFERROR(Q1633/(Q1633+N1633),0)</f>
        <v>0</v>
      </c>
      <c r="AE1633" s="91" t="e">
        <f aca="false">(N1633-T1633)/N1633</f>
        <v>#DIV/0!</v>
      </c>
      <c r="AF1633" s="97" t="n">
        <f aca="false">BR1633</f>
        <v>0</v>
      </c>
      <c r="AG1633" s="98" t="n">
        <f aca="false">K1633-AF1633</f>
        <v>0</v>
      </c>
      <c r="AH1633" s="99" t="str">
        <f aca="false">IFERROR(AG1633/K1633," ")</f>
        <v> </v>
      </c>
      <c r="AI1633" s="100" t="n">
        <f aca="false">IFERROR(O1633/K1633,0)</f>
        <v>0</v>
      </c>
      <c r="AJ1633" s="101" t="e">
        <f aca="false">VLOOKUP(D1633,'Standard Cycle time'!C:D,2,0)</f>
        <v>#N/A</v>
      </c>
      <c r="AK1633" s="101" t="e">
        <f aca="false">AG1633*V1633*3600/O1633</f>
        <v>#DIV/0!</v>
      </c>
      <c r="AL1633" s="102" t="e">
        <f aca="false">AJ1633/AK1633</f>
        <v>#N/A</v>
      </c>
      <c r="AM1633" s="99" t="e">
        <f aca="false">AE1633*AL1633*AH1633</f>
        <v>#DIV/0!</v>
      </c>
    </row>
    <row r="1634" customFormat="false" ht="13.8" hidden="false" customHeight="false" outlineLevel="0" collapsed="false">
      <c r="H1634" s="139" t="str">
        <f aca="false">IFERROR(VLOOKUP(E:E,'Item Data Support Sheet'!A:O,2,0),"")</f>
        <v/>
      </c>
      <c r="W1634" s="90" t="n">
        <f aca="false">IFERROR(O1634/V1634,0)</f>
        <v>0</v>
      </c>
      <c r="X1634" s="91" t="e">
        <f aca="false">O1634/L1634</f>
        <v>#DIV/0!</v>
      </c>
      <c r="Y1634" s="92" t="n">
        <f aca="false">IFERROR(VLOOKUP(E:E,'Item Data Support Sheet'!A:J,6,0),0)</f>
        <v>0</v>
      </c>
      <c r="Z1634" s="93" t="n">
        <f aca="false">IFERROR(VLOOKUP(E:E,'Item Data Support Sheet'!A:O,4,0),0)</f>
        <v>0</v>
      </c>
      <c r="AA1634" s="93" t="n">
        <f aca="false">IFERROR(((N1634)*(Z1634/1000))+P1634,0)</f>
        <v>0</v>
      </c>
      <c r="AB1634" s="94" t="str">
        <f aca="false">IFERROR((O1634*(Z1634/1000)/(AA1634))," ")</f>
        <v> </v>
      </c>
      <c r="AC1634" s="95" t="n">
        <f aca="false">IFERROR((T1634)/((T1634)+O1634),0)</f>
        <v>0</v>
      </c>
      <c r="AD1634" s="96" t="n">
        <f aca="false">IFERROR(Q1634/(Q1634+N1634),0)</f>
        <v>0</v>
      </c>
      <c r="AE1634" s="91" t="e">
        <f aca="false">(N1634-T1634)/N1634</f>
        <v>#DIV/0!</v>
      </c>
      <c r="AF1634" s="97" t="n">
        <f aca="false">BR1634</f>
        <v>0</v>
      </c>
      <c r="AG1634" s="98" t="n">
        <f aca="false">K1634-AF1634</f>
        <v>0</v>
      </c>
      <c r="AH1634" s="99" t="str">
        <f aca="false">IFERROR(AG1634/K1634," ")</f>
        <v> </v>
      </c>
      <c r="AI1634" s="100" t="n">
        <f aca="false">IFERROR(O1634/K1634,0)</f>
        <v>0</v>
      </c>
      <c r="AJ1634" s="101" t="e">
        <f aca="false">VLOOKUP(D1634,'Standard Cycle time'!C:D,2,0)</f>
        <v>#N/A</v>
      </c>
      <c r="AK1634" s="101" t="e">
        <f aca="false">AG1634*V1634*3600/O1634</f>
        <v>#DIV/0!</v>
      </c>
      <c r="AL1634" s="102" t="e">
        <f aca="false">AJ1634/AK1634</f>
        <v>#N/A</v>
      </c>
      <c r="AM1634" s="99" t="e">
        <f aca="false">AE1634*AL1634*AH1634</f>
        <v>#DIV/0!</v>
      </c>
    </row>
    <row r="1635" customFormat="false" ht="13.8" hidden="false" customHeight="false" outlineLevel="0" collapsed="false">
      <c r="H1635" s="139" t="str">
        <f aca="false">IFERROR(VLOOKUP(E:E,'Item Data Support Sheet'!A:O,2,0),"")</f>
        <v/>
      </c>
      <c r="W1635" s="90" t="n">
        <f aca="false">IFERROR(O1635/V1635,0)</f>
        <v>0</v>
      </c>
      <c r="X1635" s="91" t="e">
        <f aca="false">O1635/L1635</f>
        <v>#DIV/0!</v>
      </c>
      <c r="Y1635" s="92" t="n">
        <f aca="false">IFERROR(VLOOKUP(E:E,'Item Data Support Sheet'!A:J,6,0),0)</f>
        <v>0</v>
      </c>
      <c r="Z1635" s="93" t="n">
        <f aca="false">IFERROR(VLOOKUP(E:E,'Item Data Support Sheet'!A:O,4,0),0)</f>
        <v>0</v>
      </c>
      <c r="AA1635" s="93" t="n">
        <f aca="false">IFERROR(((N1635)*(Z1635/1000))+P1635,0)</f>
        <v>0</v>
      </c>
      <c r="AB1635" s="94" t="str">
        <f aca="false">IFERROR((O1635*(Z1635/1000)/(AA1635))," ")</f>
        <v> </v>
      </c>
      <c r="AC1635" s="95" t="n">
        <f aca="false">IFERROR((T1635)/((T1635)+O1635),0)</f>
        <v>0</v>
      </c>
      <c r="AD1635" s="96" t="n">
        <f aca="false">IFERROR(Q1635/(Q1635+N1635),0)</f>
        <v>0</v>
      </c>
      <c r="AE1635" s="91" t="e">
        <f aca="false">(N1635-T1635)/N1635</f>
        <v>#DIV/0!</v>
      </c>
      <c r="AF1635" s="97" t="n">
        <f aca="false">BR1635</f>
        <v>0</v>
      </c>
      <c r="AG1635" s="98" t="n">
        <f aca="false">K1635-AF1635</f>
        <v>0</v>
      </c>
      <c r="AH1635" s="99" t="str">
        <f aca="false">IFERROR(AG1635/K1635," ")</f>
        <v> </v>
      </c>
      <c r="AI1635" s="100" t="n">
        <f aca="false">IFERROR(O1635/K1635,0)</f>
        <v>0</v>
      </c>
      <c r="AJ1635" s="101" t="e">
        <f aca="false">VLOOKUP(D1635,'Standard Cycle time'!C:D,2,0)</f>
        <v>#N/A</v>
      </c>
      <c r="AK1635" s="101" t="e">
        <f aca="false">AG1635*V1635*3600/O1635</f>
        <v>#DIV/0!</v>
      </c>
      <c r="AL1635" s="102" t="e">
        <f aca="false">AJ1635/AK1635</f>
        <v>#N/A</v>
      </c>
      <c r="AM1635" s="99" t="e">
        <f aca="false">AE1635*AL1635*AH1635</f>
        <v>#DIV/0!</v>
      </c>
    </row>
    <row r="1636" customFormat="false" ht="13.8" hidden="false" customHeight="false" outlineLevel="0" collapsed="false">
      <c r="H1636" s="139" t="str">
        <f aca="false">IFERROR(VLOOKUP(E:E,'Item Data Support Sheet'!A:O,2,0),"")</f>
        <v/>
      </c>
      <c r="W1636" s="90" t="n">
        <f aca="false">IFERROR(O1636/V1636,0)</f>
        <v>0</v>
      </c>
      <c r="X1636" s="91" t="e">
        <f aca="false">O1636/L1636</f>
        <v>#DIV/0!</v>
      </c>
      <c r="Y1636" s="92" t="n">
        <f aca="false">IFERROR(VLOOKUP(E:E,'Item Data Support Sheet'!A:J,6,0),0)</f>
        <v>0</v>
      </c>
      <c r="Z1636" s="93" t="n">
        <f aca="false">IFERROR(VLOOKUP(E:E,'Item Data Support Sheet'!A:O,4,0),0)</f>
        <v>0</v>
      </c>
      <c r="AA1636" s="93" t="n">
        <f aca="false">IFERROR(((N1636)*(Z1636/1000))+P1636,0)</f>
        <v>0</v>
      </c>
      <c r="AB1636" s="94" t="str">
        <f aca="false">IFERROR((O1636*(Z1636/1000)/(AA1636))," ")</f>
        <v> </v>
      </c>
      <c r="AC1636" s="95" t="n">
        <f aca="false">IFERROR((T1636)/((T1636)+O1636),0)</f>
        <v>0</v>
      </c>
      <c r="AD1636" s="96" t="n">
        <f aca="false">IFERROR(Q1636/(Q1636+N1636),0)</f>
        <v>0</v>
      </c>
      <c r="AE1636" s="91" t="e">
        <f aca="false">(N1636-T1636)/N1636</f>
        <v>#DIV/0!</v>
      </c>
      <c r="AF1636" s="97" t="n">
        <f aca="false">BR1636</f>
        <v>0</v>
      </c>
      <c r="AG1636" s="98" t="n">
        <f aca="false">K1636-AF1636</f>
        <v>0</v>
      </c>
      <c r="AH1636" s="99" t="str">
        <f aca="false">IFERROR(AG1636/K1636," ")</f>
        <v> </v>
      </c>
      <c r="AI1636" s="100" t="n">
        <f aca="false">IFERROR(O1636/K1636,0)</f>
        <v>0</v>
      </c>
      <c r="AJ1636" s="101" t="e">
        <f aca="false">VLOOKUP(D1636,'Standard Cycle time'!C:D,2,0)</f>
        <v>#N/A</v>
      </c>
      <c r="AK1636" s="101" t="e">
        <f aca="false">AG1636*V1636*3600/O1636</f>
        <v>#DIV/0!</v>
      </c>
      <c r="AL1636" s="102" t="e">
        <f aca="false">AJ1636/AK1636</f>
        <v>#N/A</v>
      </c>
      <c r="AM1636" s="99" t="e">
        <f aca="false">AE1636*AL1636*AH1636</f>
        <v>#DIV/0!</v>
      </c>
    </row>
    <row r="1637" customFormat="false" ht="13.8" hidden="false" customHeight="false" outlineLevel="0" collapsed="false">
      <c r="H1637" s="139" t="str">
        <f aca="false">IFERROR(VLOOKUP(E:E,'Item Data Support Sheet'!A:O,2,0),"")</f>
        <v/>
      </c>
      <c r="W1637" s="90" t="n">
        <f aca="false">IFERROR(O1637/V1637,0)</f>
        <v>0</v>
      </c>
      <c r="X1637" s="91" t="e">
        <f aca="false">O1637/L1637</f>
        <v>#DIV/0!</v>
      </c>
      <c r="Y1637" s="92" t="n">
        <f aca="false">IFERROR(VLOOKUP(E:E,'Item Data Support Sheet'!A:J,6,0),0)</f>
        <v>0</v>
      </c>
      <c r="Z1637" s="93" t="n">
        <f aca="false">IFERROR(VLOOKUP(E:E,'Item Data Support Sheet'!A:O,4,0),0)</f>
        <v>0</v>
      </c>
      <c r="AA1637" s="93" t="n">
        <f aca="false">IFERROR(((N1637)*(Z1637/1000))+P1637,0)</f>
        <v>0</v>
      </c>
      <c r="AB1637" s="94" t="str">
        <f aca="false">IFERROR((O1637*(Z1637/1000)/(AA1637))," ")</f>
        <v> </v>
      </c>
      <c r="AC1637" s="95" t="n">
        <f aca="false">IFERROR((T1637)/((T1637)+O1637),0)</f>
        <v>0</v>
      </c>
      <c r="AD1637" s="96" t="n">
        <f aca="false">IFERROR(Q1637/(Q1637+N1637),0)</f>
        <v>0</v>
      </c>
      <c r="AE1637" s="91" t="e">
        <f aca="false">(N1637-T1637)/N1637</f>
        <v>#DIV/0!</v>
      </c>
      <c r="AF1637" s="97" t="n">
        <f aca="false">BR1637</f>
        <v>0</v>
      </c>
      <c r="AG1637" s="98" t="n">
        <f aca="false">K1637-AF1637</f>
        <v>0</v>
      </c>
      <c r="AH1637" s="99" t="str">
        <f aca="false">IFERROR(AG1637/K1637," ")</f>
        <v> </v>
      </c>
      <c r="AI1637" s="100" t="n">
        <f aca="false">IFERROR(O1637/K1637,0)</f>
        <v>0</v>
      </c>
      <c r="AJ1637" s="101" t="e">
        <f aca="false">VLOOKUP(D1637,'Standard Cycle time'!C:D,2,0)</f>
        <v>#N/A</v>
      </c>
      <c r="AK1637" s="101" t="e">
        <f aca="false">AG1637*V1637*3600/O1637</f>
        <v>#DIV/0!</v>
      </c>
      <c r="AL1637" s="102" t="e">
        <f aca="false">AJ1637/AK1637</f>
        <v>#N/A</v>
      </c>
      <c r="AM1637" s="99" t="e">
        <f aca="false">AE1637*AL1637*AH1637</f>
        <v>#DIV/0!</v>
      </c>
    </row>
    <row r="1638" customFormat="false" ht="13.8" hidden="false" customHeight="false" outlineLevel="0" collapsed="false">
      <c r="H1638" s="139" t="str">
        <f aca="false">IFERROR(VLOOKUP(E:E,'Item Data Support Sheet'!A:O,2,0),"")</f>
        <v/>
      </c>
      <c r="W1638" s="90" t="n">
        <f aca="false">IFERROR(O1638/V1638,0)</f>
        <v>0</v>
      </c>
      <c r="X1638" s="91" t="e">
        <f aca="false">O1638/L1638</f>
        <v>#DIV/0!</v>
      </c>
      <c r="Y1638" s="92" t="n">
        <f aca="false">IFERROR(VLOOKUP(E:E,'Item Data Support Sheet'!A:J,6,0),0)</f>
        <v>0</v>
      </c>
      <c r="Z1638" s="93" t="n">
        <f aca="false">IFERROR(VLOOKUP(E:E,'Item Data Support Sheet'!A:O,4,0),0)</f>
        <v>0</v>
      </c>
      <c r="AA1638" s="93" t="n">
        <f aca="false">IFERROR(((N1638)*(Z1638/1000))+P1638,0)</f>
        <v>0</v>
      </c>
      <c r="AB1638" s="94" t="str">
        <f aca="false">IFERROR((O1638*(Z1638/1000)/(AA1638))," ")</f>
        <v> </v>
      </c>
      <c r="AC1638" s="95" t="n">
        <f aca="false">IFERROR((T1638)/((T1638)+O1638),0)</f>
        <v>0</v>
      </c>
      <c r="AD1638" s="96" t="n">
        <f aca="false">IFERROR(Q1638/(Q1638+N1638),0)</f>
        <v>0</v>
      </c>
      <c r="AE1638" s="91" t="e">
        <f aca="false">(N1638-T1638)/N1638</f>
        <v>#DIV/0!</v>
      </c>
      <c r="AF1638" s="97" t="n">
        <f aca="false">BR1638</f>
        <v>0</v>
      </c>
      <c r="AG1638" s="98" t="n">
        <f aca="false">K1638-AF1638</f>
        <v>0</v>
      </c>
      <c r="AH1638" s="99" t="str">
        <f aca="false">IFERROR(AG1638/K1638," ")</f>
        <v> </v>
      </c>
      <c r="AI1638" s="100" t="n">
        <f aca="false">IFERROR(O1638/K1638,0)</f>
        <v>0</v>
      </c>
      <c r="AJ1638" s="101" t="e">
        <f aca="false">VLOOKUP(D1638,'Standard Cycle time'!C:D,2,0)</f>
        <v>#N/A</v>
      </c>
      <c r="AK1638" s="101" t="e">
        <f aca="false">AG1638*V1638*3600/O1638</f>
        <v>#DIV/0!</v>
      </c>
      <c r="AL1638" s="102" t="e">
        <f aca="false">AJ1638/AK1638</f>
        <v>#N/A</v>
      </c>
      <c r="AM1638" s="99" t="e">
        <f aca="false">AE1638*AL1638*AH1638</f>
        <v>#DIV/0!</v>
      </c>
    </row>
    <row r="1639" customFormat="false" ht="13.8" hidden="false" customHeight="false" outlineLevel="0" collapsed="false">
      <c r="H1639" s="139" t="str">
        <f aca="false">IFERROR(VLOOKUP(E:E,'Item Data Support Sheet'!A:O,2,0),"")</f>
        <v/>
      </c>
      <c r="W1639" s="90" t="n">
        <f aca="false">IFERROR(O1639/V1639,0)</f>
        <v>0</v>
      </c>
      <c r="X1639" s="91" t="e">
        <f aca="false">O1639/L1639</f>
        <v>#DIV/0!</v>
      </c>
      <c r="Y1639" s="92" t="n">
        <f aca="false">IFERROR(VLOOKUP(E:E,'Item Data Support Sheet'!A:J,6,0),0)</f>
        <v>0</v>
      </c>
      <c r="Z1639" s="93" t="n">
        <f aca="false">IFERROR(VLOOKUP(E:E,'Item Data Support Sheet'!A:O,4,0),0)</f>
        <v>0</v>
      </c>
      <c r="AA1639" s="93" t="n">
        <f aca="false">IFERROR(((N1639)*(Z1639/1000))+P1639,0)</f>
        <v>0</v>
      </c>
      <c r="AB1639" s="94" t="str">
        <f aca="false">IFERROR((O1639*(Z1639/1000)/(AA1639))," ")</f>
        <v> </v>
      </c>
      <c r="AC1639" s="95" t="n">
        <f aca="false">IFERROR((T1639)/((T1639)+O1639),0)</f>
        <v>0</v>
      </c>
      <c r="AD1639" s="96" t="n">
        <f aca="false">IFERROR(Q1639/(Q1639+N1639),0)</f>
        <v>0</v>
      </c>
      <c r="AE1639" s="91" t="e">
        <f aca="false">(N1639-T1639)/N1639</f>
        <v>#DIV/0!</v>
      </c>
      <c r="AF1639" s="97" t="n">
        <f aca="false">BR1639</f>
        <v>0</v>
      </c>
      <c r="AG1639" s="98" t="n">
        <f aca="false">K1639-AF1639</f>
        <v>0</v>
      </c>
      <c r="AH1639" s="99" t="str">
        <f aca="false">IFERROR(AG1639/K1639," ")</f>
        <v> </v>
      </c>
      <c r="AI1639" s="100" t="n">
        <f aca="false">IFERROR(O1639/K1639,0)</f>
        <v>0</v>
      </c>
      <c r="AJ1639" s="101" t="e">
        <f aca="false">VLOOKUP(D1639,'Standard Cycle time'!C:D,2,0)</f>
        <v>#N/A</v>
      </c>
      <c r="AK1639" s="101" t="e">
        <f aca="false">AG1639*V1639*3600/O1639</f>
        <v>#DIV/0!</v>
      </c>
      <c r="AL1639" s="102" t="e">
        <f aca="false">AJ1639/AK1639</f>
        <v>#N/A</v>
      </c>
      <c r="AM1639" s="99" t="e">
        <f aca="false">AE1639*AL1639*AH1639</f>
        <v>#DIV/0!</v>
      </c>
    </row>
    <row r="1640" customFormat="false" ht="13.8" hidden="false" customHeight="false" outlineLevel="0" collapsed="false">
      <c r="H1640" s="139" t="str">
        <f aca="false">IFERROR(VLOOKUP(E:E,'Item Data Support Sheet'!A:O,2,0),"")</f>
        <v/>
      </c>
      <c r="W1640" s="90" t="n">
        <f aca="false">IFERROR(O1640/V1640,0)</f>
        <v>0</v>
      </c>
      <c r="X1640" s="91" t="e">
        <f aca="false">O1640/L1640</f>
        <v>#DIV/0!</v>
      </c>
      <c r="Y1640" s="92" t="n">
        <f aca="false">IFERROR(VLOOKUP(E:E,'Item Data Support Sheet'!A:J,6,0),0)</f>
        <v>0</v>
      </c>
      <c r="Z1640" s="93" t="n">
        <f aca="false">IFERROR(VLOOKUP(E:E,'Item Data Support Sheet'!A:O,4,0),0)</f>
        <v>0</v>
      </c>
      <c r="AA1640" s="93" t="n">
        <f aca="false">IFERROR(((N1640)*(Z1640/1000))+P1640,0)</f>
        <v>0</v>
      </c>
      <c r="AB1640" s="94" t="str">
        <f aca="false">IFERROR((O1640*(Z1640/1000)/(AA1640))," ")</f>
        <v> </v>
      </c>
      <c r="AC1640" s="95" t="n">
        <f aca="false">IFERROR((T1640)/((T1640)+O1640),0)</f>
        <v>0</v>
      </c>
      <c r="AD1640" s="96" t="n">
        <f aca="false">IFERROR(Q1640/(Q1640+N1640),0)</f>
        <v>0</v>
      </c>
      <c r="AE1640" s="91" t="e">
        <f aca="false">(N1640-T1640)/N1640</f>
        <v>#DIV/0!</v>
      </c>
      <c r="AF1640" s="97" t="n">
        <f aca="false">BR1640</f>
        <v>0</v>
      </c>
      <c r="AG1640" s="98" t="n">
        <f aca="false">K1640-AF1640</f>
        <v>0</v>
      </c>
      <c r="AH1640" s="99" t="str">
        <f aca="false">IFERROR(AG1640/K1640," ")</f>
        <v> </v>
      </c>
      <c r="AI1640" s="100" t="n">
        <f aca="false">IFERROR(O1640/K1640,0)</f>
        <v>0</v>
      </c>
      <c r="AJ1640" s="101" t="e">
        <f aca="false">VLOOKUP(D1640,'Standard Cycle time'!C:D,2,0)</f>
        <v>#N/A</v>
      </c>
      <c r="AK1640" s="101" t="e">
        <f aca="false">AG1640*V1640*3600/O1640</f>
        <v>#DIV/0!</v>
      </c>
      <c r="AL1640" s="102" t="e">
        <f aca="false">AJ1640/AK1640</f>
        <v>#N/A</v>
      </c>
      <c r="AM1640" s="99" t="e">
        <f aca="false">AE1640*AL1640*AH1640</f>
        <v>#DIV/0!</v>
      </c>
    </row>
    <row r="1641" customFormat="false" ht="13.8" hidden="false" customHeight="false" outlineLevel="0" collapsed="false">
      <c r="H1641" s="139" t="str">
        <f aca="false">IFERROR(VLOOKUP(E:E,'Item Data Support Sheet'!A:O,2,0),"")</f>
        <v/>
      </c>
      <c r="W1641" s="90" t="n">
        <f aca="false">IFERROR(O1641/V1641,0)</f>
        <v>0</v>
      </c>
      <c r="X1641" s="91" t="e">
        <f aca="false">O1641/L1641</f>
        <v>#DIV/0!</v>
      </c>
      <c r="Y1641" s="92" t="n">
        <f aca="false">IFERROR(VLOOKUP(E:E,'Item Data Support Sheet'!A:J,6,0),0)</f>
        <v>0</v>
      </c>
      <c r="Z1641" s="93" t="n">
        <f aca="false">IFERROR(VLOOKUP(E:E,'Item Data Support Sheet'!A:O,4,0),0)</f>
        <v>0</v>
      </c>
      <c r="AA1641" s="93" t="n">
        <f aca="false">IFERROR(((N1641)*(Z1641/1000))+P1641,0)</f>
        <v>0</v>
      </c>
      <c r="AB1641" s="94" t="str">
        <f aca="false">IFERROR((O1641*(Z1641/1000)/(AA1641))," ")</f>
        <v> </v>
      </c>
      <c r="AC1641" s="95" t="n">
        <f aca="false">IFERROR((T1641)/((T1641)+O1641),0)</f>
        <v>0</v>
      </c>
      <c r="AD1641" s="96" t="n">
        <f aca="false">IFERROR(Q1641/(Q1641+N1641),0)</f>
        <v>0</v>
      </c>
      <c r="AE1641" s="91" t="e">
        <f aca="false">(N1641-T1641)/N1641</f>
        <v>#DIV/0!</v>
      </c>
      <c r="AF1641" s="97" t="n">
        <f aca="false">BR1641</f>
        <v>0</v>
      </c>
      <c r="AG1641" s="98" t="n">
        <f aca="false">K1641-AF1641</f>
        <v>0</v>
      </c>
      <c r="AH1641" s="99" t="str">
        <f aca="false">IFERROR(AG1641/K1641," ")</f>
        <v> </v>
      </c>
      <c r="AI1641" s="100" t="n">
        <f aca="false">IFERROR(O1641/K1641,0)</f>
        <v>0</v>
      </c>
      <c r="AJ1641" s="101" t="e">
        <f aca="false">VLOOKUP(D1641,'Standard Cycle time'!C:D,2,0)</f>
        <v>#N/A</v>
      </c>
      <c r="AK1641" s="101" t="e">
        <f aca="false">AG1641*V1641*3600/O1641</f>
        <v>#DIV/0!</v>
      </c>
      <c r="AL1641" s="102" t="e">
        <f aca="false">AJ1641/AK1641</f>
        <v>#N/A</v>
      </c>
      <c r="AM1641" s="99" t="e">
        <f aca="false">AE1641*AL1641*AH1641</f>
        <v>#DIV/0!</v>
      </c>
    </row>
    <row r="1642" customFormat="false" ht="13.8" hidden="false" customHeight="false" outlineLevel="0" collapsed="false">
      <c r="H1642" s="139" t="str">
        <f aca="false">IFERROR(VLOOKUP(E:E,'Item Data Support Sheet'!A:O,2,0),"")</f>
        <v/>
      </c>
    </row>
    <row r="1643" customFormat="false" ht="13.8" hidden="false" customHeight="false" outlineLevel="0" collapsed="false">
      <c r="H1643" s="139" t="str">
        <f aca="false">IFERROR(VLOOKUP(E:E,'Item Data Support Sheet'!A:O,2,0),"")</f>
        <v/>
      </c>
    </row>
    <row r="1644" customFormat="false" ht="13.8" hidden="false" customHeight="false" outlineLevel="0" collapsed="false">
      <c r="H1644" s="139" t="str">
        <f aca="false">IFERROR(VLOOKUP(E:E,'Item Data Support Sheet'!A:O,2,0),"")</f>
        <v/>
      </c>
    </row>
    <row r="1645" customFormat="false" ht="13.8" hidden="false" customHeight="false" outlineLevel="0" collapsed="false">
      <c r="H1645" s="139" t="str">
        <f aca="false">IFERROR(VLOOKUP(E:E,'Item Data Support Sheet'!A:O,2,0),"")</f>
        <v/>
      </c>
    </row>
    <row r="1646" customFormat="false" ht="13.8" hidden="false" customHeight="false" outlineLevel="0" collapsed="false">
      <c r="H1646" s="139" t="str">
        <f aca="false">IFERROR(VLOOKUP(E:E,'Item Data Support Sheet'!A:O,2,0),"")</f>
        <v/>
      </c>
    </row>
    <row r="1647" customFormat="false" ht="13.8" hidden="false" customHeight="false" outlineLevel="0" collapsed="false">
      <c r="H1647" s="139" t="str">
        <f aca="false">IFERROR(VLOOKUP(E:E,'Item Data Support Sheet'!A:O,2,0),"")</f>
        <v/>
      </c>
    </row>
    <row r="1648" customFormat="false" ht="13.8" hidden="false" customHeight="false" outlineLevel="0" collapsed="false">
      <c r="H1648" s="139" t="str">
        <f aca="false">IFERROR(VLOOKUP(E:E,'Item Data Support Sheet'!A:O,2,0),"")</f>
        <v/>
      </c>
    </row>
    <row r="1649" customFormat="false" ht="13.8" hidden="false" customHeight="false" outlineLevel="0" collapsed="false">
      <c r="H1649" s="139" t="str">
        <f aca="false">IFERROR(VLOOKUP(E:E,'Item Data Support Sheet'!A:O,2,0),"")</f>
        <v/>
      </c>
    </row>
    <row r="1650" customFormat="false" ht="13.8" hidden="false" customHeight="false" outlineLevel="0" collapsed="false">
      <c r="H1650" s="139" t="str">
        <f aca="false">IFERROR(VLOOKUP(E:E,'Item Data Support Sheet'!A:O,2,0),"")</f>
        <v/>
      </c>
    </row>
    <row r="1651" customFormat="false" ht="13.8" hidden="false" customHeight="false" outlineLevel="0" collapsed="false">
      <c r="H1651" s="139" t="str">
        <f aca="false">IFERROR(VLOOKUP(E:E,'Item Data Support Sheet'!A:O,2,0),"")</f>
        <v/>
      </c>
    </row>
    <row r="1652" customFormat="false" ht="13.8" hidden="false" customHeight="false" outlineLevel="0" collapsed="false">
      <c r="H1652" s="139" t="str">
        <f aca="false">IFERROR(VLOOKUP(E:E,'Item Data Support Sheet'!A:O,2,0),"")</f>
        <v/>
      </c>
    </row>
    <row r="1653" customFormat="false" ht="13.8" hidden="false" customHeight="false" outlineLevel="0" collapsed="false">
      <c r="H1653" s="139" t="str">
        <f aca="false">IFERROR(VLOOKUP(E:E,'Item Data Support Sheet'!A:O,2,0),"")</f>
        <v/>
      </c>
    </row>
    <row r="1654" customFormat="false" ht="13.8" hidden="false" customHeight="false" outlineLevel="0" collapsed="false">
      <c r="H1654" s="139" t="str">
        <f aca="false">IFERROR(VLOOKUP(E:E,'Item Data Support Sheet'!A:O,2,0),"")</f>
        <v/>
      </c>
    </row>
    <row r="1655" customFormat="false" ht="13.8" hidden="false" customHeight="false" outlineLevel="0" collapsed="false">
      <c r="H1655" s="139" t="str">
        <f aca="false">IFERROR(VLOOKUP(E:E,'Item Data Support Sheet'!A:O,2,0),"")</f>
        <v/>
      </c>
    </row>
    <row r="1656" customFormat="false" ht="13.8" hidden="false" customHeight="false" outlineLevel="0" collapsed="false">
      <c r="H1656" s="139" t="str">
        <f aca="false">IFERROR(VLOOKUP(E:E,'Item Data Support Sheet'!A:O,2,0),"")</f>
        <v/>
      </c>
    </row>
    <row r="1657" customFormat="false" ht="13.8" hidden="false" customHeight="false" outlineLevel="0" collapsed="false">
      <c r="H1657" s="139" t="str">
        <f aca="false">IFERROR(VLOOKUP(E:E,'Item Data Support Sheet'!A:O,2,0),"")</f>
        <v/>
      </c>
    </row>
    <row r="1658" customFormat="false" ht="13.8" hidden="false" customHeight="false" outlineLevel="0" collapsed="false">
      <c r="H1658" s="139" t="str">
        <f aca="false">IFERROR(VLOOKUP(E:E,'Item Data Support Sheet'!A:O,2,0),"")</f>
        <v/>
      </c>
    </row>
    <row r="1659" customFormat="false" ht="13.8" hidden="false" customHeight="false" outlineLevel="0" collapsed="false">
      <c r="H1659" s="139" t="str">
        <f aca="false">IFERROR(VLOOKUP(E:E,'Item Data Support Sheet'!A:O,2,0),"")</f>
        <v/>
      </c>
    </row>
    <row r="1660" customFormat="false" ht="13.8" hidden="false" customHeight="false" outlineLevel="0" collapsed="false">
      <c r="H1660" s="139" t="str">
        <f aca="false">IFERROR(VLOOKUP(E:E,'Item Data Support Sheet'!A:O,2,0),"")</f>
        <v/>
      </c>
    </row>
    <row r="1661" customFormat="false" ht="13.8" hidden="false" customHeight="false" outlineLevel="0" collapsed="false">
      <c r="H1661" s="139" t="str">
        <f aca="false">IFERROR(VLOOKUP(E:E,'Item Data Support Sheet'!A:O,2,0),"")</f>
        <v/>
      </c>
    </row>
    <row r="1662" customFormat="false" ht="13.8" hidden="false" customHeight="false" outlineLevel="0" collapsed="false">
      <c r="H1662" s="139" t="str">
        <f aca="false">IFERROR(VLOOKUP(E:E,'Item Data Support Sheet'!A:O,2,0),"")</f>
        <v/>
      </c>
    </row>
    <row r="1663" customFormat="false" ht="13.8" hidden="false" customHeight="false" outlineLevel="0" collapsed="false">
      <c r="H1663" s="139" t="str">
        <f aca="false">IFERROR(VLOOKUP(E:E,'Item Data Support Sheet'!A:O,2,0),"")</f>
        <v/>
      </c>
    </row>
    <row r="1664" customFormat="false" ht="13.8" hidden="false" customHeight="false" outlineLevel="0" collapsed="false">
      <c r="H1664" s="139" t="str">
        <f aca="false">IFERROR(VLOOKUP(E:E,'Item Data Support Sheet'!A:O,2,0),"")</f>
        <v/>
      </c>
    </row>
    <row r="1665" customFormat="false" ht="13.8" hidden="false" customHeight="false" outlineLevel="0" collapsed="false">
      <c r="H1665" s="139" t="str">
        <f aca="false">IFERROR(VLOOKUP(E:E,'Item Data Support Sheet'!A:O,2,0),"")</f>
        <v/>
      </c>
    </row>
    <row r="1666" customFormat="false" ht="13.8" hidden="false" customHeight="false" outlineLevel="0" collapsed="false">
      <c r="H1666" s="139" t="str">
        <f aca="false">IFERROR(VLOOKUP(E:E,'Item Data Support Sheet'!A:O,2,0),"")</f>
        <v/>
      </c>
    </row>
    <row r="1667" customFormat="false" ht="13.8" hidden="false" customHeight="false" outlineLevel="0" collapsed="false">
      <c r="H1667" s="139" t="str">
        <f aca="false">IFERROR(VLOOKUP(E:E,'Item Data Support Sheet'!A:O,2,0),"")</f>
        <v/>
      </c>
    </row>
    <row r="1668" customFormat="false" ht="13.8" hidden="false" customHeight="false" outlineLevel="0" collapsed="false">
      <c r="H1668" s="139" t="str">
        <f aca="false">IFERROR(VLOOKUP(E:E,'Item Data Support Sheet'!A:O,2,0),"")</f>
        <v/>
      </c>
    </row>
    <row r="1669" customFormat="false" ht="13.8" hidden="false" customHeight="false" outlineLevel="0" collapsed="false">
      <c r="H1669" s="139" t="str">
        <f aca="false">IFERROR(VLOOKUP(E:E,'Item Data Support Sheet'!A:O,2,0),"")</f>
        <v/>
      </c>
    </row>
    <row r="1670" customFormat="false" ht="13.8" hidden="false" customHeight="false" outlineLevel="0" collapsed="false">
      <c r="H1670" s="139" t="str">
        <f aca="false">IFERROR(VLOOKUP(E:E,'Item Data Support Sheet'!A:O,2,0),"")</f>
        <v/>
      </c>
    </row>
    <row r="1671" customFormat="false" ht="13.8" hidden="false" customHeight="false" outlineLevel="0" collapsed="false">
      <c r="H1671" s="139" t="str">
        <f aca="false">IFERROR(VLOOKUP(E:E,'Item Data Support Sheet'!A:O,2,0),"")</f>
        <v/>
      </c>
    </row>
    <row r="1672" customFormat="false" ht="13.8" hidden="false" customHeight="false" outlineLevel="0" collapsed="false">
      <c r="H1672" s="139" t="str">
        <f aca="false">IFERROR(VLOOKUP(E:E,'Item Data Support Sheet'!A:O,2,0),"")</f>
        <v/>
      </c>
    </row>
    <row r="1673" customFormat="false" ht="13.8" hidden="false" customHeight="false" outlineLevel="0" collapsed="false">
      <c r="H1673" s="139" t="str">
        <f aca="false">IFERROR(VLOOKUP(E:E,'Item Data Support Sheet'!A:O,2,0),"")</f>
        <v/>
      </c>
    </row>
    <row r="1674" customFormat="false" ht="13.8" hidden="false" customHeight="false" outlineLevel="0" collapsed="false">
      <c r="H1674" s="139" t="str">
        <f aca="false">IFERROR(VLOOKUP(E:E,'Item Data Support Sheet'!A:O,2,0),"")</f>
        <v/>
      </c>
    </row>
    <row r="1675" customFormat="false" ht="13.8" hidden="false" customHeight="false" outlineLevel="0" collapsed="false">
      <c r="H1675" s="139" t="str">
        <f aca="false">IFERROR(VLOOKUP(E:E,'Item Data Support Sheet'!A:O,2,0),"")</f>
        <v/>
      </c>
    </row>
    <row r="1676" customFormat="false" ht="13.8" hidden="false" customHeight="false" outlineLevel="0" collapsed="false">
      <c r="H1676" s="139" t="str">
        <f aca="false">IFERROR(VLOOKUP(E:E,'Item Data Support Sheet'!A:O,2,0),"")</f>
        <v/>
      </c>
    </row>
    <row r="1677" customFormat="false" ht="13.8" hidden="false" customHeight="false" outlineLevel="0" collapsed="false">
      <c r="H1677" s="139" t="str">
        <f aca="false">IFERROR(VLOOKUP(E:E,'Item Data Support Sheet'!A:O,2,0),"")</f>
        <v/>
      </c>
    </row>
    <row r="1678" customFormat="false" ht="13.8" hidden="false" customHeight="false" outlineLevel="0" collapsed="false">
      <c r="H1678" s="139" t="str">
        <f aca="false">IFERROR(VLOOKUP(E:E,'Item Data Support Sheet'!A:O,2,0),"")</f>
        <v/>
      </c>
    </row>
    <row r="1679" customFormat="false" ht="13.8" hidden="false" customHeight="false" outlineLevel="0" collapsed="false">
      <c r="H1679" s="139" t="str">
        <f aca="false">IFERROR(VLOOKUP(E:E,'Item Data Support Sheet'!A:O,2,0),"")</f>
        <v/>
      </c>
    </row>
    <row r="1680" customFormat="false" ht="13.8" hidden="false" customHeight="false" outlineLevel="0" collapsed="false">
      <c r="H1680" s="139" t="str">
        <f aca="false">IFERROR(VLOOKUP(E:E,'Item Data Support Sheet'!A:O,2,0),"")</f>
        <v/>
      </c>
    </row>
    <row r="1681" customFormat="false" ht="13.8" hidden="false" customHeight="false" outlineLevel="0" collapsed="false">
      <c r="H1681" s="139" t="str">
        <f aca="false">IFERROR(VLOOKUP(E:E,'Item Data Support Sheet'!A:O,2,0),"")</f>
        <v/>
      </c>
    </row>
    <row r="1682" customFormat="false" ht="13.8" hidden="false" customHeight="false" outlineLevel="0" collapsed="false">
      <c r="H1682" s="139" t="str">
        <f aca="false">IFERROR(VLOOKUP(E:E,'Item Data Support Sheet'!A:O,2,0),"")</f>
        <v/>
      </c>
    </row>
    <row r="1683" customFormat="false" ht="13.8" hidden="false" customHeight="false" outlineLevel="0" collapsed="false">
      <c r="H1683" s="139" t="str">
        <f aca="false">IFERROR(VLOOKUP(E:E,'Item Data Support Sheet'!A:O,2,0),"")</f>
        <v/>
      </c>
    </row>
    <row r="1684" customFormat="false" ht="13.8" hidden="false" customHeight="false" outlineLevel="0" collapsed="false">
      <c r="H1684" s="139" t="str">
        <f aca="false">IFERROR(VLOOKUP(E:E,'Item Data Support Sheet'!A:O,2,0),"")</f>
        <v/>
      </c>
    </row>
    <row r="1685" customFormat="false" ht="13.8" hidden="false" customHeight="false" outlineLevel="0" collapsed="false">
      <c r="H1685" s="139" t="str">
        <f aca="false">IFERROR(VLOOKUP(E:E,'Item Data Support Sheet'!A:O,2,0),"")</f>
        <v/>
      </c>
    </row>
    <row r="1686" customFormat="false" ht="13.8" hidden="false" customHeight="false" outlineLevel="0" collapsed="false">
      <c r="H1686" s="139" t="str">
        <f aca="false">IFERROR(VLOOKUP(E:E,'Item Data Support Sheet'!A:O,2,0),"")</f>
        <v/>
      </c>
    </row>
    <row r="1687" customFormat="false" ht="13.8" hidden="false" customHeight="false" outlineLevel="0" collapsed="false">
      <c r="H1687" s="139" t="str">
        <f aca="false">IFERROR(VLOOKUP(E:E,'Item Data Support Sheet'!A:O,2,0),"")</f>
        <v/>
      </c>
    </row>
    <row r="1688" customFormat="false" ht="13.8" hidden="false" customHeight="false" outlineLevel="0" collapsed="false">
      <c r="H1688" s="139" t="str">
        <f aca="false">IFERROR(VLOOKUP(E:E,'Item Data Support Sheet'!A:O,2,0),"")</f>
        <v/>
      </c>
    </row>
    <row r="1689" customFormat="false" ht="13.8" hidden="false" customHeight="false" outlineLevel="0" collapsed="false">
      <c r="H1689" s="139" t="str">
        <f aca="false">IFERROR(VLOOKUP(E:E,'Item Data Support Sheet'!A:O,2,0),"")</f>
        <v/>
      </c>
    </row>
    <row r="1690" customFormat="false" ht="13.8" hidden="false" customHeight="false" outlineLevel="0" collapsed="false">
      <c r="H1690" s="139" t="str">
        <f aca="false">IFERROR(VLOOKUP(E:E,'Item Data Support Sheet'!A:O,2,0),"")</f>
        <v/>
      </c>
    </row>
    <row r="1691" customFormat="false" ht="13.8" hidden="false" customHeight="false" outlineLevel="0" collapsed="false">
      <c r="H1691" s="139" t="str">
        <f aca="false">IFERROR(VLOOKUP(E:E,'Item Data Support Sheet'!A:O,2,0),"")</f>
        <v/>
      </c>
    </row>
    <row r="1692" customFormat="false" ht="13.8" hidden="false" customHeight="false" outlineLevel="0" collapsed="false">
      <c r="H1692" s="139" t="str">
        <f aca="false">IFERROR(VLOOKUP(E:E,'Item Data Support Sheet'!A:O,2,0),"")</f>
        <v/>
      </c>
    </row>
    <row r="1693" customFormat="false" ht="13.8" hidden="false" customHeight="false" outlineLevel="0" collapsed="false">
      <c r="H1693" s="139" t="str">
        <f aca="false">IFERROR(VLOOKUP(E:E,'Item Data Support Sheet'!A:O,2,0),"")</f>
        <v/>
      </c>
    </row>
    <row r="1694" customFormat="false" ht="13.8" hidden="false" customHeight="false" outlineLevel="0" collapsed="false">
      <c r="H1694" s="139" t="str">
        <f aca="false">IFERROR(VLOOKUP(E:E,'Item Data Support Sheet'!A:O,2,0),"")</f>
        <v/>
      </c>
    </row>
    <row r="1695" customFormat="false" ht="13.8" hidden="false" customHeight="false" outlineLevel="0" collapsed="false">
      <c r="H1695" s="139" t="str">
        <f aca="false">IFERROR(VLOOKUP(E:E,'Item Data Support Sheet'!A:O,2,0),"")</f>
        <v/>
      </c>
    </row>
    <row r="1696" customFormat="false" ht="13.8" hidden="false" customHeight="false" outlineLevel="0" collapsed="false">
      <c r="H1696" s="139" t="str">
        <f aca="false">IFERROR(VLOOKUP(E:E,'Item Data Support Sheet'!A:O,2,0),"")</f>
        <v/>
      </c>
    </row>
    <row r="1697" customFormat="false" ht="13.8" hidden="false" customHeight="false" outlineLevel="0" collapsed="false">
      <c r="H1697" s="139" t="str">
        <f aca="false">IFERROR(VLOOKUP(E:E,'Item Data Support Sheet'!A:O,2,0),"")</f>
        <v/>
      </c>
    </row>
    <row r="1698" customFormat="false" ht="13.8" hidden="false" customHeight="false" outlineLevel="0" collapsed="false">
      <c r="H1698" s="139" t="str">
        <f aca="false">IFERROR(VLOOKUP(E:E,'Item Data Support Sheet'!A:O,2,0),"")</f>
        <v/>
      </c>
    </row>
    <row r="1699" customFormat="false" ht="13.8" hidden="false" customHeight="false" outlineLevel="0" collapsed="false">
      <c r="H1699" s="139" t="str">
        <f aca="false">IFERROR(VLOOKUP(E:E,'Item Data Support Sheet'!A:O,2,0),"")</f>
        <v/>
      </c>
    </row>
    <row r="1700" customFormat="false" ht="13.8" hidden="false" customHeight="false" outlineLevel="0" collapsed="false">
      <c r="H1700" s="139" t="str">
        <f aca="false">IFERROR(VLOOKUP(E:E,'Item Data Support Sheet'!A:O,2,0),"")</f>
        <v/>
      </c>
    </row>
    <row r="1701" customFormat="false" ht="13.8" hidden="false" customHeight="false" outlineLevel="0" collapsed="false">
      <c r="H1701" s="139" t="str">
        <f aca="false">IFERROR(VLOOKUP(E:E,'Item Data Support Sheet'!A:O,2,0),"")</f>
        <v/>
      </c>
    </row>
    <row r="1702" customFormat="false" ht="13.8" hidden="false" customHeight="false" outlineLevel="0" collapsed="false">
      <c r="H1702" s="139" t="str">
        <f aca="false">IFERROR(VLOOKUP(E:E,'Item Data Support Sheet'!A:O,2,0),"")</f>
        <v/>
      </c>
    </row>
    <row r="1703" customFormat="false" ht="13.8" hidden="false" customHeight="false" outlineLevel="0" collapsed="false">
      <c r="H1703" s="139" t="str">
        <f aca="false">IFERROR(VLOOKUP(E:E,'Item Data Support Sheet'!A:O,2,0),"")</f>
        <v/>
      </c>
    </row>
    <row r="1704" customFormat="false" ht="13.8" hidden="false" customHeight="false" outlineLevel="0" collapsed="false">
      <c r="H1704" s="139" t="str">
        <f aca="false">IFERROR(VLOOKUP(E:E,'Item Data Support Sheet'!A:O,2,0),"")</f>
        <v/>
      </c>
    </row>
    <row r="1705" customFormat="false" ht="13.8" hidden="false" customHeight="false" outlineLevel="0" collapsed="false">
      <c r="H1705" s="139" t="str">
        <f aca="false">IFERROR(VLOOKUP(E:E,'Item Data Support Sheet'!A:O,2,0),"")</f>
        <v/>
      </c>
    </row>
    <row r="1706" customFormat="false" ht="13.8" hidden="false" customHeight="false" outlineLevel="0" collapsed="false">
      <c r="H1706" s="139" t="str">
        <f aca="false">IFERROR(VLOOKUP(E:E,'Item Data Support Sheet'!A:O,2,0),"")</f>
        <v/>
      </c>
    </row>
    <row r="1707" customFormat="false" ht="13.8" hidden="false" customHeight="false" outlineLevel="0" collapsed="false">
      <c r="H1707" s="139" t="str">
        <f aca="false">IFERROR(VLOOKUP(E:E,'Item Data Support Sheet'!A:O,2,0),"")</f>
        <v/>
      </c>
    </row>
    <row r="1708" customFormat="false" ht="13.8" hidden="false" customHeight="false" outlineLevel="0" collapsed="false">
      <c r="H1708" s="139" t="str">
        <f aca="false">IFERROR(VLOOKUP(E:E,'Item Data Support Sheet'!A:O,2,0),"")</f>
        <v/>
      </c>
    </row>
    <row r="1709" customFormat="false" ht="13.8" hidden="false" customHeight="false" outlineLevel="0" collapsed="false">
      <c r="H1709" s="139" t="str">
        <f aca="false">IFERROR(VLOOKUP(E:E,'Item Data Support Sheet'!A:O,2,0),"")</f>
        <v/>
      </c>
    </row>
    <row r="1710" customFormat="false" ht="13.8" hidden="false" customHeight="false" outlineLevel="0" collapsed="false">
      <c r="H1710" s="139" t="str">
        <f aca="false">IFERROR(VLOOKUP(E:E,'Item Data Support Sheet'!A:O,2,0),"")</f>
        <v/>
      </c>
    </row>
    <row r="1711" customFormat="false" ht="13.8" hidden="false" customHeight="false" outlineLevel="0" collapsed="false">
      <c r="H1711" s="139" t="str">
        <f aca="false">IFERROR(VLOOKUP(E:E,'Item Data Support Sheet'!A:O,2,0),"")</f>
        <v/>
      </c>
    </row>
    <row r="1712" customFormat="false" ht="13.8" hidden="false" customHeight="false" outlineLevel="0" collapsed="false">
      <c r="H1712" s="139" t="str">
        <f aca="false">IFERROR(VLOOKUP(E:E,'Item Data Support Sheet'!A:O,2,0),"")</f>
        <v/>
      </c>
    </row>
    <row r="1713" customFormat="false" ht="13.8" hidden="false" customHeight="false" outlineLevel="0" collapsed="false">
      <c r="H1713" s="139" t="str">
        <f aca="false">IFERROR(VLOOKUP(E:E,'Item Data Support Sheet'!A:O,2,0),"")</f>
        <v/>
      </c>
    </row>
    <row r="1714" customFormat="false" ht="13.8" hidden="false" customHeight="false" outlineLevel="0" collapsed="false">
      <c r="H1714" s="139" t="str">
        <f aca="false">IFERROR(VLOOKUP(E:E,'Item Data Support Sheet'!A:O,2,0),"")</f>
        <v/>
      </c>
    </row>
    <row r="1715" customFormat="false" ht="13.8" hidden="false" customHeight="false" outlineLevel="0" collapsed="false">
      <c r="H1715" s="139" t="str">
        <f aca="false">IFERROR(VLOOKUP(E:E,'Item Data Support Sheet'!A:O,2,0),"")</f>
        <v/>
      </c>
    </row>
    <row r="1716" customFormat="false" ht="13.8" hidden="false" customHeight="false" outlineLevel="0" collapsed="false">
      <c r="H1716" s="139" t="str">
        <f aca="false">IFERROR(VLOOKUP(E:E,'Item Data Support Sheet'!A:O,2,0),"")</f>
        <v/>
      </c>
    </row>
    <row r="1717" customFormat="false" ht="13.8" hidden="false" customHeight="false" outlineLevel="0" collapsed="false">
      <c r="H1717" s="139" t="str">
        <f aca="false">IFERROR(VLOOKUP(E:E,'Item Data Support Sheet'!A:O,2,0),"")</f>
        <v/>
      </c>
    </row>
    <row r="1718" customFormat="false" ht="13.8" hidden="false" customHeight="false" outlineLevel="0" collapsed="false">
      <c r="H1718" s="139" t="str">
        <f aca="false">IFERROR(VLOOKUP(E:E,'Item Data Support Sheet'!A:O,2,0),"")</f>
        <v/>
      </c>
    </row>
    <row r="1719" customFormat="false" ht="13.8" hidden="false" customHeight="false" outlineLevel="0" collapsed="false">
      <c r="H1719" s="139" t="str">
        <f aca="false">IFERROR(VLOOKUP(E:E,'Item Data Support Sheet'!A:O,2,0),"")</f>
        <v/>
      </c>
    </row>
    <row r="1720" customFormat="false" ht="13.8" hidden="false" customHeight="false" outlineLevel="0" collapsed="false">
      <c r="H1720" s="139" t="str">
        <f aca="false">IFERROR(VLOOKUP(E:E,'Item Data Support Sheet'!A:O,2,0),"")</f>
        <v/>
      </c>
    </row>
    <row r="1721" customFormat="false" ht="13.8" hidden="false" customHeight="false" outlineLevel="0" collapsed="false">
      <c r="H1721" s="139" t="str">
        <f aca="false">IFERROR(VLOOKUP(E:E,'Item Data Support Sheet'!A:O,2,0),"")</f>
        <v/>
      </c>
    </row>
    <row r="1722" customFormat="false" ht="13.8" hidden="false" customHeight="false" outlineLevel="0" collapsed="false">
      <c r="H1722" s="139" t="str">
        <f aca="false">IFERROR(VLOOKUP(E:E,'Item Data Support Sheet'!A:O,2,0),"")</f>
        <v/>
      </c>
    </row>
    <row r="1723" customFormat="false" ht="13.8" hidden="false" customHeight="false" outlineLevel="0" collapsed="false">
      <c r="H1723" s="139" t="str">
        <f aca="false">IFERROR(VLOOKUP(E:E,'Item Data Support Sheet'!A:O,2,0),"")</f>
        <v/>
      </c>
    </row>
    <row r="1724" customFormat="false" ht="13.8" hidden="false" customHeight="false" outlineLevel="0" collapsed="false">
      <c r="H1724" s="139" t="str">
        <f aca="false">IFERROR(VLOOKUP(E:E,'Item Data Support Sheet'!A:O,2,0),"")</f>
        <v/>
      </c>
    </row>
    <row r="1725" customFormat="false" ht="13.8" hidden="false" customHeight="false" outlineLevel="0" collapsed="false">
      <c r="H1725" s="139" t="str">
        <f aca="false">IFERROR(VLOOKUP(E:E,'Item Data Support Sheet'!A:O,2,0),"")</f>
        <v/>
      </c>
    </row>
    <row r="1726" customFormat="false" ht="13.8" hidden="false" customHeight="false" outlineLevel="0" collapsed="false">
      <c r="H1726" s="139" t="str">
        <f aca="false">IFERROR(VLOOKUP(E:E,'Item Data Support Sheet'!A:O,2,0),"")</f>
        <v/>
      </c>
    </row>
    <row r="1727" customFormat="false" ht="13.8" hidden="false" customHeight="false" outlineLevel="0" collapsed="false">
      <c r="H1727" s="139" t="str">
        <f aca="false">IFERROR(VLOOKUP(E:E,'Item Data Support Sheet'!A:O,2,0),"")</f>
        <v/>
      </c>
    </row>
    <row r="1728" customFormat="false" ht="13.8" hidden="false" customHeight="false" outlineLevel="0" collapsed="false">
      <c r="H1728" s="139" t="str">
        <f aca="false">IFERROR(VLOOKUP(E:E,'Item Data Support Sheet'!A:O,2,0),"")</f>
        <v/>
      </c>
    </row>
    <row r="1729" customFormat="false" ht="13.8" hidden="false" customHeight="false" outlineLevel="0" collapsed="false">
      <c r="H1729" s="139" t="str">
        <f aca="false">IFERROR(VLOOKUP(E:E,'Item Data Support Sheet'!A:O,2,0),"")</f>
        <v/>
      </c>
    </row>
    <row r="1730" customFormat="false" ht="13.8" hidden="false" customHeight="false" outlineLevel="0" collapsed="false">
      <c r="H1730" s="139" t="str">
        <f aca="false">IFERROR(VLOOKUP(E:E,'Item Data Support Sheet'!A:O,2,0),"")</f>
        <v/>
      </c>
    </row>
    <row r="1731" customFormat="false" ht="13.8" hidden="false" customHeight="false" outlineLevel="0" collapsed="false">
      <c r="H1731" s="139" t="str">
        <f aca="false">IFERROR(VLOOKUP(E:E,'Item Data Support Sheet'!A:O,2,0),"")</f>
        <v/>
      </c>
    </row>
    <row r="1732" customFormat="false" ht="13.8" hidden="false" customHeight="false" outlineLevel="0" collapsed="false">
      <c r="H1732" s="139" t="str">
        <f aca="false">IFERROR(VLOOKUP(E:E,'Item Data Support Sheet'!A:O,2,0),"")</f>
        <v/>
      </c>
    </row>
    <row r="1733" customFormat="false" ht="13.8" hidden="false" customHeight="false" outlineLevel="0" collapsed="false">
      <c r="H1733" s="139" t="str">
        <f aca="false">IFERROR(VLOOKUP(E:E,'Item Data Support Sheet'!A:O,2,0),"")</f>
        <v/>
      </c>
    </row>
    <row r="1734" customFormat="false" ht="13.8" hidden="false" customHeight="false" outlineLevel="0" collapsed="false">
      <c r="H1734" s="139" t="str">
        <f aca="false">IFERROR(VLOOKUP(E:E,'Item Data Support Sheet'!A:O,2,0),"")</f>
        <v/>
      </c>
    </row>
    <row r="1735" customFormat="false" ht="13.8" hidden="false" customHeight="false" outlineLevel="0" collapsed="false">
      <c r="H1735" s="139" t="str">
        <f aca="false">IFERROR(VLOOKUP(E:E,'Item Data Support Sheet'!A:O,2,0),"")</f>
        <v/>
      </c>
    </row>
    <row r="1736" customFormat="false" ht="13.8" hidden="false" customHeight="false" outlineLevel="0" collapsed="false">
      <c r="H1736" s="139" t="str">
        <f aca="false">IFERROR(VLOOKUP(E:E,'Item Data Support Sheet'!A:O,2,0),"")</f>
        <v/>
      </c>
    </row>
    <row r="1737" customFormat="false" ht="13.8" hidden="false" customHeight="false" outlineLevel="0" collapsed="false">
      <c r="H1737" s="139" t="str">
        <f aca="false">IFERROR(VLOOKUP(E:E,'Item Data Support Sheet'!A:O,2,0),"")</f>
        <v/>
      </c>
    </row>
    <row r="1738" customFormat="false" ht="13.8" hidden="false" customHeight="false" outlineLevel="0" collapsed="false">
      <c r="H1738" s="139" t="str">
        <f aca="false">IFERROR(VLOOKUP(E:E,'Item Data Support Sheet'!A:O,2,0),"")</f>
        <v/>
      </c>
    </row>
    <row r="1739" customFormat="false" ht="13.8" hidden="false" customHeight="false" outlineLevel="0" collapsed="false">
      <c r="H1739" s="139" t="str">
        <f aca="false">IFERROR(VLOOKUP(E:E,'Item Data Support Sheet'!A:O,2,0),"")</f>
        <v/>
      </c>
    </row>
    <row r="1740" customFormat="false" ht="13.8" hidden="false" customHeight="false" outlineLevel="0" collapsed="false">
      <c r="H1740" s="139" t="str">
        <f aca="false">IFERROR(VLOOKUP(E:E,'Item Data Support Sheet'!A:O,2,0),"")</f>
        <v/>
      </c>
    </row>
    <row r="1741" customFormat="false" ht="13.8" hidden="false" customHeight="false" outlineLevel="0" collapsed="false">
      <c r="H1741" s="139" t="str">
        <f aca="false">IFERROR(VLOOKUP(E:E,'Item Data Support Sheet'!A:O,2,0),"")</f>
        <v/>
      </c>
    </row>
    <row r="1742" customFormat="false" ht="13.8" hidden="false" customHeight="false" outlineLevel="0" collapsed="false">
      <c r="H1742" s="139" t="str">
        <f aca="false">IFERROR(VLOOKUP(E:E,'Item Data Support Sheet'!A:O,2,0),"")</f>
        <v/>
      </c>
    </row>
    <row r="1743" customFormat="false" ht="13.8" hidden="false" customHeight="false" outlineLevel="0" collapsed="false">
      <c r="H1743" s="139" t="str">
        <f aca="false">IFERROR(VLOOKUP(E:E,'Item Data Support Sheet'!A:O,2,0),"")</f>
        <v/>
      </c>
    </row>
    <row r="1744" customFormat="false" ht="13.8" hidden="false" customHeight="false" outlineLevel="0" collapsed="false">
      <c r="H1744" s="139" t="str">
        <f aca="false">IFERROR(VLOOKUP(E:E,'Item Data Support Sheet'!A:O,2,0),"")</f>
        <v/>
      </c>
    </row>
    <row r="1745" customFormat="false" ht="13.8" hidden="false" customHeight="false" outlineLevel="0" collapsed="false">
      <c r="H1745" s="139" t="str">
        <f aca="false">IFERROR(VLOOKUP(E:E,'Item Data Support Sheet'!A:O,2,0),"")</f>
        <v/>
      </c>
    </row>
    <row r="1746" customFormat="false" ht="13.8" hidden="false" customHeight="false" outlineLevel="0" collapsed="false">
      <c r="H1746" s="139" t="str">
        <f aca="false">IFERROR(VLOOKUP(E:E,'Item Data Support Sheet'!A:O,2,0),"")</f>
        <v/>
      </c>
    </row>
    <row r="1747" customFormat="false" ht="13.8" hidden="false" customHeight="false" outlineLevel="0" collapsed="false">
      <c r="H1747" s="139" t="str">
        <f aca="false">IFERROR(VLOOKUP(E:E,'Item Data Support Sheet'!A:O,2,0),"")</f>
        <v/>
      </c>
    </row>
    <row r="1748" customFormat="false" ht="13.8" hidden="false" customHeight="false" outlineLevel="0" collapsed="false">
      <c r="H1748" s="139" t="str">
        <f aca="false">IFERROR(VLOOKUP(E:E,'Item Data Support Sheet'!A:O,2,0),"")</f>
        <v/>
      </c>
    </row>
    <row r="1749" customFormat="false" ht="13.8" hidden="false" customHeight="false" outlineLevel="0" collapsed="false">
      <c r="H1749" s="139" t="str">
        <f aca="false">IFERROR(VLOOKUP(E:E,'Item Data Support Sheet'!A:O,2,0),"")</f>
        <v/>
      </c>
    </row>
    <row r="1750" customFormat="false" ht="13.8" hidden="false" customHeight="false" outlineLevel="0" collapsed="false">
      <c r="H1750" s="139" t="str">
        <f aca="false">IFERROR(VLOOKUP(E:E,'Item Data Support Sheet'!A:O,2,0),"")</f>
        <v/>
      </c>
    </row>
    <row r="1751" customFormat="false" ht="13.8" hidden="false" customHeight="false" outlineLevel="0" collapsed="false">
      <c r="H1751" s="139" t="str">
        <f aca="false">IFERROR(VLOOKUP(E:E,'Item Data Support Sheet'!A:O,2,0),"")</f>
        <v/>
      </c>
    </row>
    <row r="1752" customFormat="false" ht="13.8" hidden="false" customHeight="false" outlineLevel="0" collapsed="false">
      <c r="H1752" s="139" t="str">
        <f aca="false">IFERROR(VLOOKUP(E:E,'Item Data Support Sheet'!A:O,2,0),"")</f>
        <v/>
      </c>
    </row>
    <row r="1753" customFormat="false" ht="13.8" hidden="false" customHeight="false" outlineLevel="0" collapsed="false">
      <c r="H1753" s="139" t="str">
        <f aca="false">IFERROR(VLOOKUP(E:E,'Item Data Support Sheet'!A:O,2,0),"")</f>
        <v/>
      </c>
    </row>
    <row r="1754" customFormat="false" ht="13.8" hidden="false" customHeight="false" outlineLevel="0" collapsed="false">
      <c r="H1754" s="139" t="str">
        <f aca="false">IFERROR(VLOOKUP(E:E,'Item Data Support Sheet'!A:O,2,0),"")</f>
        <v/>
      </c>
    </row>
    <row r="1755" customFormat="false" ht="13.8" hidden="false" customHeight="false" outlineLevel="0" collapsed="false">
      <c r="H1755" s="139" t="str">
        <f aca="false">IFERROR(VLOOKUP(E:E,'Item Data Support Sheet'!A:O,2,0),"")</f>
        <v/>
      </c>
    </row>
    <row r="1756" customFormat="false" ht="13.8" hidden="false" customHeight="false" outlineLevel="0" collapsed="false">
      <c r="H1756" s="139" t="str">
        <f aca="false">IFERROR(VLOOKUP(E:E,'Item Data Support Sheet'!A:O,2,0),"")</f>
        <v/>
      </c>
    </row>
    <row r="1757" customFormat="false" ht="13.8" hidden="false" customHeight="false" outlineLevel="0" collapsed="false">
      <c r="H1757" s="139" t="str">
        <f aca="false">IFERROR(VLOOKUP(E:E,'Item Data Support Sheet'!A:O,2,0),"")</f>
        <v/>
      </c>
    </row>
    <row r="1758" customFormat="false" ht="13.8" hidden="false" customHeight="false" outlineLevel="0" collapsed="false">
      <c r="H1758" s="139" t="str">
        <f aca="false">IFERROR(VLOOKUP(E:E,'Item Data Support Sheet'!A:O,2,0),"")</f>
        <v/>
      </c>
    </row>
    <row r="1759" customFormat="false" ht="13.8" hidden="false" customHeight="false" outlineLevel="0" collapsed="false">
      <c r="H1759" s="139" t="str">
        <f aca="false">IFERROR(VLOOKUP(E:E,'Item Data Support Sheet'!A:O,2,0),"")</f>
        <v/>
      </c>
    </row>
    <row r="1760" customFormat="false" ht="13.8" hidden="false" customHeight="false" outlineLevel="0" collapsed="false">
      <c r="H1760" s="139" t="str">
        <f aca="false">IFERROR(VLOOKUP(E:E,'Item Data Support Sheet'!A:O,2,0),"")</f>
        <v/>
      </c>
    </row>
    <row r="1761" customFormat="false" ht="13.8" hidden="false" customHeight="false" outlineLevel="0" collapsed="false">
      <c r="H1761" s="139" t="str">
        <f aca="false">IFERROR(VLOOKUP(E:E,'Item Data Support Sheet'!A:O,2,0),"")</f>
        <v/>
      </c>
    </row>
    <row r="1762" customFormat="false" ht="13.8" hidden="false" customHeight="false" outlineLevel="0" collapsed="false">
      <c r="H1762" s="139" t="str">
        <f aca="false">IFERROR(VLOOKUP(E:E,'Item Data Support Sheet'!A:O,2,0),"")</f>
        <v/>
      </c>
    </row>
    <row r="1763" customFormat="false" ht="13.8" hidden="false" customHeight="false" outlineLevel="0" collapsed="false">
      <c r="H1763" s="139" t="str">
        <f aca="false">IFERROR(VLOOKUP(E:E,'Item Data Support Sheet'!A:O,2,0),"")</f>
        <v/>
      </c>
    </row>
    <row r="1764" customFormat="false" ht="13.8" hidden="false" customHeight="false" outlineLevel="0" collapsed="false">
      <c r="H1764" s="139" t="str">
        <f aca="false">IFERROR(VLOOKUP(E:E,'Item Data Support Sheet'!A:O,2,0),"")</f>
        <v/>
      </c>
    </row>
    <row r="1765" customFormat="false" ht="13.8" hidden="false" customHeight="false" outlineLevel="0" collapsed="false">
      <c r="H1765" s="139" t="str">
        <f aca="false">IFERROR(VLOOKUP(E:E,'Item Data Support Sheet'!A:O,2,0),"")</f>
        <v/>
      </c>
    </row>
    <row r="1766" customFormat="false" ht="13.8" hidden="false" customHeight="false" outlineLevel="0" collapsed="false">
      <c r="H1766" s="139" t="str">
        <f aca="false">IFERROR(VLOOKUP(E:E,'Item Data Support Sheet'!A:O,2,0),"")</f>
        <v/>
      </c>
    </row>
    <row r="1767" customFormat="false" ht="13.8" hidden="false" customHeight="false" outlineLevel="0" collapsed="false">
      <c r="H1767" s="139" t="str">
        <f aca="false">IFERROR(VLOOKUP(E:E,'Item Data Support Sheet'!A:O,2,0),"")</f>
        <v/>
      </c>
    </row>
    <row r="1768" customFormat="false" ht="13.8" hidden="false" customHeight="false" outlineLevel="0" collapsed="false">
      <c r="H1768" s="139" t="str">
        <f aca="false">IFERROR(VLOOKUP(E:E,'Item Data Support Sheet'!A:O,2,0),"")</f>
        <v/>
      </c>
    </row>
    <row r="1769" customFormat="false" ht="13.8" hidden="false" customHeight="false" outlineLevel="0" collapsed="false">
      <c r="H1769" s="139" t="str">
        <f aca="false">IFERROR(VLOOKUP(E:E,'Item Data Support Sheet'!A:O,2,0),"")</f>
        <v/>
      </c>
    </row>
    <row r="1770" customFormat="false" ht="13.8" hidden="false" customHeight="false" outlineLevel="0" collapsed="false">
      <c r="H1770" s="139" t="str">
        <f aca="false">IFERROR(VLOOKUP(E:E,'Item Data Support Sheet'!A:O,2,0),"")</f>
        <v/>
      </c>
    </row>
    <row r="1771" customFormat="false" ht="13.8" hidden="false" customHeight="false" outlineLevel="0" collapsed="false">
      <c r="H1771" s="139" t="str">
        <f aca="false">IFERROR(VLOOKUP(E:E,'Item Data Support Sheet'!A:O,2,0),"")</f>
        <v/>
      </c>
    </row>
    <row r="1772" customFormat="false" ht="13.8" hidden="false" customHeight="false" outlineLevel="0" collapsed="false">
      <c r="H1772" s="139" t="str">
        <f aca="false">IFERROR(VLOOKUP(E:E,'Item Data Support Sheet'!A:O,2,0),"")</f>
        <v/>
      </c>
    </row>
    <row r="1773" customFormat="false" ht="13.8" hidden="false" customHeight="false" outlineLevel="0" collapsed="false">
      <c r="H1773" s="139" t="str">
        <f aca="false">IFERROR(VLOOKUP(E:E,'Item Data Support Sheet'!A:O,2,0),"")</f>
        <v/>
      </c>
    </row>
    <row r="1774" customFormat="false" ht="13.8" hidden="false" customHeight="false" outlineLevel="0" collapsed="false">
      <c r="H1774" s="139" t="str">
        <f aca="false">IFERROR(VLOOKUP(E:E,'Item Data Support Sheet'!A:O,2,0),"")</f>
        <v/>
      </c>
    </row>
    <row r="1775" customFormat="false" ht="13.8" hidden="false" customHeight="false" outlineLevel="0" collapsed="false">
      <c r="H1775" s="139" t="str">
        <f aca="false">IFERROR(VLOOKUP(E:E,'Item Data Support Sheet'!A:O,2,0),"")</f>
        <v/>
      </c>
    </row>
    <row r="1776" customFormat="false" ht="13.8" hidden="false" customHeight="false" outlineLevel="0" collapsed="false">
      <c r="H1776" s="139" t="str">
        <f aca="false">IFERROR(VLOOKUP(E:E,'Item Data Support Sheet'!A:O,2,0),"")</f>
        <v/>
      </c>
    </row>
    <row r="1777" customFormat="false" ht="13.8" hidden="false" customHeight="false" outlineLevel="0" collapsed="false">
      <c r="H1777" s="139" t="str">
        <f aca="false">IFERROR(VLOOKUP(E:E,'Item Data Support Sheet'!A:O,2,0),"")</f>
        <v/>
      </c>
    </row>
    <row r="1778" customFormat="false" ht="13.8" hidden="false" customHeight="false" outlineLevel="0" collapsed="false">
      <c r="H1778" s="139" t="str">
        <f aca="false">IFERROR(VLOOKUP(E:E,'Item Data Support Sheet'!A:O,2,0),"")</f>
        <v/>
      </c>
    </row>
    <row r="1779" customFormat="false" ht="13.8" hidden="false" customHeight="false" outlineLevel="0" collapsed="false">
      <c r="H1779" s="139" t="str">
        <f aca="false">IFERROR(VLOOKUP(E:E,'Item Data Support Sheet'!A:O,2,0),"")</f>
        <v/>
      </c>
    </row>
    <row r="1780" customFormat="false" ht="13.8" hidden="false" customHeight="false" outlineLevel="0" collapsed="false">
      <c r="H1780" s="139" t="str">
        <f aca="false">IFERROR(VLOOKUP(E:E,'Item Data Support Sheet'!A:O,2,0),"")</f>
        <v/>
      </c>
    </row>
    <row r="1781" customFormat="false" ht="13.8" hidden="false" customHeight="false" outlineLevel="0" collapsed="false">
      <c r="H1781" s="139" t="str">
        <f aca="false">IFERROR(VLOOKUP(E:E,'Item Data Support Sheet'!A:O,2,0),"")</f>
        <v/>
      </c>
    </row>
    <row r="1782" customFormat="false" ht="13.8" hidden="false" customHeight="false" outlineLevel="0" collapsed="false">
      <c r="H1782" s="139" t="str">
        <f aca="false">IFERROR(VLOOKUP(E:E,'Item Data Support Sheet'!A:O,2,0),"")</f>
        <v/>
      </c>
    </row>
    <row r="1783" customFormat="false" ht="13.8" hidden="false" customHeight="false" outlineLevel="0" collapsed="false">
      <c r="H1783" s="139" t="str">
        <f aca="false">IFERROR(VLOOKUP(E:E,'Item Data Support Sheet'!A:O,2,0),"")</f>
        <v/>
      </c>
    </row>
    <row r="1784" customFormat="false" ht="13.8" hidden="false" customHeight="false" outlineLevel="0" collapsed="false">
      <c r="H1784" s="139" t="str">
        <f aca="false">IFERROR(VLOOKUP(E:E,'Item Data Support Sheet'!A:O,2,0),"")</f>
        <v/>
      </c>
    </row>
    <row r="1785" customFormat="false" ht="13.8" hidden="false" customHeight="false" outlineLevel="0" collapsed="false">
      <c r="H1785" s="139" t="str">
        <f aca="false">IFERROR(VLOOKUP(E:E,'Item Data Support Sheet'!A:O,2,0),"")</f>
        <v/>
      </c>
    </row>
    <row r="1786" customFormat="false" ht="13.8" hidden="false" customHeight="false" outlineLevel="0" collapsed="false">
      <c r="H1786" s="139" t="str">
        <f aca="false">IFERROR(VLOOKUP(E:E,'Item Data Support Sheet'!A:O,2,0),"")</f>
        <v/>
      </c>
    </row>
    <row r="1787" customFormat="false" ht="13.8" hidden="false" customHeight="false" outlineLevel="0" collapsed="false">
      <c r="H1787" s="139" t="str">
        <f aca="false">IFERROR(VLOOKUP(E:E,'Item Data Support Sheet'!A:O,2,0),"")</f>
        <v/>
      </c>
    </row>
    <row r="1788" customFormat="false" ht="13.8" hidden="false" customHeight="false" outlineLevel="0" collapsed="false">
      <c r="H1788" s="139" t="str">
        <f aca="false">IFERROR(VLOOKUP(E:E,'Item Data Support Sheet'!A:O,2,0),"")</f>
        <v/>
      </c>
    </row>
    <row r="1789" customFormat="false" ht="13.8" hidden="false" customHeight="false" outlineLevel="0" collapsed="false">
      <c r="H1789" s="139" t="str">
        <f aca="false">IFERROR(VLOOKUP(E:E,'Item Data Support Sheet'!A:O,2,0),"")</f>
        <v/>
      </c>
    </row>
    <row r="1790" customFormat="false" ht="13.8" hidden="false" customHeight="false" outlineLevel="0" collapsed="false">
      <c r="H1790" s="139" t="str">
        <f aca="false">IFERROR(VLOOKUP(E:E,'Item Data Support Sheet'!A:O,2,0),"")</f>
        <v/>
      </c>
    </row>
    <row r="1791" customFormat="false" ht="13.8" hidden="false" customHeight="false" outlineLevel="0" collapsed="false">
      <c r="H1791" s="139" t="str">
        <f aca="false">IFERROR(VLOOKUP(E:E,'Item Data Support Sheet'!A:O,2,0),"")</f>
        <v/>
      </c>
    </row>
    <row r="1792" customFormat="false" ht="13.8" hidden="false" customHeight="false" outlineLevel="0" collapsed="false">
      <c r="H1792" s="139" t="str">
        <f aca="false">IFERROR(VLOOKUP(E:E,'Item Data Support Sheet'!A:O,2,0),"")</f>
        <v/>
      </c>
    </row>
    <row r="1793" customFormat="false" ht="13.8" hidden="false" customHeight="false" outlineLevel="0" collapsed="false">
      <c r="H1793" s="139" t="str">
        <f aca="false">IFERROR(VLOOKUP(E:E,'Item Data Support Sheet'!A:O,2,0),"")</f>
        <v/>
      </c>
    </row>
    <row r="1794" customFormat="false" ht="13.8" hidden="false" customHeight="false" outlineLevel="0" collapsed="false">
      <c r="H1794" s="139" t="str">
        <f aca="false">IFERROR(VLOOKUP(E:E,'Item Data Support Sheet'!A:O,2,0),"")</f>
        <v/>
      </c>
    </row>
    <row r="1795" customFormat="false" ht="13.8" hidden="false" customHeight="false" outlineLevel="0" collapsed="false">
      <c r="H1795" s="139" t="str">
        <f aca="false">IFERROR(VLOOKUP(E:E,'Item Data Support Sheet'!A:O,2,0),"")</f>
        <v/>
      </c>
    </row>
    <row r="1796" customFormat="false" ht="13.8" hidden="false" customHeight="false" outlineLevel="0" collapsed="false">
      <c r="H1796" s="139" t="str">
        <f aca="false">IFERROR(VLOOKUP(E:E,'Item Data Support Sheet'!A:O,2,0),"")</f>
        <v/>
      </c>
    </row>
    <row r="1797" customFormat="false" ht="13.8" hidden="false" customHeight="false" outlineLevel="0" collapsed="false">
      <c r="H1797" s="139" t="str">
        <f aca="false">IFERROR(VLOOKUP(E:E,'Item Data Support Sheet'!A:O,2,0),"")</f>
        <v/>
      </c>
    </row>
    <row r="1798" customFormat="false" ht="13.8" hidden="false" customHeight="false" outlineLevel="0" collapsed="false">
      <c r="H1798" s="139" t="str">
        <f aca="false">IFERROR(VLOOKUP(E:E,'Item Data Support Sheet'!A:O,2,0),"")</f>
        <v/>
      </c>
    </row>
    <row r="1799" customFormat="false" ht="13.8" hidden="false" customHeight="false" outlineLevel="0" collapsed="false">
      <c r="H1799" s="139" t="str">
        <f aca="false">IFERROR(VLOOKUP(E:E,'Item Data Support Sheet'!A:O,2,0),"")</f>
        <v/>
      </c>
    </row>
    <row r="1800" customFormat="false" ht="13.8" hidden="false" customHeight="false" outlineLevel="0" collapsed="false">
      <c r="H1800" s="139" t="str">
        <f aca="false">IFERROR(VLOOKUP(E:E,'Item Data Support Sheet'!A:O,2,0),"")</f>
        <v/>
      </c>
    </row>
    <row r="1801" customFormat="false" ht="13.8" hidden="false" customHeight="false" outlineLevel="0" collapsed="false">
      <c r="H1801" s="139" t="str">
        <f aca="false">IFERROR(VLOOKUP(E:E,'Item Data Support Sheet'!A:O,2,0),"")</f>
        <v/>
      </c>
    </row>
    <row r="1802" customFormat="false" ht="13.8" hidden="false" customHeight="false" outlineLevel="0" collapsed="false">
      <c r="H1802" s="139" t="str">
        <f aca="false">IFERROR(VLOOKUP(E:E,'Item Data Support Sheet'!A:O,2,0),"")</f>
        <v/>
      </c>
    </row>
    <row r="1803" customFormat="false" ht="13.8" hidden="false" customHeight="false" outlineLevel="0" collapsed="false">
      <c r="H1803" s="139" t="str">
        <f aca="false">IFERROR(VLOOKUP(E:E,'Item Data Support Sheet'!A:O,2,0),"")</f>
        <v/>
      </c>
    </row>
    <row r="1804" customFormat="false" ht="13.8" hidden="false" customHeight="false" outlineLevel="0" collapsed="false">
      <c r="H1804" s="139" t="str">
        <f aca="false">IFERROR(VLOOKUP(E:E,'Item Data Support Sheet'!A:O,2,0),"")</f>
        <v/>
      </c>
    </row>
    <row r="1805" customFormat="false" ht="13.8" hidden="false" customHeight="false" outlineLevel="0" collapsed="false">
      <c r="H1805" s="139" t="str">
        <f aca="false">IFERROR(VLOOKUP(E:E,'Item Data Support Sheet'!A:O,2,0),"")</f>
        <v/>
      </c>
    </row>
    <row r="1806" customFormat="false" ht="13.8" hidden="false" customHeight="false" outlineLevel="0" collapsed="false">
      <c r="H1806" s="139" t="str">
        <f aca="false">IFERROR(VLOOKUP(E:E,'Item Data Support Sheet'!A:O,2,0),"")</f>
        <v/>
      </c>
    </row>
    <row r="1807" customFormat="false" ht="13.8" hidden="false" customHeight="false" outlineLevel="0" collapsed="false">
      <c r="H1807" s="139" t="str">
        <f aca="false">IFERROR(VLOOKUP(E:E,'Item Data Support Sheet'!A:O,2,0),"")</f>
        <v/>
      </c>
    </row>
    <row r="1808" customFormat="false" ht="13.8" hidden="false" customHeight="false" outlineLevel="0" collapsed="false">
      <c r="H1808" s="139" t="str">
        <f aca="false">IFERROR(VLOOKUP(E:E,'Item Data Support Sheet'!A:O,2,0),"")</f>
        <v/>
      </c>
    </row>
    <row r="1809" customFormat="false" ht="13.8" hidden="false" customHeight="false" outlineLevel="0" collapsed="false">
      <c r="H1809" s="139" t="str">
        <f aca="false">IFERROR(VLOOKUP(E:E,'Item Data Support Sheet'!A:O,2,0),"")</f>
        <v/>
      </c>
    </row>
    <row r="1810" customFormat="false" ht="13.8" hidden="false" customHeight="false" outlineLevel="0" collapsed="false">
      <c r="H1810" s="139" t="str">
        <f aca="false">IFERROR(VLOOKUP(E:E,'Item Data Support Sheet'!A:O,2,0),"")</f>
        <v/>
      </c>
    </row>
    <row r="1811" customFormat="false" ht="13.8" hidden="false" customHeight="false" outlineLevel="0" collapsed="false">
      <c r="H1811" s="139" t="str">
        <f aca="false">IFERROR(VLOOKUP(E:E,'Item Data Support Sheet'!A:O,2,0),"")</f>
        <v/>
      </c>
    </row>
    <row r="1812" customFormat="false" ht="13.8" hidden="false" customHeight="false" outlineLevel="0" collapsed="false">
      <c r="H1812" s="139" t="str">
        <f aca="false">IFERROR(VLOOKUP(E:E,'Item Data Support Sheet'!A:O,2,0),"")</f>
        <v/>
      </c>
    </row>
    <row r="1813" customFormat="false" ht="13.8" hidden="false" customHeight="false" outlineLevel="0" collapsed="false">
      <c r="H1813" s="139" t="str">
        <f aca="false">IFERROR(VLOOKUP(E:E,'Item Data Support Sheet'!A:O,2,0),"")</f>
        <v/>
      </c>
    </row>
    <row r="1814" customFormat="false" ht="13.8" hidden="false" customHeight="false" outlineLevel="0" collapsed="false">
      <c r="H1814" s="139" t="str">
        <f aca="false">IFERROR(VLOOKUP(E:E,'Item Data Support Sheet'!A:O,2,0),"")</f>
        <v/>
      </c>
    </row>
    <row r="1815" customFormat="false" ht="13.8" hidden="false" customHeight="false" outlineLevel="0" collapsed="false">
      <c r="H1815" s="139" t="str">
        <f aca="false">IFERROR(VLOOKUP(E:E,'Item Data Support Sheet'!A:O,2,0),"")</f>
        <v/>
      </c>
    </row>
    <row r="1816" customFormat="false" ht="13.8" hidden="false" customHeight="false" outlineLevel="0" collapsed="false">
      <c r="H1816" s="139" t="str">
        <f aca="false">IFERROR(VLOOKUP(E:E,'Item Data Support Sheet'!A:O,2,0),"")</f>
        <v/>
      </c>
    </row>
    <row r="1817" customFormat="false" ht="13.8" hidden="false" customHeight="false" outlineLevel="0" collapsed="false">
      <c r="H1817" s="139" t="str">
        <f aca="false">IFERROR(VLOOKUP(E:E,'Item Data Support Sheet'!A:O,2,0),"")</f>
        <v/>
      </c>
    </row>
    <row r="1818" customFormat="false" ht="13.8" hidden="false" customHeight="false" outlineLevel="0" collapsed="false">
      <c r="H1818" s="139" t="str">
        <f aca="false">IFERROR(VLOOKUP(E:E,'Item Data Support Sheet'!A:O,2,0),"")</f>
        <v/>
      </c>
    </row>
    <row r="1819" customFormat="false" ht="13.8" hidden="false" customHeight="false" outlineLevel="0" collapsed="false">
      <c r="H1819" s="139" t="str">
        <f aca="false">IFERROR(VLOOKUP(E:E,'Item Data Support Sheet'!A:O,2,0),"")</f>
        <v/>
      </c>
    </row>
    <row r="1820" customFormat="false" ht="13.8" hidden="false" customHeight="false" outlineLevel="0" collapsed="false">
      <c r="H1820" s="139" t="str">
        <f aca="false">IFERROR(VLOOKUP(E:E,'Item Data Support Sheet'!A:O,2,0),"")</f>
        <v/>
      </c>
    </row>
    <row r="1821" customFormat="false" ht="13.8" hidden="false" customHeight="false" outlineLevel="0" collapsed="false">
      <c r="H1821" s="139" t="str">
        <f aca="false">IFERROR(VLOOKUP(E:E,'Item Data Support Sheet'!A:O,2,0),"")</f>
        <v/>
      </c>
    </row>
    <row r="1822" customFormat="false" ht="13.8" hidden="false" customHeight="false" outlineLevel="0" collapsed="false">
      <c r="H1822" s="139" t="str">
        <f aca="false">IFERROR(VLOOKUP(E:E,'Item Data Support Sheet'!A:O,2,0),"")</f>
        <v/>
      </c>
    </row>
    <row r="1823" customFormat="false" ht="13.8" hidden="false" customHeight="false" outlineLevel="0" collapsed="false">
      <c r="H1823" s="139" t="str">
        <f aca="false">IFERROR(VLOOKUP(E:E,'Item Data Support Sheet'!A:O,2,0),"")</f>
        <v/>
      </c>
    </row>
    <row r="1824" customFormat="false" ht="13.8" hidden="false" customHeight="false" outlineLevel="0" collapsed="false">
      <c r="H1824" s="139" t="str">
        <f aca="false">IFERROR(VLOOKUP(E:E,'Item Data Support Sheet'!A:O,2,0),"")</f>
        <v/>
      </c>
    </row>
    <row r="1825" customFormat="false" ht="13.8" hidden="false" customHeight="false" outlineLevel="0" collapsed="false">
      <c r="H1825" s="139" t="str">
        <f aca="false">IFERROR(VLOOKUP(E:E,'Item Data Support Sheet'!A:O,2,0),"")</f>
        <v/>
      </c>
    </row>
    <row r="1826" customFormat="false" ht="13.8" hidden="false" customHeight="false" outlineLevel="0" collapsed="false">
      <c r="H1826" s="139" t="str">
        <f aca="false">IFERROR(VLOOKUP(E:E,'Item Data Support Sheet'!A:O,2,0),"")</f>
        <v/>
      </c>
    </row>
    <row r="1827" customFormat="false" ht="13.8" hidden="false" customHeight="false" outlineLevel="0" collapsed="false">
      <c r="H1827" s="139" t="str">
        <f aca="false">IFERROR(VLOOKUP(E:E,'Item Data Support Sheet'!A:O,2,0),"")</f>
        <v/>
      </c>
    </row>
    <row r="1828" customFormat="false" ht="13.8" hidden="false" customHeight="false" outlineLevel="0" collapsed="false">
      <c r="H1828" s="139" t="str">
        <f aca="false">IFERROR(VLOOKUP(E:E,'Item Data Support Sheet'!A:O,2,0),"")</f>
        <v/>
      </c>
    </row>
    <row r="1829" customFormat="false" ht="13.8" hidden="false" customHeight="false" outlineLevel="0" collapsed="false">
      <c r="H1829" s="139" t="str">
        <f aca="false">IFERROR(VLOOKUP(E:E,'Item Data Support Sheet'!A:O,2,0),"")</f>
        <v/>
      </c>
    </row>
    <row r="1830" customFormat="false" ht="13.8" hidden="false" customHeight="false" outlineLevel="0" collapsed="false">
      <c r="H1830" s="139" t="str">
        <f aca="false">IFERROR(VLOOKUP(E:E,'Item Data Support Sheet'!A:O,2,0),"")</f>
        <v/>
      </c>
    </row>
    <row r="1831" customFormat="false" ht="13.8" hidden="false" customHeight="false" outlineLevel="0" collapsed="false">
      <c r="H1831" s="139" t="str">
        <f aca="false">IFERROR(VLOOKUP(E:E,'Item Data Support Sheet'!A:O,2,0),"")</f>
        <v/>
      </c>
    </row>
    <row r="1832" customFormat="false" ht="13.8" hidden="false" customHeight="false" outlineLevel="0" collapsed="false">
      <c r="H1832" s="139" t="str">
        <f aca="false">IFERROR(VLOOKUP(E:E,'Item Data Support Sheet'!A:O,2,0),"")</f>
        <v/>
      </c>
    </row>
    <row r="1833" customFormat="false" ht="13.8" hidden="false" customHeight="false" outlineLevel="0" collapsed="false">
      <c r="H1833" s="139" t="str">
        <f aca="false">IFERROR(VLOOKUP(E:E,'Item Data Support Sheet'!A:O,2,0),"")</f>
        <v/>
      </c>
    </row>
    <row r="1834" customFormat="false" ht="13.8" hidden="false" customHeight="false" outlineLevel="0" collapsed="false">
      <c r="H1834" s="139" t="str">
        <f aca="false">IFERROR(VLOOKUP(E:E,'Item Data Support Sheet'!A:O,2,0),"")</f>
        <v/>
      </c>
    </row>
    <row r="1835" customFormat="false" ht="13.8" hidden="false" customHeight="false" outlineLevel="0" collapsed="false">
      <c r="H1835" s="139" t="str">
        <f aca="false">IFERROR(VLOOKUP(E:E,'Item Data Support Sheet'!A:O,2,0),"")</f>
        <v/>
      </c>
    </row>
    <row r="1836" customFormat="false" ht="13.8" hidden="false" customHeight="false" outlineLevel="0" collapsed="false">
      <c r="H1836" s="139" t="str">
        <f aca="false">IFERROR(VLOOKUP(E:E,'Item Data Support Sheet'!A:O,2,0),"")</f>
        <v/>
      </c>
    </row>
    <row r="1837" customFormat="false" ht="13.8" hidden="false" customHeight="false" outlineLevel="0" collapsed="false">
      <c r="H1837" s="139" t="str">
        <f aca="false">IFERROR(VLOOKUP(E:E,'Item Data Support Sheet'!A:O,2,0),"")</f>
        <v/>
      </c>
    </row>
    <row r="1838" customFormat="false" ht="13.8" hidden="false" customHeight="false" outlineLevel="0" collapsed="false">
      <c r="H1838" s="139" t="str">
        <f aca="false">IFERROR(VLOOKUP(E:E,'Item Data Support Sheet'!A:O,2,0),"")</f>
        <v/>
      </c>
    </row>
    <row r="1839" customFormat="false" ht="13.8" hidden="false" customHeight="false" outlineLevel="0" collapsed="false">
      <c r="H1839" s="139" t="str">
        <f aca="false">IFERROR(VLOOKUP(E:E,'Item Data Support Sheet'!A:O,2,0),"")</f>
        <v/>
      </c>
    </row>
    <row r="1840" customFormat="false" ht="13.8" hidden="false" customHeight="false" outlineLevel="0" collapsed="false">
      <c r="H1840" s="139" t="str">
        <f aca="false">IFERROR(VLOOKUP(E:E,'Item Data Support Sheet'!A:O,2,0),"")</f>
        <v/>
      </c>
    </row>
    <row r="1841" customFormat="false" ht="13.8" hidden="false" customHeight="false" outlineLevel="0" collapsed="false">
      <c r="H1841" s="139" t="str">
        <f aca="false">IFERROR(VLOOKUP(E:E,'Item Data Support Sheet'!A:O,2,0),"")</f>
        <v/>
      </c>
    </row>
    <row r="1842" customFormat="false" ht="13.8" hidden="false" customHeight="false" outlineLevel="0" collapsed="false">
      <c r="H1842" s="139" t="str">
        <f aca="false">IFERROR(VLOOKUP(E:E,'Item Data Support Sheet'!A:O,2,0),"")</f>
        <v/>
      </c>
    </row>
    <row r="1843" customFormat="false" ht="13.8" hidden="false" customHeight="false" outlineLevel="0" collapsed="false">
      <c r="H1843" s="139" t="str">
        <f aca="false">IFERROR(VLOOKUP(E:E,'Item Data Support Sheet'!A:O,2,0),"")</f>
        <v/>
      </c>
    </row>
    <row r="1844" customFormat="false" ht="13.8" hidden="false" customHeight="false" outlineLevel="0" collapsed="false">
      <c r="H1844" s="139" t="str">
        <f aca="false">IFERROR(VLOOKUP(E:E,'Item Data Support Sheet'!A:O,2,0),"")</f>
        <v/>
      </c>
    </row>
    <row r="1845" customFormat="false" ht="13.8" hidden="false" customHeight="false" outlineLevel="0" collapsed="false">
      <c r="H1845" s="139" t="str">
        <f aca="false">IFERROR(VLOOKUP(E:E,'Item Data Support Sheet'!A:O,2,0),"")</f>
        <v/>
      </c>
    </row>
    <row r="1846" customFormat="false" ht="13.8" hidden="false" customHeight="false" outlineLevel="0" collapsed="false">
      <c r="H1846" s="139" t="str">
        <f aca="false">IFERROR(VLOOKUP(E:E,'Item Data Support Sheet'!A:O,2,0),"")</f>
        <v/>
      </c>
    </row>
    <row r="1847" customFormat="false" ht="13.8" hidden="false" customHeight="false" outlineLevel="0" collapsed="false">
      <c r="H1847" s="139" t="str">
        <f aca="false">IFERROR(VLOOKUP(E:E,'Item Data Support Sheet'!A:O,2,0),"")</f>
        <v/>
      </c>
    </row>
    <row r="1848" customFormat="false" ht="13.8" hidden="false" customHeight="false" outlineLevel="0" collapsed="false">
      <c r="H1848" s="139" t="str">
        <f aca="false">IFERROR(VLOOKUP(E:E,'Item Data Support Sheet'!A:O,2,0),"")</f>
        <v/>
      </c>
    </row>
    <row r="1849" customFormat="false" ht="13.8" hidden="false" customHeight="false" outlineLevel="0" collapsed="false">
      <c r="H1849" s="139" t="str">
        <f aca="false">IFERROR(VLOOKUP(E:E,'Item Data Support Sheet'!A:O,2,0),"")</f>
        <v/>
      </c>
    </row>
    <row r="1850" customFormat="false" ht="13.8" hidden="false" customHeight="false" outlineLevel="0" collapsed="false">
      <c r="H1850" s="139" t="str">
        <f aca="false">IFERROR(VLOOKUP(E:E,'Item Data Support Sheet'!A:O,2,0),"")</f>
        <v/>
      </c>
    </row>
    <row r="1851" customFormat="false" ht="13.8" hidden="false" customHeight="false" outlineLevel="0" collapsed="false">
      <c r="H1851" s="139" t="str">
        <f aca="false">IFERROR(VLOOKUP(E:E,'Item Data Support Sheet'!A:O,2,0),"")</f>
        <v/>
      </c>
    </row>
    <row r="1852" customFormat="false" ht="13.8" hidden="false" customHeight="false" outlineLevel="0" collapsed="false">
      <c r="H1852" s="139" t="str">
        <f aca="false">IFERROR(VLOOKUP(E:E,'Item Data Support Sheet'!A:O,2,0),"")</f>
        <v/>
      </c>
    </row>
    <row r="1853" customFormat="false" ht="13.8" hidden="false" customHeight="false" outlineLevel="0" collapsed="false">
      <c r="H1853" s="139" t="str">
        <f aca="false">IFERROR(VLOOKUP(E:E,'Item Data Support Sheet'!A:O,2,0),"")</f>
        <v/>
      </c>
    </row>
    <row r="1854" customFormat="false" ht="13.8" hidden="false" customHeight="false" outlineLevel="0" collapsed="false">
      <c r="H1854" s="139" t="str">
        <f aca="false">IFERROR(VLOOKUP(E:E,'Item Data Support Sheet'!A:O,2,0),"")</f>
        <v/>
      </c>
    </row>
    <row r="1855" customFormat="false" ht="13.8" hidden="false" customHeight="false" outlineLevel="0" collapsed="false">
      <c r="H1855" s="139" t="str">
        <f aca="false">IFERROR(VLOOKUP(E:E,'Item Data Support Sheet'!A:O,2,0),"")</f>
        <v/>
      </c>
    </row>
    <row r="1856" customFormat="false" ht="13.8" hidden="false" customHeight="false" outlineLevel="0" collapsed="false">
      <c r="H1856" s="139" t="str">
        <f aca="false">IFERROR(VLOOKUP(E:E,'Item Data Support Sheet'!A:O,2,0),"")</f>
        <v/>
      </c>
    </row>
    <row r="1857" customFormat="false" ht="13.8" hidden="false" customHeight="false" outlineLevel="0" collapsed="false">
      <c r="H1857" s="139" t="str">
        <f aca="false">IFERROR(VLOOKUP(E:E,'Item Data Support Sheet'!A:O,2,0),"")</f>
        <v/>
      </c>
    </row>
    <row r="1858" customFormat="false" ht="13.8" hidden="false" customHeight="false" outlineLevel="0" collapsed="false">
      <c r="H1858" s="139" t="str">
        <f aca="false">IFERROR(VLOOKUP(E:E,'Item Data Support Sheet'!A:O,2,0),"")</f>
        <v/>
      </c>
    </row>
    <row r="1859" customFormat="false" ht="13.8" hidden="false" customHeight="false" outlineLevel="0" collapsed="false">
      <c r="H1859" s="139" t="str">
        <f aca="false">IFERROR(VLOOKUP(E:E,'Item Data Support Sheet'!A:O,2,0),"")</f>
        <v/>
      </c>
    </row>
    <row r="1860" customFormat="false" ht="13.8" hidden="false" customHeight="false" outlineLevel="0" collapsed="false">
      <c r="H1860" s="139" t="str">
        <f aca="false">IFERROR(VLOOKUP(E:E,'Item Data Support Sheet'!A:O,2,0),"")</f>
        <v/>
      </c>
    </row>
    <row r="1861" customFormat="false" ht="13.8" hidden="false" customHeight="false" outlineLevel="0" collapsed="false">
      <c r="H1861" s="139" t="str">
        <f aca="false">IFERROR(VLOOKUP(E:E,'Item Data Support Sheet'!A:O,2,0),"")</f>
        <v/>
      </c>
    </row>
    <row r="1862" customFormat="false" ht="13.8" hidden="false" customHeight="false" outlineLevel="0" collapsed="false">
      <c r="H1862" s="139" t="s">
        <v>2302</v>
      </c>
    </row>
    <row r="1863" customFormat="false" ht="13.8" hidden="false" customHeight="false" outlineLevel="0" collapsed="false">
      <c r="H1863" s="139" t="s">
        <v>2303</v>
      </c>
    </row>
    <row r="1864" customFormat="false" ht="13.8" hidden="false" customHeight="false" outlineLevel="0" collapsed="false">
      <c r="H1864" s="139" t="s">
        <v>2304</v>
      </c>
    </row>
    <row r="1865" customFormat="false" ht="13.8" hidden="false" customHeight="false" outlineLevel="0" collapsed="false">
      <c r="H1865" s="139" t="s">
        <v>2305</v>
      </c>
    </row>
    <row r="1866" customFormat="false" ht="13.8" hidden="false" customHeight="false" outlineLevel="0" collapsed="false">
      <c r="H1866" s="139" t="s">
        <v>2306</v>
      </c>
    </row>
    <row r="1867" customFormat="false" ht="13.8" hidden="false" customHeight="false" outlineLevel="0" collapsed="false">
      <c r="H1867" s="139" t="s">
        <v>2307</v>
      </c>
    </row>
    <row r="1868" customFormat="false" ht="13.8" hidden="false" customHeight="false" outlineLevel="0" collapsed="false">
      <c r="H1868" s="139" t="s">
        <v>2308</v>
      </c>
    </row>
    <row r="1869" customFormat="false" ht="13.8" hidden="false" customHeight="false" outlineLevel="0" collapsed="false">
      <c r="H1869" s="139" t="s">
        <v>2309</v>
      </c>
    </row>
    <row r="1870" customFormat="false" ht="13.8" hidden="false" customHeight="false" outlineLevel="0" collapsed="false">
      <c r="H1870" s="139" t="s">
        <v>2310</v>
      </c>
    </row>
    <row r="1871" customFormat="false" ht="13.8" hidden="false" customHeight="false" outlineLevel="0" collapsed="false">
      <c r="H1871" s="139" t="s">
        <v>2302</v>
      </c>
    </row>
    <row r="1872" customFormat="false" ht="13.8" hidden="false" customHeight="false" outlineLevel="0" collapsed="false">
      <c r="H1872" s="139" t="s">
        <v>2304</v>
      </c>
    </row>
    <row r="1873" customFormat="false" ht="13.8" hidden="false" customHeight="false" outlineLevel="0" collapsed="false">
      <c r="H1873" s="139" t="s">
        <v>2311</v>
      </c>
    </row>
    <row r="1874" customFormat="false" ht="13.8" hidden="false" customHeight="false" outlineLevel="0" collapsed="false">
      <c r="H1874" s="139" t="s">
        <v>2303</v>
      </c>
    </row>
    <row r="1875" customFormat="false" ht="13.8" hidden="false" customHeight="false" outlineLevel="0" collapsed="false">
      <c r="H1875" s="139" t="s">
        <v>2305</v>
      </c>
    </row>
    <row r="1876" customFormat="false" ht="13.8" hidden="false" customHeight="false" outlineLevel="0" collapsed="false">
      <c r="H1876" s="139" t="s">
        <v>2312</v>
      </c>
    </row>
    <row r="1877" customFormat="false" ht="13.8" hidden="false" customHeight="false" outlineLevel="0" collapsed="false">
      <c r="H1877" s="139" t="s">
        <v>2306</v>
      </c>
    </row>
    <row r="1878" customFormat="false" ht="13.8" hidden="false" customHeight="false" outlineLevel="0" collapsed="false">
      <c r="H1878" s="139" t="s">
        <v>2305</v>
      </c>
    </row>
    <row r="1879" customFormat="false" ht="13.8" hidden="false" customHeight="false" outlineLevel="0" collapsed="false">
      <c r="H1879" s="139" t="s">
        <v>2306</v>
      </c>
    </row>
    <row r="1880" customFormat="false" ht="13.8" hidden="false" customHeight="false" outlineLevel="0" collapsed="false">
      <c r="H1880" s="139" t="s">
        <v>2305</v>
      </c>
    </row>
    <row r="1881" customFormat="false" ht="13.8" hidden="false" customHeight="false" outlineLevel="0" collapsed="false">
      <c r="H1881" s="139" t="s">
        <v>2313</v>
      </c>
    </row>
    <row r="1882" customFormat="false" ht="13.8" hidden="false" customHeight="false" outlineLevel="0" collapsed="false">
      <c r="H1882" s="139" t="s">
        <v>2306</v>
      </c>
    </row>
    <row r="1883" customFormat="false" ht="13.8" hidden="false" customHeight="false" outlineLevel="0" collapsed="false">
      <c r="H1883" s="139" t="s">
        <v>2302</v>
      </c>
    </row>
    <row r="1884" customFormat="false" ht="13.8" hidden="false" customHeight="false" outlineLevel="0" collapsed="false">
      <c r="H1884" s="139" t="s">
        <v>2311</v>
      </c>
    </row>
    <row r="1885" customFormat="false" ht="13.8" hidden="false" customHeight="false" outlineLevel="0" collapsed="false">
      <c r="H1885" s="139" t="s">
        <v>2308</v>
      </c>
    </row>
    <row r="1886" customFormat="false" ht="13.8" hidden="false" customHeight="false" outlineLevel="0" collapsed="false">
      <c r="H1886" s="139" t="s">
        <v>2314</v>
      </c>
    </row>
    <row r="1887" customFormat="false" ht="13.8" hidden="false" customHeight="false" outlineLevel="0" collapsed="false">
      <c r="H1887" s="139" t="s">
        <v>2310</v>
      </c>
    </row>
    <row r="1888" customFormat="false" ht="13.8" hidden="false" customHeight="false" outlineLevel="0" collapsed="false">
      <c r="H1888" s="139" t="s">
        <v>2315</v>
      </c>
    </row>
    <row r="1889" customFormat="false" ht="13.8" hidden="false" customHeight="false" outlineLevel="0" collapsed="false">
      <c r="H1889" s="139" t="s">
        <v>2316</v>
      </c>
    </row>
    <row r="1890" customFormat="false" ht="13.8" hidden="false" customHeight="false" outlineLevel="0" collapsed="false">
      <c r="H1890" s="139" t="s">
        <v>2317</v>
      </c>
    </row>
    <row r="1891" customFormat="false" ht="13.8" hidden="false" customHeight="false" outlineLevel="0" collapsed="false">
      <c r="H1891" s="139" t="s">
        <v>2318</v>
      </c>
    </row>
    <row r="1892" customFormat="false" ht="13.8" hidden="false" customHeight="false" outlineLevel="0" collapsed="false">
      <c r="H1892" s="139" t="s">
        <v>2319</v>
      </c>
    </row>
    <row r="1893" customFormat="false" ht="13.8" hidden="false" customHeight="false" outlineLevel="0" collapsed="false">
      <c r="H1893" s="139" t="s">
        <v>2320</v>
      </c>
    </row>
    <row r="1894" customFormat="false" ht="13.8" hidden="false" customHeight="false" outlineLevel="0" collapsed="false">
      <c r="H1894" s="139" t="s">
        <v>61</v>
      </c>
    </row>
    <row r="1895" customFormat="false" ht="13.8" hidden="false" customHeight="false" outlineLevel="0" collapsed="false">
      <c r="H1895" s="139" t="s">
        <v>2313</v>
      </c>
    </row>
    <row r="1896" customFormat="false" ht="13.8" hidden="false" customHeight="false" outlineLevel="0" collapsed="false">
      <c r="H1896" s="139" t="s">
        <v>2321</v>
      </c>
    </row>
    <row r="1897" customFormat="false" ht="13.8" hidden="false" customHeight="false" outlineLevel="0" collapsed="false">
      <c r="H1897" s="139" t="s">
        <v>2306</v>
      </c>
    </row>
    <row r="1898" customFormat="false" ht="13.8" hidden="false" customHeight="false" outlineLevel="0" collapsed="false">
      <c r="H1898" s="139" t="s">
        <v>2302</v>
      </c>
    </row>
    <row r="1899" customFormat="false" ht="13.8" hidden="false" customHeight="false" outlineLevel="0" collapsed="false">
      <c r="H1899" s="139" t="s">
        <v>2322</v>
      </c>
    </row>
    <row r="1900" customFormat="false" ht="13.8" hidden="false" customHeight="false" outlineLevel="0" collapsed="false">
      <c r="H1900" s="139" t="s">
        <v>2321</v>
      </c>
    </row>
    <row r="1901" customFormat="false" ht="13.8" hidden="false" customHeight="false" outlineLevel="0" collapsed="false">
      <c r="H1901" s="139" t="s">
        <v>2306</v>
      </c>
    </row>
    <row r="1902" customFormat="false" ht="13.8" hidden="false" customHeight="false" outlineLevel="0" collapsed="false">
      <c r="H1902" s="139" t="s">
        <v>2313</v>
      </c>
    </row>
    <row r="1903" customFormat="false" ht="13.8" hidden="false" customHeight="false" outlineLevel="0" collapsed="false">
      <c r="H1903" s="139" t="s">
        <v>2321</v>
      </c>
    </row>
    <row r="1904" customFormat="false" ht="13.8" hidden="false" customHeight="false" outlineLevel="0" collapsed="false">
      <c r="H1904" s="139" t="s">
        <v>2320</v>
      </c>
    </row>
    <row r="1905" customFormat="false" ht="13.8" hidden="false" customHeight="false" outlineLevel="0" collapsed="false">
      <c r="H1905" s="139" t="s">
        <v>61</v>
      </c>
    </row>
    <row r="1906" customFormat="false" ht="13.8" hidden="false" customHeight="false" outlineLevel="0" collapsed="false">
      <c r="H1906" s="139" t="s">
        <v>2322</v>
      </c>
    </row>
    <row r="1907" customFormat="false" ht="13.8" hidden="false" customHeight="false" outlineLevel="0" collapsed="false">
      <c r="H1907" s="139" t="s">
        <v>2313</v>
      </c>
    </row>
    <row r="1908" customFormat="false" ht="13.8" hidden="false" customHeight="false" outlineLevel="0" collapsed="false">
      <c r="H1908" s="139" t="s">
        <v>2306</v>
      </c>
    </row>
    <row r="1909" customFormat="false" ht="13.8" hidden="false" customHeight="false" outlineLevel="0" collapsed="false">
      <c r="H1909" s="139" t="s">
        <v>2308</v>
      </c>
    </row>
    <row r="1910" customFormat="false" ht="13.8" hidden="false" customHeight="false" outlineLevel="0" collapsed="false">
      <c r="H1910" s="139" t="s">
        <v>2323</v>
      </c>
    </row>
    <row r="1911" customFormat="false" ht="13.8" hidden="false" customHeight="false" outlineLevel="0" collapsed="false">
      <c r="H1911" s="139" t="s">
        <v>2319</v>
      </c>
    </row>
    <row r="1912" customFormat="false" ht="13.8" hidden="false" customHeight="false" outlineLevel="0" collapsed="false">
      <c r="H1912" s="139" t="s">
        <v>67</v>
      </c>
    </row>
    <row r="1913" customFormat="false" ht="13.8" hidden="false" customHeight="false" outlineLevel="0" collapsed="false">
      <c r="H1913" s="139" t="s">
        <v>2313</v>
      </c>
    </row>
    <row r="1914" customFormat="false" ht="13.8" hidden="false" customHeight="false" outlineLevel="0" collapsed="false">
      <c r="H1914" s="139" t="s">
        <v>2320</v>
      </c>
    </row>
    <row r="1915" customFormat="false" ht="13.8" hidden="false" customHeight="false" outlineLevel="0" collapsed="false">
      <c r="H1915" s="139" t="s">
        <v>61</v>
      </c>
    </row>
    <row r="1916" customFormat="false" ht="13.8" hidden="false" customHeight="false" outlineLevel="0" collapsed="false">
      <c r="H1916" s="139" t="s">
        <v>2306</v>
      </c>
    </row>
    <row r="1917" customFormat="false" ht="13.8" hidden="false" customHeight="false" outlineLevel="0" collapsed="false">
      <c r="H1917" s="139" t="s">
        <v>2324</v>
      </c>
    </row>
    <row r="1918" customFormat="false" ht="13.8" hidden="false" customHeight="false" outlineLevel="0" collapsed="false">
      <c r="H1918" s="139" t="s">
        <v>2324</v>
      </c>
    </row>
    <row r="1919" customFormat="false" ht="13.8" hidden="false" customHeight="false" outlineLevel="0" collapsed="false">
      <c r="H1919" s="139" t="s">
        <v>2306</v>
      </c>
    </row>
    <row r="1920" customFormat="false" ht="13.8" hidden="false" customHeight="false" outlineLevel="0" collapsed="false">
      <c r="H1920" s="139" t="s">
        <v>2313</v>
      </c>
    </row>
    <row r="1921" customFormat="false" ht="13.8" hidden="false" customHeight="false" outlineLevel="0" collapsed="false">
      <c r="H1921" s="139" t="s">
        <v>2324</v>
      </c>
    </row>
    <row r="1922" customFormat="false" ht="13.8" hidden="false" customHeight="false" outlineLevel="0" collapsed="false">
      <c r="H1922" s="139" t="s">
        <v>2313</v>
      </c>
    </row>
    <row r="1923" customFormat="false" ht="13.8" hidden="false" customHeight="false" outlineLevel="0" collapsed="false">
      <c r="H1923" s="139" t="s">
        <v>2306</v>
      </c>
    </row>
    <row r="1924" customFormat="false" ht="13.8" hidden="false" customHeight="false" outlineLevel="0" collapsed="false">
      <c r="H1924" s="139" t="s">
        <v>2320</v>
      </c>
    </row>
    <row r="1925" customFormat="false" ht="13.8" hidden="false" customHeight="false" outlineLevel="0" collapsed="false">
      <c r="H1925" s="139" t="s">
        <v>61</v>
      </c>
    </row>
    <row r="1926" customFormat="false" ht="13.8" hidden="false" customHeight="false" outlineLevel="0" collapsed="false">
      <c r="H1926" s="139" t="s">
        <v>2325</v>
      </c>
    </row>
    <row r="1927" customFormat="false" ht="13.8" hidden="false" customHeight="false" outlineLevel="0" collapsed="false">
      <c r="H1927" s="139" t="s">
        <v>2322</v>
      </c>
    </row>
    <row r="1928" customFormat="false" ht="13.8" hidden="false" customHeight="false" outlineLevel="0" collapsed="false">
      <c r="H1928" s="139" t="s">
        <v>2326</v>
      </c>
    </row>
    <row r="1929" customFormat="false" ht="13.8" hidden="false" customHeight="false" outlineLevel="0" collapsed="false">
      <c r="H1929" s="139" t="s">
        <v>2327</v>
      </c>
    </row>
    <row r="1930" customFormat="false" ht="13.8" hidden="false" customHeight="false" outlineLevel="0" collapsed="false">
      <c r="H1930" s="139" t="s">
        <v>2323</v>
      </c>
    </row>
    <row r="1931" customFormat="false" ht="13.8" hidden="false" customHeight="false" outlineLevel="0" collapsed="false">
      <c r="H1931" s="139" t="s">
        <v>67</v>
      </c>
    </row>
    <row r="1932" customFormat="false" ht="13.8" hidden="false" customHeight="false" outlineLevel="0" collapsed="false">
      <c r="H1932" s="139" t="s">
        <v>2328</v>
      </c>
    </row>
    <row r="1933" customFormat="false" ht="13.8" hidden="false" customHeight="false" outlineLevel="0" collapsed="false">
      <c r="H1933" s="139" t="s">
        <v>2325</v>
      </c>
    </row>
    <row r="1934" customFormat="false" ht="13.8" hidden="false" customHeight="false" outlineLevel="0" collapsed="false">
      <c r="H1934" s="139" t="s">
        <v>61</v>
      </c>
    </row>
    <row r="1935" customFormat="false" ht="13.8" hidden="false" customHeight="false" outlineLevel="0" collapsed="false">
      <c r="H1935" s="139" t="s">
        <v>2324</v>
      </c>
    </row>
    <row r="1936" customFormat="false" ht="13.8" hidden="false" customHeight="false" outlineLevel="0" collapsed="false">
      <c r="H1936" s="139" t="s">
        <v>75</v>
      </c>
    </row>
    <row r="1937" customFormat="false" ht="13.8" hidden="false" customHeight="false" outlineLevel="0" collapsed="false">
      <c r="H1937" s="139" t="s">
        <v>2313</v>
      </c>
    </row>
    <row r="1938" customFormat="false" ht="13.8" hidden="false" customHeight="false" outlineLevel="0" collapsed="false">
      <c r="H1938" s="139" t="s">
        <v>2320</v>
      </c>
    </row>
    <row r="1939" customFormat="false" ht="13.8" hidden="false" customHeight="false" outlineLevel="0" collapsed="false">
      <c r="H1939" s="139" t="s">
        <v>2306</v>
      </c>
    </row>
    <row r="1940" customFormat="false" ht="13.8" hidden="false" customHeight="false" outlineLevel="0" collapsed="false">
      <c r="H1940" s="139" t="s">
        <v>75</v>
      </c>
    </row>
    <row r="1941" customFormat="false" ht="13.8" hidden="false" customHeight="false" outlineLevel="0" collapsed="false">
      <c r="H1941" s="139" t="s">
        <v>2313</v>
      </c>
    </row>
    <row r="1942" customFormat="false" ht="13.8" hidden="false" customHeight="false" outlineLevel="0" collapsed="false">
      <c r="H1942" s="139" t="s">
        <v>2306</v>
      </c>
    </row>
    <row r="1943" customFormat="false" ht="13.8" hidden="false" customHeight="false" outlineLevel="0" collapsed="false">
      <c r="H1943" s="139" t="s">
        <v>2320</v>
      </c>
    </row>
    <row r="1944" customFormat="false" ht="13.8" hidden="false" customHeight="false" outlineLevel="0" collapsed="false">
      <c r="H1944" s="139" t="s">
        <v>75</v>
      </c>
    </row>
    <row r="1945" customFormat="false" ht="13.8" hidden="false" customHeight="false" outlineLevel="0" collapsed="false">
      <c r="H1945" s="139" t="s">
        <v>2325</v>
      </c>
    </row>
    <row r="1946" customFormat="false" ht="13.8" hidden="false" customHeight="false" outlineLevel="0" collapsed="false">
      <c r="H1946" s="139" t="s">
        <v>61</v>
      </c>
    </row>
    <row r="1947" customFormat="false" ht="13.8" hidden="false" customHeight="false" outlineLevel="0" collapsed="false">
      <c r="H1947" s="139" t="s">
        <v>2306</v>
      </c>
    </row>
    <row r="1948" customFormat="false" ht="13.8" hidden="false" customHeight="false" outlineLevel="0" collapsed="false">
      <c r="H1948" s="139" t="s">
        <v>2328</v>
      </c>
    </row>
    <row r="1949" customFormat="false" ht="13.8" hidden="false" customHeight="false" outlineLevel="0" collapsed="false">
      <c r="H1949" s="139" t="s">
        <v>2327</v>
      </c>
    </row>
    <row r="1950" customFormat="false" ht="13.8" hidden="false" customHeight="false" outlineLevel="0" collapsed="false">
      <c r="H1950" s="139" t="s">
        <v>2329</v>
      </c>
    </row>
    <row r="1951" customFormat="false" ht="13.8" hidden="false" customHeight="false" outlineLevel="0" collapsed="false">
      <c r="H1951" s="139" t="s">
        <v>61</v>
      </c>
    </row>
    <row r="1952" customFormat="false" ht="13.8" hidden="false" customHeight="false" outlineLevel="0" collapsed="false">
      <c r="H1952" s="139" t="s">
        <v>2325</v>
      </c>
    </row>
    <row r="1953" customFormat="false" ht="13.8" hidden="false" customHeight="false" outlineLevel="0" collapsed="false">
      <c r="H1953" s="139" t="s">
        <v>2313</v>
      </c>
    </row>
    <row r="1954" customFormat="false" ht="13.8" hidden="false" customHeight="false" outlineLevel="0" collapsed="false">
      <c r="H1954" s="139" t="s">
        <v>2320</v>
      </c>
    </row>
    <row r="1955" customFormat="false" ht="13.8" hidden="false" customHeight="false" outlineLevel="0" collapsed="false">
      <c r="H1955" s="139" t="s">
        <v>2306</v>
      </c>
    </row>
    <row r="1956" customFormat="false" ht="13.8" hidden="false" customHeight="false" outlineLevel="0" collapsed="false">
      <c r="H1956" s="139" t="s">
        <v>2330</v>
      </c>
    </row>
    <row r="1957" customFormat="false" ht="13.8" hidden="false" customHeight="false" outlineLevel="0" collapsed="false">
      <c r="H1957" s="139" t="s">
        <v>2313</v>
      </c>
    </row>
    <row r="1958" customFormat="false" ht="13.8" hidden="false" customHeight="false" outlineLevel="0" collapsed="false">
      <c r="H1958" s="139" t="s">
        <v>2306</v>
      </c>
    </row>
    <row r="1959" customFormat="false" ht="13.8" hidden="false" customHeight="false" outlineLevel="0" collapsed="false">
      <c r="H1959" s="139" t="s">
        <v>2306</v>
      </c>
    </row>
    <row r="1960" customFormat="false" ht="13.8" hidden="false" customHeight="false" outlineLevel="0" collapsed="false">
      <c r="H1960" s="139" t="s">
        <v>2313</v>
      </c>
    </row>
    <row r="1961" customFormat="false" ht="13.8" hidden="false" customHeight="false" outlineLevel="0" collapsed="false">
      <c r="H1961" s="139" t="s">
        <v>61</v>
      </c>
    </row>
    <row r="1962" customFormat="false" ht="13.8" hidden="false" customHeight="false" outlineLevel="0" collapsed="false">
      <c r="H1962" s="139" t="s">
        <v>2325</v>
      </c>
    </row>
    <row r="1963" customFormat="false" ht="13.8" hidden="false" customHeight="false" outlineLevel="0" collapsed="false">
      <c r="H1963" s="139" t="s">
        <v>61</v>
      </c>
    </row>
    <row r="1964" customFormat="false" ht="13.8" hidden="false" customHeight="false" outlineLevel="0" collapsed="false">
      <c r="H1964" s="139" t="s">
        <v>2316</v>
      </c>
    </row>
    <row r="1965" customFormat="false" ht="13.8" hidden="false" customHeight="false" outlineLevel="0" collapsed="false">
      <c r="H1965" s="139" t="s">
        <v>2330</v>
      </c>
    </row>
    <row r="1966" customFormat="false" ht="13.8" hidden="false" customHeight="false" outlineLevel="0" collapsed="false">
      <c r="H1966" s="139" t="s">
        <v>2331</v>
      </c>
    </row>
    <row r="1967" customFormat="false" ht="13.8" hidden="false" customHeight="false" outlineLevel="0" collapsed="false">
      <c r="H1967" s="139" t="s">
        <v>2327</v>
      </c>
    </row>
    <row r="1968" customFormat="false" ht="13.8" hidden="false" customHeight="false" outlineLevel="0" collapsed="false">
      <c r="H1968" s="139" t="s">
        <v>2325</v>
      </c>
    </row>
    <row r="1969" customFormat="false" ht="13.8" hidden="false" customHeight="false" outlineLevel="0" collapsed="false">
      <c r="H1969" s="139" t="s">
        <v>61</v>
      </c>
    </row>
    <row r="1970" customFormat="false" ht="13.8" hidden="false" customHeight="false" outlineLevel="0" collapsed="false">
      <c r="H1970" s="139" t="s">
        <v>2306</v>
      </c>
    </row>
    <row r="1971" customFormat="false" ht="13.8" hidden="false" customHeight="false" outlineLevel="0" collapsed="false">
      <c r="H1971" s="139" t="s">
        <v>67</v>
      </c>
    </row>
    <row r="1972" customFormat="false" ht="13.8" hidden="false" customHeight="false" outlineLevel="0" collapsed="false">
      <c r="H1972" s="139" t="s">
        <v>2313</v>
      </c>
    </row>
    <row r="1973" customFormat="false" ht="13.8" hidden="false" customHeight="false" outlineLevel="0" collapsed="false">
      <c r="H1973" s="139" t="s">
        <v>2313</v>
      </c>
    </row>
    <row r="1974" customFormat="false" ht="13.8" hidden="false" customHeight="false" outlineLevel="0" collapsed="false">
      <c r="H1974" s="139" t="s">
        <v>2306</v>
      </c>
    </row>
    <row r="1975" customFormat="false" ht="13.8" hidden="false" customHeight="false" outlineLevel="0" collapsed="false">
      <c r="H1975" s="139" t="s">
        <v>2313</v>
      </c>
    </row>
    <row r="1976" customFormat="false" ht="13.8" hidden="false" customHeight="false" outlineLevel="0" collapsed="false">
      <c r="H1976" s="139" t="s">
        <v>61</v>
      </c>
    </row>
    <row r="1977" customFormat="false" ht="13.8" hidden="false" customHeight="false" outlineLevel="0" collapsed="false">
      <c r="H1977" s="139" t="s">
        <v>2325</v>
      </c>
    </row>
    <row r="1978" customFormat="false" ht="13.8" hidden="false" customHeight="false" outlineLevel="0" collapsed="false">
      <c r="H1978" s="139" t="s">
        <v>67</v>
      </c>
    </row>
    <row r="1979" customFormat="false" ht="13.8" hidden="false" customHeight="false" outlineLevel="0" collapsed="false">
      <c r="H1979" s="139" t="s">
        <v>2306</v>
      </c>
    </row>
    <row r="1980" customFormat="false" ht="13.8" hidden="false" customHeight="false" outlineLevel="0" collapsed="false">
      <c r="H1980" s="139" t="s">
        <v>2327</v>
      </c>
    </row>
    <row r="1981" customFormat="false" ht="13.8" hidden="false" customHeight="false" outlineLevel="0" collapsed="false">
      <c r="H1981" s="139" t="s">
        <v>2313</v>
      </c>
    </row>
    <row r="1982" customFormat="false" ht="13.8" hidden="false" customHeight="false" outlineLevel="0" collapsed="false">
      <c r="H1982" s="139" t="s">
        <v>2306</v>
      </c>
    </row>
    <row r="1983" customFormat="false" ht="13.8" hidden="false" customHeight="false" outlineLevel="0" collapsed="false">
      <c r="H1983" s="139" t="s">
        <v>67</v>
      </c>
    </row>
    <row r="1984" customFormat="false" ht="13.8" hidden="false" customHeight="false" outlineLevel="0" collapsed="false">
      <c r="H1984" s="139" t="s">
        <v>2325</v>
      </c>
    </row>
    <row r="1985" customFormat="false" ht="13.8" hidden="false" customHeight="false" outlineLevel="0" collapsed="false">
      <c r="H1985" s="139" t="s">
        <v>61</v>
      </c>
    </row>
    <row r="1986" customFormat="false" ht="13.8" hidden="false" customHeight="false" outlineLevel="0" collapsed="false">
      <c r="H1986" s="139" t="s">
        <v>2306</v>
      </c>
    </row>
    <row r="1987" customFormat="false" ht="13.8" hidden="false" customHeight="false" outlineLevel="0" collapsed="false">
      <c r="H1987" s="139" t="s">
        <v>2313</v>
      </c>
    </row>
    <row r="1988" customFormat="false" ht="13.8" hidden="false" customHeight="false" outlineLevel="0" collapsed="false">
      <c r="H1988" s="139" t="s">
        <v>61</v>
      </c>
    </row>
    <row r="1989" customFormat="false" ht="13.8" hidden="false" customHeight="false" outlineLevel="0" collapsed="false">
      <c r="H1989" s="139" t="s">
        <v>2325</v>
      </c>
    </row>
    <row r="1990" customFormat="false" ht="13.8" hidden="false" customHeight="false" outlineLevel="0" collapsed="false">
      <c r="H1990" s="139" t="s">
        <v>2313</v>
      </c>
    </row>
    <row r="1991" customFormat="false" ht="13.8" hidden="false" customHeight="false" outlineLevel="0" collapsed="false">
      <c r="H1991" s="139" t="s">
        <v>2306</v>
      </c>
    </row>
    <row r="1992" customFormat="false" ht="13.8" hidden="false" customHeight="false" outlineLevel="0" collapsed="false">
      <c r="H1992" s="139" t="s">
        <v>67</v>
      </c>
    </row>
    <row r="1993" customFormat="false" ht="13.8" hidden="false" customHeight="false" outlineLevel="0" collapsed="false">
      <c r="H1993" s="139" t="s">
        <v>2327</v>
      </c>
    </row>
    <row r="1994" customFormat="false" ht="13.8" hidden="false" customHeight="false" outlineLevel="0" collapsed="false">
      <c r="H1994" s="139" t="s">
        <v>61</v>
      </c>
    </row>
    <row r="1995" customFormat="false" ht="13.8" hidden="false" customHeight="false" outlineLevel="0" collapsed="false">
      <c r="H1995" s="139" t="s">
        <v>2325</v>
      </c>
    </row>
    <row r="1996" customFormat="false" ht="13.8" hidden="false" customHeight="false" outlineLevel="0" collapsed="false">
      <c r="H1996" s="139" t="s">
        <v>2313</v>
      </c>
    </row>
    <row r="1997" customFormat="false" ht="13.8" hidden="false" customHeight="false" outlineLevel="0" collapsed="false">
      <c r="H1997" s="139" t="s">
        <v>2306</v>
      </c>
    </row>
    <row r="1998" customFormat="false" ht="13.8" hidden="false" customHeight="false" outlineLevel="0" collapsed="false">
      <c r="H1998" s="139" t="s">
        <v>67</v>
      </c>
    </row>
    <row r="1999" customFormat="false" ht="13.8" hidden="false" customHeight="false" outlineLevel="0" collapsed="false">
      <c r="H1999" s="139" t="s">
        <v>2313</v>
      </c>
    </row>
    <row r="2000" customFormat="false" ht="13.8" hidden="false" customHeight="false" outlineLevel="0" collapsed="false">
      <c r="H2000" s="139" t="s">
        <v>2306</v>
      </c>
    </row>
    <row r="2001" customFormat="false" ht="13.8" hidden="false" customHeight="false" outlineLevel="0" collapsed="false">
      <c r="H2001" s="139" t="s">
        <v>2332</v>
      </c>
    </row>
    <row r="2002" customFormat="false" ht="13.8" hidden="false" customHeight="false" outlineLevel="0" collapsed="false">
      <c r="H2002" s="139" t="s">
        <v>2306</v>
      </c>
    </row>
    <row r="2003" customFormat="false" ht="13.8" hidden="false" customHeight="false" outlineLevel="0" collapsed="false">
      <c r="H2003" s="139" t="s">
        <v>61</v>
      </c>
    </row>
    <row r="2004" customFormat="false" ht="13.8" hidden="false" customHeight="false" outlineLevel="0" collapsed="false">
      <c r="H2004" s="139" t="s">
        <v>2325</v>
      </c>
    </row>
    <row r="2005" customFormat="false" ht="13.8" hidden="false" customHeight="false" outlineLevel="0" collapsed="false">
      <c r="H2005" s="139" t="s">
        <v>67</v>
      </c>
    </row>
    <row r="2006" customFormat="false" ht="13.8" hidden="false" customHeight="false" outlineLevel="0" collapsed="false">
      <c r="H2006" s="139" t="s">
        <v>61</v>
      </c>
    </row>
    <row r="2007" customFormat="false" ht="13.8" hidden="false" customHeight="false" outlineLevel="0" collapsed="false">
      <c r="H2007" s="139" t="s">
        <v>2306</v>
      </c>
    </row>
    <row r="2008" customFormat="false" ht="13.8" hidden="false" customHeight="false" outlineLevel="0" collapsed="false">
      <c r="H2008" s="139" t="s">
        <v>2333</v>
      </c>
    </row>
    <row r="2009" customFormat="false" ht="13.8" hidden="false" customHeight="false" outlineLevel="0" collapsed="false">
      <c r="H2009" s="139" t="s">
        <v>2325</v>
      </c>
    </row>
    <row r="2010" customFormat="false" ht="13.8" hidden="false" customHeight="false" outlineLevel="0" collapsed="false">
      <c r="H2010" s="139" t="s">
        <v>2332</v>
      </c>
    </row>
    <row r="2011" customFormat="false" ht="13.8" hidden="false" customHeight="false" outlineLevel="0" collapsed="false">
      <c r="H2011" s="139" t="s">
        <v>67</v>
      </c>
    </row>
    <row r="2012" customFormat="false" ht="13.8" hidden="false" customHeight="false" outlineLevel="0" collapsed="false">
      <c r="H2012" s="139" t="s">
        <v>2327</v>
      </c>
    </row>
    <row r="2013" customFormat="false" ht="13.8" hidden="false" customHeight="false" outlineLevel="0" collapsed="false">
      <c r="H2013" s="139" t="s">
        <v>2334</v>
      </c>
    </row>
    <row r="2014" customFormat="false" ht="13.8" hidden="false" customHeight="false" outlineLevel="0" collapsed="false">
      <c r="H2014" s="139" t="s">
        <v>2333</v>
      </c>
    </row>
    <row r="2015" customFormat="false" ht="13.8" hidden="false" customHeight="false" outlineLevel="0" collapsed="false">
      <c r="H2015" s="139" t="s">
        <v>2332</v>
      </c>
    </row>
    <row r="2016" customFormat="false" ht="13.8" hidden="false" customHeight="false" outlineLevel="0" collapsed="false">
      <c r="H2016" s="139" t="s">
        <v>2306</v>
      </c>
    </row>
    <row r="2017" customFormat="false" ht="13.8" hidden="false" customHeight="false" outlineLevel="0" collapsed="false">
      <c r="H2017" s="139" t="s">
        <v>2332</v>
      </c>
    </row>
    <row r="2018" customFormat="false" ht="13.8" hidden="false" customHeight="false" outlineLevel="0" collapsed="false">
      <c r="H2018" s="139" t="s">
        <v>2306</v>
      </c>
    </row>
    <row r="2019" customFormat="false" ht="13.8" hidden="false" customHeight="false" outlineLevel="0" collapsed="false">
      <c r="H2019" s="139" t="s">
        <v>2333</v>
      </c>
    </row>
    <row r="2020" customFormat="false" ht="13.8" hidden="false" customHeight="false" outlineLevel="0" collapsed="false">
      <c r="H2020" s="139" t="s">
        <v>61</v>
      </c>
    </row>
    <row r="2021" customFormat="false" ht="13.8" hidden="false" customHeight="false" outlineLevel="0" collapsed="false">
      <c r="H2021" s="139" t="s">
        <v>2325</v>
      </c>
    </row>
    <row r="2022" customFormat="false" ht="13.8" hidden="false" customHeight="false" outlineLevel="0" collapsed="false">
      <c r="H2022" s="139" t="s">
        <v>67</v>
      </c>
    </row>
    <row r="2023" customFormat="false" ht="13.8" hidden="false" customHeight="false" outlineLevel="0" collapsed="false">
      <c r="H2023" s="139" t="s">
        <v>2327</v>
      </c>
    </row>
    <row r="2024" customFormat="false" ht="13.8" hidden="false" customHeight="false" outlineLevel="0" collapsed="false">
      <c r="H2024" s="139" t="s">
        <v>2304</v>
      </c>
    </row>
    <row r="2025" customFormat="false" ht="13.8" hidden="false" customHeight="false" outlineLevel="0" collapsed="false">
      <c r="H2025" s="139" t="s">
        <v>2325</v>
      </c>
    </row>
    <row r="2026" customFormat="false" ht="13.8" hidden="false" customHeight="false" outlineLevel="0" collapsed="false">
      <c r="H2026" s="139" t="s">
        <v>2306</v>
      </c>
    </row>
    <row r="2027" customFormat="false" ht="13.8" hidden="false" customHeight="false" outlineLevel="0" collapsed="false">
      <c r="H2027" s="139" t="s">
        <v>2333</v>
      </c>
    </row>
    <row r="2028" customFormat="false" ht="13.8" hidden="false" customHeight="false" outlineLevel="0" collapsed="false">
      <c r="H2028" s="139" t="s">
        <v>2332</v>
      </c>
    </row>
    <row r="2029" customFormat="false" ht="13.8" hidden="false" customHeight="false" outlineLevel="0" collapsed="false">
      <c r="H2029" s="139" t="s">
        <v>2335</v>
      </c>
    </row>
    <row r="2030" customFormat="false" ht="13.8" hidden="false" customHeight="false" outlineLevel="0" collapsed="false">
      <c r="H2030" s="139" t="s">
        <v>2332</v>
      </c>
    </row>
    <row r="2031" customFormat="false" ht="13.8" hidden="false" customHeight="false" outlineLevel="0" collapsed="false">
      <c r="H2031" s="139" t="s">
        <v>2306</v>
      </c>
    </row>
    <row r="2032" customFormat="false" ht="13.8" hidden="false" customHeight="false" outlineLevel="0" collapsed="false">
      <c r="H2032" s="139" t="s">
        <v>2333</v>
      </c>
    </row>
    <row r="2033" customFormat="false" ht="13.8" hidden="false" customHeight="false" outlineLevel="0" collapsed="false">
      <c r="H2033" s="139" t="s">
        <v>2333</v>
      </c>
    </row>
    <row r="2034" customFormat="false" ht="13.8" hidden="false" customHeight="false" outlineLevel="0" collapsed="false">
      <c r="H2034" s="139" t="s">
        <v>2306</v>
      </c>
    </row>
    <row r="2035" customFormat="false" ht="13.8" hidden="false" customHeight="false" outlineLevel="0" collapsed="false">
      <c r="H2035" s="139" t="s">
        <v>2335</v>
      </c>
    </row>
    <row r="2036" customFormat="false" ht="13.8" hidden="false" customHeight="false" outlineLevel="0" collapsed="false">
      <c r="H2036" s="139" t="s">
        <v>2304</v>
      </c>
    </row>
    <row r="2037" customFormat="false" ht="13.8" hidden="false" customHeight="false" outlineLevel="0" collapsed="false">
      <c r="H2037" s="139" t="s">
        <v>2325</v>
      </c>
    </row>
    <row r="2038" customFormat="false" ht="13.8" hidden="false" customHeight="false" outlineLevel="0" collapsed="false">
      <c r="H2038" s="139" t="s">
        <v>2304</v>
      </c>
    </row>
    <row r="2039" customFormat="false" ht="13.8" hidden="false" customHeight="false" outlineLevel="0" collapsed="false">
      <c r="H2039" s="139" t="s">
        <v>2306</v>
      </c>
    </row>
    <row r="2040" customFormat="false" ht="13.8" hidden="false" customHeight="false" outlineLevel="0" collapsed="false">
      <c r="H2040" s="139" t="s">
        <v>2333</v>
      </c>
    </row>
    <row r="2041" customFormat="false" ht="13.8" hidden="false" customHeight="false" outlineLevel="0" collapsed="false">
      <c r="H2041" s="139" t="s">
        <v>2325</v>
      </c>
    </row>
    <row r="2042" customFormat="false" ht="13.8" hidden="false" customHeight="false" outlineLevel="0" collapsed="false">
      <c r="H2042" s="139" t="s">
        <v>2302</v>
      </c>
    </row>
    <row r="2043" customFormat="false" ht="13.8" hidden="false" customHeight="false" outlineLevel="0" collapsed="false">
      <c r="H2043" s="139" t="s">
        <v>2327</v>
      </c>
    </row>
    <row r="2044" customFormat="false" ht="13.8" hidden="false" customHeight="false" outlineLevel="0" collapsed="false">
      <c r="H2044" s="139" t="s">
        <v>2335</v>
      </c>
    </row>
    <row r="2045" customFormat="false" ht="13.8" hidden="false" customHeight="false" outlineLevel="0" collapsed="false">
      <c r="H2045" s="139" t="s">
        <v>2333</v>
      </c>
    </row>
    <row r="2046" customFormat="false" ht="13.8" hidden="false" customHeight="false" outlineLevel="0" collapsed="false">
      <c r="H2046" s="139" t="s">
        <v>2306</v>
      </c>
    </row>
    <row r="2047" customFormat="false" ht="13.8" hidden="false" customHeight="false" outlineLevel="0" collapsed="false">
      <c r="H2047" s="139" t="s">
        <v>2302</v>
      </c>
    </row>
    <row r="2048" customFormat="false" ht="13.8" hidden="false" customHeight="false" outlineLevel="0" collapsed="false">
      <c r="H2048" s="139" t="s">
        <v>2304</v>
      </c>
    </row>
    <row r="2049" customFormat="false" ht="13.8" hidden="false" customHeight="false" outlineLevel="0" collapsed="false">
      <c r="H2049" s="139" t="s">
        <v>2333</v>
      </c>
    </row>
    <row r="2050" customFormat="false" ht="13.8" hidden="false" customHeight="false" outlineLevel="0" collapsed="false">
      <c r="H2050" s="139" t="s">
        <v>2306</v>
      </c>
    </row>
    <row r="2051" customFormat="false" ht="13.8" hidden="false" customHeight="false" outlineLevel="0" collapsed="false">
      <c r="H2051" s="139" t="s">
        <v>2328</v>
      </c>
    </row>
    <row r="2052" customFormat="false" ht="13.8" hidden="false" customHeight="false" outlineLevel="0" collapsed="false">
      <c r="H2052" s="139" t="s">
        <v>2330</v>
      </c>
    </row>
    <row r="2053" customFormat="false" ht="13.8" hidden="false" customHeight="false" outlineLevel="0" collapsed="false">
      <c r="H2053" s="139" t="s">
        <v>2335</v>
      </c>
    </row>
    <row r="2054" customFormat="false" ht="13.8" hidden="false" customHeight="false" outlineLevel="0" collapsed="false">
      <c r="H2054" s="139" t="s">
        <v>2329</v>
      </c>
    </row>
    <row r="2055" customFormat="false" ht="13.8" hidden="false" customHeight="false" outlineLevel="0" collapsed="false">
      <c r="H2055" s="139" t="s">
        <v>2327</v>
      </c>
    </row>
    <row r="2056" customFormat="false" ht="13.8" hidden="false" customHeight="false" outlineLevel="0" collapsed="false">
      <c r="H2056" s="139" t="s">
        <v>2308</v>
      </c>
    </row>
    <row r="2057" customFormat="false" ht="13.8" hidden="false" customHeight="false" outlineLevel="0" collapsed="false">
      <c r="H2057" s="139" t="s">
        <v>2331</v>
      </c>
    </row>
    <row r="2058" customFormat="false" ht="13.8" hidden="false" customHeight="false" outlineLevel="0" collapsed="false">
      <c r="H2058" s="139" t="s">
        <v>2302</v>
      </c>
    </row>
    <row r="2059" customFormat="false" ht="13.8" hidden="false" customHeight="false" outlineLevel="0" collapsed="false">
      <c r="H2059" s="139" t="s">
        <v>2304</v>
      </c>
    </row>
    <row r="2060" customFormat="false" ht="13.8" hidden="false" customHeight="false" outlineLevel="0" collapsed="false">
      <c r="H2060" s="139" t="s">
        <v>2329</v>
      </c>
    </row>
    <row r="2061" customFormat="false" ht="13.8" hidden="false" customHeight="false" outlineLevel="0" collapsed="false">
      <c r="H2061" s="139" t="s">
        <v>2333</v>
      </c>
    </row>
    <row r="2062" customFormat="false" ht="13.8" hidden="false" customHeight="false" outlineLevel="0" collapsed="false">
      <c r="H2062" s="139" t="s">
        <v>2335</v>
      </c>
    </row>
    <row r="2063" customFormat="false" ht="13.8" hidden="false" customHeight="false" outlineLevel="0" collapsed="false">
      <c r="H2063" s="139" t="s">
        <v>2329</v>
      </c>
    </row>
    <row r="2064" customFormat="false" ht="13.8" hidden="false" customHeight="false" outlineLevel="0" collapsed="false">
      <c r="H2064" s="139" t="s">
        <v>2333</v>
      </c>
    </row>
    <row r="2065" customFormat="false" ht="13.8" hidden="false" customHeight="false" outlineLevel="0" collapsed="false">
      <c r="H2065" s="139" t="s">
        <v>2329</v>
      </c>
    </row>
    <row r="2066" customFormat="false" ht="13.8" hidden="false" customHeight="false" outlineLevel="0" collapsed="false">
      <c r="H2066" s="139" t="s">
        <v>2336</v>
      </c>
    </row>
    <row r="2067" customFormat="false" ht="13.8" hidden="false" customHeight="false" outlineLevel="0" collapsed="false">
      <c r="H2067" s="139" t="s">
        <v>2333</v>
      </c>
    </row>
    <row r="2068" customFormat="false" ht="13.8" hidden="false" customHeight="false" outlineLevel="0" collapsed="false">
      <c r="H2068" s="139" t="s">
        <v>2304</v>
      </c>
    </row>
    <row r="2069" customFormat="false" ht="13.8" hidden="false" customHeight="false" outlineLevel="0" collapsed="false">
      <c r="H2069" s="139" t="s">
        <v>2335</v>
      </c>
    </row>
    <row r="2070" customFormat="false" ht="13.8" hidden="false" customHeight="false" outlineLevel="0" collapsed="false">
      <c r="H2070" s="139" t="s">
        <v>2337</v>
      </c>
    </row>
    <row r="2071" customFormat="false" ht="13.8" hidden="false" customHeight="false" outlineLevel="0" collapsed="false">
      <c r="H2071" s="139" t="s">
        <v>2308</v>
      </c>
    </row>
    <row r="2072" customFormat="false" ht="13.8" hidden="false" customHeight="false" outlineLevel="0" collapsed="false">
      <c r="H2072" s="139" t="s">
        <v>2314</v>
      </c>
    </row>
    <row r="2073" customFormat="false" ht="13.8" hidden="false" customHeight="false" outlineLevel="0" collapsed="false">
      <c r="H2073" s="139" t="s">
        <v>2304</v>
      </c>
    </row>
    <row r="2074" customFormat="false" ht="13.8" hidden="false" customHeight="false" outlineLevel="0" collapsed="false">
      <c r="H2074" s="139" t="s">
        <v>2306</v>
      </c>
    </row>
    <row r="2075" customFormat="false" ht="13.8" hidden="false" customHeight="false" outlineLevel="0" collapsed="false">
      <c r="H2075" s="139" t="s">
        <v>2333</v>
      </c>
    </row>
    <row r="2076" customFormat="false" ht="13.8" hidden="false" customHeight="false" outlineLevel="0" collapsed="false">
      <c r="H2076" s="139" t="s">
        <v>2329</v>
      </c>
    </row>
    <row r="2077" customFormat="false" ht="13.8" hidden="false" customHeight="false" outlineLevel="0" collapsed="false">
      <c r="H2077" s="139" t="s">
        <v>2336</v>
      </c>
    </row>
    <row r="2078" customFormat="false" ht="13.8" hidden="false" customHeight="false" outlineLevel="0" collapsed="false">
      <c r="H2078" s="139" t="s">
        <v>2337</v>
      </c>
    </row>
    <row r="2079" customFormat="false" ht="13.8" hidden="false" customHeight="false" outlineLevel="0" collapsed="false">
      <c r="H2079" s="139" t="s">
        <v>2336</v>
      </c>
    </row>
    <row r="2080" customFormat="false" ht="13.8" hidden="false" customHeight="false" outlineLevel="0" collapsed="false">
      <c r="H2080" s="139" t="s">
        <v>2333</v>
      </c>
    </row>
    <row r="2081" customFormat="false" ht="13.8" hidden="false" customHeight="false" outlineLevel="0" collapsed="false">
      <c r="H2081" s="139" t="s">
        <v>2306</v>
      </c>
    </row>
    <row r="2082" customFormat="false" ht="13.8" hidden="false" customHeight="false" outlineLevel="0" collapsed="false">
      <c r="H2082" s="139" t="s">
        <v>2336</v>
      </c>
    </row>
    <row r="2083" customFormat="false" ht="13.8" hidden="false" customHeight="false" outlineLevel="0" collapsed="false">
      <c r="H2083" s="139" t="s">
        <v>2333</v>
      </c>
    </row>
    <row r="2084" customFormat="false" ht="13.8" hidden="false" customHeight="false" outlineLevel="0" collapsed="false">
      <c r="H2084" s="139" t="s">
        <v>2306</v>
      </c>
    </row>
    <row r="2085" customFormat="false" ht="13.8" hidden="false" customHeight="false" outlineLevel="0" collapsed="false">
      <c r="H2085" s="139" t="s">
        <v>2304</v>
      </c>
    </row>
    <row r="2086" customFormat="false" ht="13.8" hidden="false" customHeight="false" outlineLevel="0" collapsed="false">
      <c r="H2086" s="139" t="s">
        <v>2337</v>
      </c>
    </row>
    <row r="2087" customFormat="false" ht="13.8" hidden="false" customHeight="false" outlineLevel="0" collapsed="false">
      <c r="H2087" s="139" t="s">
        <v>2338</v>
      </c>
    </row>
    <row r="2088" customFormat="false" ht="13.8" hidden="false" customHeight="false" outlineLevel="0" collapsed="false">
      <c r="H2088" s="139" t="s">
        <v>2336</v>
      </c>
    </row>
    <row r="2089" customFormat="false" ht="13.8" hidden="false" customHeight="false" outlineLevel="0" collapsed="false">
      <c r="H2089" s="139" t="s">
        <v>2333</v>
      </c>
    </row>
    <row r="2090" customFormat="false" ht="13.8" hidden="false" customHeight="false" outlineLevel="0" collapsed="false">
      <c r="H2090" s="139" t="s">
        <v>2304</v>
      </c>
    </row>
    <row r="2091" customFormat="false" ht="13.8" hidden="false" customHeight="false" outlineLevel="0" collapsed="false">
      <c r="H2091" s="139" t="s">
        <v>2338</v>
      </c>
    </row>
    <row r="2092" customFormat="false" ht="13.8" hidden="false" customHeight="false" outlineLevel="0" collapsed="false">
      <c r="H2092" s="139" t="s">
        <v>2331</v>
      </c>
    </row>
    <row r="2093" customFormat="false" ht="13.8" hidden="false" customHeight="false" outlineLevel="0" collapsed="false">
      <c r="H2093" s="139" t="s">
        <v>2304</v>
      </c>
    </row>
    <row r="2094" customFormat="false" ht="13.8" hidden="false" customHeight="false" outlineLevel="0" collapsed="false">
      <c r="H2094" s="139" t="s">
        <v>2302</v>
      </c>
    </row>
    <row r="2095" customFormat="false" ht="13.8" hidden="false" customHeight="false" outlineLevel="0" collapsed="false">
      <c r="H2095" s="139" t="s">
        <v>2336</v>
      </c>
    </row>
    <row r="2096" customFormat="false" ht="13.8" hidden="false" customHeight="false" outlineLevel="0" collapsed="false">
      <c r="H2096" s="139" t="s">
        <v>2333</v>
      </c>
    </row>
    <row r="2097" customFormat="false" ht="13.8" hidden="false" customHeight="false" outlineLevel="0" collapsed="false">
      <c r="H2097" s="139" t="s">
        <v>2339</v>
      </c>
    </row>
    <row r="2098" customFormat="false" ht="13.8" hidden="false" customHeight="false" outlineLevel="0" collapsed="false">
      <c r="H2098" s="139" t="s">
        <v>2338</v>
      </c>
    </row>
    <row r="2099" customFormat="false" ht="13.8" hidden="false" customHeight="false" outlineLevel="0" collapsed="false">
      <c r="H2099" s="139" t="s">
        <v>2339</v>
      </c>
    </row>
    <row r="2100" customFormat="false" ht="13.8" hidden="false" customHeight="false" outlineLevel="0" collapsed="false">
      <c r="H2100" s="139" t="s">
        <v>2339</v>
      </c>
    </row>
    <row r="2101" customFormat="false" ht="13.8" hidden="false" customHeight="false" outlineLevel="0" collapsed="false">
      <c r="H2101" s="139" t="s">
        <v>2333</v>
      </c>
    </row>
    <row r="2102" customFormat="false" ht="13.8" hidden="false" customHeight="false" outlineLevel="0" collapsed="false">
      <c r="H2102" s="139" t="s">
        <v>2336</v>
      </c>
    </row>
    <row r="2103" customFormat="false" ht="13.8" hidden="false" customHeight="false" outlineLevel="0" collapsed="false">
      <c r="H2103" s="139" t="s">
        <v>2336</v>
      </c>
    </row>
    <row r="2104" customFormat="false" ht="13.8" hidden="false" customHeight="false" outlineLevel="0" collapsed="false">
      <c r="H2104" s="139" t="s">
        <v>2303</v>
      </c>
    </row>
    <row r="2105" customFormat="false" ht="13.8" hidden="false" customHeight="false" outlineLevel="0" collapsed="false">
      <c r="H2105" s="139" t="s">
        <v>2304</v>
      </c>
    </row>
    <row r="2106" customFormat="false" ht="13.8" hidden="false" customHeight="false" outlineLevel="0" collapsed="false">
      <c r="H2106" s="139" t="s">
        <v>2302</v>
      </c>
    </row>
    <row r="2107" customFormat="false" ht="13.8" hidden="false" customHeight="false" outlineLevel="0" collapsed="false">
      <c r="H2107" s="139" t="s">
        <v>2339</v>
      </c>
    </row>
    <row r="2108" customFormat="false" ht="13.8" hidden="false" customHeight="false" outlineLevel="0" collapsed="false">
      <c r="H2108" s="139" t="s">
        <v>2340</v>
      </c>
    </row>
    <row r="2109" customFormat="false" ht="13.8" hidden="false" customHeight="false" outlineLevel="0" collapsed="false">
      <c r="H2109" s="139" t="s">
        <v>2338</v>
      </c>
    </row>
    <row r="2110" customFormat="false" ht="13.8" hidden="false" customHeight="false" outlineLevel="0" collapsed="false">
      <c r="H2110" s="139" t="s">
        <v>2308</v>
      </c>
    </row>
    <row r="2111" customFormat="false" ht="13.8" hidden="false" customHeight="false" outlineLevel="0" collapsed="false">
      <c r="H2111" s="139" t="s">
        <v>2326</v>
      </c>
    </row>
    <row r="2112" customFormat="false" ht="13.8" hidden="false" customHeight="false" outlineLevel="0" collapsed="false">
      <c r="H2112" s="139" t="s">
        <v>2304</v>
      </c>
    </row>
    <row r="2113" customFormat="false" ht="13.8" hidden="false" customHeight="false" outlineLevel="0" collapsed="false">
      <c r="H2113" s="139" t="s">
        <v>2302</v>
      </c>
    </row>
    <row r="2114" customFormat="false" ht="13.8" hidden="false" customHeight="false" outlineLevel="0" collapsed="false">
      <c r="H2114" s="139" t="s">
        <v>2303</v>
      </c>
    </row>
    <row r="2115" customFormat="false" ht="13.8" hidden="false" customHeight="false" outlineLevel="0" collapsed="false">
      <c r="H2115" s="139" t="s">
        <v>2339</v>
      </c>
    </row>
    <row r="2116" customFormat="false" ht="13.8" hidden="false" customHeight="false" outlineLevel="0" collapsed="false">
      <c r="H2116" s="139" t="s">
        <v>2339</v>
      </c>
    </row>
    <row r="2117" customFormat="false" ht="13.8" hidden="false" customHeight="false" outlineLevel="0" collapsed="false">
      <c r="H2117" s="139" t="s">
        <v>2340</v>
      </c>
    </row>
    <row r="2118" customFormat="false" ht="13.8" hidden="false" customHeight="false" outlineLevel="0" collapsed="false">
      <c r="H2118" s="139" t="s">
        <v>2336</v>
      </c>
    </row>
    <row r="2119" customFormat="false" ht="13.8" hidden="false" customHeight="false" outlineLevel="0" collapsed="false">
      <c r="H2119" s="139" t="s">
        <v>2341</v>
      </c>
    </row>
    <row r="2120" customFormat="false" ht="13.8" hidden="false" customHeight="false" outlineLevel="0" collapsed="false">
      <c r="H2120" s="139" t="s">
        <v>2336</v>
      </c>
    </row>
    <row r="2121" customFormat="false" ht="13.8" hidden="false" customHeight="false" outlineLevel="0" collapsed="false">
      <c r="H2121" s="139" t="s">
        <v>2340</v>
      </c>
    </row>
    <row r="2122" customFormat="false" ht="13.8" hidden="false" customHeight="false" outlineLevel="0" collapsed="false">
      <c r="H2122" s="139" t="s">
        <v>2303</v>
      </c>
    </row>
    <row r="2123" customFormat="false" ht="13.8" hidden="false" customHeight="false" outlineLevel="0" collapsed="false">
      <c r="H2123" s="139" t="s">
        <v>2339</v>
      </c>
    </row>
    <row r="2124" customFormat="false" ht="13.8" hidden="false" customHeight="false" outlineLevel="0" collapsed="false">
      <c r="H2124" s="139" t="s">
        <v>2336</v>
      </c>
    </row>
    <row r="2125" customFormat="false" ht="13.8" hidden="false" customHeight="false" outlineLevel="0" collapsed="false">
      <c r="H2125" s="139" t="s">
        <v>2303</v>
      </c>
    </row>
    <row r="2126" customFormat="false" ht="13.8" hidden="false" customHeight="false" outlineLevel="0" collapsed="false">
      <c r="H2126" s="139" t="s">
        <v>2339</v>
      </c>
    </row>
    <row r="2127" customFormat="false" ht="13.8" hidden="false" customHeight="false" outlineLevel="0" collapsed="false">
      <c r="H2127" s="139" t="s">
        <v>2339</v>
      </c>
    </row>
    <row r="2128" customFormat="false" ht="13.8" hidden="false" customHeight="false" outlineLevel="0" collapsed="false">
      <c r="H2128" s="139" t="s">
        <v>2302</v>
      </c>
    </row>
    <row r="2129" customFormat="false" ht="13.8" hidden="false" customHeight="false" outlineLevel="0" collapsed="false">
      <c r="H2129" s="139" t="s">
        <v>2304</v>
      </c>
    </row>
    <row r="2130" customFormat="false" ht="13.8" hidden="false" customHeight="false" outlineLevel="0" collapsed="false">
      <c r="H2130" s="139" t="s">
        <v>2341</v>
      </c>
    </row>
    <row r="2131" customFormat="false" ht="13.8" hidden="false" customHeight="false" outlineLevel="0" collapsed="false">
      <c r="H2131" s="139" t="s">
        <v>2308</v>
      </c>
    </row>
    <row r="2132" customFormat="false" ht="13.8" hidden="false" customHeight="false" outlineLevel="0" collapsed="false">
      <c r="H2132" s="139" t="s">
        <v>2303</v>
      </c>
    </row>
    <row r="2133" customFormat="false" ht="13.8" hidden="false" customHeight="false" outlineLevel="0" collapsed="false">
      <c r="H2133" s="139" t="s">
        <v>2339</v>
      </c>
    </row>
    <row r="2134" customFormat="false" ht="13.8" hidden="false" customHeight="false" outlineLevel="0" collapsed="false">
      <c r="H2134" s="139" t="s">
        <v>2311</v>
      </c>
    </row>
    <row r="2135" customFormat="false" ht="13.8" hidden="false" customHeight="false" outlineLevel="0" collapsed="false">
      <c r="H2135" s="139" t="s">
        <v>2304</v>
      </c>
    </row>
    <row r="2136" customFormat="false" ht="13.8" hidden="false" customHeight="false" outlineLevel="0" collapsed="false">
      <c r="H2136" s="139" t="s">
        <v>2302</v>
      </c>
    </row>
    <row r="2137" customFormat="false" ht="13.8" hidden="false" customHeight="false" outlineLevel="0" collapsed="false">
      <c r="H2137" s="139" t="s">
        <v>2336</v>
      </c>
    </row>
    <row r="2138" customFormat="false" ht="13.8" hidden="false" customHeight="false" outlineLevel="0" collapsed="false">
      <c r="H2138" s="139" t="s">
        <v>2339</v>
      </c>
    </row>
    <row r="2139" customFormat="false" ht="13.8" hidden="false" customHeight="false" outlineLevel="0" collapsed="false">
      <c r="H2139" s="139" t="s">
        <v>2342</v>
      </c>
    </row>
    <row r="2140" customFormat="false" ht="13.8" hidden="false" customHeight="false" outlineLevel="0" collapsed="false">
      <c r="H2140" s="139" t="s">
        <v>2343</v>
      </c>
    </row>
    <row r="2141" customFormat="false" ht="13.8" hidden="false" customHeight="false" outlineLevel="0" collapsed="false">
      <c r="H2141" s="139" t="s">
        <v>2344</v>
      </c>
    </row>
    <row r="2142" customFormat="false" ht="13.8" hidden="false" customHeight="false" outlineLevel="0" collapsed="false">
      <c r="H2142" s="139" t="s">
        <v>2336</v>
      </c>
    </row>
    <row r="2143" customFormat="false" ht="13.8" hidden="false" customHeight="false" outlineLevel="0" collapsed="false">
      <c r="H2143" s="139" t="s">
        <v>2339</v>
      </c>
    </row>
    <row r="2144" customFormat="false" ht="13.8" hidden="false" customHeight="false" outlineLevel="0" collapsed="false">
      <c r="H2144" s="139" t="s">
        <v>2339</v>
      </c>
    </row>
    <row r="2145" customFormat="false" ht="13.8" hidden="false" customHeight="false" outlineLevel="0" collapsed="false">
      <c r="H2145" s="139" t="s">
        <v>2339</v>
      </c>
    </row>
    <row r="2146" customFormat="false" ht="13.8" hidden="false" customHeight="false" outlineLevel="0" collapsed="false">
      <c r="H2146" s="139" t="s">
        <v>2339</v>
      </c>
    </row>
    <row r="2147" customFormat="false" ht="13.8" hidden="false" customHeight="false" outlineLevel="0" collapsed="false">
      <c r="H2147" s="139" t="s">
        <v>2344</v>
      </c>
    </row>
    <row r="2148" customFormat="false" ht="13.8" hidden="false" customHeight="false" outlineLevel="0" collapsed="false">
      <c r="H2148" s="139" t="s">
        <v>2311</v>
      </c>
    </row>
    <row r="2149" customFormat="false" ht="13.8" hidden="false" customHeight="false" outlineLevel="0" collapsed="false">
      <c r="H2149" s="139" t="s">
        <v>55</v>
      </c>
    </row>
    <row r="2150" customFormat="false" ht="13.8" hidden="false" customHeight="false" outlineLevel="0" collapsed="false">
      <c r="H2150" s="139" t="s">
        <v>2302</v>
      </c>
    </row>
    <row r="2151" customFormat="false" ht="13.8" hidden="false" customHeight="false" outlineLevel="0" collapsed="false">
      <c r="H2151" s="139" t="s">
        <v>2336</v>
      </c>
    </row>
    <row r="2152" customFormat="false" ht="13.8" hidden="false" customHeight="false" outlineLevel="0" collapsed="false">
      <c r="H2152" s="139" t="s">
        <v>2344</v>
      </c>
    </row>
    <row r="2153" customFormat="false" ht="13.8" hidden="false" customHeight="false" outlineLevel="0" collapsed="false">
      <c r="H2153" s="139" t="s">
        <v>2343</v>
      </c>
    </row>
    <row r="2154" customFormat="false" ht="13.8" hidden="false" customHeight="false" outlineLevel="0" collapsed="false">
      <c r="H2154" s="139" t="s">
        <v>2345</v>
      </c>
    </row>
    <row r="2155" customFormat="false" ht="13.8" hidden="false" customHeight="false" outlineLevel="0" collapsed="false">
      <c r="H2155" s="139" t="s">
        <v>2318</v>
      </c>
    </row>
    <row r="2156" customFormat="false" ht="13.8" hidden="false" customHeight="false" outlineLevel="0" collapsed="false">
      <c r="H2156" s="139" t="s">
        <v>2346</v>
      </c>
    </row>
    <row r="2157" customFormat="false" ht="13.8" hidden="false" customHeight="false" outlineLevel="0" collapsed="false">
      <c r="H2157" s="139" t="s">
        <v>2308</v>
      </c>
    </row>
    <row r="2158" customFormat="false" ht="13.8" hidden="false" customHeight="false" outlineLevel="0" collapsed="false">
      <c r="H2158" s="139" t="s">
        <v>2323</v>
      </c>
    </row>
    <row r="2159" customFormat="false" ht="13.8" hidden="false" customHeight="false" outlineLevel="0" collapsed="false">
      <c r="H2159" s="139" t="s">
        <v>55</v>
      </c>
    </row>
    <row r="2160" customFormat="false" ht="13.8" hidden="false" customHeight="false" outlineLevel="0" collapsed="false">
      <c r="H2160" s="139" t="s">
        <v>2344</v>
      </c>
    </row>
    <row r="2161" customFormat="false" ht="13.8" hidden="false" customHeight="false" outlineLevel="0" collapsed="false">
      <c r="H2161" s="139" t="s">
        <v>2339</v>
      </c>
    </row>
    <row r="2162" customFormat="false" ht="13.8" hidden="false" customHeight="false" outlineLevel="0" collapsed="false">
      <c r="H2162" s="139" t="s">
        <v>2336</v>
      </c>
    </row>
    <row r="2163" customFormat="false" ht="13.8" hidden="false" customHeight="false" outlineLevel="0" collapsed="false">
      <c r="H2163" s="139" t="s">
        <v>2322</v>
      </c>
    </row>
    <row r="2164" customFormat="false" ht="13.8" hidden="false" customHeight="false" outlineLevel="0" collapsed="false">
      <c r="H2164" s="139" t="s">
        <v>2339</v>
      </c>
    </row>
    <row r="2165" customFormat="false" ht="13.8" hidden="false" customHeight="false" outlineLevel="0" collapsed="false">
      <c r="H2165" s="139" t="s">
        <v>2339</v>
      </c>
    </row>
    <row r="2166" customFormat="false" ht="13.8" hidden="false" customHeight="false" outlineLevel="0" collapsed="false">
      <c r="H2166" s="139" t="s">
        <v>2339</v>
      </c>
    </row>
    <row r="2167" customFormat="false" ht="13.8" hidden="false" customHeight="false" outlineLevel="0" collapsed="false">
      <c r="H2167" s="139" t="s">
        <v>2344</v>
      </c>
    </row>
    <row r="2168" customFormat="false" ht="13.8" hidden="false" customHeight="false" outlineLevel="0" collapsed="false">
      <c r="H2168" s="139" t="s">
        <v>2336</v>
      </c>
    </row>
    <row r="2169" customFormat="false" ht="13.8" hidden="false" customHeight="false" outlineLevel="0" collapsed="false">
      <c r="H2169" s="139" t="s">
        <v>55</v>
      </c>
    </row>
    <row r="2170" customFormat="false" ht="13.8" hidden="false" customHeight="false" outlineLevel="0" collapsed="false">
      <c r="H2170" s="139" t="s">
        <v>2322</v>
      </c>
    </row>
    <row r="2171" customFormat="false" ht="13.8" hidden="false" customHeight="false" outlineLevel="0" collapsed="false">
      <c r="H2171" s="139" t="s">
        <v>2347</v>
      </c>
    </row>
    <row r="2172" customFormat="false" ht="13.8" hidden="false" customHeight="false" outlineLevel="0" collapsed="false">
      <c r="H2172" s="139" t="s">
        <v>2344</v>
      </c>
    </row>
    <row r="2173" customFormat="false" ht="13.8" hidden="false" customHeight="false" outlineLevel="0" collapsed="false">
      <c r="H2173" s="139" t="s">
        <v>2339</v>
      </c>
    </row>
    <row r="2174" customFormat="false" ht="13.8" hidden="false" customHeight="false" outlineLevel="0" collapsed="false">
      <c r="H2174" s="139" t="s">
        <v>2340</v>
      </c>
    </row>
    <row r="2175" customFormat="false" ht="13.8" hidden="false" customHeight="false" outlineLevel="0" collapsed="false">
      <c r="H2175" s="139" t="s">
        <v>2318</v>
      </c>
    </row>
    <row r="2176" customFormat="false" ht="13.8" hidden="false" customHeight="false" outlineLevel="0" collapsed="false">
      <c r="H2176" s="139" t="s">
        <v>2348</v>
      </c>
    </row>
    <row r="2177" customFormat="false" ht="13.8" hidden="false" customHeight="false" outlineLevel="0" collapsed="false">
      <c r="H2177" s="139" t="s">
        <v>2349</v>
      </c>
    </row>
    <row r="2178" customFormat="false" ht="13.8" hidden="false" customHeight="false" outlineLevel="0" collapsed="false">
      <c r="H2178" s="139" t="s">
        <v>2350</v>
      </c>
    </row>
    <row r="2179" customFormat="false" ht="13.8" hidden="false" customHeight="false" outlineLevel="0" collapsed="false">
      <c r="H2179" s="139" t="s">
        <v>2339</v>
      </c>
    </row>
    <row r="2180" customFormat="false" ht="13.8" hidden="false" customHeight="false" outlineLevel="0" collapsed="false">
      <c r="H2180" s="139" t="s">
        <v>2323</v>
      </c>
    </row>
    <row r="2181" customFormat="false" ht="13.8" hidden="false" customHeight="false" outlineLevel="0" collapsed="false">
      <c r="H2181" s="139" t="s">
        <v>2351</v>
      </c>
    </row>
    <row r="2182" customFormat="false" ht="13.8" hidden="false" customHeight="false" outlineLevel="0" collapsed="false">
      <c r="H2182" s="139" t="s">
        <v>2346</v>
      </c>
    </row>
    <row r="2183" customFormat="false" ht="13.8" hidden="false" customHeight="false" outlineLevel="0" collapsed="false">
      <c r="H2183" s="139" t="s">
        <v>2344</v>
      </c>
    </row>
    <row r="2184" customFormat="false" ht="13.8" hidden="false" customHeight="false" outlineLevel="0" collapsed="false">
      <c r="H2184" s="139" t="s">
        <v>2340</v>
      </c>
    </row>
    <row r="2185" customFormat="false" ht="13.8" hidden="false" customHeight="false" outlineLevel="0" collapsed="false">
      <c r="H2185" s="139" t="s">
        <v>55</v>
      </c>
    </row>
    <row r="2186" customFormat="false" ht="13.8" hidden="false" customHeight="false" outlineLevel="0" collapsed="false">
      <c r="H2186" s="139" t="s">
        <v>2347</v>
      </c>
    </row>
    <row r="2187" customFormat="false" ht="13.8" hidden="false" customHeight="false" outlineLevel="0" collapsed="false">
      <c r="H2187" s="139" t="s">
        <v>2352</v>
      </c>
    </row>
    <row r="2188" customFormat="false" ht="13.8" hidden="false" customHeight="false" outlineLevel="0" collapsed="false">
      <c r="H2188" s="139" t="s">
        <v>2352</v>
      </c>
    </row>
    <row r="2189" customFormat="false" ht="13.8" hidden="false" customHeight="false" outlineLevel="0" collapsed="false">
      <c r="H2189" s="139" t="s">
        <v>2352</v>
      </c>
    </row>
    <row r="2190" customFormat="false" ht="13.8" hidden="false" customHeight="false" outlineLevel="0" collapsed="false">
      <c r="H2190" s="139" t="s">
        <v>2344</v>
      </c>
    </row>
    <row r="2191" customFormat="false" ht="13.8" hidden="false" customHeight="false" outlineLevel="0" collapsed="false">
      <c r="H2191" s="139" t="s">
        <v>2344</v>
      </c>
    </row>
    <row r="2192" customFormat="false" ht="13.8" hidden="false" customHeight="false" outlineLevel="0" collapsed="false">
      <c r="H2192" s="139" t="s">
        <v>55</v>
      </c>
    </row>
    <row r="2193" customFormat="false" ht="13.8" hidden="false" customHeight="false" outlineLevel="0" collapsed="false">
      <c r="H2193" s="139" t="s">
        <v>2347</v>
      </c>
    </row>
    <row r="2194" customFormat="false" ht="13.8" hidden="false" customHeight="false" outlineLevel="0" collapsed="false">
      <c r="H2194" s="139" t="s">
        <v>2353</v>
      </c>
    </row>
    <row r="2195" customFormat="false" ht="13.8" hidden="false" customHeight="false" outlineLevel="0" collapsed="false">
      <c r="H2195" s="139" t="s">
        <v>2352</v>
      </c>
    </row>
    <row r="2196" customFormat="false" ht="13.8" hidden="false" customHeight="false" outlineLevel="0" collapsed="false">
      <c r="H2196" s="139" t="s">
        <v>2354</v>
      </c>
    </row>
    <row r="2197" customFormat="false" ht="13.8" hidden="false" customHeight="false" outlineLevel="0" collapsed="false">
      <c r="H2197" s="139" t="s">
        <v>2355</v>
      </c>
    </row>
    <row r="2198" customFormat="false" ht="13.8" hidden="false" customHeight="false" outlineLevel="0" collapsed="false">
      <c r="H2198" s="139" t="s">
        <v>2356</v>
      </c>
    </row>
    <row r="2199" customFormat="false" ht="13.8" hidden="false" customHeight="false" outlineLevel="0" collapsed="false">
      <c r="H2199" s="139" t="s">
        <v>2351</v>
      </c>
    </row>
    <row r="2200" customFormat="false" ht="13.8" hidden="false" customHeight="false" outlineLevel="0" collapsed="false">
      <c r="H2200" s="139" t="s">
        <v>2326</v>
      </c>
    </row>
    <row r="2201" customFormat="false" ht="13.8" hidden="false" customHeight="false" outlineLevel="0" collapsed="false">
      <c r="H2201" s="139" t="s">
        <v>2346</v>
      </c>
    </row>
    <row r="2202" customFormat="false" ht="13.8" hidden="false" customHeight="false" outlineLevel="0" collapsed="false">
      <c r="H2202" s="139" t="s">
        <v>2353</v>
      </c>
    </row>
    <row r="2203" customFormat="false" ht="13.8" hidden="false" customHeight="false" outlineLevel="0" collapsed="false">
      <c r="H2203" s="139" t="s">
        <v>2352</v>
      </c>
    </row>
    <row r="2204" customFormat="false" ht="13.8" hidden="false" customHeight="false" outlineLevel="0" collapsed="false">
      <c r="H2204" s="139" t="s">
        <v>2344</v>
      </c>
    </row>
    <row r="2205" customFormat="false" ht="13.8" hidden="false" customHeight="false" outlineLevel="0" collapsed="false">
      <c r="H2205" s="139" t="s">
        <v>55</v>
      </c>
    </row>
    <row r="2206" customFormat="false" ht="13.8" hidden="false" customHeight="false" outlineLevel="0" collapsed="false">
      <c r="H2206" s="139" t="s">
        <v>2347</v>
      </c>
    </row>
    <row r="2207" customFormat="false" ht="13.8" hidden="false" customHeight="false" outlineLevel="0" collapsed="false">
      <c r="H2207" s="139" t="s">
        <v>2344</v>
      </c>
    </row>
    <row r="2208" customFormat="false" ht="13.8" hidden="false" customHeight="false" outlineLevel="0" collapsed="false">
      <c r="H2208" s="139" t="s">
        <v>2352</v>
      </c>
    </row>
    <row r="2209" customFormat="false" ht="13.8" hidden="false" customHeight="false" outlineLevel="0" collapsed="false">
      <c r="H2209" s="139" t="s">
        <v>2352</v>
      </c>
    </row>
    <row r="2210" customFormat="false" ht="13.8" hidden="false" customHeight="false" outlineLevel="0" collapsed="false">
      <c r="H2210" s="139" t="s">
        <v>55</v>
      </c>
    </row>
    <row r="2211" customFormat="false" ht="13.8" hidden="false" customHeight="false" outlineLevel="0" collapsed="false">
      <c r="H2211" s="139" t="s">
        <v>2347</v>
      </c>
    </row>
    <row r="2212" customFormat="false" ht="13.8" hidden="false" customHeight="false" outlineLevel="0" collapsed="false">
      <c r="H2212" s="139" t="s">
        <v>2340</v>
      </c>
    </row>
    <row r="2213" customFormat="false" ht="13.8" hidden="false" customHeight="false" outlineLevel="0" collapsed="false">
      <c r="H2213" s="139" t="s">
        <v>2352</v>
      </c>
    </row>
    <row r="2214" customFormat="false" ht="13.8" hidden="false" customHeight="false" outlineLevel="0" collapsed="false">
      <c r="H2214" s="139" t="s">
        <v>2357</v>
      </c>
    </row>
    <row r="2215" customFormat="false" ht="13.8" hidden="false" customHeight="false" outlineLevel="0" collapsed="false">
      <c r="H2215" s="139" t="s">
        <v>2344</v>
      </c>
    </row>
    <row r="2216" customFormat="false" ht="13.8" hidden="false" customHeight="false" outlineLevel="0" collapsed="false">
      <c r="H2216" s="139" t="s">
        <v>67</v>
      </c>
    </row>
    <row r="2217" customFormat="false" ht="13.8" hidden="false" customHeight="false" outlineLevel="0" collapsed="false">
      <c r="H2217" s="139" t="s">
        <v>2351</v>
      </c>
    </row>
    <row r="2218" customFormat="false" ht="13.8" hidden="false" customHeight="false" outlineLevel="0" collapsed="false">
      <c r="H2218" s="139" t="s">
        <v>2346</v>
      </c>
    </row>
    <row r="2219" customFormat="false" ht="13.8" hidden="false" customHeight="false" outlineLevel="0" collapsed="false">
      <c r="H2219" s="139" t="s">
        <v>2308</v>
      </c>
    </row>
    <row r="2220" customFormat="false" ht="13.8" hidden="false" customHeight="false" outlineLevel="0" collapsed="false">
      <c r="H2220" s="139" t="s">
        <v>2347</v>
      </c>
    </row>
    <row r="2221" customFormat="false" ht="13.8" hidden="false" customHeight="false" outlineLevel="0" collapsed="false">
      <c r="H2221" s="139" t="s">
        <v>2302</v>
      </c>
    </row>
    <row r="2222" customFormat="false" ht="13.8" hidden="false" customHeight="false" outlineLevel="0" collapsed="false">
      <c r="H2222" s="139" t="s">
        <v>2340</v>
      </c>
    </row>
    <row r="2223" customFormat="false" ht="13.8" hidden="false" customHeight="false" outlineLevel="0" collapsed="false">
      <c r="H2223" s="139" t="s">
        <v>2357</v>
      </c>
    </row>
    <row r="2224" customFormat="false" ht="13.8" hidden="false" customHeight="false" outlineLevel="0" collapsed="false">
      <c r="H2224" s="139" t="s">
        <v>55</v>
      </c>
    </row>
    <row r="2225" customFormat="false" ht="13.8" hidden="false" customHeight="false" outlineLevel="0" collapsed="false">
      <c r="H2225" s="139" t="s">
        <v>2358</v>
      </c>
    </row>
    <row r="2226" customFormat="false" ht="13.8" hidden="false" customHeight="false" outlineLevel="0" collapsed="false">
      <c r="H2226" s="139" t="s">
        <v>2352</v>
      </c>
    </row>
    <row r="2227" customFormat="false" ht="13.8" hidden="false" customHeight="false" outlineLevel="0" collapsed="false">
      <c r="H2227" s="139" t="s">
        <v>2357</v>
      </c>
    </row>
    <row r="2228" customFormat="false" ht="13.8" hidden="false" customHeight="false" outlineLevel="0" collapsed="false">
      <c r="H2228" s="139" t="s">
        <v>2352</v>
      </c>
    </row>
    <row r="2229" customFormat="false" ht="13.8" hidden="false" customHeight="false" outlineLevel="0" collapsed="false">
      <c r="H2229" s="139" t="s">
        <v>2352</v>
      </c>
    </row>
    <row r="2230" customFormat="false" ht="13.8" hidden="false" customHeight="false" outlineLevel="0" collapsed="false">
      <c r="H2230" s="139" t="s">
        <v>2302</v>
      </c>
    </row>
    <row r="2231" customFormat="false" ht="13.8" hidden="false" customHeight="false" outlineLevel="0" collapsed="false">
      <c r="H2231" s="139" t="s">
        <v>2340</v>
      </c>
    </row>
    <row r="2232" customFormat="false" ht="13.8" hidden="false" customHeight="false" outlineLevel="0" collapsed="false">
      <c r="H2232" s="139" t="s">
        <v>2340</v>
      </c>
    </row>
    <row r="2233" customFormat="false" ht="13.8" hidden="false" customHeight="false" outlineLevel="0" collapsed="false">
      <c r="H2233" s="139" t="s">
        <v>2358</v>
      </c>
    </row>
    <row r="2234" customFormat="false" ht="13.8" hidden="false" customHeight="false" outlineLevel="0" collapsed="false">
      <c r="H2234" s="139" t="s">
        <v>2302</v>
      </c>
    </row>
    <row r="2235" customFormat="false" ht="13.8" hidden="false" customHeight="false" outlineLevel="0" collapsed="false">
      <c r="H2235" s="139" t="s">
        <v>2352</v>
      </c>
    </row>
    <row r="2236" customFormat="false" ht="13.8" hidden="false" customHeight="false" outlineLevel="0" collapsed="false">
      <c r="H2236" s="139" t="s">
        <v>2352</v>
      </c>
    </row>
    <row r="2237" customFormat="false" ht="13.8" hidden="false" customHeight="false" outlineLevel="0" collapsed="false">
      <c r="H2237" s="139" t="s">
        <v>2357</v>
      </c>
    </row>
    <row r="2238" customFormat="false" ht="13.8" hidden="false" customHeight="false" outlineLevel="0" collapsed="false">
      <c r="H2238" s="139" t="s">
        <v>2308</v>
      </c>
    </row>
    <row r="2239" customFormat="false" ht="13.8" hidden="false" customHeight="false" outlineLevel="0" collapsed="false">
      <c r="H2239" s="139" t="s">
        <v>2314</v>
      </c>
    </row>
    <row r="2240" customFormat="false" ht="13.8" hidden="false" customHeight="false" outlineLevel="0" collapsed="false">
      <c r="H2240" s="139" t="s">
        <v>2346</v>
      </c>
    </row>
    <row r="2241" customFormat="false" ht="13.8" hidden="false" customHeight="false" outlineLevel="0" collapsed="false">
      <c r="H2241" s="139" t="s">
        <v>67</v>
      </c>
    </row>
    <row r="2242" customFormat="false" ht="13.8" hidden="false" customHeight="false" outlineLevel="0" collapsed="false">
      <c r="H2242" s="139" t="s">
        <v>2302</v>
      </c>
    </row>
    <row r="2243" customFormat="false" ht="13.8" hidden="false" customHeight="false" outlineLevel="0" collapsed="false">
      <c r="H2243" s="139" t="s">
        <v>2340</v>
      </c>
    </row>
    <row r="2244" customFormat="false" ht="13.8" hidden="false" customHeight="false" outlineLevel="0" collapsed="false">
      <c r="H2244" s="139" t="s">
        <v>2311</v>
      </c>
    </row>
    <row r="2245" customFormat="false" ht="13.8" hidden="false" customHeight="false" outlineLevel="0" collapsed="false">
      <c r="H2245" s="139" t="s">
        <v>2358</v>
      </c>
    </row>
    <row r="2246" customFormat="false" ht="13.8" hidden="false" customHeight="false" outlineLevel="0" collapsed="false">
      <c r="H2246" s="139" t="s">
        <v>2352</v>
      </c>
    </row>
    <row r="2247" customFormat="false" ht="13.8" hidden="false" customHeight="false" outlineLevel="0" collapsed="false">
      <c r="H2247" s="139" t="s">
        <v>2352</v>
      </c>
    </row>
    <row r="2248" customFormat="false" ht="13.8" hidden="false" customHeight="false" outlineLevel="0" collapsed="false">
      <c r="H2248" s="139" t="s">
        <v>2359</v>
      </c>
    </row>
    <row r="2249" customFormat="false" ht="13.8" hidden="false" customHeight="false" outlineLevel="0" collapsed="false">
      <c r="H2249" s="139" t="s">
        <v>2302</v>
      </c>
    </row>
    <row r="2250" customFormat="false" ht="13.8" hidden="false" customHeight="false" outlineLevel="0" collapsed="false">
      <c r="H2250" s="139" t="s">
        <v>2360</v>
      </c>
    </row>
    <row r="2251" customFormat="false" ht="13.8" hidden="false" customHeight="false" outlineLevel="0" collapsed="false">
      <c r="H2251" s="139" t="s">
        <v>2311</v>
      </c>
    </row>
    <row r="2252" customFormat="false" ht="13.8" hidden="false" customHeight="false" outlineLevel="0" collapsed="false">
      <c r="H2252" s="139" t="s">
        <v>2360</v>
      </c>
    </row>
    <row r="2253" customFormat="false" ht="13.8" hidden="false" customHeight="false" outlineLevel="0" collapsed="false">
      <c r="H2253" s="139" t="s">
        <v>2359</v>
      </c>
    </row>
    <row r="2254" customFormat="false" ht="13.8" hidden="false" customHeight="false" outlineLevel="0" collapsed="false">
      <c r="H2254" s="139" t="s">
        <v>2361</v>
      </c>
    </row>
    <row r="2255" customFormat="false" ht="13.8" hidden="false" customHeight="false" outlineLevel="0" collapsed="false">
      <c r="H2255" s="139" t="s">
        <v>2308</v>
      </c>
    </row>
    <row r="2256" customFormat="false" ht="13.8" hidden="false" customHeight="false" outlineLevel="0" collapsed="false">
      <c r="H2256" s="139" t="s">
        <v>67</v>
      </c>
    </row>
    <row r="2257" customFormat="false" ht="13.8" hidden="false" customHeight="false" outlineLevel="0" collapsed="false">
      <c r="H2257" s="139" t="s">
        <v>2360</v>
      </c>
    </row>
    <row r="2258" customFormat="false" ht="13.8" hidden="false" customHeight="false" outlineLevel="0" collapsed="false">
      <c r="H2258" s="139" t="s">
        <v>2322</v>
      </c>
    </row>
    <row r="2259" customFormat="false" ht="13.8" hidden="false" customHeight="false" outlineLevel="0" collapsed="false">
      <c r="H2259" s="139" t="s">
        <v>2311</v>
      </c>
    </row>
    <row r="2260" customFormat="false" ht="13.8" hidden="false" customHeight="false" outlineLevel="0" collapsed="false">
      <c r="H2260" s="139" t="s">
        <v>55</v>
      </c>
    </row>
    <row r="2261" customFormat="false" ht="13.8" hidden="false" customHeight="false" outlineLevel="0" collapsed="false">
      <c r="H2261" s="139" t="s">
        <v>2359</v>
      </c>
    </row>
    <row r="2262" customFormat="false" ht="13.8" hidden="false" customHeight="false" outlineLevel="0" collapsed="false">
      <c r="H2262" s="139" t="s">
        <v>2359</v>
      </c>
    </row>
    <row r="2263" customFormat="false" ht="13.8" hidden="false" customHeight="false" outlineLevel="0" collapsed="false">
      <c r="H2263" s="139" t="s">
        <v>2322</v>
      </c>
    </row>
    <row r="2264" customFormat="false" ht="13.8" hidden="false" customHeight="false" outlineLevel="0" collapsed="false">
      <c r="H2264" s="139" t="s">
        <v>2359</v>
      </c>
    </row>
    <row r="2265" customFormat="false" ht="13.8" hidden="false" customHeight="false" outlineLevel="0" collapsed="false">
      <c r="H2265" s="139" t="s">
        <v>2359</v>
      </c>
    </row>
    <row r="2266" customFormat="false" ht="13.8" hidden="false" customHeight="false" outlineLevel="0" collapsed="false">
      <c r="H2266" s="139" t="s">
        <v>2322</v>
      </c>
    </row>
    <row r="2267" customFormat="false" ht="13.8" hidden="false" customHeight="false" outlineLevel="0" collapsed="false">
      <c r="H2267" s="139" t="s">
        <v>2347</v>
      </c>
    </row>
    <row r="2268" customFormat="false" ht="13.8" hidden="false" customHeight="false" outlineLevel="0" collapsed="false">
      <c r="H2268" s="139" t="s">
        <v>2323</v>
      </c>
    </row>
    <row r="2269" customFormat="false" ht="13.8" hidden="false" customHeight="false" outlineLevel="0" collapsed="false">
      <c r="H2269" s="139" t="s">
        <v>2351</v>
      </c>
    </row>
    <row r="2270" customFormat="false" ht="13.8" hidden="false" customHeight="false" outlineLevel="0" collapsed="false">
      <c r="H2270" s="139" t="s">
        <v>2361</v>
      </c>
    </row>
    <row r="2271" customFormat="false" ht="13.8" hidden="false" customHeight="false" outlineLevel="0" collapsed="false">
      <c r="H2271" s="139" t="s">
        <v>2347</v>
      </c>
    </row>
    <row r="2272" customFormat="false" ht="13.8" hidden="false" customHeight="false" outlineLevel="0" collapsed="false">
      <c r="H2272" s="139" t="s">
        <v>2359</v>
      </c>
    </row>
    <row r="2273" customFormat="false" ht="13.8" hidden="false" customHeight="false" outlineLevel="0" collapsed="false">
      <c r="H2273" s="139" t="s">
        <v>2310</v>
      </c>
    </row>
    <row r="2274" customFormat="false" ht="13.8" hidden="false" customHeight="false" outlineLevel="0" collapsed="false">
      <c r="H2274" s="139" t="s">
        <v>2359</v>
      </c>
    </row>
    <row r="2275" customFormat="false" ht="13.8" hidden="false" customHeight="false" outlineLevel="0" collapsed="false">
      <c r="H2275" s="139" t="s">
        <v>2359</v>
      </c>
    </row>
    <row r="2276" customFormat="false" ht="13.8" hidden="false" customHeight="false" outlineLevel="0" collapsed="false">
      <c r="H2276" s="139" t="s">
        <v>81</v>
      </c>
    </row>
    <row r="2277" customFormat="false" ht="13.8" hidden="false" customHeight="false" outlineLevel="0" collapsed="false">
      <c r="H2277" s="139" t="s">
        <v>2347</v>
      </c>
    </row>
    <row r="2278" customFormat="false" ht="13.8" hidden="false" customHeight="false" outlineLevel="0" collapsed="false">
      <c r="H2278" s="139" t="s">
        <v>2341</v>
      </c>
    </row>
    <row r="2279" customFormat="false" ht="13.8" hidden="false" customHeight="false" outlineLevel="0" collapsed="false">
      <c r="H2279" s="139" t="s">
        <v>2357</v>
      </c>
    </row>
    <row r="2280" customFormat="false" ht="13.8" hidden="false" customHeight="false" outlineLevel="0" collapsed="false">
      <c r="H2280" s="139" t="s">
        <v>2351</v>
      </c>
    </row>
    <row r="2281" customFormat="false" ht="13.8" hidden="false" customHeight="false" outlineLevel="0" collapsed="false">
      <c r="H2281" s="139" t="s">
        <v>2357</v>
      </c>
    </row>
    <row r="2282" customFormat="false" ht="13.8" hidden="false" customHeight="false" outlineLevel="0" collapsed="false">
      <c r="H2282" s="139" t="s">
        <v>81</v>
      </c>
    </row>
    <row r="2283" customFormat="false" ht="13.8" hidden="false" customHeight="false" outlineLevel="0" collapsed="false">
      <c r="H2283" s="139" t="s">
        <v>2359</v>
      </c>
    </row>
    <row r="2284" customFormat="false" ht="13.8" hidden="false" customHeight="false" outlineLevel="0" collapsed="false">
      <c r="H2284" s="139" t="s">
        <v>2341</v>
      </c>
    </row>
    <row r="2285" customFormat="false" ht="13.8" hidden="false" customHeight="false" outlineLevel="0" collapsed="false">
      <c r="H2285" s="139" t="s">
        <v>2359</v>
      </c>
    </row>
    <row r="2286" customFormat="false" ht="13.8" hidden="false" customHeight="false" outlineLevel="0" collapsed="false">
      <c r="H2286" s="139" t="s">
        <v>2359</v>
      </c>
    </row>
    <row r="2287" customFormat="false" ht="13.8" hidden="false" customHeight="false" outlineLevel="0" collapsed="false">
      <c r="H2287" s="139" t="s">
        <v>81</v>
      </c>
    </row>
    <row r="2288" customFormat="false" ht="13.8" hidden="false" customHeight="false" outlineLevel="0" collapsed="false">
      <c r="H2288" s="139" t="s">
        <v>2357</v>
      </c>
    </row>
    <row r="2289" customFormat="false" ht="13.8" hidden="false" customHeight="false" outlineLevel="0" collapsed="false">
      <c r="H2289" s="139" t="s">
        <v>81</v>
      </c>
    </row>
    <row r="2290" customFormat="false" ht="13.8" hidden="false" customHeight="false" outlineLevel="0" collapsed="false">
      <c r="H2290" s="139" t="s">
        <v>2359</v>
      </c>
    </row>
    <row r="2291" customFormat="false" ht="13.8" hidden="false" customHeight="false" outlineLevel="0" collapsed="false">
      <c r="H2291" s="139" t="s">
        <v>2359</v>
      </c>
    </row>
    <row r="2292" customFormat="false" ht="13.8" hidden="false" customHeight="false" outlineLevel="0" collapsed="false">
      <c r="H2292" s="139" t="s">
        <v>2358</v>
      </c>
    </row>
    <row r="2293" customFormat="false" ht="13.8" hidden="false" customHeight="false" outlineLevel="0" collapsed="false">
      <c r="H2293" s="139" t="s">
        <v>2360</v>
      </c>
    </row>
    <row r="2294" customFormat="false" ht="13.8" hidden="false" customHeight="false" outlineLevel="0" collapsed="false">
      <c r="H2294" s="139" t="s">
        <v>2357</v>
      </c>
    </row>
    <row r="2295" customFormat="false" ht="13.8" hidden="false" customHeight="false" outlineLevel="0" collapsed="false">
      <c r="H2295" s="139" t="s">
        <v>2341</v>
      </c>
    </row>
    <row r="2296" customFormat="false" ht="13.8" hidden="false" customHeight="false" outlineLevel="0" collapsed="false">
      <c r="H2296" s="139" t="s">
        <v>2337</v>
      </c>
    </row>
    <row r="2297" customFormat="false" ht="13.8" hidden="false" customHeight="false" outlineLevel="0" collapsed="false">
      <c r="H2297" s="139" t="s">
        <v>2351</v>
      </c>
    </row>
    <row r="2298" customFormat="false" ht="13.8" hidden="false" customHeight="false" outlineLevel="0" collapsed="false">
      <c r="H2298" s="139" t="s">
        <v>2361</v>
      </c>
    </row>
    <row r="2299" customFormat="false" ht="13.8" hidden="false" customHeight="false" outlineLevel="0" collapsed="false">
      <c r="H2299" s="139" t="s">
        <v>2326</v>
      </c>
    </row>
    <row r="2300" customFormat="false" ht="13.8" hidden="false" customHeight="false" outlineLevel="0" collapsed="false">
      <c r="H2300" s="139" t="s">
        <v>2334</v>
      </c>
    </row>
    <row r="2301" customFormat="false" ht="13.8" hidden="false" customHeight="false" outlineLevel="0" collapsed="false">
      <c r="H2301" s="139" t="s">
        <v>81</v>
      </c>
    </row>
    <row r="2302" customFormat="false" ht="13.8" hidden="false" customHeight="false" outlineLevel="0" collapsed="false">
      <c r="H2302" s="139" t="s">
        <v>2357</v>
      </c>
    </row>
    <row r="2303" customFormat="false" ht="13.8" hidden="false" customHeight="false" outlineLevel="0" collapsed="false">
      <c r="H2303" s="139" t="s">
        <v>2359</v>
      </c>
    </row>
    <row r="2304" customFormat="false" ht="13.8" hidden="false" customHeight="false" outlineLevel="0" collapsed="false">
      <c r="H2304" s="139" t="s">
        <v>2359</v>
      </c>
    </row>
    <row r="2305" customFormat="false" ht="13.8" hidden="false" customHeight="false" outlineLevel="0" collapsed="false">
      <c r="H2305" s="139" t="s">
        <v>2358</v>
      </c>
    </row>
    <row r="2306" customFormat="false" ht="13.8" hidden="false" customHeight="false" outlineLevel="0" collapsed="false">
      <c r="H2306" s="139" t="s">
        <v>2360</v>
      </c>
    </row>
    <row r="2307" customFormat="false" ht="13.8" hidden="false" customHeight="false" outlineLevel="0" collapsed="false">
      <c r="H2307" s="139" t="s">
        <v>2337</v>
      </c>
    </row>
    <row r="2308" customFormat="false" ht="13.8" hidden="false" customHeight="false" outlineLevel="0" collapsed="false">
      <c r="H2308" s="139" t="s">
        <v>2357</v>
      </c>
    </row>
    <row r="2309" customFormat="false" ht="13.8" hidden="false" customHeight="false" outlineLevel="0" collapsed="false">
      <c r="H2309" s="139" t="s">
        <v>2359</v>
      </c>
    </row>
    <row r="2310" customFormat="false" ht="13.8" hidden="false" customHeight="false" outlineLevel="0" collapsed="false">
      <c r="H2310" s="139" t="s">
        <v>81</v>
      </c>
    </row>
    <row r="2311" customFormat="false" ht="13.8" hidden="false" customHeight="false" outlineLevel="0" collapsed="false">
      <c r="H2311" s="139" t="s">
        <v>81</v>
      </c>
    </row>
    <row r="2312" customFormat="false" ht="13.8" hidden="false" customHeight="false" outlineLevel="0" collapsed="false">
      <c r="H2312" s="139" t="s">
        <v>2357</v>
      </c>
    </row>
    <row r="2313" customFormat="false" ht="13.8" hidden="false" customHeight="false" outlineLevel="0" collapsed="false">
      <c r="H2313" s="139" t="s">
        <v>2358</v>
      </c>
    </row>
    <row r="2314" customFormat="false" ht="13.8" hidden="false" customHeight="false" outlineLevel="0" collapsed="false">
      <c r="H2314" s="139" t="s">
        <v>2360</v>
      </c>
    </row>
    <row r="2315" customFormat="false" ht="13.8" hidden="false" customHeight="false" outlineLevel="0" collapsed="false">
      <c r="H2315" s="139" t="s">
        <v>2359</v>
      </c>
    </row>
    <row r="2316" customFormat="false" ht="13.8" hidden="false" customHeight="false" outlineLevel="0" collapsed="false">
      <c r="H2316" s="139" t="s">
        <v>2359</v>
      </c>
    </row>
    <row r="2317" customFormat="false" ht="13.8" hidden="false" customHeight="false" outlineLevel="0" collapsed="false">
      <c r="H2317" s="139" t="s">
        <v>2361</v>
      </c>
    </row>
    <row r="2318" customFormat="false" ht="13.8" hidden="false" customHeight="false" outlineLevel="0" collapsed="false">
      <c r="H2318" s="139" t="s">
        <v>2334</v>
      </c>
    </row>
    <row r="2319" customFormat="false" ht="13.8" hidden="false" customHeight="false" outlineLevel="0" collapsed="false">
      <c r="H2319" s="139" t="s">
        <v>2358</v>
      </c>
    </row>
    <row r="2320" customFormat="false" ht="13.8" hidden="false" customHeight="false" outlineLevel="0" collapsed="false">
      <c r="H2320" s="139" t="s">
        <v>2360</v>
      </c>
    </row>
    <row r="2321" customFormat="false" ht="13.8" hidden="false" customHeight="false" outlineLevel="0" collapsed="false">
      <c r="H2321" s="139" t="s">
        <v>2357</v>
      </c>
    </row>
    <row r="2322" customFormat="false" ht="13.8" hidden="false" customHeight="false" outlineLevel="0" collapsed="false">
      <c r="H2322" s="139" t="s">
        <v>81</v>
      </c>
    </row>
    <row r="2323" customFormat="false" ht="13.8" hidden="false" customHeight="false" outlineLevel="0" collapsed="false">
      <c r="H2323" s="139" t="s">
        <v>2359</v>
      </c>
    </row>
    <row r="2324" customFormat="false" ht="13.8" hidden="false" customHeight="false" outlineLevel="0" collapsed="false">
      <c r="H2324" s="139" t="s">
        <v>2359</v>
      </c>
    </row>
    <row r="2325" customFormat="false" ht="13.8" hidden="false" customHeight="false" outlineLevel="0" collapsed="false">
      <c r="H2325" s="139" t="s">
        <v>2337</v>
      </c>
    </row>
    <row r="2326" customFormat="false" ht="13.8" hidden="false" customHeight="false" outlineLevel="0" collapsed="false">
      <c r="H2326" s="139" t="s">
        <v>2337</v>
      </c>
    </row>
    <row r="2327" customFormat="false" ht="13.8" hidden="false" customHeight="false" outlineLevel="0" collapsed="false">
      <c r="H2327" s="139" t="s">
        <v>2357</v>
      </c>
    </row>
    <row r="2328" customFormat="false" ht="13.8" hidden="false" customHeight="false" outlineLevel="0" collapsed="false">
      <c r="H2328" s="139" t="s">
        <v>2359</v>
      </c>
    </row>
    <row r="2329" customFormat="false" ht="13.8" hidden="false" customHeight="false" outlineLevel="0" collapsed="false">
      <c r="H2329" s="139" t="s">
        <v>2359</v>
      </c>
    </row>
    <row r="2330" customFormat="false" ht="13.8" hidden="false" customHeight="false" outlineLevel="0" collapsed="false">
      <c r="H2330" s="139" t="s">
        <v>2340</v>
      </c>
    </row>
    <row r="2331" customFormat="false" ht="13.8" hidden="false" customHeight="false" outlineLevel="0" collapsed="false">
      <c r="H2331" s="139" t="s">
        <v>2357</v>
      </c>
    </row>
    <row r="2332" customFormat="false" ht="13.8" hidden="false" customHeight="false" outlineLevel="0" collapsed="false">
      <c r="H2332" s="139" t="s">
        <v>2358</v>
      </c>
    </row>
    <row r="2333" customFormat="false" ht="13.8" hidden="false" customHeight="false" outlineLevel="0" collapsed="false">
      <c r="H2333" s="139" t="s">
        <v>2360</v>
      </c>
    </row>
    <row r="2334" customFormat="false" ht="13.8" hidden="false" customHeight="false" outlineLevel="0" collapsed="false">
      <c r="H2334" s="139" t="s">
        <v>2359</v>
      </c>
    </row>
    <row r="2335" customFormat="false" ht="13.8" hidden="false" customHeight="false" outlineLevel="0" collapsed="false">
      <c r="H2335" s="139" t="s">
        <v>2361</v>
      </c>
    </row>
    <row r="2336" customFormat="false" ht="13.8" hidden="false" customHeight="false" outlineLevel="0" collapsed="false">
      <c r="H2336" s="139" t="s">
        <v>2358</v>
      </c>
    </row>
    <row r="2337" customFormat="false" ht="13.8" hidden="false" customHeight="false" outlineLevel="0" collapsed="false">
      <c r="H2337" s="139" t="s">
        <v>2360</v>
      </c>
    </row>
    <row r="2338" customFormat="false" ht="13.8" hidden="false" customHeight="false" outlineLevel="0" collapsed="false">
      <c r="H2338" s="139" t="s">
        <v>2359</v>
      </c>
    </row>
    <row r="2339" customFormat="false" ht="13.8" hidden="false" customHeight="false" outlineLevel="0" collapsed="false">
      <c r="H2339" s="139" t="s">
        <v>2357</v>
      </c>
    </row>
    <row r="2340" customFormat="false" ht="13.8" hidden="false" customHeight="false" outlineLevel="0" collapsed="false">
      <c r="H2340" s="139" t="s">
        <v>2332</v>
      </c>
    </row>
    <row r="2341" customFormat="false" ht="13.8" hidden="false" customHeight="false" outlineLevel="0" collapsed="false">
      <c r="H2341" s="139" t="s">
        <v>2357</v>
      </c>
    </row>
    <row r="2342" customFormat="false" ht="13.8" hidden="false" customHeight="false" outlineLevel="0" collapsed="false">
      <c r="H2342" s="139" t="s">
        <v>2359</v>
      </c>
    </row>
    <row r="2343" customFormat="false" ht="13.8" hidden="false" customHeight="false" outlineLevel="0" collapsed="false">
      <c r="H2343" s="139" t="s">
        <v>2338</v>
      </c>
    </row>
    <row r="2344" customFormat="false" ht="13.8" hidden="false" customHeight="false" outlineLevel="0" collapsed="false">
      <c r="H2344" s="139" t="s">
        <v>2338</v>
      </c>
    </row>
    <row r="2345" customFormat="false" ht="13.8" hidden="false" customHeight="false" outlineLevel="0" collapsed="false">
      <c r="H2345" s="139" t="s">
        <v>2332</v>
      </c>
    </row>
    <row r="2346" customFormat="false" ht="13.8" hidden="false" customHeight="false" outlineLevel="0" collapsed="false">
      <c r="H2346" s="139" t="s">
        <v>2357</v>
      </c>
    </row>
    <row r="2347" customFormat="false" ht="13.8" hidden="false" customHeight="false" outlineLevel="0" collapsed="false">
      <c r="H2347" s="139" t="s">
        <v>2358</v>
      </c>
    </row>
    <row r="2348" customFormat="false" ht="13.8" hidden="false" customHeight="false" outlineLevel="0" collapsed="false">
      <c r="H2348" s="139" t="s">
        <v>2359</v>
      </c>
    </row>
    <row r="2349" customFormat="false" ht="13.8" hidden="false" customHeight="false" outlineLevel="0" collapsed="false">
      <c r="H2349" s="139" t="s">
        <v>2359</v>
      </c>
    </row>
    <row r="2350" customFormat="false" ht="13.8" hidden="false" customHeight="false" outlineLevel="0" collapsed="false">
      <c r="H2350" s="139" t="s">
        <v>2360</v>
      </c>
    </row>
    <row r="2351" customFormat="false" ht="13.8" hidden="false" customHeight="false" outlineLevel="0" collapsed="false">
      <c r="H2351" s="139" t="s">
        <v>2338</v>
      </c>
    </row>
    <row r="2352" customFormat="false" ht="13.8" hidden="false" customHeight="false" outlineLevel="0" collapsed="false">
      <c r="H2352" s="139" t="s">
        <v>2361</v>
      </c>
    </row>
    <row r="2353" customFormat="false" ht="13.8" hidden="false" customHeight="false" outlineLevel="0" collapsed="false">
      <c r="H2353" s="139" t="s">
        <v>2358</v>
      </c>
    </row>
    <row r="2354" customFormat="false" ht="13.8" hidden="false" customHeight="false" outlineLevel="0" collapsed="false">
      <c r="H2354" s="139" t="s">
        <v>2360</v>
      </c>
    </row>
    <row r="2355" customFormat="false" ht="13.8" hidden="false" customHeight="false" outlineLevel="0" collapsed="false">
      <c r="H2355" s="139" t="s">
        <v>2304</v>
      </c>
    </row>
    <row r="2356" customFormat="false" ht="13.8" hidden="false" customHeight="false" outlineLevel="0" collapsed="false">
      <c r="H2356" s="139" t="s">
        <v>2302</v>
      </c>
    </row>
    <row r="2357" customFormat="false" ht="13.8" hidden="false" customHeight="false" outlineLevel="0" collapsed="false">
      <c r="H2357" s="139" t="s">
        <v>2359</v>
      </c>
    </row>
    <row r="2358" customFormat="false" ht="13.8" hidden="false" customHeight="false" outlineLevel="0" collapsed="false">
      <c r="H2358" s="139" t="s">
        <v>2333</v>
      </c>
    </row>
    <row r="2359" customFormat="false" ht="13.8" hidden="false" customHeight="false" outlineLevel="0" collapsed="false">
      <c r="H2359" s="139" t="s">
        <v>2332</v>
      </c>
    </row>
    <row r="2360" customFormat="false" ht="13.8" hidden="false" customHeight="false" outlineLevel="0" collapsed="false">
      <c r="H2360" s="139" t="s">
        <v>2338</v>
      </c>
    </row>
    <row r="2361" customFormat="false" ht="13.8" hidden="false" customHeight="false" outlineLevel="0" collapsed="false">
      <c r="H2361" s="139" t="s">
        <v>2352</v>
      </c>
    </row>
    <row r="2362" customFormat="false" ht="13.8" hidden="false" customHeight="false" outlineLevel="0" collapsed="false">
      <c r="H2362" s="139" t="s">
        <v>2333</v>
      </c>
    </row>
    <row r="2363" customFormat="false" ht="13.8" hidden="false" customHeight="false" outlineLevel="0" collapsed="false">
      <c r="H2363" s="139" t="s">
        <v>2332</v>
      </c>
    </row>
    <row r="2364" customFormat="false" ht="13.8" hidden="false" customHeight="false" outlineLevel="0" collapsed="false">
      <c r="H2364" s="139" t="s">
        <v>2332</v>
      </c>
    </row>
    <row r="2365" customFormat="false" ht="13.8" hidden="false" customHeight="false" outlineLevel="0" collapsed="false">
      <c r="H2365" s="139" t="s">
        <v>2333</v>
      </c>
    </row>
    <row r="2366" customFormat="false" ht="13.8" hidden="false" customHeight="false" outlineLevel="0" collapsed="false">
      <c r="H2366" s="139" t="s">
        <v>2352</v>
      </c>
    </row>
    <row r="2367" customFormat="false" ht="13.8" hidden="false" customHeight="false" outlineLevel="0" collapsed="false">
      <c r="H2367" s="139" t="s">
        <v>2304</v>
      </c>
    </row>
    <row r="2368" customFormat="false" ht="13.8" hidden="false" customHeight="false" outlineLevel="0" collapsed="false">
      <c r="H2368" s="139" t="s">
        <v>2302</v>
      </c>
    </row>
    <row r="2369" customFormat="false" ht="13.8" hidden="false" customHeight="false" outlineLevel="0" collapsed="false">
      <c r="H2369" s="139" t="s">
        <v>2338</v>
      </c>
    </row>
    <row r="2370" customFormat="false" ht="13.8" hidden="false" customHeight="false" outlineLevel="0" collapsed="false">
      <c r="H2370" s="139" t="s">
        <v>2361</v>
      </c>
    </row>
    <row r="2371" customFormat="false" ht="13.8" hidden="false" customHeight="false" outlineLevel="0" collapsed="false">
      <c r="H2371" s="139" t="s">
        <v>2308</v>
      </c>
    </row>
    <row r="2372" customFormat="false" ht="13.8" hidden="false" customHeight="false" outlineLevel="0" collapsed="false">
      <c r="H2372" s="139" t="s">
        <v>2346</v>
      </c>
    </row>
    <row r="2373" customFormat="false" ht="13.8" hidden="false" customHeight="false" outlineLevel="0" collapsed="false">
      <c r="H2373" s="139" t="s">
        <v>2352</v>
      </c>
    </row>
    <row r="2374" customFormat="false" ht="13.8" hidden="false" customHeight="false" outlineLevel="0" collapsed="false">
      <c r="H2374" s="139" t="s">
        <v>2304</v>
      </c>
    </row>
    <row r="2375" customFormat="false" ht="13.8" hidden="false" customHeight="false" outlineLevel="0" collapsed="false">
      <c r="H2375" s="139" t="s">
        <v>2302</v>
      </c>
    </row>
    <row r="2376" customFormat="false" ht="13.8" hidden="false" customHeight="false" outlineLevel="0" collapsed="false">
      <c r="H2376" s="139" t="s">
        <v>2333</v>
      </c>
    </row>
    <row r="2377" customFormat="false" ht="13.8" hidden="false" customHeight="false" outlineLevel="0" collapsed="false">
      <c r="H2377" s="139" t="s">
        <v>2332</v>
      </c>
    </row>
    <row r="2378" customFormat="false" ht="13.8" hidden="false" customHeight="false" outlineLevel="0" collapsed="false">
      <c r="H2378" s="139" t="s">
        <v>2352</v>
      </c>
    </row>
    <row r="2379" customFormat="false" ht="13.8" hidden="false" customHeight="false" outlineLevel="0" collapsed="false">
      <c r="H2379" s="139" t="s">
        <v>2338</v>
      </c>
    </row>
    <row r="2380" customFormat="false" ht="13.8" hidden="false" customHeight="false" outlineLevel="0" collapsed="false">
      <c r="H2380" s="139" t="s">
        <v>2332</v>
      </c>
    </row>
    <row r="2381" customFormat="false" ht="13.8" hidden="false" customHeight="false" outlineLevel="0" collapsed="false">
      <c r="H2381" s="139" t="s">
        <v>2333</v>
      </c>
    </row>
    <row r="2382" customFormat="false" ht="13.8" hidden="false" customHeight="false" outlineLevel="0" collapsed="false">
      <c r="H2382" s="139" t="s">
        <v>2352</v>
      </c>
    </row>
    <row r="2383" customFormat="false" ht="13.8" hidden="false" customHeight="false" outlineLevel="0" collapsed="false">
      <c r="H2383" s="139" t="s">
        <v>2332</v>
      </c>
    </row>
    <row r="2384" customFormat="false" ht="13.8" hidden="false" customHeight="false" outlineLevel="0" collapsed="false">
      <c r="H2384" s="139" t="s">
        <v>2333</v>
      </c>
    </row>
    <row r="2385" customFormat="false" ht="13.8" hidden="false" customHeight="false" outlineLevel="0" collapsed="false">
      <c r="H2385" s="139" t="s">
        <v>2352</v>
      </c>
    </row>
    <row r="2386" customFormat="false" ht="13.8" hidden="false" customHeight="false" outlineLevel="0" collapsed="false">
      <c r="H2386" s="139" t="s">
        <v>2304</v>
      </c>
    </row>
    <row r="2387" customFormat="false" ht="13.8" hidden="false" customHeight="false" outlineLevel="0" collapsed="false">
      <c r="H2387" s="139" t="s">
        <v>2302</v>
      </c>
    </row>
    <row r="2388" customFormat="false" ht="13.8" hidden="false" customHeight="false" outlineLevel="0" collapsed="false">
      <c r="H2388" s="139" t="s">
        <v>2338</v>
      </c>
    </row>
    <row r="2389" customFormat="false" ht="13.8" hidden="false" customHeight="false" outlineLevel="0" collapsed="false">
      <c r="H2389" s="139" t="s">
        <v>2308</v>
      </c>
    </row>
    <row r="2390" customFormat="false" ht="13.8" hidden="false" customHeight="false" outlineLevel="0" collapsed="false">
      <c r="H2390" s="139" t="s">
        <v>2346</v>
      </c>
    </row>
    <row r="2391" customFormat="false" ht="13.8" hidden="false" customHeight="false" outlineLevel="0" collapsed="false">
      <c r="H2391" s="139" t="s">
        <v>2326</v>
      </c>
    </row>
    <row r="2392" customFormat="false" ht="13.8" hidden="false" customHeight="false" outlineLevel="0" collapsed="false">
      <c r="H2392" s="139" t="s">
        <v>2352</v>
      </c>
    </row>
    <row r="2393" customFormat="false" ht="13.8" hidden="false" customHeight="false" outlineLevel="0" collapsed="false">
      <c r="H2393" s="139" t="s">
        <v>2362</v>
      </c>
    </row>
    <row r="2394" customFormat="false" ht="13.8" hidden="false" customHeight="false" outlineLevel="0" collapsed="false">
      <c r="H2394" s="139" t="s">
        <v>2332</v>
      </c>
    </row>
    <row r="2395" customFormat="false" ht="13.8" hidden="false" customHeight="false" outlineLevel="0" collapsed="false">
      <c r="H2395" s="139" t="s">
        <v>2333</v>
      </c>
    </row>
    <row r="2396" customFormat="false" ht="13.8" hidden="false" customHeight="false" outlineLevel="0" collapsed="false">
      <c r="H2396" s="139" t="s">
        <v>2304</v>
      </c>
    </row>
    <row r="2397" customFormat="false" ht="13.8" hidden="false" customHeight="false" outlineLevel="0" collapsed="false">
      <c r="H2397" s="139" t="s">
        <v>2302</v>
      </c>
    </row>
    <row r="2398" customFormat="false" ht="13.8" hidden="false" customHeight="false" outlineLevel="0" collapsed="false">
      <c r="H2398" s="139" t="s">
        <v>2324</v>
      </c>
    </row>
    <row r="2399" customFormat="false" ht="13.8" hidden="false" customHeight="false" outlineLevel="0" collapsed="false">
      <c r="H2399" s="139" t="s">
        <v>2362</v>
      </c>
    </row>
    <row r="2400" customFormat="false" ht="13.8" hidden="false" customHeight="false" outlineLevel="0" collapsed="false">
      <c r="H2400" s="139" t="s">
        <v>2362</v>
      </c>
    </row>
    <row r="2401" customFormat="false" ht="13.8" hidden="false" customHeight="false" outlineLevel="0" collapsed="false">
      <c r="H2401" s="139" t="s">
        <v>2333</v>
      </c>
    </row>
    <row r="2402" customFormat="false" ht="13.8" hidden="false" customHeight="false" outlineLevel="0" collapsed="false">
      <c r="H2402" s="139" t="s">
        <v>2324</v>
      </c>
    </row>
    <row r="2403" customFormat="false" ht="13.8" hidden="false" customHeight="false" outlineLevel="0" collapsed="false">
      <c r="H2403" s="139" t="s">
        <v>2333</v>
      </c>
    </row>
    <row r="2404" customFormat="false" ht="13.8" hidden="false" customHeight="false" outlineLevel="0" collapsed="false">
      <c r="H2404" s="139" t="s">
        <v>2362</v>
      </c>
    </row>
    <row r="2405" customFormat="false" ht="13.8" hidden="false" customHeight="false" outlineLevel="0" collapsed="false">
      <c r="H2405" s="139" t="s">
        <v>2304</v>
      </c>
    </row>
    <row r="2406" customFormat="false" ht="13.8" hidden="false" customHeight="false" outlineLevel="0" collapsed="false">
      <c r="H2406" s="139" t="s">
        <v>2302</v>
      </c>
    </row>
    <row r="2407" customFormat="false" ht="13.8" hidden="false" customHeight="false" outlineLevel="0" collapsed="false">
      <c r="H2407" s="139" t="s">
        <v>2346</v>
      </c>
    </row>
    <row r="2408" customFormat="false" ht="13.8" hidden="false" customHeight="false" outlineLevel="0" collapsed="false">
      <c r="H2408" s="139" t="s">
        <v>2308</v>
      </c>
    </row>
    <row r="2409" customFormat="false" ht="13.8" hidden="false" customHeight="false" outlineLevel="0" collapsed="false">
      <c r="H2409" s="139" t="s">
        <v>2348</v>
      </c>
    </row>
    <row r="2410" customFormat="false" ht="13.8" hidden="false" customHeight="false" outlineLevel="0" collapsed="false">
      <c r="H2410" s="139" t="s">
        <v>2363</v>
      </c>
    </row>
    <row r="2411" customFormat="false" ht="13.8" hidden="false" customHeight="false" outlineLevel="0" collapsed="false">
      <c r="H2411" s="139" t="s">
        <v>2315</v>
      </c>
    </row>
    <row r="2412" customFormat="false" ht="13.8" hidden="false" customHeight="false" outlineLevel="0" collapsed="false">
      <c r="H2412" s="139" t="s">
        <v>2324</v>
      </c>
    </row>
    <row r="2413" customFormat="false" ht="13.8" hidden="false" customHeight="false" outlineLevel="0" collapsed="false">
      <c r="H2413" s="139" t="s">
        <v>2329</v>
      </c>
    </row>
    <row r="2414" customFormat="false" ht="13.8" hidden="false" customHeight="false" outlineLevel="0" collapsed="false">
      <c r="H2414" s="139" t="s">
        <v>2362</v>
      </c>
    </row>
    <row r="2415" customFormat="false" ht="13.8" hidden="false" customHeight="false" outlineLevel="0" collapsed="false">
      <c r="H2415" s="139" t="s">
        <v>2362</v>
      </c>
    </row>
    <row r="2416" customFormat="false" ht="13.8" hidden="false" customHeight="false" outlineLevel="0" collapsed="false">
      <c r="H2416" s="139" t="s">
        <v>2333</v>
      </c>
    </row>
    <row r="2417" customFormat="false" ht="13.8" hidden="false" customHeight="false" outlineLevel="0" collapsed="false">
      <c r="H2417" s="139" t="s">
        <v>2304</v>
      </c>
    </row>
    <row r="2418" customFormat="false" ht="13.8" hidden="false" customHeight="false" outlineLevel="0" collapsed="false">
      <c r="H2418" s="139" t="s">
        <v>2302</v>
      </c>
    </row>
    <row r="2419" customFormat="false" ht="13.8" hidden="false" customHeight="false" outlineLevel="0" collapsed="false">
      <c r="H2419" s="139" t="s">
        <v>2329</v>
      </c>
    </row>
    <row r="2420" customFormat="false" ht="13.8" hidden="false" customHeight="false" outlineLevel="0" collapsed="false">
      <c r="H2420" s="139" t="s">
        <v>2333</v>
      </c>
    </row>
    <row r="2421" customFormat="false" ht="13.8" hidden="false" customHeight="false" outlineLevel="0" collapsed="false">
      <c r="H2421" s="139" t="s">
        <v>2362</v>
      </c>
    </row>
    <row r="2422" customFormat="false" ht="13.8" hidden="false" customHeight="false" outlineLevel="0" collapsed="false">
      <c r="H2422" s="139" t="s">
        <v>2329</v>
      </c>
    </row>
    <row r="2423" customFormat="false" ht="13.8" hidden="false" customHeight="false" outlineLevel="0" collapsed="false">
      <c r="H2423" s="139" t="s">
        <v>2333</v>
      </c>
    </row>
    <row r="2424" customFormat="false" ht="13.8" hidden="false" customHeight="false" outlineLevel="0" collapsed="false">
      <c r="H2424" s="139" t="s">
        <v>2362</v>
      </c>
    </row>
    <row r="2425" customFormat="false" ht="13.8" hidden="false" customHeight="false" outlineLevel="0" collapsed="false">
      <c r="H2425" s="139" t="s">
        <v>2364</v>
      </c>
    </row>
    <row r="2426" customFormat="false" ht="13.8" hidden="false" customHeight="false" outlineLevel="0" collapsed="false">
      <c r="H2426" s="139" t="s">
        <v>2304</v>
      </c>
    </row>
    <row r="2427" customFormat="false" ht="13.8" hidden="false" customHeight="false" outlineLevel="0" collapsed="false">
      <c r="H2427" s="139" t="s">
        <v>2302</v>
      </c>
    </row>
    <row r="2428" customFormat="false" ht="13.8" hidden="false" customHeight="false" outlineLevel="0" collapsed="false">
      <c r="H2428" s="139" t="s">
        <v>2365</v>
      </c>
    </row>
    <row r="2429" customFormat="false" ht="13.8" hidden="false" customHeight="false" outlineLevel="0" collapsed="false">
      <c r="H2429" s="139" t="s">
        <v>2308</v>
      </c>
    </row>
    <row r="2430" customFormat="false" ht="13.8" hidden="false" customHeight="false" outlineLevel="0" collapsed="false">
      <c r="H2430" s="139" t="s">
        <v>2366</v>
      </c>
    </row>
    <row r="2431" customFormat="false" ht="13.8" hidden="false" customHeight="false" outlineLevel="0" collapsed="false">
      <c r="H2431" s="139" t="s">
        <v>2355</v>
      </c>
    </row>
    <row r="2432" customFormat="false" ht="13.8" hidden="false" customHeight="false" outlineLevel="0" collapsed="false">
      <c r="H2432" s="139" t="s">
        <v>2328</v>
      </c>
    </row>
    <row r="2433" customFormat="false" ht="13.8" hidden="false" customHeight="false" outlineLevel="0" collapsed="false">
      <c r="H2433" s="139" t="s">
        <v>2329</v>
      </c>
    </row>
    <row r="2434" customFormat="false" ht="13.8" hidden="false" customHeight="false" outlineLevel="0" collapsed="false">
      <c r="H2434" s="139" t="s">
        <v>2364</v>
      </c>
    </row>
    <row r="2435" customFormat="false" ht="13.8" hidden="false" customHeight="false" outlineLevel="0" collapsed="false">
      <c r="H2435" s="139" t="s">
        <v>2364</v>
      </c>
    </row>
    <row r="2436" customFormat="false" ht="13.8" hidden="false" customHeight="false" outlineLevel="0" collapsed="false">
      <c r="H2436" s="139" t="s">
        <v>2333</v>
      </c>
    </row>
    <row r="2437" customFormat="false" ht="13.8" hidden="false" customHeight="false" outlineLevel="0" collapsed="false">
      <c r="H2437" s="139" t="s">
        <v>2304</v>
      </c>
    </row>
    <row r="2438" customFormat="false" ht="13.8" hidden="false" customHeight="false" outlineLevel="0" collapsed="false">
      <c r="H2438" s="139" t="s">
        <v>2302</v>
      </c>
    </row>
    <row r="2439" customFormat="false" ht="13.8" hidden="false" customHeight="false" outlineLevel="0" collapsed="false">
      <c r="H2439" s="139" t="s">
        <v>2333</v>
      </c>
    </row>
    <row r="2440" customFormat="false" ht="13.8" hidden="false" customHeight="false" outlineLevel="0" collapsed="false">
      <c r="H2440" s="139" t="s">
        <v>2364</v>
      </c>
    </row>
    <row r="2441" customFormat="false" ht="13.8" hidden="false" customHeight="false" outlineLevel="0" collapsed="false">
      <c r="H2441" s="139" t="s">
        <v>2364</v>
      </c>
    </row>
    <row r="2442" customFormat="false" ht="13.8" hidden="false" customHeight="false" outlineLevel="0" collapsed="false">
      <c r="H2442" s="139" t="s">
        <v>2304</v>
      </c>
    </row>
    <row r="2443" customFormat="false" ht="13.8" hidden="false" customHeight="false" outlineLevel="0" collapsed="false">
      <c r="H2443" s="139" t="s">
        <v>2302</v>
      </c>
    </row>
    <row r="2444" customFormat="false" ht="13.8" hidden="false" customHeight="false" outlineLevel="0" collapsed="false">
      <c r="H2444" s="139" t="s">
        <v>2364</v>
      </c>
    </row>
    <row r="2445" customFormat="false" ht="13.8" hidden="false" customHeight="false" outlineLevel="0" collapsed="false">
      <c r="H2445" s="139" t="s">
        <v>2313</v>
      </c>
    </row>
    <row r="2446" customFormat="false" ht="13.8" hidden="false" customHeight="false" outlineLevel="0" collapsed="false">
      <c r="H2446" s="139" t="s">
        <v>2328</v>
      </c>
    </row>
    <row r="2447" customFormat="false" ht="13.8" hidden="false" customHeight="false" outlineLevel="0" collapsed="false">
      <c r="H2447" s="139" t="s">
        <v>2308</v>
      </c>
    </row>
    <row r="2448" customFormat="false" ht="13.8" hidden="false" customHeight="false" outlineLevel="0" collapsed="false">
      <c r="H2448" s="139" t="s">
        <v>2304</v>
      </c>
    </row>
    <row r="2449" customFormat="false" ht="13.8" hidden="false" customHeight="false" outlineLevel="0" collapsed="false">
      <c r="H2449" s="139" t="s">
        <v>2302</v>
      </c>
    </row>
    <row r="2450" customFormat="false" ht="13.8" hidden="false" customHeight="false" outlineLevel="0" collapsed="false">
      <c r="H2450" s="139" t="s">
        <v>2364</v>
      </c>
    </row>
    <row r="2451" customFormat="false" ht="13.8" hidden="false" customHeight="false" outlineLevel="0" collapsed="false">
      <c r="H2451" s="139" t="s">
        <v>2313</v>
      </c>
    </row>
    <row r="2452" customFormat="false" ht="13.8" hidden="false" customHeight="false" outlineLevel="0" collapsed="false">
      <c r="H2452" s="139" t="s">
        <v>2304</v>
      </c>
    </row>
    <row r="2453" customFormat="false" ht="13.8" hidden="false" customHeight="false" outlineLevel="0" collapsed="false">
      <c r="H2453" s="139" t="s">
        <v>2313</v>
      </c>
    </row>
    <row r="2454" customFormat="false" ht="13.8" hidden="false" customHeight="false" outlineLevel="0" collapsed="false">
      <c r="H2454" s="139" t="s">
        <v>2364</v>
      </c>
    </row>
    <row r="2455" customFormat="false" ht="13.8" hidden="false" customHeight="false" outlineLevel="0" collapsed="false">
      <c r="H2455" s="139" t="s">
        <v>2328</v>
      </c>
    </row>
    <row r="2456" customFormat="false" ht="13.8" hidden="false" customHeight="false" outlineLevel="0" collapsed="false">
      <c r="H2456" s="139" t="s">
        <v>2330</v>
      </c>
    </row>
    <row r="2457" customFormat="false" ht="13.8" hidden="false" customHeight="false" outlineLevel="0" collapsed="false">
      <c r="H2457" s="139" t="s">
        <v>2318</v>
      </c>
    </row>
    <row r="2458" customFormat="false" ht="13.8" hidden="false" customHeight="false" outlineLevel="0" collapsed="false">
      <c r="H2458" s="139" t="s">
        <v>61</v>
      </c>
    </row>
    <row r="2459" customFormat="false" ht="13.8" hidden="false" customHeight="false" outlineLevel="0" collapsed="false">
      <c r="H2459" s="139" t="s">
        <v>2302</v>
      </c>
    </row>
    <row r="2460" customFormat="false" ht="13.8" hidden="false" customHeight="false" outlineLevel="0" collapsed="false">
      <c r="H2460" s="139" t="s">
        <v>2325</v>
      </c>
    </row>
    <row r="2461" customFormat="false" ht="13.8" hidden="false" customHeight="false" outlineLevel="0" collapsed="false">
      <c r="H2461" s="139" t="s">
        <v>2313</v>
      </c>
    </row>
    <row r="2462" customFormat="false" ht="13.8" hidden="false" customHeight="false" outlineLevel="0" collapsed="false">
      <c r="H2462" s="139" t="s">
        <v>2364</v>
      </c>
    </row>
    <row r="2463" customFormat="false" ht="13.8" hidden="false" customHeight="false" outlineLevel="0" collapsed="false">
      <c r="H2463" s="139" t="s">
        <v>67</v>
      </c>
    </row>
    <row r="2464" customFormat="false" ht="13.8" hidden="false" customHeight="false" outlineLevel="0" collapsed="false">
      <c r="H2464" s="139" t="s">
        <v>2327</v>
      </c>
    </row>
    <row r="2465" customFormat="false" ht="13.8" hidden="false" customHeight="false" outlineLevel="0" collapsed="false">
      <c r="H2465" s="139" t="s">
        <v>2308</v>
      </c>
    </row>
    <row r="2466" customFormat="false" ht="13.8" hidden="false" customHeight="false" outlineLevel="0" collapsed="false">
      <c r="H2466" s="139" t="s">
        <v>2364</v>
      </c>
    </row>
    <row r="2467" customFormat="false" ht="13.8" hidden="false" customHeight="false" outlineLevel="0" collapsed="false">
      <c r="H2467" s="139" t="s">
        <v>61</v>
      </c>
    </row>
    <row r="2468" customFormat="false" ht="13.8" hidden="false" customHeight="false" outlineLevel="0" collapsed="false">
      <c r="H2468" s="139" t="s">
        <v>2325</v>
      </c>
    </row>
    <row r="2469" customFormat="false" ht="13.8" hidden="false" customHeight="false" outlineLevel="0" collapsed="false">
      <c r="H2469" s="139" t="s">
        <v>2364</v>
      </c>
    </row>
    <row r="2470" customFormat="false" ht="13.8" hidden="false" customHeight="false" outlineLevel="0" collapsed="false">
      <c r="H2470" s="139" t="s">
        <v>2313</v>
      </c>
    </row>
    <row r="2471" customFormat="false" ht="13.8" hidden="false" customHeight="false" outlineLevel="0" collapsed="false">
      <c r="H2471" s="139" t="s">
        <v>67</v>
      </c>
    </row>
    <row r="2472" customFormat="false" ht="13.8" hidden="false" customHeight="false" outlineLevel="0" collapsed="false">
      <c r="H2472" s="139" t="s">
        <v>2364</v>
      </c>
    </row>
    <row r="2473" customFormat="false" ht="13.8" hidden="false" customHeight="false" outlineLevel="0" collapsed="false">
      <c r="H2473" s="139" t="s">
        <v>2367</v>
      </c>
    </row>
    <row r="2474" customFormat="false" ht="13.8" hidden="false" customHeight="false" outlineLevel="0" collapsed="false">
      <c r="H2474" s="139" t="s">
        <v>2313</v>
      </c>
    </row>
    <row r="2475" customFormat="false" ht="13.8" hidden="false" customHeight="false" outlineLevel="0" collapsed="false">
      <c r="H2475" s="139" t="s">
        <v>61</v>
      </c>
    </row>
    <row r="2476" customFormat="false" ht="13.8" hidden="false" customHeight="false" outlineLevel="0" collapsed="false">
      <c r="H2476" s="139" t="s">
        <v>2325</v>
      </c>
    </row>
    <row r="2477" customFormat="false" ht="13.8" hidden="false" customHeight="false" outlineLevel="0" collapsed="false">
      <c r="H2477" s="139" t="s">
        <v>2367</v>
      </c>
    </row>
    <row r="2478" customFormat="false" ht="13.8" hidden="false" customHeight="false" outlineLevel="0" collapsed="false">
      <c r="H2478" s="139" t="s">
        <v>2313</v>
      </c>
    </row>
    <row r="2479" customFormat="false" ht="13.8" hidden="false" customHeight="false" outlineLevel="0" collapsed="false">
      <c r="H2479" s="139" t="s">
        <v>67</v>
      </c>
    </row>
    <row r="2480" customFormat="false" ht="13.8" hidden="false" customHeight="false" outlineLevel="0" collapsed="false">
      <c r="H2480" s="139" t="s">
        <v>2368</v>
      </c>
    </row>
    <row r="2481" customFormat="false" ht="13.8" hidden="false" customHeight="false" outlineLevel="0" collapsed="false">
      <c r="H2481" s="139" t="s">
        <v>2335</v>
      </c>
    </row>
    <row r="2482" customFormat="false" ht="13.8" hidden="false" customHeight="false" outlineLevel="0" collapsed="false">
      <c r="H2482" s="139" t="s">
        <v>2327</v>
      </c>
    </row>
    <row r="2483" customFormat="false" ht="13.8" hidden="false" customHeight="false" outlineLevel="0" collapsed="false">
      <c r="H2483" s="139" t="s">
        <v>61</v>
      </c>
    </row>
    <row r="2484" customFormat="false" ht="13.8" hidden="false" customHeight="false" outlineLevel="0" collapsed="false">
      <c r="H2484" s="139" t="s">
        <v>2325</v>
      </c>
    </row>
    <row r="2485" customFormat="false" ht="13.8" hidden="false" customHeight="false" outlineLevel="0" collapsed="false">
      <c r="H2485" s="139" t="s">
        <v>2367</v>
      </c>
    </row>
    <row r="2486" customFormat="false" ht="13.8" hidden="false" customHeight="false" outlineLevel="0" collapsed="false">
      <c r="H2486" s="139" t="s">
        <v>2313</v>
      </c>
    </row>
    <row r="2487" customFormat="false" ht="13.8" hidden="false" customHeight="false" outlineLevel="0" collapsed="false">
      <c r="H2487" s="139" t="s">
        <v>2329</v>
      </c>
    </row>
    <row r="2488" customFormat="false" ht="13.8" hidden="false" customHeight="false" outlineLevel="0" collapsed="false">
      <c r="H2488" s="139" t="s">
        <v>2335</v>
      </c>
    </row>
    <row r="2489" customFormat="false" ht="13.8" hidden="false" customHeight="false" outlineLevel="0" collapsed="false">
      <c r="H2489" s="139" t="s">
        <v>2367</v>
      </c>
    </row>
    <row r="2490" customFormat="false" ht="13.8" hidden="false" customHeight="false" outlineLevel="0" collapsed="false">
      <c r="H2490" s="139" t="s">
        <v>2313</v>
      </c>
    </row>
    <row r="2491" customFormat="false" ht="13.8" hidden="false" customHeight="false" outlineLevel="0" collapsed="false">
      <c r="H2491" s="139" t="s">
        <v>2329</v>
      </c>
    </row>
    <row r="2492" customFormat="false" ht="13.8" hidden="false" customHeight="false" outlineLevel="0" collapsed="false">
      <c r="H2492" s="139" t="s">
        <v>61</v>
      </c>
    </row>
    <row r="2493" customFormat="false" ht="13.8" hidden="false" customHeight="false" outlineLevel="0" collapsed="false">
      <c r="H2493" s="139" t="s">
        <v>2325</v>
      </c>
    </row>
    <row r="2494" customFormat="false" ht="13.8" hidden="false" customHeight="false" outlineLevel="0" collapsed="false">
      <c r="H2494" s="139" t="s">
        <v>2329</v>
      </c>
    </row>
    <row r="2495" customFormat="false" ht="13.8" hidden="false" customHeight="false" outlineLevel="0" collapsed="false">
      <c r="H2495" s="139" t="s">
        <v>2367</v>
      </c>
    </row>
    <row r="2496" customFormat="false" ht="13.8" hidden="false" customHeight="false" outlineLevel="0" collapsed="false">
      <c r="H2496" s="139" t="s">
        <v>2313</v>
      </c>
    </row>
    <row r="2497" customFormat="false" ht="13.8" hidden="false" customHeight="false" outlineLevel="0" collapsed="false">
      <c r="H2497" s="139" t="s">
        <v>2335</v>
      </c>
    </row>
    <row r="2498" customFormat="false" ht="13.8" hidden="false" customHeight="false" outlineLevel="0" collapsed="false">
      <c r="H2498" s="139" t="s">
        <v>67</v>
      </c>
    </row>
    <row r="2499" customFormat="false" ht="13.8" hidden="false" customHeight="false" outlineLevel="0" collapsed="false">
      <c r="H2499" s="139" t="s">
        <v>2327</v>
      </c>
    </row>
    <row r="2500" customFormat="false" ht="13.8" hidden="false" customHeight="false" outlineLevel="0" collapsed="false">
      <c r="H2500" s="139" t="s">
        <v>61</v>
      </c>
    </row>
    <row r="2501" customFormat="false" ht="13.8" hidden="false" customHeight="false" outlineLevel="0" collapsed="false">
      <c r="H2501" s="139" t="s">
        <v>2325</v>
      </c>
    </row>
    <row r="2502" customFormat="false" ht="13.8" hidden="false" customHeight="false" outlineLevel="0" collapsed="false">
      <c r="H2502" s="139" t="s">
        <v>2329</v>
      </c>
    </row>
    <row r="2503" customFormat="false" ht="13.8" hidden="false" customHeight="false" outlineLevel="0" collapsed="false">
      <c r="H2503" s="139" t="s">
        <v>2306</v>
      </c>
    </row>
    <row r="2504" customFormat="false" ht="13.8" hidden="false" customHeight="false" outlineLevel="0" collapsed="false">
      <c r="H2504" s="139" t="s">
        <v>67</v>
      </c>
    </row>
    <row r="2505" customFormat="false" ht="13.8" hidden="false" customHeight="false" outlineLevel="0" collapsed="false">
      <c r="H2505" s="139" t="s">
        <v>2306</v>
      </c>
    </row>
    <row r="2506" customFormat="false" ht="13.8" hidden="false" customHeight="false" outlineLevel="0" collapsed="false">
      <c r="H2506" s="139" t="s">
        <v>2329</v>
      </c>
    </row>
    <row r="2507" customFormat="false" ht="13.8" hidden="false" customHeight="false" outlineLevel="0" collapsed="false">
      <c r="H2507" s="139" t="s">
        <v>2329</v>
      </c>
    </row>
    <row r="2508" customFormat="false" ht="13.8" hidden="false" customHeight="false" outlineLevel="0" collapsed="false">
      <c r="H2508" s="139" t="s">
        <v>2306</v>
      </c>
    </row>
    <row r="2509" customFormat="false" ht="13.8" hidden="false" customHeight="false" outlineLevel="0" collapsed="false">
      <c r="H2509" s="139" t="s">
        <v>67</v>
      </c>
    </row>
    <row r="2510" customFormat="false" ht="13.8" hidden="false" customHeight="false" outlineLevel="0" collapsed="false">
      <c r="H2510" s="139" t="s">
        <v>2346</v>
      </c>
    </row>
    <row r="2511" customFormat="false" ht="13.8" hidden="false" customHeight="false" outlineLevel="0" collapsed="false">
      <c r="H2511" s="139" t="s">
        <v>2344</v>
      </c>
    </row>
    <row r="2512" customFormat="false" ht="13.8" hidden="false" customHeight="false" outlineLevel="0" collapsed="false">
      <c r="H2512" s="139" t="s">
        <v>2306</v>
      </c>
    </row>
    <row r="2513" customFormat="false" ht="13.8" hidden="false" customHeight="false" outlineLevel="0" collapsed="false">
      <c r="H2513" s="139" t="s">
        <v>2329</v>
      </c>
    </row>
    <row r="2514" customFormat="false" ht="13.8" hidden="false" customHeight="false" outlineLevel="0" collapsed="false">
      <c r="H2514" s="139" t="s">
        <v>55</v>
      </c>
    </row>
    <row r="2515" customFormat="false" ht="13.8" hidden="false" customHeight="false" outlineLevel="0" collapsed="false">
      <c r="H2515" s="139" t="s">
        <v>2347</v>
      </c>
    </row>
    <row r="2516" customFormat="false" ht="13.8" hidden="false" customHeight="false" outlineLevel="0" collapsed="false">
      <c r="H2516" s="139" t="s">
        <v>67</v>
      </c>
    </row>
    <row r="2517" customFormat="false" ht="13.8" hidden="false" customHeight="false" outlineLevel="0" collapsed="false">
      <c r="H2517" s="139" t="s">
        <v>2344</v>
      </c>
    </row>
    <row r="2518" customFormat="false" ht="13.8" hidden="false" customHeight="false" outlineLevel="0" collapsed="false">
      <c r="H2518" s="139" t="s">
        <v>2306</v>
      </c>
    </row>
    <row r="2519" customFormat="false" ht="13.8" hidden="false" customHeight="false" outlineLevel="0" collapsed="false">
      <c r="H2519" s="139" t="s">
        <v>2329</v>
      </c>
    </row>
    <row r="2520" customFormat="false" ht="13.8" hidden="false" customHeight="false" outlineLevel="0" collapsed="false">
      <c r="H2520" s="139" t="s">
        <v>2329</v>
      </c>
    </row>
    <row r="2521" customFormat="false" ht="13.8" hidden="false" customHeight="false" outlineLevel="0" collapsed="false">
      <c r="H2521" s="139" t="s">
        <v>2344</v>
      </c>
    </row>
    <row r="2522" customFormat="false" ht="13.8" hidden="false" customHeight="false" outlineLevel="0" collapsed="false">
      <c r="H2522" s="139" t="s">
        <v>2351</v>
      </c>
    </row>
    <row r="2523" customFormat="false" ht="13.8" hidden="false" customHeight="false" outlineLevel="0" collapsed="false">
      <c r="H2523" s="139" t="s">
        <v>2327</v>
      </c>
    </row>
    <row r="2524" customFormat="false" ht="13.8" hidden="false" customHeight="false" outlineLevel="0" collapsed="false">
      <c r="H2524" s="139" t="s">
        <v>2331</v>
      </c>
    </row>
    <row r="2525" customFormat="false" ht="13.8" hidden="false" customHeight="false" outlineLevel="0" collapsed="false">
      <c r="H2525" s="139" t="s">
        <v>2306</v>
      </c>
    </row>
    <row r="2526" customFormat="false" ht="13.8" hidden="false" customHeight="false" outlineLevel="0" collapsed="false">
      <c r="H2526" s="139" t="s">
        <v>55</v>
      </c>
    </row>
    <row r="2527" customFormat="false" ht="13.8" hidden="false" customHeight="false" outlineLevel="0" collapsed="false">
      <c r="H2527" s="139" t="s">
        <v>2347</v>
      </c>
    </row>
    <row r="2528" customFormat="false" ht="13.8" hidden="false" customHeight="false" outlineLevel="0" collapsed="false">
      <c r="H2528" s="139" t="s">
        <v>67</v>
      </c>
    </row>
    <row r="2529" customFormat="false" ht="13.8" hidden="false" customHeight="false" outlineLevel="0" collapsed="false">
      <c r="H2529" s="139" t="s">
        <v>2329</v>
      </c>
    </row>
    <row r="2530" customFormat="false" ht="13.8" hidden="false" customHeight="false" outlineLevel="0" collapsed="false">
      <c r="H2530" s="139" t="s">
        <v>2344</v>
      </c>
    </row>
    <row r="2531" customFormat="false" ht="13.8" hidden="false" customHeight="false" outlineLevel="0" collapsed="false">
      <c r="H2531" s="139" t="s">
        <v>2306</v>
      </c>
    </row>
    <row r="2532" customFormat="false" ht="13.8" hidden="false" customHeight="false" outlineLevel="0" collapsed="false">
      <c r="H2532" s="139" t="s">
        <v>55</v>
      </c>
    </row>
    <row r="2533" customFormat="false" ht="13.8" hidden="false" customHeight="false" outlineLevel="0" collapsed="false">
      <c r="H2533" s="139" t="s">
        <v>2347</v>
      </c>
    </row>
    <row r="2534" customFormat="false" ht="13.8" hidden="false" customHeight="false" outlineLevel="0" collapsed="false">
      <c r="H2534" s="139" t="s">
        <v>67</v>
      </c>
    </row>
    <row r="2535" customFormat="false" ht="13.8" hidden="false" customHeight="false" outlineLevel="0" collapsed="false">
      <c r="H2535" s="139" t="s">
        <v>2326</v>
      </c>
    </row>
    <row r="2536" customFormat="false" ht="13.8" hidden="false" customHeight="false" outlineLevel="0" collapsed="false">
      <c r="H2536" s="139" t="s">
        <v>2314</v>
      </c>
    </row>
    <row r="2537" customFormat="false" ht="13.8" hidden="false" customHeight="false" outlineLevel="0" collapsed="false">
      <c r="H2537" s="139" t="s">
        <v>2351</v>
      </c>
    </row>
    <row r="2538" customFormat="false" ht="13.8" hidden="false" customHeight="false" outlineLevel="0" collapsed="false">
      <c r="H2538" s="139" t="s">
        <v>55</v>
      </c>
    </row>
    <row r="2539" customFormat="false" ht="13.8" hidden="false" customHeight="false" outlineLevel="0" collapsed="false">
      <c r="H2539" s="139" t="s">
        <v>2347</v>
      </c>
    </row>
    <row r="2540" customFormat="false" ht="13.8" hidden="false" customHeight="false" outlineLevel="0" collapsed="false">
      <c r="H2540" s="139" t="s">
        <v>2344</v>
      </c>
    </row>
    <row r="2541" customFormat="false" ht="13.8" hidden="false" customHeight="false" outlineLevel="0" collapsed="false">
      <c r="H2541" s="139" t="s">
        <v>2306</v>
      </c>
    </row>
    <row r="2542" customFormat="false" ht="13.8" hidden="false" customHeight="false" outlineLevel="0" collapsed="false">
      <c r="H2542" s="139" t="s">
        <v>2329</v>
      </c>
    </row>
    <row r="2543" customFormat="false" ht="13.8" hidden="false" customHeight="false" outlineLevel="0" collapsed="false">
      <c r="H2543" s="139" t="s">
        <v>67</v>
      </c>
    </row>
    <row r="2544" customFormat="false" ht="13.8" hidden="false" customHeight="false" outlineLevel="0" collapsed="false">
      <c r="H2544" s="139" t="s">
        <v>2329</v>
      </c>
    </row>
    <row r="2545" customFormat="false" ht="13.8" hidden="false" customHeight="false" outlineLevel="0" collapsed="false">
      <c r="H2545" s="139" t="s">
        <v>2306</v>
      </c>
    </row>
    <row r="2546" customFormat="false" ht="13.8" hidden="false" customHeight="false" outlineLevel="0" collapsed="false">
      <c r="H2546" s="139" t="s">
        <v>2344</v>
      </c>
    </row>
    <row r="2547" customFormat="false" ht="13.8" hidden="false" customHeight="false" outlineLevel="0" collapsed="false">
      <c r="H2547" s="139" t="s">
        <v>2329</v>
      </c>
    </row>
    <row r="2548" customFormat="false" ht="13.8" hidden="false" customHeight="false" outlineLevel="0" collapsed="false">
      <c r="H2548" s="139" t="s">
        <v>2344</v>
      </c>
    </row>
    <row r="2549" customFormat="false" ht="13.8" hidden="false" customHeight="false" outlineLevel="0" collapsed="false">
      <c r="H2549" s="139" t="s">
        <v>2306</v>
      </c>
    </row>
    <row r="2550" customFormat="false" ht="13.8" hidden="false" customHeight="false" outlineLevel="0" collapsed="false">
      <c r="H2550" s="139" t="s">
        <v>55</v>
      </c>
    </row>
    <row r="2551" customFormat="false" ht="13.8" hidden="false" customHeight="false" outlineLevel="0" collapsed="false">
      <c r="H2551" s="139" t="s">
        <v>2347</v>
      </c>
    </row>
    <row r="2552" customFormat="false" ht="13.8" hidden="false" customHeight="false" outlineLevel="0" collapsed="false">
      <c r="H2552" s="139" t="s">
        <v>2351</v>
      </c>
    </row>
    <row r="2553" customFormat="false" ht="13.8" hidden="false" customHeight="false" outlineLevel="0" collapsed="false">
      <c r="H2553" s="139" t="s">
        <v>2314</v>
      </c>
    </row>
    <row r="2554" customFormat="false" ht="13.8" hidden="false" customHeight="false" outlineLevel="0" collapsed="false">
      <c r="H2554" s="139" t="s">
        <v>55</v>
      </c>
    </row>
    <row r="2555" customFormat="false" ht="13.8" hidden="false" customHeight="false" outlineLevel="0" collapsed="false">
      <c r="H2555" s="139" t="s">
        <v>2347</v>
      </c>
    </row>
    <row r="2556" customFormat="false" ht="13.8" hidden="false" customHeight="false" outlineLevel="0" collapsed="false">
      <c r="H2556" s="139" t="s">
        <v>2306</v>
      </c>
    </row>
    <row r="2557" customFormat="false" ht="13.8" hidden="false" customHeight="false" outlineLevel="0" collapsed="false">
      <c r="H2557" s="139" t="s">
        <v>2329</v>
      </c>
    </row>
    <row r="2558" customFormat="false" ht="13.8" hidden="false" customHeight="false" outlineLevel="0" collapsed="false">
      <c r="H2558" s="139" t="s">
        <v>2344</v>
      </c>
    </row>
    <row r="2559" customFormat="false" ht="13.8" hidden="false" customHeight="false" outlineLevel="0" collapsed="false">
      <c r="H2559" s="139" t="s">
        <v>2306</v>
      </c>
    </row>
    <row r="2560" customFormat="false" ht="13.8" hidden="false" customHeight="false" outlineLevel="0" collapsed="false">
      <c r="H2560" s="139" t="s">
        <v>2329</v>
      </c>
    </row>
    <row r="2561" customFormat="false" ht="13.8" hidden="false" customHeight="false" outlineLevel="0" collapsed="false">
      <c r="H2561" s="139" t="s">
        <v>2344</v>
      </c>
    </row>
    <row r="2562" customFormat="false" ht="13.8" hidden="false" customHeight="false" outlineLevel="0" collapsed="false">
      <c r="H2562" s="139" t="s">
        <v>2329</v>
      </c>
    </row>
    <row r="2563" customFormat="false" ht="13.8" hidden="false" customHeight="false" outlineLevel="0" collapsed="false">
      <c r="H2563" s="139" t="s">
        <v>2344</v>
      </c>
    </row>
    <row r="2564" customFormat="false" ht="13.8" hidden="false" customHeight="false" outlineLevel="0" collapsed="false">
      <c r="H2564" s="139" t="s">
        <v>2306</v>
      </c>
    </row>
    <row r="2565" customFormat="false" ht="13.8" hidden="false" customHeight="false" outlineLevel="0" collapsed="false">
      <c r="H2565" s="139" t="s">
        <v>55</v>
      </c>
    </row>
    <row r="2566" customFormat="false" ht="13.8" hidden="false" customHeight="false" outlineLevel="0" collapsed="false">
      <c r="H2566" s="139" t="s">
        <v>2347</v>
      </c>
    </row>
    <row r="2567" customFormat="false" ht="13.8" hidden="false" customHeight="false" outlineLevel="0" collapsed="false">
      <c r="H2567" s="139" t="s">
        <v>2314</v>
      </c>
    </row>
    <row r="2568" customFormat="false" ht="13.8" hidden="false" customHeight="false" outlineLevel="0" collapsed="false">
      <c r="H2568" s="139" t="s">
        <v>2351</v>
      </c>
    </row>
    <row r="2569" customFormat="false" ht="13.8" hidden="false" customHeight="false" outlineLevel="0" collapsed="false">
      <c r="H2569" s="139" t="s">
        <v>55</v>
      </c>
    </row>
    <row r="2570" customFormat="false" ht="13.8" hidden="false" customHeight="false" outlineLevel="0" collapsed="false">
      <c r="H2570" s="139" t="s">
        <v>2347</v>
      </c>
    </row>
    <row r="2571" customFormat="false" ht="13.8" hidden="false" customHeight="false" outlineLevel="0" collapsed="false">
      <c r="H2571" s="139" t="s">
        <v>2306</v>
      </c>
    </row>
    <row r="2572" customFormat="false" ht="13.8" hidden="false" customHeight="false" outlineLevel="0" collapsed="false">
      <c r="H2572" s="139" t="s">
        <v>2344</v>
      </c>
    </row>
    <row r="2573" customFormat="false" ht="13.8" hidden="false" customHeight="false" outlineLevel="0" collapsed="false">
      <c r="H2573" s="139" t="s">
        <v>2329</v>
      </c>
    </row>
    <row r="2574" customFormat="false" ht="13.8" hidden="false" customHeight="false" outlineLevel="0" collapsed="false">
      <c r="H2574" s="139" t="s">
        <v>2306</v>
      </c>
    </row>
    <row r="2575" customFormat="false" ht="13.8" hidden="false" customHeight="false" outlineLevel="0" collapsed="false">
      <c r="H2575" s="139" t="s">
        <v>2329</v>
      </c>
    </row>
    <row r="2576" customFormat="false" ht="13.8" hidden="false" customHeight="false" outlineLevel="0" collapsed="false">
      <c r="H2576" s="139" t="s">
        <v>2344</v>
      </c>
    </row>
    <row r="2577" customFormat="false" ht="13.8" hidden="false" customHeight="false" outlineLevel="0" collapsed="false">
      <c r="H2577" s="139" t="s">
        <v>2329</v>
      </c>
    </row>
    <row r="2578" customFormat="false" ht="13.8" hidden="false" customHeight="false" outlineLevel="0" collapsed="false">
      <c r="H2578" s="139" t="s">
        <v>55</v>
      </c>
    </row>
    <row r="2579" customFormat="false" ht="13.8" hidden="false" customHeight="false" outlineLevel="0" collapsed="false">
      <c r="H2579" s="139" t="s">
        <v>2347</v>
      </c>
    </row>
    <row r="2580" customFormat="false" ht="13.8" hidden="false" customHeight="false" outlineLevel="0" collapsed="false">
      <c r="H2580" s="139" t="s">
        <v>2344</v>
      </c>
    </row>
    <row r="2581" customFormat="false" ht="13.8" hidden="false" customHeight="false" outlineLevel="0" collapsed="false">
      <c r="H2581" s="139" t="s">
        <v>2306</v>
      </c>
    </row>
    <row r="2582" customFormat="false" ht="13.8" hidden="false" customHeight="false" outlineLevel="0" collapsed="false">
      <c r="H2582" s="139" t="s">
        <v>67</v>
      </c>
    </row>
    <row r="2583" customFormat="false" ht="13.8" hidden="false" customHeight="false" outlineLevel="0" collapsed="false">
      <c r="H2583" s="139" t="s">
        <v>2351</v>
      </c>
    </row>
    <row r="2584" customFormat="false" ht="13.8" hidden="false" customHeight="false" outlineLevel="0" collapsed="false">
      <c r="H2584" s="139" t="s">
        <v>2314</v>
      </c>
    </row>
    <row r="2585" customFormat="false" ht="13.8" hidden="false" customHeight="false" outlineLevel="0" collapsed="false">
      <c r="H2585" s="139" t="s">
        <v>55</v>
      </c>
    </row>
    <row r="2586" customFormat="false" ht="13.8" hidden="false" customHeight="false" outlineLevel="0" collapsed="false">
      <c r="H2586" s="139" t="s">
        <v>2347</v>
      </c>
    </row>
    <row r="2587" customFormat="false" ht="13.8" hidden="false" customHeight="false" outlineLevel="0" collapsed="false">
      <c r="H2587" s="139" t="s">
        <v>2344</v>
      </c>
    </row>
    <row r="2588" customFormat="false" ht="13.8" hidden="false" customHeight="false" outlineLevel="0" collapsed="false">
      <c r="H2588" s="139" t="s">
        <v>2306</v>
      </c>
    </row>
    <row r="2589" customFormat="false" ht="13.8" hidden="false" customHeight="false" outlineLevel="0" collapsed="false">
      <c r="H2589" s="139" t="s">
        <v>2329</v>
      </c>
    </row>
    <row r="2590" customFormat="false" ht="13.8" hidden="false" customHeight="false" outlineLevel="0" collapsed="false">
      <c r="H2590" s="139" t="s">
        <v>67</v>
      </c>
    </row>
    <row r="2591" customFormat="false" ht="13.8" hidden="false" customHeight="false" outlineLevel="0" collapsed="false">
      <c r="H2591" s="139" t="s">
        <v>2329</v>
      </c>
    </row>
    <row r="2592" customFormat="false" ht="13.8" hidden="false" customHeight="false" outlineLevel="0" collapsed="false">
      <c r="H2592" s="139" t="s">
        <v>2306</v>
      </c>
    </row>
    <row r="2593" customFormat="false" ht="13.8" hidden="false" customHeight="false" outlineLevel="0" collapsed="false">
      <c r="H2593" s="139" t="s">
        <v>2344</v>
      </c>
    </row>
    <row r="2594" customFormat="false" ht="13.8" hidden="false" customHeight="false" outlineLevel="0" collapsed="false">
      <c r="H2594" s="139" t="s">
        <v>55</v>
      </c>
    </row>
    <row r="2595" customFormat="false" ht="13.8" hidden="false" customHeight="false" outlineLevel="0" collapsed="false">
      <c r="H2595" s="139" t="s">
        <v>2347</v>
      </c>
    </row>
    <row r="2596" customFormat="false" ht="13.8" hidden="false" customHeight="false" outlineLevel="0" collapsed="false">
      <c r="H2596" s="139" t="s">
        <v>2306</v>
      </c>
    </row>
    <row r="2597" customFormat="false" ht="13.8" hidden="false" customHeight="false" outlineLevel="0" collapsed="false">
      <c r="H2597" s="139" t="s">
        <v>2344</v>
      </c>
    </row>
    <row r="2598" customFormat="false" ht="13.8" hidden="false" customHeight="false" outlineLevel="0" collapsed="false">
      <c r="H2598" s="139" t="s">
        <v>67</v>
      </c>
    </row>
    <row r="2599" customFormat="false" ht="13.8" hidden="false" customHeight="false" outlineLevel="0" collapsed="false">
      <c r="H2599" s="139" t="s">
        <v>2331</v>
      </c>
    </row>
    <row r="2600" customFormat="false" ht="13.8" hidden="false" customHeight="false" outlineLevel="0" collapsed="false">
      <c r="H2600" s="139" t="s">
        <v>2314</v>
      </c>
    </row>
    <row r="2601" customFormat="false" ht="13.8" hidden="false" customHeight="false" outlineLevel="0" collapsed="false">
      <c r="H2601" s="139" t="s">
        <v>2351</v>
      </c>
    </row>
    <row r="2602" customFormat="false" ht="13.8" hidden="false" customHeight="false" outlineLevel="0" collapsed="false">
      <c r="H2602" s="139" t="s">
        <v>55</v>
      </c>
    </row>
    <row r="2603" customFormat="false" ht="13.8" hidden="false" customHeight="false" outlineLevel="0" collapsed="false">
      <c r="H2603" s="139" t="s">
        <v>2347</v>
      </c>
    </row>
    <row r="2604" customFormat="false" ht="13.8" hidden="false" customHeight="false" outlineLevel="0" collapsed="false">
      <c r="H2604" s="139" t="s">
        <v>2344</v>
      </c>
    </row>
    <row r="2605" customFormat="false" ht="13.8" hidden="false" customHeight="false" outlineLevel="0" collapsed="false">
      <c r="H2605" s="139" t="s">
        <v>2306</v>
      </c>
    </row>
    <row r="2606" customFormat="false" ht="13.8" hidden="false" customHeight="false" outlineLevel="0" collapsed="false">
      <c r="H2606" s="139" t="s">
        <v>67</v>
      </c>
    </row>
    <row r="2607" customFormat="false" ht="13.8" hidden="false" customHeight="false" outlineLevel="0" collapsed="false">
      <c r="H2607" s="139" t="s">
        <v>75</v>
      </c>
    </row>
    <row r="2608" customFormat="false" ht="13.8" hidden="false" customHeight="false" outlineLevel="0" collapsed="false">
      <c r="H2608" s="139" t="s">
        <v>2306</v>
      </c>
    </row>
    <row r="2609" customFormat="false" ht="13.8" hidden="false" customHeight="false" outlineLevel="0" collapsed="false">
      <c r="H2609" s="139" t="s">
        <v>2344</v>
      </c>
    </row>
    <row r="2610" customFormat="false" ht="13.8" hidden="false" customHeight="false" outlineLevel="0" collapsed="false">
      <c r="H2610" s="139" t="s">
        <v>75</v>
      </c>
    </row>
    <row r="2611" customFormat="false" ht="13.8" hidden="false" customHeight="false" outlineLevel="0" collapsed="false">
      <c r="H2611" s="139" t="s">
        <v>2344</v>
      </c>
    </row>
    <row r="2612" customFormat="false" ht="13.8" hidden="false" customHeight="false" outlineLevel="0" collapsed="false">
      <c r="H2612" s="139" t="s">
        <v>2306</v>
      </c>
    </row>
    <row r="2613" customFormat="false" ht="13.8" hidden="false" customHeight="false" outlineLevel="0" collapsed="false">
      <c r="H2613" s="139" t="s">
        <v>55</v>
      </c>
    </row>
    <row r="2614" customFormat="false" ht="13.8" hidden="false" customHeight="false" outlineLevel="0" collapsed="false">
      <c r="H2614" s="139" t="s">
        <v>2347</v>
      </c>
    </row>
    <row r="2615" customFormat="false" ht="13.8" hidden="false" customHeight="false" outlineLevel="0" collapsed="false">
      <c r="H2615" s="139" t="s">
        <v>67</v>
      </c>
    </row>
    <row r="2616" customFormat="false" ht="13.8" hidden="false" customHeight="false" outlineLevel="0" collapsed="false">
      <c r="H2616" s="139" t="s">
        <v>2351</v>
      </c>
    </row>
    <row r="2617" customFormat="false" ht="13.8" hidden="false" customHeight="false" outlineLevel="0" collapsed="false">
      <c r="H2617" s="139" t="s">
        <v>55</v>
      </c>
    </row>
    <row r="2618" customFormat="false" ht="13.8" hidden="false" customHeight="false" outlineLevel="0" collapsed="false">
      <c r="H2618" s="139" t="s">
        <v>2347</v>
      </c>
    </row>
    <row r="2619" customFormat="false" ht="13.8" hidden="false" customHeight="false" outlineLevel="0" collapsed="false">
      <c r="H2619" s="139" t="s">
        <v>75</v>
      </c>
    </row>
    <row r="2620" customFormat="false" ht="13.8" hidden="false" customHeight="false" outlineLevel="0" collapsed="false">
      <c r="H2620" s="139" t="s">
        <v>2344</v>
      </c>
    </row>
    <row r="2621" customFormat="false" ht="13.8" hidden="false" customHeight="false" outlineLevel="0" collapsed="false">
      <c r="H2621" s="139" t="s">
        <v>2306</v>
      </c>
    </row>
    <row r="2622" customFormat="false" ht="13.8" hidden="false" customHeight="false" outlineLevel="0" collapsed="false">
      <c r="H2622" s="139" t="s">
        <v>67</v>
      </c>
    </row>
    <row r="2623" customFormat="false" ht="13.8" hidden="false" customHeight="false" outlineLevel="0" collapsed="false">
      <c r="H2623" s="139" t="s">
        <v>75</v>
      </c>
    </row>
    <row r="2624" customFormat="false" ht="13.8" hidden="false" customHeight="false" outlineLevel="0" collapsed="false">
      <c r="H2624" s="139" t="s">
        <v>2306</v>
      </c>
    </row>
    <row r="2625" customFormat="false" ht="13.8" hidden="false" customHeight="false" outlineLevel="0" collapsed="false">
      <c r="H2625" s="139" t="s">
        <v>2344</v>
      </c>
    </row>
    <row r="2626" customFormat="false" ht="13.8" hidden="false" customHeight="false" outlineLevel="0" collapsed="false">
      <c r="H2626" s="139" t="s">
        <v>2306</v>
      </c>
    </row>
    <row r="2627" customFormat="false" ht="13.8" hidden="false" customHeight="false" outlineLevel="0" collapsed="false">
      <c r="H2627" s="139" t="s">
        <v>75</v>
      </c>
    </row>
    <row r="2628" customFormat="false" ht="13.8" hidden="false" customHeight="false" outlineLevel="0" collapsed="false">
      <c r="H2628" s="139" t="s">
        <v>2344</v>
      </c>
    </row>
    <row r="2629" customFormat="false" ht="13.8" hidden="false" customHeight="false" outlineLevel="0" collapsed="false">
      <c r="H2629" s="139" t="s">
        <v>55</v>
      </c>
    </row>
    <row r="2630" customFormat="false" ht="13.8" hidden="false" customHeight="false" outlineLevel="0" collapsed="false">
      <c r="H2630" s="139" t="s">
        <v>2347</v>
      </c>
    </row>
    <row r="2631" customFormat="false" ht="13.8" hidden="false" customHeight="false" outlineLevel="0" collapsed="false">
      <c r="H2631" s="139" t="s">
        <v>2351</v>
      </c>
    </row>
    <row r="2632" customFormat="false" ht="13.8" hidden="false" customHeight="false" outlineLevel="0" collapsed="false">
      <c r="H2632" s="139" t="s">
        <v>55</v>
      </c>
    </row>
    <row r="2633" customFormat="false" ht="13.8" hidden="false" customHeight="false" outlineLevel="0" collapsed="false">
      <c r="H2633" s="139" t="s">
        <v>2347</v>
      </c>
    </row>
    <row r="2634" customFormat="false" ht="13.8" hidden="false" customHeight="false" outlineLevel="0" collapsed="false">
      <c r="H2634" s="139" t="s">
        <v>2306</v>
      </c>
    </row>
    <row r="2635" customFormat="false" ht="13.8" hidden="false" customHeight="false" outlineLevel="0" collapsed="false">
      <c r="H2635" s="139" t="s">
        <v>75</v>
      </c>
    </row>
    <row r="2636" customFormat="false" ht="13.8" hidden="false" customHeight="false" outlineLevel="0" collapsed="false">
      <c r="H2636" s="139" t="s">
        <v>2344</v>
      </c>
    </row>
    <row r="2637" customFormat="false" ht="13.8" hidden="false" customHeight="false" outlineLevel="0" collapsed="false">
      <c r="H2637" s="139" t="s">
        <v>67</v>
      </c>
    </row>
    <row r="2638" customFormat="false" ht="13.8" hidden="false" customHeight="false" outlineLevel="0" collapsed="false">
      <c r="H2638" s="139" t="s">
        <v>2329</v>
      </c>
    </row>
    <row r="2639" customFormat="false" ht="13.8" hidden="false" customHeight="false" outlineLevel="0" collapsed="false">
      <c r="H2639" s="139" t="s">
        <v>2344</v>
      </c>
    </row>
    <row r="2640" customFormat="false" ht="13.8" hidden="false" customHeight="false" outlineLevel="0" collapsed="false">
      <c r="H2640" s="139" t="s">
        <v>2306</v>
      </c>
    </row>
    <row r="2641" customFormat="false" ht="13.8" hidden="false" customHeight="false" outlineLevel="0" collapsed="false">
      <c r="H2641" s="139" t="s">
        <v>2306</v>
      </c>
    </row>
    <row r="2642" customFormat="false" ht="13.8" hidden="false" customHeight="false" outlineLevel="0" collapsed="false">
      <c r="H2642" s="139" t="s">
        <v>2329</v>
      </c>
    </row>
    <row r="2643" customFormat="false" ht="13.8" hidden="false" customHeight="false" outlineLevel="0" collapsed="false">
      <c r="H2643" s="139" t="s">
        <v>2344</v>
      </c>
    </row>
    <row r="2644" customFormat="false" ht="13.8" hidden="false" customHeight="false" outlineLevel="0" collapsed="false">
      <c r="H2644" s="139" t="s">
        <v>55</v>
      </c>
    </row>
    <row r="2645" customFormat="false" ht="13.8" hidden="false" customHeight="false" outlineLevel="0" collapsed="false">
      <c r="H2645" s="139" t="s">
        <v>2347</v>
      </c>
    </row>
    <row r="2646" customFormat="false" ht="13.8" hidden="false" customHeight="false" outlineLevel="0" collapsed="false">
      <c r="H2646" s="139" t="s">
        <v>2351</v>
      </c>
    </row>
    <row r="2647" customFormat="false" ht="13.8" hidden="false" customHeight="false" outlineLevel="0" collapsed="false">
      <c r="H2647" s="139" t="s">
        <v>55</v>
      </c>
    </row>
    <row r="2648" customFormat="false" ht="13.8" hidden="false" customHeight="false" outlineLevel="0" collapsed="false">
      <c r="H2648" s="139" t="s">
        <v>2347</v>
      </c>
    </row>
    <row r="2649" customFormat="false" ht="13.8" hidden="false" customHeight="false" outlineLevel="0" collapsed="false">
      <c r="H2649" s="139" t="s">
        <v>2306</v>
      </c>
    </row>
    <row r="2650" customFormat="false" ht="13.8" hidden="false" customHeight="false" outlineLevel="0" collapsed="false">
      <c r="H2650" s="139" t="s">
        <v>2329</v>
      </c>
    </row>
    <row r="2651" customFormat="false" ht="13.8" hidden="false" customHeight="false" outlineLevel="0" collapsed="false">
      <c r="H2651" s="139" t="s">
        <v>2344</v>
      </c>
    </row>
    <row r="2652" customFormat="false" ht="13.8" hidden="false" customHeight="false" outlineLevel="0" collapsed="false">
      <c r="H2652" s="139" t="s">
        <v>67</v>
      </c>
    </row>
    <row r="2653" customFormat="false" ht="13.8" hidden="false" customHeight="false" outlineLevel="0" collapsed="false">
      <c r="H2653" s="139" t="s">
        <v>2330</v>
      </c>
    </row>
    <row r="2654" customFormat="false" ht="13.8" hidden="false" customHeight="false" outlineLevel="0" collapsed="false">
      <c r="H2654" s="139" t="s">
        <v>2330</v>
      </c>
    </row>
    <row r="2655" customFormat="false" ht="13.8" hidden="false" customHeight="false" outlineLevel="0" collapsed="false">
      <c r="H2655" s="139" t="s">
        <v>2329</v>
      </c>
    </row>
    <row r="2656" customFormat="false" ht="13.8" hidden="false" customHeight="false" outlineLevel="0" collapsed="false">
      <c r="H2656" s="139" t="s">
        <v>2306</v>
      </c>
    </row>
    <row r="2657" customFormat="false" ht="13.8" hidden="false" customHeight="false" outlineLevel="0" collapsed="false">
      <c r="H2657" s="139" t="s">
        <v>2344</v>
      </c>
    </row>
    <row r="2658" customFormat="false" ht="13.8" hidden="false" customHeight="false" outlineLevel="0" collapsed="false">
      <c r="H2658" s="139" t="s">
        <v>2333</v>
      </c>
    </row>
    <row r="2659" customFormat="false" ht="13.8" hidden="false" customHeight="false" outlineLevel="0" collapsed="false">
      <c r="H2659" s="139" t="s">
        <v>2306</v>
      </c>
    </row>
    <row r="2660" customFormat="false" ht="13.8" hidden="false" customHeight="false" outlineLevel="0" collapsed="false">
      <c r="H2660" s="139" t="s">
        <v>2329</v>
      </c>
    </row>
    <row r="2661" customFormat="false" ht="13.8" hidden="false" customHeight="false" outlineLevel="0" collapsed="false">
      <c r="H2661" s="139" t="s">
        <v>55</v>
      </c>
    </row>
    <row r="2662" customFormat="false" ht="13.8" hidden="false" customHeight="false" outlineLevel="0" collapsed="false">
      <c r="H2662" s="139" t="s">
        <v>2347</v>
      </c>
    </row>
    <row r="2663" customFormat="false" ht="13.8" hidden="false" customHeight="false" outlineLevel="0" collapsed="false">
      <c r="H2663" s="139" t="s">
        <v>2330</v>
      </c>
    </row>
    <row r="2664" customFormat="false" ht="13.8" hidden="false" customHeight="false" outlineLevel="0" collapsed="false">
      <c r="H2664" s="139" t="s">
        <v>2351</v>
      </c>
    </row>
    <row r="2665" customFormat="false" ht="13.8" hidden="false" customHeight="false" outlineLevel="0" collapsed="false">
      <c r="H2665" s="139" t="s">
        <v>55</v>
      </c>
    </row>
    <row r="2666" customFormat="false" ht="13.8" hidden="false" customHeight="false" outlineLevel="0" collapsed="false">
      <c r="H2666" s="139" t="s">
        <v>2347</v>
      </c>
    </row>
    <row r="2667" customFormat="false" ht="13.8" hidden="false" customHeight="false" outlineLevel="0" collapsed="false">
      <c r="H2667" s="139" t="s">
        <v>2306</v>
      </c>
    </row>
    <row r="2668" customFormat="false" ht="13.8" hidden="false" customHeight="false" outlineLevel="0" collapsed="false">
      <c r="H2668" s="139" t="s">
        <v>2330</v>
      </c>
    </row>
    <row r="2669" customFormat="false" ht="13.8" hidden="false" customHeight="false" outlineLevel="0" collapsed="false">
      <c r="H2669" s="139" t="s">
        <v>2329</v>
      </c>
    </row>
    <row r="2670" customFormat="false" ht="13.8" hidden="false" customHeight="false" outlineLevel="0" collapsed="false">
      <c r="H2670" s="139" t="s">
        <v>2306</v>
      </c>
    </row>
    <row r="2671" customFormat="false" ht="13.8" hidden="false" customHeight="false" outlineLevel="0" collapsed="false">
      <c r="H2671" s="139" t="s">
        <v>2329</v>
      </c>
    </row>
    <row r="2672" customFormat="false" ht="13.8" hidden="false" customHeight="false" outlineLevel="0" collapsed="false">
      <c r="H2672" s="139" t="s">
        <v>2306</v>
      </c>
    </row>
    <row r="2673" customFormat="false" ht="13.8" hidden="false" customHeight="false" outlineLevel="0" collapsed="false">
      <c r="H2673" s="139" t="s">
        <v>2329</v>
      </c>
    </row>
    <row r="2674" customFormat="false" ht="13.8" hidden="false" customHeight="false" outlineLevel="0" collapsed="false">
      <c r="H2674" s="139" t="s">
        <v>55</v>
      </c>
    </row>
    <row r="2675" customFormat="false" ht="13.8" hidden="false" customHeight="false" outlineLevel="0" collapsed="false">
      <c r="H2675" s="139" t="s">
        <v>2347</v>
      </c>
    </row>
    <row r="2676" customFormat="false" ht="13.8" hidden="false" customHeight="false" outlineLevel="0" collapsed="false">
      <c r="H2676" s="139" t="s">
        <v>2316</v>
      </c>
    </row>
    <row r="2677" customFormat="false" ht="13.8" hidden="false" customHeight="false" outlineLevel="0" collapsed="false">
      <c r="H2677" s="139" t="s">
        <v>2351</v>
      </c>
    </row>
    <row r="2678" customFormat="false" ht="13.8" hidden="false" customHeight="false" outlineLevel="0" collapsed="false">
      <c r="H2678" s="139" t="s">
        <v>2335</v>
      </c>
    </row>
    <row r="2679" customFormat="false" ht="13.8" hidden="false" customHeight="false" outlineLevel="0" collapsed="false">
      <c r="H2679" s="139" t="s">
        <v>2329</v>
      </c>
    </row>
    <row r="2680" customFormat="false" ht="13.8" hidden="false" customHeight="false" outlineLevel="0" collapsed="false">
      <c r="H2680" s="139" t="s">
        <v>2306</v>
      </c>
    </row>
    <row r="2681" customFormat="false" ht="13.8" hidden="false" customHeight="false" outlineLevel="0" collapsed="false">
      <c r="H2681" s="139" t="s">
        <v>2303</v>
      </c>
    </row>
    <row r="2682" customFormat="false" ht="13.8" hidden="false" customHeight="false" outlineLevel="0" collapsed="false">
      <c r="H2682" s="139" t="s">
        <v>2306</v>
      </c>
    </row>
    <row r="2683" customFormat="false" ht="13.8" hidden="false" customHeight="false" outlineLevel="0" collapsed="false">
      <c r="H2683" s="139" t="s">
        <v>2329</v>
      </c>
    </row>
    <row r="2684" customFormat="false" ht="13.8" hidden="false" customHeight="false" outlineLevel="0" collapsed="false">
      <c r="H2684" s="139" t="s">
        <v>2329</v>
      </c>
    </row>
    <row r="2685" customFormat="false" ht="13.8" hidden="false" customHeight="false" outlineLevel="0" collapsed="false">
      <c r="H2685" s="139" t="s">
        <v>2303</v>
      </c>
    </row>
    <row r="2686" customFormat="false" ht="13.8" hidden="false" customHeight="false" outlineLevel="0" collapsed="false">
      <c r="H2686" s="139" t="s">
        <v>2306</v>
      </c>
    </row>
    <row r="2687" customFormat="false" ht="13.8" hidden="false" customHeight="false" outlineLevel="0" collapsed="false">
      <c r="H2687" s="139" t="s">
        <v>2311</v>
      </c>
    </row>
    <row r="2688" customFormat="false" ht="13.8" hidden="false" customHeight="false" outlineLevel="0" collapsed="false">
      <c r="H2688" s="139" t="s">
        <v>2322</v>
      </c>
    </row>
    <row r="2689" customFormat="false" ht="13.8" hidden="false" customHeight="false" outlineLevel="0" collapsed="false">
      <c r="H2689" s="139" t="s">
        <v>2335</v>
      </c>
    </row>
    <row r="2690" customFormat="false" ht="13.8" hidden="false" customHeight="false" outlineLevel="0" collapsed="false">
      <c r="H2690" s="139" t="s">
        <v>2323</v>
      </c>
    </row>
    <row r="2691" customFormat="false" ht="13.8" hidden="false" customHeight="false" outlineLevel="0" collapsed="false">
      <c r="H2691" s="139" t="s">
        <v>2306</v>
      </c>
    </row>
    <row r="2692" customFormat="false" ht="13.8" hidden="false" customHeight="false" outlineLevel="0" collapsed="false">
      <c r="H2692" s="139" t="s">
        <v>2303</v>
      </c>
    </row>
    <row r="2693" customFormat="false" ht="13.8" hidden="false" customHeight="false" outlineLevel="0" collapsed="false">
      <c r="H2693" s="139" t="s">
        <v>2329</v>
      </c>
    </row>
    <row r="2694" customFormat="false" ht="13.8" hidden="false" customHeight="false" outlineLevel="0" collapsed="false">
      <c r="H2694" s="139" t="s">
        <v>2311</v>
      </c>
    </row>
    <row r="2695" customFormat="false" ht="13.8" hidden="false" customHeight="false" outlineLevel="0" collapsed="false">
      <c r="H2695" s="139" t="s">
        <v>2322</v>
      </c>
    </row>
    <row r="2696" customFormat="false" ht="13.8" hidden="false" customHeight="false" outlineLevel="0" collapsed="false">
      <c r="H2696" s="139" t="s">
        <v>2335</v>
      </c>
    </row>
    <row r="2697" customFormat="false" ht="13.8" hidden="false" customHeight="false" outlineLevel="0" collapsed="false">
      <c r="H2697" s="139" t="s">
        <v>2306</v>
      </c>
    </row>
    <row r="2698" customFormat="false" ht="13.8" hidden="false" customHeight="false" outlineLevel="0" collapsed="false">
      <c r="H2698" s="139" t="s">
        <v>2329</v>
      </c>
    </row>
    <row r="2699" customFormat="false" ht="13.8" hidden="false" customHeight="false" outlineLevel="0" collapsed="false">
      <c r="H2699" s="139" t="s">
        <v>2303</v>
      </c>
    </row>
    <row r="2700" customFormat="false" ht="13.8" hidden="false" customHeight="false" outlineLevel="0" collapsed="false">
      <c r="H2700" s="139" t="s">
        <v>2329</v>
      </c>
    </row>
    <row r="2701" customFormat="false" ht="13.8" hidden="false" customHeight="false" outlineLevel="0" collapsed="false">
      <c r="H2701" s="139" t="s">
        <v>2303</v>
      </c>
    </row>
    <row r="2702" customFormat="false" ht="13.8" hidden="false" customHeight="false" outlineLevel="0" collapsed="false">
      <c r="H2702" s="139" t="s">
        <v>2311</v>
      </c>
    </row>
    <row r="2703" customFormat="false" ht="13.8" hidden="false" customHeight="false" outlineLevel="0" collapsed="false">
      <c r="H2703" s="139" t="s">
        <v>2322</v>
      </c>
    </row>
    <row r="2704" customFormat="false" ht="13.8" hidden="false" customHeight="false" outlineLevel="0" collapsed="false">
      <c r="H2704" s="139" t="s">
        <v>2335</v>
      </c>
    </row>
    <row r="2705" customFormat="false" ht="13.8" hidden="false" customHeight="false" outlineLevel="0" collapsed="false">
      <c r="H2705" s="139" t="s">
        <v>67</v>
      </c>
    </row>
    <row r="2706" customFormat="false" ht="13.8" hidden="false" customHeight="false" outlineLevel="0" collapsed="false">
      <c r="H2706" s="139" t="s">
        <v>2323</v>
      </c>
    </row>
    <row r="2707" customFormat="false" ht="13.8" hidden="false" customHeight="false" outlineLevel="0" collapsed="false">
      <c r="H2707" s="139" t="s">
        <v>2326</v>
      </c>
    </row>
    <row r="2708" customFormat="false" ht="13.8" hidden="false" customHeight="false" outlineLevel="0" collapsed="false">
      <c r="H2708" s="139" t="s">
        <v>2303</v>
      </c>
    </row>
    <row r="2709" customFormat="false" ht="13.8" hidden="false" customHeight="false" outlineLevel="0" collapsed="false">
      <c r="H2709" s="139" t="s">
        <v>2306</v>
      </c>
    </row>
    <row r="2710" customFormat="false" ht="13.8" hidden="false" customHeight="false" outlineLevel="0" collapsed="false">
      <c r="H2710" s="139" t="s">
        <v>2329</v>
      </c>
    </row>
    <row r="2711" customFormat="false" ht="13.8" hidden="false" customHeight="false" outlineLevel="0" collapsed="false">
      <c r="H2711" s="139" t="s">
        <v>2369</v>
      </c>
    </row>
    <row r="2712" customFormat="false" ht="13.8" hidden="false" customHeight="false" outlineLevel="0" collapsed="false">
      <c r="H2712" s="139" t="s">
        <v>2311</v>
      </c>
    </row>
    <row r="2713" customFormat="false" ht="13.8" hidden="false" customHeight="false" outlineLevel="0" collapsed="false">
      <c r="H2713" s="139" t="s">
        <v>2322</v>
      </c>
    </row>
    <row r="2714" customFormat="false" ht="13.8" hidden="false" customHeight="false" outlineLevel="0" collapsed="false">
      <c r="H2714" s="139" t="s">
        <v>67</v>
      </c>
    </row>
    <row r="2715" customFormat="false" ht="13.8" hidden="false" customHeight="false" outlineLevel="0" collapsed="false">
      <c r="H2715" s="139" t="s">
        <v>2329</v>
      </c>
    </row>
    <row r="2716" customFormat="false" ht="13.8" hidden="false" customHeight="false" outlineLevel="0" collapsed="false">
      <c r="H2716" s="139" t="s">
        <v>2303</v>
      </c>
    </row>
    <row r="2717" customFormat="false" ht="13.8" hidden="false" customHeight="false" outlineLevel="0" collapsed="false">
      <c r="H2717" s="139" t="s">
        <v>2306</v>
      </c>
    </row>
    <row r="2718" customFormat="false" ht="13.8" hidden="false" customHeight="false" outlineLevel="0" collapsed="false">
      <c r="H2718" s="139" t="s">
        <v>2340</v>
      </c>
    </row>
    <row r="2719" customFormat="false" ht="13.8" hidden="false" customHeight="false" outlineLevel="0" collapsed="false">
      <c r="H2719" s="139" t="s">
        <v>2306</v>
      </c>
    </row>
    <row r="2720" customFormat="false" ht="13.8" hidden="false" customHeight="false" outlineLevel="0" collapsed="false">
      <c r="H2720" s="139" t="s">
        <v>2311</v>
      </c>
    </row>
    <row r="2721" customFormat="false" ht="13.8" hidden="false" customHeight="false" outlineLevel="0" collapsed="false">
      <c r="H2721" s="139" t="s">
        <v>2322</v>
      </c>
    </row>
    <row r="2722" customFormat="false" ht="13.8" hidden="false" customHeight="false" outlineLevel="0" collapsed="false">
      <c r="H2722" s="139" t="s">
        <v>2303</v>
      </c>
    </row>
    <row r="2723" customFormat="false" ht="13.8" hidden="false" customHeight="false" outlineLevel="0" collapsed="false">
      <c r="H2723" s="139" t="s">
        <v>67</v>
      </c>
    </row>
    <row r="2724" customFormat="false" ht="13.8" hidden="false" customHeight="false" outlineLevel="0" collapsed="false">
      <c r="H2724" s="139" t="s">
        <v>2323</v>
      </c>
    </row>
    <row r="2725" customFormat="false" ht="13.8" hidden="false" customHeight="false" outlineLevel="0" collapsed="false">
      <c r="H2725" s="139" t="s">
        <v>2326</v>
      </c>
    </row>
    <row r="2726" customFormat="false" ht="13.8" hidden="false" customHeight="false" outlineLevel="0" collapsed="false">
      <c r="H2726" s="139" t="s">
        <v>2369</v>
      </c>
    </row>
    <row r="2727" customFormat="false" ht="13.8" hidden="false" customHeight="false" outlineLevel="0" collapsed="false">
      <c r="H2727" s="139" t="s">
        <v>2311</v>
      </c>
    </row>
    <row r="2728" customFormat="false" ht="13.8" hidden="false" customHeight="false" outlineLevel="0" collapsed="false">
      <c r="H2728" s="139" t="s">
        <v>2322</v>
      </c>
    </row>
    <row r="2729" customFormat="false" ht="13.8" hidden="false" customHeight="false" outlineLevel="0" collapsed="false">
      <c r="H2729" s="139" t="s">
        <v>2340</v>
      </c>
    </row>
    <row r="2730" customFormat="false" ht="13.8" hidden="false" customHeight="false" outlineLevel="0" collapsed="false">
      <c r="H2730" s="139" t="s">
        <v>2333</v>
      </c>
    </row>
    <row r="2731" customFormat="false" ht="13.8" hidden="false" customHeight="false" outlineLevel="0" collapsed="false">
      <c r="H2731" s="139" t="s">
        <v>2306</v>
      </c>
    </row>
    <row r="2732" customFormat="false" ht="13.8" hidden="false" customHeight="false" outlineLevel="0" collapsed="false">
      <c r="H2732" s="139" t="s">
        <v>67</v>
      </c>
    </row>
    <row r="2733" customFormat="false" ht="13.8" hidden="false" customHeight="false" outlineLevel="0" collapsed="false">
      <c r="H2733" s="139" t="s">
        <v>2333</v>
      </c>
    </row>
    <row r="2734" customFormat="false" ht="13.8" hidden="false" customHeight="false" outlineLevel="0" collapsed="false">
      <c r="H2734" s="139" t="s">
        <v>2306</v>
      </c>
    </row>
    <row r="2735" customFormat="false" ht="13.8" hidden="false" customHeight="false" outlineLevel="0" collapsed="false">
      <c r="H2735" s="139" t="s">
        <v>2333</v>
      </c>
    </row>
    <row r="2736" customFormat="false" ht="13.8" hidden="false" customHeight="false" outlineLevel="0" collapsed="false">
      <c r="H2736" s="139" t="s">
        <v>2306</v>
      </c>
    </row>
    <row r="2737" customFormat="false" ht="13.8" hidden="false" customHeight="false" outlineLevel="0" collapsed="false">
      <c r="H2737" s="139" t="s">
        <v>2304</v>
      </c>
    </row>
    <row r="2738" customFormat="false" ht="13.8" hidden="false" customHeight="false" outlineLevel="0" collapsed="false">
      <c r="H2738" s="139" t="s">
        <v>2302</v>
      </c>
    </row>
    <row r="2739" customFormat="false" ht="13.8" hidden="false" customHeight="false" outlineLevel="0" collapsed="false">
      <c r="H2739" s="139" t="s">
        <v>67</v>
      </c>
    </row>
    <row r="2740" customFormat="false" ht="13.8" hidden="false" customHeight="false" outlineLevel="0" collapsed="false">
      <c r="H2740" s="139" t="s">
        <v>2323</v>
      </c>
    </row>
    <row r="2741" customFormat="false" ht="13.8" hidden="false" customHeight="false" outlineLevel="0" collapsed="false">
      <c r="H2741" s="139" t="s">
        <v>2308</v>
      </c>
    </row>
    <row r="2742" customFormat="false" ht="13.8" hidden="false" customHeight="false" outlineLevel="0" collapsed="false">
      <c r="H2742" s="139" t="s">
        <v>2333</v>
      </c>
    </row>
    <row r="2743" customFormat="false" ht="13.8" hidden="false" customHeight="false" outlineLevel="0" collapsed="false">
      <c r="H2743" s="139" t="s">
        <v>2306</v>
      </c>
    </row>
    <row r="2744" customFormat="false" ht="13.8" hidden="false" customHeight="false" outlineLevel="0" collapsed="false">
      <c r="H2744" s="139" t="s">
        <v>2340</v>
      </c>
    </row>
    <row r="2745" customFormat="false" ht="13.8" hidden="false" customHeight="false" outlineLevel="0" collapsed="false">
      <c r="H2745" s="139" t="s">
        <v>2304</v>
      </c>
    </row>
    <row r="2746" customFormat="false" ht="13.8" hidden="false" customHeight="false" outlineLevel="0" collapsed="false">
      <c r="H2746" s="139" t="s">
        <v>2302</v>
      </c>
    </row>
    <row r="2747" customFormat="false" ht="13.8" hidden="false" customHeight="false" outlineLevel="0" collapsed="false">
      <c r="H2747" s="139" t="s">
        <v>67</v>
      </c>
    </row>
    <row r="2748" customFormat="false" ht="13.8" hidden="false" customHeight="false" outlineLevel="0" collapsed="false">
      <c r="H2748" s="139" t="s">
        <v>2340</v>
      </c>
    </row>
    <row r="2749" customFormat="false" ht="13.8" hidden="false" customHeight="false" outlineLevel="0" collapsed="false">
      <c r="H2749" s="139" t="s">
        <v>2333</v>
      </c>
    </row>
    <row r="2750" customFormat="false" ht="13.8" hidden="false" customHeight="false" outlineLevel="0" collapsed="false">
      <c r="H2750" s="139" t="s">
        <v>2306</v>
      </c>
    </row>
    <row r="2751" customFormat="false" ht="13.8" hidden="false" customHeight="false" outlineLevel="0" collapsed="false">
      <c r="H2751" s="139" t="s">
        <v>2333</v>
      </c>
    </row>
    <row r="2752" customFormat="false" ht="13.8" hidden="false" customHeight="false" outlineLevel="0" collapsed="false">
      <c r="H2752" s="139" t="s">
        <v>2306</v>
      </c>
    </row>
    <row r="2753" customFormat="false" ht="13.8" hidden="false" customHeight="false" outlineLevel="0" collapsed="false">
      <c r="H2753" s="139" t="s">
        <v>2304</v>
      </c>
    </row>
    <row r="2754" customFormat="false" ht="13.8" hidden="false" customHeight="false" outlineLevel="0" collapsed="false">
      <c r="H2754" s="139" t="s">
        <v>2302</v>
      </c>
    </row>
    <row r="2755" customFormat="false" ht="13.8" hidden="false" customHeight="false" outlineLevel="0" collapsed="false">
      <c r="H2755" s="139" t="s">
        <v>2340</v>
      </c>
    </row>
    <row r="2756" customFormat="false" ht="13.8" hidden="false" customHeight="false" outlineLevel="0" collapsed="false">
      <c r="H2756" s="139" t="s">
        <v>67</v>
      </c>
    </row>
    <row r="2757" customFormat="false" ht="13.8" hidden="false" customHeight="false" outlineLevel="0" collapsed="false">
      <c r="H2757" s="139" t="s">
        <v>2308</v>
      </c>
    </row>
    <row r="2758" customFormat="false" ht="13.8" hidden="false" customHeight="false" outlineLevel="0" collapsed="false">
      <c r="H2758" s="139" t="s">
        <v>2326</v>
      </c>
    </row>
    <row r="2759" customFormat="false" ht="13.8" hidden="false" customHeight="false" outlineLevel="0" collapsed="false">
      <c r="H2759" s="139" t="s">
        <v>2346</v>
      </c>
    </row>
    <row r="2760" customFormat="false" ht="13.8" hidden="false" customHeight="false" outlineLevel="0" collapsed="false">
      <c r="H2760" s="139" t="s">
        <v>2333</v>
      </c>
    </row>
    <row r="2761" customFormat="false" ht="13.8" hidden="false" customHeight="false" outlineLevel="0" collapsed="false">
      <c r="H2761" s="139" t="s">
        <v>2340</v>
      </c>
    </row>
    <row r="2762" customFormat="false" ht="13.8" hidden="false" customHeight="false" outlineLevel="0" collapsed="false">
      <c r="H2762" s="139" t="s">
        <v>2306</v>
      </c>
    </row>
    <row r="2763" customFormat="false" ht="13.8" hidden="false" customHeight="false" outlineLevel="0" collapsed="false">
      <c r="H2763" s="139" t="s">
        <v>2304</v>
      </c>
    </row>
    <row r="2764" customFormat="false" ht="13.8" hidden="false" customHeight="false" outlineLevel="0" collapsed="false">
      <c r="H2764" s="139" t="s">
        <v>2302</v>
      </c>
    </row>
    <row r="2765" customFormat="false" ht="13.8" hidden="false" customHeight="false" outlineLevel="0" collapsed="false">
      <c r="H2765" s="139" t="s">
        <v>67</v>
      </c>
    </row>
    <row r="2766" customFormat="false" ht="13.8" hidden="false" customHeight="false" outlineLevel="0" collapsed="false">
      <c r="H2766" s="139" t="s">
        <v>2340</v>
      </c>
    </row>
    <row r="2767" customFormat="false" ht="13.8" hidden="false" customHeight="false" outlineLevel="0" collapsed="false">
      <c r="H2767" s="139" t="s">
        <v>2333</v>
      </c>
    </row>
    <row r="2768" customFormat="false" ht="13.8" hidden="false" customHeight="false" outlineLevel="0" collapsed="false">
      <c r="H2768" s="139" t="s">
        <v>2306</v>
      </c>
    </row>
    <row r="2769" customFormat="false" ht="13.8" hidden="false" customHeight="false" outlineLevel="0" collapsed="false">
      <c r="H2769" s="139" t="s">
        <v>2340</v>
      </c>
    </row>
    <row r="2770" customFormat="false" ht="13.8" hidden="false" customHeight="false" outlineLevel="0" collapsed="false">
      <c r="H2770" s="139" t="s">
        <v>2306</v>
      </c>
    </row>
    <row r="2771" customFormat="false" ht="13.8" hidden="false" customHeight="false" outlineLevel="0" collapsed="false">
      <c r="H2771" s="139" t="s">
        <v>2304</v>
      </c>
    </row>
    <row r="2772" customFormat="false" ht="13.8" hidden="false" customHeight="false" outlineLevel="0" collapsed="false">
      <c r="H2772" s="139" t="s">
        <v>2302</v>
      </c>
    </row>
    <row r="2773" customFormat="false" ht="13.8" hidden="false" customHeight="false" outlineLevel="0" collapsed="false">
      <c r="H2773" s="139" t="s">
        <v>2333</v>
      </c>
    </row>
    <row r="2774" customFormat="false" ht="13.8" hidden="false" customHeight="false" outlineLevel="0" collapsed="false">
      <c r="H2774" s="139" t="s">
        <v>81</v>
      </c>
    </row>
    <row r="2775" customFormat="false" ht="13.8" hidden="false" customHeight="false" outlineLevel="0" collapsed="false">
      <c r="H2775" s="139" t="s">
        <v>67</v>
      </c>
    </row>
    <row r="2776" customFormat="false" ht="13.8" hidden="false" customHeight="false" outlineLevel="0" collapsed="false">
      <c r="H2776" s="139" t="s">
        <v>2308</v>
      </c>
    </row>
    <row r="2777" customFormat="false" ht="13.8" hidden="false" customHeight="false" outlineLevel="0" collapsed="false">
      <c r="H2777" s="139" t="s">
        <v>2346</v>
      </c>
    </row>
    <row r="2778" customFormat="false" ht="13.8" hidden="false" customHeight="false" outlineLevel="0" collapsed="false">
      <c r="H2778" s="139" t="s">
        <v>2333</v>
      </c>
    </row>
    <row r="2779" customFormat="false" ht="13.8" hidden="false" customHeight="false" outlineLevel="0" collapsed="false">
      <c r="H2779" s="139" t="s">
        <v>2306</v>
      </c>
    </row>
    <row r="2780" customFormat="false" ht="13.8" hidden="false" customHeight="false" outlineLevel="0" collapsed="false">
      <c r="H2780" s="139" t="s">
        <v>81</v>
      </c>
    </row>
    <row r="2781" customFormat="false" ht="13.8" hidden="false" customHeight="false" outlineLevel="0" collapsed="false">
      <c r="H2781" s="139" t="s">
        <v>2304</v>
      </c>
    </row>
    <row r="2782" customFormat="false" ht="13.8" hidden="false" customHeight="false" outlineLevel="0" collapsed="false">
      <c r="H2782" s="139" t="s">
        <v>2302</v>
      </c>
    </row>
    <row r="2783" customFormat="false" ht="13.8" hidden="false" customHeight="false" outlineLevel="0" collapsed="false">
      <c r="H2783" s="139" t="s">
        <v>67</v>
      </c>
    </row>
    <row r="2784" customFormat="false" ht="13.8" hidden="false" customHeight="false" outlineLevel="0" collapsed="false">
      <c r="H2784" s="139" t="s">
        <v>2313</v>
      </c>
    </row>
    <row r="2785" customFormat="false" ht="13.8" hidden="false" customHeight="false" outlineLevel="0" collapsed="false">
      <c r="H2785" s="139" t="s">
        <v>81</v>
      </c>
    </row>
    <row r="2786" customFormat="false" ht="13.8" hidden="false" customHeight="false" outlineLevel="0" collapsed="false">
      <c r="H2786" s="139" t="s">
        <v>2306</v>
      </c>
    </row>
    <row r="2787" customFormat="false" ht="13.8" hidden="false" customHeight="false" outlineLevel="0" collapsed="false">
      <c r="H2787" s="139" t="s">
        <v>2333</v>
      </c>
    </row>
    <row r="2788" customFormat="false" ht="13.8" hidden="false" customHeight="false" outlineLevel="0" collapsed="false">
      <c r="H2788" s="139" t="s">
        <v>2313</v>
      </c>
    </row>
    <row r="2789" customFormat="false" ht="13.8" hidden="false" customHeight="false" outlineLevel="0" collapsed="false">
      <c r="H2789" s="139" t="s">
        <v>2313</v>
      </c>
    </row>
    <row r="2790" customFormat="false" ht="13.8" hidden="false" customHeight="false" outlineLevel="0" collapsed="false">
      <c r="H2790" s="139" t="s">
        <v>2306</v>
      </c>
    </row>
    <row r="2791" customFormat="false" ht="13.8" hidden="false" customHeight="false" outlineLevel="0" collapsed="false">
      <c r="H2791" s="139" t="s">
        <v>2304</v>
      </c>
    </row>
    <row r="2792" customFormat="false" ht="13.8" hidden="false" customHeight="false" outlineLevel="0" collapsed="false">
      <c r="H2792" s="139" t="s">
        <v>2302</v>
      </c>
    </row>
    <row r="2793" customFormat="false" ht="13.8" hidden="false" customHeight="false" outlineLevel="0" collapsed="false">
      <c r="H2793" s="139" t="s">
        <v>2333</v>
      </c>
    </row>
    <row r="2794" customFormat="false" ht="13.8" hidden="false" customHeight="false" outlineLevel="0" collapsed="false">
      <c r="H2794" s="139" t="s">
        <v>81</v>
      </c>
    </row>
    <row r="2795" customFormat="false" ht="13.8" hidden="false" customHeight="false" outlineLevel="0" collapsed="false">
      <c r="H2795" s="139" t="s">
        <v>67</v>
      </c>
    </row>
    <row r="2796" customFormat="false" ht="13.8" hidden="false" customHeight="false" outlineLevel="0" collapsed="false">
      <c r="H2796" s="139" t="s">
        <v>2316</v>
      </c>
    </row>
    <row r="2797" customFormat="false" ht="13.8" hidden="false" customHeight="false" outlineLevel="0" collapsed="false">
      <c r="H2797" s="139" t="s">
        <v>2341</v>
      </c>
    </row>
    <row r="2798" customFormat="false" ht="13.8" hidden="false" customHeight="false" outlineLevel="0" collapsed="false">
      <c r="H2798" s="139" t="s">
        <v>2308</v>
      </c>
    </row>
    <row r="2799" customFormat="false" ht="13.8" hidden="false" customHeight="false" outlineLevel="0" collapsed="false">
      <c r="H2799" s="139" t="s">
        <v>2314</v>
      </c>
    </row>
    <row r="2800" customFormat="false" ht="13.8" hidden="false" customHeight="false" outlineLevel="0" collapsed="false">
      <c r="H2800" s="139" t="s">
        <v>2346</v>
      </c>
    </row>
    <row r="2801" customFormat="false" ht="13.8" hidden="false" customHeight="false" outlineLevel="0" collapsed="false">
      <c r="H2801" s="139" t="s">
        <v>2304</v>
      </c>
    </row>
    <row r="2802" customFormat="false" ht="13.8" hidden="false" customHeight="false" outlineLevel="0" collapsed="false">
      <c r="H2802" s="139" t="s">
        <v>2302</v>
      </c>
    </row>
    <row r="2803" customFormat="false" ht="13.8" hidden="false" customHeight="false" outlineLevel="0" collapsed="false">
      <c r="H2803" s="139" t="s">
        <v>2333</v>
      </c>
    </row>
    <row r="2804" customFormat="false" ht="13.8" hidden="false" customHeight="false" outlineLevel="0" collapsed="false">
      <c r="H2804" s="139" t="s">
        <v>2306</v>
      </c>
    </row>
    <row r="2805" customFormat="false" ht="13.8" hidden="false" customHeight="false" outlineLevel="0" collapsed="false">
      <c r="H2805" s="139" t="s">
        <v>81</v>
      </c>
    </row>
    <row r="2806" customFormat="false" ht="13.8" hidden="false" customHeight="false" outlineLevel="0" collapsed="false">
      <c r="H2806" s="139" t="s">
        <v>2313</v>
      </c>
    </row>
    <row r="2807" customFormat="false" ht="13.8" hidden="false" customHeight="false" outlineLevel="0" collapsed="false">
      <c r="H2807" s="139" t="s">
        <v>2341</v>
      </c>
    </row>
    <row r="2808" customFormat="false" ht="13.8" hidden="false" customHeight="false" outlineLevel="0" collapsed="false">
      <c r="H2808" s="139" t="s">
        <v>81</v>
      </c>
    </row>
    <row r="2809" customFormat="false" ht="13.8" hidden="false" customHeight="false" outlineLevel="0" collapsed="false">
      <c r="H2809" s="139" t="s">
        <v>2333</v>
      </c>
    </row>
    <row r="2810" customFormat="false" ht="13.8" hidden="false" customHeight="false" outlineLevel="0" collapsed="false">
      <c r="H2810" s="139" t="s">
        <v>2306</v>
      </c>
    </row>
    <row r="2811" customFormat="false" ht="13.8" hidden="false" customHeight="false" outlineLevel="0" collapsed="false">
      <c r="H2811" s="139" t="s">
        <v>2313</v>
      </c>
    </row>
    <row r="2812" customFormat="false" ht="13.8" hidden="false" customHeight="false" outlineLevel="0" collapsed="false">
      <c r="H2812" s="139" t="s">
        <v>2313</v>
      </c>
    </row>
    <row r="2813" customFormat="false" ht="13.8" hidden="false" customHeight="false" outlineLevel="0" collapsed="false">
      <c r="H2813" s="139" t="s">
        <v>2306</v>
      </c>
    </row>
    <row r="2814" customFormat="false" ht="13.8" hidden="false" customHeight="false" outlineLevel="0" collapsed="false">
      <c r="H2814" s="139" t="s">
        <v>2304</v>
      </c>
    </row>
    <row r="2815" customFormat="false" ht="13.8" hidden="false" customHeight="false" outlineLevel="0" collapsed="false">
      <c r="H2815" s="139" t="s">
        <v>2302</v>
      </c>
    </row>
    <row r="2816" customFormat="false" ht="13.8" hidden="false" customHeight="false" outlineLevel="0" collapsed="false">
      <c r="H2816" s="139" t="s">
        <v>2333</v>
      </c>
    </row>
    <row r="2817" customFormat="false" ht="13.8" hidden="false" customHeight="false" outlineLevel="0" collapsed="false">
      <c r="H2817" s="139" t="s">
        <v>81</v>
      </c>
    </row>
    <row r="2818" customFormat="false" ht="13.8" hidden="false" customHeight="false" outlineLevel="0" collapsed="false">
      <c r="H2818" s="139" t="s">
        <v>2321</v>
      </c>
    </row>
    <row r="2819" customFormat="false" ht="13.8" hidden="false" customHeight="false" outlineLevel="0" collapsed="false">
      <c r="H2819" s="139" t="s">
        <v>2308</v>
      </c>
    </row>
    <row r="2820" customFormat="false" ht="13.8" hidden="false" customHeight="false" outlineLevel="0" collapsed="false">
      <c r="H2820" s="139" t="s">
        <v>2341</v>
      </c>
    </row>
    <row r="2821" customFormat="false" ht="13.8" hidden="false" customHeight="false" outlineLevel="0" collapsed="false">
      <c r="H2821" s="139" t="s">
        <v>2304</v>
      </c>
    </row>
    <row r="2822" customFormat="false" ht="13.8" hidden="false" customHeight="false" outlineLevel="0" collapsed="false">
      <c r="H2822" s="139" t="s">
        <v>2302</v>
      </c>
    </row>
    <row r="2823" customFormat="false" ht="13.8" hidden="false" customHeight="false" outlineLevel="0" collapsed="false">
      <c r="H2823" s="139" t="s">
        <v>2313</v>
      </c>
    </row>
    <row r="2824" customFormat="false" ht="13.8" hidden="false" customHeight="false" outlineLevel="0" collapsed="false">
      <c r="H2824" s="139" t="s">
        <v>2333</v>
      </c>
    </row>
    <row r="2825" customFormat="false" ht="13.8" hidden="false" customHeight="false" outlineLevel="0" collapsed="false">
      <c r="H2825" s="139" t="s">
        <v>2306</v>
      </c>
    </row>
    <row r="2826" customFormat="false" ht="13.8" hidden="false" customHeight="false" outlineLevel="0" collapsed="false">
      <c r="H2826" s="139" t="s">
        <v>2321</v>
      </c>
    </row>
    <row r="2827" customFormat="false" ht="13.8" hidden="false" customHeight="false" outlineLevel="0" collapsed="false">
      <c r="H2827" s="139" t="s">
        <v>2321</v>
      </c>
    </row>
    <row r="2828" customFormat="false" ht="13.8" hidden="false" customHeight="false" outlineLevel="0" collapsed="false">
      <c r="H2828" s="139" t="s">
        <v>2333</v>
      </c>
    </row>
    <row r="2829" customFormat="false" ht="13.8" hidden="false" customHeight="false" outlineLevel="0" collapsed="false">
      <c r="H2829" s="139" t="s">
        <v>2306</v>
      </c>
    </row>
    <row r="2830" customFormat="false" ht="13.8" hidden="false" customHeight="false" outlineLevel="0" collapsed="false">
      <c r="H2830" s="139" t="s">
        <v>2304</v>
      </c>
    </row>
    <row r="2831" customFormat="false" ht="13.8" hidden="false" customHeight="false" outlineLevel="0" collapsed="false">
      <c r="H2831" s="139" t="s">
        <v>2302</v>
      </c>
    </row>
    <row r="2832" customFormat="false" ht="13.8" hidden="false" customHeight="false" outlineLevel="0" collapsed="false">
      <c r="H2832" s="139" t="s">
        <v>2313</v>
      </c>
    </row>
    <row r="2833" customFormat="false" ht="13.8" hidden="false" customHeight="false" outlineLevel="0" collapsed="false">
      <c r="H2833" s="139" t="s">
        <v>2313</v>
      </c>
    </row>
    <row r="2834" customFormat="false" ht="13.8" hidden="false" customHeight="false" outlineLevel="0" collapsed="false">
      <c r="H2834" s="139" t="s">
        <v>2306</v>
      </c>
    </row>
    <row r="2835" customFormat="false" ht="13.8" hidden="false" customHeight="false" outlineLevel="0" collapsed="false">
      <c r="H2835" s="139" t="s">
        <v>2304</v>
      </c>
    </row>
    <row r="2836" customFormat="false" ht="13.8" hidden="false" customHeight="false" outlineLevel="0" collapsed="false">
      <c r="H2836" s="139" t="s">
        <v>2302</v>
      </c>
    </row>
    <row r="2837" customFormat="false" ht="13.8" hidden="false" customHeight="false" outlineLevel="0" collapsed="false">
      <c r="H2837" s="139" t="s">
        <v>2333</v>
      </c>
    </row>
    <row r="2838" customFormat="false" ht="13.8" hidden="false" customHeight="false" outlineLevel="0" collapsed="false">
      <c r="H2838" s="139" t="s">
        <v>2321</v>
      </c>
    </row>
    <row r="2839" customFormat="false" ht="13.8" hidden="false" customHeight="false" outlineLevel="0" collapsed="false">
      <c r="H2839" s="139" t="s">
        <v>2308</v>
      </c>
    </row>
    <row r="2840" customFormat="false" ht="13.8" hidden="false" customHeight="false" outlineLevel="0" collapsed="false">
      <c r="H2840" s="139" t="s">
        <v>2346</v>
      </c>
    </row>
    <row r="2841" customFormat="false" ht="13.8" hidden="false" customHeight="false" outlineLevel="0" collapsed="false">
      <c r="H2841" s="139" t="s">
        <v>2302</v>
      </c>
    </row>
    <row r="2842" customFormat="false" ht="13.8" hidden="false" customHeight="false" outlineLevel="0" collapsed="false">
      <c r="H2842" s="139" t="s">
        <v>2304</v>
      </c>
    </row>
    <row r="2843" customFormat="false" ht="13.8" hidden="false" customHeight="false" outlineLevel="0" collapsed="false">
      <c r="H2843" s="139" t="s">
        <v>2306</v>
      </c>
    </row>
    <row r="2844" customFormat="false" ht="13.8" hidden="false" customHeight="false" outlineLevel="0" collapsed="false">
      <c r="H2844" s="139" t="s">
        <v>2313</v>
      </c>
    </row>
    <row r="2845" customFormat="false" ht="13.8" hidden="false" customHeight="false" outlineLevel="0" collapsed="false">
      <c r="H2845" s="139" t="s">
        <v>2333</v>
      </c>
    </row>
    <row r="2846" customFormat="false" ht="13.8" hidden="false" customHeight="false" outlineLevel="0" collapsed="false">
      <c r="H2846" s="139" t="s">
        <v>2370</v>
      </c>
    </row>
    <row r="2847" customFormat="false" ht="13.8" hidden="false" customHeight="false" outlineLevel="0" collapsed="false">
      <c r="H2847" s="139" t="s">
        <v>2308</v>
      </c>
    </row>
    <row r="2848" customFormat="false" ht="13.8" hidden="false" customHeight="false" outlineLevel="0" collapsed="false">
      <c r="H2848" s="139" t="s">
        <v>2371</v>
      </c>
    </row>
    <row r="2849" customFormat="false" ht="13.8" hidden="false" customHeight="false" outlineLevel="0" collapsed="false">
      <c r="H2849" s="139" t="s">
        <v>2370</v>
      </c>
    </row>
    <row r="2850" customFormat="false" ht="13.8" hidden="false" customHeight="false" outlineLevel="0" collapsed="false">
      <c r="H2850" s="139" t="s">
        <v>2306</v>
      </c>
    </row>
    <row r="2851" customFormat="false" ht="13.8" hidden="false" customHeight="false" outlineLevel="0" collapsed="false">
      <c r="H2851" s="139" t="s">
        <v>2313</v>
      </c>
    </row>
    <row r="2852" customFormat="false" ht="13.8" hidden="false" customHeight="false" outlineLevel="0" collapsed="false">
      <c r="H2852" s="139" t="s">
        <v>2333</v>
      </c>
    </row>
    <row r="2853" customFormat="false" ht="13.8" hidden="false" customHeight="false" outlineLevel="0" collapsed="false">
      <c r="H2853" s="139" t="s">
        <v>2304</v>
      </c>
    </row>
    <row r="2854" customFormat="false" ht="13.8" hidden="false" customHeight="false" outlineLevel="0" collapsed="false">
      <c r="H2854" s="139" t="s">
        <v>2302</v>
      </c>
    </row>
    <row r="2855" customFormat="false" ht="13.8" hidden="false" customHeight="false" outlineLevel="0" collapsed="false">
      <c r="H2855" s="139" t="s">
        <v>2370</v>
      </c>
    </row>
    <row r="2856" customFormat="false" ht="13.8" hidden="false" customHeight="false" outlineLevel="0" collapsed="false">
      <c r="H2856" s="139" t="s">
        <v>2306</v>
      </c>
    </row>
    <row r="2857" customFormat="false" ht="13.8" hidden="false" customHeight="false" outlineLevel="0" collapsed="false">
      <c r="H2857" s="139" t="s">
        <v>2313</v>
      </c>
    </row>
    <row r="2858" customFormat="false" ht="13.8" hidden="false" customHeight="false" outlineLevel="0" collapsed="false">
      <c r="H2858" s="139" t="s">
        <v>2333</v>
      </c>
    </row>
    <row r="2859" customFormat="false" ht="13.8" hidden="false" customHeight="false" outlineLevel="0" collapsed="false">
      <c r="H2859" s="139" t="s">
        <v>2304</v>
      </c>
    </row>
    <row r="2860" customFormat="false" ht="13.8" hidden="false" customHeight="false" outlineLevel="0" collapsed="false">
      <c r="H2860" s="139" t="s">
        <v>2302</v>
      </c>
    </row>
    <row r="2861" customFormat="false" ht="13.8" hidden="false" customHeight="false" outlineLevel="0" collapsed="false">
      <c r="H2861" s="139" t="s">
        <v>2333</v>
      </c>
    </row>
    <row r="2862" customFormat="false" ht="13.8" hidden="false" customHeight="false" outlineLevel="0" collapsed="false">
      <c r="H2862" s="139" t="s">
        <v>2304</v>
      </c>
    </row>
    <row r="2863" customFormat="false" ht="13.8" hidden="false" customHeight="false" outlineLevel="0" collapsed="false">
      <c r="H2863" s="139" t="s">
        <v>2302</v>
      </c>
    </row>
    <row r="2864" customFormat="false" ht="13.8" hidden="false" customHeight="false" outlineLevel="0" collapsed="false">
      <c r="H2864" s="139" t="s">
        <v>2308</v>
      </c>
    </row>
    <row r="2865" customFormat="false" ht="13.8" hidden="false" customHeight="false" outlineLevel="0" collapsed="false">
      <c r="H2865" s="139" t="s">
        <v>2372</v>
      </c>
    </row>
    <row r="2866" customFormat="false" ht="13.8" hidden="false" customHeight="false" outlineLevel="0" collapsed="false">
      <c r="H2866" s="139" t="s">
        <v>2304</v>
      </c>
    </row>
    <row r="2867" customFormat="false" ht="13.8" hidden="false" customHeight="false" outlineLevel="0" collapsed="false">
      <c r="H2867" s="139" t="s">
        <v>2302</v>
      </c>
    </row>
    <row r="2868" customFormat="false" ht="13.8" hidden="false" customHeight="false" outlineLevel="0" collapsed="false">
      <c r="H2868" s="139" t="s">
        <v>61</v>
      </c>
    </row>
    <row r="2869" customFormat="false" ht="13.8" hidden="false" customHeight="false" outlineLevel="0" collapsed="false">
      <c r="H2869" s="139" t="s">
        <v>2325</v>
      </c>
    </row>
    <row r="2870" customFormat="false" ht="13.8" hidden="false" customHeight="false" outlineLevel="0" collapsed="false">
      <c r="H2870" s="139" t="s">
        <v>2333</v>
      </c>
    </row>
    <row r="2871" customFormat="false" ht="13.8" hidden="false" customHeight="false" outlineLevel="0" collapsed="false">
      <c r="H2871" s="139" t="s">
        <v>2357</v>
      </c>
    </row>
    <row r="2872" customFormat="false" ht="13.8" hidden="false" customHeight="false" outlineLevel="0" collapsed="false">
      <c r="H2872" s="139" t="s">
        <v>2359</v>
      </c>
    </row>
    <row r="2873" customFormat="false" ht="13.8" hidden="false" customHeight="false" outlineLevel="0" collapsed="false">
      <c r="H2873" s="139" t="s">
        <v>2357</v>
      </c>
    </row>
    <row r="2874" customFormat="false" ht="13.8" hidden="false" customHeight="false" outlineLevel="0" collapsed="false">
      <c r="H2874" s="139" t="s">
        <v>2333</v>
      </c>
    </row>
    <row r="2875" customFormat="false" ht="13.8" hidden="false" customHeight="false" outlineLevel="0" collapsed="false">
      <c r="H2875" s="139" t="s">
        <v>61</v>
      </c>
    </row>
    <row r="2876" customFormat="false" ht="13.8" hidden="false" customHeight="false" outlineLevel="0" collapsed="false">
      <c r="H2876" s="139" t="s">
        <v>2325</v>
      </c>
    </row>
    <row r="2877" customFormat="false" ht="13.8" hidden="false" customHeight="false" outlineLevel="0" collapsed="false">
      <c r="H2877" s="139" t="s">
        <v>2359</v>
      </c>
    </row>
    <row r="2878" customFormat="false" ht="13.8" hidden="false" customHeight="false" outlineLevel="0" collapsed="false">
      <c r="H2878" s="139" t="s">
        <v>2333</v>
      </c>
    </row>
    <row r="2879" customFormat="false" ht="13.8" hidden="false" customHeight="false" outlineLevel="0" collapsed="false">
      <c r="H2879" s="139" t="s">
        <v>2357</v>
      </c>
    </row>
    <row r="2880" customFormat="false" ht="13.8" hidden="false" customHeight="false" outlineLevel="0" collapsed="false">
      <c r="H2880" s="139" t="s">
        <v>2359</v>
      </c>
    </row>
    <row r="2881" customFormat="false" ht="13.8" hidden="false" customHeight="false" outlineLevel="0" collapsed="false">
      <c r="H2881" s="139" t="s">
        <v>2336</v>
      </c>
    </row>
    <row r="2882" customFormat="false" ht="13.8" hidden="false" customHeight="false" outlineLevel="0" collapsed="false">
      <c r="H2882" s="139" t="s">
        <v>61</v>
      </c>
    </row>
    <row r="2883" customFormat="false" ht="13.8" hidden="false" customHeight="false" outlineLevel="0" collapsed="false">
      <c r="H2883" s="139" t="s">
        <v>2325</v>
      </c>
    </row>
    <row r="2884" customFormat="false" ht="13.8" hidden="false" customHeight="false" outlineLevel="0" collapsed="false">
      <c r="H2884" s="139" t="s">
        <v>2308</v>
      </c>
    </row>
    <row r="2885" customFormat="false" ht="13.8" hidden="false" customHeight="false" outlineLevel="0" collapsed="false">
      <c r="H2885" s="139" t="s">
        <v>2327</v>
      </c>
    </row>
    <row r="2886" customFormat="false" ht="13.8" hidden="false" customHeight="false" outlineLevel="0" collapsed="false">
      <c r="H2886" s="139" t="s">
        <v>2373</v>
      </c>
    </row>
    <row r="2887" customFormat="false" ht="13.8" hidden="false" customHeight="false" outlineLevel="0" collapsed="false">
      <c r="H2887" s="139" t="s">
        <v>61</v>
      </c>
    </row>
    <row r="2888" customFormat="false" ht="13.8" hidden="false" customHeight="false" outlineLevel="0" collapsed="false">
      <c r="H2888" s="139" t="s">
        <v>2325</v>
      </c>
    </row>
    <row r="2889" customFormat="false" ht="13.8" hidden="false" customHeight="false" outlineLevel="0" collapsed="false">
      <c r="H2889" s="139" t="s">
        <v>2359</v>
      </c>
    </row>
    <row r="2890" customFormat="false" ht="13.8" hidden="false" customHeight="false" outlineLevel="0" collapsed="false">
      <c r="H2890" s="139" t="s">
        <v>2357</v>
      </c>
    </row>
    <row r="2891" customFormat="false" ht="13.8" hidden="false" customHeight="false" outlineLevel="0" collapsed="false">
      <c r="H2891" s="139" t="s">
        <v>2333</v>
      </c>
    </row>
    <row r="2892" customFormat="false" ht="13.8" hidden="false" customHeight="false" outlineLevel="0" collapsed="false">
      <c r="H2892" s="139" t="s">
        <v>2357</v>
      </c>
    </row>
    <row r="2893" customFormat="false" ht="13.8" hidden="false" customHeight="false" outlineLevel="0" collapsed="false">
      <c r="H2893" s="139" t="s">
        <v>2333</v>
      </c>
    </row>
    <row r="2894" customFormat="false" ht="13.8" hidden="false" customHeight="false" outlineLevel="0" collapsed="false">
      <c r="H2894" s="139" t="s">
        <v>61</v>
      </c>
    </row>
    <row r="2895" customFormat="false" ht="13.8" hidden="false" customHeight="false" outlineLevel="0" collapsed="false">
      <c r="H2895" s="139" t="s">
        <v>2304</v>
      </c>
    </row>
    <row r="2896" customFormat="false" ht="13.8" hidden="false" customHeight="false" outlineLevel="0" collapsed="false">
      <c r="H2896" s="139" t="s">
        <v>2325</v>
      </c>
    </row>
    <row r="2897" customFormat="false" ht="13.8" hidden="false" customHeight="false" outlineLevel="0" collapsed="false">
      <c r="H2897" s="139" t="s">
        <v>2302</v>
      </c>
    </row>
    <row r="2898" customFormat="false" ht="13.8" hidden="false" customHeight="false" outlineLevel="0" collapsed="false">
      <c r="H2898" s="139" t="s">
        <v>2359</v>
      </c>
    </row>
    <row r="2899" customFormat="false" ht="13.8" hidden="false" customHeight="false" outlineLevel="0" collapsed="false">
      <c r="H2899" s="139" t="s">
        <v>2359</v>
      </c>
    </row>
    <row r="2900" customFormat="false" ht="13.8" hidden="false" customHeight="false" outlineLevel="0" collapsed="false">
      <c r="H2900" s="139" t="s">
        <v>2357</v>
      </c>
    </row>
    <row r="2901" customFormat="false" ht="13.8" hidden="false" customHeight="false" outlineLevel="0" collapsed="false">
      <c r="H2901" s="139" t="s">
        <v>2333</v>
      </c>
    </row>
    <row r="2902" customFormat="false" ht="13.8" hidden="false" customHeight="false" outlineLevel="0" collapsed="false">
      <c r="H2902" s="139" t="s">
        <v>2332</v>
      </c>
    </row>
    <row r="2903" customFormat="false" ht="13.8" hidden="false" customHeight="false" outlineLevel="0" collapsed="false">
      <c r="H2903" s="139" t="s">
        <v>2304</v>
      </c>
    </row>
    <row r="2904" customFormat="false" ht="13.8" hidden="false" customHeight="false" outlineLevel="0" collapsed="false">
      <c r="H2904" s="139" t="s">
        <v>2358</v>
      </c>
    </row>
    <row r="2905" customFormat="false" ht="13.8" hidden="false" customHeight="false" outlineLevel="0" collapsed="false">
      <c r="H2905" s="139" t="s">
        <v>2302</v>
      </c>
    </row>
    <row r="2906" customFormat="false" ht="13.8" hidden="false" customHeight="false" outlineLevel="0" collapsed="false">
      <c r="H2906" s="139" t="s">
        <v>2360</v>
      </c>
    </row>
    <row r="2907" customFormat="false" ht="13.8" hidden="false" customHeight="false" outlineLevel="0" collapsed="false">
      <c r="H2907" s="139" t="s">
        <v>2327</v>
      </c>
    </row>
    <row r="2908" customFormat="false" ht="13.8" hidden="false" customHeight="false" outlineLevel="0" collapsed="false">
      <c r="H2908" s="139" t="s">
        <v>2308</v>
      </c>
    </row>
    <row r="2909" customFormat="false" ht="13.8" hidden="false" customHeight="false" outlineLevel="0" collapsed="false">
      <c r="H2909" s="139" t="s">
        <v>2361</v>
      </c>
    </row>
    <row r="2910" customFormat="false" ht="13.8" hidden="false" customHeight="false" outlineLevel="0" collapsed="false">
      <c r="H2910" s="139" t="s">
        <v>2331</v>
      </c>
    </row>
    <row r="2911" customFormat="false" ht="13.8" hidden="false" customHeight="false" outlineLevel="0" collapsed="false">
      <c r="H2911" s="139" t="s">
        <v>2349</v>
      </c>
    </row>
    <row r="2912" customFormat="false" ht="13.8" hidden="false" customHeight="false" outlineLevel="0" collapsed="false">
      <c r="H2912" s="139" t="s">
        <v>2374</v>
      </c>
    </row>
    <row r="2913" customFormat="false" ht="13.8" hidden="false" customHeight="false" outlineLevel="0" collapsed="false">
      <c r="H2913" s="139" t="s">
        <v>2343</v>
      </c>
    </row>
    <row r="2914" customFormat="false" ht="13.8" hidden="false" customHeight="false" outlineLevel="0" collapsed="false">
      <c r="H2914" s="139" t="s">
        <v>2359</v>
      </c>
    </row>
    <row r="2915" customFormat="false" ht="13.8" hidden="false" customHeight="false" outlineLevel="0" collapsed="false">
      <c r="H2915" s="139" t="s">
        <v>2333</v>
      </c>
    </row>
    <row r="2916" customFormat="false" ht="13.8" hidden="false" customHeight="false" outlineLevel="0" collapsed="false">
      <c r="H2916" s="139" t="s">
        <v>2357</v>
      </c>
    </row>
    <row r="2917" customFormat="false" ht="13.8" hidden="false" customHeight="false" outlineLevel="0" collapsed="false">
      <c r="H2917" s="139" t="s">
        <v>2332</v>
      </c>
    </row>
    <row r="2918" customFormat="false" ht="13.8" hidden="false" customHeight="false" outlineLevel="0" collapsed="false">
      <c r="H2918" s="139" t="s">
        <v>2358</v>
      </c>
    </row>
    <row r="2919" customFormat="false" ht="13.8" hidden="false" customHeight="false" outlineLevel="0" collapsed="false">
      <c r="H2919" s="139" t="s">
        <v>2360</v>
      </c>
    </row>
    <row r="2920" customFormat="false" ht="13.8" hidden="false" customHeight="false" outlineLevel="0" collapsed="false">
      <c r="H2920" s="139" t="s">
        <v>2359</v>
      </c>
    </row>
    <row r="2921" customFormat="false" ht="13.8" hidden="false" customHeight="false" outlineLevel="0" collapsed="false">
      <c r="H2921" s="139" t="s">
        <v>2339</v>
      </c>
    </row>
    <row r="2922" customFormat="false" ht="13.8" hidden="false" customHeight="false" outlineLevel="0" collapsed="false">
      <c r="H2922" s="139" t="s">
        <v>2357</v>
      </c>
    </row>
    <row r="2923" customFormat="false" ht="13.8" hidden="false" customHeight="false" outlineLevel="0" collapsed="false">
      <c r="H2923" s="139" t="s">
        <v>2333</v>
      </c>
    </row>
    <row r="2924" customFormat="false" ht="13.8" hidden="false" customHeight="false" outlineLevel="0" collapsed="false">
      <c r="H2924" s="139" t="s">
        <v>2332</v>
      </c>
    </row>
    <row r="2925" customFormat="false" ht="13.8" hidden="false" customHeight="false" outlineLevel="0" collapsed="false">
      <c r="H2925" s="139" t="s">
        <v>2358</v>
      </c>
    </row>
    <row r="2926" customFormat="false" ht="13.8" hidden="false" customHeight="false" outlineLevel="0" collapsed="false">
      <c r="H2926" s="139" t="s">
        <v>2360</v>
      </c>
    </row>
    <row r="2927" customFormat="false" ht="13.8" hidden="false" customHeight="false" outlineLevel="0" collapsed="false">
      <c r="H2927" s="139" t="s">
        <v>2339</v>
      </c>
    </row>
    <row r="2928" customFormat="false" ht="13.8" hidden="false" customHeight="false" outlineLevel="0" collapsed="false">
      <c r="H2928" s="139" t="s">
        <v>2339</v>
      </c>
    </row>
    <row r="2929" customFormat="false" ht="13.8" hidden="false" customHeight="false" outlineLevel="0" collapsed="false">
      <c r="H2929" s="139" t="s">
        <v>2357</v>
      </c>
    </row>
    <row r="2930" customFormat="false" ht="13.8" hidden="false" customHeight="false" outlineLevel="0" collapsed="false">
      <c r="H2930" s="139" t="s">
        <v>2333</v>
      </c>
    </row>
    <row r="2931" customFormat="false" ht="13.8" hidden="false" customHeight="false" outlineLevel="0" collapsed="false">
      <c r="H2931" s="139" t="s">
        <v>2332</v>
      </c>
    </row>
    <row r="2932" customFormat="false" ht="13.8" hidden="false" customHeight="false" outlineLevel="0" collapsed="false">
      <c r="H2932" s="139" t="s">
        <v>2358</v>
      </c>
    </row>
    <row r="2933" customFormat="false" ht="13.8" hidden="false" customHeight="false" outlineLevel="0" collapsed="false">
      <c r="H2933" s="139" t="s">
        <v>2360</v>
      </c>
    </row>
    <row r="2934" customFormat="false" ht="13.8" hidden="false" customHeight="false" outlineLevel="0" collapsed="false">
      <c r="H2934" s="139" t="s">
        <v>2336</v>
      </c>
    </row>
    <row r="2935" customFormat="false" ht="13.8" hidden="false" customHeight="false" outlineLevel="0" collapsed="false">
      <c r="H2935" s="139" t="s">
        <v>2361</v>
      </c>
    </row>
    <row r="2936" customFormat="false" ht="13.8" hidden="false" customHeight="false" outlineLevel="0" collapsed="false">
      <c r="H2936" s="139" t="s">
        <v>2337</v>
      </c>
    </row>
    <row r="2937" customFormat="false" ht="13.8" hidden="false" customHeight="false" outlineLevel="0" collapsed="false">
      <c r="H2937" s="139" t="s">
        <v>2358</v>
      </c>
    </row>
    <row r="2938" customFormat="false" ht="13.8" hidden="false" customHeight="false" outlineLevel="0" collapsed="false">
      <c r="H2938" s="139" t="s">
        <v>2360</v>
      </c>
    </row>
    <row r="2939" customFormat="false" ht="13.8" hidden="false" customHeight="false" outlineLevel="0" collapsed="false">
      <c r="H2939" s="139" t="s">
        <v>2333</v>
      </c>
    </row>
    <row r="2940" customFormat="false" ht="13.8" hidden="false" customHeight="false" outlineLevel="0" collapsed="false">
      <c r="H2940" s="139" t="s">
        <v>2339</v>
      </c>
    </row>
    <row r="2941" customFormat="false" ht="13.8" hidden="false" customHeight="false" outlineLevel="0" collapsed="false">
      <c r="H2941" s="139" t="s">
        <v>2336</v>
      </c>
    </row>
    <row r="2942" customFormat="false" ht="13.8" hidden="false" customHeight="false" outlineLevel="0" collapsed="false">
      <c r="H2942" s="139" t="s">
        <v>2332</v>
      </c>
    </row>
    <row r="2943" customFormat="false" ht="13.8" hidden="false" customHeight="false" outlineLevel="0" collapsed="false">
      <c r="H2943" s="139" t="s">
        <v>2357</v>
      </c>
    </row>
    <row r="2944" customFormat="false" ht="13.8" hidden="false" customHeight="false" outlineLevel="0" collapsed="false">
      <c r="H2944" s="139" t="s">
        <v>2336</v>
      </c>
    </row>
    <row r="2945" customFormat="false" ht="13.8" hidden="false" customHeight="false" outlineLevel="0" collapsed="false">
      <c r="H2945" s="139" t="s">
        <v>2339</v>
      </c>
    </row>
    <row r="2946" customFormat="false" ht="13.8" hidden="false" customHeight="false" outlineLevel="0" collapsed="false">
      <c r="H2946" s="139" t="s">
        <v>2357</v>
      </c>
    </row>
    <row r="2947" customFormat="false" ht="13.8" hidden="false" customHeight="false" outlineLevel="0" collapsed="false">
      <c r="H2947" s="139" t="s">
        <v>2358</v>
      </c>
    </row>
    <row r="2948" customFormat="false" ht="13.8" hidden="false" customHeight="false" outlineLevel="0" collapsed="false">
      <c r="H2948" s="139" t="s">
        <v>2360</v>
      </c>
    </row>
    <row r="2949" customFormat="false" ht="13.8" hidden="false" customHeight="false" outlineLevel="0" collapsed="false">
      <c r="H2949" s="139" t="s">
        <v>2333</v>
      </c>
    </row>
    <row r="2950" customFormat="false" ht="13.8" hidden="false" customHeight="false" outlineLevel="0" collapsed="false">
      <c r="H2950" s="139" t="s">
        <v>2332</v>
      </c>
    </row>
    <row r="2951" customFormat="false" ht="13.8" hidden="false" customHeight="false" outlineLevel="0" collapsed="false">
      <c r="H2951" s="139" t="s">
        <v>2339</v>
      </c>
    </row>
    <row r="2952" customFormat="false" ht="13.8" hidden="false" customHeight="false" outlineLevel="0" collapsed="false">
      <c r="H2952" s="139" t="s">
        <v>2357</v>
      </c>
    </row>
    <row r="2953" customFormat="false" ht="13.8" hidden="false" customHeight="false" outlineLevel="0" collapsed="false">
      <c r="H2953" s="139" t="s">
        <v>2333</v>
      </c>
    </row>
    <row r="2954" customFormat="false" ht="13.8" hidden="false" customHeight="false" outlineLevel="0" collapsed="false">
      <c r="H2954" s="139" t="s">
        <v>2332</v>
      </c>
    </row>
    <row r="2955" customFormat="false" ht="13.8" hidden="false" customHeight="false" outlineLevel="0" collapsed="false">
      <c r="H2955" s="139" t="s">
        <v>2358</v>
      </c>
    </row>
    <row r="2956" customFormat="false" ht="13.8" hidden="false" customHeight="false" outlineLevel="0" collapsed="false">
      <c r="H2956" s="139" t="s">
        <v>2360</v>
      </c>
    </row>
    <row r="2957" customFormat="false" ht="13.8" hidden="false" customHeight="false" outlineLevel="0" collapsed="false">
      <c r="H2957" s="139" t="s">
        <v>2302</v>
      </c>
    </row>
    <row r="2958" customFormat="false" ht="13.8" hidden="false" customHeight="false" outlineLevel="0" collapsed="false">
      <c r="H2958" s="139" t="s">
        <v>2304</v>
      </c>
    </row>
    <row r="2959" customFormat="false" ht="13.8" hidden="false" customHeight="false" outlineLevel="0" collapsed="false">
      <c r="H2959" s="139" t="s">
        <v>2336</v>
      </c>
    </row>
    <row r="2960" customFormat="false" ht="13.8" hidden="false" customHeight="false" outlineLevel="0" collapsed="false">
      <c r="H2960" s="139" t="s">
        <v>2339</v>
      </c>
    </row>
    <row r="2961" customFormat="false" ht="13.8" hidden="false" customHeight="false" outlineLevel="0" collapsed="false">
      <c r="H2961" s="139" t="s">
        <v>2338</v>
      </c>
    </row>
    <row r="2962" customFormat="false" ht="13.8" hidden="false" customHeight="false" outlineLevel="0" collapsed="false">
      <c r="H2962" s="139" t="s">
        <v>2346</v>
      </c>
    </row>
    <row r="2963" customFormat="false" ht="13.8" hidden="false" customHeight="false" outlineLevel="0" collapsed="false">
      <c r="H2963" s="139" t="s">
        <v>2308</v>
      </c>
    </row>
    <row r="2964" customFormat="false" ht="13.8" hidden="false" customHeight="false" outlineLevel="0" collapsed="false">
      <c r="H2964" s="139" t="s">
        <v>2361</v>
      </c>
    </row>
    <row r="2965" customFormat="false" ht="13.8" hidden="false" customHeight="false" outlineLevel="0" collapsed="false">
      <c r="H2965" s="139" t="s">
        <v>2304</v>
      </c>
    </row>
    <row r="2966" customFormat="false" ht="13.8" hidden="false" customHeight="false" outlineLevel="0" collapsed="false">
      <c r="H2966" s="139" t="s">
        <v>2302</v>
      </c>
    </row>
    <row r="2967" customFormat="false" ht="13.8" hidden="false" customHeight="false" outlineLevel="0" collapsed="false">
      <c r="H2967" s="139" t="s">
        <v>2339</v>
      </c>
    </row>
    <row r="2968" customFormat="false" ht="13.8" hidden="false" customHeight="false" outlineLevel="0" collapsed="false">
      <c r="H2968" s="139" t="s">
        <v>2333</v>
      </c>
    </row>
    <row r="2969" customFormat="false" ht="13.8" hidden="false" customHeight="false" outlineLevel="0" collapsed="false">
      <c r="H2969" s="139" t="s">
        <v>2303</v>
      </c>
    </row>
    <row r="2970" customFormat="false" ht="13.8" hidden="false" customHeight="false" outlineLevel="0" collapsed="false">
      <c r="H2970" s="139" t="s">
        <v>2336</v>
      </c>
    </row>
    <row r="2971" customFormat="false" ht="13.8" hidden="false" customHeight="false" outlineLevel="0" collapsed="false">
      <c r="H2971" s="139" t="s">
        <v>2332</v>
      </c>
    </row>
    <row r="2972" customFormat="false" ht="13.8" hidden="false" customHeight="false" outlineLevel="0" collapsed="false">
      <c r="H2972" s="139" t="s">
        <v>2304</v>
      </c>
    </row>
    <row r="2973" customFormat="false" ht="13.8" hidden="false" customHeight="false" outlineLevel="0" collapsed="false">
      <c r="H2973" s="139" t="s">
        <v>2302</v>
      </c>
    </row>
    <row r="2974" customFormat="false" ht="13.8" hidden="false" customHeight="false" outlineLevel="0" collapsed="false">
      <c r="H2974" s="139" t="s">
        <v>2333</v>
      </c>
    </row>
    <row r="2975" customFormat="false" ht="13.8" hidden="false" customHeight="false" outlineLevel="0" collapsed="false">
      <c r="H2975" s="139" t="s">
        <v>2303</v>
      </c>
    </row>
    <row r="2976" customFormat="false" ht="13.8" hidden="false" customHeight="false" outlineLevel="0" collapsed="false">
      <c r="H2976" s="139" t="s">
        <v>2336</v>
      </c>
    </row>
    <row r="2977" customFormat="false" ht="13.8" hidden="false" customHeight="false" outlineLevel="0" collapsed="false">
      <c r="H2977" s="139" t="s">
        <v>2339</v>
      </c>
    </row>
    <row r="2978" customFormat="false" ht="13.8" hidden="false" customHeight="false" outlineLevel="0" collapsed="false">
      <c r="H2978" s="139" t="s">
        <v>2339</v>
      </c>
    </row>
    <row r="2979" customFormat="false" ht="13.8" hidden="false" customHeight="false" outlineLevel="0" collapsed="false">
      <c r="H2979" s="139" t="s">
        <v>2303</v>
      </c>
    </row>
    <row r="2980" customFormat="false" ht="13.8" hidden="false" customHeight="false" outlineLevel="0" collapsed="false">
      <c r="H2980" s="139" t="s">
        <v>2344</v>
      </c>
    </row>
    <row r="2981" customFormat="false" ht="13.8" hidden="false" customHeight="false" outlineLevel="0" collapsed="false">
      <c r="H2981" s="139" t="s">
        <v>2336</v>
      </c>
    </row>
    <row r="2982" customFormat="false" ht="13.8" hidden="false" customHeight="false" outlineLevel="0" collapsed="false">
      <c r="H2982" s="139" t="s">
        <v>2304</v>
      </c>
    </row>
    <row r="2983" customFormat="false" ht="13.8" hidden="false" customHeight="false" outlineLevel="0" collapsed="false">
      <c r="H2983" s="139" t="s">
        <v>2302</v>
      </c>
    </row>
    <row r="2984" customFormat="false" ht="13.8" hidden="false" customHeight="false" outlineLevel="0" collapsed="false">
      <c r="H2984" s="139" t="s">
        <v>2352</v>
      </c>
    </row>
    <row r="2985" customFormat="false" ht="13.8" hidden="false" customHeight="false" outlineLevel="0" collapsed="false">
      <c r="H2985" s="139" t="s">
        <v>2339</v>
      </c>
    </row>
    <row r="2986" customFormat="false" ht="13.8" hidden="false" customHeight="false" outlineLevel="0" collapsed="false">
      <c r="H2986" s="139" t="s">
        <v>2338</v>
      </c>
    </row>
    <row r="2987" customFormat="false" ht="13.8" hidden="false" customHeight="false" outlineLevel="0" collapsed="false">
      <c r="H2987" s="139" t="s">
        <v>2308</v>
      </c>
    </row>
    <row r="2988" customFormat="false" ht="13.8" hidden="false" customHeight="false" outlineLevel="0" collapsed="false">
      <c r="H2988" s="139" t="s">
        <v>2304</v>
      </c>
    </row>
    <row r="2989" customFormat="false" ht="13.8" hidden="false" customHeight="false" outlineLevel="0" collapsed="false">
      <c r="H2989" s="139" t="s">
        <v>2302</v>
      </c>
    </row>
    <row r="2990" customFormat="false" ht="13.8" hidden="false" customHeight="false" outlineLevel="0" collapsed="false">
      <c r="H2990" s="139" t="s">
        <v>2336</v>
      </c>
    </row>
    <row r="2991" customFormat="false" ht="13.8" hidden="false" customHeight="false" outlineLevel="0" collapsed="false">
      <c r="H2991" s="139" t="s">
        <v>2344</v>
      </c>
    </row>
    <row r="2992" customFormat="false" ht="13.8" hidden="false" customHeight="false" outlineLevel="0" collapsed="false">
      <c r="H2992" s="139" t="s">
        <v>2303</v>
      </c>
    </row>
    <row r="2993" customFormat="false" ht="13.8" hidden="false" customHeight="false" outlineLevel="0" collapsed="false">
      <c r="H2993" s="139" t="s">
        <v>2352</v>
      </c>
    </row>
    <row r="2994" customFormat="false" ht="13.8" hidden="false" customHeight="false" outlineLevel="0" collapsed="false">
      <c r="H2994" s="139" t="s">
        <v>2304</v>
      </c>
    </row>
    <row r="2995" customFormat="false" ht="13.8" hidden="false" customHeight="false" outlineLevel="0" collapsed="false">
      <c r="H2995" s="139" t="s">
        <v>2302</v>
      </c>
    </row>
    <row r="2996" customFormat="false" ht="13.8" hidden="false" customHeight="false" outlineLevel="0" collapsed="false">
      <c r="H2996" s="139" t="s">
        <v>2344</v>
      </c>
    </row>
    <row r="2997" customFormat="false" ht="13.8" hidden="false" customHeight="false" outlineLevel="0" collapsed="false">
      <c r="H2997" s="139" t="s">
        <v>2303</v>
      </c>
    </row>
    <row r="2998" customFormat="false" ht="13.8" hidden="false" customHeight="false" outlineLevel="0" collapsed="false">
      <c r="H2998" s="139" t="s">
        <v>2352</v>
      </c>
    </row>
    <row r="2999" customFormat="false" ht="13.8" hidden="false" customHeight="false" outlineLevel="0" collapsed="false">
      <c r="H2999" s="139" t="s">
        <v>2336</v>
      </c>
    </row>
    <row r="3000" customFormat="false" ht="13.8" hidden="false" customHeight="false" outlineLevel="0" collapsed="false">
      <c r="H3000" s="139" t="s">
        <v>2303</v>
      </c>
    </row>
    <row r="3001" customFormat="false" ht="13.8" hidden="false" customHeight="false" outlineLevel="0" collapsed="false">
      <c r="H3001" s="139" t="s">
        <v>2344</v>
      </c>
    </row>
    <row r="3002" customFormat="false" ht="13.8" hidden="false" customHeight="false" outlineLevel="0" collapsed="false">
      <c r="H3002" s="139" t="s">
        <v>2336</v>
      </c>
    </row>
    <row r="3003" customFormat="false" ht="13.8" hidden="false" customHeight="false" outlineLevel="0" collapsed="false">
      <c r="H3003" s="139" t="s">
        <v>2304</v>
      </c>
    </row>
    <row r="3004" customFormat="false" ht="13.8" hidden="false" customHeight="false" outlineLevel="0" collapsed="false">
      <c r="H3004" s="139" t="s">
        <v>2302</v>
      </c>
    </row>
    <row r="3005" customFormat="false" ht="13.8" hidden="false" customHeight="false" outlineLevel="0" collapsed="false">
      <c r="H3005" s="139" t="s">
        <v>2352</v>
      </c>
    </row>
    <row r="3006" customFormat="false" ht="13.8" hidden="false" customHeight="false" outlineLevel="0" collapsed="false">
      <c r="H3006" s="139" t="s">
        <v>2338</v>
      </c>
    </row>
    <row r="3007" customFormat="false" ht="13.8" hidden="false" customHeight="false" outlineLevel="0" collapsed="false">
      <c r="H3007" s="139" t="s">
        <v>2308</v>
      </c>
    </row>
    <row r="3008" customFormat="false" ht="13.8" hidden="false" customHeight="false" outlineLevel="0" collapsed="false">
      <c r="H3008" s="139" t="s">
        <v>2334</v>
      </c>
    </row>
    <row r="3009" customFormat="false" ht="13.8" hidden="false" customHeight="false" outlineLevel="0" collapsed="false">
      <c r="H3009" s="139" t="s">
        <v>2352</v>
      </c>
    </row>
    <row r="3010" customFormat="false" ht="13.8" hidden="false" customHeight="false" outlineLevel="0" collapsed="false">
      <c r="H3010" s="139" t="s">
        <v>2303</v>
      </c>
    </row>
    <row r="3011" customFormat="false" ht="13.8" hidden="false" customHeight="false" outlineLevel="0" collapsed="false">
      <c r="H3011" s="139" t="s">
        <v>2344</v>
      </c>
    </row>
    <row r="3012" customFormat="false" ht="13.8" hidden="false" customHeight="false" outlineLevel="0" collapsed="false">
      <c r="H3012" s="139" t="s">
        <v>2336</v>
      </c>
    </row>
    <row r="3013" customFormat="false" ht="13.8" hidden="false" customHeight="false" outlineLevel="0" collapsed="false">
      <c r="H3013" s="139" t="s">
        <v>2304</v>
      </c>
    </row>
    <row r="3014" customFormat="false" ht="13.8" hidden="false" customHeight="false" outlineLevel="0" collapsed="false">
      <c r="H3014" s="139" t="s">
        <v>2302</v>
      </c>
    </row>
    <row r="3015" customFormat="false" ht="13.8" hidden="false" customHeight="false" outlineLevel="0" collapsed="false">
      <c r="H3015" s="139" t="s">
        <v>2304</v>
      </c>
    </row>
    <row r="3016" customFormat="false" ht="13.8" hidden="false" customHeight="false" outlineLevel="0" collapsed="false">
      <c r="H3016" s="139" t="s">
        <v>2302</v>
      </c>
    </row>
    <row r="3017" customFormat="false" ht="13.8" hidden="false" customHeight="false" outlineLevel="0" collapsed="false">
      <c r="H3017" s="139" t="s">
        <v>2344</v>
      </c>
    </row>
    <row r="3018" customFormat="false" ht="13.8" hidden="false" customHeight="false" outlineLevel="0" collapsed="false">
      <c r="H3018" s="139" t="s">
        <v>2303</v>
      </c>
    </row>
    <row r="3019" customFormat="false" ht="13.8" hidden="false" customHeight="false" outlineLevel="0" collapsed="false">
      <c r="H3019" s="139" t="s">
        <v>2336</v>
      </c>
    </row>
    <row r="3020" customFormat="false" ht="13.8" hidden="false" customHeight="false" outlineLevel="0" collapsed="false">
      <c r="H3020" s="139" t="s">
        <v>2352</v>
      </c>
    </row>
    <row r="3021" customFormat="false" ht="13.8" hidden="false" customHeight="false" outlineLevel="0" collapsed="false">
      <c r="H3021" s="139"/>
    </row>
    <row r="3022" customFormat="false" ht="13.8" hidden="false" customHeight="false" outlineLevel="0" collapsed="false">
      <c r="H3022" s="139"/>
    </row>
    <row r="3023" customFormat="false" ht="13.8" hidden="false" customHeight="false" outlineLevel="0" collapsed="false">
      <c r="H3023" s="139"/>
    </row>
    <row r="3024" customFormat="false" ht="13.8" hidden="false" customHeight="false" outlineLevel="0" collapsed="false">
      <c r="H3024" s="139"/>
    </row>
    <row r="3025" customFormat="false" ht="13.8" hidden="false" customHeight="false" outlineLevel="0" collapsed="false">
      <c r="H3025" s="139"/>
    </row>
    <row r="3026" customFormat="false" ht="13.8" hidden="false" customHeight="false" outlineLevel="0" collapsed="false">
      <c r="H3026" s="139"/>
    </row>
    <row r="3027" customFormat="false" ht="13.8" hidden="false" customHeight="false" outlineLevel="0" collapsed="false">
      <c r="H3027" s="139"/>
    </row>
    <row r="3028" customFormat="false" ht="13.8" hidden="false" customHeight="false" outlineLevel="0" collapsed="false">
      <c r="H3028" s="139"/>
    </row>
    <row r="3029" customFormat="false" ht="13.8" hidden="false" customHeight="false" outlineLevel="0" collapsed="false">
      <c r="H3029" s="139"/>
    </row>
    <row r="3030" customFormat="false" ht="13.8" hidden="false" customHeight="false" outlineLevel="0" collapsed="false">
      <c r="H3030" s="139"/>
    </row>
    <row r="3031" customFormat="false" ht="13.8" hidden="false" customHeight="false" outlineLevel="0" collapsed="false">
      <c r="H3031" s="139"/>
    </row>
    <row r="3032" customFormat="false" ht="13.8" hidden="false" customHeight="false" outlineLevel="0" collapsed="false">
      <c r="H3032" s="139"/>
    </row>
    <row r="3033" customFormat="false" ht="13.8" hidden="false" customHeight="false" outlineLevel="0" collapsed="false">
      <c r="H3033" s="139"/>
    </row>
    <row r="3034" customFormat="false" ht="13.8" hidden="false" customHeight="false" outlineLevel="0" collapsed="false">
      <c r="H3034" s="139"/>
    </row>
    <row r="3035" customFormat="false" ht="13.8" hidden="false" customHeight="false" outlineLevel="0" collapsed="false">
      <c r="H3035" s="139"/>
    </row>
    <row r="3036" customFormat="false" ht="13.8" hidden="false" customHeight="false" outlineLevel="0" collapsed="false">
      <c r="H3036" s="139"/>
    </row>
    <row r="3037" customFormat="false" ht="13.8" hidden="false" customHeight="false" outlineLevel="0" collapsed="false">
      <c r="H3037" s="139"/>
    </row>
    <row r="3038" customFormat="false" ht="13.8" hidden="false" customHeight="false" outlineLevel="0" collapsed="false">
      <c r="H3038" s="139"/>
    </row>
    <row r="3039" customFormat="false" ht="13.8" hidden="false" customHeight="false" outlineLevel="0" collapsed="false">
      <c r="H3039" s="139"/>
    </row>
    <row r="3040" customFormat="false" ht="13.8" hidden="false" customHeight="false" outlineLevel="0" collapsed="false">
      <c r="H3040" s="139"/>
    </row>
    <row r="3041" customFormat="false" ht="13.8" hidden="false" customHeight="false" outlineLevel="0" collapsed="false">
      <c r="H3041" s="139"/>
    </row>
    <row r="3042" customFormat="false" ht="13.8" hidden="false" customHeight="false" outlineLevel="0" collapsed="false">
      <c r="H3042" s="139"/>
    </row>
    <row r="3043" customFormat="false" ht="13.8" hidden="false" customHeight="false" outlineLevel="0" collapsed="false">
      <c r="H3043" s="139"/>
    </row>
    <row r="3044" customFormat="false" ht="13.8" hidden="false" customHeight="false" outlineLevel="0" collapsed="false">
      <c r="H3044" s="139"/>
    </row>
    <row r="3045" customFormat="false" ht="13.8" hidden="false" customHeight="false" outlineLevel="0" collapsed="false">
      <c r="H3045" s="139"/>
    </row>
    <row r="3046" customFormat="false" ht="13.8" hidden="false" customHeight="false" outlineLevel="0" collapsed="false">
      <c r="H3046" s="139"/>
    </row>
    <row r="3047" customFormat="false" ht="13.8" hidden="false" customHeight="false" outlineLevel="0" collapsed="false">
      <c r="H3047" s="139"/>
    </row>
    <row r="3048" customFormat="false" ht="13.8" hidden="false" customHeight="false" outlineLevel="0" collapsed="false">
      <c r="H3048" s="139"/>
    </row>
    <row r="3049" customFormat="false" ht="13.8" hidden="false" customHeight="false" outlineLevel="0" collapsed="false">
      <c r="H3049" s="139"/>
    </row>
    <row r="3050" customFormat="false" ht="13.8" hidden="false" customHeight="false" outlineLevel="0" collapsed="false">
      <c r="H3050" s="139"/>
    </row>
    <row r="3051" customFormat="false" ht="13.8" hidden="false" customHeight="false" outlineLevel="0" collapsed="false">
      <c r="H3051" s="139"/>
    </row>
    <row r="3052" customFormat="false" ht="13.8" hidden="false" customHeight="false" outlineLevel="0" collapsed="false">
      <c r="H3052" s="139"/>
    </row>
    <row r="3053" customFormat="false" ht="13.8" hidden="false" customHeight="false" outlineLevel="0" collapsed="false">
      <c r="H3053" s="139"/>
    </row>
    <row r="3054" customFormat="false" ht="13.8" hidden="false" customHeight="false" outlineLevel="0" collapsed="false">
      <c r="H3054" s="139"/>
    </row>
    <row r="3055" customFormat="false" ht="13.8" hidden="false" customHeight="false" outlineLevel="0" collapsed="false">
      <c r="H3055" s="139"/>
    </row>
    <row r="3056" customFormat="false" ht="13.8" hidden="false" customHeight="false" outlineLevel="0" collapsed="false">
      <c r="H3056" s="139"/>
    </row>
    <row r="3057" customFormat="false" ht="13.8" hidden="false" customHeight="false" outlineLevel="0" collapsed="false">
      <c r="H3057" s="139"/>
    </row>
    <row r="3058" customFormat="false" ht="13.8" hidden="false" customHeight="false" outlineLevel="0" collapsed="false">
      <c r="H3058" s="139"/>
    </row>
    <row r="3059" customFormat="false" ht="13.8" hidden="false" customHeight="false" outlineLevel="0" collapsed="false">
      <c r="H3059" s="139"/>
    </row>
    <row r="3060" customFormat="false" ht="13.8" hidden="false" customHeight="false" outlineLevel="0" collapsed="false">
      <c r="H3060" s="139"/>
    </row>
    <row r="3061" customFormat="false" ht="13.8" hidden="false" customHeight="false" outlineLevel="0" collapsed="false">
      <c r="H3061" s="139"/>
    </row>
    <row r="3062" customFormat="false" ht="13.8" hidden="false" customHeight="false" outlineLevel="0" collapsed="false">
      <c r="H3062" s="139"/>
    </row>
    <row r="3063" customFormat="false" ht="13.8" hidden="false" customHeight="false" outlineLevel="0" collapsed="false">
      <c r="H3063" s="139"/>
    </row>
    <row r="3064" customFormat="false" ht="13.8" hidden="false" customHeight="false" outlineLevel="0" collapsed="false">
      <c r="H3064" s="139"/>
    </row>
    <row r="3065" customFormat="false" ht="13.8" hidden="false" customHeight="false" outlineLevel="0" collapsed="false">
      <c r="H3065" s="139"/>
    </row>
    <row r="3066" customFormat="false" ht="13.8" hidden="false" customHeight="false" outlineLevel="0" collapsed="false">
      <c r="H3066" s="139"/>
    </row>
    <row r="3067" customFormat="false" ht="13.8" hidden="false" customHeight="false" outlineLevel="0" collapsed="false">
      <c r="H3067" s="139"/>
    </row>
    <row r="3068" customFormat="false" ht="13.8" hidden="false" customHeight="false" outlineLevel="0" collapsed="false">
      <c r="H3068" s="139"/>
    </row>
    <row r="3069" customFormat="false" ht="13.8" hidden="false" customHeight="false" outlineLevel="0" collapsed="false">
      <c r="H3069" s="139"/>
    </row>
    <row r="3070" customFormat="false" ht="13.8" hidden="false" customHeight="false" outlineLevel="0" collapsed="false">
      <c r="H3070" s="139"/>
    </row>
    <row r="3071" customFormat="false" ht="13.8" hidden="false" customHeight="false" outlineLevel="0" collapsed="false">
      <c r="H3071" s="139"/>
    </row>
    <row r="3072" customFormat="false" ht="13.8" hidden="false" customHeight="false" outlineLevel="0" collapsed="false">
      <c r="H3072" s="139"/>
    </row>
    <row r="3073" customFormat="false" ht="13.8" hidden="false" customHeight="false" outlineLevel="0" collapsed="false">
      <c r="H3073" s="139"/>
    </row>
    <row r="3074" customFormat="false" ht="13.8" hidden="false" customHeight="false" outlineLevel="0" collapsed="false">
      <c r="H3074" s="139"/>
    </row>
    <row r="3075" customFormat="false" ht="13.8" hidden="false" customHeight="false" outlineLevel="0" collapsed="false">
      <c r="H3075" s="139"/>
    </row>
    <row r="3076" customFormat="false" ht="13.8" hidden="false" customHeight="false" outlineLevel="0" collapsed="false">
      <c r="H3076" s="139"/>
    </row>
    <row r="3077" customFormat="false" ht="13.8" hidden="false" customHeight="false" outlineLevel="0" collapsed="false">
      <c r="H3077" s="139"/>
    </row>
    <row r="3078" customFormat="false" ht="13.8" hidden="false" customHeight="false" outlineLevel="0" collapsed="false">
      <c r="H3078" s="139"/>
    </row>
    <row r="3079" customFormat="false" ht="13.8" hidden="false" customHeight="false" outlineLevel="0" collapsed="false">
      <c r="H3079" s="139"/>
    </row>
    <row r="3080" customFormat="false" ht="13.8" hidden="false" customHeight="false" outlineLevel="0" collapsed="false">
      <c r="H3080" s="139"/>
    </row>
    <row r="3081" customFormat="false" ht="13.8" hidden="false" customHeight="false" outlineLevel="0" collapsed="false">
      <c r="H3081" s="139"/>
    </row>
    <row r="3082" customFormat="false" ht="13.8" hidden="false" customHeight="false" outlineLevel="0" collapsed="false">
      <c r="H3082" s="139"/>
    </row>
    <row r="3083" customFormat="false" ht="13.8" hidden="false" customHeight="false" outlineLevel="0" collapsed="false">
      <c r="H3083" s="139"/>
    </row>
    <row r="3084" customFormat="false" ht="13.8" hidden="false" customHeight="false" outlineLevel="0" collapsed="false">
      <c r="H3084" s="139"/>
    </row>
    <row r="3085" customFormat="false" ht="13.8" hidden="false" customHeight="false" outlineLevel="0" collapsed="false">
      <c r="H3085" s="139"/>
    </row>
    <row r="3086" customFormat="false" ht="13.8" hidden="false" customHeight="false" outlineLevel="0" collapsed="false">
      <c r="H3086" s="139"/>
    </row>
    <row r="3087" customFormat="false" ht="13.8" hidden="false" customHeight="false" outlineLevel="0" collapsed="false">
      <c r="H3087" s="139"/>
    </row>
    <row r="3088" customFormat="false" ht="13.8" hidden="false" customHeight="false" outlineLevel="0" collapsed="false">
      <c r="H3088" s="139"/>
    </row>
    <row r="3089" customFormat="false" ht="13.8" hidden="false" customHeight="false" outlineLevel="0" collapsed="false">
      <c r="H3089" s="139"/>
    </row>
    <row r="3090" customFormat="false" ht="13.8" hidden="false" customHeight="false" outlineLevel="0" collapsed="false">
      <c r="H3090" s="139"/>
    </row>
    <row r="3091" customFormat="false" ht="13.8" hidden="false" customHeight="false" outlineLevel="0" collapsed="false">
      <c r="H3091" s="139"/>
    </row>
    <row r="3092" customFormat="false" ht="13.8" hidden="false" customHeight="false" outlineLevel="0" collapsed="false">
      <c r="H3092" s="139"/>
    </row>
    <row r="3093" customFormat="false" ht="13.8" hidden="false" customHeight="false" outlineLevel="0" collapsed="false">
      <c r="H3093" s="139"/>
    </row>
    <row r="3094" customFormat="false" ht="13.8" hidden="false" customHeight="false" outlineLevel="0" collapsed="false">
      <c r="H3094" s="139"/>
    </row>
    <row r="3095" customFormat="false" ht="13.8" hidden="false" customHeight="false" outlineLevel="0" collapsed="false">
      <c r="H3095" s="139"/>
    </row>
    <row r="3096" customFormat="false" ht="13.8" hidden="false" customHeight="false" outlineLevel="0" collapsed="false">
      <c r="H3096" s="139"/>
    </row>
    <row r="3097" customFormat="false" ht="13.8" hidden="false" customHeight="false" outlineLevel="0" collapsed="false">
      <c r="H3097" s="139"/>
    </row>
    <row r="3098" customFormat="false" ht="13.8" hidden="false" customHeight="false" outlineLevel="0" collapsed="false">
      <c r="H3098" s="139"/>
    </row>
    <row r="3099" customFormat="false" ht="13.8" hidden="false" customHeight="false" outlineLevel="0" collapsed="false">
      <c r="H3099" s="139"/>
    </row>
    <row r="3100" customFormat="false" ht="13.8" hidden="false" customHeight="false" outlineLevel="0" collapsed="false">
      <c r="H3100" s="139"/>
    </row>
    <row r="3101" customFormat="false" ht="13.8" hidden="false" customHeight="false" outlineLevel="0" collapsed="false">
      <c r="H3101" s="139"/>
    </row>
    <row r="3102" customFormat="false" ht="13.8" hidden="false" customHeight="false" outlineLevel="0" collapsed="false">
      <c r="H3102" s="139"/>
    </row>
  </sheetData>
  <autoFilter ref="B3:FU363"/>
  <mergeCells count="2">
    <mergeCell ref="B1:C1"/>
    <mergeCell ref="AP2:BQ2"/>
  </mergeCells>
  <conditionalFormatting sqref="C3 C19:C30 C50:C53 C32:C46 C86:C363 C55:C82">
    <cfRule type="containsText" priority="2" operator="containsText" aboveAverage="0" equalAverage="0" bottom="0" percent="0" rank="0" text="G" dxfId="0">
      <formula>NOT(ISERROR(SEARCH("G",C3)))</formula>
    </cfRule>
    <cfRule type="containsText" priority="3" operator="containsText" aboveAverage="0" equalAverage="0" bottom="0" percent="0" rank="0" text="B" dxfId="1">
      <formula>NOT(ISERROR(SEARCH("B",C3)))</formula>
    </cfRule>
    <cfRule type="containsText" priority="4" operator="containsText" aboveAverage="0" equalAverage="0" bottom="0" percent="0" rank="0" text="A" dxfId="2">
      <formula>NOT(ISERROR(SEARCH("A",C3)))</formula>
    </cfRule>
  </conditionalFormatting>
  <conditionalFormatting sqref="Q2">
    <cfRule type="containsText" priority="5" operator="containsText" aboveAverage="0" equalAverage="0" bottom="0" percent="0" rank="0" text="'0" dxfId="3">
      <formula>NOT(ISERROR(SEARCH("'0",Q2)))</formula>
    </cfRule>
    <cfRule type="containsText" priority="6" operator="containsText" aboveAverage="0" equalAverage="0" bottom="0" percent="0" rank="0" text="PENDING" dxfId="4">
      <formula>NOT(ISERROR(SEARCH("PENDING",Q2)))</formula>
    </cfRule>
    <cfRule type="containsText" priority="7" operator="containsText" aboveAverage="0" equalAverage="0" bottom="0" percent="0" rank="0" text="0123456789" dxfId="5">
      <formula>NOT(ISERROR(SEARCH("0123456789",Q2)))</formula>
    </cfRule>
    <cfRule type="containsText" priority="8" operator="containsText" aboveAverage="0" equalAverage="0" bottom="0" percent="0" rank="0" text="N/A" dxfId="6">
      <formula>NOT(ISERROR(SEARCH("N/A",Q2)))</formula>
    </cfRule>
  </conditionalFormatting>
  <conditionalFormatting sqref="R219:R236 T154:T236 T104:T149 R238:R363 T238:T363">
    <cfRule type="cellIs" priority="9" operator="greaterThan" aboveAverage="0" equalAverage="0" bottom="0" percent="0" rank="0" text="" dxfId="7">
      <formula>0</formula>
    </cfRule>
    <cfRule type="cellIs" priority="10" operator="greaterThan" aboveAverage="0" equalAverage="0" bottom="0" percent="0" rank="0" text="" dxfId="8">
      <formula>32</formula>
    </cfRule>
    <cfRule type="cellIs" priority="11" operator="greaterThan" aboveAverage="0" equalAverage="0" bottom="0" percent="0" rank="0" text="" dxfId="9">
      <formula>32</formula>
    </cfRule>
    <cfRule type="cellIs" priority="12" operator="greaterThan" aboveAverage="0" equalAverage="0" bottom="0" percent="0" rank="0" text="" dxfId="10">
      <formula>0</formula>
    </cfRule>
    <cfRule type="cellIs" priority="13" operator="greaterThan" aboveAverage="0" equalAverage="0" bottom="0" percent="0" rank="0" text="" dxfId="11">
      <formula>0</formula>
    </cfRule>
    <cfRule type="cellIs" priority="14" operator="greaterThan" aboveAverage="0" equalAverage="0" bottom="0" percent="0" rank="0" text="" dxfId="12">
      <formula>0</formula>
    </cfRule>
  </conditionalFormatting>
  <conditionalFormatting sqref="R219:R236 T154:T236 T104:T149 R238:R363 T238:T363">
    <cfRule type="cellIs" priority="15" operator="greaterThan" aboveAverage="0" equalAverage="0" bottom="0" percent="0" rank="0" text="" dxfId="13">
      <formula>0</formula>
    </cfRule>
  </conditionalFormatting>
  <conditionalFormatting sqref="E2:E3 E223:E230 E235:E236 E177:E189 E275:E341 E343:E363 E1595:E1048576">
    <cfRule type="containsText" priority="16" operator="containsText" aboveAverage="0" equalAverage="0" bottom="0" percent="0" rank="0" text="fo048" dxfId="14">
      <formula>NOT(ISERROR(SEARCH("fo048",E2)))</formula>
    </cfRule>
  </conditionalFormatting>
  <conditionalFormatting sqref="E21">
    <cfRule type="containsText" priority="17" operator="containsText" aboveAverage="0" equalAverage="0" bottom="0" percent="0" rank="0" text="fo048" dxfId="15">
      <formula>NOT(ISERROR(SEARCH("fo048",E21)))</formula>
    </cfRule>
  </conditionalFormatting>
  <conditionalFormatting sqref="C22:C30 C32:C39">
    <cfRule type="containsText" priority="18" operator="containsText" aboveAverage="0" equalAverage="0" bottom="0" percent="0" rank="0" text="G" dxfId="16">
      <formula>NOT(ISERROR(SEARCH("G",C22)))</formula>
    </cfRule>
    <cfRule type="containsText" priority="19" operator="containsText" aboveAverage="0" equalAverage="0" bottom="0" percent="0" rank="0" text="B" dxfId="17">
      <formula>NOT(ISERROR(SEARCH("B",C22)))</formula>
    </cfRule>
    <cfRule type="containsText" priority="20" operator="containsText" aboveAverage="0" equalAverage="0" bottom="0" percent="0" rank="0" text="A" dxfId="18">
      <formula>NOT(ISERROR(SEARCH("A",C22)))</formula>
    </cfRule>
  </conditionalFormatting>
  <conditionalFormatting sqref="C50:C53 C55:C63">
    <cfRule type="containsText" priority="21" operator="containsText" aboveAverage="0" equalAverage="0" bottom="0" percent="0" rank="0" text="G" dxfId="19">
      <formula>NOT(ISERROR(SEARCH("G",C50)))</formula>
    </cfRule>
    <cfRule type="containsText" priority="22" operator="containsText" aboveAverage="0" equalAverage="0" bottom="0" percent="0" rank="0" text="B" dxfId="20">
      <formula>NOT(ISERROR(SEARCH("B",C50)))</formula>
    </cfRule>
    <cfRule type="containsText" priority="23" operator="containsText" aboveAverage="0" equalAverage="0" bottom="0" percent="0" rank="0" text="A" dxfId="21">
      <formula>NOT(ISERROR(SEARCH("A",C50)))</formula>
    </cfRule>
  </conditionalFormatting>
  <conditionalFormatting sqref="AN32:AN53 AO337 AN338:AN363 AN55:AN336">
    <cfRule type="cellIs" priority="24" operator="equal" aboveAverage="0" equalAverage="0" bottom="0" percent="0" rank="0" text="" dxfId="22">
      <formula>"Pending"</formula>
    </cfRule>
    <cfRule type="cellIs" priority="25" operator="greaterThan" aboveAverage="0" equalAverage="0" bottom="0" percent="0" rank="0" text="" dxfId="23">
      <formula>0</formula>
    </cfRule>
    <cfRule type="cellIs" priority="26" operator="equal" aboveAverage="0" equalAverage="0" bottom="0" percent="0" rank="0" text="" dxfId="24">
      <formula>"pending"</formula>
    </cfRule>
    <cfRule type="cellIs" priority="27" operator="greaterThan" aboveAverage="0" equalAverage="0" bottom="0" percent="0" rank="0" text="" dxfId="25">
      <formula>0</formula>
    </cfRule>
  </conditionalFormatting>
  <conditionalFormatting sqref="E241:E242 E205 E247:E259 E212:E214 E197:E200 E264:E273">
    <cfRule type="containsText" priority="28" operator="containsText" aboveAverage="0" equalAverage="0" bottom="0" percent="0" rank="0" text="fo048" dxfId="26">
      <formula>NOT(ISERROR(SEARCH("fo048",E197)))</formula>
    </cfRule>
  </conditionalFormatting>
  <conditionalFormatting sqref="E26:E27 E86 E38:E39 E51:E52 E56:E57 E110:E112 E152 E114 E154:E156 E137 E72:E74 E95:E97 E139:E144">
    <cfRule type="containsText" priority="29" operator="containsText" aboveAverage="0" equalAverage="0" bottom="0" percent="0" rank="0" text="fo048" dxfId="27">
      <formula>NOT(ISERROR(SEARCH("fo048",E26)))</formula>
    </cfRule>
  </conditionalFormatting>
  <conditionalFormatting sqref="E161:E162">
    <cfRule type="containsText" priority="30" operator="containsText" aboveAverage="0" equalAverage="0" bottom="0" percent="0" rank="0" text="fo048" dxfId="28">
      <formula>NOT(ISERROR(SEARCH("fo048",E161)))</formula>
    </cfRule>
  </conditionalFormatting>
  <conditionalFormatting sqref="E164:E165">
    <cfRule type="containsText" priority="31" operator="containsText" aboveAverage="0" equalAverage="0" bottom="0" percent="0" rank="0" text="fo048" dxfId="29">
      <formula>NOT(ISERROR(SEARCH("fo048",E164)))</formula>
    </cfRule>
  </conditionalFormatting>
  <conditionalFormatting sqref="E219:E221">
    <cfRule type="containsText" priority="32" operator="containsText" aboveAverage="0" equalAverage="0" bottom="0" percent="0" rank="0" text="fo048" dxfId="30">
      <formula>NOT(ISERROR(SEARCH("fo048",E219)))</formula>
    </cfRule>
  </conditionalFormatting>
  <conditionalFormatting sqref="E49">
    <cfRule type="containsText" priority="33" operator="containsText" aboveAverage="0" equalAverage="0" bottom="0" percent="0" rank="0" text="fo048" dxfId="31">
      <formula>NOT(ISERROR(SEARCH("fo048",E49)))</formula>
    </cfRule>
  </conditionalFormatting>
  <conditionalFormatting sqref="E133">
    <cfRule type="containsText" priority="34" operator="containsText" aboveAverage="0" equalAverage="0" bottom="0" percent="0" rank="0" text="fo048" dxfId="32">
      <formula>NOT(ISERROR(SEARCH("fo048",E133)))</formula>
    </cfRule>
  </conditionalFormatting>
  <conditionalFormatting sqref="E131:E132">
    <cfRule type="containsText" priority="35" operator="containsText" aboveAverage="0" equalAverage="0" bottom="0" percent="0" rank="0" text="fo048" dxfId="33">
      <formula>NOT(ISERROR(SEARCH("fo048",E131)))</formula>
    </cfRule>
  </conditionalFormatting>
  <conditionalFormatting sqref="E195">
    <cfRule type="containsText" priority="36" operator="containsText" aboveAverage="0" equalAverage="0" bottom="0" percent="0" rank="0" text="fo048" dxfId="34">
      <formula>NOT(ISERROR(SEARCH("fo048",E195)))</formula>
    </cfRule>
  </conditionalFormatting>
  <conditionalFormatting sqref="R237 T237">
    <cfRule type="cellIs" priority="37" operator="greaterThan" aboveAverage="0" equalAverage="0" bottom="0" percent="0" rank="0" text="" dxfId="35">
      <formula>0</formula>
    </cfRule>
    <cfRule type="cellIs" priority="38" operator="greaterThan" aboveAverage="0" equalAverage="0" bottom="0" percent="0" rank="0" text="" dxfId="8">
      <formula>32</formula>
    </cfRule>
    <cfRule type="cellIs" priority="39" operator="greaterThan" aboveAverage="0" equalAverage="0" bottom="0" percent="0" rank="0" text="" dxfId="36">
      <formula>32</formula>
    </cfRule>
    <cfRule type="cellIs" priority="40" operator="greaterThan" aboveAverage="0" equalAverage="0" bottom="0" percent="0" rank="0" text="" dxfId="37">
      <formula>0</formula>
    </cfRule>
    <cfRule type="cellIs" priority="41" operator="greaterThan" aboveAverage="0" equalAverage="0" bottom="0" percent="0" rank="0" text="" dxfId="38">
      <formula>0</formula>
    </cfRule>
    <cfRule type="cellIs" priority="42" operator="greaterThan" aboveAverage="0" equalAverage="0" bottom="0" percent="0" rank="0" text="" dxfId="39">
      <formula>0</formula>
    </cfRule>
  </conditionalFormatting>
  <conditionalFormatting sqref="R237 T237">
    <cfRule type="cellIs" priority="43" operator="greaterThan" aboveAverage="0" equalAverage="0" bottom="0" percent="0" rank="0" text="" dxfId="40">
      <formula>0</formula>
    </cfRule>
  </conditionalFormatting>
  <conditionalFormatting sqref="E30 E32:E33">
    <cfRule type="containsText" priority="44" operator="containsText" aboveAverage="0" equalAverage="0" bottom="0" percent="0" rank="0" text="fo048" dxfId="41">
      <formula>NOT(ISERROR(SEARCH("fo048",E30)))</formula>
    </cfRule>
  </conditionalFormatting>
  <conditionalFormatting sqref="E55">
    <cfRule type="containsText" priority="45" operator="containsText" aboveAverage="0" equalAverage="0" bottom="0" percent="0" rank="0" text="fo048" dxfId="42">
      <formula>NOT(ISERROR(SEARCH("fo048",E55)))</formula>
    </cfRule>
  </conditionalFormatting>
  <conditionalFormatting sqref="E67">
    <cfRule type="containsText" priority="46" operator="containsText" aboveAverage="0" equalAverage="0" bottom="0" percent="0" rank="0" text="fo048" dxfId="43">
      <formula>NOT(ISERROR(SEARCH("fo048",E67)))</formula>
    </cfRule>
  </conditionalFormatting>
  <conditionalFormatting sqref="E163">
    <cfRule type="containsText" priority="47" operator="containsText" aboveAverage="0" equalAverage="0" bottom="0" percent="0" rank="0" text="fo048" dxfId="44">
      <formula>NOT(ISERROR(SEARCH("fo048",E163)))</formula>
    </cfRule>
  </conditionalFormatting>
  <conditionalFormatting sqref="E201">
    <cfRule type="containsText" priority="48" operator="containsText" aboveAverage="0" equalAverage="0" bottom="0" percent="0" rank="0" text="fo048" dxfId="45">
      <formula>NOT(ISERROR(SEARCH("fo048",E201)))</formula>
    </cfRule>
  </conditionalFormatting>
  <conditionalFormatting sqref="E215">
    <cfRule type="containsText" priority="49" operator="containsText" aboveAverage="0" equalAverage="0" bottom="0" percent="0" rank="0" text="fo048" dxfId="46">
      <formula>NOT(ISERROR(SEARCH("fo048",E215)))</formula>
    </cfRule>
  </conditionalFormatting>
  <conditionalFormatting sqref="E231:E234">
    <cfRule type="containsText" priority="50" operator="containsText" aboveAverage="0" equalAverage="0" bottom="0" percent="0" rank="0" text="fo048" dxfId="47">
      <formula>NOT(ISERROR(SEARCH("fo048",E231)))</formula>
    </cfRule>
  </conditionalFormatting>
  <conditionalFormatting sqref="E243:E246">
    <cfRule type="containsText" priority="51" operator="containsText" aboveAverage="0" equalAverage="0" bottom="0" percent="0" rank="0" text="fo048" dxfId="48">
      <formula>NOT(ISERROR(SEARCH("fo048",E243)))</formula>
    </cfRule>
  </conditionalFormatting>
  <conditionalFormatting sqref="E17">
    <cfRule type="containsText" priority="52" operator="containsText" aboveAverage="0" equalAverage="0" bottom="0" percent="0" rank="0" text="fo048" dxfId="49">
      <formula>NOT(ISERROR(SEARCH("fo048",E17)))</formula>
    </cfRule>
  </conditionalFormatting>
  <conditionalFormatting sqref="E82">
    <cfRule type="containsText" priority="53" operator="containsText" aboveAverage="0" equalAverage="0" bottom="0" percent="0" rank="0" text="fo048" dxfId="50">
      <formula>NOT(ISERROR(SEARCH("fo048",E82)))</formula>
    </cfRule>
  </conditionalFormatting>
  <conditionalFormatting sqref="E109">
    <cfRule type="containsText" priority="54" operator="containsText" aboveAverage="0" equalAverage="0" bottom="0" percent="0" rank="0" text="fo048" dxfId="51">
      <formula>NOT(ISERROR(SEARCH("fo048",E109)))</formula>
    </cfRule>
  </conditionalFormatting>
  <conditionalFormatting sqref="E122">
    <cfRule type="containsText" priority="55" operator="containsText" aboveAverage="0" equalAverage="0" bottom="0" percent="0" rank="0" text="fo048" dxfId="52">
      <formula>NOT(ISERROR(SEARCH("fo048",E122)))</formula>
    </cfRule>
  </conditionalFormatting>
  <conditionalFormatting sqref="E148">
    <cfRule type="containsText" priority="56" operator="containsText" aboveAverage="0" equalAverage="0" bottom="0" percent="0" rank="0" text="fo048" dxfId="53">
      <formula>NOT(ISERROR(SEARCH("fo048",E148)))</formula>
    </cfRule>
  </conditionalFormatting>
  <conditionalFormatting sqref="E149 E151">
    <cfRule type="containsText" priority="57" operator="containsText" aboveAverage="0" equalAverage="0" bottom="0" percent="0" rank="0" text="fo048" dxfId="54">
      <formula>NOT(ISERROR(SEARCH("fo048",E149)))</formula>
    </cfRule>
  </conditionalFormatting>
  <conditionalFormatting sqref="E169">
    <cfRule type="containsText" priority="58" operator="containsText" aboveAverage="0" equalAverage="0" bottom="0" percent="0" rank="0" text="fo048" dxfId="55">
      <formula>NOT(ISERROR(SEARCH("fo048",E169)))</formula>
    </cfRule>
  </conditionalFormatting>
  <conditionalFormatting sqref="E170:E172">
    <cfRule type="containsText" priority="59" operator="containsText" aboveAverage="0" equalAverage="0" bottom="0" percent="0" rank="0" text="fo048" dxfId="56">
      <formula>NOT(ISERROR(SEARCH("fo048",E170)))</formula>
    </cfRule>
  </conditionalFormatting>
  <conditionalFormatting sqref="E190:E191">
    <cfRule type="containsText" priority="60" operator="containsText" aboveAverage="0" equalAverage="0" bottom="0" percent="0" rank="0" text="fo048" dxfId="57">
      <formula>NOT(ISERROR(SEARCH("fo048",E190)))</formula>
    </cfRule>
  </conditionalFormatting>
  <conditionalFormatting sqref="E203:E204">
    <cfRule type="containsText" priority="61" operator="containsText" aboveAverage="0" equalAverage="0" bottom="0" percent="0" rank="0" text="fo048" dxfId="58">
      <formula>NOT(ISERROR(SEARCH("fo048",E203)))</formula>
    </cfRule>
  </conditionalFormatting>
  <conditionalFormatting sqref="E218">
    <cfRule type="containsText" priority="62" operator="containsText" aboveAverage="0" equalAverage="0" bottom="0" percent="0" rank="0" text="fo048" dxfId="59">
      <formula>NOT(ISERROR(SEARCH("fo048",E218)))</formula>
    </cfRule>
  </conditionalFormatting>
  <conditionalFormatting sqref="E217">
    <cfRule type="containsText" priority="63" operator="containsText" aboveAverage="0" equalAverage="0" bottom="0" percent="0" rank="0" text="fo048" dxfId="60">
      <formula>NOT(ISERROR(SEARCH("fo048",E217)))</formula>
    </cfRule>
  </conditionalFormatting>
  <conditionalFormatting sqref="E216">
    <cfRule type="containsText" priority="64" operator="containsText" aboveAverage="0" equalAverage="0" bottom="0" percent="0" rank="0" text="fo048" dxfId="61">
      <formula>NOT(ISERROR(SEARCH("fo048",E216)))</formula>
    </cfRule>
  </conditionalFormatting>
  <conditionalFormatting sqref="E237">
    <cfRule type="containsText" priority="65" operator="containsText" aboveAverage="0" equalAverage="0" bottom="0" percent="0" rank="0" text="fo048" dxfId="62">
      <formula>NOT(ISERROR(SEARCH("fo048",E237)))</formula>
    </cfRule>
  </conditionalFormatting>
  <conditionalFormatting sqref="E238">
    <cfRule type="containsText" priority="66" operator="containsText" aboveAverage="0" equalAverage="0" bottom="0" percent="0" rank="0" text="fo048" dxfId="63">
      <formula>NOT(ISERROR(SEARCH("fo048",E238)))</formula>
    </cfRule>
  </conditionalFormatting>
  <conditionalFormatting sqref="E239">
    <cfRule type="containsText" priority="67" operator="containsText" aboveAverage="0" equalAverage="0" bottom="0" percent="0" rank="0" text="fo048" dxfId="64">
      <formula>NOT(ISERROR(SEARCH("fo048",E239)))</formula>
    </cfRule>
  </conditionalFormatting>
  <conditionalFormatting sqref="E240">
    <cfRule type="containsText" priority="68" operator="containsText" aboveAverage="0" equalAverage="0" bottom="0" percent="0" rank="0" text="fo048" dxfId="65">
      <formula>NOT(ISERROR(SEARCH("fo048",E240)))</formula>
    </cfRule>
  </conditionalFormatting>
  <conditionalFormatting sqref="E261:E263">
    <cfRule type="containsText" priority="69" operator="containsText" aboveAverage="0" equalAverage="0" bottom="0" percent="0" rank="0" text="fo048" dxfId="66">
      <formula>NOT(ISERROR(SEARCH("fo048",E261)))</formula>
    </cfRule>
  </conditionalFormatting>
  <conditionalFormatting sqref="E260">
    <cfRule type="containsText" priority="70" operator="containsText" aboveAverage="0" equalAverage="0" bottom="0" percent="0" rank="0" text="fo048" dxfId="67">
      <formula>NOT(ISERROR(SEARCH("fo048",E260)))</formula>
    </cfRule>
  </conditionalFormatting>
  <conditionalFormatting sqref="E16">
    <cfRule type="containsText" priority="71" operator="containsText" aboveAverage="0" equalAverage="0" bottom="0" percent="0" rank="0" text="fo048" dxfId="68">
      <formula>NOT(ISERROR(SEARCH("fo048",E16)))</formula>
    </cfRule>
  </conditionalFormatting>
  <conditionalFormatting sqref="E13:E15">
    <cfRule type="containsText" priority="72" operator="containsText" aboveAverage="0" equalAverage="0" bottom="0" percent="0" rank="0" text="fo048" dxfId="69">
      <formula>NOT(ISERROR(SEARCH("fo048",E13)))</formula>
    </cfRule>
  </conditionalFormatting>
  <conditionalFormatting sqref="E69:E70">
    <cfRule type="containsText" priority="73" operator="containsText" aboveAverage="0" equalAverage="0" bottom="0" percent="0" rank="0" text="fo048" dxfId="70">
      <formula>NOT(ISERROR(SEARCH("fo048",E69)))</formula>
    </cfRule>
  </conditionalFormatting>
  <conditionalFormatting sqref="E83:E85">
    <cfRule type="containsText" priority="74" operator="containsText" aboveAverage="0" equalAverage="0" bottom="0" percent="0" rank="0" text="fo048" dxfId="71">
      <formula>NOT(ISERROR(SEARCH("fo048",E83)))</formula>
    </cfRule>
  </conditionalFormatting>
  <conditionalFormatting sqref="E124:E125">
    <cfRule type="containsText" priority="75" operator="containsText" aboveAverage="0" equalAverage="0" bottom="0" percent="0" rank="0" text="fo048" dxfId="72">
      <formula>NOT(ISERROR(SEARCH("fo048",E124)))</formula>
    </cfRule>
  </conditionalFormatting>
  <conditionalFormatting sqref="E130">
    <cfRule type="containsText" priority="76" operator="containsText" aboveAverage="0" equalAverage="0" bottom="0" percent="0" rank="0" text="fo048" dxfId="73">
      <formula>NOT(ISERROR(SEARCH("fo048",E130)))</formula>
    </cfRule>
  </conditionalFormatting>
  <conditionalFormatting sqref="E158">
    <cfRule type="containsText" priority="77" operator="containsText" aboveAverage="0" equalAverage="0" bottom="0" percent="0" rank="0" text="fo048" dxfId="74">
      <formula>NOT(ISERROR(SEARCH("fo048",E158)))</formula>
    </cfRule>
  </conditionalFormatting>
  <conditionalFormatting sqref="E208:E209">
    <cfRule type="containsText" priority="78" operator="containsText" aboveAverage="0" equalAverage="0" bottom="0" percent="0" rank="0" text="fo048" dxfId="75">
      <formula>NOT(ISERROR(SEARCH("fo048",E208)))</formula>
    </cfRule>
  </conditionalFormatting>
  <conditionalFormatting sqref="E211">
    <cfRule type="containsText" priority="79" operator="containsText" aboveAverage="0" equalAverage="0" bottom="0" percent="0" rank="0" text="fo048" dxfId="76">
      <formula>NOT(ISERROR(SEARCH("fo048",E211)))</formula>
    </cfRule>
  </conditionalFormatting>
  <conditionalFormatting sqref="E22">
    <cfRule type="containsText" priority="80" operator="containsText" aboveAverage="0" equalAverage="0" bottom="0" percent="0" rank="0" text="fo048" dxfId="77">
      <formula>NOT(ISERROR(SEARCH("fo048",E22)))</formula>
    </cfRule>
  </conditionalFormatting>
  <conditionalFormatting sqref="E23">
    <cfRule type="containsText" priority="81" operator="containsText" aboveAverage="0" equalAverage="0" bottom="0" percent="0" rank="0" text="fo048" dxfId="78">
      <formula>NOT(ISERROR(SEARCH("fo048",E23)))</formula>
    </cfRule>
  </conditionalFormatting>
  <conditionalFormatting sqref="E40:E42">
    <cfRule type="containsText" priority="82" operator="containsText" aboveAverage="0" equalAverage="0" bottom="0" percent="0" rank="0" text="fo048" dxfId="79">
      <formula>NOT(ISERROR(SEARCH("fo048",E40)))</formula>
    </cfRule>
  </conditionalFormatting>
  <conditionalFormatting sqref="E53">
    <cfRule type="containsText" priority="83" operator="containsText" aboveAverage="0" equalAverage="0" bottom="0" percent="0" rank="0" text="fo048" dxfId="80">
      <formula>NOT(ISERROR(SEARCH("fo048",E53)))</formula>
    </cfRule>
  </conditionalFormatting>
  <conditionalFormatting sqref="E63:E65">
    <cfRule type="containsText" priority="84" operator="containsText" aboveAverage="0" equalAverage="0" bottom="0" percent="0" rank="0" text="fo048" dxfId="81">
      <formula>NOT(ISERROR(SEARCH("fo048",E63)))</formula>
    </cfRule>
  </conditionalFormatting>
  <conditionalFormatting sqref="E66">
    <cfRule type="containsText" priority="85" operator="containsText" aboveAverage="0" equalAverage="0" bottom="0" percent="0" rank="0" text="fo048" dxfId="82">
      <formula>NOT(ISERROR(SEARCH("fo048",E66)))</formula>
    </cfRule>
  </conditionalFormatting>
  <conditionalFormatting sqref="E166">
    <cfRule type="containsText" priority="86" operator="containsText" aboveAverage="0" equalAverage="0" bottom="0" percent="0" rank="0" text="fo048" dxfId="83">
      <formula>NOT(ISERROR(SEARCH("fo048",E166)))</formula>
    </cfRule>
  </conditionalFormatting>
  <conditionalFormatting sqref="E167:E168">
    <cfRule type="containsText" priority="87" operator="containsText" aboveAverage="0" equalAverage="0" bottom="0" percent="0" rank="0" text="fo048" dxfId="84">
      <formula>NOT(ISERROR(SEARCH("fo048",E167)))</formula>
    </cfRule>
  </conditionalFormatting>
  <conditionalFormatting sqref="E176">
    <cfRule type="containsText" priority="88" operator="containsText" aboveAverage="0" equalAverage="0" bottom="0" percent="0" rank="0" text="fo048" dxfId="85">
      <formula>NOT(ISERROR(SEARCH("fo048",E176)))</formula>
    </cfRule>
  </conditionalFormatting>
  <conditionalFormatting sqref="C4:C18">
    <cfRule type="containsText" priority="89" operator="containsText" aboveAverage="0" equalAverage="0" bottom="0" percent="0" rank="0" text="G" dxfId="86">
      <formula>NOT(ISERROR(SEARCH("G",C4)))</formula>
    </cfRule>
    <cfRule type="containsText" priority="90" operator="containsText" aboveAverage="0" equalAverage="0" bottom="0" percent="0" rank="0" text="B" dxfId="87">
      <formula>NOT(ISERROR(SEARCH("B",C4)))</formula>
    </cfRule>
    <cfRule type="containsText" priority="91" operator="containsText" aboveAverage="0" equalAverage="0" bottom="0" percent="0" rank="0" text="A" dxfId="88">
      <formula>NOT(ISERROR(SEARCH("A",C4)))</formula>
    </cfRule>
  </conditionalFormatting>
  <conditionalFormatting sqref="C4:C18">
    <cfRule type="colorScale" priority="92">
      <colorScale>
        <cfvo type="min" val="0"/>
        <cfvo type="percentile" val="50"/>
        <cfvo type="max" val="0"/>
        <color rgb="FF63BE7B"/>
        <color rgb="FFFFEB84"/>
        <color rgb="FFF8696B"/>
      </colorScale>
    </cfRule>
    <cfRule type="containsText" priority="93" operator="containsText" aboveAverage="0" equalAverage="0" bottom="0" percent="0" rank="0" text="C" dxfId="89">
      <formula>NOT(ISERROR(SEARCH("C",C4)))</formula>
    </cfRule>
  </conditionalFormatting>
  <conditionalFormatting sqref="T95:T102 T151:T152 T4:T30 T46:T53 T32:T44 T55:T93">
    <cfRule type="cellIs" priority="94" operator="greaterThan" aboveAverage="0" equalAverage="0" bottom="0" percent="0" rank="0" text="" dxfId="90">
      <formula>0</formula>
    </cfRule>
    <cfRule type="cellIs" priority="95" operator="greaterThan" aboveAverage="0" equalAverage="0" bottom="0" percent="0" rank="0" text="" dxfId="8">
      <formula>32</formula>
    </cfRule>
    <cfRule type="cellIs" priority="96" operator="greaterThan" aboveAverage="0" equalAverage="0" bottom="0" percent="0" rank="0" text="" dxfId="91">
      <formula>32</formula>
    </cfRule>
    <cfRule type="cellIs" priority="97" operator="greaterThan" aboveAverage="0" equalAverage="0" bottom="0" percent="0" rank="0" text="" dxfId="92">
      <formula>0</formula>
    </cfRule>
    <cfRule type="cellIs" priority="98" operator="greaterThan" aboveAverage="0" equalAverage="0" bottom="0" percent="0" rank="0" text="" dxfId="93">
      <formula>0</formula>
    </cfRule>
    <cfRule type="cellIs" priority="99" operator="greaterThan" aboveAverage="0" equalAverage="0" bottom="0" percent="0" rank="0" text="" dxfId="94">
      <formula>0</formula>
    </cfRule>
  </conditionalFormatting>
  <conditionalFormatting sqref="T95:T102 T151:T152 T4:T30 T46:T53 T32:T44 T55:T93">
    <cfRule type="cellIs" priority="100" operator="greaterThan" aboveAverage="0" equalAverage="0" bottom="0" percent="0" rank="0" text="" dxfId="95">
      <formula>0</formula>
    </cfRule>
  </conditionalFormatting>
  <conditionalFormatting sqref="AN4:AN30">
    <cfRule type="cellIs" priority="101" operator="equal" aboveAverage="0" equalAverage="0" bottom="0" percent="0" rank="0" text="" dxfId="96">
      <formula>"Pending"</formula>
    </cfRule>
    <cfRule type="cellIs" priority="102" operator="greaterThan" aboveAverage="0" equalAverage="0" bottom="0" percent="0" rank="0" text="" dxfId="97">
      <formula>0</formula>
    </cfRule>
    <cfRule type="cellIs" priority="103" operator="equal" aboveAverage="0" equalAverage="0" bottom="0" percent="0" rank="0" text="" dxfId="98">
      <formula>"pending"</formula>
    </cfRule>
    <cfRule type="cellIs" priority="104" operator="greaterThan" aboveAverage="0" equalAverage="0" bottom="0" percent="0" rank="0" text="" dxfId="99">
      <formula>0</formula>
    </cfRule>
  </conditionalFormatting>
  <conditionalFormatting sqref="E34:E36">
    <cfRule type="containsText" priority="105" operator="containsText" aboveAverage="0" equalAverage="0" bottom="0" percent="0" rank="0" text="fo048" dxfId="100">
      <formula>NOT(ISERROR(SEARCH("fo048",E34)))</formula>
    </cfRule>
  </conditionalFormatting>
  <conditionalFormatting sqref="E37">
    <cfRule type="containsText" priority="106" operator="containsText" aboveAverage="0" equalAverage="0" bottom="0" percent="0" rank="0" text="fo048" dxfId="101">
      <formula>NOT(ISERROR(SEARCH("fo048",E37)))</formula>
    </cfRule>
  </conditionalFormatting>
  <conditionalFormatting sqref="F67">
    <cfRule type="containsText" priority="107" operator="containsText" aboveAverage="0" equalAverage="0" bottom="0" percent="0" rank="0" text="fo048" dxfId="102">
      <formula>NOT(ISERROR(SEARCH("fo048",F67)))</formula>
    </cfRule>
  </conditionalFormatting>
  <conditionalFormatting sqref="E68">
    <cfRule type="containsText" priority="108" operator="containsText" aboveAverage="0" equalAverage="0" bottom="0" percent="0" rank="0" text="fo048" dxfId="103">
      <formula>NOT(ISERROR(SEARCH("fo048",E68)))</formula>
    </cfRule>
  </conditionalFormatting>
  <conditionalFormatting sqref="E78:E80">
    <cfRule type="containsText" priority="109" operator="containsText" aboveAverage="0" equalAverage="0" bottom="0" percent="0" rank="0" text="fo048" dxfId="104">
      <formula>NOT(ISERROR(SEARCH("fo048",E78)))</formula>
    </cfRule>
  </conditionalFormatting>
  <conditionalFormatting sqref="C83:C85">
    <cfRule type="containsText" priority="110" operator="containsText" aboveAverage="0" equalAverage="0" bottom="0" percent="0" rank="0" text="G" dxfId="105">
      <formula>NOT(ISERROR(SEARCH("G",C83)))</formula>
    </cfRule>
    <cfRule type="containsText" priority="111" operator="containsText" aboveAverage="0" equalAverage="0" bottom="0" percent="0" rank="0" text="B" dxfId="106">
      <formula>NOT(ISERROR(SEARCH("B",C83)))</formula>
    </cfRule>
    <cfRule type="containsText" priority="112" operator="containsText" aboveAverage="0" equalAverage="0" bottom="0" percent="0" rank="0" text="A" dxfId="107">
      <formula>NOT(ISERROR(SEARCH("A",C83)))</formula>
    </cfRule>
  </conditionalFormatting>
  <conditionalFormatting sqref="C83:C85">
    <cfRule type="colorScale" priority="113">
      <colorScale>
        <cfvo type="min" val="0"/>
        <cfvo type="percentile" val="50"/>
        <cfvo type="max" val="0"/>
        <color rgb="FF63BE7B"/>
        <color rgb="FFFFEB84"/>
        <color rgb="FFF8696B"/>
      </colorScale>
    </cfRule>
    <cfRule type="containsText" priority="114" operator="containsText" aboveAverage="0" equalAverage="0" bottom="0" percent="0" rank="0" text="C" dxfId="108">
      <formula>NOT(ISERROR(SEARCH("C",C83)))</formula>
    </cfRule>
  </conditionalFormatting>
  <conditionalFormatting sqref="E87">
    <cfRule type="containsText" priority="115" operator="containsText" aboveAverage="0" equalAverage="0" bottom="0" percent="0" rank="0" text="fo048" dxfId="109">
      <formula>NOT(ISERROR(SEARCH("fo048",E87)))</formula>
    </cfRule>
  </conditionalFormatting>
  <conditionalFormatting sqref="E101">
    <cfRule type="containsText" priority="116" operator="containsText" aboveAverage="0" equalAverage="0" bottom="0" percent="0" rank="0" text="fo048" dxfId="110">
      <formula>NOT(ISERROR(SEARCH("fo048",E101)))</formula>
    </cfRule>
  </conditionalFormatting>
  <conditionalFormatting sqref="C47:C49">
    <cfRule type="containsText" priority="117" operator="containsText" aboveAverage="0" equalAverage="0" bottom="0" percent="0" rank="0" text="G" dxfId="111">
      <formula>NOT(ISERROR(SEARCH("G",C47)))</formula>
    </cfRule>
    <cfRule type="containsText" priority="118" operator="containsText" aboveAverage="0" equalAverage="0" bottom="0" percent="0" rank="0" text="B" dxfId="112">
      <formula>NOT(ISERROR(SEARCH("B",C47)))</formula>
    </cfRule>
    <cfRule type="containsText" priority="119" operator="containsText" aboveAverage="0" equalAverage="0" bottom="0" percent="0" rank="0" text="A" dxfId="113">
      <formula>NOT(ISERROR(SEARCH("A",C47)))</formula>
    </cfRule>
  </conditionalFormatting>
  <conditionalFormatting sqref="C47:C49">
    <cfRule type="colorScale" priority="120">
      <colorScale>
        <cfvo type="min" val="0"/>
        <cfvo type="percentile" val="50"/>
        <cfvo type="max" val="0"/>
        <color rgb="FF63BE7B"/>
        <color rgb="FFFFEB84"/>
        <color rgb="FFF8696B"/>
      </colorScale>
    </cfRule>
    <cfRule type="containsText" priority="121" operator="containsText" aboveAverage="0" equalAverage="0" bottom="0" percent="0" rank="0" text="C" dxfId="114">
      <formula>NOT(ISERROR(SEARCH("C",C47)))</formula>
    </cfRule>
  </conditionalFormatting>
  <conditionalFormatting sqref="E48">
    <cfRule type="containsText" priority="122" operator="containsText" aboveAverage="0" equalAverage="0" bottom="0" percent="0" rank="0" text="fo048" dxfId="115">
      <formula>NOT(ISERROR(SEARCH("fo048",E48)))</formula>
    </cfRule>
  </conditionalFormatting>
  <conditionalFormatting sqref="E126:E128">
    <cfRule type="containsText" priority="123" operator="containsText" aboveAverage="0" equalAverage="0" bottom="0" percent="0" rank="0" text="fo048" dxfId="116">
      <formula>NOT(ISERROR(SEARCH("fo048",E126)))</formula>
    </cfRule>
  </conditionalFormatting>
  <conditionalFormatting sqref="E157">
    <cfRule type="containsText" priority="124" operator="containsText" aboveAverage="0" equalAverage="0" bottom="0" percent="0" rank="0" text="fo048" dxfId="117">
      <formula>NOT(ISERROR(SEARCH("fo048",E157)))</formula>
    </cfRule>
  </conditionalFormatting>
  <conditionalFormatting sqref="E71">
    <cfRule type="containsText" priority="125" operator="containsText" aboveAverage="0" equalAverage="0" bottom="0" percent="0" rank="0" text="fo048" dxfId="118">
      <formula>NOT(ISERROR(SEARCH("fo048",E71)))</formula>
    </cfRule>
  </conditionalFormatting>
  <conditionalFormatting sqref="T94">
    <cfRule type="cellIs" priority="126" operator="greaterThan" aboveAverage="0" equalAverage="0" bottom="0" percent="0" rank="0" text="" dxfId="119">
      <formula>0</formula>
    </cfRule>
    <cfRule type="cellIs" priority="127" operator="greaterThan" aboveAverage="0" equalAverage="0" bottom="0" percent="0" rank="0" text="" dxfId="8">
      <formula>32</formula>
    </cfRule>
    <cfRule type="cellIs" priority="128" operator="greaterThan" aboveAverage="0" equalAverage="0" bottom="0" percent="0" rank="0" text="" dxfId="120">
      <formula>32</formula>
    </cfRule>
    <cfRule type="cellIs" priority="129" operator="greaterThan" aboveAverage="0" equalAverage="0" bottom="0" percent="0" rank="0" text="" dxfId="121">
      <formula>0</formula>
    </cfRule>
    <cfRule type="cellIs" priority="130" operator="greaterThan" aboveAverage="0" equalAverage="0" bottom="0" percent="0" rank="0" text="" dxfId="122">
      <formula>0</formula>
    </cfRule>
    <cfRule type="cellIs" priority="131" operator="greaterThan" aboveAverage="0" equalAverage="0" bottom="0" percent="0" rank="0" text="" dxfId="123">
      <formula>0</formula>
    </cfRule>
  </conditionalFormatting>
  <conditionalFormatting sqref="T94">
    <cfRule type="cellIs" priority="132" operator="greaterThan" aboveAverage="0" equalAverage="0" bottom="0" percent="0" rank="0" text="" dxfId="124">
      <formula>0</formula>
    </cfRule>
  </conditionalFormatting>
  <conditionalFormatting sqref="E98:E99">
    <cfRule type="containsText" priority="133" operator="containsText" aboveAverage="0" equalAverage="0" bottom="0" percent="0" rank="0" text="fo048" dxfId="125">
      <formula>NOT(ISERROR(SEARCH("fo048",E98)))</formula>
    </cfRule>
  </conditionalFormatting>
  <conditionalFormatting sqref="E113">
    <cfRule type="containsText" priority="134" operator="containsText" aboveAverage="0" equalAverage="0" bottom="0" percent="0" rank="0" text="fo048" dxfId="126">
      <formula>NOT(ISERROR(SEARCH("fo048",E113)))</formula>
    </cfRule>
  </conditionalFormatting>
  <conditionalFormatting sqref="E153">
    <cfRule type="containsText" priority="135" operator="containsText" aboveAverage="0" equalAverage="0" bottom="0" percent="0" rank="0" text="fo048" dxfId="127">
      <formula>NOT(ISERROR(SEARCH("fo048",E153)))</formula>
    </cfRule>
  </conditionalFormatting>
  <conditionalFormatting sqref="T153">
    <cfRule type="cellIs" priority="136" operator="greaterThan" aboveAverage="0" equalAverage="0" bottom="0" percent="0" rank="0" text="" dxfId="128">
      <formula>0</formula>
    </cfRule>
    <cfRule type="cellIs" priority="137" operator="greaterThan" aboveAverage="0" equalAverage="0" bottom="0" percent="0" rank="0" text="" dxfId="8">
      <formula>32</formula>
    </cfRule>
    <cfRule type="cellIs" priority="138" operator="greaterThan" aboveAverage="0" equalAverage="0" bottom="0" percent="0" rank="0" text="" dxfId="129">
      <formula>32</formula>
    </cfRule>
    <cfRule type="cellIs" priority="139" operator="greaterThan" aboveAverage="0" equalAverage="0" bottom="0" percent="0" rank="0" text="" dxfId="130">
      <formula>0</formula>
    </cfRule>
    <cfRule type="cellIs" priority="140" operator="greaterThan" aboveAverage="0" equalAverage="0" bottom="0" percent="0" rank="0" text="" dxfId="131">
      <formula>0</formula>
    </cfRule>
    <cfRule type="cellIs" priority="141" operator="greaterThan" aboveAverage="0" equalAverage="0" bottom="0" percent="0" rank="0" text="" dxfId="132">
      <formula>0</formula>
    </cfRule>
  </conditionalFormatting>
  <conditionalFormatting sqref="T153">
    <cfRule type="cellIs" priority="142" operator="greaterThan" aboveAverage="0" equalAverage="0" bottom="0" percent="0" rank="0" text="" dxfId="133">
      <formula>0</formula>
    </cfRule>
  </conditionalFormatting>
  <conditionalFormatting sqref="T45">
    <cfRule type="cellIs" priority="143" operator="greaterThan" aboveAverage="0" equalAverage="0" bottom="0" percent="0" rank="0" text="" dxfId="134">
      <formula>0</formula>
    </cfRule>
    <cfRule type="cellIs" priority="144" operator="greaterThan" aboveAverage="0" equalAverage="0" bottom="0" percent="0" rank="0" text="" dxfId="8">
      <formula>32</formula>
    </cfRule>
    <cfRule type="cellIs" priority="145" operator="greaterThan" aboveAverage="0" equalAverage="0" bottom="0" percent="0" rank="0" text="" dxfId="135">
      <formula>32</formula>
    </cfRule>
    <cfRule type="cellIs" priority="146" operator="greaterThan" aboveAverage="0" equalAverage="0" bottom="0" percent="0" rank="0" text="" dxfId="136">
      <formula>0</formula>
    </cfRule>
    <cfRule type="cellIs" priority="147" operator="greaterThan" aboveAverage="0" equalAverage="0" bottom="0" percent="0" rank="0" text="" dxfId="137">
      <formula>0</formula>
    </cfRule>
    <cfRule type="cellIs" priority="148" operator="greaterThan" aboveAverage="0" equalAverage="0" bottom="0" percent="0" rank="0" text="" dxfId="138">
      <formula>0</formula>
    </cfRule>
  </conditionalFormatting>
  <conditionalFormatting sqref="T45">
    <cfRule type="cellIs" priority="149" operator="greaterThan" aboveAverage="0" equalAverage="0" bottom="0" percent="0" rank="0" text="" dxfId="139">
      <formula>0</formula>
    </cfRule>
  </conditionalFormatting>
  <conditionalFormatting sqref="T103">
    <cfRule type="cellIs" priority="150" operator="greaterThan" aboveAverage="0" equalAverage="0" bottom="0" percent="0" rank="0" text="" dxfId="140">
      <formula>0</formula>
    </cfRule>
    <cfRule type="cellIs" priority="151" operator="greaterThan" aboveAverage="0" equalAverage="0" bottom="0" percent="0" rank="0" text="" dxfId="8">
      <formula>32</formula>
    </cfRule>
    <cfRule type="cellIs" priority="152" operator="greaterThan" aboveAverage="0" equalAverage="0" bottom="0" percent="0" rank="0" text="" dxfId="141">
      <formula>32</formula>
    </cfRule>
    <cfRule type="cellIs" priority="153" operator="greaterThan" aboveAverage="0" equalAverage="0" bottom="0" percent="0" rank="0" text="" dxfId="142">
      <formula>0</formula>
    </cfRule>
    <cfRule type="cellIs" priority="154" operator="greaterThan" aboveAverage="0" equalAverage="0" bottom="0" percent="0" rank="0" text="" dxfId="143">
      <formula>0</formula>
    </cfRule>
    <cfRule type="cellIs" priority="155" operator="greaterThan" aboveAverage="0" equalAverage="0" bottom="0" percent="0" rank="0" text="" dxfId="144">
      <formula>0</formula>
    </cfRule>
  </conditionalFormatting>
  <conditionalFormatting sqref="T103">
    <cfRule type="cellIs" priority="156" operator="greaterThan" aboveAverage="0" equalAverage="0" bottom="0" percent="0" rank="0" text="" dxfId="145">
      <formula>0</formula>
    </cfRule>
  </conditionalFormatting>
  <conditionalFormatting sqref="T150">
    <cfRule type="cellIs" priority="157" operator="greaterThan" aboveAverage="0" equalAverage="0" bottom="0" percent="0" rank="0" text="" dxfId="146">
      <formula>0</formula>
    </cfRule>
    <cfRule type="cellIs" priority="158" operator="greaterThan" aboveAverage="0" equalAverage="0" bottom="0" percent="0" rank="0" text="" dxfId="8">
      <formula>32</formula>
    </cfRule>
    <cfRule type="cellIs" priority="159" operator="greaterThan" aboveAverage="0" equalAverage="0" bottom="0" percent="0" rank="0" text="" dxfId="147">
      <formula>32</formula>
    </cfRule>
    <cfRule type="cellIs" priority="160" operator="greaterThan" aboveAverage="0" equalAverage="0" bottom="0" percent="0" rank="0" text="" dxfId="148">
      <formula>0</formula>
    </cfRule>
    <cfRule type="cellIs" priority="161" operator="greaterThan" aboveAverage="0" equalAverage="0" bottom="0" percent="0" rank="0" text="" dxfId="149">
      <formula>0</formula>
    </cfRule>
    <cfRule type="cellIs" priority="162" operator="greaterThan" aboveAverage="0" equalAverage="0" bottom="0" percent="0" rank="0" text="" dxfId="150">
      <formula>0</formula>
    </cfRule>
  </conditionalFormatting>
  <conditionalFormatting sqref="T150">
    <cfRule type="cellIs" priority="163" operator="greaterThan" aboveAverage="0" equalAverage="0" bottom="0" percent="0" rank="0" text="" dxfId="151">
      <formula>0</formula>
    </cfRule>
  </conditionalFormatting>
  <conditionalFormatting sqref="E150">
    <cfRule type="containsText" priority="164" operator="containsText" aboveAverage="0" equalAverage="0" bottom="0" percent="0" rank="0" text="fo048" dxfId="152">
      <formula>NOT(ISERROR(SEARCH("fo048",E150)))</formula>
    </cfRule>
  </conditionalFormatting>
  <conditionalFormatting sqref="C1:C3 C19:C30 C50:C53 C32:C46 C86:C128 C135:C363 C55:C82 C1595:C1048576">
    <cfRule type="colorScale" priority="165">
      <colorScale>
        <cfvo type="min" val="0"/>
        <cfvo type="percentile" val="50"/>
        <cfvo type="max" val="0"/>
        <color rgb="FF63BE7B"/>
        <color rgb="FFFFEB84"/>
        <color rgb="FFF8696B"/>
      </colorScale>
    </cfRule>
    <cfRule type="containsText" priority="166" operator="containsText" aboveAverage="0" equalAverage="0" bottom="0" percent="0" rank="0" text="C" dxfId="153">
      <formula>NOT(ISERROR(SEARCH("C",C1)))</formula>
    </cfRule>
  </conditionalFormatting>
  <conditionalFormatting sqref="C19:C25">
    <cfRule type="colorScale" priority="167">
      <colorScale>
        <cfvo type="min" val="0"/>
        <cfvo type="percentile" val="50"/>
        <cfvo type="max" val="0"/>
        <color rgb="FF63BE7B"/>
        <color rgb="FFFFEB84"/>
        <color rgb="FFF8696B"/>
      </colorScale>
    </cfRule>
    <cfRule type="containsText" priority="168" operator="containsText" aboveAverage="0" equalAverage="0" bottom="0" percent="0" rank="0" text="C" dxfId="154">
      <formula>NOT(ISERROR(SEARCH("C",C19)))</formula>
    </cfRule>
  </conditionalFormatting>
  <conditionalFormatting sqref="E24">
    <cfRule type="containsText" priority="169" operator="containsText" aboveAverage="0" equalAverage="0" bottom="0" percent="0" rank="0" text="fo048" dxfId="155">
      <formula>NOT(ISERROR(SEARCH("fo048",E24)))</formula>
    </cfRule>
  </conditionalFormatting>
  <conditionalFormatting sqref="E25">
    <cfRule type="containsText" priority="170" operator="containsText" aboveAverage="0" equalAverage="0" bottom="0" percent="0" rank="0" text="fo048" dxfId="156">
      <formula>NOT(ISERROR(SEARCH("fo048",E25)))</formula>
    </cfRule>
  </conditionalFormatting>
  <conditionalFormatting sqref="E28">
    <cfRule type="containsText" priority="171" operator="containsText" aboveAverage="0" equalAverage="0" bottom="0" percent="0" rank="0" text="fo048" dxfId="157">
      <formula>NOT(ISERROR(SEARCH("fo048",E28)))</formula>
    </cfRule>
  </conditionalFormatting>
  <conditionalFormatting sqref="E75:E76">
    <cfRule type="containsText" priority="172" operator="containsText" aboveAverage="0" equalAverage="0" bottom="0" percent="0" rank="0" text="fo048" dxfId="158">
      <formula>NOT(ISERROR(SEARCH("fo048",E75)))</formula>
    </cfRule>
  </conditionalFormatting>
  <conditionalFormatting sqref="E77">
    <cfRule type="containsText" priority="173" operator="containsText" aboveAverage="0" equalAverage="0" bottom="0" percent="0" rank="0" text="fo048" dxfId="159">
      <formula>NOT(ISERROR(SEARCH("fo048",E77)))</formula>
    </cfRule>
  </conditionalFormatting>
  <conditionalFormatting sqref="E88:E89">
    <cfRule type="containsText" priority="174" operator="containsText" aboveAverage="0" equalAverage="0" bottom="0" percent="0" rank="0" text="fo048" dxfId="160">
      <formula>NOT(ISERROR(SEARCH("fo048",E88)))</formula>
    </cfRule>
  </conditionalFormatting>
  <conditionalFormatting sqref="E90">
    <cfRule type="containsText" priority="175" operator="containsText" aboveAverage="0" equalAverage="0" bottom="0" percent="0" rank="0" text="fo048" dxfId="161">
      <formula>NOT(ISERROR(SEARCH("fo048",E90)))</formula>
    </cfRule>
  </conditionalFormatting>
  <conditionalFormatting sqref="E102:E103">
    <cfRule type="containsText" priority="176" operator="containsText" aboveAverage="0" equalAverage="0" bottom="0" percent="0" rank="0" text="fo048" dxfId="162">
      <formula>NOT(ISERROR(SEARCH("fo048",E102)))</formula>
    </cfRule>
  </conditionalFormatting>
  <conditionalFormatting sqref="E104">
    <cfRule type="containsText" priority="177" operator="containsText" aboveAverage="0" equalAverage="0" bottom="0" percent="0" rank="0" text="fo048" dxfId="163">
      <formula>NOT(ISERROR(SEARCH("fo048",E104)))</formula>
    </cfRule>
  </conditionalFormatting>
  <conditionalFormatting sqref="E134">
    <cfRule type="containsText" priority="178" operator="containsText" aboveAverage="0" equalAverage="0" bottom="0" percent="0" rank="0" text="fo048" dxfId="164">
      <formula>NOT(ISERROR(SEARCH("fo048",E134)))</formula>
    </cfRule>
  </conditionalFormatting>
  <conditionalFormatting sqref="E145">
    <cfRule type="containsText" priority="179" operator="containsText" aboveAverage="0" equalAverage="0" bottom="0" percent="0" rank="0" text="fo048" dxfId="165">
      <formula>NOT(ISERROR(SEARCH("fo048",E145)))</formula>
    </cfRule>
  </conditionalFormatting>
  <conditionalFormatting sqref="E146:E147">
    <cfRule type="containsText" priority="180" operator="containsText" aboveAverage="0" equalAverage="0" bottom="0" percent="0" rank="0" text="fo048" dxfId="166">
      <formula>NOT(ISERROR(SEARCH("fo048",E146)))</formula>
    </cfRule>
  </conditionalFormatting>
  <conditionalFormatting sqref="E159">
    <cfRule type="containsText" priority="181" operator="containsText" aboveAverage="0" equalAverage="0" bottom="0" percent="0" rank="0" text="fo048" dxfId="167">
      <formula>NOT(ISERROR(SEARCH("fo048",E159)))</formula>
    </cfRule>
  </conditionalFormatting>
  <conditionalFormatting sqref="E160">
    <cfRule type="containsText" priority="182" operator="containsText" aboveAverage="0" equalAverage="0" bottom="0" percent="0" rank="0" text="fo048" dxfId="168">
      <formula>NOT(ISERROR(SEARCH("fo048",E160)))</formula>
    </cfRule>
  </conditionalFormatting>
  <conditionalFormatting sqref="E173">
    <cfRule type="containsText" priority="183" operator="containsText" aboveAverage="0" equalAverage="0" bottom="0" percent="0" rank="0" text="fo048" dxfId="169">
      <formula>NOT(ISERROR(SEARCH("fo048",E173)))</formula>
    </cfRule>
  </conditionalFormatting>
  <conditionalFormatting sqref="E196">
    <cfRule type="containsText" priority="184" operator="containsText" aboveAverage="0" equalAverage="0" bottom="0" percent="0" rank="0" text="fo048" dxfId="170">
      <formula>NOT(ISERROR(SEARCH("fo048",E196)))</formula>
    </cfRule>
  </conditionalFormatting>
  <conditionalFormatting sqref="E206">
    <cfRule type="containsText" priority="185" operator="containsText" aboveAverage="0" equalAverage="0" bottom="0" percent="0" rank="0" text="fo048" dxfId="171">
      <formula>NOT(ISERROR(SEARCH("fo048",E206)))</formula>
    </cfRule>
  </conditionalFormatting>
  <conditionalFormatting sqref="E207">
    <cfRule type="containsText" priority="186" operator="containsText" aboveAverage="0" equalAverage="0" bottom="0" percent="0" rank="0" text="fo048" dxfId="172">
      <formula>NOT(ISERROR(SEARCH("fo048",E207)))</formula>
    </cfRule>
  </conditionalFormatting>
  <conditionalFormatting sqref="E222">
    <cfRule type="containsText" priority="187" operator="containsText" aboveAverage="0" equalAverage="0" bottom="0" percent="0" rank="0" text="fo048" dxfId="173">
      <formula>NOT(ISERROR(SEARCH("fo048",E222)))</formula>
    </cfRule>
  </conditionalFormatting>
  <conditionalFormatting sqref="E43">
    <cfRule type="containsText" priority="188" operator="containsText" aboveAverage="0" equalAverage="0" bottom="0" percent="0" rank="0" text="fo048" dxfId="174">
      <formula>NOT(ISERROR(SEARCH("fo048",E43)))</formula>
    </cfRule>
  </conditionalFormatting>
  <conditionalFormatting sqref="E44:E45">
    <cfRule type="containsText" priority="189" operator="containsText" aboveAverage="0" equalAverage="0" bottom="0" percent="0" rank="0" text="fo048" dxfId="175">
      <formula>NOT(ISERROR(SEARCH("fo048",E44)))</formula>
    </cfRule>
  </conditionalFormatting>
  <conditionalFormatting sqref="E46:E47">
    <cfRule type="containsText" priority="190" operator="containsText" aboveAverage="0" equalAverage="0" bottom="0" percent="0" rank="0" text="fo048" dxfId="176">
      <formula>NOT(ISERROR(SEARCH("fo048",E46)))</formula>
    </cfRule>
  </conditionalFormatting>
  <conditionalFormatting sqref="E58">
    <cfRule type="containsText" priority="191" operator="containsText" aboveAverage="0" equalAverage="0" bottom="0" percent="0" rank="0" text="fo048" dxfId="177">
      <formula>NOT(ISERROR(SEARCH("fo048",E58)))</formula>
    </cfRule>
  </conditionalFormatting>
  <conditionalFormatting sqref="E59:E60">
    <cfRule type="containsText" priority="192" operator="containsText" aboveAverage="0" equalAverage="0" bottom="0" percent="0" rank="0" text="fo048" dxfId="178">
      <formula>NOT(ISERROR(SEARCH("fo048",E59)))</formula>
    </cfRule>
  </conditionalFormatting>
  <conditionalFormatting sqref="E61:E62">
    <cfRule type="containsText" priority="193" operator="containsText" aboveAverage="0" equalAverage="0" bottom="0" percent="0" rank="0" text="fo048" dxfId="179">
      <formula>NOT(ISERROR(SEARCH("fo048",E61)))</formula>
    </cfRule>
  </conditionalFormatting>
  <conditionalFormatting sqref="E91">
    <cfRule type="containsText" priority="194" operator="containsText" aboveAverage="0" equalAverage="0" bottom="0" percent="0" rank="0" text="fo048" dxfId="180">
      <formula>NOT(ISERROR(SEARCH("fo048",E91)))</formula>
    </cfRule>
  </conditionalFormatting>
  <conditionalFormatting sqref="E92:E93">
    <cfRule type="containsText" priority="195" operator="containsText" aboveAverage="0" equalAverage="0" bottom="0" percent="0" rank="0" text="fo048" dxfId="181">
      <formula>NOT(ISERROR(SEARCH("fo048",E92)))</formula>
    </cfRule>
  </conditionalFormatting>
  <conditionalFormatting sqref="E94">
    <cfRule type="containsText" priority="196" operator="containsText" aboveAverage="0" equalAverage="0" bottom="0" percent="0" rank="0" text="fo048" dxfId="182">
      <formula>NOT(ISERROR(SEARCH("fo048",E94)))</formula>
    </cfRule>
  </conditionalFormatting>
  <conditionalFormatting sqref="C31">
    <cfRule type="containsText" priority="197" operator="containsText" aboveAverage="0" equalAverage="0" bottom="0" percent="0" rank="0" text="G" dxfId="183">
      <formula>NOT(ISERROR(SEARCH("G",C31)))</formula>
    </cfRule>
    <cfRule type="containsText" priority="198" operator="containsText" aboveAverage="0" equalAverage="0" bottom="0" percent="0" rank="0" text="B" dxfId="184">
      <formula>NOT(ISERROR(SEARCH("B",C31)))</formula>
    </cfRule>
    <cfRule type="containsText" priority="199" operator="containsText" aboveAverage="0" equalAverage="0" bottom="0" percent="0" rank="0" text="A" dxfId="185">
      <formula>NOT(ISERROR(SEARCH("A",C31)))</formula>
    </cfRule>
  </conditionalFormatting>
  <conditionalFormatting sqref="C31">
    <cfRule type="containsText" priority="200" operator="containsText" aboveAverage="0" equalAverage="0" bottom="0" percent="0" rank="0" text="G" dxfId="186">
      <formula>NOT(ISERROR(SEARCH("G",C31)))</formula>
    </cfRule>
    <cfRule type="containsText" priority="201" operator="containsText" aboveAverage="0" equalAverage="0" bottom="0" percent="0" rank="0" text="B" dxfId="187">
      <formula>NOT(ISERROR(SEARCH("B",C31)))</formula>
    </cfRule>
    <cfRule type="containsText" priority="202" operator="containsText" aboveAverage="0" equalAverage="0" bottom="0" percent="0" rank="0" text="A" dxfId="188">
      <formula>NOT(ISERROR(SEARCH("A",C31)))</formula>
    </cfRule>
  </conditionalFormatting>
  <conditionalFormatting sqref="E31">
    <cfRule type="containsText" priority="203" operator="containsText" aboveAverage="0" equalAverage="0" bottom="0" percent="0" rank="0" text="fo048" dxfId="189">
      <formula>NOT(ISERROR(SEARCH("fo048",E31)))</formula>
    </cfRule>
  </conditionalFormatting>
  <conditionalFormatting sqref="T31">
    <cfRule type="cellIs" priority="204" operator="greaterThan" aboveAverage="0" equalAverage="0" bottom="0" percent="0" rank="0" text="" dxfId="190">
      <formula>0</formula>
    </cfRule>
    <cfRule type="cellIs" priority="205" operator="greaterThan" aboveAverage="0" equalAverage="0" bottom="0" percent="0" rank="0" text="" dxfId="8">
      <formula>32</formula>
    </cfRule>
    <cfRule type="cellIs" priority="206" operator="greaterThan" aboveAverage="0" equalAverage="0" bottom="0" percent="0" rank="0" text="" dxfId="191">
      <formula>32</formula>
    </cfRule>
    <cfRule type="cellIs" priority="207" operator="greaterThan" aboveAverage="0" equalAverage="0" bottom="0" percent="0" rank="0" text="" dxfId="192">
      <formula>0</formula>
    </cfRule>
    <cfRule type="cellIs" priority="208" operator="greaterThan" aboveAverage="0" equalAverage="0" bottom="0" percent="0" rank="0" text="" dxfId="193">
      <formula>0</formula>
    </cfRule>
    <cfRule type="cellIs" priority="209" operator="greaterThan" aboveAverage="0" equalAverage="0" bottom="0" percent="0" rank="0" text="" dxfId="194">
      <formula>0</formula>
    </cfRule>
  </conditionalFormatting>
  <conditionalFormatting sqref="T31">
    <cfRule type="cellIs" priority="210" operator="greaterThan" aboveAverage="0" equalAverage="0" bottom="0" percent="0" rank="0" text="" dxfId="195">
      <formula>0</formula>
    </cfRule>
  </conditionalFormatting>
  <conditionalFormatting sqref="AN31">
    <cfRule type="cellIs" priority="211" operator="equal" aboveAverage="0" equalAverage="0" bottom="0" percent="0" rank="0" text="" dxfId="196">
      <formula>"Pending"</formula>
    </cfRule>
    <cfRule type="cellIs" priority="212" operator="greaterThan" aboveAverage="0" equalAverage="0" bottom="0" percent="0" rank="0" text="" dxfId="197">
      <formula>0</formula>
    </cfRule>
    <cfRule type="cellIs" priority="213" operator="equal" aboveAverage="0" equalAverage="0" bottom="0" percent="0" rank="0" text="" dxfId="198">
      <formula>"pending"</formula>
    </cfRule>
    <cfRule type="cellIs" priority="214" operator="greaterThan" aboveAverage="0" equalAverage="0" bottom="0" percent="0" rank="0" text="" dxfId="199">
      <formula>0</formula>
    </cfRule>
  </conditionalFormatting>
  <conditionalFormatting sqref="C31">
    <cfRule type="colorScale" priority="215">
      <colorScale>
        <cfvo type="min" val="0"/>
        <cfvo type="percentile" val="50"/>
        <cfvo type="max" val="0"/>
        <color rgb="FF63BE7B"/>
        <color rgb="FFFFEB84"/>
        <color rgb="FFF8696B"/>
      </colorScale>
    </cfRule>
    <cfRule type="containsText" priority="216" operator="containsText" aboveAverage="0" equalAverage="0" bottom="0" percent="0" rank="0" text="C" dxfId="200">
      <formula>NOT(ISERROR(SEARCH("C",C31)))</formula>
    </cfRule>
  </conditionalFormatting>
  <conditionalFormatting sqref="E105">
    <cfRule type="containsText" priority="217" operator="containsText" aboveAverage="0" equalAverage="0" bottom="0" percent="0" rank="0" text="fo048" dxfId="201">
      <formula>NOT(ISERROR(SEARCH("fo048",E105)))</formula>
    </cfRule>
  </conditionalFormatting>
  <conditionalFormatting sqref="E106:E107">
    <cfRule type="containsText" priority="218" operator="containsText" aboveAverage="0" equalAverage="0" bottom="0" percent="0" rank="0" text="fo048" dxfId="202">
      <formula>NOT(ISERROR(SEARCH("fo048",E106)))</formula>
    </cfRule>
  </conditionalFormatting>
  <conditionalFormatting sqref="E108">
    <cfRule type="containsText" priority="219" operator="containsText" aboveAverage="0" equalAverage="0" bottom="0" percent="0" rank="0" text="fo048" dxfId="203">
      <formula>NOT(ISERROR(SEARCH("fo048",E108)))</formula>
    </cfRule>
  </conditionalFormatting>
  <conditionalFormatting sqref="E135">
    <cfRule type="containsText" priority="220" operator="containsText" aboveAverage="0" equalAverage="0" bottom="0" percent="0" rank="0" text="fo048" dxfId="204">
      <formula>NOT(ISERROR(SEARCH("fo048",E135)))</formula>
    </cfRule>
  </conditionalFormatting>
  <conditionalFormatting sqref="E136">
    <cfRule type="containsText" priority="221" operator="containsText" aboveAverage="0" equalAverage="0" bottom="0" percent="0" rank="0" text="fo048" dxfId="205">
      <formula>NOT(ISERROR(SEARCH("fo048",E136)))</formula>
    </cfRule>
  </conditionalFormatting>
  <conditionalFormatting sqref="E138">
    <cfRule type="containsText" priority="222" operator="containsText" aboveAverage="0" equalAverage="0" bottom="0" percent="0" rank="0" text="fo048" dxfId="206">
      <formula>NOT(ISERROR(SEARCH("fo048",E138)))</formula>
    </cfRule>
  </conditionalFormatting>
  <conditionalFormatting sqref="E174">
    <cfRule type="containsText" priority="223" operator="containsText" aboveAverage="0" equalAverage="0" bottom="0" percent="0" rank="0" text="fo048" dxfId="207">
      <formula>NOT(ISERROR(SEARCH("fo048",E174)))</formula>
    </cfRule>
  </conditionalFormatting>
  <conditionalFormatting sqref="E175">
    <cfRule type="containsText" priority="224" operator="containsText" aboveAverage="0" equalAverage="0" bottom="0" percent="0" rank="0" text="fo048" dxfId="208">
      <formula>NOT(ISERROR(SEARCH("fo048",E175)))</formula>
    </cfRule>
  </conditionalFormatting>
  <conditionalFormatting sqref="E192">
    <cfRule type="containsText" priority="225" operator="containsText" aboveAverage="0" equalAverage="0" bottom="0" percent="0" rank="0" text="fo048" dxfId="209">
      <formula>NOT(ISERROR(SEARCH("fo048",E192)))</formula>
    </cfRule>
  </conditionalFormatting>
  <conditionalFormatting sqref="E193">
    <cfRule type="containsText" priority="226" operator="containsText" aboveAverage="0" equalAverage="0" bottom="0" percent="0" rank="0" text="fo048" dxfId="210">
      <formula>NOT(ISERROR(SEARCH("fo048",E193)))</formula>
    </cfRule>
  </conditionalFormatting>
  <conditionalFormatting sqref="E194">
    <cfRule type="containsText" priority="227" operator="containsText" aboveAverage="0" equalAverage="0" bottom="0" percent="0" rank="0" text="fo048" dxfId="211">
      <formula>NOT(ISERROR(SEARCH("fo048",E194)))</formula>
    </cfRule>
  </conditionalFormatting>
  <conditionalFormatting sqref="E210">
    <cfRule type="containsText" priority="228" operator="containsText" aboveAverage="0" equalAverage="0" bottom="0" percent="0" rank="0" text="fo048" dxfId="212">
      <formula>NOT(ISERROR(SEARCH("fo048",E210)))</formula>
    </cfRule>
  </conditionalFormatting>
  <conditionalFormatting sqref="I224">
    <cfRule type="containsText" priority="229" operator="containsText" aboveAverage="0" equalAverage="0" bottom="0" percent="0" rank="0" text="fo048" dxfId="213">
      <formula>NOT(ISERROR(SEARCH("fo048",I224)))</formula>
    </cfRule>
  </conditionalFormatting>
  <conditionalFormatting sqref="C129:C134">
    <cfRule type="colorScale" priority="230">
      <colorScale>
        <cfvo type="min" val="0"/>
        <cfvo type="percentile" val="50"/>
        <cfvo type="max" val="0"/>
        <color rgb="FF63BE7B"/>
        <color rgb="FFFFEB84"/>
        <color rgb="FFF8696B"/>
      </colorScale>
    </cfRule>
    <cfRule type="containsText" priority="231" operator="containsText" aboveAverage="0" equalAverage="0" bottom="0" percent="0" rank="0" text="C" dxfId="214">
      <formula>NOT(ISERROR(SEARCH("C",C129)))</formula>
    </cfRule>
  </conditionalFormatting>
  <conditionalFormatting sqref="E274">
    <cfRule type="containsText" priority="232" operator="containsText" aboveAverage="0" equalAverage="0" bottom="0" percent="0" rank="0" text="fo048" dxfId="215">
      <formula>NOT(ISERROR(SEARCH("fo048",E274)))</formula>
    </cfRule>
  </conditionalFormatting>
  <conditionalFormatting sqref="AN337">
    <cfRule type="cellIs" priority="233" operator="equal" aboveAverage="0" equalAverage="0" bottom="0" percent="0" rank="0" text="" dxfId="216">
      <formula>"Pending"</formula>
    </cfRule>
    <cfRule type="cellIs" priority="234" operator="greaterThan" aboveAverage="0" equalAverage="0" bottom="0" percent="0" rank="0" text="" dxfId="217">
      <formula>0</formula>
    </cfRule>
    <cfRule type="cellIs" priority="235" operator="equal" aboveAverage="0" equalAverage="0" bottom="0" percent="0" rank="0" text="" dxfId="218">
      <formula>"pending"</formula>
    </cfRule>
    <cfRule type="cellIs" priority="236" operator="greaterThan" aboveAverage="0" equalAverage="0" bottom="0" percent="0" rank="0" text="" dxfId="219">
      <formula>0</formula>
    </cfRule>
  </conditionalFormatting>
  <conditionalFormatting sqref="E342">
    <cfRule type="containsText" priority="237" operator="containsText" aboveAverage="0" equalAverage="0" bottom="0" percent="0" rank="0" text="fo048" dxfId="220">
      <formula>NOT(ISERROR(SEARCH("fo048",E342)))</formula>
    </cfRule>
  </conditionalFormatting>
  <conditionalFormatting sqref="C54">
    <cfRule type="containsText" priority="238" operator="containsText" aboveAverage="0" equalAverage="0" bottom="0" percent="0" rank="0" text="G" dxfId="221">
      <formula>NOT(ISERROR(SEARCH("G",C54)))</formula>
    </cfRule>
    <cfRule type="containsText" priority="239" operator="containsText" aboveAverage="0" equalAverage="0" bottom="0" percent="0" rank="0" text="B" dxfId="222">
      <formula>NOT(ISERROR(SEARCH("B",C54)))</formula>
    </cfRule>
    <cfRule type="containsText" priority="240" operator="containsText" aboveAverage="0" equalAverage="0" bottom="0" percent="0" rank="0" text="A" dxfId="223">
      <formula>NOT(ISERROR(SEARCH("A",C54)))</formula>
    </cfRule>
  </conditionalFormatting>
  <conditionalFormatting sqref="C54">
    <cfRule type="containsText" priority="241" operator="containsText" aboveAverage="0" equalAverage="0" bottom="0" percent="0" rank="0" text="G" dxfId="224">
      <formula>NOT(ISERROR(SEARCH("G",C54)))</formula>
    </cfRule>
    <cfRule type="containsText" priority="242" operator="containsText" aboveAverage="0" equalAverage="0" bottom="0" percent="0" rank="0" text="B" dxfId="225">
      <formula>NOT(ISERROR(SEARCH("B",C54)))</formula>
    </cfRule>
    <cfRule type="containsText" priority="243" operator="containsText" aboveAverage="0" equalAverage="0" bottom="0" percent="0" rank="0" text="A" dxfId="226">
      <formula>NOT(ISERROR(SEARCH("A",C54)))</formula>
    </cfRule>
  </conditionalFormatting>
  <conditionalFormatting sqref="AN54">
    <cfRule type="cellIs" priority="244" operator="equal" aboveAverage="0" equalAverage="0" bottom="0" percent="0" rank="0" text="" dxfId="227">
      <formula>"Pending"</formula>
    </cfRule>
    <cfRule type="cellIs" priority="245" operator="greaterThan" aboveAverage="0" equalAverage="0" bottom="0" percent="0" rank="0" text="" dxfId="228">
      <formula>0</formula>
    </cfRule>
    <cfRule type="cellIs" priority="246" operator="equal" aboveAverage="0" equalAverage="0" bottom="0" percent="0" rank="0" text="" dxfId="229">
      <formula>"pending"</formula>
    </cfRule>
    <cfRule type="cellIs" priority="247" operator="greaterThan" aboveAverage="0" equalAverage="0" bottom="0" percent="0" rank="0" text="" dxfId="230">
      <formula>0</formula>
    </cfRule>
  </conditionalFormatting>
  <conditionalFormatting sqref="E54">
    <cfRule type="containsText" priority="248" operator="containsText" aboveAverage="0" equalAverage="0" bottom="0" percent="0" rank="0" text="fo048" dxfId="231">
      <formula>NOT(ISERROR(SEARCH("fo048",E54)))</formula>
    </cfRule>
  </conditionalFormatting>
  <conditionalFormatting sqref="T54">
    <cfRule type="cellIs" priority="249" operator="greaterThan" aboveAverage="0" equalAverage="0" bottom="0" percent="0" rank="0" text="" dxfId="232">
      <formula>0</formula>
    </cfRule>
    <cfRule type="cellIs" priority="250" operator="greaterThan" aboveAverage="0" equalAverage="0" bottom="0" percent="0" rank="0" text="" dxfId="8">
      <formula>32</formula>
    </cfRule>
    <cfRule type="cellIs" priority="251" operator="greaterThan" aboveAverage="0" equalAverage="0" bottom="0" percent="0" rank="0" text="" dxfId="233">
      <formula>32</formula>
    </cfRule>
    <cfRule type="cellIs" priority="252" operator="greaterThan" aboveAverage="0" equalAverage="0" bottom="0" percent="0" rank="0" text="" dxfId="234">
      <formula>0</formula>
    </cfRule>
    <cfRule type="cellIs" priority="253" operator="greaterThan" aboveAverage="0" equalAverage="0" bottom="0" percent="0" rank="0" text="" dxfId="235">
      <formula>0</formula>
    </cfRule>
    <cfRule type="cellIs" priority="254" operator="greaterThan" aboveAverage="0" equalAverage="0" bottom="0" percent="0" rank="0" text="" dxfId="236">
      <formula>0</formula>
    </cfRule>
  </conditionalFormatting>
  <conditionalFormatting sqref="T54">
    <cfRule type="cellIs" priority="255" operator="greaterThan" aboveAverage="0" equalAverage="0" bottom="0" percent="0" rank="0" text="" dxfId="237">
      <formula>0</formula>
    </cfRule>
  </conditionalFormatting>
  <conditionalFormatting sqref="C54">
    <cfRule type="colorScale" priority="256">
      <colorScale>
        <cfvo type="min" val="0"/>
        <cfvo type="percentile" val="50"/>
        <cfvo type="max" val="0"/>
        <color rgb="FF63BE7B"/>
        <color rgb="FFFFEB84"/>
        <color rgb="FFF8696B"/>
      </colorScale>
    </cfRule>
    <cfRule type="containsText" priority="257" operator="containsText" aboveAverage="0" equalAverage="0" bottom="0" percent="0" rank="0" text="C" dxfId="238">
      <formula>NOT(ISERROR(SEARCH("C",C54)))</formula>
    </cfRule>
  </conditionalFormatting>
  <conditionalFormatting sqref="C364:C1594">
    <cfRule type="containsText" priority="258" operator="containsText" aboveAverage="0" equalAverage="0" bottom="0" percent="0" rank="0" text="G" dxfId="239">
      <formula>NOT(ISERROR(SEARCH("G",C364)))</formula>
    </cfRule>
    <cfRule type="containsText" priority="259" operator="containsText" aboveAverage="0" equalAverage="0" bottom="0" percent="0" rank="0" text="B" dxfId="240">
      <formula>NOT(ISERROR(SEARCH("B",C364)))</formula>
    </cfRule>
    <cfRule type="containsText" priority="260" operator="containsText" aboveAverage="0" equalAverage="0" bottom="0" percent="0" rank="0" text="A" dxfId="241">
      <formula>NOT(ISERROR(SEARCH("A",C364)))</formula>
    </cfRule>
  </conditionalFormatting>
  <conditionalFormatting sqref="R364:R1594 T364:T1594">
    <cfRule type="cellIs" priority="261" operator="greaterThan" aboveAverage="0" equalAverage="0" bottom="0" percent="0" rank="0" text="" dxfId="242">
      <formula>0</formula>
    </cfRule>
    <cfRule type="cellIs" priority="262" operator="greaterThan" aboveAverage="0" equalAverage="0" bottom="0" percent="0" rank="0" text="" dxfId="8">
      <formula>32</formula>
    </cfRule>
    <cfRule type="cellIs" priority="263" operator="greaterThan" aboveAverage="0" equalAverage="0" bottom="0" percent="0" rank="0" text="" dxfId="243">
      <formula>32</formula>
    </cfRule>
    <cfRule type="cellIs" priority="264" operator="greaterThan" aboveAverage="0" equalAverage="0" bottom="0" percent="0" rank="0" text="" dxfId="244">
      <formula>0</formula>
    </cfRule>
    <cfRule type="cellIs" priority="265" operator="greaterThan" aboveAverage="0" equalAverage="0" bottom="0" percent="0" rank="0" text="" dxfId="245">
      <formula>0</formula>
    </cfRule>
    <cfRule type="cellIs" priority="266" operator="greaterThan" aboveAverage="0" equalAverage="0" bottom="0" percent="0" rank="0" text="" dxfId="246">
      <formula>0</formula>
    </cfRule>
  </conditionalFormatting>
  <conditionalFormatting sqref="R364:R1594 T364:T1594">
    <cfRule type="cellIs" priority="267" operator="greaterThan" aboveAverage="0" equalAverage="0" bottom="0" percent="0" rank="0" text="" dxfId="247">
      <formula>0</formula>
    </cfRule>
  </conditionalFormatting>
  <conditionalFormatting sqref="E364:E1594">
    <cfRule type="containsText" priority="268" operator="containsText" aboveAverage="0" equalAverage="0" bottom="0" percent="0" rank="0" text="fo048" dxfId="248">
      <formula>NOT(ISERROR(SEARCH("fo048",E364)))</formula>
    </cfRule>
  </conditionalFormatting>
  <conditionalFormatting sqref="AN364:AN1594">
    <cfRule type="cellIs" priority="269" operator="equal" aboveAverage="0" equalAverage="0" bottom="0" percent="0" rank="0" text="" dxfId="249">
      <formula>"Pending"</formula>
    </cfRule>
    <cfRule type="cellIs" priority="270" operator="greaterThan" aboveAverage="0" equalAverage="0" bottom="0" percent="0" rank="0" text="" dxfId="250">
      <formula>0</formula>
    </cfRule>
    <cfRule type="cellIs" priority="271" operator="equal" aboveAverage="0" equalAverage="0" bottom="0" percent="0" rank="0" text="" dxfId="251">
      <formula>"pending"</formula>
    </cfRule>
    <cfRule type="cellIs" priority="272" operator="greaterThan" aboveAverage="0" equalAverage="0" bottom="0" percent="0" rank="0" text="" dxfId="252">
      <formula>0</formula>
    </cfRule>
  </conditionalFormatting>
  <conditionalFormatting sqref="C364:C1594">
    <cfRule type="colorScale" priority="273">
      <colorScale>
        <cfvo type="min" val="0"/>
        <cfvo type="percentile" val="50"/>
        <cfvo type="max" val="0"/>
        <color rgb="FF63BE7B"/>
        <color rgb="FFFFEB84"/>
        <color rgb="FFF8696B"/>
      </colorScale>
    </cfRule>
    <cfRule type="containsText" priority="274" operator="containsText" aboveAverage="0" equalAverage="0" bottom="0" percent="0" rank="0" text="C" dxfId="253">
      <formula>NOT(ISERROR(SEARCH("C",C364)))</formula>
    </cfRule>
  </conditionalFormatting>
  <dataValidations count="1">
    <dataValidation allowBlank="true" operator="equal" showDropDown="false" showErrorMessage="true" showInputMessage="true" sqref="J4:J363" type="list">
      <formula1>$CX$4:$CX$9</formula1>
      <formula2>0</formula2>
    </dataValidation>
  </dataValidations>
  <printOptions headings="false" gridLines="false" gridLinesSet="true" horizontalCentered="true" verticalCentered="true"/>
  <pageMargins left="0.7" right="0.7" top="0.75" bottom="0.75"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44342</v>
      </c>
      <c r="B2" s="0" t="s">
        <v>70</v>
      </c>
      <c r="C2" s="0" t="s">
        <v>2375</v>
      </c>
      <c r="D2" s="0" t="s">
        <v>57</v>
      </c>
      <c r="F2" s="0" t="s">
        <v>149</v>
      </c>
      <c r="H2" s="0" t="s">
        <v>2376</v>
      </c>
      <c r="I2" s="0" t="s">
        <v>2377</v>
      </c>
      <c r="J2" s="0" t="n">
        <v>8</v>
      </c>
      <c r="K2" s="0" t="n">
        <v>14000</v>
      </c>
      <c r="L2" s="0" t="n">
        <v>1750</v>
      </c>
      <c r="M2" s="0" t="n">
        <v>10800</v>
      </c>
      <c r="N2" s="0" t="n">
        <v>10800</v>
      </c>
      <c r="O2" s="0" t="n">
        <v>0</v>
      </c>
      <c r="P2" s="0" t="n">
        <v>0</v>
      </c>
      <c r="Q2" s="0" t="n">
        <v>0</v>
      </c>
      <c r="R2" s="0" t="n">
        <v>0</v>
      </c>
      <c r="S2" s="0" t="n">
        <v>0</v>
      </c>
      <c r="T2" s="0" t="n">
        <v>0</v>
      </c>
      <c r="U2" s="0" t="n">
        <v>1</v>
      </c>
      <c r="V2" s="0" t="n">
        <v>10800</v>
      </c>
      <c r="W2" s="0" t="n">
        <v>0.771428571428571</v>
      </c>
      <c r="X2" s="0" t="s">
        <v>244</v>
      </c>
      <c r="Y2" s="0" t="n">
        <v>0</v>
      </c>
      <c r="Z2" s="0" t="n">
        <v>0</v>
      </c>
      <c r="AA2" s="0" t="s">
        <v>58</v>
      </c>
      <c r="AB2" s="0" t="n">
        <v>0</v>
      </c>
      <c r="AC2" s="0" t="n">
        <v>0</v>
      </c>
      <c r="AD2" s="0" t="n">
        <v>1</v>
      </c>
      <c r="AE2" s="0" t="n">
        <v>0</v>
      </c>
      <c r="AF2" s="0" t="n">
        <v>8</v>
      </c>
      <c r="AG2" s="0" t="n">
        <v>1</v>
      </c>
      <c r="AH2" s="0" t="n">
        <v>1350</v>
      </c>
      <c r="AI2" s="0" t="n">
        <v>2.3</v>
      </c>
      <c r="AJ2" s="0" t="n">
        <v>2.66666666666667</v>
      </c>
      <c r="AK2" s="0" t="n">
        <v>0.8625</v>
      </c>
      <c r="AL2" s="0" t="n">
        <v>0.8625</v>
      </c>
      <c r="AM2" s="0" t="s">
        <v>2378</v>
      </c>
    </row>
    <row r="3" customFormat="false" ht="13.8" hidden="false" customHeight="false" outlineLevel="0" collapsed="false">
      <c r="A3" s="8" t="n">
        <v>44342</v>
      </c>
      <c r="B3" s="0" t="s">
        <v>51</v>
      </c>
      <c r="C3" s="0" t="s">
        <v>2375</v>
      </c>
      <c r="D3" s="0" t="s">
        <v>57</v>
      </c>
      <c r="F3" s="0" t="s">
        <v>149</v>
      </c>
      <c r="H3" s="0" t="s">
        <v>2376</v>
      </c>
      <c r="I3" s="0" t="s">
        <v>2379</v>
      </c>
      <c r="J3" s="0" t="n">
        <v>3</v>
      </c>
      <c r="K3" s="0" t="n">
        <v>0</v>
      </c>
      <c r="L3" s="0" t="n">
        <v>0</v>
      </c>
      <c r="M3" s="0" t="n">
        <v>2700</v>
      </c>
      <c r="N3" s="0" t="n">
        <v>2700</v>
      </c>
      <c r="O3" s="0" t="n">
        <v>0</v>
      </c>
      <c r="P3" s="0" t="n">
        <v>0</v>
      </c>
      <c r="Q3" s="0" t="n">
        <v>0</v>
      </c>
      <c r="R3" s="0" t="n">
        <v>0</v>
      </c>
      <c r="S3" s="0" t="n">
        <v>0</v>
      </c>
      <c r="T3" s="0" t="n">
        <v>0</v>
      </c>
      <c r="U3" s="0" t="n">
        <v>1</v>
      </c>
      <c r="V3" s="0" t="n">
        <v>2700</v>
      </c>
      <c r="W3" s="0" t="e">
        <f aca="false">#DIV/0!</f>
        <v>#DIV/0!</v>
      </c>
      <c r="X3" s="0" t="s">
        <v>244</v>
      </c>
      <c r="Y3" s="0" t="n">
        <v>0</v>
      </c>
      <c r="Z3" s="0" t="n">
        <v>0</v>
      </c>
      <c r="AA3" s="0" t="s">
        <v>58</v>
      </c>
      <c r="AB3" s="0" t="n">
        <v>0</v>
      </c>
      <c r="AC3" s="0" t="n">
        <v>0</v>
      </c>
      <c r="AD3" s="0" t="n">
        <v>1</v>
      </c>
      <c r="AE3" s="0" t="n">
        <v>0</v>
      </c>
      <c r="AF3" s="0" t="n">
        <v>3</v>
      </c>
      <c r="AG3" s="0" t="n">
        <v>1</v>
      </c>
      <c r="AH3" s="0" t="n">
        <v>900</v>
      </c>
      <c r="AI3" s="0" t="n">
        <v>2.3</v>
      </c>
      <c r="AJ3" s="0" t="n">
        <v>4</v>
      </c>
      <c r="AK3" s="0" t="n">
        <v>0.575</v>
      </c>
      <c r="AL3" s="0" t="n">
        <v>0.575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44343</v>
      </c>
      <c r="B2" s="0" t="s">
        <v>51</v>
      </c>
      <c r="C2" s="0" t="s">
        <v>2375</v>
      </c>
      <c r="D2" s="0" t="s">
        <v>57</v>
      </c>
      <c r="F2" s="0" t="s">
        <v>149</v>
      </c>
      <c r="H2" s="0" t="s">
        <v>2376</v>
      </c>
      <c r="I2" s="0" t="s">
        <v>2380</v>
      </c>
      <c r="J2" s="0" t="n">
        <v>3</v>
      </c>
      <c r="K2" s="0" t="n">
        <v>0</v>
      </c>
      <c r="L2" s="0" t="n">
        <v>0</v>
      </c>
      <c r="M2" s="0" t="n">
        <v>3800</v>
      </c>
      <c r="N2" s="0" t="n">
        <v>3800</v>
      </c>
      <c r="O2" s="0" t="n">
        <v>0</v>
      </c>
      <c r="P2" s="0" t="n">
        <v>0</v>
      </c>
      <c r="Q2" s="0" t="n">
        <v>0</v>
      </c>
      <c r="R2" s="0" t="n">
        <v>0</v>
      </c>
      <c r="S2" s="0" t="n">
        <v>0</v>
      </c>
      <c r="T2" s="0" t="n">
        <v>0</v>
      </c>
      <c r="U2" s="0" t="n">
        <v>1</v>
      </c>
      <c r="V2" s="0" t="n">
        <v>3800</v>
      </c>
      <c r="W2" s="0" t="e">
        <f aca="false">#DIV/0!</f>
        <v>#DIV/0!</v>
      </c>
      <c r="X2" s="0" t="s">
        <v>244</v>
      </c>
      <c r="Y2" s="0" t="n">
        <v>0</v>
      </c>
      <c r="Z2" s="0" t="n">
        <v>0</v>
      </c>
      <c r="AA2" s="0" t="s">
        <v>58</v>
      </c>
      <c r="AB2" s="0" t="n">
        <v>0</v>
      </c>
      <c r="AC2" s="0" t="n">
        <v>0</v>
      </c>
      <c r="AD2" s="0" t="n">
        <v>1</v>
      </c>
      <c r="AE2" s="0" t="n">
        <v>0</v>
      </c>
      <c r="AF2" s="0" t="n">
        <v>3</v>
      </c>
      <c r="AG2" s="0" t="n">
        <v>1</v>
      </c>
      <c r="AH2" s="0" t="n">
        <v>1266.66666666667</v>
      </c>
      <c r="AI2" s="0" t="n">
        <v>2.3</v>
      </c>
      <c r="AJ2" s="0" t="n">
        <v>2.84210526315789</v>
      </c>
      <c r="AK2" s="0" t="n">
        <v>0.809259259259259</v>
      </c>
      <c r="AL2" s="0" t="n">
        <v>0.809259259259259</v>
      </c>
      <c r="AM2" s="0" t="s">
        <v>2381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H23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9" activeCellId="0" sqref="B19"/>
    </sheetView>
  </sheetViews>
  <sheetFormatPr defaultColWidth="9.14453125" defaultRowHeight="13.8" zeroHeight="false" outlineLevelRow="0" outlineLevelCol="0"/>
  <cols>
    <col collapsed="false" customWidth="true" hidden="false" outlineLevel="0" max="1" min="1" style="0" width="8.54"/>
    <col collapsed="false" customWidth="true" hidden="false" outlineLevel="0" max="2" min="2" style="0" width="35.54"/>
    <col collapsed="false" customWidth="true" hidden="false" outlineLevel="0" max="7" min="3" style="0" width="13.82"/>
    <col collapsed="false" customWidth="true" hidden="false" outlineLevel="0" max="8" min="8" style="0" width="32.36"/>
    <col collapsed="false" customWidth="true" hidden="false" outlineLevel="0" max="9" min="9" style="0" width="15.17"/>
    <col collapsed="false" customWidth="true" hidden="false" outlineLevel="0" max="10" min="10" style="0" width="32.36"/>
    <col collapsed="false" customWidth="true" hidden="false" outlineLevel="0" max="11" min="11" style="0" width="20"/>
    <col collapsed="false" customWidth="true" hidden="false" outlineLevel="0" max="12" min="12" style="0" width="37.18"/>
    <col collapsed="false" customWidth="true" hidden="false" outlineLevel="0" max="17" min="13" style="0" width="8.54"/>
    <col collapsed="false" customWidth="true" hidden="false" outlineLevel="0" max="18" min="18" style="120" width="8.72"/>
    <col collapsed="false" customWidth="true" hidden="false" outlineLevel="0" max="64" min="19" style="0" width="8.54"/>
  </cols>
  <sheetData>
    <row r="1" customFormat="false" ht="13.8" hidden="false" customHeight="false" outlineLevel="0" collapsed="false">
      <c r="B1" s="140" t="s">
        <v>2382</v>
      </c>
      <c r="C1" s="141" t="s">
        <v>87</v>
      </c>
      <c r="D1" s="142"/>
      <c r="E1" s="142"/>
      <c r="F1" s="142"/>
      <c r="G1" s="143"/>
    </row>
    <row r="2" customFormat="false" ht="13.8" hidden="false" customHeight="false" outlineLevel="0" collapsed="false">
      <c r="B2" s="144" t="s">
        <v>14</v>
      </c>
      <c r="C2" s="145" t="n">
        <v>8</v>
      </c>
      <c r="D2" s="146" t="n">
        <v>9</v>
      </c>
      <c r="E2" s="146" t="n">
        <v>10</v>
      </c>
      <c r="F2" s="146" t="n">
        <v>11</v>
      </c>
      <c r="G2" s="147" t="s">
        <v>2383</v>
      </c>
    </row>
    <row r="3" customFormat="false" ht="13.8" hidden="false" customHeight="false" outlineLevel="0" collapsed="false">
      <c r="B3" s="148" t="s">
        <v>71</v>
      </c>
      <c r="C3" s="149" t="n">
        <v>126271.5</v>
      </c>
      <c r="D3" s="150" t="n">
        <v>124212</v>
      </c>
      <c r="E3" s="150" t="n">
        <v>124618</v>
      </c>
      <c r="F3" s="151" t="n">
        <v>152839</v>
      </c>
      <c r="G3" s="152" t="n">
        <v>527940.5</v>
      </c>
    </row>
    <row r="4" customFormat="false" ht="13.8" hidden="false" customHeight="false" outlineLevel="0" collapsed="false">
      <c r="B4" s="153" t="s">
        <v>64</v>
      </c>
      <c r="C4" s="154" t="n">
        <v>80230</v>
      </c>
      <c r="D4" s="155" t="n">
        <v>173137</v>
      </c>
      <c r="E4" s="155" t="n">
        <v>172230</v>
      </c>
      <c r="F4" s="156" t="n">
        <v>143674</v>
      </c>
      <c r="G4" s="157" t="n">
        <v>569271</v>
      </c>
    </row>
    <row r="5" customFormat="false" ht="13.8" hidden="false" customHeight="false" outlineLevel="0" collapsed="false">
      <c r="B5" s="153" t="s">
        <v>2384</v>
      </c>
      <c r="C5" s="154" t="n">
        <v>127964</v>
      </c>
      <c r="D5" s="155" t="n">
        <v>115359</v>
      </c>
      <c r="E5" s="155" t="n">
        <v>155974</v>
      </c>
      <c r="F5" s="156" t="n">
        <v>82740</v>
      </c>
      <c r="G5" s="157" t="n">
        <v>482037</v>
      </c>
    </row>
    <row r="6" customFormat="false" ht="13.8" hidden="false" customHeight="false" outlineLevel="0" collapsed="false">
      <c r="B6" s="153" t="s">
        <v>2385</v>
      </c>
      <c r="C6" s="154" t="n">
        <v>78603</v>
      </c>
      <c r="D6" s="155" t="n">
        <v>149437.5</v>
      </c>
      <c r="E6" s="155" t="n">
        <v>98214</v>
      </c>
      <c r="F6" s="156" t="n">
        <v>160469</v>
      </c>
      <c r="G6" s="157" t="n">
        <v>486723.5</v>
      </c>
    </row>
    <row r="7" customFormat="false" ht="13.8" hidden="false" customHeight="false" outlineLevel="0" collapsed="false">
      <c r="B7" s="153" t="s">
        <v>2386</v>
      </c>
      <c r="C7" s="154" t="n">
        <v>126627</v>
      </c>
      <c r="D7" s="155" t="n">
        <v>310180</v>
      </c>
      <c r="E7" s="155" t="n">
        <v>265000</v>
      </c>
      <c r="F7" s="156" t="n">
        <v>327625</v>
      </c>
      <c r="G7" s="157" t="n">
        <v>1029432</v>
      </c>
    </row>
    <row r="8" customFormat="false" ht="13.8" hidden="false" customHeight="false" outlineLevel="0" collapsed="false">
      <c r="B8" s="153" t="s">
        <v>2387</v>
      </c>
      <c r="C8" s="154" t="n">
        <v>275625</v>
      </c>
      <c r="D8" s="155" t="n">
        <v>274403</v>
      </c>
      <c r="E8" s="155" t="n">
        <v>266923</v>
      </c>
      <c r="F8" s="156" t="n">
        <v>381559</v>
      </c>
      <c r="G8" s="157" t="n">
        <v>1198510</v>
      </c>
    </row>
    <row r="9" customFormat="false" ht="13.8" hidden="false" customHeight="false" outlineLevel="0" collapsed="false">
      <c r="B9" s="153" t="s">
        <v>2375</v>
      </c>
      <c r="C9" s="154" t="n">
        <v>257155</v>
      </c>
      <c r="D9" s="155" t="n">
        <v>58608</v>
      </c>
      <c r="E9" s="158"/>
      <c r="F9" s="159"/>
      <c r="G9" s="157" t="n">
        <v>315763</v>
      </c>
    </row>
    <row r="10" customFormat="false" ht="13.8" hidden="false" customHeight="false" outlineLevel="0" collapsed="false">
      <c r="B10" s="153" t="s">
        <v>52</v>
      </c>
      <c r="C10" s="154" t="n">
        <v>274509</v>
      </c>
      <c r="D10" s="155" t="n">
        <v>308670</v>
      </c>
      <c r="E10" s="155" t="n">
        <v>260725</v>
      </c>
      <c r="F10" s="156" t="n">
        <v>331150</v>
      </c>
      <c r="G10" s="157" t="n">
        <v>1175054</v>
      </c>
    </row>
    <row r="11" customFormat="false" ht="13.8" hidden="false" customHeight="false" outlineLevel="0" collapsed="false">
      <c r="B11" s="153" t="s">
        <v>2388</v>
      </c>
      <c r="C11" s="154" t="n">
        <v>247343</v>
      </c>
      <c r="D11" s="155" t="n">
        <v>294793</v>
      </c>
      <c r="E11" s="155" t="n">
        <v>272520</v>
      </c>
      <c r="F11" s="156" t="n">
        <v>303000</v>
      </c>
      <c r="G11" s="157" t="n">
        <v>1117656</v>
      </c>
    </row>
    <row r="12" customFormat="false" ht="13.8" hidden="false" customHeight="false" outlineLevel="0" collapsed="false">
      <c r="B12" s="153" t="s">
        <v>2389</v>
      </c>
      <c r="C12" s="160" t="n">
        <v>159104</v>
      </c>
      <c r="D12" s="161" t="n">
        <v>174239</v>
      </c>
      <c r="E12" s="161" t="n">
        <v>203358</v>
      </c>
      <c r="F12" s="162" t="n">
        <v>124022</v>
      </c>
      <c r="G12" s="163" t="n">
        <v>660723</v>
      </c>
    </row>
    <row r="13" customFormat="false" ht="13.8" hidden="false" customHeight="false" outlineLevel="0" collapsed="false">
      <c r="B13" s="164" t="s">
        <v>2383</v>
      </c>
      <c r="C13" s="165" t="n">
        <v>1753431.5</v>
      </c>
      <c r="D13" s="166" t="n">
        <v>1983038.5</v>
      </c>
      <c r="E13" s="166" t="n">
        <v>1819562</v>
      </c>
      <c r="F13" s="167" t="n">
        <v>2007078</v>
      </c>
      <c r="G13" s="168" t="n">
        <v>7563110</v>
      </c>
    </row>
    <row r="17" customFormat="false" ht="13.8" hidden="false" customHeight="false" outlineLevel="0" collapsed="false">
      <c r="B17" s="140" t="s">
        <v>2390</v>
      </c>
      <c r="C17" s="141" t="s">
        <v>87</v>
      </c>
      <c r="D17" s="142"/>
      <c r="E17" s="142"/>
      <c r="F17" s="142"/>
      <c r="G17" s="143"/>
    </row>
    <row r="18" customFormat="false" ht="13.8" hidden="false" customHeight="false" outlineLevel="0" collapsed="false">
      <c r="B18" s="144" t="s">
        <v>14</v>
      </c>
      <c r="C18" s="145" t="n">
        <v>8</v>
      </c>
      <c r="D18" s="146" t="n">
        <v>9</v>
      </c>
      <c r="E18" s="146" t="n">
        <v>10</v>
      </c>
      <c r="F18" s="146" t="n">
        <v>11</v>
      </c>
      <c r="G18" s="147" t="s">
        <v>2383</v>
      </c>
    </row>
    <row r="19" customFormat="false" ht="13.8" hidden="false" customHeight="false" outlineLevel="0" collapsed="false">
      <c r="B19" s="148" t="s">
        <v>71</v>
      </c>
      <c r="C19" s="169" t="n">
        <v>136099</v>
      </c>
      <c r="D19" s="170" t="n">
        <v>126372</v>
      </c>
      <c r="E19" s="170" t="n">
        <v>133945</v>
      </c>
      <c r="F19" s="171" t="n">
        <v>158406</v>
      </c>
      <c r="G19" s="172" t="n">
        <v>554822</v>
      </c>
    </row>
    <row r="20" customFormat="false" ht="13.8" hidden="false" customHeight="false" outlineLevel="0" collapsed="false">
      <c r="B20" s="153" t="s">
        <v>64</v>
      </c>
      <c r="C20" s="173" t="n">
        <v>79436</v>
      </c>
      <c r="D20" s="158" t="n">
        <v>145125</v>
      </c>
      <c r="E20" s="158" t="n">
        <v>156226</v>
      </c>
      <c r="F20" s="159" t="n">
        <v>123579</v>
      </c>
      <c r="G20" s="174" t="n">
        <v>504366</v>
      </c>
    </row>
    <row r="21" customFormat="false" ht="13.8" hidden="false" customHeight="false" outlineLevel="0" collapsed="false">
      <c r="B21" s="153" t="s">
        <v>2384</v>
      </c>
      <c r="C21" s="173" t="n">
        <v>124733</v>
      </c>
      <c r="D21" s="158" t="n">
        <v>118224</v>
      </c>
      <c r="E21" s="158" t="n">
        <v>153631</v>
      </c>
      <c r="F21" s="159" t="n">
        <v>91815</v>
      </c>
      <c r="G21" s="174" t="n">
        <v>488403</v>
      </c>
    </row>
    <row r="22" customFormat="false" ht="13.8" hidden="false" customHeight="false" outlineLevel="0" collapsed="false">
      <c r="B22" s="153" t="s">
        <v>2385</v>
      </c>
      <c r="C22" s="173" t="n">
        <v>85138</v>
      </c>
      <c r="D22" s="158" t="n">
        <v>189198</v>
      </c>
      <c r="E22" s="158" t="n">
        <v>114375</v>
      </c>
      <c r="F22" s="159" t="n">
        <v>175222</v>
      </c>
      <c r="G22" s="174" t="n">
        <v>563933</v>
      </c>
    </row>
    <row r="23" customFormat="false" ht="13.8" hidden="false" customHeight="false" outlineLevel="0" collapsed="false">
      <c r="B23" s="153" t="s">
        <v>2386</v>
      </c>
      <c r="C23" s="173" t="n">
        <v>115640</v>
      </c>
      <c r="D23" s="158" t="n">
        <v>293463</v>
      </c>
      <c r="E23" s="158" t="n">
        <v>240917</v>
      </c>
      <c r="F23" s="159" t="n">
        <v>291083</v>
      </c>
      <c r="G23" s="174" t="n">
        <v>941103</v>
      </c>
    </row>
    <row r="24" customFormat="false" ht="13.8" hidden="false" customHeight="false" outlineLevel="0" collapsed="false">
      <c r="B24" s="153" t="s">
        <v>2387</v>
      </c>
      <c r="C24" s="173" t="n">
        <v>274730</v>
      </c>
      <c r="D24" s="158" t="n">
        <v>273117</v>
      </c>
      <c r="E24" s="158" t="n">
        <v>250441</v>
      </c>
      <c r="F24" s="159" t="n">
        <v>384220</v>
      </c>
      <c r="G24" s="174" t="n">
        <v>1182508</v>
      </c>
    </row>
    <row r="25" customFormat="false" ht="13.8" hidden="false" customHeight="false" outlineLevel="0" collapsed="false">
      <c r="B25" s="153" t="s">
        <v>2375</v>
      </c>
      <c r="C25" s="173" t="n">
        <v>270430</v>
      </c>
      <c r="D25" s="158" t="n">
        <v>51560</v>
      </c>
      <c r="E25" s="158"/>
      <c r="F25" s="159"/>
      <c r="G25" s="174" t="n">
        <v>321990</v>
      </c>
    </row>
    <row r="26" customFormat="false" ht="13.8" hidden="false" customHeight="false" outlineLevel="0" collapsed="false">
      <c r="B26" s="153" t="s">
        <v>52</v>
      </c>
      <c r="C26" s="173" t="n">
        <v>264162</v>
      </c>
      <c r="D26" s="158" t="n">
        <v>283153</v>
      </c>
      <c r="E26" s="158" t="n">
        <v>237348</v>
      </c>
      <c r="F26" s="159" t="n">
        <v>299983</v>
      </c>
      <c r="G26" s="174" t="n">
        <v>1084646</v>
      </c>
    </row>
    <row r="27" customFormat="false" ht="13.8" hidden="false" customHeight="false" outlineLevel="0" collapsed="false">
      <c r="B27" s="153" t="s">
        <v>2388</v>
      </c>
      <c r="C27" s="173" t="n">
        <v>246627</v>
      </c>
      <c r="D27" s="158" t="n">
        <v>286474</v>
      </c>
      <c r="E27" s="158" t="n">
        <v>239979</v>
      </c>
      <c r="F27" s="159" t="n">
        <v>282167</v>
      </c>
      <c r="G27" s="174" t="n">
        <v>1055247</v>
      </c>
    </row>
    <row r="28" customFormat="false" ht="13.8" hidden="false" customHeight="false" outlineLevel="0" collapsed="false">
      <c r="B28" s="153" t="s">
        <v>2389</v>
      </c>
      <c r="C28" s="175" t="n">
        <v>161749</v>
      </c>
      <c r="D28" s="176" t="n">
        <v>171349</v>
      </c>
      <c r="E28" s="176" t="n">
        <v>187574</v>
      </c>
      <c r="F28" s="177" t="n">
        <v>123144</v>
      </c>
      <c r="G28" s="178" t="n">
        <v>643816</v>
      </c>
    </row>
    <row r="29" customFormat="false" ht="13.8" hidden="false" customHeight="false" outlineLevel="0" collapsed="false">
      <c r="B29" s="164" t="s">
        <v>2383</v>
      </c>
      <c r="C29" s="179" t="n">
        <v>1758744</v>
      </c>
      <c r="D29" s="180" t="n">
        <v>1938035</v>
      </c>
      <c r="E29" s="180" t="n">
        <v>1714436</v>
      </c>
      <c r="F29" s="181" t="n">
        <v>1929619</v>
      </c>
      <c r="G29" s="182" t="n">
        <v>7340834</v>
      </c>
    </row>
    <row r="31" customFormat="false" ht="13.8" hidden="false" customHeight="false" outlineLevel="0" collapsed="false">
      <c r="B31" s="140" t="s">
        <v>2391</v>
      </c>
      <c r="C31" s="141" t="s">
        <v>87</v>
      </c>
      <c r="D31" s="142"/>
      <c r="E31" s="142"/>
      <c r="F31" s="142"/>
      <c r="G31" s="143"/>
    </row>
    <row r="32" customFormat="false" ht="13.8" hidden="false" customHeight="false" outlineLevel="0" collapsed="false">
      <c r="B32" s="144" t="s">
        <v>14</v>
      </c>
      <c r="C32" s="145" t="n">
        <v>8</v>
      </c>
      <c r="D32" s="146" t="n">
        <v>9</v>
      </c>
      <c r="E32" s="146" t="n">
        <v>10</v>
      </c>
      <c r="F32" s="146" t="n">
        <v>11</v>
      </c>
      <c r="G32" s="147" t="s">
        <v>2383</v>
      </c>
    </row>
    <row r="33" customFormat="false" ht="13.8" hidden="false" customHeight="false" outlineLevel="0" collapsed="false">
      <c r="B33" s="148" t="s">
        <v>71</v>
      </c>
      <c r="C33" s="169"/>
      <c r="D33" s="170"/>
      <c r="E33" s="170"/>
      <c r="F33" s="171"/>
      <c r="G33" s="172"/>
    </row>
    <row r="34" customFormat="false" ht="13.8" hidden="false" customHeight="false" outlineLevel="0" collapsed="false">
      <c r="B34" s="153" t="s">
        <v>64</v>
      </c>
      <c r="C34" s="173"/>
      <c r="D34" s="158"/>
      <c r="E34" s="158"/>
      <c r="F34" s="159"/>
      <c r="G34" s="174"/>
    </row>
    <row r="35" customFormat="false" ht="13.8" hidden="false" customHeight="false" outlineLevel="0" collapsed="false">
      <c r="B35" s="153" t="s">
        <v>2384</v>
      </c>
      <c r="C35" s="173"/>
      <c r="D35" s="158"/>
      <c r="E35" s="158"/>
      <c r="F35" s="159"/>
      <c r="G35" s="174"/>
    </row>
    <row r="36" customFormat="false" ht="13.8" hidden="false" customHeight="false" outlineLevel="0" collapsed="false">
      <c r="B36" s="153" t="s">
        <v>2385</v>
      </c>
      <c r="C36" s="173"/>
      <c r="D36" s="158"/>
      <c r="E36" s="158"/>
      <c r="F36" s="159"/>
      <c r="G36" s="174"/>
    </row>
    <row r="37" customFormat="false" ht="13.8" hidden="false" customHeight="false" outlineLevel="0" collapsed="false">
      <c r="B37" s="153" t="s">
        <v>2386</v>
      </c>
      <c r="C37" s="173"/>
      <c r="D37" s="158"/>
      <c r="E37" s="158"/>
      <c r="F37" s="159"/>
      <c r="G37" s="174"/>
    </row>
    <row r="38" customFormat="false" ht="13.8" hidden="false" customHeight="false" outlineLevel="0" collapsed="false">
      <c r="B38" s="153" t="s">
        <v>2387</v>
      </c>
      <c r="C38" s="173"/>
      <c r="D38" s="158"/>
      <c r="E38" s="158"/>
      <c r="F38" s="159"/>
      <c r="G38" s="174"/>
    </row>
    <row r="39" customFormat="false" ht="13.8" hidden="false" customHeight="false" outlineLevel="0" collapsed="false">
      <c r="B39" s="153" t="s">
        <v>2375</v>
      </c>
      <c r="C39" s="173"/>
      <c r="D39" s="158"/>
      <c r="E39" s="158"/>
      <c r="F39" s="159"/>
      <c r="G39" s="174"/>
    </row>
    <row r="40" customFormat="false" ht="13.8" hidden="false" customHeight="false" outlineLevel="0" collapsed="false">
      <c r="B40" s="153" t="s">
        <v>52</v>
      </c>
      <c r="C40" s="173"/>
      <c r="D40" s="158"/>
      <c r="E40" s="158"/>
      <c r="F40" s="159"/>
      <c r="G40" s="174"/>
    </row>
    <row r="41" customFormat="false" ht="13.8" hidden="false" customHeight="false" outlineLevel="0" collapsed="false">
      <c r="B41" s="153" t="s">
        <v>2388</v>
      </c>
      <c r="C41" s="173"/>
      <c r="D41" s="158"/>
      <c r="E41" s="158"/>
      <c r="F41" s="159"/>
      <c r="G41" s="174"/>
    </row>
    <row r="42" customFormat="false" ht="13.8" hidden="false" customHeight="false" outlineLevel="0" collapsed="false">
      <c r="B42" s="153" t="s">
        <v>2389</v>
      </c>
      <c r="C42" s="175"/>
      <c r="D42" s="176"/>
      <c r="E42" s="176"/>
      <c r="F42" s="177"/>
      <c r="G42" s="178"/>
    </row>
    <row r="43" customFormat="false" ht="13.8" hidden="false" customHeight="false" outlineLevel="0" collapsed="false">
      <c r="B43" s="164" t="s">
        <v>2383</v>
      </c>
      <c r="C43" s="179"/>
      <c r="D43" s="180"/>
      <c r="E43" s="180"/>
      <c r="F43" s="181"/>
      <c r="G43" s="182"/>
    </row>
    <row r="47" customFormat="false" ht="13.8" hidden="false" customHeight="false" outlineLevel="0" collapsed="false">
      <c r="B47" s="183" t="s">
        <v>2390</v>
      </c>
      <c r="C47" s="184"/>
      <c r="D47" s="141" t="s">
        <v>87</v>
      </c>
      <c r="E47" s="142"/>
      <c r="F47" s="142"/>
      <c r="G47" s="142"/>
      <c r="H47" s="143"/>
    </row>
    <row r="48" customFormat="false" ht="13.8" hidden="false" customHeight="false" outlineLevel="0" collapsed="false">
      <c r="B48" s="144" t="s">
        <v>14</v>
      </c>
      <c r="C48" s="185" t="s">
        <v>15</v>
      </c>
      <c r="D48" s="145" t="n">
        <v>8</v>
      </c>
      <c r="E48" s="146" t="n">
        <v>9</v>
      </c>
      <c r="F48" s="146" t="n">
        <v>10</v>
      </c>
      <c r="G48" s="146" t="n">
        <v>11</v>
      </c>
      <c r="H48" s="147" t="s">
        <v>2383</v>
      </c>
    </row>
    <row r="49" customFormat="false" ht="13.8" hidden="false" customHeight="false" outlineLevel="0" collapsed="false">
      <c r="B49" s="148" t="s">
        <v>71</v>
      </c>
      <c r="C49" s="186"/>
      <c r="D49" s="169" t="n">
        <v>136099</v>
      </c>
      <c r="E49" s="170" t="n">
        <v>126372</v>
      </c>
      <c r="F49" s="170" t="n">
        <v>133945</v>
      </c>
      <c r="G49" s="171" t="n">
        <v>158406</v>
      </c>
      <c r="H49" s="172" t="n">
        <v>554822</v>
      </c>
    </row>
    <row r="50" customFormat="false" ht="13.8" hidden="false" customHeight="false" outlineLevel="0" collapsed="false">
      <c r="B50" s="153"/>
      <c r="C50" s="187" t="s">
        <v>357</v>
      </c>
      <c r="D50" s="173" t="n">
        <v>20043</v>
      </c>
      <c r="E50" s="158" t="n">
        <v>45900</v>
      </c>
      <c r="F50" s="158"/>
      <c r="G50" s="159" t="n">
        <v>27540</v>
      </c>
      <c r="H50" s="174" t="n">
        <v>93483</v>
      </c>
    </row>
    <row r="51" customFormat="false" ht="13.8" hidden="false" customHeight="false" outlineLevel="0" collapsed="false">
      <c r="B51" s="153"/>
      <c r="C51" s="187" t="s">
        <v>235</v>
      </c>
      <c r="D51" s="173" t="n">
        <v>21824</v>
      </c>
      <c r="E51" s="158" t="n">
        <v>15780</v>
      </c>
      <c r="F51" s="158" t="n">
        <v>25164</v>
      </c>
      <c r="G51" s="159" t="n">
        <v>23652</v>
      </c>
      <c r="H51" s="174" t="n">
        <v>86420</v>
      </c>
    </row>
    <row r="52" customFormat="false" ht="13.8" hidden="false" customHeight="false" outlineLevel="0" collapsed="false">
      <c r="B52" s="153"/>
      <c r="C52" s="187" t="s">
        <v>69</v>
      </c>
      <c r="D52" s="173" t="n">
        <v>51720</v>
      </c>
      <c r="E52" s="158" t="n">
        <v>16149</v>
      </c>
      <c r="F52" s="158" t="n">
        <v>69800</v>
      </c>
      <c r="G52" s="159" t="n">
        <v>44928</v>
      </c>
      <c r="H52" s="174" t="n">
        <v>182597</v>
      </c>
    </row>
    <row r="53" customFormat="false" ht="13.8" hidden="false" customHeight="false" outlineLevel="0" collapsed="false">
      <c r="B53" s="153"/>
      <c r="C53" s="187" t="s">
        <v>78</v>
      </c>
      <c r="D53" s="173" t="n">
        <v>20340</v>
      </c>
      <c r="E53" s="158"/>
      <c r="F53" s="158" t="n">
        <v>23979</v>
      </c>
      <c r="G53" s="159" t="n">
        <v>16475</v>
      </c>
      <c r="H53" s="174" t="n">
        <v>60794</v>
      </c>
    </row>
    <row r="54" customFormat="false" ht="13.8" hidden="false" customHeight="false" outlineLevel="0" collapsed="false">
      <c r="B54" s="153"/>
      <c r="C54" s="187" t="s">
        <v>572</v>
      </c>
      <c r="D54" s="173" t="n">
        <v>3360</v>
      </c>
      <c r="E54" s="158" t="n">
        <v>20280</v>
      </c>
      <c r="F54" s="158" t="n">
        <v>1320</v>
      </c>
      <c r="G54" s="159" t="n">
        <v>20952</v>
      </c>
      <c r="H54" s="174" t="n">
        <v>45912</v>
      </c>
    </row>
    <row r="55" customFormat="false" ht="13.8" hidden="false" customHeight="false" outlineLevel="0" collapsed="false">
      <c r="B55" s="153"/>
      <c r="C55" s="187" t="s">
        <v>1352</v>
      </c>
      <c r="D55" s="173"/>
      <c r="E55" s="158" t="n">
        <v>2248</v>
      </c>
      <c r="F55" s="158"/>
      <c r="G55" s="159"/>
      <c r="H55" s="174" t="n">
        <v>2248</v>
      </c>
    </row>
    <row r="56" customFormat="false" ht="13.8" hidden="false" customHeight="false" outlineLevel="0" collapsed="false">
      <c r="B56" s="153"/>
      <c r="C56" s="187" t="s">
        <v>215</v>
      </c>
      <c r="D56" s="173" t="n">
        <v>7292</v>
      </c>
      <c r="E56" s="158" t="n">
        <v>6612</v>
      </c>
      <c r="F56" s="158" t="n">
        <v>4934</v>
      </c>
      <c r="G56" s="159"/>
      <c r="H56" s="174" t="n">
        <v>18838</v>
      </c>
    </row>
    <row r="57" customFormat="false" ht="13.8" hidden="false" customHeight="false" outlineLevel="0" collapsed="false">
      <c r="B57" s="153"/>
      <c r="C57" s="187" t="s">
        <v>72</v>
      </c>
      <c r="D57" s="173"/>
      <c r="E57" s="158" t="n">
        <v>6083</v>
      </c>
      <c r="F57" s="158" t="n">
        <v>8748</v>
      </c>
      <c r="G57" s="159" t="n">
        <v>5184</v>
      </c>
      <c r="H57" s="174" t="n">
        <v>20015</v>
      </c>
    </row>
    <row r="58" customFormat="false" ht="13.8" hidden="false" customHeight="false" outlineLevel="0" collapsed="false">
      <c r="B58" s="153"/>
      <c r="C58" s="187" t="s">
        <v>731</v>
      </c>
      <c r="D58" s="173" t="n">
        <v>5040</v>
      </c>
      <c r="E58" s="158"/>
      <c r="F58" s="158"/>
      <c r="G58" s="159"/>
      <c r="H58" s="174" t="n">
        <v>5040</v>
      </c>
    </row>
    <row r="59" customFormat="false" ht="13.8" hidden="false" customHeight="false" outlineLevel="0" collapsed="false">
      <c r="B59" s="153"/>
      <c r="C59" s="187" t="s">
        <v>626</v>
      </c>
      <c r="D59" s="173" t="n">
        <v>1440</v>
      </c>
      <c r="E59" s="158" t="n">
        <v>7200</v>
      </c>
      <c r="F59" s="158"/>
      <c r="G59" s="159"/>
      <c r="H59" s="174" t="n">
        <v>8640</v>
      </c>
    </row>
    <row r="60" customFormat="false" ht="13.8" hidden="false" customHeight="false" outlineLevel="0" collapsed="false">
      <c r="B60" s="153"/>
      <c r="C60" s="187" t="s">
        <v>747</v>
      </c>
      <c r="D60" s="173" t="n">
        <v>5040</v>
      </c>
      <c r="E60" s="158"/>
      <c r="F60" s="158"/>
      <c r="G60" s="159" t="n">
        <v>4380</v>
      </c>
      <c r="H60" s="174" t="n">
        <v>9420</v>
      </c>
    </row>
    <row r="61" customFormat="false" ht="13.8" hidden="false" customHeight="false" outlineLevel="0" collapsed="false">
      <c r="B61" s="153"/>
      <c r="C61" s="187" t="s">
        <v>879</v>
      </c>
      <c r="D61" s="173"/>
      <c r="E61" s="158" t="n">
        <v>6120</v>
      </c>
      <c r="F61" s="158"/>
      <c r="G61" s="159" t="n">
        <v>9000</v>
      </c>
      <c r="H61" s="174" t="n">
        <v>15120</v>
      </c>
    </row>
    <row r="62" customFormat="false" ht="13.8" hidden="false" customHeight="false" outlineLevel="0" collapsed="false">
      <c r="B62" s="188"/>
      <c r="C62" s="189" t="s">
        <v>2001</v>
      </c>
      <c r="D62" s="175"/>
      <c r="E62" s="176"/>
      <c r="F62" s="176"/>
      <c r="G62" s="177" t="n">
        <v>6295</v>
      </c>
      <c r="H62" s="178" t="n">
        <v>6295</v>
      </c>
    </row>
    <row r="63" customFormat="false" ht="13.8" hidden="false" customHeight="false" outlineLevel="0" collapsed="false">
      <c r="B63" s="148" t="s">
        <v>64</v>
      </c>
      <c r="C63" s="186"/>
      <c r="D63" s="170" t="n">
        <v>79436</v>
      </c>
      <c r="E63" s="170" t="n">
        <v>145125</v>
      </c>
      <c r="F63" s="170" t="n">
        <v>156226</v>
      </c>
      <c r="G63" s="170" t="n">
        <v>123579</v>
      </c>
      <c r="H63" s="172" t="n">
        <v>504366</v>
      </c>
    </row>
    <row r="64" customFormat="false" ht="13.8" hidden="false" customHeight="false" outlineLevel="0" collapsed="false">
      <c r="B64" s="153"/>
      <c r="C64" s="187" t="s">
        <v>691</v>
      </c>
      <c r="D64" s="158" t="n">
        <v>14766</v>
      </c>
      <c r="E64" s="158" t="n">
        <v>16351</v>
      </c>
      <c r="F64" s="158" t="n">
        <v>34459</v>
      </c>
      <c r="G64" s="158" t="n">
        <v>16920</v>
      </c>
      <c r="H64" s="174" t="n">
        <v>82496</v>
      </c>
    </row>
    <row r="65" customFormat="false" ht="13.8" hidden="false" customHeight="false" outlineLevel="0" collapsed="false">
      <c r="B65" s="153"/>
      <c r="C65" s="187" t="s">
        <v>320</v>
      </c>
      <c r="D65" s="158" t="n">
        <v>11191</v>
      </c>
      <c r="E65" s="158" t="n">
        <v>26206</v>
      </c>
      <c r="F65" s="158" t="n">
        <v>8681</v>
      </c>
      <c r="G65" s="158" t="n">
        <v>16298</v>
      </c>
      <c r="H65" s="174" t="n">
        <v>62376</v>
      </c>
    </row>
    <row r="66" customFormat="false" ht="13.8" hidden="false" customHeight="false" outlineLevel="0" collapsed="false">
      <c r="B66" s="153"/>
      <c r="C66" s="187" t="s">
        <v>65</v>
      </c>
      <c r="D66" s="158" t="n">
        <v>20828</v>
      </c>
      <c r="E66" s="158" t="n">
        <v>46476</v>
      </c>
      <c r="F66" s="158" t="n">
        <v>65574</v>
      </c>
      <c r="G66" s="158" t="n">
        <v>47970</v>
      </c>
      <c r="H66" s="174" t="n">
        <v>180848</v>
      </c>
    </row>
    <row r="67" customFormat="false" ht="13.8" hidden="false" customHeight="false" outlineLevel="0" collapsed="false">
      <c r="B67" s="153"/>
      <c r="C67" s="187" t="s">
        <v>270</v>
      </c>
      <c r="D67" s="158" t="n">
        <v>8842</v>
      </c>
      <c r="E67" s="158" t="n">
        <v>12284</v>
      </c>
      <c r="F67" s="158" t="n">
        <v>22601</v>
      </c>
      <c r="G67" s="158" t="n">
        <v>6116</v>
      </c>
      <c r="H67" s="174" t="n">
        <v>49843</v>
      </c>
    </row>
    <row r="68" customFormat="false" ht="13.8" hidden="false" customHeight="false" outlineLevel="0" collapsed="false">
      <c r="B68" s="153"/>
      <c r="C68" s="187" t="s">
        <v>591</v>
      </c>
      <c r="D68" s="158" t="n">
        <v>1246</v>
      </c>
      <c r="E68" s="158" t="n">
        <v>11720</v>
      </c>
      <c r="F68" s="158" t="n">
        <v>12177</v>
      </c>
      <c r="G68" s="158" t="n">
        <v>12760</v>
      </c>
      <c r="H68" s="174" t="n">
        <v>37903</v>
      </c>
    </row>
    <row r="69" customFormat="false" ht="13.8" hidden="false" customHeight="false" outlineLevel="0" collapsed="false">
      <c r="B69" s="153"/>
      <c r="C69" s="187" t="s">
        <v>829</v>
      </c>
      <c r="D69" s="158"/>
      <c r="E69" s="158" t="n">
        <v>4397</v>
      </c>
      <c r="F69" s="158"/>
      <c r="G69" s="158"/>
      <c r="H69" s="174" t="n">
        <v>4397</v>
      </c>
    </row>
    <row r="70" customFormat="false" ht="13.8" hidden="false" customHeight="false" outlineLevel="0" collapsed="false">
      <c r="B70" s="153"/>
      <c r="C70" s="187" t="s">
        <v>825</v>
      </c>
      <c r="D70" s="158"/>
      <c r="E70" s="158" t="n">
        <v>4144</v>
      </c>
      <c r="F70" s="158"/>
      <c r="G70" s="158"/>
      <c r="H70" s="174" t="n">
        <v>4144</v>
      </c>
    </row>
    <row r="71" customFormat="false" ht="13.8" hidden="false" customHeight="false" outlineLevel="0" collapsed="false">
      <c r="B71" s="153"/>
      <c r="C71" s="187" t="s">
        <v>229</v>
      </c>
      <c r="D71" s="158" t="n">
        <v>6741</v>
      </c>
      <c r="E71" s="158" t="n">
        <v>2846</v>
      </c>
      <c r="F71" s="158" t="n">
        <v>9280</v>
      </c>
      <c r="G71" s="158"/>
      <c r="H71" s="174" t="n">
        <v>18867</v>
      </c>
    </row>
    <row r="72" customFormat="false" ht="13.8" hidden="false" customHeight="false" outlineLevel="0" collapsed="false">
      <c r="B72" s="153"/>
      <c r="C72" s="187" t="s">
        <v>981</v>
      </c>
      <c r="D72" s="158"/>
      <c r="E72" s="158" t="n">
        <v>4069</v>
      </c>
      <c r="F72" s="158" t="n">
        <v>60</v>
      </c>
      <c r="G72" s="158" t="n">
        <v>13273</v>
      </c>
      <c r="H72" s="174" t="n">
        <v>17402</v>
      </c>
    </row>
    <row r="73" customFormat="false" ht="13.8" hidden="false" customHeight="false" outlineLevel="0" collapsed="false">
      <c r="B73" s="153"/>
      <c r="C73" s="187" t="s">
        <v>801</v>
      </c>
      <c r="D73" s="158" t="n">
        <v>1171</v>
      </c>
      <c r="E73" s="158"/>
      <c r="F73" s="158"/>
      <c r="G73" s="158"/>
      <c r="H73" s="174" t="n">
        <v>1171</v>
      </c>
    </row>
    <row r="74" customFormat="false" ht="13.8" hidden="false" customHeight="false" outlineLevel="0" collapsed="false">
      <c r="B74" s="153"/>
      <c r="C74" s="187" t="s">
        <v>865</v>
      </c>
      <c r="D74" s="158"/>
      <c r="E74" s="158" t="n">
        <v>1116</v>
      </c>
      <c r="F74" s="158"/>
      <c r="G74" s="158"/>
      <c r="H74" s="174" t="n">
        <v>1116</v>
      </c>
    </row>
    <row r="75" customFormat="false" ht="13.8" hidden="false" customHeight="false" outlineLevel="0" collapsed="false">
      <c r="B75" s="153"/>
      <c r="C75" s="187" t="s">
        <v>797</v>
      </c>
      <c r="D75" s="158" t="n">
        <v>670</v>
      </c>
      <c r="E75" s="158"/>
      <c r="F75" s="158"/>
      <c r="G75" s="158"/>
      <c r="H75" s="174" t="n">
        <v>670</v>
      </c>
    </row>
    <row r="76" customFormat="false" ht="13.8" hidden="false" customHeight="false" outlineLevel="0" collapsed="false">
      <c r="B76" s="153"/>
      <c r="C76" s="187" t="s">
        <v>870</v>
      </c>
      <c r="D76" s="158"/>
      <c r="E76" s="158" t="n">
        <v>1511</v>
      </c>
      <c r="F76" s="158"/>
      <c r="G76" s="158"/>
      <c r="H76" s="174" t="n">
        <v>1511</v>
      </c>
    </row>
    <row r="77" customFormat="false" ht="13.8" hidden="false" customHeight="false" outlineLevel="0" collapsed="false">
      <c r="B77" s="153"/>
      <c r="C77" s="187" t="s">
        <v>758</v>
      </c>
      <c r="D77" s="158" t="n">
        <v>1063</v>
      </c>
      <c r="E77" s="158" t="n">
        <v>196</v>
      </c>
      <c r="F77" s="158" t="n">
        <v>259</v>
      </c>
      <c r="G77" s="158"/>
      <c r="H77" s="174" t="n">
        <v>1518</v>
      </c>
    </row>
    <row r="78" customFormat="false" ht="13.8" hidden="false" customHeight="false" outlineLevel="0" collapsed="false">
      <c r="B78" s="153"/>
      <c r="C78" s="187" t="s">
        <v>267</v>
      </c>
      <c r="D78" s="158" t="n">
        <v>1623</v>
      </c>
      <c r="E78" s="158"/>
      <c r="F78" s="158" t="n">
        <v>255</v>
      </c>
      <c r="G78" s="158"/>
      <c r="H78" s="174" t="n">
        <v>1878</v>
      </c>
    </row>
    <row r="79" customFormat="false" ht="13.8" hidden="false" customHeight="false" outlineLevel="0" collapsed="false">
      <c r="B79" s="153"/>
      <c r="C79" s="187" t="s">
        <v>387</v>
      </c>
      <c r="D79" s="158" t="n">
        <v>2160</v>
      </c>
      <c r="E79" s="158" t="n">
        <v>841</v>
      </c>
      <c r="F79" s="158"/>
      <c r="G79" s="158" t="n">
        <v>2090</v>
      </c>
      <c r="H79" s="174" t="n">
        <v>5091</v>
      </c>
    </row>
    <row r="80" customFormat="false" ht="13.8" hidden="false" customHeight="false" outlineLevel="0" collapsed="false">
      <c r="B80" s="153"/>
      <c r="C80" s="187" t="s">
        <v>803</v>
      </c>
      <c r="D80" s="158" t="n">
        <v>7</v>
      </c>
      <c r="E80" s="158" t="n">
        <v>1838</v>
      </c>
      <c r="F80" s="158"/>
      <c r="G80" s="158"/>
      <c r="H80" s="174" t="n">
        <v>1845</v>
      </c>
    </row>
    <row r="81" customFormat="false" ht="13.8" hidden="false" customHeight="false" outlineLevel="0" collapsed="false">
      <c r="B81" s="153"/>
      <c r="C81" s="187" t="s">
        <v>616</v>
      </c>
      <c r="D81" s="158" t="n">
        <v>457</v>
      </c>
      <c r="E81" s="158" t="n">
        <v>2159</v>
      </c>
      <c r="F81" s="158" t="n">
        <v>60</v>
      </c>
      <c r="G81" s="158"/>
      <c r="H81" s="174" t="n">
        <v>2676</v>
      </c>
    </row>
    <row r="82" customFormat="false" ht="13.8" hidden="false" customHeight="false" outlineLevel="0" collapsed="false">
      <c r="B82" s="153"/>
      <c r="C82" s="187" t="s">
        <v>608</v>
      </c>
      <c r="D82" s="158" t="n">
        <v>447</v>
      </c>
      <c r="E82" s="158" t="n">
        <v>1508</v>
      </c>
      <c r="F82" s="158"/>
      <c r="G82" s="158" t="n">
        <v>1032</v>
      </c>
      <c r="H82" s="174" t="n">
        <v>2987</v>
      </c>
    </row>
    <row r="83" customFormat="false" ht="13.8" hidden="false" customHeight="false" outlineLevel="0" collapsed="false">
      <c r="B83" s="153"/>
      <c r="C83" s="187" t="s">
        <v>1289</v>
      </c>
      <c r="D83" s="158"/>
      <c r="E83" s="158" t="n">
        <v>1440</v>
      </c>
      <c r="F83" s="158"/>
      <c r="G83" s="158"/>
      <c r="H83" s="174" t="n">
        <v>1440</v>
      </c>
    </row>
    <row r="84" customFormat="false" ht="13.8" hidden="false" customHeight="false" outlineLevel="0" collapsed="false">
      <c r="B84" s="153"/>
      <c r="C84" s="187" t="s">
        <v>654</v>
      </c>
      <c r="D84" s="158" t="n">
        <v>642</v>
      </c>
      <c r="E84" s="158" t="n">
        <v>770</v>
      </c>
      <c r="F84" s="158"/>
      <c r="G84" s="158"/>
      <c r="H84" s="174" t="n">
        <v>1412</v>
      </c>
    </row>
    <row r="85" customFormat="false" ht="13.8" hidden="false" customHeight="false" outlineLevel="0" collapsed="false">
      <c r="B85" s="153"/>
      <c r="C85" s="187" t="s">
        <v>1660</v>
      </c>
      <c r="D85" s="158"/>
      <c r="E85" s="158"/>
      <c r="F85" s="158" t="n">
        <v>973</v>
      </c>
      <c r="G85" s="158"/>
      <c r="H85" s="174" t="n">
        <v>973</v>
      </c>
    </row>
    <row r="86" customFormat="false" ht="13.8" hidden="false" customHeight="false" outlineLevel="0" collapsed="false">
      <c r="B86" s="153"/>
      <c r="C86" s="187" t="s">
        <v>1326</v>
      </c>
      <c r="D86" s="158"/>
      <c r="E86" s="158" t="n">
        <v>1402</v>
      </c>
      <c r="F86" s="158"/>
      <c r="G86" s="158" t="n">
        <v>542</v>
      </c>
      <c r="H86" s="174" t="n">
        <v>1944</v>
      </c>
    </row>
    <row r="87" customFormat="false" ht="13.8" hidden="false" customHeight="false" outlineLevel="0" collapsed="false">
      <c r="B87" s="153"/>
      <c r="C87" s="187" t="s">
        <v>1323</v>
      </c>
      <c r="D87" s="158"/>
      <c r="E87" s="158" t="n">
        <v>802</v>
      </c>
      <c r="F87" s="158" t="n">
        <v>600</v>
      </c>
      <c r="G87" s="158"/>
      <c r="H87" s="174" t="n">
        <v>1402</v>
      </c>
    </row>
    <row r="88" customFormat="false" ht="13.8" hidden="false" customHeight="false" outlineLevel="0" collapsed="false">
      <c r="B88" s="153"/>
      <c r="C88" s="187" t="s">
        <v>650</v>
      </c>
      <c r="D88" s="158" t="n">
        <v>1609</v>
      </c>
      <c r="E88" s="158" t="n">
        <v>1175</v>
      </c>
      <c r="F88" s="158"/>
      <c r="G88" s="158"/>
      <c r="H88" s="174" t="n">
        <v>2784</v>
      </c>
    </row>
    <row r="89" customFormat="false" ht="13.8" hidden="false" customHeight="false" outlineLevel="0" collapsed="false">
      <c r="B89" s="153"/>
      <c r="C89" s="187" t="s">
        <v>646</v>
      </c>
      <c r="D89" s="158" t="n">
        <v>385</v>
      </c>
      <c r="E89" s="158" t="n">
        <v>902</v>
      </c>
      <c r="F89" s="158" t="n">
        <v>648</v>
      </c>
      <c r="G89" s="158"/>
      <c r="H89" s="174" t="n">
        <v>1935</v>
      </c>
    </row>
    <row r="90" customFormat="false" ht="13.8" hidden="false" customHeight="false" outlineLevel="0" collapsed="false">
      <c r="B90" s="153"/>
      <c r="C90" s="187" t="s">
        <v>761</v>
      </c>
      <c r="D90" s="158" t="n">
        <v>1000</v>
      </c>
      <c r="E90" s="158"/>
      <c r="F90" s="158"/>
      <c r="G90" s="158"/>
      <c r="H90" s="174" t="n">
        <v>1000</v>
      </c>
    </row>
    <row r="91" customFormat="false" ht="13.8" hidden="false" customHeight="false" outlineLevel="0" collapsed="false">
      <c r="B91" s="153"/>
      <c r="C91" s="187" t="s">
        <v>1359</v>
      </c>
      <c r="D91" s="158"/>
      <c r="E91" s="158" t="n">
        <v>972</v>
      </c>
      <c r="F91" s="158"/>
      <c r="G91" s="158"/>
      <c r="H91" s="174" t="n">
        <v>972</v>
      </c>
    </row>
    <row r="92" customFormat="false" ht="13.8" hidden="false" customHeight="false" outlineLevel="0" collapsed="false">
      <c r="B92" s="153"/>
      <c r="C92" s="187" t="s">
        <v>204</v>
      </c>
      <c r="D92" s="158" t="n">
        <v>1654</v>
      </c>
      <c r="E92" s="158"/>
      <c r="F92" s="158"/>
      <c r="G92" s="158" t="n">
        <v>1950</v>
      </c>
      <c r="H92" s="174" t="n">
        <v>3604</v>
      </c>
    </row>
    <row r="93" customFormat="false" ht="13.8" hidden="false" customHeight="false" outlineLevel="0" collapsed="false">
      <c r="B93" s="153"/>
      <c r="C93" s="187" t="s">
        <v>2152</v>
      </c>
      <c r="D93" s="158"/>
      <c r="E93" s="158"/>
      <c r="F93" s="158"/>
      <c r="G93" s="158" t="n">
        <v>1970</v>
      </c>
      <c r="H93" s="174" t="n">
        <v>1970</v>
      </c>
    </row>
    <row r="94" customFormat="false" ht="13.8" hidden="false" customHeight="false" outlineLevel="0" collapsed="false">
      <c r="B94" s="153"/>
      <c r="C94" s="187" t="s">
        <v>2180</v>
      </c>
      <c r="D94" s="158"/>
      <c r="E94" s="158"/>
      <c r="F94" s="158"/>
      <c r="G94" s="158" t="n">
        <v>2248</v>
      </c>
      <c r="H94" s="174" t="n">
        <v>2248</v>
      </c>
    </row>
    <row r="95" customFormat="false" ht="13.8" hidden="false" customHeight="false" outlineLevel="0" collapsed="false">
      <c r="B95" s="153"/>
      <c r="C95" s="187" t="s">
        <v>594</v>
      </c>
      <c r="D95" s="158" t="n">
        <v>412</v>
      </c>
      <c r="E95" s="158"/>
      <c r="F95" s="158"/>
      <c r="G95" s="158"/>
      <c r="H95" s="174" t="n">
        <v>412</v>
      </c>
    </row>
    <row r="96" customFormat="false" ht="13.8" hidden="false" customHeight="false" outlineLevel="0" collapsed="false">
      <c r="B96" s="153"/>
      <c r="C96" s="187" t="s">
        <v>547</v>
      </c>
      <c r="D96" s="158" t="n">
        <v>1484</v>
      </c>
      <c r="E96" s="158"/>
      <c r="F96" s="158"/>
      <c r="G96" s="158" t="n">
        <v>410</v>
      </c>
      <c r="H96" s="174" t="n">
        <v>1894</v>
      </c>
    </row>
    <row r="97" customFormat="false" ht="13.8" hidden="false" customHeight="false" outlineLevel="0" collapsed="false">
      <c r="B97" s="153"/>
      <c r="C97" s="187" t="s">
        <v>1684</v>
      </c>
      <c r="D97" s="158"/>
      <c r="E97" s="158"/>
      <c r="F97" s="158" t="n">
        <v>599</v>
      </c>
      <c r="G97" s="158"/>
      <c r="H97" s="174" t="n">
        <v>599</v>
      </c>
    </row>
    <row r="98" customFormat="false" ht="13.8" hidden="false" customHeight="false" outlineLevel="0" collapsed="false">
      <c r="B98" s="188"/>
      <c r="C98" s="189" t="s">
        <v>612</v>
      </c>
      <c r="D98" s="176" t="n">
        <v>1038</v>
      </c>
      <c r="E98" s="176"/>
      <c r="F98" s="176"/>
      <c r="G98" s="176"/>
      <c r="H98" s="178" t="n">
        <v>1038</v>
      </c>
    </row>
    <row r="99" customFormat="false" ht="13.8" hidden="false" customHeight="false" outlineLevel="0" collapsed="false">
      <c r="B99" s="148" t="s">
        <v>2384</v>
      </c>
      <c r="C99" s="186"/>
      <c r="D99" s="169" t="n">
        <v>124733</v>
      </c>
      <c r="E99" s="170" t="n">
        <v>118224</v>
      </c>
      <c r="F99" s="170" t="n">
        <v>153631</v>
      </c>
      <c r="G99" s="171" t="n">
        <v>91815</v>
      </c>
      <c r="H99" s="172" t="n">
        <v>488403</v>
      </c>
    </row>
    <row r="100" customFormat="false" ht="13.8" hidden="false" customHeight="false" outlineLevel="0" collapsed="false">
      <c r="B100" s="153"/>
      <c r="C100" s="187" t="s">
        <v>199</v>
      </c>
      <c r="D100" s="173" t="n">
        <v>24760</v>
      </c>
      <c r="E100" s="158" t="n">
        <v>22960</v>
      </c>
      <c r="F100" s="158" t="n">
        <v>54567</v>
      </c>
      <c r="G100" s="159" t="n">
        <v>29890</v>
      </c>
      <c r="H100" s="174" t="n">
        <v>132177</v>
      </c>
    </row>
    <row r="101" customFormat="false" ht="13.8" hidden="false" customHeight="false" outlineLevel="0" collapsed="false">
      <c r="B101" s="153"/>
      <c r="C101" s="187" t="s">
        <v>261</v>
      </c>
      <c r="D101" s="173" t="n">
        <v>37038</v>
      </c>
      <c r="E101" s="158" t="n">
        <v>54229</v>
      </c>
      <c r="F101" s="158"/>
      <c r="G101" s="159" t="n">
        <v>35785</v>
      </c>
      <c r="H101" s="174" t="n">
        <v>127052</v>
      </c>
    </row>
    <row r="102" customFormat="false" ht="13.8" hidden="false" customHeight="false" outlineLevel="0" collapsed="false">
      <c r="B102" s="153"/>
      <c r="C102" s="187" t="s">
        <v>343</v>
      </c>
      <c r="D102" s="173" t="n">
        <v>33135</v>
      </c>
      <c r="E102" s="158" t="n">
        <v>41035</v>
      </c>
      <c r="F102" s="158" t="n">
        <v>23080</v>
      </c>
      <c r="G102" s="159" t="n">
        <v>26140</v>
      </c>
      <c r="H102" s="174" t="n">
        <v>123390</v>
      </c>
    </row>
    <row r="103" customFormat="false" ht="13.8" hidden="false" customHeight="false" outlineLevel="0" collapsed="false">
      <c r="B103" s="153"/>
      <c r="C103" s="187" t="s">
        <v>420</v>
      </c>
      <c r="D103" s="173" t="n">
        <v>13920</v>
      </c>
      <c r="E103" s="158"/>
      <c r="F103" s="158" t="n">
        <v>20200</v>
      </c>
      <c r="G103" s="159"/>
      <c r="H103" s="174" t="n">
        <v>34120</v>
      </c>
    </row>
    <row r="104" customFormat="false" ht="13.8" hidden="false" customHeight="false" outlineLevel="0" collapsed="false">
      <c r="B104" s="153"/>
      <c r="C104" s="187" t="s">
        <v>453</v>
      </c>
      <c r="D104" s="173" t="n">
        <v>15880</v>
      </c>
      <c r="E104" s="158"/>
      <c r="F104" s="158" t="n">
        <v>35084</v>
      </c>
      <c r="G104" s="159"/>
      <c r="H104" s="174" t="n">
        <v>50964</v>
      </c>
    </row>
    <row r="105" customFormat="false" ht="13.8" hidden="false" customHeight="false" outlineLevel="0" collapsed="false">
      <c r="B105" s="188"/>
      <c r="C105" s="189" t="s">
        <v>1740</v>
      </c>
      <c r="D105" s="175"/>
      <c r="E105" s="176"/>
      <c r="F105" s="176" t="n">
        <v>20700</v>
      </c>
      <c r="G105" s="177"/>
      <c r="H105" s="178" t="n">
        <v>20700</v>
      </c>
    </row>
    <row r="106" customFormat="false" ht="13.8" hidden="false" customHeight="false" outlineLevel="0" collapsed="false">
      <c r="B106" s="148" t="s">
        <v>2385</v>
      </c>
      <c r="C106" s="186"/>
      <c r="D106" s="170" t="n">
        <v>85138</v>
      </c>
      <c r="E106" s="170" t="n">
        <v>189198</v>
      </c>
      <c r="F106" s="170" t="n">
        <v>114375</v>
      </c>
      <c r="G106" s="170" t="n">
        <v>175222</v>
      </c>
      <c r="H106" s="172" t="n">
        <v>563933</v>
      </c>
    </row>
    <row r="107" customFormat="false" ht="13.8" hidden="false" customHeight="false" outlineLevel="0" collapsed="false">
      <c r="B107" s="188"/>
      <c r="C107" s="189" t="s">
        <v>529</v>
      </c>
      <c r="D107" s="176" t="n">
        <v>85138</v>
      </c>
      <c r="E107" s="176" t="n">
        <v>189198</v>
      </c>
      <c r="F107" s="176" t="n">
        <v>114375</v>
      </c>
      <c r="G107" s="176" t="n">
        <v>175222</v>
      </c>
      <c r="H107" s="178" t="n">
        <v>563933</v>
      </c>
    </row>
    <row r="108" customFormat="false" ht="13.8" hidden="false" customHeight="false" outlineLevel="0" collapsed="false">
      <c r="B108" s="148" t="s">
        <v>2386</v>
      </c>
      <c r="C108" s="186"/>
      <c r="D108" s="169" t="n">
        <v>115640</v>
      </c>
      <c r="E108" s="170" t="n">
        <v>293463</v>
      </c>
      <c r="F108" s="170" t="n">
        <v>240917</v>
      </c>
      <c r="G108" s="171" t="n">
        <v>291083</v>
      </c>
      <c r="H108" s="172" t="n">
        <v>941103</v>
      </c>
    </row>
    <row r="109" customFormat="false" ht="13.8" hidden="false" customHeight="false" outlineLevel="0" collapsed="false">
      <c r="B109" s="153"/>
      <c r="C109" s="187" t="s">
        <v>444</v>
      </c>
      <c r="D109" s="173" t="n">
        <v>47750</v>
      </c>
      <c r="E109" s="158" t="n">
        <v>42050</v>
      </c>
      <c r="F109" s="158" t="n">
        <v>95561</v>
      </c>
      <c r="G109" s="159" t="n">
        <v>44110</v>
      </c>
      <c r="H109" s="174" t="n">
        <v>229471</v>
      </c>
    </row>
    <row r="110" customFormat="false" ht="13.8" hidden="false" customHeight="false" outlineLevel="0" collapsed="false">
      <c r="B110" s="153"/>
      <c r="C110" s="187" t="s">
        <v>932</v>
      </c>
      <c r="D110" s="173"/>
      <c r="E110" s="158" t="n">
        <v>97058</v>
      </c>
      <c r="F110" s="158" t="n">
        <v>33605</v>
      </c>
      <c r="G110" s="159" t="n">
        <v>22693</v>
      </c>
      <c r="H110" s="174" t="n">
        <v>153356</v>
      </c>
    </row>
    <row r="111" customFormat="false" ht="13.8" hidden="false" customHeight="false" outlineLevel="0" collapsed="false">
      <c r="B111" s="153"/>
      <c r="C111" s="187" t="s">
        <v>681</v>
      </c>
      <c r="D111" s="173" t="n">
        <v>35340</v>
      </c>
      <c r="E111" s="158" t="n">
        <v>113138</v>
      </c>
      <c r="F111" s="158" t="n">
        <v>63902</v>
      </c>
      <c r="G111" s="159" t="n">
        <v>149500</v>
      </c>
      <c r="H111" s="174" t="n">
        <v>361880</v>
      </c>
    </row>
    <row r="112" customFormat="false" ht="13.8" hidden="false" customHeight="false" outlineLevel="0" collapsed="false">
      <c r="B112" s="153"/>
      <c r="C112" s="187" t="s">
        <v>885</v>
      </c>
      <c r="D112" s="173"/>
      <c r="E112" s="158" t="n">
        <v>30677</v>
      </c>
      <c r="F112" s="158"/>
      <c r="G112" s="159" t="n">
        <v>35880</v>
      </c>
      <c r="H112" s="174" t="n">
        <v>66557</v>
      </c>
    </row>
    <row r="113" customFormat="false" ht="13.8" hidden="false" customHeight="false" outlineLevel="0" collapsed="false">
      <c r="B113" s="188"/>
      <c r="C113" s="189" t="s">
        <v>600</v>
      </c>
      <c r="D113" s="175" t="n">
        <v>32550</v>
      </c>
      <c r="E113" s="176" t="n">
        <v>10540</v>
      </c>
      <c r="F113" s="176" t="n">
        <v>47849</v>
      </c>
      <c r="G113" s="177" t="n">
        <v>38900</v>
      </c>
      <c r="H113" s="178" t="n">
        <v>129839</v>
      </c>
    </row>
    <row r="114" customFormat="false" ht="13.8" hidden="false" customHeight="false" outlineLevel="0" collapsed="false">
      <c r="B114" s="148" t="s">
        <v>2387</v>
      </c>
      <c r="C114" s="186"/>
      <c r="D114" s="170" t="n">
        <v>274730</v>
      </c>
      <c r="E114" s="170" t="n">
        <v>273117</v>
      </c>
      <c r="F114" s="170" t="n">
        <v>250441</v>
      </c>
      <c r="G114" s="170" t="n">
        <v>384220</v>
      </c>
      <c r="H114" s="172" t="n">
        <v>1182508</v>
      </c>
    </row>
    <row r="115" customFormat="false" ht="13.8" hidden="false" customHeight="false" outlineLevel="0" collapsed="false">
      <c r="B115" s="153"/>
      <c r="C115" s="187" t="s">
        <v>244</v>
      </c>
      <c r="D115" s="158" t="n">
        <v>116670</v>
      </c>
      <c r="E115" s="158" t="n">
        <v>47632</v>
      </c>
      <c r="F115" s="158" t="n">
        <v>105030</v>
      </c>
      <c r="G115" s="158" t="n">
        <v>58980</v>
      </c>
      <c r="H115" s="174" t="n">
        <v>328312</v>
      </c>
    </row>
    <row r="116" customFormat="false" ht="13.8" hidden="false" customHeight="false" outlineLevel="0" collapsed="false">
      <c r="B116" s="153"/>
      <c r="C116" s="187" t="s">
        <v>136</v>
      </c>
      <c r="D116" s="158" t="n">
        <v>63742</v>
      </c>
      <c r="E116" s="158" t="n">
        <v>97120</v>
      </c>
      <c r="F116" s="158" t="n">
        <v>33660</v>
      </c>
      <c r="G116" s="158" t="n">
        <v>43050</v>
      </c>
      <c r="H116" s="174" t="n">
        <v>237572</v>
      </c>
    </row>
    <row r="117" customFormat="false" ht="13.8" hidden="false" customHeight="false" outlineLevel="0" collapsed="false">
      <c r="B117" s="153"/>
      <c r="C117" s="187" t="s">
        <v>661</v>
      </c>
      <c r="D117" s="158" t="n">
        <v>61768</v>
      </c>
      <c r="E117" s="158" t="n">
        <v>86765</v>
      </c>
      <c r="F117" s="158" t="n">
        <v>63902</v>
      </c>
      <c r="G117" s="158" t="n">
        <v>180020</v>
      </c>
      <c r="H117" s="174" t="n">
        <v>392455</v>
      </c>
    </row>
    <row r="118" customFormat="false" ht="13.8" hidden="false" customHeight="false" outlineLevel="0" collapsed="false">
      <c r="B118" s="153"/>
      <c r="C118" s="187" t="s">
        <v>809</v>
      </c>
      <c r="D118" s="158"/>
      <c r="E118" s="158" t="n">
        <v>31060</v>
      </c>
      <c r="F118" s="158"/>
      <c r="G118" s="158" t="n">
        <v>62270</v>
      </c>
      <c r="H118" s="174" t="n">
        <v>93330</v>
      </c>
    </row>
    <row r="119" customFormat="false" ht="13.8" hidden="false" customHeight="false" outlineLevel="0" collapsed="false">
      <c r="B119" s="188"/>
      <c r="C119" s="189" t="s">
        <v>492</v>
      </c>
      <c r="D119" s="176" t="n">
        <v>32550</v>
      </c>
      <c r="E119" s="176" t="n">
        <v>10540</v>
      </c>
      <c r="F119" s="176" t="n">
        <v>47849</v>
      </c>
      <c r="G119" s="176" t="n">
        <v>39900</v>
      </c>
      <c r="H119" s="178" t="n">
        <v>130839</v>
      </c>
    </row>
    <row r="120" customFormat="false" ht="13.8" hidden="false" customHeight="false" outlineLevel="0" collapsed="false">
      <c r="B120" s="148" t="s">
        <v>2375</v>
      </c>
      <c r="C120" s="186"/>
      <c r="D120" s="169" t="n">
        <v>270430</v>
      </c>
      <c r="E120" s="170" t="n">
        <v>51560</v>
      </c>
      <c r="F120" s="170"/>
      <c r="G120" s="171"/>
      <c r="H120" s="172" t="n">
        <v>321990</v>
      </c>
    </row>
    <row r="121" customFormat="false" ht="13.8" hidden="false" customHeight="false" outlineLevel="0" collapsed="false">
      <c r="B121" s="153"/>
      <c r="C121" s="187" t="s">
        <v>57</v>
      </c>
      <c r="D121" s="173" t="n">
        <v>116670</v>
      </c>
      <c r="E121" s="158"/>
      <c r="F121" s="158"/>
      <c r="G121" s="159"/>
      <c r="H121" s="174" t="n">
        <v>116670</v>
      </c>
    </row>
    <row r="122" customFormat="false" ht="13.8" hidden="false" customHeight="false" outlineLevel="0" collapsed="false">
      <c r="B122" s="153"/>
      <c r="C122" s="187" t="s">
        <v>62</v>
      </c>
      <c r="D122" s="173" t="n">
        <v>63742</v>
      </c>
      <c r="E122" s="158" t="n">
        <v>41040</v>
      </c>
      <c r="F122" s="158"/>
      <c r="G122" s="159"/>
      <c r="H122" s="174" t="n">
        <v>104782</v>
      </c>
    </row>
    <row r="123" customFormat="false" ht="13.8" hidden="false" customHeight="false" outlineLevel="0" collapsed="false">
      <c r="B123" s="153"/>
      <c r="C123" s="187" t="s">
        <v>664</v>
      </c>
      <c r="D123" s="173" t="n">
        <v>57468</v>
      </c>
      <c r="E123" s="158" t="n">
        <v>4300</v>
      </c>
      <c r="F123" s="158"/>
      <c r="G123" s="159"/>
      <c r="H123" s="174" t="n">
        <v>61768</v>
      </c>
    </row>
    <row r="124" customFormat="false" ht="13.8" hidden="false" customHeight="false" outlineLevel="0" collapsed="false">
      <c r="B124" s="153"/>
      <c r="C124" s="187" t="s">
        <v>839</v>
      </c>
      <c r="D124" s="173"/>
      <c r="E124" s="158" t="n">
        <v>6220</v>
      </c>
      <c r="F124" s="158"/>
      <c r="G124" s="159"/>
      <c r="H124" s="174" t="n">
        <v>6220</v>
      </c>
    </row>
    <row r="125" customFormat="false" ht="13.8" hidden="false" customHeight="false" outlineLevel="0" collapsed="false">
      <c r="B125" s="188"/>
      <c r="C125" s="189" t="s">
        <v>519</v>
      </c>
      <c r="D125" s="175" t="n">
        <v>32550</v>
      </c>
      <c r="E125" s="176"/>
      <c r="F125" s="176"/>
      <c r="G125" s="177"/>
      <c r="H125" s="178" t="n">
        <v>32550</v>
      </c>
    </row>
    <row r="126" customFormat="false" ht="13.8" hidden="false" customHeight="false" outlineLevel="0" collapsed="false">
      <c r="B126" s="148" t="s">
        <v>52</v>
      </c>
      <c r="C126" s="186"/>
      <c r="D126" s="170" t="n">
        <v>264162</v>
      </c>
      <c r="E126" s="170" t="n">
        <v>283153</v>
      </c>
      <c r="F126" s="170" t="n">
        <v>237348</v>
      </c>
      <c r="G126" s="170" t="n">
        <v>299983</v>
      </c>
      <c r="H126" s="172" t="n">
        <v>1084646</v>
      </c>
    </row>
    <row r="127" customFormat="false" ht="13.8" hidden="false" customHeight="false" outlineLevel="0" collapsed="false">
      <c r="B127" s="153"/>
      <c r="C127" s="187" t="s">
        <v>53</v>
      </c>
      <c r="D127" s="158" t="n">
        <v>116662</v>
      </c>
      <c r="E127" s="158" t="n">
        <v>47632</v>
      </c>
      <c r="F127" s="158" t="n">
        <v>91992</v>
      </c>
      <c r="G127" s="158" t="n">
        <v>42110</v>
      </c>
      <c r="H127" s="174" t="n">
        <v>298396</v>
      </c>
    </row>
    <row r="128" customFormat="false" ht="13.8" hidden="false" customHeight="false" outlineLevel="0" collapsed="false">
      <c r="B128" s="153"/>
      <c r="C128" s="187" t="s">
        <v>60</v>
      </c>
      <c r="D128" s="158" t="n">
        <v>63692</v>
      </c>
      <c r="E128" s="158" t="n">
        <v>97058</v>
      </c>
      <c r="F128" s="158" t="n">
        <v>33605</v>
      </c>
      <c r="G128" s="158" t="n">
        <v>22693</v>
      </c>
      <c r="H128" s="174" t="n">
        <v>217048</v>
      </c>
    </row>
    <row r="129" customFormat="false" ht="13.8" hidden="false" customHeight="false" outlineLevel="0" collapsed="false">
      <c r="B129" s="153"/>
      <c r="C129" s="187" t="s">
        <v>666</v>
      </c>
      <c r="D129" s="158" t="n">
        <v>51258</v>
      </c>
      <c r="E129" s="158" t="n">
        <v>97238</v>
      </c>
      <c r="F129" s="158" t="n">
        <v>63902</v>
      </c>
      <c r="G129" s="158" t="n">
        <v>160400</v>
      </c>
      <c r="H129" s="174" t="n">
        <v>372798</v>
      </c>
    </row>
    <row r="130" customFormat="false" ht="13.8" hidden="false" customHeight="false" outlineLevel="0" collapsed="false">
      <c r="B130" s="153"/>
      <c r="C130" s="187" t="s">
        <v>834</v>
      </c>
      <c r="D130" s="158"/>
      <c r="E130" s="158" t="n">
        <v>30685</v>
      </c>
      <c r="F130" s="158"/>
      <c r="G130" s="158" t="n">
        <v>35880</v>
      </c>
      <c r="H130" s="174" t="n">
        <v>66565</v>
      </c>
    </row>
    <row r="131" customFormat="false" ht="13.8" hidden="false" customHeight="false" outlineLevel="0" collapsed="false">
      <c r="B131" s="188"/>
      <c r="C131" s="189" t="s">
        <v>563</v>
      </c>
      <c r="D131" s="176" t="n">
        <v>32550</v>
      </c>
      <c r="E131" s="176" t="n">
        <v>10540</v>
      </c>
      <c r="F131" s="176" t="n">
        <v>47849</v>
      </c>
      <c r="G131" s="176" t="n">
        <v>38900</v>
      </c>
      <c r="H131" s="178" t="n">
        <v>129839</v>
      </c>
    </row>
    <row r="132" customFormat="false" ht="13.8" hidden="false" customHeight="false" outlineLevel="0" collapsed="false">
      <c r="B132" s="148" t="s">
        <v>2388</v>
      </c>
      <c r="C132" s="186"/>
      <c r="D132" s="169" t="n">
        <v>246627</v>
      </c>
      <c r="E132" s="170" t="n">
        <v>286474</v>
      </c>
      <c r="F132" s="170" t="n">
        <v>239979</v>
      </c>
      <c r="G132" s="171" t="n">
        <v>282167</v>
      </c>
      <c r="H132" s="172" t="n">
        <v>1055247</v>
      </c>
    </row>
    <row r="133" customFormat="false" ht="13.8" hidden="false" customHeight="false" outlineLevel="0" collapsed="false">
      <c r="B133" s="153"/>
      <c r="C133" s="187" t="s">
        <v>297</v>
      </c>
      <c r="D133" s="173" t="n">
        <v>116102</v>
      </c>
      <c r="E133" s="158" t="n">
        <v>36706</v>
      </c>
      <c r="F133" s="158" t="n">
        <v>95799</v>
      </c>
      <c r="G133" s="159" t="n">
        <v>47941</v>
      </c>
      <c r="H133" s="174" t="n">
        <v>296548</v>
      </c>
    </row>
    <row r="134" customFormat="false" ht="13.8" hidden="false" customHeight="false" outlineLevel="0" collapsed="false">
      <c r="B134" s="153"/>
      <c r="C134" s="187" t="s">
        <v>182</v>
      </c>
      <c r="D134" s="173" t="n">
        <v>63375</v>
      </c>
      <c r="E134" s="158" t="n">
        <v>96444</v>
      </c>
      <c r="F134" s="158" t="n">
        <v>33115</v>
      </c>
      <c r="G134" s="159" t="n">
        <v>22573</v>
      </c>
      <c r="H134" s="174" t="n">
        <v>215507</v>
      </c>
    </row>
    <row r="135" customFormat="false" ht="13.8" hidden="false" customHeight="false" outlineLevel="0" collapsed="false">
      <c r="B135" s="153"/>
      <c r="C135" s="187" t="s">
        <v>688</v>
      </c>
      <c r="D135" s="173" t="n">
        <v>34952</v>
      </c>
      <c r="E135" s="158" t="n">
        <v>112298</v>
      </c>
      <c r="F135" s="158" t="n">
        <v>63461</v>
      </c>
      <c r="G135" s="159" t="n">
        <v>137666</v>
      </c>
      <c r="H135" s="174" t="n">
        <v>348377</v>
      </c>
    </row>
    <row r="136" customFormat="false" ht="13.8" hidden="false" customHeight="false" outlineLevel="0" collapsed="false">
      <c r="B136" s="153"/>
      <c r="C136" s="187" t="s">
        <v>901</v>
      </c>
      <c r="D136" s="173"/>
      <c r="E136" s="158" t="n">
        <v>30561</v>
      </c>
      <c r="F136" s="158"/>
      <c r="G136" s="159" t="n">
        <v>35620</v>
      </c>
      <c r="H136" s="174" t="n">
        <v>66181</v>
      </c>
    </row>
    <row r="137" customFormat="false" ht="13.8" hidden="false" customHeight="false" outlineLevel="0" collapsed="false">
      <c r="B137" s="188"/>
      <c r="C137" s="189" t="s">
        <v>621</v>
      </c>
      <c r="D137" s="175" t="n">
        <v>32198</v>
      </c>
      <c r="E137" s="176" t="n">
        <v>10465</v>
      </c>
      <c r="F137" s="176" t="n">
        <v>47604</v>
      </c>
      <c r="G137" s="177" t="n">
        <v>38367</v>
      </c>
      <c r="H137" s="178" t="n">
        <v>128634</v>
      </c>
    </row>
    <row r="138" customFormat="false" ht="13.8" hidden="false" customHeight="false" outlineLevel="0" collapsed="false">
      <c r="B138" s="148" t="s">
        <v>2389</v>
      </c>
      <c r="C138" s="186"/>
      <c r="D138" s="170" t="n">
        <v>161749</v>
      </c>
      <c r="E138" s="170" t="n">
        <v>171349</v>
      </c>
      <c r="F138" s="170" t="n">
        <v>187574</v>
      </c>
      <c r="G138" s="170" t="n">
        <v>123144</v>
      </c>
      <c r="H138" s="172" t="n">
        <v>643816</v>
      </c>
    </row>
    <row r="139" customFormat="false" ht="13.8" hidden="false" customHeight="false" outlineLevel="0" collapsed="false">
      <c r="B139" s="153"/>
      <c r="C139" s="187" t="s">
        <v>551</v>
      </c>
      <c r="D139" s="158" t="n">
        <v>39974</v>
      </c>
      <c r="E139" s="158" t="n">
        <v>40772</v>
      </c>
      <c r="F139" s="158" t="n">
        <v>55612</v>
      </c>
      <c r="G139" s="158" t="n">
        <v>3000</v>
      </c>
      <c r="H139" s="174" t="n">
        <v>139358</v>
      </c>
    </row>
    <row r="140" customFormat="false" ht="13.8" hidden="false" customHeight="false" outlineLevel="0" collapsed="false">
      <c r="B140" s="153"/>
      <c r="C140" s="187" t="s">
        <v>431</v>
      </c>
      <c r="D140" s="158" t="n">
        <v>60208</v>
      </c>
      <c r="E140" s="158" t="n">
        <v>43925</v>
      </c>
      <c r="F140" s="158" t="n">
        <v>16409</v>
      </c>
      <c r="G140" s="158" t="n">
        <v>4405</v>
      </c>
      <c r="H140" s="174" t="n">
        <v>124947</v>
      </c>
    </row>
    <row r="141" customFormat="false" ht="13.8" hidden="false" customHeight="false" outlineLevel="0" collapsed="false">
      <c r="B141" s="153"/>
      <c r="C141" s="187" t="s">
        <v>474</v>
      </c>
      <c r="D141" s="158" t="n">
        <v>38087</v>
      </c>
      <c r="E141" s="158" t="n">
        <v>57811</v>
      </c>
      <c r="F141" s="158" t="n">
        <v>56202</v>
      </c>
      <c r="G141" s="158" t="n">
        <v>63396</v>
      </c>
      <c r="H141" s="174" t="n">
        <v>215496</v>
      </c>
    </row>
    <row r="142" customFormat="false" ht="13.8" hidden="false" customHeight="false" outlineLevel="0" collapsed="false">
      <c r="B142" s="153"/>
      <c r="C142" s="187" t="s">
        <v>937</v>
      </c>
      <c r="D142" s="158"/>
      <c r="E142" s="158" t="n">
        <v>12554</v>
      </c>
      <c r="F142" s="158" t="n">
        <v>17866</v>
      </c>
      <c r="G142" s="158" t="n">
        <v>35603</v>
      </c>
      <c r="H142" s="174" t="n">
        <v>66023</v>
      </c>
    </row>
    <row r="143" customFormat="false" ht="13.8" hidden="false" customHeight="false" outlineLevel="0" collapsed="false">
      <c r="B143" s="188"/>
      <c r="C143" s="189" t="s">
        <v>506</v>
      </c>
      <c r="D143" s="176" t="n">
        <v>23480</v>
      </c>
      <c r="E143" s="176" t="n">
        <v>16287</v>
      </c>
      <c r="F143" s="176" t="n">
        <v>41485</v>
      </c>
      <c r="G143" s="176" t="n">
        <v>16740</v>
      </c>
      <c r="H143" s="178" t="n">
        <v>97992</v>
      </c>
    </row>
    <row r="144" customFormat="false" ht="13.8" hidden="false" customHeight="false" outlineLevel="0" collapsed="false">
      <c r="B144" s="190" t="s">
        <v>2383</v>
      </c>
      <c r="C144" s="191"/>
      <c r="D144" s="179" t="n">
        <v>1758744</v>
      </c>
      <c r="E144" s="180" t="n">
        <v>1938035</v>
      </c>
      <c r="F144" s="180" t="n">
        <v>1714436</v>
      </c>
      <c r="G144" s="181" t="n">
        <v>1929619</v>
      </c>
      <c r="H144" s="182" t="n">
        <v>7340834</v>
      </c>
    </row>
    <row r="147" customFormat="false" ht="13.8" hidden="false" customHeight="false" outlineLevel="0" collapsed="false">
      <c r="B147" s="140" t="s">
        <v>2391</v>
      </c>
      <c r="C147" s="141" t="s">
        <v>87</v>
      </c>
      <c r="D147" s="142"/>
      <c r="E147" s="142"/>
      <c r="F147" s="142"/>
      <c r="G147" s="143"/>
    </row>
    <row r="148" customFormat="false" ht="13.8" hidden="false" customHeight="false" outlineLevel="0" collapsed="false">
      <c r="B148" s="144" t="s">
        <v>35</v>
      </c>
      <c r="C148" s="145" t="n">
        <v>8</v>
      </c>
      <c r="D148" s="146" t="n">
        <v>9</v>
      </c>
      <c r="E148" s="146" t="n">
        <v>10</v>
      </c>
      <c r="F148" s="146" t="n">
        <v>11</v>
      </c>
      <c r="G148" s="147" t="s">
        <v>2383</v>
      </c>
    </row>
    <row r="149" customFormat="false" ht="13.8" hidden="false" customHeight="false" outlineLevel="0" collapsed="false">
      <c r="B149" s="148" t="s">
        <v>2392</v>
      </c>
      <c r="C149" s="169"/>
      <c r="D149" s="170"/>
      <c r="E149" s="170"/>
      <c r="F149" s="171"/>
      <c r="G149" s="172"/>
    </row>
    <row r="150" customFormat="false" ht="13.8" hidden="false" customHeight="false" outlineLevel="0" collapsed="false">
      <c r="B150" s="153" t="s">
        <v>2393</v>
      </c>
      <c r="C150" s="173"/>
      <c r="D150" s="158"/>
      <c r="E150" s="158"/>
      <c r="F150" s="159"/>
      <c r="G150" s="174"/>
    </row>
    <row r="151" customFormat="false" ht="13.8" hidden="false" customHeight="false" outlineLevel="0" collapsed="false">
      <c r="B151" s="153" t="s">
        <v>77</v>
      </c>
      <c r="C151" s="175"/>
      <c r="D151" s="176"/>
      <c r="E151" s="176"/>
      <c r="F151" s="177"/>
      <c r="G151" s="178"/>
    </row>
    <row r="152" customFormat="false" ht="13.8" hidden="false" customHeight="false" outlineLevel="0" collapsed="false">
      <c r="B152" s="164" t="s">
        <v>2383</v>
      </c>
      <c r="C152" s="179"/>
      <c r="D152" s="180"/>
      <c r="E152" s="180"/>
      <c r="F152" s="181"/>
      <c r="G152" s="182"/>
    </row>
    <row r="154" customFormat="false" ht="13.8" hidden="false" customHeight="false" outlineLevel="0" collapsed="false">
      <c r="B154" s="140" t="s">
        <v>2391</v>
      </c>
      <c r="C154" s="141" t="s">
        <v>87</v>
      </c>
      <c r="D154" s="142"/>
      <c r="E154" s="142"/>
      <c r="F154" s="142"/>
      <c r="G154" s="143"/>
    </row>
    <row r="155" customFormat="false" ht="13.8" hidden="false" customHeight="false" outlineLevel="0" collapsed="false">
      <c r="B155" s="144" t="s">
        <v>35</v>
      </c>
      <c r="C155" s="145" t="n">
        <v>8</v>
      </c>
      <c r="D155" s="146" t="n">
        <v>9</v>
      </c>
      <c r="E155" s="146" t="n">
        <v>10</v>
      </c>
      <c r="F155" s="146" t="n">
        <v>11</v>
      </c>
      <c r="G155" s="147" t="s">
        <v>2383</v>
      </c>
    </row>
    <row r="156" customFormat="false" ht="13.8" hidden="false" customHeight="false" outlineLevel="0" collapsed="false">
      <c r="B156" s="148" t="s">
        <v>2392</v>
      </c>
      <c r="C156" s="169"/>
      <c r="D156" s="170"/>
      <c r="E156" s="170"/>
      <c r="F156" s="171"/>
      <c r="G156" s="172"/>
    </row>
    <row r="157" customFormat="false" ht="13.8" hidden="false" customHeight="false" outlineLevel="0" collapsed="false">
      <c r="B157" s="153" t="s">
        <v>2393</v>
      </c>
      <c r="C157" s="173"/>
      <c r="D157" s="158"/>
      <c r="E157" s="158"/>
      <c r="F157" s="159"/>
      <c r="G157" s="174"/>
    </row>
    <row r="158" customFormat="false" ht="13.8" hidden="false" customHeight="false" outlineLevel="0" collapsed="false">
      <c r="B158" s="153" t="s">
        <v>77</v>
      </c>
      <c r="C158" s="175"/>
      <c r="D158" s="176"/>
      <c r="E158" s="176"/>
      <c r="F158" s="177"/>
      <c r="G158" s="178"/>
    </row>
    <row r="159" customFormat="false" ht="13.8" hidden="false" customHeight="false" outlineLevel="0" collapsed="false">
      <c r="B159" s="164" t="s">
        <v>2383</v>
      </c>
      <c r="C159" s="179"/>
      <c r="D159" s="180"/>
      <c r="E159" s="180"/>
      <c r="F159" s="181"/>
      <c r="G159" s="182"/>
    </row>
    <row r="161" customFormat="false" ht="13.8" hidden="false" customHeight="false" outlineLevel="0" collapsed="false">
      <c r="B161" s="140" t="s">
        <v>2394</v>
      </c>
      <c r="C161" s="141" t="s">
        <v>87</v>
      </c>
      <c r="D161" s="142"/>
      <c r="E161" s="142"/>
      <c r="F161" s="142"/>
      <c r="G161" s="143"/>
    </row>
    <row r="162" customFormat="false" ht="13.8" hidden="false" customHeight="false" outlineLevel="0" collapsed="false">
      <c r="B162" s="144" t="s">
        <v>14</v>
      </c>
      <c r="C162" s="145" t="n">
        <v>8</v>
      </c>
      <c r="D162" s="146" t="n">
        <v>9</v>
      </c>
      <c r="E162" s="146" t="n">
        <v>10</v>
      </c>
      <c r="F162" s="146" t="n">
        <v>11</v>
      </c>
      <c r="G162" s="147" t="s">
        <v>2383</v>
      </c>
    </row>
    <row r="163" customFormat="false" ht="13.8" hidden="false" customHeight="false" outlineLevel="0" collapsed="false">
      <c r="B163" s="148" t="s">
        <v>71</v>
      </c>
      <c r="C163" s="192" t="n">
        <v>0.848724480654763</v>
      </c>
      <c r="D163" s="193" t="n">
        <v>0.798171891822745</v>
      </c>
      <c r="E163" s="193" t="n">
        <v>0.8438769313023</v>
      </c>
      <c r="F163" s="194" t="n">
        <v>0.818416480270754</v>
      </c>
      <c r="G163" s="195" t="n">
        <v>0.826833802229899</v>
      </c>
    </row>
    <row r="164" customFormat="false" ht="13.8" hidden="false" customHeight="false" outlineLevel="0" collapsed="false">
      <c r="B164" s="153" t="s">
        <v>64</v>
      </c>
      <c r="C164" s="196" t="n">
        <v>0.664820765859391</v>
      </c>
      <c r="D164" s="197" t="n">
        <v>0.833265611292711</v>
      </c>
      <c r="E164" s="197" t="n">
        <v>1.1450498562567</v>
      </c>
      <c r="F164" s="198" t="n">
        <v>1.07002024484368</v>
      </c>
      <c r="G164" s="199" t="n">
        <v>0.926778091932312</v>
      </c>
    </row>
    <row r="165" customFormat="false" ht="13.8" hidden="false" customHeight="false" outlineLevel="0" collapsed="false">
      <c r="B165" s="153" t="s">
        <v>2384</v>
      </c>
      <c r="C165" s="196" t="n">
        <v>0.867473777334585</v>
      </c>
      <c r="D165" s="197" t="n">
        <v>0.908669798447706</v>
      </c>
      <c r="E165" s="197" t="n">
        <v>0.869261125625145</v>
      </c>
      <c r="F165" s="198" t="n">
        <v>0.977171325600865</v>
      </c>
      <c r="G165" s="199" t="n">
        <v>0.895932940434655</v>
      </c>
    </row>
    <row r="166" customFormat="false" ht="13.8" hidden="false" customHeight="false" outlineLevel="0" collapsed="false">
      <c r="B166" s="153" t="s">
        <v>2385</v>
      </c>
      <c r="C166" s="196" t="n">
        <v>0.994111721418613</v>
      </c>
      <c r="D166" s="197" t="n">
        <v>1.07774376051955</v>
      </c>
      <c r="E166" s="197" t="n">
        <v>0.995257894082377</v>
      </c>
      <c r="F166" s="198" t="n">
        <v>0.950457472370196</v>
      </c>
      <c r="G166" s="199" t="n">
        <v>1.00603926661001</v>
      </c>
    </row>
    <row r="167" customFormat="false" ht="13.8" hidden="false" customHeight="false" outlineLevel="0" collapsed="false">
      <c r="B167" s="153" t="s">
        <v>2386</v>
      </c>
      <c r="C167" s="196" t="n">
        <v>0.800560772293104</v>
      </c>
      <c r="D167" s="197" t="n">
        <v>0.819278345990738</v>
      </c>
      <c r="E167" s="197" t="n">
        <v>0.79539868955985</v>
      </c>
      <c r="F167" s="198" t="n">
        <v>0.750131245632425</v>
      </c>
      <c r="G167" s="199" t="n">
        <v>0.789296612179385</v>
      </c>
    </row>
    <row r="168" customFormat="false" ht="13.8" hidden="false" customHeight="false" outlineLevel="0" collapsed="false">
      <c r="B168" s="153" t="s">
        <v>2387</v>
      </c>
      <c r="C168" s="196" t="n">
        <v>0.86583963269828</v>
      </c>
      <c r="D168" s="197" t="n">
        <v>0.828807451238326</v>
      </c>
      <c r="E168" s="197" t="n">
        <v>0.79626197824066</v>
      </c>
      <c r="F168" s="198" t="n">
        <v>0.790799485327932</v>
      </c>
      <c r="G168" s="199" t="n">
        <v>0.817068805090911</v>
      </c>
    </row>
    <row r="169" customFormat="false" ht="13.8" hidden="false" customHeight="false" outlineLevel="0" collapsed="false">
      <c r="B169" s="153" t="s">
        <v>52</v>
      </c>
      <c r="C169" s="196" t="n">
        <v>0.812573107058857</v>
      </c>
      <c r="D169" s="197" t="n">
        <v>0.780162770950006</v>
      </c>
      <c r="E169" s="197" t="n">
        <v>0.773163835991754</v>
      </c>
      <c r="F169" s="198" t="n">
        <v>0.772809699931702</v>
      </c>
      <c r="G169" s="199" t="n">
        <v>0.784164806010796</v>
      </c>
    </row>
    <row r="170" customFormat="false" ht="13.8" hidden="false" customHeight="false" outlineLevel="0" collapsed="false">
      <c r="B170" s="153" t="s">
        <v>2389</v>
      </c>
      <c r="C170" s="200" t="n">
        <v>0.804335066276789</v>
      </c>
      <c r="D170" s="201" t="n">
        <v>0.678602817959713</v>
      </c>
      <c r="E170" s="201" t="n">
        <v>0.645402110383243</v>
      </c>
      <c r="F170" s="202" t="n">
        <v>0.751013434147578</v>
      </c>
      <c r="G170" s="203" t="n">
        <v>0.713556435954548</v>
      </c>
    </row>
    <row r="171" customFormat="false" ht="13.8" hidden="false" customHeight="false" outlineLevel="0" collapsed="false">
      <c r="B171" s="164" t="s">
        <v>2383</v>
      </c>
      <c r="C171" s="204" t="n">
        <v>0.830186023753687</v>
      </c>
      <c r="D171" s="205" t="n">
        <v>0.844820579829113</v>
      </c>
      <c r="E171" s="205" t="n">
        <v>0.866144087830008</v>
      </c>
      <c r="F171" s="206" t="n">
        <v>0.842645701134411</v>
      </c>
      <c r="G171" s="207" t="n">
        <v>0.846277343451977</v>
      </c>
    </row>
    <row r="175" customFormat="false" ht="13.8" hidden="false" customHeight="false" outlineLevel="0" collapsed="false">
      <c r="B175" s="140" t="s">
        <v>2395</v>
      </c>
      <c r="C175" s="141" t="s">
        <v>87</v>
      </c>
      <c r="D175" s="142"/>
      <c r="E175" s="142"/>
      <c r="F175" s="142"/>
      <c r="G175" s="143"/>
    </row>
    <row r="176" customFormat="false" ht="13.8" hidden="false" customHeight="false" outlineLevel="0" collapsed="false">
      <c r="B176" s="144" t="s">
        <v>14</v>
      </c>
      <c r="C176" s="145" t="n">
        <v>8</v>
      </c>
      <c r="D176" s="146" t="n">
        <v>9</v>
      </c>
      <c r="E176" s="146" t="n">
        <v>10</v>
      </c>
      <c r="F176" s="146" t="n">
        <v>11</v>
      </c>
      <c r="G176" s="147" t="s">
        <v>2383</v>
      </c>
    </row>
    <row r="177" customFormat="false" ht="13.8" hidden="false" customHeight="false" outlineLevel="0" collapsed="false">
      <c r="B177" s="148" t="s">
        <v>71</v>
      </c>
      <c r="C177" s="208" t="n">
        <v>2430.33928571429</v>
      </c>
      <c r="D177" s="209" t="n">
        <v>2340.22222222222</v>
      </c>
      <c r="E177" s="209" t="n">
        <v>2678.9</v>
      </c>
      <c r="F177" s="210" t="n">
        <v>2514.38095238095</v>
      </c>
      <c r="G177" s="211" t="n">
        <v>2487.99103139013</v>
      </c>
    </row>
    <row r="178" customFormat="false" ht="13.8" hidden="false" customHeight="false" outlineLevel="0" collapsed="false">
      <c r="B178" s="153" t="s">
        <v>64</v>
      </c>
      <c r="C178" s="212" t="n">
        <v>372.05</v>
      </c>
      <c r="D178" s="213" t="n">
        <v>558.394736842105</v>
      </c>
      <c r="E178" s="213" t="n">
        <v>725.110227272727</v>
      </c>
      <c r="F178" s="214" t="n">
        <v>837.814814814815</v>
      </c>
      <c r="G178" s="215" t="n">
        <v>620.16464354528</v>
      </c>
    </row>
    <row r="179" customFormat="false" ht="13.8" hidden="false" customHeight="false" outlineLevel="0" collapsed="false">
      <c r="B179" s="153" t="s">
        <v>2384</v>
      </c>
      <c r="C179" s="212" t="n">
        <v>3118.325</v>
      </c>
      <c r="D179" s="213" t="n">
        <v>2749.39534883721</v>
      </c>
      <c r="E179" s="213" t="n">
        <v>2845.01851851852</v>
      </c>
      <c r="F179" s="214" t="n">
        <v>3672.6</v>
      </c>
      <c r="G179" s="215" t="n">
        <v>3014.83333333333</v>
      </c>
    </row>
    <row r="180" customFormat="false" ht="13.8" hidden="false" customHeight="false" outlineLevel="0" collapsed="false">
      <c r="B180" s="153" t="s">
        <v>2385</v>
      </c>
      <c r="C180" s="212" t="n">
        <v>4480.94736842105</v>
      </c>
      <c r="D180" s="213" t="n">
        <v>5113.45945945946</v>
      </c>
      <c r="E180" s="213" t="n">
        <v>4765.625</v>
      </c>
      <c r="F180" s="214" t="n">
        <v>4492.8717948718</v>
      </c>
      <c r="G180" s="215" t="n">
        <v>4738.93277310924</v>
      </c>
    </row>
    <row r="181" customFormat="false" ht="13.8" hidden="false" customHeight="false" outlineLevel="0" collapsed="false">
      <c r="B181" s="153" t="s">
        <v>2386</v>
      </c>
      <c r="C181" s="212" t="n">
        <v>5506.66666666667</v>
      </c>
      <c r="D181" s="213" t="n">
        <v>5537.03773584906</v>
      </c>
      <c r="E181" s="213" t="n">
        <v>5876.0243902439</v>
      </c>
      <c r="F181" s="214" t="n">
        <v>5492.1320754717</v>
      </c>
      <c r="G181" s="215" t="n">
        <v>5601.80357142857</v>
      </c>
    </row>
    <row r="182" customFormat="false" ht="13.8" hidden="false" customHeight="false" outlineLevel="0" collapsed="false">
      <c r="B182" s="153" t="s">
        <v>2387</v>
      </c>
      <c r="C182" s="212" t="n">
        <v>4736.72413793103</v>
      </c>
      <c r="D182" s="213" t="n">
        <v>4477.32786885246</v>
      </c>
      <c r="E182" s="213" t="n">
        <v>4317.94827586207</v>
      </c>
      <c r="F182" s="214" t="n">
        <v>4317.07865168539</v>
      </c>
      <c r="G182" s="215" t="n">
        <v>4445.51879699248</v>
      </c>
    </row>
    <row r="183" customFormat="false" ht="13.8" hidden="false" customHeight="false" outlineLevel="0" collapsed="false">
      <c r="B183" s="153" t="s">
        <v>2375</v>
      </c>
      <c r="C183" s="212" t="n">
        <v>7116.57894736842</v>
      </c>
      <c r="D183" s="213" t="n">
        <v>5728.88888888889</v>
      </c>
      <c r="E183" s="158"/>
      <c r="F183" s="159"/>
      <c r="G183" s="215" t="n">
        <v>6850.85106382979</v>
      </c>
    </row>
    <row r="184" customFormat="false" ht="13.8" hidden="false" customHeight="false" outlineLevel="0" collapsed="false">
      <c r="B184" s="153" t="s">
        <v>52</v>
      </c>
      <c r="C184" s="212" t="n">
        <v>6003.68181818182</v>
      </c>
      <c r="D184" s="213" t="n">
        <v>5445.25</v>
      </c>
      <c r="E184" s="213" t="n">
        <v>5933.7</v>
      </c>
      <c r="F184" s="214" t="n">
        <v>5660.05660377359</v>
      </c>
      <c r="G184" s="215" t="n">
        <v>5738.86772486773</v>
      </c>
    </row>
    <row r="185" customFormat="false" ht="13.8" hidden="false" customHeight="false" outlineLevel="0" collapsed="false">
      <c r="B185" s="153" t="s">
        <v>2388</v>
      </c>
      <c r="C185" s="212" t="n">
        <v>6413.95833333333</v>
      </c>
      <c r="D185" s="213" t="n">
        <v>6208.72580645161</v>
      </c>
      <c r="E185" s="213" t="n">
        <v>8073.77083333333</v>
      </c>
      <c r="F185" s="214" t="n">
        <v>7691.82692307692</v>
      </c>
      <c r="G185" s="215" t="n">
        <v>7049.17619047619</v>
      </c>
    </row>
    <row r="186" customFormat="false" ht="13.8" hidden="false" customHeight="false" outlineLevel="0" collapsed="false">
      <c r="B186" s="153" t="s">
        <v>2389</v>
      </c>
      <c r="C186" s="216" t="n">
        <v>7365.14285714286</v>
      </c>
      <c r="D186" s="217" t="n">
        <v>5711.63333333333</v>
      </c>
      <c r="E186" s="217" t="n">
        <v>5516.88235294118</v>
      </c>
      <c r="F186" s="218" t="n">
        <v>6337.40909090909</v>
      </c>
      <c r="G186" s="219" t="n">
        <v>6180.43859649123</v>
      </c>
    </row>
    <row r="187" customFormat="false" ht="13.8" hidden="false" customHeight="false" outlineLevel="0" collapsed="false">
      <c r="B187" s="164" t="s">
        <v>2383</v>
      </c>
      <c r="C187" s="220" t="n">
        <v>4403.92228571429</v>
      </c>
      <c r="D187" s="221" t="n">
        <v>3992.86529126214</v>
      </c>
      <c r="E187" s="221" t="n">
        <v>4119.65724431818</v>
      </c>
      <c r="F187" s="222" t="n">
        <v>4305.28945147679</v>
      </c>
      <c r="G187" s="223" t="n">
        <v>4199.56393859068</v>
      </c>
    </row>
    <row r="190" customFormat="false" ht="13.8" hidden="false" customHeight="false" outlineLevel="0" collapsed="false">
      <c r="B190" s="140" t="s">
        <v>2391</v>
      </c>
      <c r="C190" s="141" t="s">
        <v>87</v>
      </c>
      <c r="D190" s="142"/>
      <c r="E190" s="142"/>
      <c r="F190" s="142"/>
      <c r="G190" s="143"/>
    </row>
    <row r="191" customFormat="false" ht="13.8" hidden="false" customHeight="false" outlineLevel="0" collapsed="false">
      <c r="B191" s="144" t="s">
        <v>14</v>
      </c>
      <c r="C191" s="145" t="n">
        <v>8</v>
      </c>
      <c r="D191" s="146" t="n">
        <v>9</v>
      </c>
      <c r="E191" s="146" t="n">
        <v>10</v>
      </c>
      <c r="F191" s="146" t="n">
        <v>11</v>
      </c>
      <c r="G191" s="147" t="s">
        <v>2383</v>
      </c>
    </row>
    <row r="192" customFormat="false" ht="13.8" hidden="false" customHeight="false" outlineLevel="0" collapsed="false">
      <c r="B192" s="148" t="s">
        <v>71</v>
      </c>
      <c r="C192" s="169"/>
      <c r="D192" s="170"/>
      <c r="E192" s="170"/>
      <c r="F192" s="171"/>
      <c r="G192" s="172"/>
    </row>
    <row r="193" customFormat="false" ht="13.8" hidden="false" customHeight="false" outlineLevel="0" collapsed="false">
      <c r="B193" s="153" t="s">
        <v>64</v>
      </c>
      <c r="C193" s="173"/>
      <c r="D193" s="158"/>
      <c r="E193" s="158"/>
      <c r="F193" s="159"/>
      <c r="G193" s="174"/>
    </row>
    <row r="194" customFormat="false" ht="13.8" hidden="false" customHeight="false" outlineLevel="0" collapsed="false">
      <c r="B194" s="153" t="s">
        <v>2384</v>
      </c>
      <c r="C194" s="173"/>
      <c r="D194" s="158"/>
      <c r="E194" s="158"/>
      <c r="F194" s="159"/>
      <c r="G194" s="174"/>
    </row>
    <row r="195" customFormat="false" ht="13.8" hidden="false" customHeight="false" outlineLevel="0" collapsed="false">
      <c r="B195" s="153" t="s">
        <v>2385</v>
      </c>
      <c r="C195" s="173"/>
      <c r="D195" s="158"/>
      <c r="E195" s="158"/>
      <c r="F195" s="159"/>
      <c r="G195" s="174"/>
    </row>
    <row r="196" customFormat="false" ht="13.8" hidden="false" customHeight="false" outlineLevel="0" collapsed="false">
      <c r="B196" s="153" t="s">
        <v>2387</v>
      </c>
      <c r="C196" s="173"/>
      <c r="D196" s="158"/>
      <c r="E196" s="158"/>
      <c r="F196" s="159"/>
      <c r="G196" s="174"/>
    </row>
    <row r="197" customFormat="false" ht="13.8" hidden="false" customHeight="false" outlineLevel="0" collapsed="false">
      <c r="B197" s="153" t="s">
        <v>2388</v>
      </c>
      <c r="C197" s="175"/>
      <c r="D197" s="176"/>
      <c r="E197" s="176"/>
      <c r="F197" s="177"/>
      <c r="G197" s="178"/>
    </row>
    <row r="198" customFormat="false" ht="13.8" hidden="false" customHeight="false" outlineLevel="0" collapsed="false">
      <c r="B198" s="164" t="s">
        <v>2383</v>
      </c>
      <c r="C198" s="179"/>
      <c r="D198" s="180"/>
      <c r="E198" s="180"/>
      <c r="F198" s="181"/>
      <c r="G198" s="182"/>
    </row>
    <row r="201" customFormat="false" ht="13.8" hidden="false" customHeight="false" outlineLevel="0" collapsed="false">
      <c r="B201" s="140" t="s">
        <v>2391</v>
      </c>
      <c r="C201" s="141" t="s">
        <v>87</v>
      </c>
      <c r="D201" s="142"/>
      <c r="E201" s="142"/>
      <c r="F201" s="142"/>
      <c r="G201" s="143"/>
    </row>
    <row r="202" customFormat="false" ht="13.8" hidden="false" customHeight="false" outlineLevel="0" collapsed="false">
      <c r="B202" s="144" t="s">
        <v>14</v>
      </c>
      <c r="C202" s="145" t="n">
        <v>8</v>
      </c>
      <c r="D202" s="146" t="n">
        <v>9</v>
      </c>
      <c r="E202" s="146" t="n">
        <v>10</v>
      </c>
      <c r="F202" s="146" t="n">
        <v>11</v>
      </c>
      <c r="G202" s="147" t="s">
        <v>2383</v>
      </c>
    </row>
    <row r="203" customFormat="false" ht="13.8" hidden="false" customHeight="false" outlineLevel="0" collapsed="false">
      <c r="B203" s="148" t="s">
        <v>71</v>
      </c>
      <c r="C203" s="169"/>
      <c r="D203" s="170"/>
      <c r="E203" s="170"/>
      <c r="F203" s="171"/>
      <c r="G203" s="172"/>
    </row>
    <row r="204" customFormat="false" ht="13.8" hidden="false" customHeight="false" outlineLevel="0" collapsed="false">
      <c r="B204" s="153" t="s">
        <v>64</v>
      </c>
      <c r="C204" s="173"/>
      <c r="D204" s="158"/>
      <c r="E204" s="158"/>
      <c r="F204" s="159"/>
      <c r="G204" s="174"/>
    </row>
    <row r="205" customFormat="false" ht="13.8" hidden="false" customHeight="false" outlineLevel="0" collapsed="false">
      <c r="B205" s="153" t="s">
        <v>2384</v>
      </c>
      <c r="C205" s="173"/>
      <c r="D205" s="158"/>
      <c r="E205" s="158"/>
      <c r="F205" s="159"/>
      <c r="G205" s="174"/>
    </row>
    <row r="206" customFormat="false" ht="13.8" hidden="false" customHeight="false" outlineLevel="0" collapsed="false">
      <c r="B206" s="153" t="s">
        <v>2385</v>
      </c>
      <c r="C206" s="173"/>
      <c r="D206" s="158"/>
      <c r="E206" s="158"/>
      <c r="F206" s="159"/>
      <c r="G206" s="174"/>
    </row>
    <row r="207" customFormat="false" ht="13.8" hidden="false" customHeight="false" outlineLevel="0" collapsed="false">
      <c r="B207" s="153" t="s">
        <v>2387</v>
      </c>
      <c r="C207" s="173"/>
      <c r="D207" s="158"/>
      <c r="E207" s="158"/>
      <c r="F207" s="159"/>
      <c r="G207" s="174"/>
    </row>
    <row r="208" customFormat="false" ht="13.8" hidden="false" customHeight="false" outlineLevel="0" collapsed="false">
      <c r="B208" s="153" t="s">
        <v>2388</v>
      </c>
      <c r="C208" s="175"/>
      <c r="D208" s="176"/>
      <c r="E208" s="176"/>
      <c r="F208" s="177"/>
      <c r="G208" s="178"/>
    </row>
    <row r="209" customFormat="false" ht="13.8" hidden="false" customHeight="false" outlineLevel="0" collapsed="false">
      <c r="B209" s="164" t="s">
        <v>2383</v>
      </c>
      <c r="C209" s="179"/>
      <c r="D209" s="180"/>
      <c r="E209" s="180"/>
      <c r="F209" s="181"/>
      <c r="G209" s="182"/>
    </row>
    <row r="212" customFormat="false" ht="13.8" hidden="false" customHeight="false" outlineLevel="0" collapsed="false">
      <c r="B212" s="140" t="s">
        <v>2396</v>
      </c>
      <c r="C212" s="141" t="s">
        <v>87</v>
      </c>
      <c r="D212" s="142"/>
      <c r="E212" s="142"/>
      <c r="F212" s="142"/>
      <c r="G212" s="143"/>
    </row>
    <row r="213" customFormat="false" ht="13.8" hidden="false" customHeight="false" outlineLevel="0" collapsed="false">
      <c r="B213" s="144" t="s">
        <v>14</v>
      </c>
      <c r="C213" s="145" t="n">
        <v>8</v>
      </c>
      <c r="D213" s="146" t="n">
        <v>9</v>
      </c>
      <c r="E213" s="146" t="n">
        <v>10</v>
      </c>
      <c r="F213" s="146" t="n">
        <v>11</v>
      </c>
      <c r="G213" s="147" t="s">
        <v>2383</v>
      </c>
    </row>
    <row r="214" customFormat="false" ht="13.8" hidden="false" customHeight="false" outlineLevel="0" collapsed="false">
      <c r="B214" s="148" t="s">
        <v>71</v>
      </c>
      <c r="C214" s="224" t="n">
        <v>33.4</v>
      </c>
      <c r="D214" s="225" t="n">
        <v>54.3333333333333</v>
      </c>
      <c r="E214" s="225" t="n">
        <v>43</v>
      </c>
      <c r="F214" s="226" t="n">
        <v>33.8333333333333</v>
      </c>
      <c r="G214" s="227" t="n">
        <v>164.566666666667</v>
      </c>
    </row>
    <row r="215" customFormat="false" ht="13.8" hidden="false" customHeight="false" outlineLevel="0" collapsed="false">
      <c r="B215" s="153" t="s">
        <v>64</v>
      </c>
      <c r="C215" s="228" t="n">
        <v>40.0833333333333</v>
      </c>
      <c r="D215" s="229" t="n">
        <v>69.3</v>
      </c>
      <c r="E215" s="229" t="n">
        <v>32.1666666666667</v>
      </c>
      <c r="F215" s="230" t="n">
        <v>31.3333333333333</v>
      </c>
      <c r="G215" s="231" t="n">
        <v>172.883333333333</v>
      </c>
    </row>
    <row r="216" customFormat="false" ht="13.8" hidden="false" customHeight="false" outlineLevel="0" collapsed="false">
      <c r="B216" s="153" t="s">
        <v>2384</v>
      </c>
      <c r="C216" s="228" t="n">
        <v>12.8333333333333</v>
      </c>
      <c r="D216" s="229" t="n">
        <v>7.75</v>
      </c>
      <c r="E216" s="229" t="n">
        <v>36.4166666666667</v>
      </c>
      <c r="F216" s="230" t="n">
        <v>2.91666666666667</v>
      </c>
      <c r="G216" s="231" t="n">
        <v>59.9166666666667</v>
      </c>
    </row>
    <row r="217" customFormat="false" ht="13.8" hidden="false" customHeight="false" outlineLevel="0" collapsed="false">
      <c r="B217" s="153" t="s">
        <v>2385</v>
      </c>
      <c r="C217" s="228" t="n">
        <v>3.78333333333333</v>
      </c>
      <c r="D217" s="229" t="n">
        <v>5.66666666666666</v>
      </c>
      <c r="E217" s="229" t="n">
        <v>7.66666666666666</v>
      </c>
      <c r="F217" s="230" t="n">
        <v>6.5</v>
      </c>
      <c r="G217" s="231" t="n">
        <v>23.6166666666667</v>
      </c>
    </row>
    <row r="218" customFormat="false" ht="13.8" hidden="false" customHeight="false" outlineLevel="0" collapsed="false">
      <c r="B218" s="153" t="s">
        <v>2386</v>
      </c>
      <c r="C218" s="228" t="n">
        <v>16.8333333333333</v>
      </c>
      <c r="D218" s="229" t="n">
        <v>43.75</v>
      </c>
      <c r="E218" s="229" t="n">
        <v>43.0833333333334</v>
      </c>
      <c r="F218" s="230" t="n">
        <v>30.1666666666667</v>
      </c>
      <c r="G218" s="231" t="n">
        <v>133.833333333334</v>
      </c>
    </row>
    <row r="219" customFormat="false" ht="13.8" hidden="false" customHeight="false" outlineLevel="0" collapsed="false">
      <c r="B219" s="153" t="s">
        <v>2387</v>
      </c>
      <c r="C219" s="228" t="n">
        <v>34.9166666666667</v>
      </c>
      <c r="D219" s="229" t="n">
        <v>36.5833333333333</v>
      </c>
      <c r="E219" s="229" t="n">
        <v>61.9166666666667</v>
      </c>
      <c r="F219" s="230" t="n">
        <v>42.5</v>
      </c>
      <c r="G219" s="231" t="n">
        <v>175.916666666667</v>
      </c>
    </row>
    <row r="220" customFormat="false" ht="13.8" hidden="false" customHeight="false" outlineLevel="0" collapsed="false">
      <c r="B220" s="153" t="s">
        <v>52</v>
      </c>
      <c r="C220" s="228" t="n">
        <v>36.3333333333333</v>
      </c>
      <c r="D220" s="229" t="n">
        <v>49.5833333333333</v>
      </c>
      <c r="E220" s="229" t="n">
        <v>41.6666666666667</v>
      </c>
      <c r="F220" s="230" t="n">
        <v>39.55</v>
      </c>
      <c r="G220" s="231" t="n">
        <v>167.133333333333</v>
      </c>
    </row>
    <row r="221" customFormat="false" ht="13.8" hidden="false" customHeight="false" outlineLevel="0" collapsed="false">
      <c r="B221" s="153" t="s">
        <v>2388</v>
      </c>
      <c r="C221" s="228" t="n">
        <v>20.5</v>
      </c>
      <c r="D221" s="229" t="n">
        <v>20.8333333333333</v>
      </c>
      <c r="E221" s="229" t="n">
        <v>14.1666666666667</v>
      </c>
      <c r="F221" s="230" t="n">
        <v>15</v>
      </c>
      <c r="G221" s="231" t="n">
        <v>70.5</v>
      </c>
    </row>
    <row r="222" customFormat="false" ht="13.8" hidden="false" customHeight="false" outlineLevel="0" collapsed="false">
      <c r="B222" s="153" t="s">
        <v>2389</v>
      </c>
      <c r="C222" s="232" t="n">
        <v>5.66666666666667</v>
      </c>
      <c r="D222" s="233" t="n">
        <v>10.1666666666667</v>
      </c>
      <c r="E222" s="233" t="n">
        <v>19.1666666666667</v>
      </c>
      <c r="F222" s="234" t="n">
        <v>6.66666666666666</v>
      </c>
      <c r="G222" s="235" t="n">
        <v>41.6666666666667</v>
      </c>
    </row>
    <row r="223" customFormat="false" ht="13.8" hidden="false" customHeight="false" outlineLevel="0" collapsed="false">
      <c r="B223" s="164" t="s">
        <v>2383</v>
      </c>
      <c r="C223" s="236" t="n">
        <v>204.35</v>
      </c>
      <c r="D223" s="237" t="n">
        <v>297.966666666667</v>
      </c>
      <c r="E223" s="237" t="n">
        <v>299.25</v>
      </c>
      <c r="F223" s="238" t="n">
        <v>208.466666666667</v>
      </c>
      <c r="G223" s="239" t="n">
        <v>1010.03333333333</v>
      </c>
    </row>
    <row r="226" customFormat="false" ht="13.8" hidden="false" customHeight="false" outlineLevel="0" collapsed="false">
      <c r="B226" s="140" t="s">
        <v>2391</v>
      </c>
      <c r="C226" s="141" t="s">
        <v>87</v>
      </c>
      <c r="D226" s="142"/>
      <c r="E226" s="142"/>
      <c r="F226" s="142"/>
      <c r="G226" s="143"/>
    </row>
    <row r="227" customFormat="false" ht="13.8" hidden="false" customHeight="false" outlineLevel="0" collapsed="false">
      <c r="B227" s="144" t="s">
        <v>14</v>
      </c>
      <c r="C227" s="145" t="n">
        <v>8</v>
      </c>
      <c r="D227" s="146" t="n">
        <v>9</v>
      </c>
      <c r="E227" s="146" t="n">
        <v>10</v>
      </c>
      <c r="F227" s="146" t="n">
        <v>11</v>
      </c>
      <c r="G227" s="147" t="s">
        <v>2383</v>
      </c>
    </row>
    <row r="228" customFormat="false" ht="13.8" hidden="false" customHeight="false" outlineLevel="0" collapsed="false">
      <c r="B228" s="148" t="s">
        <v>71</v>
      </c>
      <c r="C228" s="169"/>
      <c r="D228" s="170"/>
      <c r="E228" s="170"/>
      <c r="F228" s="171"/>
      <c r="G228" s="172"/>
    </row>
    <row r="229" customFormat="false" ht="13.8" hidden="false" customHeight="false" outlineLevel="0" collapsed="false">
      <c r="B229" s="153" t="s">
        <v>64</v>
      </c>
      <c r="C229" s="173"/>
      <c r="D229" s="158"/>
      <c r="E229" s="158"/>
      <c r="F229" s="159"/>
      <c r="G229" s="174"/>
    </row>
    <row r="230" customFormat="false" ht="13.8" hidden="false" customHeight="false" outlineLevel="0" collapsed="false">
      <c r="B230" s="153" t="s">
        <v>2384</v>
      </c>
      <c r="C230" s="173"/>
      <c r="D230" s="158"/>
      <c r="E230" s="158"/>
      <c r="F230" s="159"/>
      <c r="G230" s="174"/>
    </row>
    <row r="231" customFormat="false" ht="13.8" hidden="false" customHeight="false" outlineLevel="0" collapsed="false">
      <c r="B231" s="153" t="s">
        <v>2385</v>
      </c>
      <c r="C231" s="173"/>
      <c r="D231" s="158"/>
      <c r="E231" s="158"/>
      <c r="F231" s="159"/>
      <c r="G231" s="174"/>
    </row>
    <row r="232" customFormat="false" ht="13.8" hidden="false" customHeight="false" outlineLevel="0" collapsed="false">
      <c r="B232" s="153" t="s">
        <v>2386</v>
      </c>
      <c r="C232" s="173"/>
      <c r="D232" s="158"/>
      <c r="E232" s="158"/>
      <c r="F232" s="159"/>
      <c r="G232" s="174"/>
    </row>
    <row r="233" customFormat="false" ht="13.8" hidden="false" customHeight="false" outlineLevel="0" collapsed="false">
      <c r="B233" s="153" t="s">
        <v>2387</v>
      </c>
      <c r="C233" s="173"/>
      <c r="D233" s="158"/>
      <c r="E233" s="158"/>
      <c r="F233" s="159"/>
      <c r="G233" s="174"/>
    </row>
    <row r="234" customFormat="false" ht="13.8" hidden="false" customHeight="false" outlineLevel="0" collapsed="false">
      <c r="B234" s="153" t="s">
        <v>52</v>
      </c>
      <c r="C234" s="173"/>
      <c r="D234" s="158"/>
      <c r="E234" s="158"/>
      <c r="F234" s="159"/>
      <c r="G234" s="174"/>
    </row>
    <row r="235" customFormat="false" ht="13.8" hidden="false" customHeight="false" outlineLevel="0" collapsed="false">
      <c r="B235" s="153" t="s">
        <v>2388</v>
      </c>
      <c r="C235" s="173"/>
      <c r="D235" s="158"/>
      <c r="E235" s="158"/>
      <c r="F235" s="159"/>
      <c r="G235" s="174"/>
    </row>
    <row r="236" customFormat="false" ht="13.8" hidden="false" customHeight="false" outlineLevel="0" collapsed="false">
      <c r="B236" s="153" t="s">
        <v>2389</v>
      </c>
      <c r="C236" s="175"/>
      <c r="D236" s="176"/>
      <c r="E236" s="176"/>
      <c r="F236" s="177"/>
      <c r="G236" s="178"/>
    </row>
    <row r="237" customFormat="false" ht="13.8" hidden="false" customHeight="false" outlineLevel="0" collapsed="false">
      <c r="B237" s="164" t="s">
        <v>2383</v>
      </c>
      <c r="C237" s="179"/>
      <c r="D237" s="180"/>
      <c r="E237" s="180"/>
      <c r="F237" s="181"/>
      <c r="G237" s="18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4453125" defaultRowHeight="13.8" zeroHeight="false" outlineLevelRow="0" outlineLevelCol="0"/>
  <cols>
    <col collapsed="false" customWidth="true" hidden="false" outlineLevel="0" max="1" min="1" style="0" width="24.27"/>
    <col collapsed="false" customWidth="true" hidden="false" outlineLevel="0" max="2" min="2" style="14" width="11.72"/>
    <col collapsed="false" customWidth="true" hidden="false" outlineLevel="0" max="3" min="3" style="14" width="6"/>
    <col collapsed="false" customWidth="true" hidden="false" outlineLevel="0" max="4" min="4" style="14" width="13.72"/>
    <col collapsed="false" customWidth="true" hidden="false" outlineLevel="0" max="5" min="5" style="14" width="5.27"/>
    <col collapsed="false" customWidth="true" hidden="false" outlineLevel="0" max="6" min="6" style="14" width="6.27"/>
    <col collapsed="false" customWidth="true" hidden="false" outlineLevel="0" max="7" min="7" style="240" width="10.54"/>
    <col collapsed="false" customWidth="true" hidden="false" outlineLevel="0" max="8" min="8" style="14" width="5.54"/>
    <col collapsed="false" customWidth="true" hidden="false" outlineLevel="0" max="9" min="9" style="0" width="61.72"/>
    <col collapsed="false" customWidth="true" hidden="false" outlineLevel="0" max="64" min="10" style="0" width="8.53"/>
  </cols>
  <sheetData>
    <row r="1" customFormat="false" ht="13.8" hidden="false" customHeight="false" outlineLevel="0" collapsed="false">
      <c r="A1" s="140"/>
      <c r="B1" s="141" t="s">
        <v>2397</v>
      </c>
      <c r="C1" s="142"/>
      <c r="D1" s="143"/>
      <c r="E1" s="0"/>
      <c r="F1" s="0"/>
      <c r="G1" s="0"/>
      <c r="H1" s="0"/>
      <c r="I1" s="241"/>
    </row>
    <row r="2" customFormat="false" ht="13.8" hidden="false" customHeight="false" outlineLevel="0" collapsed="false">
      <c r="A2" s="144" t="s">
        <v>14</v>
      </c>
      <c r="B2" s="145" t="s">
        <v>2398</v>
      </c>
      <c r="C2" s="146" t="s">
        <v>2399</v>
      </c>
      <c r="D2" s="242" t="s">
        <v>2400</v>
      </c>
      <c r="E2" s="0"/>
      <c r="F2" s="0"/>
      <c r="G2" s="0"/>
      <c r="H2" s="0"/>
      <c r="I2" s="243"/>
    </row>
    <row r="3" customFormat="false" ht="13.8" hidden="false" customHeight="false" outlineLevel="0" collapsed="false">
      <c r="A3" s="148" t="s">
        <v>71</v>
      </c>
      <c r="B3" s="149" t="n">
        <v>893.4</v>
      </c>
      <c r="C3" s="209" t="n">
        <v>2430.46774193548</v>
      </c>
      <c r="D3" s="244" t="n">
        <v>0.953734468436391</v>
      </c>
      <c r="E3" s="245"/>
      <c r="F3" s="245"/>
      <c r="G3" s="245"/>
      <c r="H3" s="246"/>
      <c r="I3" s="247"/>
    </row>
    <row r="4" customFormat="false" ht="48.65" hidden="false" customHeight="true" outlineLevel="0" collapsed="false">
      <c r="A4" s="153" t="s">
        <v>64</v>
      </c>
      <c r="B4" s="154" t="n">
        <v>536.6</v>
      </c>
      <c r="C4" s="213" t="n">
        <v>543.764761904762</v>
      </c>
      <c r="D4" s="248" t="n">
        <v>1.07613658860156</v>
      </c>
      <c r="E4" s="249" t="s">
        <v>2401</v>
      </c>
      <c r="F4" s="249" t="s">
        <v>2402</v>
      </c>
      <c r="G4" s="249" t="s">
        <v>2403</v>
      </c>
      <c r="H4" s="250" t="s">
        <v>2400</v>
      </c>
      <c r="I4" s="251" t="s">
        <v>2404</v>
      </c>
    </row>
    <row r="5" customFormat="false" ht="26.25" hidden="false" customHeight="true" outlineLevel="0" collapsed="false">
      <c r="A5" s="153" t="s">
        <v>2386</v>
      </c>
      <c r="B5" s="154" t="n">
        <v>575.3</v>
      </c>
      <c r="C5" s="213" t="n">
        <v>5536.12941176471</v>
      </c>
      <c r="D5" s="248" t="n">
        <v>0.920904155035982</v>
      </c>
      <c r="E5" s="252" t="n">
        <v>0</v>
      </c>
      <c r="F5" s="253" t="n">
        <v>0.956094719763122</v>
      </c>
      <c r="G5" s="254" t="n">
        <v>9</v>
      </c>
      <c r="H5" s="255" t="n">
        <v>0.962393073077879</v>
      </c>
      <c r="I5" s="104" t="s">
        <v>2405</v>
      </c>
    </row>
    <row r="6" customFormat="false" ht="16.5" hidden="false" customHeight="true" outlineLevel="0" collapsed="false">
      <c r="A6" s="153" t="s">
        <v>2387</v>
      </c>
      <c r="B6" s="154" t="n">
        <v>1046.5</v>
      </c>
      <c r="C6" s="213" t="n">
        <v>4524.04444444445</v>
      </c>
      <c r="D6" s="248" t="n">
        <v>0.930560797886854</v>
      </c>
      <c r="E6" s="256" t="n">
        <v>9</v>
      </c>
      <c r="F6" s="256"/>
      <c r="G6" s="257" t="n">
        <v>32.4</v>
      </c>
      <c r="H6" s="258" t="n">
        <v>1.12252916330439</v>
      </c>
      <c r="I6" s="104" t="s">
        <v>786</v>
      </c>
      <c r="J6" s="25"/>
    </row>
    <row r="7" customFormat="false" ht="14.9" hidden="false" customHeight="false" outlineLevel="0" collapsed="false">
      <c r="A7" s="153" t="s">
        <v>2375</v>
      </c>
      <c r="B7" s="154" t="n">
        <v>277.5</v>
      </c>
      <c r="C7" s="213" t="n">
        <v>6850.85106382979</v>
      </c>
      <c r="D7" s="248" t="n">
        <v>0.898944949809504</v>
      </c>
      <c r="E7" s="256" t="n">
        <v>0</v>
      </c>
      <c r="F7" s="256"/>
      <c r="G7" s="257" t="n">
        <v>3.5</v>
      </c>
      <c r="H7" s="258" t="n">
        <v>0.927965917945919</v>
      </c>
      <c r="I7" s="104" t="s">
        <v>2406</v>
      </c>
    </row>
    <row r="8" customFormat="false" ht="14.9" hidden="false" customHeight="false" outlineLevel="0" collapsed="false">
      <c r="A8" s="153" t="s">
        <v>52</v>
      </c>
      <c r="B8" s="154" t="n">
        <v>738.8</v>
      </c>
      <c r="C8" s="213" t="n">
        <v>5700.1320754717</v>
      </c>
      <c r="D8" s="248" t="n">
        <v>0.917352882624885</v>
      </c>
      <c r="E8" s="256" t="n">
        <v>0</v>
      </c>
      <c r="F8" s="259" t="n">
        <v>0.924455551646292</v>
      </c>
      <c r="G8" s="257" t="n">
        <v>5.25</v>
      </c>
      <c r="H8" s="258" t="n">
        <v>0.91730090576214</v>
      </c>
      <c r="I8" s="136" t="s">
        <v>461</v>
      </c>
    </row>
    <row r="9" customFormat="false" ht="16.4" hidden="false" customHeight="true" outlineLevel="0" collapsed="false">
      <c r="A9" s="153" t="s">
        <v>2388</v>
      </c>
      <c r="B9" s="154" t="n">
        <v>388</v>
      </c>
      <c r="C9" s="213" t="n">
        <v>6238.66666666667</v>
      </c>
      <c r="D9" s="248" t="n">
        <v>1.42376015687829</v>
      </c>
      <c r="E9" s="256" t="n">
        <v>0</v>
      </c>
      <c r="F9" s="256"/>
      <c r="G9" s="257" t="n">
        <v>2.3</v>
      </c>
      <c r="H9" s="258" t="n">
        <v>0.898268368582828</v>
      </c>
      <c r="I9" s="136" t="s">
        <v>947</v>
      </c>
    </row>
    <row r="10" customFormat="false" ht="14.25" hidden="false" customHeight="true" outlineLevel="0" collapsed="false">
      <c r="A10" s="153" t="s">
        <v>2389</v>
      </c>
      <c r="B10" s="154" t="n">
        <v>198.8</v>
      </c>
      <c r="C10" s="213" t="n">
        <v>6395.78787878788</v>
      </c>
      <c r="D10" s="248" t="n">
        <v>0.820166637609066</v>
      </c>
      <c r="E10" s="256" t="n">
        <v>0</v>
      </c>
      <c r="F10" s="256"/>
      <c r="G10" s="257" t="n">
        <v>3.5</v>
      </c>
      <c r="H10" s="258" t="n">
        <v>0.912436000941807</v>
      </c>
      <c r="I10" s="136" t="s">
        <v>461</v>
      </c>
    </row>
    <row r="11" customFormat="false" ht="21" hidden="false" customHeight="true" outlineLevel="0" collapsed="false">
      <c r="A11" s="153" t="s">
        <v>2385</v>
      </c>
      <c r="B11" s="154" t="n">
        <v>433</v>
      </c>
      <c r="C11" s="213" t="n">
        <v>4898.85714285714</v>
      </c>
      <c r="D11" s="248" t="n">
        <v>1.07431953311346</v>
      </c>
      <c r="E11" s="256" t="n">
        <v>0</v>
      </c>
      <c r="F11" s="256"/>
      <c r="G11" s="257" t="n">
        <v>4</v>
      </c>
      <c r="H11" s="258" t="n">
        <v>1.56068462637514</v>
      </c>
      <c r="I11" s="136" t="s">
        <v>461</v>
      </c>
    </row>
    <row r="12" customFormat="false" ht="15.65" hidden="false" customHeight="true" outlineLevel="0" collapsed="false">
      <c r="A12" s="153" t="s">
        <v>2384</v>
      </c>
      <c r="B12" s="160" t="n">
        <v>591.9</v>
      </c>
      <c r="C12" s="217" t="n">
        <v>2862.84112149533</v>
      </c>
      <c r="D12" s="260" t="n">
        <v>0.943833242345528</v>
      </c>
      <c r="E12" s="256" t="n">
        <v>0</v>
      </c>
      <c r="F12" s="256"/>
      <c r="G12" s="257" t="n">
        <v>2.5</v>
      </c>
      <c r="H12" s="258" t="n">
        <v>0.841087402453454</v>
      </c>
      <c r="I12" s="136" t="s">
        <v>461</v>
      </c>
    </row>
    <row r="13" customFormat="false" ht="26.15" hidden="false" customHeight="true" outlineLevel="0" collapsed="false">
      <c r="A13" s="164" t="s">
        <v>2383</v>
      </c>
      <c r="B13" s="165" t="n">
        <v>5679.8</v>
      </c>
      <c r="C13" s="221" t="n">
        <v>4123.98524970964</v>
      </c>
      <c r="D13" s="261" t="n">
        <v>0.990202363172011</v>
      </c>
      <c r="E13" s="256" t="n">
        <v>0</v>
      </c>
      <c r="F13" s="259" t="n">
        <v>0.996040638919642</v>
      </c>
      <c r="G13" s="257" t="n">
        <v>6</v>
      </c>
      <c r="H13" s="258" t="n">
        <v>1.09118978243978</v>
      </c>
    </row>
    <row r="14" customFormat="false" ht="22.5" hidden="false" customHeight="true" outlineLevel="0" collapsed="false">
      <c r="A14" s="262" t="s">
        <v>2384</v>
      </c>
      <c r="B14" s="263" t="n">
        <v>351</v>
      </c>
      <c r="C14" s="264" t="n">
        <v>181983</v>
      </c>
      <c r="D14" s="265" t="n">
        <v>2710.31343283582</v>
      </c>
      <c r="E14" s="264" t="n">
        <v>0</v>
      </c>
      <c r="F14" s="266" t="n">
        <v>0.993060769124844</v>
      </c>
      <c r="G14" s="267" t="n">
        <v>6</v>
      </c>
      <c r="H14" s="268" t="n">
        <v>0.960253233074235</v>
      </c>
    </row>
    <row r="15" customFormat="false" ht="13.8" hidden="false" customHeight="false" outlineLevel="0" collapsed="false">
      <c r="A15" s="269" t="s">
        <v>2383</v>
      </c>
      <c r="B15" s="270" t="n">
        <v>3463.6</v>
      </c>
      <c r="C15" s="271" t="n">
        <v>2488073</v>
      </c>
      <c r="D15" s="272" t="n">
        <v>3947.25521821632</v>
      </c>
      <c r="E15" s="271" t="n">
        <v>9</v>
      </c>
      <c r="F15" s="273" t="n">
        <v>0.962039782555775</v>
      </c>
      <c r="G15" s="274" t="n">
        <v>9.00787476280835</v>
      </c>
      <c r="H15" s="275" t="n">
        <v>1.0165347260444</v>
      </c>
    </row>
    <row r="16" customFormat="false" ht="13.8" hidden="false" customHeight="false" outlineLevel="0" collapsed="false">
      <c r="G16" s="0"/>
      <c r="H16" s="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IZ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2" topLeftCell="E99" activePane="bottomRight" state="frozen"/>
      <selection pane="topLeft" activeCell="A1" activeCellId="0" sqref="A1"/>
      <selection pane="topRight" activeCell="E1" activeCellId="0" sqref="E1"/>
      <selection pane="bottomLeft" activeCell="A99" activeCellId="0" sqref="A99"/>
      <selection pane="bottomRight" activeCell="A4" activeCellId="0" sqref="A4"/>
    </sheetView>
  </sheetViews>
  <sheetFormatPr defaultColWidth="9" defaultRowHeight="13.8" zeroHeight="false" outlineLevelRow="0" outlineLevelCol="0"/>
  <cols>
    <col collapsed="false" customWidth="true" hidden="false" outlineLevel="0" max="1" min="1" style="276" width="2.82"/>
    <col collapsed="false" customWidth="true" hidden="false" outlineLevel="0" max="2" min="2" style="277" width="15.72"/>
    <col collapsed="false" customWidth="true" hidden="false" outlineLevel="0" max="3" min="3" style="277" width="34.73"/>
    <col collapsed="false" customWidth="true" hidden="true" outlineLevel="0" max="4" min="4" style="277" width="14.45"/>
    <col collapsed="false" customWidth="true" hidden="false" outlineLevel="0" max="5" min="5" style="278" width="20.72"/>
    <col collapsed="false" customWidth="true" hidden="false" outlineLevel="0" max="6" min="6" style="278" width="17.55"/>
    <col collapsed="false" customWidth="true" hidden="false" outlineLevel="0" max="7" min="7" style="278" width="13.54"/>
    <col collapsed="false" customWidth="true" hidden="false" outlineLevel="0" max="8" min="8" style="278" width="12.45"/>
    <col collapsed="false" customWidth="true" hidden="false" outlineLevel="0" max="9" min="9" style="278" width="13.54"/>
    <col collapsed="false" customWidth="true" hidden="false" outlineLevel="0" max="10" min="10" style="278" width="11.27"/>
    <col collapsed="false" customWidth="true" hidden="false" outlineLevel="0" max="11" min="11" style="278" width="9.54"/>
    <col collapsed="false" customWidth="true" hidden="false" outlineLevel="0" max="13" min="12" style="278" width="9.45"/>
    <col collapsed="false" customWidth="true" hidden="false" outlineLevel="0" max="14" min="14" style="278" width="12.45"/>
    <col collapsed="false" customWidth="true" hidden="false" outlineLevel="0" max="15" min="15" style="278" width="13.45"/>
    <col collapsed="false" customWidth="true" hidden="false" outlineLevel="0" max="18" min="16" style="278" width="12.54"/>
    <col collapsed="false" customWidth="true" hidden="false" outlineLevel="0" max="29" min="19" style="279" width="10.45"/>
    <col collapsed="false" customWidth="true" hidden="false" outlineLevel="0" max="38" min="30" style="279" width="9.45"/>
    <col collapsed="false" customWidth="true" hidden="false" outlineLevel="0" max="51" min="39" style="280" width="9.45"/>
    <col collapsed="false" customWidth="true" hidden="false" outlineLevel="0" max="260" min="52" style="276" width="9.45"/>
  </cols>
  <sheetData>
    <row r="1" customFormat="false" ht="24.45" hidden="false" customHeight="false" outlineLevel="0" collapsed="false">
      <c r="B1" s="281" t="s">
        <v>2407</v>
      </c>
      <c r="C1" s="282"/>
      <c r="D1" s="282"/>
      <c r="E1" s="283" t="n">
        <v>44409</v>
      </c>
      <c r="F1" s="282"/>
      <c r="G1" s="284"/>
      <c r="H1" s="282"/>
      <c r="I1" s="282"/>
      <c r="J1" s="282"/>
      <c r="K1" s="282"/>
      <c r="L1" s="282"/>
      <c r="M1" s="282"/>
      <c r="N1" s="282"/>
      <c r="O1" s="25"/>
      <c r="P1" s="282"/>
      <c r="Q1" s="25"/>
      <c r="R1" s="285"/>
      <c r="S1" s="286"/>
      <c r="T1" s="279" t="n">
        <f aca="false">8.13/1000</f>
        <v>0.00813</v>
      </c>
      <c r="Z1" s="279" t="s">
        <v>2408</v>
      </c>
    </row>
    <row r="2" customFormat="false" ht="13.8" hidden="false" customHeight="false" outlineLevel="0" collapsed="false">
      <c r="B2" s="287" t="s">
        <v>2409</v>
      </c>
      <c r="C2" s="288" t="s">
        <v>2410</v>
      </c>
      <c r="D2" s="287" t="s">
        <v>19</v>
      </c>
      <c r="E2" s="289" t="s">
        <v>2411</v>
      </c>
      <c r="F2" s="289" t="s">
        <v>2412</v>
      </c>
      <c r="G2" s="289" t="s">
        <v>2413</v>
      </c>
      <c r="H2" s="289" t="s">
        <v>2414</v>
      </c>
      <c r="I2" s="289" t="s">
        <v>2415</v>
      </c>
      <c r="J2" s="289" t="s">
        <v>2416</v>
      </c>
      <c r="K2" s="289" t="s">
        <v>2417</v>
      </c>
      <c r="L2" s="290" t="s">
        <v>2418</v>
      </c>
      <c r="M2" s="289" t="s">
        <v>2419</v>
      </c>
      <c r="N2" s="291" t="s">
        <v>2420</v>
      </c>
      <c r="O2" s="291" t="s">
        <v>2421</v>
      </c>
      <c r="P2" s="292" t="s">
        <v>100</v>
      </c>
      <c r="Q2" s="292" t="s">
        <v>2408</v>
      </c>
      <c r="R2" s="292" t="s">
        <v>2422</v>
      </c>
      <c r="S2" s="293"/>
      <c r="Z2" s="294" t="s">
        <v>2414</v>
      </c>
      <c r="AA2" s="294" t="s">
        <v>2415</v>
      </c>
      <c r="AB2" s="294" t="s">
        <v>2416</v>
      </c>
      <c r="AC2" s="294" t="s">
        <v>2417</v>
      </c>
    </row>
    <row r="3" customFormat="false" ht="13.8" hidden="false" customHeight="false" outlineLevel="0" collapsed="false">
      <c r="B3" s="295" t="s">
        <v>529</v>
      </c>
      <c r="C3" s="296" t="s">
        <v>2423</v>
      </c>
      <c r="D3" s="297" t="s">
        <v>2424</v>
      </c>
      <c r="E3" s="298" t="n">
        <v>102888</v>
      </c>
      <c r="F3" s="299" t="n">
        <f aca="false">SUMIF('Data Sheet Aug-2021'!E:E,PVA!B3,'Data Sheet Aug-2021'!N:N)</f>
        <v>568076</v>
      </c>
      <c r="G3" s="299" t="n">
        <f aca="false">SUMIF('Data Sheet Aug-2021'!E:E,PVA!B3,'Data Sheet Aug-2021'!O:O)</f>
        <v>563933</v>
      </c>
      <c r="H3" s="299" t="n">
        <f aca="false">SUMIF('Data Sheet Aug-2021'!E:E,PVA!B3,'Data Sheet Aug-2021'!T:T)</f>
        <v>1471</v>
      </c>
      <c r="I3" s="299" t="n">
        <f aca="false">SUMIF('Data Sheet Aug-2021'!E:E,PVA!B3,'Data Sheet Aug-2021'!U:U)</f>
        <v>604</v>
      </c>
      <c r="J3" s="299" t="n">
        <f aca="false">SUMIF('Data Sheet Aug-2021'!E:E,PVA!B3,'Data Sheet Aug-2021'!P:P)</f>
        <v>5.25</v>
      </c>
      <c r="K3" s="299" t="n">
        <f aca="false">SUMIF('Data Sheet Aug-2021'!E:E,PVA!B3,'Data Sheet Aug-2021'!Q:Q)</f>
        <v>2068</v>
      </c>
      <c r="L3" s="300" t="n">
        <f aca="false">IFERROR(SUM(H3)/SUM(G3:H3),0)</f>
        <v>0.00260167950704275</v>
      </c>
      <c r="M3" s="301" t="n">
        <f aca="false">IFERROR(K3/F3,0)</f>
        <v>0.00364035798027025</v>
      </c>
      <c r="N3" s="302" t="n">
        <f aca="false">IFERROR(G3/E3,0)</f>
        <v>5.4810376331545</v>
      </c>
      <c r="O3" s="303" t="n">
        <f aca="false">G3-E3</f>
        <v>461045</v>
      </c>
      <c r="P3" s="304" t="n">
        <f aca="false">IFERROR(G3*Q3/R3,0)</f>
        <v>0.9916413253913</v>
      </c>
      <c r="Q3" s="305" t="n">
        <v>0.0086</v>
      </c>
      <c r="R3" s="306" t="n">
        <f aca="false">(H3+G3+I3+K3)*Q3+J3</f>
        <v>4890.7036</v>
      </c>
      <c r="S3" s="307"/>
      <c r="U3" s="308" t="n">
        <f aca="false">Q3*G3</f>
        <v>4849.8238</v>
      </c>
      <c r="W3" s="309" t="n">
        <f aca="false">R3</f>
        <v>4890.7036</v>
      </c>
      <c r="Z3" s="279" t="n">
        <f aca="false">H3*Q3</f>
        <v>12.6506</v>
      </c>
      <c r="AA3" s="279" t="n">
        <f aca="false">I3*Q3</f>
        <v>5.1944</v>
      </c>
      <c r="AB3" s="279" t="n">
        <f aca="false">J3</f>
        <v>5.25</v>
      </c>
      <c r="AC3" s="279" t="n">
        <f aca="false">K3*Q3</f>
        <v>17.7848</v>
      </c>
    </row>
    <row r="4" customFormat="false" ht="13.8" hidden="false" customHeight="false" outlineLevel="0" collapsed="false">
      <c r="B4" s="310" t="s">
        <v>2425</v>
      </c>
      <c r="C4" s="287" t="s">
        <v>2410</v>
      </c>
      <c r="D4" s="310" t="s">
        <v>19</v>
      </c>
      <c r="E4" s="311" t="s">
        <v>2411</v>
      </c>
      <c r="F4" s="311" t="s">
        <v>2412</v>
      </c>
      <c r="G4" s="311" t="s">
        <v>2413</v>
      </c>
      <c r="H4" s="311" t="s">
        <v>2414</v>
      </c>
      <c r="I4" s="311" t="s">
        <v>2415</v>
      </c>
      <c r="J4" s="311" t="s">
        <v>2416</v>
      </c>
      <c r="K4" s="292" t="s">
        <v>2417</v>
      </c>
      <c r="L4" s="290" t="s">
        <v>2418</v>
      </c>
      <c r="M4" s="289" t="s">
        <v>2418</v>
      </c>
      <c r="N4" s="291" t="s">
        <v>2420</v>
      </c>
      <c r="O4" s="312" t="s">
        <v>2421</v>
      </c>
      <c r="P4" s="313" t="s">
        <v>100</v>
      </c>
      <c r="Q4" s="313" t="s">
        <v>2408</v>
      </c>
      <c r="R4" s="313" t="s">
        <v>2422</v>
      </c>
      <c r="S4" s="307"/>
      <c r="U4" s="308"/>
      <c r="Z4" s="294" t="s">
        <v>2414</v>
      </c>
      <c r="AA4" s="294" t="s">
        <v>2415</v>
      </c>
      <c r="AB4" s="294" t="s">
        <v>2416</v>
      </c>
      <c r="AC4" s="294" t="s">
        <v>2417</v>
      </c>
    </row>
    <row r="5" customFormat="false" ht="13.8" hidden="false" customHeight="false" outlineLevel="0" collapsed="false">
      <c r="B5" s="314" t="s">
        <v>199</v>
      </c>
      <c r="C5" s="315" t="str">
        <f aca="false">VLOOKUP(B5,'Item Data Support Sheet'!A:B,2,0)</f>
        <v>CAP S TYPE MOLDED RED</v>
      </c>
      <c r="D5" s="314" t="s">
        <v>2426</v>
      </c>
      <c r="E5" s="316" t="n">
        <v>24822</v>
      </c>
      <c r="F5" s="317" t="n">
        <f aca="false">SUMIF('Data Sheet Aug-2021'!E:E,PVA!B5,'Data Sheet Aug-2021'!N:N)</f>
        <v>132515</v>
      </c>
      <c r="G5" s="317" t="n">
        <f aca="false">SUMIF('Data Sheet Aug-2021'!E:E,PVA!B5,'Data Sheet Aug-2021'!O:O)</f>
        <v>132177</v>
      </c>
      <c r="H5" s="317" t="n">
        <f aca="false">SUMIF('Data Sheet Aug-2021'!E:E,PVA!B5,'Data Sheet Aug-2021'!T:T)</f>
        <v>119</v>
      </c>
      <c r="I5" s="317" t="n">
        <f aca="false">SUMIF('Data Sheet Aug-2021'!E:E,PVA!B5,'Data Sheet Aug-2021'!U:U)</f>
        <v>144</v>
      </c>
      <c r="J5" s="317" t="n">
        <f aca="false">SUMIF('Data Sheet Aug-2021'!E:E,PVA!B5,'Data Sheet Aug-2021'!P:P)</f>
        <v>3.508</v>
      </c>
      <c r="K5" s="318" t="n">
        <f aca="false">SUMIF('Data Sheet Aug-2021'!E:E,PVA!B5,'Data Sheet Aug-2021'!Q:Q)</f>
        <v>75</v>
      </c>
      <c r="L5" s="319" t="n">
        <f aca="false">IFERROR(SUM(H5)/SUM(G5:H5),0)</f>
        <v>0.000899498095180504</v>
      </c>
      <c r="M5" s="319" t="n">
        <f aca="false">IFERROR(K5/F5,0)</f>
        <v>0.000565973663358865</v>
      </c>
      <c r="N5" s="320" t="n">
        <f aca="false">IFERROR(G5/E5,0)</f>
        <v>5.32499395697365</v>
      </c>
      <c r="O5" s="321" t="n">
        <f aca="false">G5-E5</f>
        <v>107355</v>
      </c>
      <c r="P5" s="322" t="n">
        <f aca="false">IFERROR(G5*Q5/R5,0)</f>
        <v>0.993845298148306</v>
      </c>
      <c r="Q5" s="317" t="n">
        <v>0.0073</v>
      </c>
      <c r="R5" s="323" t="n">
        <f aca="false">(H5+G5+I5+K5)*Q5+J5</f>
        <v>970.8675</v>
      </c>
      <c r="S5" s="307"/>
      <c r="U5" s="308" t="n">
        <f aca="false">Q5*G5</f>
        <v>964.8921</v>
      </c>
      <c r="W5" s="309"/>
      <c r="Z5" s="279" t="n">
        <f aca="false">H5*Q5</f>
        <v>0.8687</v>
      </c>
      <c r="AA5" s="279" t="n">
        <f aca="false">I5*Q5</f>
        <v>1.0512</v>
      </c>
      <c r="AB5" s="279" t="n">
        <f aca="false">J5</f>
        <v>3.508</v>
      </c>
      <c r="AC5" s="279" t="n">
        <f aca="false">K5*Q5</f>
        <v>0.5475</v>
      </c>
    </row>
    <row r="6" customFormat="false" ht="13.8" hidden="false" customHeight="false" outlineLevel="0" collapsed="false">
      <c r="B6" s="324" t="s">
        <v>261</v>
      </c>
      <c r="C6" s="315" t="str">
        <f aca="false">VLOOKUP(B6,'Item Data Support Sheet'!A:B,2,0)</f>
        <v>CAP S TYPE MOLDED PINK</v>
      </c>
      <c r="D6" s="324" t="s">
        <v>2427</v>
      </c>
      <c r="E6" s="325" t="n">
        <v>36696</v>
      </c>
      <c r="F6" s="326" t="n">
        <f aca="false">SUMIF('Data Sheet Aug-2021'!E:E,PVA!B6,'Data Sheet Aug-2021'!N:N)</f>
        <v>127327</v>
      </c>
      <c r="G6" s="326" t="n">
        <f aca="false">SUMIF('Data Sheet Aug-2021'!E:E,PVA!B6,'Data Sheet Aug-2021'!O:O)</f>
        <v>127052</v>
      </c>
      <c r="H6" s="326" t="n">
        <f aca="false">SUMIF('Data Sheet Aug-2021'!E:E,PVA!B6,'Data Sheet Aug-2021'!T:T)</f>
        <v>127</v>
      </c>
      <c r="I6" s="326" t="n">
        <f aca="false">SUMIF('Data Sheet Aug-2021'!E:E,PVA!B6,'Data Sheet Aug-2021'!U:U)</f>
        <v>144</v>
      </c>
      <c r="J6" s="326" t="n">
        <f aca="false">SUMIF('Data Sheet Aug-2021'!E:E,PVA!B6,'Data Sheet Aug-2021'!P:P)</f>
        <v>2.27</v>
      </c>
      <c r="K6" s="327" t="n">
        <f aca="false">SUMIF('Data Sheet Aug-2021'!E:E,PVA!B6,'Data Sheet Aug-2021'!Q:Q)</f>
        <v>4</v>
      </c>
      <c r="L6" s="328" t="n">
        <f aca="false">IFERROR(SUM(H6)/SUM(G6:H6),0)</f>
        <v>0.000998592534931081</v>
      </c>
      <c r="M6" s="328" t="n">
        <f aca="false">IFERROR(K6/F6,0)</f>
        <v>3.14151751003322E-005</v>
      </c>
      <c r="N6" s="329" t="n">
        <f aca="false">IFERROR(G6/E6,0)</f>
        <v>3.4622847176804</v>
      </c>
      <c r="O6" s="330" t="n">
        <f aca="false">G6-E6</f>
        <v>90356</v>
      </c>
      <c r="P6" s="331" t="n">
        <f aca="false">IFERROR(G6*Q6/R6,0)</f>
        <v>0.995409211263322</v>
      </c>
      <c r="Q6" s="326" t="n">
        <v>0.0073</v>
      </c>
      <c r="R6" s="332" t="n">
        <f aca="false">(H6+G6+I6+K6)*Q6+J6</f>
        <v>931.7571</v>
      </c>
      <c r="S6" s="307"/>
      <c r="U6" s="308" t="n">
        <f aca="false">Q6*G6</f>
        <v>927.4796</v>
      </c>
      <c r="W6" s="309"/>
      <c r="Z6" s="279" t="n">
        <f aca="false">H6*Q6</f>
        <v>0.9271</v>
      </c>
      <c r="AA6" s="279" t="n">
        <f aca="false">I6*Q6</f>
        <v>1.0512</v>
      </c>
      <c r="AB6" s="279" t="n">
        <f aca="false">J6</f>
        <v>2.27</v>
      </c>
      <c r="AC6" s="279" t="n">
        <f aca="false">K6*Q6</f>
        <v>0.0292</v>
      </c>
    </row>
    <row r="7" customFormat="false" ht="13.8" hidden="false" customHeight="false" outlineLevel="0" collapsed="false">
      <c r="B7" s="324" t="s">
        <v>343</v>
      </c>
      <c r="C7" s="315" t="str">
        <f aca="false">VLOOKUP(B7,'Item Data Support Sheet'!A:B,2,0)</f>
        <v>CAP S TYPE MOLDED BLUE</v>
      </c>
      <c r="D7" s="324" t="s">
        <v>2428</v>
      </c>
      <c r="E7" s="325" t="n">
        <v>32559</v>
      </c>
      <c r="F7" s="326" t="n">
        <f aca="false">SUMIF('Data Sheet Aug-2021'!E:E,PVA!B7,'Data Sheet Aug-2021'!N:N)</f>
        <v>123789</v>
      </c>
      <c r="G7" s="326" t="n">
        <f aca="false">SUMIF('Data Sheet Aug-2021'!E:E,PVA!B7,'Data Sheet Aug-2021'!O:O)</f>
        <v>123390</v>
      </c>
      <c r="H7" s="326" t="n">
        <f aca="false">SUMIF('Data Sheet Aug-2021'!E:E,PVA!B7,'Data Sheet Aug-2021'!T:T)</f>
        <v>192</v>
      </c>
      <c r="I7" s="326" t="n">
        <f aca="false">SUMIF('Data Sheet Aug-2021'!E:E,PVA!B7,'Data Sheet Aug-2021'!U:U)</f>
        <v>128</v>
      </c>
      <c r="J7" s="326" t="n">
        <f aca="false">SUMIF('Data Sheet Aug-2021'!E:E,PVA!B7,'Data Sheet Aug-2021'!P:P)</f>
        <v>3.65</v>
      </c>
      <c r="K7" s="327" t="n">
        <f aca="false">SUMIF('Data Sheet Aug-2021'!E:E,PVA!B7,'Data Sheet Aug-2021'!Q:Q)</f>
        <v>79</v>
      </c>
      <c r="L7" s="328" t="n">
        <f aca="false">IFERROR(SUM(H7)/SUM(G7:H7),0)</f>
        <v>0.00155362431422052</v>
      </c>
      <c r="M7" s="328" t="n">
        <f aca="false">IFERROR(K7/F7,0)</f>
        <v>0.000638182714134535</v>
      </c>
      <c r="N7" s="329" t="n">
        <f aca="false">IFERROR(G7/E7,0)</f>
        <v>3.78973555698885</v>
      </c>
      <c r="O7" s="330" t="n">
        <f aca="false">G7-E7</f>
        <v>90831</v>
      </c>
      <c r="P7" s="331" t="n">
        <f aca="false">IFERROR(G7*Q7/R7,0)</f>
        <v>0.992766857887665</v>
      </c>
      <c r="Q7" s="326" t="n">
        <v>0.0073</v>
      </c>
      <c r="R7" s="332" t="n">
        <f aca="false">(H7+G7+I7+K7)*Q7+J7</f>
        <v>907.3097</v>
      </c>
      <c r="S7" s="307"/>
      <c r="T7" s="279" t="n">
        <f aca="false">7.3/1000</f>
        <v>0.0073</v>
      </c>
      <c r="U7" s="308" t="n">
        <f aca="false">Q7*G7</f>
        <v>900.747</v>
      </c>
      <c r="W7" s="309"/>
      <c r="Z7" s="279" t="n">
        <f aca="false">H7*Q7</f>
        <v>1.4016</v>
      </c>
      <c r="AA7" s="279" t="n">
        <f aca="false">I7*Q7</f>
        <v>0.9344</v>
      </c>
      <c r="AB7" s="279" t="n">
        <f aca="false">J7</f>
        <v>3.65</v>
      </c>
      <c r="AC7" s="279" t="n">
        <f aca="false">K7*Q7</f>
        <v>0.5767</v>
      </c>
    </row>
    <row r="8" customFormat="false" ht="13.8" hidden="false" customHeight="false" outlineLevel="0" collapsed="false">
      <c r="B8" s="324" t="s">
        <v>420</v>
      </c>
      <c r="C8" s="315" t="str">
        <f aca="false">VLOOKUP(B8,'Item Data Support Sheet'!A:B,2,0)</f>
        <v>CAP S TYPE MOLDED PALE BLUE</v>
      </c>
      <c r="D8" s="324" t="s">
        <v>2429</v>
      </c>
      <c r="E8" s="325" t="n">
        <v>11874</v>
      </c>
      <c r="F8" s="326" t="n">
        <f aca="false">SUMIF('Data Sheet Aug-2021'!E:E,PVA!B8,'Data Sheet Aug-2021'!N:N)</f>
        <v>34198</v>
      </c>
      <c r="G8" s="326" t="n">
        <f aca="false">SUMIF('Data Sheet Aug-2021'!E:E,PVA!B8,'Data Sheet Aug-2021'!O:O)</f>
        <v>34120</v>
      </c>
      <c r="H8" s="326" t="n">
        <f aca="false">SUMIF('Data Sheet Aug-2021'!E:E,PVA!B8,'Data Sheet Aug-2021'!T:T)</f>
        <v>28</v>
      </c>
      <c r="I8" s="326" t="n">
        <f aca="false">SUMIF('Data Sheet Aug-2021'!E:E,PVA!B8,'Data Sheet Aug-2021'!U:U)</f>
        <v>48</v>
      </c>
      <c r="J8" s="326" t="n">
        <f aca="false">SUMIF('Data Sheet Aug-2021'!E:E,PVA!B8,'Data Sheet Aug-2021'!P:P)</f>
        <v>1.37</v>
      </c>
      <c r="K8" s="327" t="n">
        <f aca="false">SUMIF('Data Sheet Aug-2021'!E:E,PVA!B8,'Data Sheet Aug-2021'!Q:Q)</f>
        <v>2</v>
      </c>
      <c r="L8" s="328" t="n">
        <f aca="false">IFERROR(SUM(H8)/SUM(G8:H8),0)</f>
        <v>0.000819960173363008</v>
      </c>
      <c r="M8" s="328" t="n">
        <f aca="false">IFERROR(K8/F8,0)</f>
        <v>5.8482952219428E-005</v>
      </c>
      <c r="N8" s="329" t="n">
        <f aca="false">IFERROR(G8/E8,0)</f>
        <v>2.87350513727472</v>
      </c>
      <c r="O8" s="330" t="n">
        <f aca="false">G8-E8</f>
        <v>22246</v>
      </c>
      <c r="P8" s="331" t="n">
        <f aca="false">IFERROR(G8*Q8/R8,0)</f>
        <v>0.992273780811855</v>
      </c>
      <c r="Q8" s="326" t="n">
        <v>0.0073</v>
      </c>
      <c r="R8" s="332" t="n">
        <f aca="false">(H8+G8+I8+K8)*Q8+J8</f>
        <v>251.0154</v>
      </c>
      <c r="S8" s="307"/>
      <c r="U8" s="308" t="n">
        <f aca="false">Q8*G8</f>
        <v>249.076</v>
      </c>
      <c r="W8" s="309"/>
      <c r="Z8" s="279" t="n">
        <f aca="false">H8*Q8</f>
        <v>0.2044</v>
      </c>
      <c r="AA8" s="279" t="n">
        <f aca="false">I8*Q8</f>
        <v>0.3504</v>
      </c>
      <c r="AB8" s="279" t="n">
        <f aca="false">J8</f>
        <v>1.37</v>
      </c>
      <c r="AC8" s="279" t="n">
        <f aca="false">K8*Q8</f>
        <v>0.0146</v>
      </c>
    </row>
    <row r="9" customFormat="false" ht="13.8" hidden="false" customHeight="false" outlineLevel="0" collapsed="false">
      <c r="B9" s="324" t="s">
        <v>453</v>
      </c>
      <c r="C9" s="315" t="str">
        <f aca="false">VLOOKUP(B9,'Item Data Support Sheet'!A:B,2,0)</f>
        <v>CAP S TYPE MOLDED WHITE</v>
      </c>
      <c r="D9" s="324" t="s">
        <v>2430</v>
      </c>
      <c r="E9" s="325" t="n">
        <v>11874</v>
      </c>
      <c r="F9" s="326" t="n">
        <f aca="false">SUMIF('Data Sheet Aug-2021'!E:E,PVA!B9,'Data Sheet Aug-2021'!N:N)</f>
        <v>51086</v>
      </c>
      <c r="G9" s="326" t="n">
        <f aca="false">SUMIF('Data Sheet Aug-2021'!E:E,PVA!B9,'Data Sheet Aug-2021'!O:O)</f>
        <v>50964</v>
      </c>
      <c r="H9" s="326" t="n">
        <f aca="false">SUMIF('Data Sheet Aug-2021'!E:E,PVA!B9,'Data Sheet Aug-2021'!T:T)</f>
        <v>50</v>
      </c>
      <c r="I9" s="326" t="n">
        <f aca="false">SUMIF('Data Sheet Aug-2021'!E:E,PVA!B9,'Data Sheet Aug-2021'!U:U)</f>
        <v>72</v>
      </c>
      <c r="J9" s="326" t="n">
        <f aca="false">SUMIF('Data Sheet Aug-2021'!E:E,PVA!B9,'Data Sheet Aug-2021'!P:P)</f>
        <v>0</v>
      </c>
      <c r="K9" s="327" t="n">
        <f aca="false">SUMIF('Data Sheet Aug-2021'!E:E,PVA!B9,'Data Sheet Aug-2021'!Q:Q)</f>
        <v>0</v>
      </c>
      <c r="L9" s="328" t="n">
        <f aca="false">IFERROR(SUM(H9)/SUM(G9:H9),0)</f>
        <v>0.000980123103461795</v>
      </c>
      <c r="M9" s="328" t="n">
        <f aca="false">IFERROR(K9/F9,0)</f>
        <v>0</v>
      </c>
      <c r="N9" s="329" t="n">
        <f aca="false">IFERROR(G9/E9,0)</f>
        <v>4.29206670035371</v>
      </c>
      <c r="O9" s="330" t="n">
        <f aca="false">G9-E9</f>
        <v>39090</v>
      </c>
      <c r="P9" s="331" t="n">
        <f aca="false">IFERROR(G9*Q9/R9,0)</f>
        <v>0.997611870179697</v>
      </c>
      <c r="Q9" s="326" t="n">
        <v>0.0073</v>
      </c>
      <c r="R9" s="332" t="n">
        <f aca="false">(H9+G9+I9+K9)*Q9+J9</f>
        <v>372.9278</v>
      </c>
      <c r="S9" s="307"/>
      <c r="U9" s="308" t="n">
        <f aca="false">Q9*G9</f>
        <v>372.0372</v>
      </c>
      <c r="W9" s="309"/>
      <c r="Z9" s="279" t="n">
        <f aca="false">H9*Q9</f>
        <v>0.365</v>
      </c>
      <c r="AA9" s="279" t="n">
        <f aca="false">I9*Q9</f>
        <v>0.5256</v>
      </c>
      <c r="AB9" s="279" t="n">
        <f aca="false">J9</f>
        <v>0</v>
      </c>
      <c r="AC9" s="279" t="n">
        <f aca="false">K9*Q9</f>
        <v>0</v>
      </c>
    </row>
    <row r="10" customFormat="false" ht="13.8" hidden="false" customHeight="false" outlineLevel="0" collapsed="false">
      <c r="B10" s="333" t="s">
        <v>1740</v>
      </c>
      <c r="C10" s="315" t="str">
        <f aca="false">VLOOKUP(B10,'Item Data Support Sheet'!A:B,2,0)</f>
        <v>CAP S TYPE MOLDED YELLOW</v>
      </c>
      <c r="D10" s="333" t="s">
        <v>2431</v>
      </c>
      <c r="E10" s="334" t="n">
        <v>0</v>
      </c>
      <c r="F10" s="335" t="n">
        <f aca="false">SUMIF('Data Sheet Aug-2021'!E:E,PVA!B10,'Data Sheet Aug-2021'!N:N)</f>
        <v>20742</v>
      </c>
      <c r="G10" s="335" t="n">
        <f aca="false">SUMIF('Data Sheet Aug-2021'!E:E,PVA!B10,'Data Sheet Aug-2021'!O:O)</f>
        <v>20700</v>
      </c>
      <c r="H10" s="335" t="n">
        <f aca="false">SUMIF('Data Sheet Aug-2021'!E:E,PVA!B10,'Data Sheet Aug-2021'!T:T)</f>
        <v>10</v>
      </c>
      <c r="I10" s="335" t="n">
        <f aca="false">SUMIF('Data Sheet Aug-2021'!E:E,PVA!B10,'Data Sheet Aug-2021'!U:U)</f>
        <v>32</v>
      </c>
      <c r="J10" s="335" t="n">
        <f aca="false">SUMIF('Data Sheet Aug-2021'!E:E,PVA!B10,'Data Sheet Aug-2021'!P:P)</f>
        <v>0.15</v>
      </c>
      <c r="K10" s="336" t="n">
        <f aca="false">SUMIF('Data Sheet Aug-2021'!E:E,PVA!B10,'Data Sheet Aug-2021'!Q:Q)</f>
        <v>0</v>
      </c>
      <c r="L10" s="328" t="n">
        <f aca="false">IFERROR(SUM(H10)/SUM(G10:H10),0)</f>
        <v>0.000482858522452921</v>
      </c>
      <c r="M10" s="328" t="n">
        <f aca="false">IFERROR(K10/F10,0)</f>
        <v>0</v>
      </c>
      <c r="N10" s="329" t="n">
        <f aca="false">IFERROR(G10/E10,0)</f>
        <v>0</v>
      </c>
      <c r="O10" s="337" t="n">
        <f aca="false">G10-E10</f>
        <v>20700</v>
      </c>
      <c r="P10" s="338" t="n">
        <f aca="false">IFERROR(G10*Q10/R10,0)</f>
        <v>0.996987462937085</v>
      </c>
      <c r="Q10" s="335" t="n">
        <v>0.0073</v>
      </c>
      <c r="R10" s="339" t="n">
        <f aca="false">(H10+G10+I10+K10)*Q10+J10</f>
        <v>151.5666</v>
      </c>
      <c r="S10" s="307"/>
      <c r="U10" s="308" t="n">
        <f aca="false">Q10*G10</f>
        <v>151.11</v>
      </c>
      <c r="V10" s="308"/>
      <c r="W10" s="309"/>
      <c r="Z10" s="279" t="n">
        <f aca="false">H10*Q10</f>
        <v>0.073</v>
      </c>
      <c r="AA10" s="279" t="n">
        <f aca="false">I10*Q10</f>
        <v>0.2336</v>
      </c>
      <c r="AB10" s="279" t="n">
        <f aca="false">J10</f>
        <v>0.15</v>
      </c>
      <c r="AC10" s="279" t="n">
        <f aca="false">K10*Q10</f>
        <v>0</v>
      </c>
    </row>
    <row r="11" s="340" customFormat="true" ht="13.8" hidden="false" customHeight="false" outlineLevel="0" collapsed="false">
      <c r="B11" s="341" t="s">
        <v>2432</v>
      </c>
      <c r="C11" s="342"/>
      <c r="D11" s="343"/>
      <c r="E11" s="344" t="n">
        <f aca="false">SUM(E5:E10)</f>
        <v>117825</v>
      </c>
      <c r="F11" s="345" t="n">
        <f aca="false">SUM(F5:F10)</f>
        <v>489657</v>
      </c>
      <c r="G11" s="345" t="n">
        <f aca="false">SUM(G5:G10)</f>
        <v>488403</v>
      </c>
      <c r="H11" s="345" t="n">
        <f aca="false">SUM(H5:H10)</f>
        <v>526</v>
      </c>
      <c r="I11" s="345" t="n">
        <f aca="false">SUM(I5:I10)</f>
        <v>568</v>
      </c>
      <c r="J11" s="345" t="n">
        <f aca="false">SUM(J5:J10)</f>
        <v>10.948</v>
      </c>
      <c r="K11" s="345" t="n">
        <f aca="false">SUM(K5:K10)</f>
        <v>160</v>
      </c>
      <c r="L11" s="346" t="n">
        <f aca="false">IFERROR(SUM(H11)/SUM(G11:H11),0)</f>
        <v>0.00107582082470052</v>
      </c>
      <c r="M11" s="347" t="n">
        <f aca="false">IFERROR(K11/F11,0)</f>
        <v>0.000326759343785548</v>
      </c>
      <c r="N11" s="348" t="n">
        <f aca="false">IFERROR(G11/E11,0)</f>
        <v>4.14515595162317</v>
      </c>
      <c r="O11" s="349" t="n">
        <f aca="false">G11-E11</f>
        <v>370578</v>
      </c>
      <c r="P11" s="350" t="n">
        <f aca="false">IFERROR(G11*Q11/R11,0)</f>
        <v>0.994393386303248</v>
      </c>
      <c r="Q11" s="351" t="n">
        <v>0.0073</v>
      </c>
      <c r="R11" s="352" t="n">
        <f aca="false">(H11+G11+I11+K11)*Q11+J11</f>
        <v>3585.4441</v>
      </c>
      <c r="S11" s="353"/>
      <c r="T11" s="354"/>
      <c r="U11" s="355" t="n">
        <f aca="false">SUM(U5:U10)</f>
        <v>3565.3419</v>
      </c>
      <c r="V11" s="354" t="n">
        <f aca="false">R11</f>
        <v>3585.4441</v>
      </c>
      <c r="W11" s="354"/>
      <c r="X11" s="354"/>
      <c r="Y11" s="354"/>
      <c r="Z11" s="354"/>
      <c r="AA11" s="354"/>
      <c r="AB11" s="354"/>
      <c r="AC11" s="354"/>
      <c r="AD11" s="354"/>
      <c r="AE11" s="354"/>
      <c r="AF11" s="354"/>
      <c r="AG11" s="354"/>
      <c r="AH11" s="354"/>
      <c r="AI11" s="354"/>
      <c r="AJ11" s="354"/>
      <c r="AK11" s="354"/>
      <c r="AL11" s="354"/>
      <c r="AM11" s="356"/>
      <c r="AN11" s="356"/>
      <c r="AO11" s="356"/>
      <c r="AP11" s="356"/>
      <c r="AQ11" s="356"/>
      <c r="AR11" s="356"/>
      <c r="AS11" s="356"/>
      <c r="AT11" s="356"/>
      <c r="AU11" s="356"/>
      <c r="AV11" s="356"/>
      <c r="AW11" s="356"/>
      <c r="AX11" s="356"/>
      <c r="AY11" s="356"/>
    </row>
    <row r="12" customFormat="false" ht="13.8" hidden="false" customHeight="false" outlineLevel="0" collapsed="false">
      <c r="B12" s="357" t="s">
        <v>2433</v>
      </c>
      <c r="C12" s="358" t="s">
        <v>2410</v>
      </c>
      <c r="D12" s="357" t="s">
        <v>19</v>
      </c>
      <c r="E12" s="359" t="s">
        <v>2411</v>
      </c>
      <c r="F12" s="359" t="s">
        <v>2412</v>
      </c>
      <c r="G12" s="359" t="s">
        <v>2413</v>
      </c>
      <c r="H12" s="359" t="s">
        <v>2414</v>
      </c>
      <c r="I12" s="359" t="s">
        <v>2415</v>
      </c>
      <c r="J12" s="359" t="s">
        <v>2416</v>
      </c>
      <c r="K12" s="313" t="s">
        <v>2417</v>
      </c>
      <c r="L12" s="360" t="s">
        <v>2418</v>
      </c>
      <c r="M12" s="289" t="s">
        <v>2419</v>
      </c>
      <c r="N12" s="361" t="s">
        <v>2420</v>
      </c>
      <c r="O12" s="312" t="s">
        <v>2421</v>
      </c>
      <c r="P12" s="313" t="s">
        <v>100</v>
      </c>
      <c r="Q12" s="362" t="s">
        <v>2408</v>
      </c>
      <c r="R12" s="313" t="s">
        <v>2422</v>
      </c>
      <c r="S12" s="307"/>
      <c r="U12" s="308"/>
      <c r="Z12" s="294" t="s">
        <v>2414</v>
      </c>
      <c r="AA12" s="294" t="s">
        <v>2415</v>
      </c>
      <c r="AB12" s="294" t="s">
        <v>2416</v>
      </c>
      <c r="AC12" s="294" t="s">
        <v>2417</v>
      </c>
    </row>
    <row r="13" customFormat="false" ht="13.8" hidden="false" customHeight="false" outlineLevel="0" collapsed="false">
      <c r="B13" s="295" t="s">
        <v>357</v>
      </c>
      <c r="C13" s="295" t="str">
        <f aca="false">VLOOKUP(B13,'Item Data Support Sheet'!A:B,2,0)</f>
        <v>KPP 120 ML BOTTLE MOLDED</v>
      </c>
      <c r="D13" s="363" t="str">
        <f aca="false">IFERROR(VLOOKUP(B13,'Item Data Support Sheet'!A:O,15,0),0)</f>
        <v>KPP4_H</v>
      </c>
      <c r="E13" s="298" t="n">
        <v>23166</v>
      </c>
      <c r="F13" s="299" t="n">
        <f aca="false">SUMIF('Data Sheet Aug-2021'!E:E,PVA!B13,'Data Sheet Aug-2021'!N:N)</f>
        <v>97215</v>
      </c>
      <c r="G13" s="299" t="n">
        <f aca="false">SUMIF('Data Sheet Aug-2021'!E:E,PVA!B13,'Data Sheet Aug-2021'!O:O)</f>
        <v>93483</v>
      </c>
      <c r="H13" s="299" t="n">
        <f aca="false">SUMIF('Data Sheet Aug-2021'!E:E,PVA!B13,'Data Sheet Aug-2021'!T:T)</f>
        <v>1715</v>
      </c>
      <c r="I13" s="299" t="n">
        <f aca="false">SUMIF('Data Sheet Aug-2021'!E:E,PVA!B13,'Data Sheet Aug-2021'!U:U)</f>
        <v>285</v>
      </c>
      <c r="J13" s="299" t="n">
        <f aca="false">SUMIF('Data Sheet Aug-2021'!E:E,PVA!B13,'Data Sheet Aug-2021'!P:P)</f>
        <v>5.89</v>
      </c>
      <c r="K13" s="364" t="n">
        <f aca="false">SUMIF('Data Sheet Aug-2021'!E:E,PVA!B13,'Data Sheet Aug-2021'!Q:Q)</f>
        <v>1732</v>
      </c>
      <c r="L13" s="365" t="n">
        <f aca="false">IFERROR(SUM(H13)/SUM(G13:H13),0)</f>
        <v>0.0180150843505116</v>
      </c>
      <c r="M13" s="365" t="n">
        <f aca="false">IFERROR(K13/F13,0)</f>
        <v>0.0178161806305611</v>
      </c>
      <c r="N13" s="366" t="n">
        <f aca="false">IFERROR(G13/E13,0)</f>
        <v>4.03535353535354</v>
      </c>
      <c r="O13" s="367" t="n">
        <f aca="false">G13-E13</f>
        <v>70317</v>
      </c>
      <c r="P13" s="368" t="n">
        <f aca="false">IFERROR(G13*Q13/R13,0)</f>
        <v>0.958883341010258</v>
      </c>
      <c r="Q13" s="369" t="n">
        <v>0.0213</v>
      </c>
      <c r="R13" s="370" t="n">
        <f aca="false">(H13+G13+I13+K13)*Q13+J13</f>
        <v>2076.5695</v>
      </c>
      <c r="S13" s="307"/>
      <c r="U13" s="308" t="n">
        <f aca="false">Q13*G13</f>
        <v>1991.1879</v>
      </c>
      <c r="Z13" s="279" t="n">
        <f aca="false">H13*Q13</f>
        <v>36.5295</v>
      </c>
      <c r="AA13" s="279" t="n">
        <f aca="false">I13*Q13</f>
        <v>6.0705</v>
      </c>
      <c r="AB13" s="279" t="n">
        <f aca="false">J13</f>
        <v>5.89</v>
      </c>
      <c r="AC13" s="279" t="n">
        <f aca="false">K13*Q13</f>
        <v>36.8916</v>
      </c>
    </row>
    <row r="14" customFormat="false" ht="13.8" hidden="false" customHeight="false" outlineLevel="0" collapsed="false">
      <c r="B14" s="371" t="s">
        <v>235</v>
      </c>
      <c r="C14" s="371" t="str">
        <f aca="false">VLOOKUP(B14,'Item Data Support Sheet'!A:B,2,0)</f>
        <v>KPP 200 ML BOTTLE MOLDED</v>
      </c>
      <c r="D14" s="372" t="str">
        <f aca="false">IFERROR(VLOOKUP(B14,'Item Data Support Sheet'!A:O,15,0),0)</f>
        <v>KPP6_H</v>
      </c>
      <c r="E14" s="373" t="n">
        <v>20592</v>
      </c>
      <c r="F14" s="369" t="n">
        <f aca="false">SUMIF('Data Sheet Aug-2021'!E:E,PVA!B14,'Data Sheet Aug-2021'!N:N)</f>
        <v>88956</v>
      </c>
      <c r="G14" s="369" t="n">
        <f aca="false">SUMIF('Data Sheet Aug-2021'!E:E,PVA!B14,'Data Sheet Aug-2021'!O:O)</f>
        <v>86420</v>
      </c>
      <c r="H14" s="369" t="n">
        <f aca="false">SUMIF('Data Sheet Aug-2021'!E:E,PVA!B14,'Data Sheet Aug-2021'!T:T)</f>
        <v>1398</v>
      </c>
      <c r="I14" s="369" t="n">
        <f aca="false">SUMIF('Data Sheet Aug-2021'!E:E,PVA!B14,'Data Sheet Aug-2021'!U:U)</f>
        <v>198</v>
      </c>
      <c r="J14" s="369" t="n">
        <f aca="false">SUMIF('Data Sheet Aug-2021'!E:E,PVA!B14,'Data Sheet Aug-2021'!P:P)</f>
        <v>5.165</v>
      </c>
      <c r="K14" s="374" t="n">
        <f aca="false">SUMIF('Data Sheet Aug-2021'!E:E,PVA!B14,'Data Sheet Aug-2021'!Q:Q)</f>
        <v>940</v>
      </c>
      <c r="L14" s="375" t="n">
        <f aca="false">IFERROR(SUM(H14)/SUM(G14:H14),0)</f>
        <v>0.0159192876175727</v>
      </c>
      <c r="M14" s="375" t="n">
        <f aca="false">IFERROR(K14/F14,0)</f>
        <v>0.0105670218984667</v>
      </c>
      <c r="N14" s="376" t="n">
        <f aca="false">IFERROR(G14/E14,0)</f>
        <v>4.19677544677545</v>
      </c>
      <c r="O14" s="377" t="n">
        <f aca="false">G14-E14</f>
        <v>65828</v>
      </c>
      <c r="P14" s="378" t="n">
        <f aca="false">IFERROR(G14*Q14/R14,0)</f>
        <v>0.969488291534199</v>
      </c>
      <c r="Q14" s="369" t="n">
        <v>0.0281</v>
      </c>
      <c r="R14" s="379" t="n">
        <f aca="false">(H14+G14+I14+K14)*Q14+J14</f>
        <v>2504.8286</v>
      </c>
      <c r="S14" s="307"/>
      <c r="U14" s="308" t="n">
        <f aca="false">Q14*G14</f>
        <v>2428.402</v>
      </c>
      <c r="Z14" s="279" t="n">
        <f aca="false">H14*Q14</f>
        <v>39.2838</v>
      </c>
      <c r="AA14" s="279" t="n">
        <f aca="false">I14*Q14</f>
        <v>5.5638</v>
      </c>
      <c r="AB14" s="279" t="n">
        <f aca="false">J14</f>
        <v>5.165</v>
      </c>
      <c r="AC14" s="279" t="n">
        <f aca="false">K14*Q14</f>
        <v>26.414</v>
      </c>
    </row>
    <row r="15" customFormat="false" ht="13.8" hidden="false" customHeight="false" outlineLevel="0" collapsed="false">
      <c r="B15" s="371" t="s">
        <v>69</v>
      </c>
      <c r="C15" s="371" t="str">
        <f aca="false">VLOOKUP(B15,'Item Data Support Sheet'!A:B,2,0)</f>
        <v>KPP 240 ML BOTTLE MOLDED</v>
      </c>
      <c r="D15" s="372" t="str">
        <f aca="false">IFERROR(VLOOKUP(B15,'Item Data Support Sheet'!A:O,15,0),0)</f>
        <v>KPP8_H</v>
      </c>
      <c r="E15" s="373" t="n">
        <v>48906</v>
      </c>
      <c r="F15" s="369" t="n">
        <f aca="false">SUMIF('Data Sheet Aug-2021'!E:E,PVA!B15,'Data Sheet Aug-2021'!N:N)</f>
        <v>189607</v>
      </c>
      <c r="G15" s="369" t="n">
        <f aca="false">SUMIF('Data Sheet Aug-2021'!E:E,PVA!B15,'Data Sheet Aug-2021'!O:O)</f>
        <v>182597</v>
      </c>
      <c r="H15" s="369" t="n">
        <f aca="false">SUMIF('Data Sheet Aug-2021'!E:E,PVA!B15,'Data Sheet Aug-2021'!T:T)</f>
        <v>3762</v>
      </c>
      <c r="I15" s="369" t="n">
        <f aca="false">SUMIF('Data Sheet Aug-2021'!E:E,PVA!B15,'Data Sheet Aug-2021'!U:U)</f>
        <v>336</v>
      </c>
      <c r="J15" s="369" t="n">
        <f aca="false">SUMIF('Data Sheet Aug-2021'!E:E,PVA!B15,'Data Sheet Aug-2021'!P:P)</f>
        <v>11.136</v>
      </c>
      <c r="K15" s="374" t="n">
        <f aca="false">SUMIF('Data Sheet Aug-2021'!E:E,PVA!B15,'Data Sheet Aug-2021'!Q:Q)</f>
        <v>2912</v>
      </c>
      <c r="L15" s="375" t="n">
        <f aca="false">IFERROR(SUM(H15)/SUM(G15:H15),0)</f>
        <v>0.0201868436726962</v>
      </c>
      <c r="M15" s="375" t="n">
        <f aca="false">IFERROR(K15/F15,0)</f>
        <v>0.0153580827712057</v>
      </c>
      <c r="N15" s="376" t="n">
        <f aca="false">IFERROR(G15/E15,0)</f>
        <v>3.73363186521081</v>
      </c>
      <c r="O15" s="377" t="n">
        <f aca="false">G15-E15</f>
        <v>133691</v>
      </c>
      <c r="P15" s="378" t="n">
        <f aca="false">IFERROR(G15*Q15/R15,0)</f>
        <v>0.961269996180579</v>
      </c>
      <c r="Q15" s="369" t="n">
        <v>0.0321</v>
      </c>
      <c r="R15" s="379" t="n">
        <f aca="false">(H15+G15+I15+K15)*Q15+J15</f>
        <v>6097.5207</v>
      </c>
      <c r="S15" s="307"/>
      <c r="U15" s="308" t="n">
        <f aca="false">Q15*G15</f>
        <v>5861.3637</v>
      </c>
      <c r="Z15" s="279" t="n">
        <f aca="false">H15*Q15</f>
        <v>120.7602</v>
      </c>
      <c r="AA15" s="279" t="n">
        <f aca="false">I15*Q15</f>
        <v>10.7856</v>
      </c>
      <c r="AB15" s="279" t="n">
        <f aca="false">J15</f>
        <v>11.136</v>
      </c>
      <c r="AC15" s="279" t="n">
        <f aca="false">K15*Q15</f>
        <v>93.4752</v>
      </c>
    </row>
    <row r="16" customFormat="false" ht="13.8" hidden="false" customHeight="false" outlineLevel="0" collapsed="false">
      <c r="B16" s="371" t="s">
        <v>78</v>
      </c>
      <c r="C16" s="371" t="str">
        <f aca="false">VLOOKUP(B16,'Item Data Support Sheet'!A:B,2,0)</f>
        <v>RPP 120 ML BOTTLE MOLDED</v>
      </c>
      <c r="D16" s="372" t="str">
        <f aca="false">IFERROR(VLOOKUP(B16,'Item Data Support Sheet'!A:O,15,0),0)</f>
        <v>RPP4_H</v>
      </c>
      <c r="E16" s="373" t="n">
        <v>16944</v>
      </c>
      <c r="F16" s="369" t="n">
        <f aca="false">SUMIF('Data Sheet Aug-2021'!E:E,PVA!B16,'Data Sheet Aug-2021'!N:N)</f>
        <v>62991</v>
      </c>
      <c r="G16" s="369" t="n">
        <f aca="false">SUMIF('Data Sheet Aug-2021'!E:E,PVA!B16,'Data Sheet Aug-2021'!O:O)</f>
        <v>60794</v>
      </c>
      <c r="H16" s="369" t="n">
        <f aca="false">SUMIF('Data Sheet Aug-2021'!E:E,PVA!B16,'Data Sheet Aug-2021'!T:T)</f>
        <v>1036</v>
      </c>
      <c r="I16" s="369" t="n">
        <f aca="false">SUMIF('Data Sheet Aug-2021'!E:E,PVA!B16,'Data Sheet Aug-2021'!U:U)</f>
        <v>120</v>
      </c>
      <c r="J16" s="369" t="n">
        <f aca="false">SUMIF('Data Sheet Aug-2021'!E:E,PVA!B16,'Data Sheet Aug-2021'!P:P)</f>
        <v>4.236</v>
      </c>
      <c r="K16" s="374" t="n">
        <f aca="false">SUMIF('Data Sheet Aug-2021'!E:E,PVA!B16,'Data Sheet Aug-2021'!Q:Q)</f>
        <v>1041</v>
      </c>
      <c r="L16" s="375" t="n">
        <f aca="false">IFERROR(SUM(H16)/SUM(G16:H16),0)</f>
        <v>0.01675562024907</v>
      </c>
      <c r="M16" s="375" t="n">
        <f aca="false">IFERROR(K16/F16,0)</f>
        <v>0.016526170405296</v>
      </c>
      <c r="N16" s="376" t="n">
        <f aca="false">IFERROR(G16/E16,0)</f>
        <v>3.58793673276676</v>
      </c>
      <c r="O16" s="377" t="n">
        <f aca="false">G16-E16</f>
        <v>43850</v>
      </c>
      <c r="P16" s="378" t="n">
        <f aca="false">IFERROR(G16*Q16/R16,0)</f>
        <v>0.962084537970851</v>
      </c>
      <c r="Q16" s="369" t="n">
        <v>0.0213</v>
      </c>
      <c r="R16" s="379" t="n">
        <f aca="false">(H16+G16+I16+K16)*Q16+J16</f>
        <v>1345.9443</v>
      </c>
      <c r="S16" s="307"/>
      <c r="U16" s="308" t="n">
        <f aca="false">Q16*G16</f>
        <v>1294.9122</v>
      </c>
      <c r="W16" s="380"/>
      <c r="Z16" s="279" t="n">
        <f aca="false">H16*Q16</f>
        <v>22.0668</v>
      </c>
      <c r="AA16" s="279" t="n">
        <f aca="false">I16*Q16</f>
        <v>2.556</v>
      </c>
      <c r="AB16" s="279" t="n">
        <f aca="false">J16</f>
        <v>4.236</v>
      </c>
      <c r="AC16" s="279" t="n">
        <f aca="false">K16*Q16</f>
        <v>22.1733</v>
      </c>
    </row>
    <row r="17" customFormat="false" ht="13.8" hidden="false" customHeight="false" outlineLevel="0" collapsed="false">
      <c r="B17" s="371" t="s">
        <v>572</v>
      </c>
      <c r="C17" s="371" t="str">
        <f aca="false">VLOOKUP(B17,'Item Data Support Sheet'!A:B,2,0)</f>
        <v>RPP 240 ML BOTTLE MOLDED</v>
      </c>
      <c r="D17" s="372" t="str">
        <f aca="false">IFERROR(VLOOKUP(B17,'Item Data Support Sheet'!A:O,15,0),0)</f>
        <v>RPP8_H</v>
      </c>
      <c r="E17" s="373" t="n">
        <v>2574</v>
      </c>
      <c r="F17" s="369" t="n">
        <f aca="false">SUMIF('Data Sheet Aug-2021'!E:E,PVA!B17,'Data Sheet Aug-2021'!N:N)</f>
        <v>47812</v>
      </c>
      <c r="G17" s="369" t="n">
        <f aca="false">SUMIF('Data Sheet Aug-2021'!E:E,PVA!B17,'Data Sheet Aug-2021'!O:O)</f>
        <v>45912</v>
      </c>
      <c r="H17" s="369" t="n">
        <f aca="false">SUMIF('Data Sheet Aug-2021'!E:E,PVA!B17,'Data Sheet Aug-2021'!T:T)</f>
        <v>948</v>
      </c>
      <c r="I17" s="369" t="n">
        <f aca="false">SUMIF('Data Sheet Aug-2021'!E:E,PVA!B17,'Data Sheet Aug-2021'!U:U)</f>
        <v>120</v>
      </c>
      <c r="J17" s="369" t="n">
        <f aca="false">SUMIF('Data Sheet Aug-2021'!E:E,PVA!B17,'Data Sheet Aug-2021'!P:P)</f>
        <v>4.535</v>
      </c>
      <c r="K17" s="374" t="n">
        <f aca="false">SUMIF('Data Sheet Aug-2021'!E:E,PVA!B17,'Data Sheet Aug-2021'!Q:Q)</f>
        <v>832</v>
      </c>
      <c r="L17" s="375" t="n">
        <f aca="false">IFERROR(SUM(H17)/SUM(G17:H17),0)</f>
        <v>0.0202304737516005</v>
      </c>
      <c r="M17" s="375" t="n">
        <f aca="false">IFERROR(K17/F17,0)</f>
        <v>0.0174014891658998</v>
      </c>
      <c r="N17" s="376" t="n">
        <f aca="false">IFERROR(G17/E17,0)</f>
        <v>17.8368298368298</v>
      </c>
      <c r="O17" s="377" t="n">
        <f aca="false">G17-E17</f>
        <v>43338</v>
      </c>
      <c r="P17" s="378" t="n">
        <f aca="false">IFERROR(G17*Q17/R17,0)</f>
        <v>0.957431955118306</v>
      </c>
      <c r="Q17" s="369" t="n">
        <v>0.0321</v>
      </c>
      <c r="R17" s="379" t="n">
        <f aca="false">(H17+G17+I17+K17)*Q17+J17</f>
        <v>1539.3002</v>
      </c>
      <c r="S17" s="307"/>
      <c r="U17" s="308" t="n">
        <f aca="false">Q17*G17</f>
        <v>1473.7752</v>
      </c>
      <c r="W17" s="308"/>
      <c r="Z17" s="279" t="n">
        <f aca="false">H17*Q17</f>
        <v>30.4308</v>
      </c>
      <c r="AA17" s="279" t="n">
        <f aca="false">I17*Q17</f>
        <v>3.852</v>
      </c>
      <c r="AB17" s="279" t="n">
        <f aca="false">J17</f>
        <v>4.535</v>
      </c>
      <c r="AC17" s="279" t="n">
        <f aca="false">K17*Q17</f>
        <v>26.7072</v>
      </c>
    </row>
    <row r="18" customFormat="false" ht="13.8" hidden="false" customHeight="false" outlineLevel="0" collapsed="false">
      <c r="B18" s="371" t="s">
        <v>2434</v>
      </c>
      <c r="C18" s="371" t="s">
        <v>2435</v>
      </c>
      <c r="D18" s="372" t="str">
        <f aca="false">IFERROR(VLOOKUP(B18,'Item Data Support Sheet'!A:O,15,0),0)</f>
        <v>RPP8_H</v>
      </c>
      <c r="E18" s="373" t="n">
        <v>0</v>
      </c>
      <c r="F18" s="369" t="n">
        <f aca="false">SUMIF('Data Sheet Aug-2021'!E:E,PVA!B18,'Data Sheet Aug-2021'!N:N)</f>
        <v>0</v>
      </c>
      <c r="G18" s="369" t="n">
        <f aca="false">SUMIF('Data Sheet Aug-2021'!E:E,PVA!B18,'Data Sheet Aug-2021'!O:O)</f>
        <v>0</v>
      </c>
      <c r="H18" s="369" t="n">
        <f aca="false">SUMIF('Data Sheet Aug-2021'!E:E,PVA!B18,'Data Sheet Aug-2021'!T:T)</f>
        <v>0</v>
      </c>
      <c r="I18" s="369" t="n">
        <f aca="false">SUMIF('Data Sheet Aug-2021'!E:E,PVA!B18,'Data Sheet Aug-2021'!U:U)</f>
        <v>0</v>
      </c>
      <c r="J18" s="369" t="n">
        <f aca="false">SUMIF('Data Sheet Aug-2021'!E:E,PVA!B18,'Data Sheet Aug-2021'!P:P)</f>
        <v>0</v>
      </c>
      <c r="K18" s="374" t="n">
        <f aca="false">SUMIF('Data Sheet Aug-2021'!E:E,PVA!B18,'Data Sheet Aug-2021'!Q:Q)</f>
        <v>0</v>
      </c>
      <c r="L18" s="375" t="n">
        <f aca="false">IFERROR(SUM(H18)/SUM(G18:H18),0)</f>
        <v>0</v>
      </c>
      <c r="M18" s="375" t="n">
        <f aca="false">IFERROR(K18/F18,0)</f>
        <v>0</v>
      </c>
      <c r="N18" s="376" t="n">
        <f aca="false">IFERROR(G18/E18,0)</f>
        <v>0</v>
      </c>
      <c r="O18" s="377" t="n">
        <f aca="false">G18-E18</f>
        <v>0</v>
      </c>
      <c r="P18" s="378" t="n">
        <f aca="false">IFERROR(G18*Q18/R18,0)</f>
        <v>0</v>
      </c>
      <c r="Q18" s="369" t="n">
        <v>0.0281</v>
      </c>
      <c r="R18" s="379" t="n">
        <f aca="false">(H18+G18+I18+K18)*Q18+J18</f>
        <v>0</v>
      </c>
      <c r="S18" s="307"/>
      <c r="U18" s="308" t="n">
        <f aca="false">Q18*G18</f>
        <v>0</v>
      </c>
      <c r="W18" s="308"/>
      <c r="Z18" s="279" t="n">
        <f aca="false">H18*Q18</f>
        <v>0</v>
      </c>
      <c r="AA18" s="279" t="n">
        <f aca="false">I18*Q18</f>
        <v>0</v>
      </c>
      <c r="AC18" s="279" t="n">
        <f aca="false">K18*Q18</f>
        <v>0</v>
      </c>
    </row>
    <row r="19" customFormat="false" ht="13.8" hidden="false" customHeight="false" outlineLevel="0" collapsed="false">
      <c r="B19" s="381" t="s">
        <v>2001</v>
      </c>
      <c r="C19" s="381" t="str">
        <f aca="false">VLOOKUP(B19,'Item Data Support Sheet'!A:B,2,0)</f>
        <v>50 ML JUICE BOTTLE MOLDED</v>
      </c>
      <c r="D19" s="382" t="str">
        <f aca="false">IFERROR(VLOOKUP(B19,'Item Data Support Sheet'!A:O,15,0),0)</f>
        <v>RPP2_H</v>
      </c>
      <c r="E19" s="383" t="n">
        <v>0</v>
      </c>
      <c r="F19" s="384" t="n">
        <f aca="false">SUMIF('Data Sheet Aug-2021'!E:E,PVA!B19,'Data Sheet Aug-2021'!N:N)</f>
        <v>6555</v>
      </c>
      <c r="G19" s="384" t="n">
        <f aca="false">SUMIF('Data Sheet Aug-2021'!E:E,PVA!B19,'Data Sheet Aug-2021'!O:O)</f>
        <v>6295</v>
      </c>
      <c r="H19" s="384" t="n">
        <f aca="false">SUMIF('Data Sheet Aug-2021'!E:E,PVA!B19,'Data Sheet Aug-2021'!T:T)</f>
        <v>152</v>
      </c>
      <c r="I19" s="384" t="n">
        <f aca="false">SUMIF('Data Sheet Aug-2021'!E:E,PVA!B19,'Data Sheet Aug-2021'!U:U)</f>
        <v>0</v>
      </c>
      <c r="J19" s="384" t="n">
        <f aca="false">SUMIF('Data Sheet Aug-2021'!E:E,PVA!B19,'Data Sheet Aug-2021'!P:P)</f>
        <v>0.45</v>
      </c>
      <c r="K19" s="385" t="n">
        <f aca="false">SUMIF('Data Sheet Aug-2021'!E:E,PVA!B19,'Data Sheet Aug-2021'!Q:Q)</f>
        <v>108</v>
      </c>
      <c r="L19" s="301" t="n">
        <f aca="false">IFERROR(SUM(H19)/SUM(G19:H19),0)</f>
        <v>0.0235768574530789</v>
      </c>
      <c r="M19" s="301" t="n">
        <f aca="false">IFERROR(K19/F19,0)</f>
        <v>0.0164759725400458</v>
      </c>
      <c r="N19" s="302" t="n">
        <f aca="false">IFERROR(G19/E19,0)</f>
        <v>0</v>
      </c>
      <c r="O19" s="386" t="n">
        <f aca="false">G19-E19</f>
        <v>6295</v>
      </c>
      <c r="P19" s="387" t="n">
        <f aca="false">IFERROR(G19*Q19/R19,0)</f>
        <v>0.956473164409885</v>
      </c>
      <c r="Q19" s="384" t="n">
        <v>0.017</v>
      </c>
      <c r="R19" s="388" t="n">
        <f aca="false">(H19+G19+I19+K19)*Q19+J19</f>
        <v>111.885</v>
      </c>
      <c r="S19" s="307"/>
      <c r="U19" s="308" t="n">
        <f aca="false">Q19*G19</f>
        <v>107.015</v>
      </c>
      <c r="V19" s="309" t="n">
        <f aca="false">SUM(U13:U19)</f>
        <v>13156.656</v>
      </c>
      <c r="W19" s="309" t="n">
        <f aca="false">SUM(R13:R19)</f>
        <v>13676.0483</v>
      </c>
      <c r="Z19" s="279" t="n">
        <f aca="false">H19*Q19</f>
        <v>2.584</v>
      </c>
      <c r="AA19" s="279" t="n">
        <f aca="false">I19*Q19</f>
        <v>0</v>
      </c>
      <c r="AB19" s="279" t="n">
        <f aca="false">J19</f>
        <v>0.45</v>
      </c>
      <c r="AC19" s="279" t="n">
        <f aca="false">K19*Q19</f>
        <v>1.836</v>
      </c>
    </row>
    <row r="20" customFormat="false" ht="13.8" hidden="false" customHeight="false" outlineLevel="0" collapsed="false">
      <c r="B20" s="389" t="s">
        <v>1352</v>
      </c>
      <c r="C20" s="390" t="str">
        <f aca="false">VLOOKUP(B20,'Item Data Support Sheet'!A:B,2,0)</f>
        <v>KPP BOTTLE 120 ML MOULDED-WMG3B</v>
      </c>
      <c r="D20" s="391" t="str">
        <f aca="false">IFERROR(VLOOKUP(B20,'Item Data Support Sheet'!A:O,15,0),0)</f>
        <v>KPP4_W</v>
      </c>
      <c r="E20" s="392" t="n">
        <v>0</v>
      </c>
      <c r="F20" s="393" t="n">
        <f aca="false">SUMIF('Data Sheet Aug-2021'!E:E,PVA!B20,'Data Sheet Aug-2021'!N:N)</f>
        <v>2462</v>
      </c>
      <c r="G20" s="393" t="n">
        <f aca="false">SUMIF('Data Sheet Aug-2021'!E:E,PVA!B20,'Data Sheet Aug-2021'!O:O)</f>
        <v>2248</v>
      </c>
      <c r="H20" s="393" t="n">
        <f aca="false">SUMIF('Data Sheet Aug-2021'!E:E,PVA!B20,'Data Sheet Aug-2021'!T:T)</f>
        <v>82</v>
      </c>
      <c r="I20" s="393" t="n">
        <f aca="false">SUMIF('Data Sheet Aug-2021'!E:E,PVA!B20,'Data Sheet Aug-2021'!U:U)</f>
        <v>8</v>
      </c>
      <c r="J20" s="393" t="n">
        <f aca="false">SUMIF('Data Sheet Aug-2021'!E:E,PVA!B20,'Data Sheet Aug-2021'!P:P)</f>
        <v>1.4</v>
      </c>
      <c r="K20" s="394" t="n">
        <f aca="false">SUMIF('Data Sheet Aug-2021'!E:E,PVA!B20,'Data Sheet Aug-2021'!Q:Q)</f>
        <v>124</v>
      </c>
      <c r="L20" s="395" t="n">
        <f aca="false">IFERROR(SUM(H20)/SUM(G20:H20),0)</f>
        <v>0.0351931330472103</v>
      </c>
      <c r="M20" s="395" t="n">
        <f aca="false">IFERROR(K20/F20,0)</f>
        <v>0.0503655564581641</v>
      </c>
      <c r="N20" s="396" t="n">
        <f aca="false">IFERROR(G20/E20,0)</f>
        <v>0</v>
      </c>
      <c r="O20" s="397" t="n">
        <f aca="false">G20-E20</f>
        <v>2248</v>
      </c>
      <c r="P20" s="398" t="n">
        <f aca="false">IFERROR(G20*Q20/R20,0)</f>
        <v>0.890764810412063</v>
      </c>
      <c r="Q20" s="393" t="n">
        <v>0.0227</v>
      </c>
      <c r="R20" s="394" t="n">
        <f aca="false">(H20+G20+I20+K20)*Q20+J20</f>
        <v>57.2874</v>
      </c>
      <c r="S20" s="307"/>
      <c r="U20" s="308" t="n">
        <f aca="false">Q20*G20</f>
        <v>51.0296</v>
      </c>
      <c r="Z20" s="279" t="n">
        <f aca="false">H20*Q20</f>
        <v>1.8614</v>
      </c>
      <c r="AA20" s="279" t="n">
        <f aca="false">I20*Q20</f>
        <v>0.1816</v>
      </c>
      <c r="AB20" s="279" t="n">
        <f aca="false">J20</f>
        <v>1.4</v>
      </c>
      <c r="AC20" s="279" t="n">
        <f aca="false">K20*Q20</f>
        <v>2.8148</v>
      </c>
    </row>
    <row r="21" customFormat="false" ht="13.8" hidden="false" customHeight="false" outlineLevel="0" collapsed="false">
      <c r="B21" s="389" t="s">
        <v>215</v>
      </c>
      <c r="C21" s="390" t="str">
        <f aca="false">VLOOKUP(B21,'Item Data Support Sheet'!A:B,2,0)</f>
        <v>KPP BOTTLE 200 ML MOULDED-WMG3B</v>
      </c>
      <c r="D21" s="391" t="str">
        <f aca="false">IFERROR(VLOOKUP(B21,'Item Data Support Sheet'!A:O,15,0),0)</f>
        <v>KPP6_W</v>
      </c>
      <c r="E21" s="392" t="n">
        <v>12012</v>
      </c>
      <c r="F21" s="393" t="n">
        <f aca="false">SUMIF('Data Sheet Aug-2021'!E:E,PVA!B21,'Data Sheet Aug-2021'!N:N)</f>
        <v>19933</v>
      </c>
      <c r="G21" s="393" t="n">
        <f aca="false">SUMIF('Data Sheet Aug-2021'!E:E,PVA!B21,'Data Sheet Aug-2021'!O:O)</f>
        <v>18838</v>
      </c>
      <c r="H21" s="393" t="n">
        <f aca="false">SUMIF('Data Sheet Aug-2021'!E:E,PVA!B21,'Data Sheet Aug-2021'!T:T)</f>
        <v>484</v>
      </c>
      <c r="I21" s="393" t="n">
        <f aca="false">SUMIF('Data Sheet Aug-2021'!E:E,PVA!B21,'Data Sheet Aug-2021'!U:U)</f>
        <v>72</v>
      </c>
      <c r="J21" s="393" t="n">
        <f aca="false">SUMIF('Data Sheet Aug-2021'!E:E,PVA!B21,'Data Sheet Aug-2021'!P:P)</f>
        <v>3.39</v>
      </c>
      <c r="K21" s="394" t="n">
        <f aca="false">SUMIF('Data Sheet Aug-2021'!E:E,PVA!B21,'Data Sheet Aug-2021'!Q:Q)</f>
        <v>539</v>
      </c>
      <c r="L21" s="399" t="n">
        <f aca="false">IFERROR(SUM(H21)/SUM(G21:H21),0)</f>
        <v>0.0250491667529241</v>
      </c>
      <c r="M21" s="399" t="n">
        <f aca="false">IFERROR(K21/F21,0)</f>
        <v>0.027040585962976</v>
      </c>
      <c r="N21" s="400" t="n">
        <f aca="false">IFERROR(G21/E21,0)</f>
        <v>1.56826506826507</v>
      </c>
      <c r="O21" s="397" t="n">
        <f aca="false">G21-E21</f>
        <v>6826</v>
      </c>
      <c r="P21" s="398" t="n">
        <f aca="false">IFERROR(G21*Q21/R21,0)</f>
        <v>0.939479362439923</v>
      </c>
      <c r="Q21" s="393" t="n">
        <v>0.0286</v>
      </c>
      <c r="R21" s="394" t="n">
        <f aca="false">(H21+G21+I21+K21)*Q21+J21</f>
        <v>573.4738</v>
      </c>
      <c r="S21" s="307"/>
      <c r="U21" s="308" t="n">
        <f aca="false">Q21*G21</f>
        <v>538.7668</v>
      </c>
      <c r="Z21" s="279" t="n">
        <f aca="false">H21*Q21</f>
        <v>13.8424</v>
      </c>
      <c r="AA21" s="279" t="n">
        <f aca="false">I21*Q21</f>
        <v>2.0592</v>
      </c>
      <c r="AB21" s="279" t="n">
        <f aca="false">J21</f>
        <v>3.39</v>
      </c>
      <c r="AC21" s="279" t="n">
        <f aca="false">K21*Q21</f>
        <v>15.4154</v>
      </c>
    </row>
    <row r="22" customFormat="false" ht="13.8" hidden="false" customHeight="false" outlineLevel="0" collapsed="false">
      <c r="B22" s="389" t="s">
        <v>72</v>
      </c>
      <c r="C22" s="390" t="str">
        <f aca="false">VLOOKUP(B22,'Item Data Support Sheet'!A:B,2,0)</f>
        <v>KPP BOTTLE 240 ML MOULDED-WMG3B</v>
      </c>
      <c r="D22" s="391" t="str">
        <f aca="false">IFERROR(VLOOKUP(B22,'Item Data Support Sheet'!A:O,15,0),0)</f>
        <v>KPP8_W</v>
      </c>
      <c r="E22" s="392" t="n">
        <v>0</v>
      </c>
      <c r="F22" s="393" t="n">
        <f aca="false">SUMIF('Data Sheet Aug-2021'!E:E,PVA!B22,'Data Sheet Aug-2021'!N:N)</f>
        <v>21059</v>
      </c>
      <c r="G22" s="393" t="n">
        <f aca="false">SUMIF('Data Sheet Aug-2021'!E:E,PVA!B22,'Data Sheet Aug-2021'!O:O)</f>
        <v>20015</v>
      </c>
      <c r="H22" s="393" t="n">
        <f aca="false">SUMIF('Data Sheet Aug-2021'!E:E,PVA!B22,'Data Sheet Aug-2021'!T:T)</f>
        <v>492</v>
      </c>
      <c r="I22" s="393" t="n">
        <f aca="false">SUMIF('Data Sheet Aug-2021'!E:E,PVA!B22,'Data Sheet Aug-2021'!U:U)</f>
        <v>64</v>
      </c>
      <c r="J22" s="393" t="n">
        <f aca="false">SUMIF('Data Sheet Aug-2021'!E:E,PVA!B22,'Data Sheet Aug-2021'!P:P)</f>
        <v>1.63</v>
      </c>
      <c r="K22" s="394" t="n">
        <f aca="false">SUMIF('Data Sheet Aug-2021'!E:E,PVA!B22,'Data Sheet Aug-2021'!Q:Q)</f>
        <v>488</v>
      </c>
      <c r="L22" s="399" t="n">
        <f aca="false">IFERROR(SUM(H22)/SUM(G22:H22),0)</f>
        <v>0.0239918076754279</v>
      </c>
      <c r="M22" s="399" t="n">
        <f aca="false">IFERROR(K22/F22,0)</f>
        <v>0.0231729901704734</v>
      </c>
      <c r="N22" s="400" t="n">
        <f aca="false">IFERROR(G22/E22,0)</f>
        <v>0</v>
      </c>
      <c r="O22" s="397" t="n">
        <f aca="false">G22-E22</f>
        <v>20015</v>
      </c>
      <c r="P22" s="398" t="n">
        <f aca="false">IFERROR(G22*Q22/R22,0)</f>
        <v>0.948207691930059</v>
      </c>
      <c r="Q22" s="393" t="n">
        <v>0.0331</v>
      </c>
      <c r="R22" s="394" t="n">
        <f aca="false">(H22+G22+I22+K22)*Q22+J22</f>
        <v>698.6829</v>
      </c>
      <c r="S22" s="307"/>
      <c r="U22" s="308" t="n">
        <f aca="false">Q22*G22</f>
        <v>662.4965</v>
      </c>
      <c r="Z22" s="279" t="n">
        <f aca="false">H22*Q22</f>
        <v>16.2852</v>
      </c>
      <c r="AA22" s="279" t="n">
        <f aca="false">I22*Q22</f>
        <v>2.1184</v>
      </c>
      <c r="AB22" s="279" t="n">
        <f aca="false">J22</f>
        <v>1.63</v>
      </c>
      <c r="AC22" s="279" t="n">
        <f aca="false">K22*Q22</f>
        <v>16.1528</v>
      </c>
    </row>
    <row r="23" customFormat="false" ht="13.8" hidden="false" customHeight="false" outlineLevel="0" collapsed="false">
      <c r="A23" s="401"/>
      <c r="B23" s="389" t="s">
        <v>2436</v>
      </c>
      <c r="C23" s="390" t="str">
        <f aca="false">VLOOKUP(B23,'Item Data Support Sheet'!A:B,2,0)</f>
        <v>RPP BOTTLE 120 ML MOULDED-WMG3B</v>
      </c>
      <c r="D23" s="391" t="str">
        <f aca="false">IFERROR(VLOOKUP(B23,'Item Data Support Sheet'!A:O,15,0),0)</f>
        <v>RPP4_W</v>
      </c>
      <c r="E23" s="392" t="n">
        <v>0</v>
      </c>
      <c r="F23" s="393" t="n">
        <f aca="false">SUMIF('Data Sheet Aug-2021'!E:E,PVA!B23,'Data Sheet Aug-2021'!N:N)</f>
        <v>0</v>
      </c>
      <c r="G23" s="393" t="n">
        <f aca="false">SUMIF('Data Sheet Aug-2021'!E:E,PVA!B23,'Data Sheet Aug-2021'!O:O)</f>
        <v>0</v>
      </c>
      <c r="H23" s="393" t="n">
        <f aca="false">SUMIF('Data Sheet Aug-2021'!E:E,PVA!B23,'Data Sheet Aug-2021'!T:T)</f>
        <v>0</v>
      </c>
      <c r="I23" s="393" t="n">
        <f aca="false">SUMIF('Data Sheet Aug-2021'!E:E,PVA!B23,'Data Sheet Aug-2021'!U:U)</f>
        <v>0</v>
      </c>
      <c r="J23" s="393" t="n">
        <f aca="false">SUMIF('Data Sheet Aug-2021'!E:E,PVA!B23,'Data Sheet Aug-2021'!P:P)</f>
        <v>0</v>
      </c>
      <c r="K23" s="394" t="n">
        <f aca="false">SUMIF('Data Sheet Aug-2021'!E:E,PVA!B23,'Data Sheet Aug-2021'!Q:Q)</f>
        <v>0</v>
      </c>
      <c r="L23" s="399" t="n">
        <f aca="false">IFERROR(SUM(H23)/SUM(G23:H23),0)</f>
        <v>0</v>
      </c>
      <c r="M23" s="399" t="n">
        <f aca="false">IFERROR(K23/F23,0)</f>
        <v>0</v>
      </c>
      <c r="N23" s="400" t="n">
        <f aca="false">IFERROR(G23/E23,0)</f>
        <v>0</v>
      </c>
      <c r="O23" s="397" t="n">
        <f aca="false">G23-E23</f>
        <v>0</v>
      </c>
      <c r="P23" s="398" t="n">
        <f aca="false">IFERROR(G23*Q23/R23,0)</f>
        <v>0</v>
      </c>
      <c r="Q23" s="393" t="n">
        <v>0.0227</v>
      </c>
      <c r="R23" s="394" t="n">
        <f aca="false">(H23+G23+I23+K23)*Q23+J23</f>
        <v>0</v>
      </c>
      <c r="S23" s="307"/>
      <c r="U23" s="308" t="n">
        <f aca="false">Q23*G23</f>
        <v>0</v>
      </c>
      <c r="Z23" s="279" t="n">
        <f aca="false">H23*Q23</f>
        <v>0</v>
      </c>
      <c r="AA23" s="279" t="n">
        <f aca="false">I23*Q23</f>
        <v>0</v>
      </c>
      <c r="AB23" s="279" t="n">
        <f aca="false">J23</f>
        <v>0</v>
      </c>
      <c r="AC23" s="279" t="n">
        <f aca="false">K23*Q23</f>
        <v>0</v>
      </c>
    </row>
    <row r="24" customFormat="false" ht="13.8" hidden="false" customHeight="false" outlineLevel="0" collapsed="false">
      <c r="B24" s="389" t="s">
        <v>2437</v>
      </c>
      <c r="C24" s="390" t="str">
        <f aca="false">VLOOKUP(B24,'Item Data Support Sheet'!A:B,2,0)</f>
        <v>RPP BOTTLE 240 ML MOULDED-WMG3B</v>
      </c>
      <c r="D24" s="391" t="str">
        <f aca="false">IFERROR(VLOOKUP(B24,'Item Data Support Sheet'!A:O,15,0),0)</f>
        <v>RPP8_W</v>
      </c>
      <c r="E24" s="392" t="n">
        <v>0</v>
      </c>
      <c r="F24" s="393" t="n">
        <f aca="false">SUMIF('Data Sheet Aug-2021'!E:E,PVA!B24,'Data Sheet Aug-2021'!N:N)</f>
        <v>0</v>
      </c>
      <c r="G24" s="393" t="n">
        <f aca="false">SUMIF('Data Sheet Aug-2021'!E:E,PVA!B24,'Data Sheet Aug-2021'!O:O)</f>
        <v>0</v>
      </c>
      <c r="H24" s="393" t="n">
        <f aca="false">SUMIF('Data Sheet Aug-2021'!E:E,PVA!B24,'Data Sheet Aug-2021'!T:T)</f>
        <v>0</v>
      </c>
      <c r="I24" s="393" t="n">
        <f aca="false">SUMIF('Data Sheet Aug-2021'!E:E,PVA!B24,'Data Sheet Aug-2021'!U:U)</f>
        <v>0</v>
      </c>
      <c r="J24" s="393" t="n">
        <f aca="false">SUMIF('Data Sheet Aug-2021'!E:E,PVA!B24,'Data Sheet Aug-2021'!P:P)</f>
        <v>0</v>
      </c>
      <c r="K24" s="394" t="n">
        <f aca="false">SUMIF('Data Sheet Aug-2021'!E:E,PVA!B24,'Data Sheet Aug-2021'!Q:Q)</f>
        <v>0</v>
      </c>
      <c r="L24" s="399" t="n">
        <f aca="false">IFERROR(SUM(H24)/SUM(G24:H24),0)</f>
        <v>0</v>
      </c>
      <c r="M24" s="399" t="n">
        <f aca="false">IFERROR(K24/F24,0)</f>
        <v>0</v>
      </c>
      <c r="N24" s="400" t="n">
        <f aca="false">IFERROR(G24/E24,0)</f>
        <v>0</v>
      </c>
      <c r="O24" s="397" t="n">
        <f aca="false">G24-E24</f>
        <v>0</v>
      </c>
      <c r="P24" s="398" t="n">
        <f aca="false">IFERROR(G24*Q24/R24,0)</f>
        <v>0</v>
      </c>
      <c r="Q24" s="393" t="n">
        <v>0.0331</v>
      </c>
      <c r="R24" s="394" t="n">
        <f aca="false">(H24+G24+I24+K24)*Q24+J24</f>
        <v>0</v>
      </c>
      <c r="S24" s="307"/>
      <c r="U24" s="308" t="n">
        <f aca="false">Q24*G24</f>
        <v>0</v>
      </c>
      <c r="Z24" s="279" t="n">
        <f aca="false">H24*Q24</f>
        <v>0</v>
      </c>
      <c r="AA24" s="279" t="n">
        <f aca="false">I24*Q24</f>
        <v>0</v>
      </c>
      <c r="AB24" s="279" t="n">
        <f aca="false">J24</f>
        <v>0</v>
      </c>
      <c r="AC24" s="279" t="n">
        <f aca="false">K24*Q24</f>
        <v>0</v>
      </c>
    </row>
    <row r="25" customFormat="false" ht="13.8" hidden="false" customHeight="false" outlineLevel="0" collapsed="false">
      <c r="B25" s="389" t="s">
        <v>731</v>
      </c>
      <c r="C25" s="390" t="str">
        <f aca="false">VLOOKUP(B25,'Item Data Support Sheet'!A:B,2,0)</f>
        <v>RPP 120ML PINK BOTTLE MOLDED (WM3GB)</v>
      </c>
      <c r="D25" s="391" t="str">
        <f aca="false">IFERROR(VLOOKUP(B25,'Item Data Support Sheet'!A:O,15,0),0)</f>
        <v>RPP4_W</v>
      </c>
      <c r="E25" s="392" t="n">
        <v>2503</v>
      </c>
      <c r="F25" s="393" t="n">
        <f aca="false">SUMIF('Data Sheet Aug-2021'!E:E,PVA!B25,'Data Sheet Aug-2021'!N:N)</f>
        <v>5414</v>
      </c>
      <c r="G25" s="393" t="n">
        <f aca="false">SUMIF('Data Sheet Aug-2021'!E:E,PVA!B25,'Data Sheet Aug-2021'!O:O)</f>
        <v>5040</v>
      </c>
      <c r="H25" s="393" t="n">
        <f aca="false">SUMIF('Data Sheet Aug-2021'!E:E,PVA!B25,'Data Sheet Aug-2021'!T:T)</f>
        <v>149</v>
      </c>
      <c r="I25" s="393" t="n">
        <f aca="false">SUMIF('Data Sheet Aug-2021'!E:E,PVA!B25,'Data Sheet Aug-2021'!U:U)</f>
        <v>24</v>
      </c>
      <c r="J25" s="393" t="n">
        <f aca="false">SUMIF('Data Sheet Aug-2021'!E:E,PVA!B25,'Data Sheet Aug-2021'!P:P)</f>
        <v>3.12</v>
      </c>
      <c r="K25" s="394" t="n">
        <f aca="false">SUMIF('Data Sheet Aug-2021'!E:E,PVA!B25,'Data Sheet Aug-2021'!Q:Q)</f>
        <v>201</v>
      </c>
      <c r="L25" s="399" t="n">
        <f aca="false">IFERROR(SUM(H25)/SUM(G25:H25),0)</f>
        <v>0.0287145885527076</v>
      </c>
      <c r="M25" s="399" t="n">
        <f aca="false">IFERROR(K25/F25,0)</f>
        <v>0.037125969708164</v>
      </c>
      <c r="N25" s="400" t="n">
        <f aca="false">IFERROR(G25/E25,0)</f>
        <v>2.01358369956053</v>
      </c>
      <c r="O25" s="397" t="n">
        <f aca="false">G25-E25</f>
        <v>2537</v>
      </c>
      <c r="P25" s="398" t="n">
        <f aca="false">IFERROR(G25*Q25/R25,0)</f>
        <v>0.907871745102676</v>
      </c>
      <c r="Q25" s="393" t="n">
        <v>0.0227</v>
      </c>
      <c r="R25" s="394" t="n">
        <f aca="false">(H25+G25+I25+K25)*Q25+J25</f>
        <v>126.0178</v>
      </c>
      <c r="S25" s="307"/>
      <c r="U25" s="308" t="n">
        <f aca="false">Q25*G25</f>
        <v>114.408</v>
      </c>
      <c r="Z25" s="279" t="n">
        <f aca="false">H25*Q25</f>
        <v>3.3823</v>
      </c>
      <c r="AA25" s="279" t="n">
        <f aca="false">I25*Q25</f>
        <v>0.5448</v>
      </c>
      <c r="AB25" s="279" t="n">
        <f aca="false">J25</f>
        <v>3.12</v>
      </c>
      <c r="AC25" s="279" t="n">
        <f aca="false">K25*Q25</f>
        <v>4.5627</v>
      </c>
    </row>
    <row r="26" customFormat="false" ht="13.8" hidden="false" customHeight="false" outlineLevel="0" collapsed="false">
      <c r="A26" s="401"/>
      <c r="B26" s="389" t="s">
        <v>626</v>
      </c>
      <c r="C26" s="390" t="str">
        <f aca="false">VLOOKUP(B26,'Item Data Support Sheet'!A:B,2,0)</f>
        <v>RPP 240ML PINK BOTTLE MOLDED (WM3GB)</v>
      </c>
      <c r="D26" s="391" t="str">
        <f aca="false">IFERROR(VLOOKUP(B26,'Item Data Support Sheet'!A:O,15,0),0)</f>
        <v>RPP8_W</v>
      </c>
      <c r="E26" s="392" t="n">
        <v>2503</v>
      </c>
      <c r="F26" s="393" t="n">
        <f aca="false">SUMIF('Data Sheet Aug-2021'!E:E,PVA!B26,'Data Sheet Aug-2021'!N:N)</f>
        <v>9398</v>
      </c>
      <c r="G26" s="393" t="n">
        <f aca="false">SUMIF('Data Sheet Aug-2021'!E:E,PVA!B26,'Data Sheet Aug-2021'!O:O)</f>
        <v>8640</v>
      </c>
      <c r="H26" s="393" t="n">
        <f aca="false">SUMIF('Data Sheet Aug-2021'!E:E,PVA!B26,'Data Sheet Aug-2021'!T:T)</f>
        <v>324</v>
      </c>
      <c r="I26" s="393" t="n">
        <f aca="false">SUMIF('Data Sheet Aug-2021'!E:E,PVA!B26,'Data Sheet Aug-2021'!U:U)</f>
        <v>32</v>
      </c>
      <c r="J26" s="393" t="n">
        <f aca="false">SUMIF('Data Sheet Aug-2021'!E:E,PVA!B26,'Data Sheet Aug-2021'!P:P)</f>
        <v>6.42</v>
      </c>
      <c r="K26" s="394" t="n">
        <f aca="false">SUMIF('Data Sheet Aug-2021'!E:E,PVA!B26,'Data Sheet Aug-2021'!Q:Q)</f>
        <v>402</v>
      </c>
      <c r="L26" s="399" t="n">
        <f aca="false">IFERROR(SUM(H26)/SUM(G26:H26),0)</f>
        <v>0.036144578313253</v>
      </c>
      <c r="M26" s="399" t="n">
        <f aca="false">IFERROR(K26/F26,0)</f>
        <v>0.04277505852309</v>
      </c>
      <c r="N26" s="400" t="n">
        <f aca="false">IFERROR(G26/E26,0)</f>
        <v>3.45185777067519</v>
      </c>
      <c r="O26" s="397" t="n">
        <f aca="false">G26-E26</f>
        <v>6137</v>
      </c>
      <c r="P26" s="398" t="n">
        <f aca="false">IFERROR(G26*Q26/R26,0)</f>
        <v>0.900754597412611</v>
      </c>
      <c r="Q26" s="393" t="n">
        <v>0.0331</v>
      </c>
      <c r="R26" s="394" t="n">
        <f aca="false">(H26+G26+I26+K26)*Q26+J26</f>
        <v>317.4938</v>
      </c>
      <c r="S26" s="307"/>
      <c r="U26" s="308" t="n">
        <f aca="false">Q26*G26</f>
        <v>285.984</v>
      </c>
      <c r="Z26" s="279" t="n">
        <f aca="false">H26*Q26</f>
        <v>10.7244</v>
      </c>
      <c r="AA26" s="279" t="n">
        <f aca="false">I26*Q26</f>
        <v>1.0592</v>
      </c>
      <c r="AB26" s="279" t="n">
        <f aca="false">J26</f>
        <v>6.42</v>
      </c>
      <c r="AC26" s="279" t="n">
        <f aca="false">K26*Q26</f>
        <v>13.3062</v>
      </c>
    </row>
    <row r="27" customFormat="false" ht="13.8" hidden="false" customHeight="false" outlineLevel="0" collapsed="false">
      <c r="A27" s="401"/>
      <c r="B27" s="389" t="s">
        <v>747</v>
      </c>
      <c r="C27" s="390" t="str">
        <f aca="false">VLOOKUP(B27,'Item Data Support Sheet'!A:B,2,0)</f>
        <v>RPP 120ML BLUE BOTTLE MOLDED (WM3GB)</v>
      </c>
      <c r="D27" s="391" t="str">
        <f aca="false">IFERROR(VLOOKUP(B27,'Item Data Support Sheet'!A:O,15,0),0)</f>
        <v>RPP4_W</v>
      </c>
      <c r="E27" s="392" t="n">
        <v>2503</v>
      </c>
      <c r="F27" s="393" t="n">
        <f aca="false">SUMIF('Data Sheet Aug-2021'!E:E,PVA!B27,'Data Sheet Aug-2021'!N:N)</f>
        <v>9917</v>
      </c>
      <c r="G27" s="393" t="n">
        <f aca="false">SUMIF('Data Sheet Aug-2021'!E:E,PVA!B27,'Data Sheet Aug-2021'!O:O)</f>
        <v>9420</v>
      </c>
      <c r="H27" s="393" t="n">
        <f aca="false">SUMIF('Data Sheet Aug-2021'!E:E,PVA!B27,'Data Sheet Aug-2021'!T:T)</f>
        <v>218</v>
      </c>
      <c r="I27" s="393" t="n">
        <f aca="false">SUMIF('Data Sheet Aug-2021'!E:E,PVA!B27,'Data Sheet Aug-2021'!U:U)</f>
        <v>32</v>
      </c>
      <c r="J27" s="393" t="n">
        <f aca="false">SUMIF('Data Sheet Aug-2021'!E:E,PVA!B27,'Data Sheet Aug-2021'!P:P)</f>
        <v>1.78</v>
      </c>
      <c r="K27" s="394" t="n">
        <f aca="false">SUMIF('Data Sheet Aug-2021'!E:E,PVA!B27,'Data Sheet Aug-2021'!Q:Q)</f>
        <v>247</v>
      </c>
      <c r="L27" s="399" t="n">
        <f aca="false">IFERROR(SUM(H27)/SUM(G27:H27),0)</f>
        <v>0.0226188005810334</v>
      </c>
      <c r="M27" s="399" t="n">
        <f aca="false">IFERROR(K27/F27,0)</f>
        <v>0.024906725824342</v>
      </c>
      <c r="N27" s="400" t="n">
        <f aca="false">IFERROR(G27/E27,0)</f>
        <v>3.7634838194167</v>
      </c>
      <c r="O27" s="397" t="n">
        <f aca="false">G27-E27</f>
        <v>6917</v>
      </c>
      <c r="P27" s="398" t="n">
        <f aca="false">IFERROR(G27*Q27/R27,0)</f>
        <v>0.942432190268753</v>
      </c>
      <c r="Q27" s="393" t="n">
        <v>0.0227</v>
      </c>
      <c r="R27" s="394" t="n">
        <f aca="false">(H27+G27+I27+K27)*Q27+J27</f>
        <v>226.8959</v>
      </c>
      <c r="S27" s="307"/>
      <c r="U27" s="308" t="n">
        <f aca="false">Q27*G27</f>
        <v>213.834</v>
      </c>
      <c r="Z27" s="279" t="n">
        <f aca="false">H27*Q27</f>
        <v>4.9486</v>
      </c>
      <c r="AA27" s="279" t="n">
        <f aca="false">I27*Q27</f>
        <v>0.7264</v>
      </c>
      <c r="AB27" s="279" t="n">
        <f aca="false">J27</f>
        <v>1.78</v>
      </c>
      <c r="AC27" s="279" t="n">
        <f aca="false">K27*Q27</f>
        <v>5.6069</v>
      </c>
    </row>
    <row r="28" customFormat="false" ht="13.8" hidden="false" customHeight="false" outlineLevel="0" collapsed="false">
      <c r="A28" s="401"/>
      <c r="B28" s="389" t="s">
        <v>879</v>
      </c>
      <c r="C28" s="390" t="str">
        <f aca="false">VLOOKUP(B28,'Item Data Support Sheet'!A:B,2,0)</f>
        <v>RPP 240ML BLUE BOTTLE MOLDED (WM3GB)</v>
      </c>
      <c r="D28" s="391" t="str">
        <f aca="false">IFERROR(VLOOKUP(B28,'Item Data Support Sheet'!A:O,15,0),0)</f>
        <v>RPP8_W</v>
      </c>
      <c r="E28" s="392" t="n">
        <v>2503</v>
      </c>
      <c r="F28" s="393" t="n">
        <f aca="false">SUMIF('Data Sheet Aug-2021'!E:E,PVA!B28,'Data Sheet Aug-2021'!N:N)</f>
        <v>16218</v>
      </c>
      <c r="G28" s="393" t="n">
        <f aca="false">SUMIF('Data Sheet Aug-2021'!E:E,PVA!B28,'Data Sheet Aug-2021'!O:O)</f>
        <v>15120</v>
      </c>
      <c r="H28" s="393" t="n">
        <f aca="false">SUMIF('Data Sheet Aug-2021'!E:E,PVA!B28,'Data Sheet Aug-2021'!T:T)</f>
        <v>479</v>
      </c>
      <c r="I28" s="393" t="n">
        <f aca="false">SUMIF('Data Sheet Aug-2021'!E:E,PVA!B28,'Data Sheet Aug-2021'!U:U)</f>
        <v>48</v>
      </c>
      <c r="J28" s="393" t="n">
        <f aca="false">SUMIF('Data Sheet Aug-2021'!E:E,PVA!B28,'Data Sheet Aug-2021'!P:P)</f>
        <v>3.228</v>
      </c>
      <c r="K28" s="394" t="n">
        <f aca="false">SUMIF('Data Sheet Aug-2021'!E:E,PVA!B28,'Data Sheet Aug-2021'!Q:Q)</f>
        <v>571</v>
      </c>
      <c r="L28" s="399" t="n">
        <f aca="false">IFERROR(SUM(H28)/SUM(G28:H28),0)</f>
        <v>0.030707096608757</v>
      </c>
      <c r="M28" s="399" t="n">
        <f aca="false">IFERROR(K28/F28,0)</f>
        <v>0.0352077938093476</v>
      </c>
      <c r="N28" s="400" t="n">
        <f aca="false">IFERROR(G28/E28,0)</f>
        <v>6.04075109868158</v>
      </c>
      <c r="O28" s="397" t="n">
        <f aca="false">G28-E28</f>
        <v>12617</v>
      </c>
      <c r="P28" s="398" t="n">
        <f aca="false">IFERROR(G28*Q28/R28,0)</f>
        <v>0.926724832319156</v>
      </c>
      <c r="Q28" s="393" t="n">
        <v>0.0331</v>
      </c>
      <c r="R28" s="394" t="n">
        <f aca="false">(H28+G28+I28+K28)*Q28+J28</f>
        <v>540.0438</v>
      </c>
      <c r="S28" s="307"/>
      <c r="U28" s="308" t="n">
        <f aca="false">Q28*G28</f>
        <v>500.472</v>
      </c>
      <c r="Z28" s="279" t="n">
        <f aca="false">H28*Q28</f>
        <v>15.8549</v>
      </c>
      <c r="AA28" s="279" t="n">
        <f aca="false">I28*Q28</f>
        <v>1.5888</v>
      </c>
      <c r="AB28" s="279" t="n">
        <f aca="false">J28</f>
        <v>3.228</v>
      </c>
      <c r="AC28" s="279" t="n">
        <f aca="false">K28*Q28</f>
        <v>18.9001</v>
      </c>
    </row>
    <row r="29" customFormat="false" ht="13.8" hidden="false" customHeight="false" outlineLevel="0" collapsed="false">
      <c r="A29" s="401"/>
      <c r="B29" s="389" t="s">
        <v>2438</v>
      </c>
      <c r="C29" s="390" t="str">
        <f aca="false">VLOOKUP(B29,'Item Data Support Sheet'!A:B,2,0)</f>
        <v>RPP 120ML GREEN BOTTLE MOLDED (WMG3B)</v>
      </c>
      <c r="D29" s="391" t="str">
        <f aca="false">IFERROR(VLOOKUP(B29,'Item Data Support Sheet'!A:O,15,0),0)</f>
        <v>RPP4_W</v>
      </c>
      <c r="E29" s="392" t="n">
        <v>0</v>
      </c>
      <c r="F29" s="393" t="n">
        <f aca="false">SUMIF('Data Sheet Aug-2021'!E:E,PVA!B29,'Data Sheet Aug-2021'!N:N)</f>
        <v>0</v>
      </c>
      <c r="G29" s="393" t="n">
        <f aca="false">SUMIF('Data Sheet Aug-2021'!E:E,PVA!B29,'Data Sheet Aug-2021'!O:O)</f>
        <v>0</v>
      </c>
      <c r="H29" s="393" t="n">
        <f aca="false">SUMIF('Data Sheet Aug-2021'!E:E,PVA!B29,'Data Sheet Aug-2021'!T:T)</f>
        <v>0</v>
      </c>
      <c r="I29" s="393" t="n">
        <f aca="false">SUMIF('Data Sheet Aug-2021'!E:E,PVA!B29,'Data Sheet Aug-2021'!U:U)</f>
        <v>0</v>
      </c>
      <c r="J29" s="393" t="n">
        <f aca="false">SUMIF('Data Sheet Aug-2021'!E:E,PVA!B29,'Data Sheet Aug-2021'!P:P)</f>
        <v>0</v>
      </c>
      <c r="K29" s="394" t="n">
        <f aca="false">SUMIF('Data Sheet Aug-2021'!E:E,PVA!B29,'Data Sheet Aug-2021'!Q:Q)</f>
        <v>0</v>
      </c>
      <c r="L29" s="399" t="n">
        <f aca="false">IFERROR(SUM(H29)/SUM(G29:H29),0)</f>
        <v>0</v>
      </c>
      <c r="M29" s="399" t="n">
        <f aca="false">IFERROR(K29/F29,0)</f>
        <v>0</v>
      </c>
      <c r="N29" s="400" t="n">
        <f aca="false">IFERROR(G29/E29,0)</f>
        <v>0</v>
      </c>
      <c r="O29" s="397" t="n">
        <f aca="false">G29-E29</f>
        <v>0</v>
      </c>
      <c r="P29" s="398" t="n">
        <f aca="false">IFERROR(G29*Q29/R29,0)</f>
        <v>0</v>
      </c>
      <c r="Q29" s="393" t="n">
        <v>0.0227</v>
      </c>
      <c r="R29" s="394" t="n">
        <f aca="false">(H29+G29+I29+K29)*Q29+J29</f>
        <v>0</v>
      </c>
      <c r="S29" s="307"/>
      <c r="U29" s="308" t="n">
        <f aca="false">Q29*G29</f>
        <v>0</v>
      </c>
      <c r="Z29" s="279" t="n">
        <f aca="false">H29*Q29</f>
        <v>0</v>
      </c>
      <c r="AA29" s="279" t="n">
        <f aca="false">I29*Q29</f>
        <v>0</v>
      </c>
      <c r="AB29" s="279" t="n">
        <f aca="false">J29</f>
        <v>0</v>
      </c>
      <c r="AC29" s="279" t="n">
        <f aca="false">K29*Q29</f>
        <v>0</v>
      </c>
    </row>
    <row r="30" customFormat="false" ht="13.8" hidden="false" customHeight="false" outlineLevel="0" collapsed="false">
      <c r="A30" s="401"/>
      <c r="B30" s="402" t="s">
        <v>2439</v>
      </c>
      <c r="C30" s="403" t="str">
        <f aca="false">VLOOKUP(B30,'Item Data Support Sheet'!A:B,2,0)</f>
        <v>RPP 240ML GREEN BOTTLE MOLDED (WMG3B)</v>
      </c>
      <c r="D30" s="404" t="str">
        <f aca="false">IFERROR(VLOOKUP(B30,'Item Data Support Sheet'!A:O,15,0),0)</f>
        <v>RPP8_W</v>
      </c>
      <c r="E30" s="405" t="n">
        <v>0</v>
      </c>
      <c r="F30" s="406" t="n">
        <f aca="false">SUMIF('Data Sheet Aug-2021'!E:E,PVA!B30,'Data Sheet Aug-2021'!N:N)</f>
        <v>0</v>
      </c>
      <c r="G30" s="406" t="n">
        <f aca="false">SUMIF('Data Sheet Aug-2021'!E:E,PVA!B30,'Data Sheet Aug-2021'!O:O)</f>
        <v>0</v>
      </c>
      <c r="H30" s="406" t="n">
        <f aca="false">SUMIF('Data Sheet Aug-2021'!E:E,PVA!B30,'Data Sheet Aug-2021'!T:T)</f>
        <v>0</v>
      </c>
      <c r="I30" s="406" t="n">
        <f aca="false">SUMIF('Data Sheet Aug-2021'!E:E,PVA!B30,'Data Sheet Aug-2021'!U:U)</f>
        <v>0</v>
      </c>
      <c r="J30" s="406" t="n">
        <f aca="false">SUMIF('Data Sheet Aug-2021'!E:E,PVA!B30,'Data Sheet Aug-2021'!P:P)</f>
        <v>0</v>
      </c>
      <c r="K30" s="407" t="n">
        <f aca="false">SUMIF('Data Sheet Aug-2021'!E:E,PVA!B30,'Data Sheet Aug-2021'!Q:Q)</f>
        <v>0</v>
      </c>
      <c r="L30" s="408" t="n">
        <f aca="false">IFERROR(SUM(H30)/SUM(G30:H30),0)</f>
        <v>0</v>
      </c>
      <c r="M30" s="408" t="n">
        <f aca="false">IFERROR(K30/F30,0)</f>
        <v>0</v>
      </c>
      <c r="N30" s="409" t="n">
        <f aca="false">IFERROR(G30/E30,0)</f>
        <v>0</v>
      </c>
      <c r="O30" s="410" t="n">
        <f aca="false">G30-E30</f>
        <v>0</v>
      </c>
      <c r="P30" s="411" t="n">
        <f aca="false">IFERROR(G30*Q30/R30,0)</f>
        <v>0</v>
      </c>
      <c r="Q30" s="406" t="n">
        <v>0.0331</v>
      </c>
      <c r="R30" s="407" t="n">
        <f aca="false">(H30+G30+I30+K30)*Q30+J30</f>
        <v>0</v>
      </c>
      <c r="S30" s="307"/>
      <c r="U30" s="308" t="n">
        <f aca="false">Q30*G30</f>
        <v>0</v>
      </c>
      <c r="V30" s="279" t="n">
        <f aca="false">SUM(U20:U30)</f>
        <v>2366.9909</v>
      </c>
      <c r="W30" s="308" t="n">
        <f aca="false">SUM(R20:R30)</f>
        <v>2539.8954</v>
      </c>
      <c r="Z30" s="279" t="n">
        <f aca="false">H30*Q30</f>
        <v>0</v>
      </c>
      <c r="AA30" s="279" t="n">
        <f aca="false">I30*Q30</f>
        <v>0</v>
      </c>
      <c r="AB30" s="279" t="n">
        <f aca="false">J30</f>
        <v>0</v>
      </c>
      <c r="AC30" s="279" t="n">
        <f aca="false">K30*Q30</f>
        <v>0</v>
      </c>
    </row>
    <row r="31" s="340" customFormat="true" ht="13.8" hidden="false" customHeight="false" outlineLevel="0" collapsed="false">
      <c r="A31" s="401"/>
      <c r="B31" s="412" t="s">
        <v>2432</v>
      </c>
      <c r="C31" s="413"/>
      <c r="D31" s="414"/>
      <c r="E31" s="415" t="n">
        <f aca="false">SUM(E13:E30)</f>
        <v>134206</v>
      </c>
      <c r="F31" s="416" t="n">
        <f aca="false">SUM(F13:F30)</f>
        <v>577537</v>
      </c>
      <c r="G31" s="416" t="n">
        <f aca="false">SUM(G13:G30)</f>
        <v>554822</v>
      </c>
      <c r="H31" s="416" t="n">
        <f aca="false">SUM(H13:H30)</f>
        <v>11239</v>
      </c>
      <c r="I31" s="416" t="n">
        <f aca="false">SUM(I13:I30)</f>
        <v>1339</v>
      </c>
      <c r="J31" s="416" t="n">
        <f aca="false">SUM(J13:J30)</f>
        <v>52.38</v>
      </c>
      <c r="K31" s="417" t="n">
        <f aca="false">SUM(K13:K30)</f>
        <v>10137</v>
      </c>
      <c r="L31" s="346" t="n">
        <f aca="false">SUM(H31)/SUM(G31:H31)</f>
        <v>0.0198547506364155</v>
      </c>
      <c r="M31" s="347" t="n">
        <f aca="false">IFERROR(K31/F31,0)</f>
        <v>0.0175521222016944</v>
      </c>
      <c r="N31" s="348" t="n">
        <f aca="false">G31/E31</f>
        <v>4.13410726793139</v>
      </c>
      <c r="O31" s="418" t="n">
        <f aca="false">SUM(O13:O30)</f>
        <v>420616</v>
      </c>
      <c r="P31" s="419" t="n">
        <f aca="false">U31/R31</f>
        <v>0.957307646547885</v>
      </c>
      <c r="Q31" s="420" t="n">
        <f aca="false">AVERAGE(Q13:Q30)</f>
        <v>0.0270888888888889</v>
      </c>
      <c r="R31" s="421" t="n">
        <f aca="false">SUM(R13:R30)</f>
        <v>16215.9437</v>
      </c>
      <c r="S31" s="353"/>
      <c r="T31" s="354"/>
      <c r="U31" s="355" t="n">
        <f aca="false">SUM(U13:U30)</f>
        <v>15523.6469</v>
      </c>
      <c r="V31" s="354"/>
      <c r="W31" s="354"/>
      <c r="X31" s="354"/>
      <c r="Y31" s="354"/>
      <c r="Z31" s="354"/>
      <c r="AA31" s="354"/>
      <c r="AB31" s="354"/>
      <c r="AC31" s="354"/>
      <c r="AD31" s="354"/>
      <c r="AE31" s="354"/>
      <c r="AF31" s="354"/>
      <c r="AG31" s="354"/>
      <c r="AH31" s="354"/>
      <c r="AI31" s="354"/>
      <c r="AJ31" s="354"/>
      <c r="AK31" s="354"/>
      <c r="AL31" s="354"/>
      <c r="AM31" s="356"/>
      <c r="AN31" s="356"/>
      <c r="AO31" s="356"/>
      <c r="AP31" s="356"/>
      <c r="AQ31" s="356"/>
      <c r="AR31" s="356"/>
      <c r="AS31" s="356"/>
      <c r="AT31" s="356"/>
      <c r="AU31" s="356"/>
      <c r="AV31" s="356"/>
      <c r="AW31" s="356"/>
      <c r="AX31" s="356"/>
      <c r="AY31" s="356"/>
    </row>
    <row r="32" s="428" customFormat="true" ht="13.8" hidden="false" customHeight="false" outlineLevel="0" collapsed="false">
      <c r="A32" s="401"/>
      <c r="B32" s="422" t="s">
        <v>2440</v>
      </c>
      <c r="C32" s="287" t="s">
        <v>2410</v>
      </c>
      <c r="D32" s="287"/>
      <c r="E32" s="311" t="s">
        <v>2411</v>
      </c>
      <c r="F32" s="311" t="s">
        <v>2412</v>
      </c>
      <c r="G32" s="311" t="s">
        <v>2413</v>
      </c>
      <c r="H32" s="311" t="s">
        <v>2414</v>
      </c>
      <c r="I32" s="311" t="s">
        <v>2415</v>
      </c>
      <c r="J32" s="311" t="s">
        <v>2416</v>
      </c>
      <c r="K32" s="292" t="s">
        <v>2417</v>
      </c>
      <c r="L32" s="360" t="s">
        <v>2418</v>
      </c>
      <c r="M32" s="289" t="s">
        <v>2419</v>
      </c>
      <c r="N32" s="361" t="s">
        <v>2420</v>
      </c>
      <c r="O32" s="289" t="s">
        <v>2421</v>
      </c>
      <c r="P32" s="289" t="s">
        <v>100</v>
      </c>
      <c r="Q32" s="289" t="s">
        <v>2408</v>
      </c>
      <c r="R32" s="291" t="s">
        <v>2441</v>
      </c>
      <c r="S32" s="423"/>
      <c r="T32" s="424"/>
      <c r="U32" s="424"/>
      <c r="V32" s="424"/>
      <c r="W32" s="424"/>
      <c r="X32" s="424"/>
      <c r="Y32" s="424"/>
      <c r="Z32" s="425" t="s">
        <v>2414</v>
      </c>
      <c r="AA32" s="425" t="s">
        <v>2415</v>
      </c>
      <c r="AB32" s="425" t="s">
        <v>2416</v>
      </c>
      <c r="AC32" s="425" t="s">
        <v>2417</v>
      </c>
      <c r="AD32" s="424"/>
      <c r="AE32" s="424"/>
      <c r="AF32" s="424"/>
      <c r="AG32" s="424"/>
      <c r="AH32" s="424"/>
      <c r="AI32" s="424"/>
      <c r="AJ32" s="424"/>
      <c r="AK32" s="424"/>
      <c r="AL32" s="424"/>
      <c r="AM32" s="426"/>
      <c r="AN32" s="426"/>
      <c r="AO32" s="426"/>
      <c r="AP32" s="426"/>
      <c r="AQ32" s="426"/>
      <c r="AR32" s="426"/>
      <c r="AS32" s="426"/>
      <c r="AT32" s="426"/>
      <c r="AU32" s="426"/>
      <c r="AV32" s="426"/>
      <c r="AW32" s="426"/>
      <c r="AX32" s="426"/>
      <c r="AY32" s="426"/>
      <c r="AZ32" s="427"/>
      <c r="BA32" s="427"/>
      <c r="BB32" s="427"/>
      <c r="BC32" s="427"/>
      <c r="BD32" s="427"/>
      <c r="BE32" s="427"/>
      <c r="BF32" s="427"/>
      <c r="BG32" s="427"/>
      <c r="BH32" s="427"/>
      <c r="BI32" s="427"/>
      <c r="BJ32" s="427"/>
      <c r="BK32" s="427"/>
      <c r="BL32" s="427"/>
      <c r="BM32" s="427"/>
      <c r="BN32" s="427"/>
      <c r="BO32" s="427"/>
      <c r="BP32" s="427"/>
      <c r="BQ32" s="427"/>
      <c r="BR32" s="427"/>
      <c r="BS32" s="427"/>
      <c r="BT32" s="427"/>
      <c r="BU32" s="427"/>
      <c r="BV32" s="427"/>
      <c r="BW32" s="427"/>
      <c r="BX32" s="427"/>
      <c r="BY32" s="427"/>
      <c r="BZ32" s="427"/>
      <c r="CA32" s="427"/>
      <c r="CB32" s="427"/>
      <c r="CC32" s="427"/>
      <c r="CD32" s="427"/>
      <c r="CE32" s="427"/>
      <c r="CF32" s="427"/>
      <c r="CG32" s="427"/>
      <c r="CH32" s="427"/>
      <c r="CI32" s="427"/>
      <c r="CJ32" s="427"/>
      <c r="CK32" s="427"/>
      <c r="CL32" s="427"/>
      <c r="CM32" s="427"/>
      <c r="CN32" s="427"/>
      <c r="CO32" s="427"/>
      <c r="CP32" s="427"/>
      <c r="CQ32" s="427"/>
      <c r="CR32" s="427"/>
      <c r="CS32" s="427"/>
      <c r="CT32" s="427"/>
      <c r="CU32" s="427"/>
      <c r="CV32" s="427"/>
      <c r="CW32" s="427"/>
      <c r="CX32" s="427"/>
      <c r="CY32" s="427"/>
      <c r="CZ32" s="427"/>
      <c r="DA32" s="427"/>
      <c r="DB32" s="427"/>
      <c r="DC32" s="427"/>
      <c r="DD32" s="427"/>
      <c r="DE32" s="427"/>
      <c r="DF32" s="427"/>
      <c r="DG32" s="427"/>
      <c r="DH32" s="427"/>
      <c r="DI32" s="427"/>
      <c r="DJ32" s="427"/>
      <c r="DK32" s="427"/>
      <c r="DL32" s="427"/>
      <c r="DM32" s="427"/>
      <c r="DN32" s="427"/>
      <c r="DO32" s="427"/>
      <c r="DP32" s="427"/>
      <c r="DQ32" s="427"/>
      <c r="DR32" s="427"/>
      <c r="DS32" s="427"/>
      <c r="DT32" s="427"/>
      <c r="DU32" s="427"/>
      <c r="DV32" s="427"/>
      <c r="DW32" s="427"/>
      <c r="DX32" s="427"/>
      <c r="DY32" s="427"/>
      <c r="DZ32" s="427"/>
      <c r="EA32" s="427"/>
      <c r="EB32" s="427"/>
      <c r="EC32" s="427"/>
      <c r="ED32" s="427"/>
      <c r="EE32" s="427"/>
      <c r="EF32" s="427"/>
      <c r="EG32" s="427"/>
      <c r="EH32" s="427"/>
      <c r="EI32" s="427"/>
      <c r="EJ32" s="427"/>
      <c r="EK32" s="427"/>
      <c r="EL32" s="427"/>
      <c r="EM32" s="427"/>
      <c r="EN32" s="427"/>
      <c r="EO32" s="427"/>
      <c r="EP32" s="427"/>
      <c r="EQ32" s="427"/>
      <c r="ER32" s="427"/>
      <c r="ES32" s="427"/>
      <c r="ET32" s="427"/>
      <c r="EU32" s="427"/>
      <c r="EV32" s="427"/>
      <c r="EW32" s="427"/>
      <c r="EX32" s="427"/>
      <c r="EY32" s="427"/>
      <c r="EZ32" s="427"/>
      <c r="FA32" s="427"/>
      <c r="FB32" s="427"/>
      <c r="FC32" s="427"/>
      <c r="FD32" s="427"/>
      <c r="FE32" s="427"/>
      <c r="FF32" s="427"/>
      <c r="FG32" s="427"/>
      <c r="FH32" s="427"/>
      <c r="FI32" s="427"/>
      <c r="FJ32" s="427"/>
      <c r="FK32" s="427"/>
      <c r="FL32" s="427"/>
      <c r="FM32" s="427"/>
      <c r="FN32" s="427"/>
      <c r="FO32" s="427"/>
      <c r="FP32" s="427"/>
      <c r="FQ32" s="427"/>
      <c r="FR32" s="427"/>
      <c r="FS32" s="427"/>
      <c r="FT32" s="427"/>
      <c r="FU32" s="427"/>
      <c r="FV32" s="427"/>
      <c r="FW32" s="427"/>
      <c r="FX32" s="427"/>
      <c r="FY32" s="427"/>
      <c r="FZ32" s="427"/>
      <c r="GA32" s="427"/>
      <c r="GB32" s="427"/>
      <c r="GC32" s="427"/>
      <c r="GD32" s="427"/>
      <c r="GE32" s="427"/>
      <c r="GF32" s="427"/>
      <c r="GG32" s="427"/>
      <c r="GH32" s="427"/>
      <c r="GI32" s="427"/>
      <c r="GJ32" s="427"/>
      <c r="GK32" s="427"/>
      <c r="GL32" s="427"/>
      <c r="GM32" s="427"/>
      <c r="GN32" s="427"/>
      <c r="GO32" s="427"/>
      <c r="GP32" s="427"/>
      <c r="GQ32" s="427"/>
      <c r="GR32" s="427"/>
      <c r="GS32" s="427"/>
      <c r="GT32" s="427"/>
      <c r="GU32" s="427"/>
      <c r="GV32" s="427"/>
      <c r="GW32" s="427"/>
      <c r="GX32" s="427"/>
      <c r="GY32" s="427"/>
      <c r="GZ32" s="427"/>
      <c r="HA32" s="427"/>
      <c r="HB32" s="427"/>
      <c r="HC32" s="427"/>
      <c r="HD32" s="427"/>
      <c r="HE32" s="427"/>
      <c r="HF32" s="427"/>
      <c r="HG32" s="427"/>
      <c r="HH32" s="427"/>
      <c r="HI32" s="427"/>
      <c r="HJ32" s="427"/>
      <c r="HK32" s="427"/>
      <c r="HL32" s="427"/>
      <c r="HM32" s="427"/>
      <c r="HN32" s="427"/>
      <c r="HO32" s="427"/>
      <c r="HP32" s="427"/>
      <c r="HQ32" s="427"/>
      <c r="HR32" s="427"/>
      <c r="HS32" s="427"/>
      <c r="HT32" s="427"/>
      <c r="HU32" s="427"/>
      <c r="HV32" s="427"/>
      <c r="HW32" s="427"/>
      <c r="HX32" s="427"/>
      <c r="HY32" s="427"/>
      <c r="HZ32" s="427"/>
      <c r="IA32" s="427"/>
      <c r="IB32" s="427"/>
      <c r="IC32" s="427"/>
      <c r="ID32" s="427"/>
      <c r="IE32" s="427"/>
      <c r="IF32" s="427"/>
      <c r="IG32" s="427"/>
      <c r="IH32" s="427"/>
      <c r="II32" s="427"/>
      <c r="IJ32" s="427"/>
      <c r="IK32" s="427"/>
      <c r="IL32" s="427"/>
      <c r="IM32" s="427"/>
      <c r="IN32" s="427"/>
      <c r="IO32" s="427"/>
      <c r="IP32" s="427"/>
      <c r="IQ32" s="427"/>
      <c r="IR32" s="427"/>
      <c r="IS32" s="427"/>
      <c r="IT32" s="427"/>
      <c r="IU32" s="427"/>
      <c r="IV32" s="427"/>
      <c r="IW32" s="427"/>
      <c r="IX32" s="427"/>
      <c r="IY32" s="427"/>
      <c r="IZ32" s="427"/>
    </row>
    <row r="33" customFormat="false" ht="13.8" hidden="false" customHeight="false" outlineLevel="0" collapsed="false">
      <c r="A33" s="401"/>
      <c r="B33" s="429" t="s">
        <v>691</v>
      </c>
      <c r="C33" s="430" t="str">
        <f aca="false">VLOOKUP(B33,'Item Data Support Sheet'!A:B,2,0)</f>
        <v>KPP 120 ML BOTTLE PRINTED</v>
      </c>
      <c r="D33" s="431" t="str">
        <f aca="false">IFERROR(VLOOKUP(B33,'Item Data Support Sheet'!A:O,15,0),0)</f>
        <v>KPP4_H</v>
      </c>
      <c r="E33" s="432" t="n">
        <v>15402</v>
      </c>
      <c r="F33" s="433" t="n">
        <f aca="false">SUMIF('Data Sheet Aug-2021'!E:E,PVA!B33,'Data Sheet Aug-2021'!N:N)</f>
        <v>83068</v>
      </c>
      <c r="G33" s="433" t="n">
        <f aca="false">SUMIF('Data Sheet Aug-2021'!E:E,PVA!B33,'Data Sheet Aug-2021'!O:O)</f>
        <v>82496</v>
      </c>
      <c r="H33" s="433" t="n">
        <f aca="false">SUMIF('Data Sheet Aug-2021'!E:E,PVA!B33,'Data Sheet Aug-2021'!T:T)</f>
        <v>572</v>
      </c>
      <c r="I33" s="433" t="n">
        <f aca="false">SUMIF('Data Sheet Aug-2021'!E:E,PVA!B33,'Data Sheet Aug-2021'!U:U)</f>
        <v>0</v>
      </c>
      <c r="J33" s="433" t="n">
        <f aca="false">SUMIF('Data Sheet Aug-2021'!E:E,PVA!B33,'Data Sheet Aug-2021'!P:P)</f>
        <v>0</v>
      </c>
      <c r="K33" s="434" t="n">
        <f aca="false">SUMIF('Data Sheet Aug-2021'!E:E,PVA!B33,'Data Sheet Aug-2021'!Q:Q)</f>
        <v>0</v>
      </c>
      <c r="L33" s="435" t="n">
        <f aca="false">IFERROR(SUM(H33:I33)/SUM(G33:I33),0)</f>
        <v>0.00688592478451389</v>
      </c>
      <c r="M33" s="435" t="n">
        <f aca="false">IFERROR(K33/F33,0)</f>
        <v>0</v>
      </c>
      <c r="N33" s="436" t="n">
        <f aca="false">IFERROR(G33/E33,0)</f>
        <v>5.35618750811583</v>
      </c>
      <c r="O33" s="437" t="n">
        <f aca="false">G33-E33</f>
        <v>67094</v>
      </c>
      <c r="P33" s="438"/>
      <c r="Q33" s="438" t="n">
        <v>0.0213</v>
      </c>
      <c r="R33" s="439" t="n">
        <f aca="false">(H33+I33+K33)*Q33</f>
        <v>12.1836</v>
      </c>
      <c r="S33" s="307"/>
      <c r="Z33" s="279" t="n">
        <f aca="false">H33*Q33</f>
        <v>12.1836</v>
      </c>
      <c r="AA33" s="279" t="n">
        <f aca="false">I33*Q33</f>
        <v>0</v>
      </c>
      <c r="AB33" s="279" t="n">
        <f aca="false">J33</f>
        <v>0</v>
      </c>
      <c r="AC33" s="279" t="n">
        <f aca="false">K33*Q33</f>
        <v>0</v>
      </c>
    </row>
    <row r="34" customFormat="false" ht="13.8" hidden="false" customHeight="false" outlineLevel="0" collapsed="false">
      <c r="A34" s="401"/>
      <c r="B34" s="440" t="s">
        <v>320</v>
      </c>
      <c r="C34" s="441" t="str">
        <f aca="false">VLOOKUP(B34,'Item Data Support Sheet'!A:B,2,0)</f>
        <v>KPP 200 ML BOTTLE PRINTED</v>
      </c>
      <c r="D34" s="442" t="str">
        <f aca="false">IFERROR(VLOOKUP(B34,'Item Data Support Sheet'!A:O,15,0),0)</f>
        <v>KPP6_H</v>
      </c>
      <c r="E34" s="443" t="n">
        <v>0</v>
      </c>
      <c r="F34" s="444" t="n">
        <f aca="false">SUMIF('Data Sheet Aug-2021'!E:E,PVA!B34,'Data Sheet Aug-2021'!N:N)</f>
        <v>62723</v>
      </c>
      <c r="G34" s="444" t="n">
        <f aca="false">SUMIF('Data Sheet Aug-2021'!E:E,PVA!B34,'Data Sheet Aug-2021'!O:O)</f>
        <v>62376</v>
      </c>
      <c r="H34" s="444" t="n">
        <f aca="false">SUMIF('Data Sheet Aug-2021'!E:E,PVA!B34,'Data Sheet Aug-2021'!T:T)</f>
        <v>347</v>
      </c>
      <c r="I34" s="444" t="n">
        <f aca="false">SUMIF('Data Sheet Aug-2021'!E:E,PVA!B34,'Data Sheet Aug-2021'!U:U)</f>
        <v>0</v>
      </c>
      <c r="J34" s="444" t="n">
        <f aca="false">SUMIF('Data Sheet Aug-2021'!E:E,PVA!B34,'Data Sheet Aug-2021'!P:P)</f>
        <v>0</v>
      </c>
      <c r="K34" s="445" t="n">
        <f aca="false">SUMIF('Data Sheet Aug-2021'!E:E,PVA!B34,'Data Sheet Aug-2021'!Q:Q)</f>
        <v>0</v>
      </c>
      <c r="L34" s="446" t="n">
        <f aca="false">IFERROR(SUM(H34:I34)/SUM(G34:I34),0)</f>
        <v>0.0055322608931333</v>
      </c>
      <c r="M34" s="446" t="n">
        <f aca="false">IFERROR(K34/F34,0)</f>
        <v>0</v>
      </c>
      <c r="N34" s="447" t="n">
        <f aca="false">IFERROR(G34/E34,0)</f>
        <v>0</v>
      </c>
      <c r="O34" s="448" t="n">
        <f aca="false">G34-E34</f>
        <v>62376</v>
      </c>
      <c r="P34" s="449"/>
      <c r="Q34" s="449" t="n">
        <v>0.0281</v>
      </c>
      <c r="R34" s="450" t="n">
        <f aca="false">(H34+I34+K34)*Q34</f>
        <v>9.7507</v>
      </c>
      <c r="S34" s="307"/>
      <c r="Z34" s="279" t="n">
        <f aca="false">H34*Q34</f>
        <v>9.7507</v>
      </c>
      <c r="AA34" s="279" t="n">
        <f aca="false">I34*Q34</f>
        <v>0</v>
      </c>
      <c r="AB34" s="279" t="n">
        <f aca="false">J34</f>
        <v>0</v>
      </c>
      <c r="AC34" s="279" t="n">
        <f aca="false">K34*Q34</f>
        <v>0</v>
      </c>
    </row>
    <row r="35" customFormat="false" ht="13.8" hidden="false" customHeight="false" outlineLevel="0" collapsed="false">
      <c r="A35" s="401"/>
      <c r="B35" s="440" t="s">
        <v>65</v>
      </c>
      <c r="C35" s="441" t="str">
        <f aca="false">VLOOKUP(B35,'Item Data Support Sheet'!A:B,2,0)</f>
        <v>KPP 240 ML BOTTLE PRINTED</v>
      </c>
      <c r="D35" s="442" t="str">
        <f aca="false">IFERROR(VLOOKUP(B35,'Item Data Support Sheet'!A:O,15,0),0)</f>
        <v>KPP8_H</v>
      </c>
      <c r="E35" s="443" t="n">
        <v>36304</v>
      </c>
      <c r="F35" s="444" t="n">
        <f aca="false">SUMIF('Data Sheet Aug-2021'!E:E,PVA!B35,'Data Sheet Aug-2021'!N:N)</f>
        <v>182550</v>
      </c>
      <c r="G35" s="444" t="n">
        <f aca="false">SUMIF('Data Sheet Aug-2021'!E:E,PVA!B35,'Data Sheet Aug-2021'!O:O)</f>
        <v>180848</v>
      </c>
      <c r="H35" s="444" t="n">
        <f aca="false">SUMIF('Data Sheet Aug-2021'!E:E,PVA!B35,'Data Sheet Aug-2021'!T:T)</f>
        <v>1702</v>
      </c>
      <c r="I35" s="444" t="n">
        <f aca="false">SUMIF('Data Sheet Aug-2021'!E:E,PVA!B35,'Data Sheet Aug-2021'!U:U)</f>
        <v>0</v>
      </c>
      <c r="J35" s="444" t="n">
        <f aca="false">SUMIF('Data Sheet Aug-2021'!E:E,PVA!B35,'Data Sheet Aug-2021'!P:P)</f>
        <v>0</v>
      </c>
      <c r="K35" s="445" t="n">
        <f aca="false">SUMIF('Data Sheet Aug-2021'!E:E,PVA!B35,'Data Sheet Aug-2021'!Q:Q)</f>
        <v>0</v>
      </c>
      <c r="L35" s="446" t="n">
        <f aca="false">IFERROR(SUM(H35:I35)/SUM(G35:I35),0)</f>
        <v>0.00932347302109011</v>
      </c>
      <c r="M35" s="446" t="n">
        <f aca="false">IFERROR(K35/F35,0)</f>
        <v>0</v>
      </c>
      <c r="N35" s="447" t="n">
        <f aca="false">IFERROR(G35/E35,0)</f>
        <v>4.98148964301454</v>
      </c>
      <c r="O35" s="448" t="n">
        <f aca="false">G35-E35</f>
        <v>144544</v>
      </c>
      <c r="P35" s="449"/>
      <c r="Q35" s="449" t="n">
        <v>0.0321</v>
      </c>
      <c r="R35" s="450" t="n">
        <f aca="false">(H35+I35+K35)*Q35</f>
        <v>54.6342</v>
      </c>
      <c r="S35" s="307"/>
      <c r="Z35" s="279" t="n">
        <f aca="false">H35*Q35</f>
        <v>54.6342</v>
      </c>
      <c r="AA35" s="279" t="n">
        <f aca="false">I35*Q35</f>
        <v>0</v>
      </c>
      <c r="AB35" s="279" t="n">
        <f aca="false">J35</f>
        <v>0</v>
      </c>
      <c r="AC35" s="279" t="n">
        <f aca="false">K35*Q35</f>
        <v>0</v>
      </c>
    </row>
    <row r="36" customFormat="false" ht="13.8" hidden="false" customHeight="false" outlineLevel="0" collapsed="false">
      <c r="A36" s="401"/>
      <c r="B36" s="440" t="s">
        <v>270</v>
      </c>
      <c r="C36" s="441" t="str">
        <f aca="false">VLOOKUP(B36,'Item Data Support Sheet'!A:B,2,0)</f>
        <v>RPP 120 ML BOTTLE PRINTED</v>
      </c>
      <c r="D36" s="442" t="str">
        <f aca="false">IFERROR(VLOOKUP(B36,'Item Data Support Sheet'!A:O,15,0),0)</f>
        <v>RPP4_H</v>
      </c>
      <c r="E36" s="443" t="n">
        <v>6080</v>
      </c>
      <c r="F36" s="444" t="n">
        <f aca="false">SUMIF('Data Sheet Aug-2021'!E:E,PVA!B36,'Data Sheet Aug-2021'!N:N)</f>
        <v>50185</v>
      </c>
      <c r="G36" s="444" t="n">
        <f aca="false">SUMIF('Data Sheet Aug-2021'!E:E,PVA!B36,'Data Sheet Aug-2021'!O:O)</f>
        <v>49843</v>
      </c>
      <c r="H36" s="444" t="n">
        <f aca="false">SUMIF('Data Sheet Aug-2021'!E:E,PVA!B36,'Data Sheet Aug-2021'!T:T)</f>
        <v>342</v>
      </c>
      <c r="I36" s="444" t="n">
        <f aca="false">SUMIF('Data Sheet Aug-2021'!E:E,PVA!B36,'Data Sheet Aug-2021'!U:U)</f>
        <v>0</v>
      </c>
      <c r="J36" s="444" t="n">
        <f aca="false">SUMIF('Data Sheet Aug-2021'!E:E,PVA!B36,'Data Sheet Aug-2021'!P:P)</f>
        <v>0</v>
      </c>
      <c r="K36" s="445" t="n">
        <f aca="false">SUMIF('Data Sheet Aug-2021'!E:E,PVA!B36,'Data Sheet Aug-2021'!Q:Q)</f>
        <v>0</v>
      </c>
      <c r="L36" s="446" t="n">
        <f aca="false">IFERROR(SUM(H36:I36)/SUM(G36:I36),0)</f>
        <v>0.00681478529441068</v>
      </c>
      <c r="M36" s="446" t="n">
        <f aca="false">IFERROR(K36/F36,0)</f>
        <v>0</v>
      </c>
      <c r="N36" s="447" t="n">
        <f aca="false">IFERROR(G36/E36,0)</f>
        <v>8.19786184210526</v>
      </c>
      <c r="O36" s="448" t="n">
        <f aca="false">G36-E36</f>
        <v>43763</v>
      </c>
      <c r="P36" s="449"/>
      <c r="Q36" s="449" t="n">
        <v>0.0213</v>
      </c>
      <c r="R36" s="450" t="n">
        <f aca="false">(H36+I36+K36)*Q36</f>
        <v>7.2846</v>
      </c>
      <c r="S36" s="307"/>
      <c r="Z36" s="279" t="n">
        <f aca="false">H36*Q36</f>
        <v>7.2846</v>
      </c>
      <c r="AA36" s="279" t="n">
        <f aca="false">I36*Q36</f>
        <v>0</v>
      </c>
      <c r="AB36" s="279" t="n">
        <f aca="false">J36</f>
        <v>0</v>
      </c>
      <c r="AC36" s="279" t="n">
        <f aca="false">K36*Q36</f>
        <v>0</v>
      </c>
    </row>
    <row r="37" customFormat="false" ht="13.8" hidden="false" customHeight="false" outlineLevel="0" collapsed="false">
      <c r="A37" s="401"/>
      <c r="B37" s="440" t="s">
        <v>591</v>
      </c>
      <c r="C37" s="441" t="str">
        <f aca="false">VLOOKUP(B37,'Item Data Support Sheet'!A:B,2,0)</f>
        <v>RPP 240 ML BOTTLE PRINTED</v>
      </c>
      <c r="D37" s="442" t="str">
        <f aca="false">IFERROR(VLOOKUP(B37,'Item Data Support Sheet'!A:O,15,0),0)</f>
        <v>RPP8_H</v>
      </c>
      <c r="E37" s="443" t="n">
        <v>4000</v>
      </c>
      <c r="F37" s="444" t="n">
        <f aca="false">SUMIF('Data Sheet Aug-2021'!E:E,PVA!B37,'Data Sheet Aug-2021'!N:N)</f>
        <v>38179</v>
      </c>
      <c r="G37" s="444" t="n">
        <f aca="false">SUMIF('Data Sheet Aug-2021'!E:E,PVA!B37,'Data Sheet Aug-2021'!O:O)</f>
        <v>37903</v>
      </c>
      <c r="H37" s="444" t="n">
        <f aca="false">SUMIF('Data Sheet Aug-2021'!E:E,PVA!B37,'Data Sheet Aug-2021'!T:T)</f>
        <v>276</v>
      </c>
      <c r="I37" s="444" t="n">
        <f aca="false">SUMIF('Data Sheet Aug-2021'!E:E,PVA!B37,'Data Sheet Aug-2021'!U:U)</f>
        <v>0</v>
      </c>
      <c r="J37" s="444" t="n">
        <f aca="false">SUMIF('Data Sheet Aug-2021'!E:E,PVA!B37,'Data Sheet Aug-2021'!P:P)</f>
        <v>0</v>
      </c>
      <c r="K37" s="445" t="n">
        <f aca="false">SUMIF('Data Sheet Aug-2021'!E:E,PVA!B37,'Data Sheet Aug-2021'!Q:Q)</f>
        <v>0</v>
      </c>
      <c r="L37" s="446" t="n">
        <f aca="false">IFERROR(SUM(H37:I37)/SUM(G37:I37),0)</f>
        <v>0.00722910500536944</v>
      </c>
      <c r="M37" s="446" t="n">
        <f aca="false">IFERROR(K37/F37,0)</f>
        <v>0</v>
      </c>
      <c r="N37" s="447" t="n">
        <f aca="false">IFERROR(G37/E37,0)</f>
        <v>9.47575</v>
      </c>
      <c r="O37" s="448" t="n">
        <f aca="false">G37-E37</f>
        <v>33903</v>
      </c>
      <c r="P37" s="449"/>
      <c r="Q37" s="449" t="n">
        <v>0.0321</v>
      </c>
      <c r="R37" s="450" t="n">
        <f aca="false">(H37+I37+K37)*Q37</f>
        <v>8.8596</v>
      </c>
      <c r="S37" s="307"/>
      <c r="T37" s="308"/>
      <c r="Z37" s="279" t="n">
        <f aca="false">H37*Q37</f>
        <v>8.8596</v>
      </c>
      <c r="AA37" s="279" t="n">
        <f aca="false">I37*Q37</f>
        <v>0</v>
      </c>
      <c r="AB37" s="279" t="n">
        <f aca="false">J37</f>
        <v>0</v>
      </c>
      <c r="AC37" s="279" t="n">
        <f aca="false">K37*Q37</f>
        <v>0</v>
      </c>
    </row>
    <row r="38" customFormat="false" ht="13.8" hidden="false" customHeight="false" outlineLevel="0" collapsed="false">
      <c r="A38" s="401"/>
      <c r="B38" s="440" t="s">
        <v>204</v>
      </c>
      <c r="C38" s="441" t="str">
        <f aca="false">VLOOKUP(B38,'Item Data Support Sheet'!A:B,2,0)</f>
        <v>50 ML RPP BOTTLE PRINTED - BIRDS</v>
      </c>
      <c r="D38" s="442" t="s">
        <v>2442</v>
      </c>
      <c r="E38" s="443" t="n">
        <v>0</v>
      </c>
      <c r="F38" s="444" t="n">
        <f aca="false">SUMIF('Data Sheet Aug-2021'!E:E,PVA!B38,'Data Sheet Aug-2021'!N:N)</f>
        <v>3788</v>
      </c>
      <c r="G38" s="444" t="n">
        <f aca="false">SUMIF('Data Sheet Aug-2021'!E:E,PVA!B38,'Data Sheet Aug-2021'!O:O)</f>
        <v>3604</v>
      </c>
      <c r="H38" s="444" t="n">
        <f aca="false">SUMIF('Data Sheet Aug-2021'!E:E,PVA!B38,'Data Sheet Aug-2021'!T:T)</f>
        <v>184</v>
      </c>
      <c r="I38" s="444" t="n">
        <f aca="false">SUMIF('Data Sheet Aug-2021'!E:E,PVA!B38,'Data Sheet Aug-2021'!U:U)</f>
        <v>0</v>
      </c>
      <c r="J38" s="444" t="n">
        <f aca="false">SUMIF('Data Sheet Aug-2021'!E:E,PVA!B38,'Data Sheet Aug-2021'!P:P)</f>
        <v>0</v>
      </c>
      <c r="K38" s="445" t="n">
        <f aca="false">SUMIF('Data Sheet Aug-2021'!E:E,PVA!B38,'Data Sheet Aug-2021'!Q:Q)</f>
        <v>0</v>
      </c>
      <c r="L38" s="446" t="n">
        <f aca="false">IFERROR(SUM(H38:I38)/SUM(G38:I38),0)</f>
        <v>0.0485744456177402</v>
      </c>
      <c r="M38" s="446" t="n">
        <f aca="false">IFERROR(K38/F38,0)</f>
        <v>0</v>
      </c>
      <c r="N38" s="447" t="n">
        <f aca="false">IFERROR(G38/E38,0)</f>
        <v>0</v>
      </c>
      <c r="O38" s="448" t="n">
        <f aca="false">G38-E38</f>
        <v>3604</v>
      </c>
      <c r="P38" s="449"/>
      <c r="Q38" s="449" t="n">
        <v>0.017</v>
      </c>
      <c r="R38" s="450" t="n">
        <f aca="false">(H38+I38+K38)*Q38</f>
        <v>3.128</v>
      </c>
      <c r="S38" s="307"/>
      <c r="V38" s="308"/>
      <c r="Z38" s="279" t="n">
        <f aca="false">H38*Q38</f>
        <v>3.128</v>
      </c>
      <c r="AA38" s="279" t="n">
        <f aca="false">I38*Q38</f>
        <v>0</v>
      </c>
      <c r="AB38" s="279" t="n">
        <f aca="false">J38</f>
        <v>0</v>
      </c>
      <c r="AC38" s="279" t="n">
        <f aca="false">K38*Q38</f>
        <v>0</v>
      </c>
    </row>
    <row r="39" customFormat="false" ht="13.8" hidden="false" customHeight="false" outlineLevel="0" collapsed="false">
      <c r="A39" s="401"/>
      <c r="B39" s="440" t="s">
        <v>2152</v>
      </c>
      <c r="C39" s="441" t="str">
        <f aca="false">VLOOKUP(B39,'Item Data Support Sheet'!A:B,2,0)</f>
        <v>50 ML RPP BOTTLE PRINTED - WHALES</v>
      </c>
      <c r="D39" s="442" t="s">
        <v>2442</v>
      </c>
      <c r="E39" s="443" t="n">
        <v>0</v>
      </c>
      <c r="F39" s="444" t="n">
        <f aca="false">SUMIF('Data Sheet Aug-2021'!E:E,PVA!B39,'Data Sheet Aug-2021'!N:N)</f>
        <v>2006</v>
      </c>
      <c r="G39" s="444" t="n">
        <f aca="false">SUMIF('Data Sheet Aug-2021'!E:E,PVA!B39,'Data Sheet Aug-2021'!O:O)</f>
        <v>1970</v>
      </c>
      <c r="H39" s="444" t="n">
        <f aca="false">SUMIF('Data Sheet Aug-2021'!E:E,PVA!B39,'Data Sheet Aug-2021'!T:T)</f>
        <v>36</v>
      </c>
      <c r="I39" s="444" t="n">
        <f aca="false">SUMIF('Data Sheet Aug-2021'!E:E,PVA!B39,'Data Sheet Aug-2021'!U:U)</f>
        <v>0</v>
      </c>
      <c r="J39" s="444" t="n">
        <f aca="false">SUMIF('Data Sheet Aug-2021'!E:E,PVA!B39,'Data Sheet Aug-2021'!P:P)</f>
        <v>0</v>
      </c>
      <c r="K39" s="445" t="n">
        <f aca="false">SUMIF('Data Sheet Aug-2021'!E:E,PVA!B39,'Data Sheet Aug-2021'!Q:Q)</f>
        <v>0</v>
      </c>
      <c r="L39" s="446" t="n">
        <f aca="false">IFERROR(SUM(H39:I39)/SUM(G39:I39),0)</f>
        <v>0.0179461615154536</v>
      </c>
      <c r="M39" s="446" t="n">
        <f aca="false">IFERROR(K39/F39,0)</f>
        <v>0</v>
      </c>
      <c r="N39" s="447" t="n">
        <f aca="false">IFERROR(G39/E39,0)</f>
        <v>0</v>
      </c>
      <c r="O39" s="448" t="n">
        <f aca="false">G39-E39</f>
        <v>1970</v>
      </c>
      <c r="P39" s="449"/>
      <c r="Q39" s="449" t="n">
        <v>0.017</v>
      </c>
      <c r="R39" s="450" t="n">
        <f aca="false">(H39+I39+K39)*Q39</f>
        <v>0.612</v>
      </c>
      <c r="S39" s="307"/>
      <c r="V39" s="308"/>
      <c r="Z39" s="279" t="n">
        <f aca="false">H39*Q39</f>
        <v>0.612</v>
      </c>
      <c r="AA39" s="279" t="n">
        <f aca="false">I39*Q39</f>
        <v>0</v>
      </c>
      <c r="AB39" s="279" t="n">
        <f aca="false">J39</f>
        <v>0</v>
      </c>
      <c r="AC39" s="279" t="n">
        <f aca="false">K39*Q39</f>
        <v>0</v>
      </c>
    </row>
    <row r="40" customFormat="false" ht="13.8" hidden="false" customHeight="false" outlineLevel="0" collapsed="false">
      <c r="A40" s="401"/>
      <c r="B40" s="440" t="s">
        <v>2180</v>
      </c>
      <c r="C40" s="441" t="str">
        <f aca="false">VLOOKUP(B40,'Item Data Support Sheet'!A:B,2,0)</f>
        <v>50 ML RPP BOTTLE PRINTED - RABBIT</v>
      </c>
      <c r="D40" s="442" t="s">
        <v>2442</v>
      </c>
      <c r="E40" s="443" t="n">
        <v>0</v>
      </c>
      <c r="F40" s="444" t="n">
        <f aca="false">SUMIF('Data Sheet Aug-2021'!E:E,PVA!B40,'Data Sheet Aug-2021'!N:N)</f>
        <v>2280</v>
      </c>
      <c r="G40" s="444" t="n">
        <f aca="false">SUMIF('Data Sheet Aug-2021'!E:E,PVA!B40,'Data Sheet Aug-2021'!O:O)</f>
        <v>2248</v>
      </c>
      <c r="H40" s="444" t="n">
        <f aca="false">SUMIF('Data Sheet Aug-2021'!E:E,PVA!B40,'Data Sheet Aug-2021'!T:T)</f>
        <v>32</v>
      </c>
      <c r="I40" s="444" t="n">
        <f aca="false">SUMIF('Data Sheet Aug-2021'!E:E,PVA!B40,'Data Sheet Aug-2021'!U:U)</f>
        <v>0</v>
      </c>
      <c r="J40" s="444" t="n">
        <f aca="false">SUMIF('Data Sheet Aug-2021'!E:E,PVA!B40,'Data Sheet Aug-2021'!P:P)</f>
        <v>0</v>
      </c>
      <c r="K40" s="445" t="n">
        <f aca="false">SUMIF('Data Sheet Aug-2021'!E:E,PVA!B40,'Data Sheet Aug-2021'!Q:Q)</f>
        <v>0</v>
      </c>
      <c r="L40" s="446" t="n">
        <f aca="false">IFERROR(SUM(H40:I40)/SUM(G40:I40),0)</f>
        <v>0.0140350877192982</v>
      </c>
      <c r="M40" s="446" t="n">
        <f aca="false">IFERROR(K40/F40,0)</f>
        <v>0</v>
      </c>
      <c r="N40" s="447" t="n">
        <f aca="false">IFERROR(G40/E40,0)</f>
        <v>0</v>
      </c>
      <c r="O40" s="448" t="n">
        <f aca="false">G40-E40</f>
        <v>2248</v>
      </c>
      <c r="P40" s="449"/>
      <c r="Q40" s="449" t="n">
        <v>0.017</v>
      </c>
      <c r="R40" s="450" t="n">
        <f aca="false">(H40+I40+K40)*Q40</f>
        <v>0.544</v>
      </c>
      <c r="S40" s="307"/>
      <c r="V40" s="308"/>
      <c r="Z40" s="279" t="n">
        <f aca="false">H40*Q40</f>
        <v>0.544</v>
      </c>
      <c r="AA40" s="279" t="n">
        <f aca="false">I40*Q40</f>
        <v>0</v>
      </c>
      <c r="AB40" s="279" t="n">
        <f aca="false">J40</f>
        <v>0</v>
      </c>
      <c r="AC40" s="279" t="n">
        <f aca="false">K40*Q40</f>
        <v>0</v>
      </c>
    </row>
    <row r="41" customFormat="false" ht="13.8" hidden="false" customHeight="false" outlineLevel="0" collapsed="false">
      <c r="A41" s="401"/>
      <c r="B41" s="440" t="s">
        <v>594</v>
      </c>
      <c r="C41" s="441" t="str">
        <f aca="false">VLOOKUP(B41,'Item Data Support Sheet'!A:B,2,0)</f>
        <v>RPP 120 ML RPP PRINTED ELEPHANT</v>
      </c>
      <c r="D41" s="442" t="s">
        <v>2443</v>
      </c>
      <c r="E41" s="443" t="n">
        <v>0</v>
      </c>
      <c r="F41" s="444" t="n">
        <f aca="false">SUMIF('Data Sheet Aug-2021'!E:E,PVA!B41,'Data Sheet Aug-2021'!N:N)</f>
        <v>423</v>
      </c>
      <c r="G41" s="444" t="n">
        <f aca="false">SUMIF('Data Sheet Aug-2021'!E:E,PVA!B41,'Data Sheet Aug-2021'!O:O)</f>
        <v>412</v>
      </c>
      <c r="H41" s="444" t="n">
        <f aca="false">SUMIF('Data Sheet Aug-2021'!E:E,PVA!B41,'Data Sheet Aug-2021'!T:T)</f>
        <v>11</v>
      </c>
      <c r="I41" s="444" t="n">
        <f aca="false">SUMIF('Data Sheet Aug-2021'!E:E,PVA!B41,'Data Sheet Aug-2021'!U:U)</f>
        <v>0</v>
      </c>
      <c r="J41" s="444" t="n">
        <f aca="false">SUMIF('Data Sheet Aug-2021'!E:E,PVA!B41,'Data Sheet Aug-2021'!P:P)</f>
        <v>0</v>
      </c>
      <c r="K41" s="445" t="n">
        <f aca="false">SUMIF('Data Sheet Aug-2021'!E:E,PVA!B41,'Data Sheet Aug-2021'!Q:Q)</f>
        <v>0</v>
      </c>
      <c r="L41" s="446" t="n">
        <f aca="false">IFERROR(SUM(H41:I41)/SUM(G41:I41),0)</f>
        <v>0.0260047281323877</v>
      </c>
      <c r="M41" s="446" t="n">
        <f aca="false">IFERROR(K41/F41,0)</f>
        <v>0</v>
      </c>
      <c r="N41" s="447" t="n">
        <f aca="false">IFERROR(G41/E41,0)</f>
        <v>0</v>
      </c>
      <c r="O41" s="448" t="n">
        <f aca="false">G41-E41</f>
        <v>412</v>
      </c>
      <c r="P41" s="449"/>
      <c r="Q41" s="449" t="n">
        <v>0.022</v>
      </c>
      <c r="R41" s="450" t="n">
        <f aca="false">(H41+I41+K41)*Q41</f>
        <v>0.242</v>
      </c>
      <c r="S41" s="307"/>
      <c r="V41" s="308"/>
      <c r="Z41" s="279" t="n">
        <f aca="false">H41*Q41</f>
        <v>0.242</v>
      </c>
      <c r="AA41" s="279" t="n">
        <f aca="false">I41*Q41</f>
        <v>0</v>
      </c>
      <c r="AB41" s="279" t="n">
        <f aca="false">J41</f>
        <v>0</v>
      </c>
      <c r="AC41" s="279" t="n">
        <f aca="false">K41*Q41</f>
        <v>0</v>
      </c>
    </row>
    <row r="42" customFormat="false" ht="13.8" hidden="false" customHeight="false" outlineLevel="0" collapsed="false">
      <c r="A42" s="401"/>
      <c r="B42" s="440" t="s">
        <v>547</v>
      </c>
      <c r="C42" s="441" t="str">
        <f aca="false">VLOOKUP(B42,'Item Data Support Sheet'!A:B,2,0)</f>
        <v>RPP 240 ML RPP PRINTED ELEPHANT</v>
      </c>
      <c r="D42" s="442" t="s">
        <v>2444</v>
      </c>
      <c r="E42" s="443" t="n">
        <v>0</v>
      </c>
      <c r="F42" s="444" t="n">
        <f aca="false">SUMIF('Data Sheet Aug-2021'!E:E,PVA!B42,'Data Sheet Aug-2021'!N:N)</f>
        <v>1913</v>
      </c>
      <c r="G42" s="444" t="n">
        <f aca="false">SUMIF('Data Sheet Aug-2021'!E:E,PVA!B42,'Data Sheet Aug-2021'!O:O)</f>
        <v>1894</v>
      </c>
      <c r="H42" s="444" t="n">
        <f aca="false">SUMIF('Data Sheet Aug-2021'!E:E,PVA!B42,'Data Sheet Aug-2021'!T:T)</f>
        <v>19</v>
      </c>
      <c r="I42" s="444" t="n">
        <f aca="false">SUMIF('Data Sheet Aug-2021'!E:E,PVA!B42,'Data Sheet Aug-2021'!U:U)</f>
        <v>0</v>
      </c>
      <c r="J42" s="444" t="n">
        <f aca="false">SUMIF('Data Sheet Aug-2021'!E:E,PVA!B42,'Data Sheet Aug-2021'!P:P)</f>
        <v>0</v>
      </c>
      <c r="K42" s="445" t="n">
        <f aca="false">SUMIF('Data Sheet Aug-2021'!E:E,PVA!B42,'Data Sheet Aug-2021'!Q:Q)</f>
        <v>0</v>
      </c>
      <c r="L42" s="446" t="n">
        <f aca="false">IFERROR(SUM(H42:I42)/SUM(G42:I42),0)</f>
        <v>0.00993204391008887</v>
      </c>
      <c r="M42" s="446" t="n">
        <f aca="false">IFERROR(K42/F42,0)</f>
        <v>0</v>
      </c>
      <c r="N42" s="447" t="n">
        <f aca="false">IFERROR(G42/E42,0)</f>
        <v>0</v>
      </c>
      <c r="O42" s="448" t="n">
        <f aca="false">G42-E42</f>
        <v>1894</v>
      </c>
      <c r="P42" s="449"/>
      <c r="Q42" s="449" t="n">
        <v>0.032</v>
      </c>
      <c r="R42" s="450" t="n">
        <f aca="false">(H42+I42+K42)*Q42</f>
        <v>0.608</v>
      </c>
      <c r="S42" s="307"/>
      <c r="V42" s="308"/>
      <c r="Z42" s="279" t="n">
        <f aca="false">H42*Q42</f>
        <v>0.608</v>
      </c>
      <c r="AA42" s="279" t="n">
        <f aca="false">I42*Q42</f>
        <v>0</v>
      </c>
      <c r="AB42" s="279" t="n">
        <f aca="false">J42</f>
        <v>0</v>
      </c>
      <c r="AC42" s="279" t="n">
        <f aca="false">K42*Q42</f>
        <v>0</v>
      </c>
    </row>
    <row r="43" customFormat="false" ht="13.8" hidden="false" customHeight="false" outlineLevel="0" collapsed="false">
      <c r="A43" s="401"/>
      <c r="B43" s="440" t="s">
        <v>1684</v>
      </c>
      <c r="C43" s="441" t="str">
        <f aca="false">VLOOKUP(B43,'Item Data Support Sheet'!A:B,2,0)</f>
        <v>RPP 120 ML RPP PRINTED BEE</v>
      </c>
      <c r="D43" s="442" t="s">
        <v>2443</v>
      </c>
      <c r="E43" s="443" t="n">
        <v>0</v>
      </c>
      <c r="F43" s="444" t="n">
        <f aca="false">SUMIF('Data Sheet Aug-2021'!E:E,PVA!B43,'Data Sheet Aug-2021'!N:N)</f>
        <v>607</v>
      </c>
      <c r="G43" s="444" t="n">
        <f aca="false">SUMIF('Data Sheet Aug-2021'!E:E,PVA!B43,'Data Sheet Aug-2021'!O:O)</f>
        <v>599</v>
      </c>
      <c r="H43" s="444" t="n">
        <f aca="false">SUMIF('Data Sheet Aug-2021'!E:E,PVA!B43,'Data Sheet Aug-2021'!T:T)</f>
        <v>8</v>
      </c>
      <c r="I43" s="444" t="n">
        <f aca="false">SUMIF('Data Sheet Aug-2021'!E:E,PVA!B43,'Data Sheet Aug-2021'!U:U)</f>
        <v>0</v>
      </c>
      <c r="J43" s="444" t="n">
        <f aca="false">SUMIF('Data Sheet Aug-2021'!E:E,PVA!B43,'Data Sheet Aug-2021'!P:P)</f>
        <v>0</v>
      </c>
      <c r="K43" s="445" t="n">
        <f aca="false">SUMIF('Data Sheet Aug-2021'!E:E,PVA!B43,'Data Sheet Aug-2021'!Q:Q)</f>
        <v>0</v>
      </c>
      <c r="L43" s="446" t="n">
        <f aca="false">IFERROR(SUM(H43:I43)/SUM(G43:I43),0)</f>
        <v>0.0131795716639209</v>
      </c>
      <c r="M43" s="446" t="n">
        <f aca="false">IFERROR(K43/F43,0)</f>
        <v>0</v>
      </c>
      <c r="N43" s="447" t="n">
        <f aca="false">IFERROR(G43/E43,0)</f>
        <v>0</v>
      </c>
      <c r="O43" s="448" t="n">
        <f aca="false">G43-E43</f>
        <v>599</v>
      </c>
      <c r="P43" s="449"/>
      <c r="Q43" s="449" t="n">
        <v>0.022</v>
      </c>
      <c r="R43" s="450" t="n">
        <f aca="false">(H43+I43+K43)*Q43</f>
        <v>0.176</v>
      </c>
      <c r="S43" s="307"/>
      <c r="V43" s="308"/>
      <c r="Z43" s="279" t="n">
        <f aca="false">H43*Q43</f>
        <v>0.176</v>
      </c>
      <c r="AA43" s="279" t="n">
        <f aca="false">I43*Q43</f>
        <v>0</v>
      </c>
      <c r="AB43" s="279" t="n">
        <f aca="false">J43</f>
        <v>0</v>
      </c>
      <c r="AC43" s="279" t="n">
        <f aca="false">K43*Q43</f>
        <v>0</v>
      </c>
    </row>
    <row r="44" customFormat="false" ht="13.8" hidden="false" customHeight="false" outlineLevel="0" collapsed="false">
      <c r="A44" s="401"/>
      <c r="B44" s="440" t="s">
        <v>612</v>
      </c>
      <c r="C44" s="441" t="str">
        <f aca="false">VLOOKUP(B44,'Item Data Support Sheet'!A:B,2,0)</f>
        <v>RPP 240 ML RPP PRINTED BEE</v>
      </c>
      <c r="D44" s="442" t="s">
        <v>2444</v>
      </c>
      <c r="E44" s="443" t="n">
        <v>0</v>
      </c>
      <c r="F44" s="444" t="n">
        <f aca="false">SUMIF('Data Sheet Aug-2021'!E:E,PVA!B44,'Data Sheet Aug-2021'!N:N)</f>
        <v>1051</v>
      </c>
      <c r="G44" s="444" t="n">
        <f aca="false">SUMIF('Data Sheet Aug-2021'!E:E,PVA!B44,'Data Sheet Aug-2021'!O:O)</f>
        <v>1038</v>
      </c>
      <c r="H44" s="444" t="n">
        <f aca="false">SUMIF('Data Sheet Aug-2021'!E:E,PVA!B44,'Data Sheet Aug-2021'!T:T)</f>
        <v>13</v>
      </c>
      <c r="I44" s="444" t="n">
        <f aca="false">SUMIF('Data Sheet Aug-2021'!E:E,PVA!B44,'Data Sheet Aug-2021'!U:U)</f>
        <v>0</v>
      </c>
      <c r="J44" s="444" t="n">
        <f aca="false">SUMIF('Data Sheet Aug-2021'!E:E,PVA!B44,'Data Sheet Aug-2021'!P:P)</f>
        <v>0</v>
      </c>
      <c r="K44" s="445" t="n">
        <f aca="false">SUMIF('Data Sheet Aug-2021'!E:E,PVA!B44,'Data Sheet Aug-2021'!Q:Q)</f>
        <v>0</v>
      </c>
      <c r="L44" s="446" t="n">
        <f aca="false">IFERROR(SUM(H44:I44)/SUM(G44:I44),0)</f>
        <v>0.0123691722169363</v>
      </c>
      <c r="M44" s="446" t="n">
        <f aca="false">IFERROR(K44/F44,0)</f>
        <v>0</v>
      </c>
      <c r="N44" s="447" t="n">
        <f aca="false">IFERROR(G44/E44,0)</f>
        <v>0</v>
      </c>
      <c r="O44" s="448" t="n">
        <f aca="false">G44-E44</f>
        <v>1038</v>
      </c>
      <c r="P44" s="449"/>
      <c r="Q44" s="449" t="n">
        <v>0.032</v>
      </c>
      <c r="R44" s="450" t="n">
        <f aca="false">(H44+I44+K44)*Q44</f>
        <v>0.416</v>
      </c>
      <c r="S44" s="307"/>
      <c r="V44" s="308"/>
      <c r="Z44" s="279" t="n">
        <f aca="false">H44*Q44</f>
        <v>0.416</v>
      </c>
      <c r="AA44" s="279" t="n">
        <f aca="false">I44*Q44</f>
        <v>0</v>
      </c>
      <c r="AB44" s="279" t="n">
        <f aca="false">J44</f>
        <v>0</v>
      </c>
      <c r="AC44" s="279" t="n">
        <f aca="false">K44*Q44</f>
        <v>0</v>
      </c>
    </row>
    <row r="45" customFormat="false" ht="13.8" hidden="false" customHeight="false" outlineLevel="0" collapsed="false">
      <c r="A45" s="401"/>
      <c r="B45" s="440" t="s">
        <v>2445</v>
      </c>
      <c r="C45" s="441" t="str">
        <f aca="false">VLOOKUP(B45,'Item Data Support Sheet'!A:B,2,0)</f>
        <v>RPP 120 ML RPP PRINTED LION</v>
      </c>
      <c r="D45" s="442" t="s">
        <v>2443</v>
      </c>
      <c r="E45" s="443" t="n">
        <v>0</v>
      </c>
      <c r="F45" s="444" t="n">
        <f aca="false">SUMIF('Data Sheet Aug-2021'!E:E,PVA!B45,'Data Sheet Aug-2021'!N:N)</f>
        <v>0</v>
      </c>
      <c r="G45" s="444" t="n">
        <f aca="false">SUMIF('Data Sheet Aug-2021'!E:E,PVA!B45,'Data Sheet Aug-2021'!O:O)</f>
        <v>0</v>
      </c>
      <c r="H45" s="444" t="n">
        <f aca="false">SUMIF('Data Sheet Aug-2021'!E:E,PVA!B45,'Data Sheet Aug-2021'!T:T)</f>
        <v>0</v>
      </c>
      <c r="I45" s="444" t="n">
        <f aca="false">SUMIF('Data Sheet Aug-2021'!E:E,PVA!B45,'Data Sheet Aug-2021'!U:U)</f>
        <v>0</v>
      </c>
      <c r="J45" s="444" t="n">
        <f aca="false">SUMIF('Data Sheet Aug-2021'!E:E,PVA!B45,'Data Sheet Aug-2021'!P:P)</f>
        <v>0</v>
      </c>
      <c r="K45" s="445" t="n">
        <f aca="false">SUMIF('Data Sheet Aug-2021'!E:E,PVA!B45,'Data Sheet Aug-2021'!Q:Q)</f>
        <v>0</v>
      </c>
      <c r="L45" s="446" t="n">
        <f aca="false">IFERROR(SUM(H45:I45)/SUM(G45:I45),0)</f>
        <v>0</v>
      </c>
      <c r="M45" s="446" t="n">
        <f aca="false">IFERROR(K45/F45,0)</f>
        <v>0</v>
      </c>
      <c r="N45" s="447" t="n">
        <f aca="false">IFERROR(G45/E45,0)</f>
        <v>0</v>
      </c>
      <c r="O45" s="448" t="n">
        <f aca="false">G45-E45</f>
        <v>0</v>
      </c>
      <c r="P45" s="449"/>
      <c r="Q45" s="449" t="n">
        <v>0.022</v>
      </c>
      <c r="R45" s="450" t="n">
        <f aca="false">(H45+I45+K45)*Q45</f>
        <v>0</v>
      </c>
      <c r="S45" s="307"/>
      <c r="V45" s="308"/>
      <c r="Z45" s="279" t="n">
        <f aca="false">H45*Q45</f>
        <v>0</v>
      </c>
      <c r="AA45" s="279" t="n">
        <f aca="false">I45*Q45</f>
        <v>0</v>
      </c>
      <c r="AB45" s="279" t="n">
        <f aca="false">J45</f>
        <v>0</v>
      </c>
      <c r="AC45" s="279" t="n">
        <f aca="false">K45*Q45</f>
        <v>0</v>
      </c>
    </row>
    <row r="46" customFormat="false" ht="13.8" hidden="false" customHeight="false" outlineLevel="0" collapsed="false">
      <c r="A46" s="401"/>
      <c r="B46" s="440" t="s">
        <v>2446</v>
      </c>
      <c r="C46" s="441" t="str">
        <f aca="false">VLOOKUP(B46,'Item Data Support Sheet'!A:B,2,0)</f>
        <v>RPP 120 ML RPP PRINTED BUG</v>
      </c>
      <c r="D46" s="442" t="s">
        <v>2443</v>
      </c>
      <c r="E46" s="443" t="n">
        <v>0</v>
      </c>
      <c r="F46" s="444" t="n">
        <f aca="false">SUMIF('Data Sheet Aug-2021'!E:E,PVA!B46,'Data Sheet Aug-2021'!N:N)</f>
        <v>0</v>
      </c>
      <c r="G46" s="444" t="n">
        <f aca="false">SUMIF('Data Sheet Aug-2021'!E:E,PVA!B46,'Data Sheet Aug-2021'!O:O)</f>
        <v>0</v>
      </c>
      <c r="H46" s="444" t="n">
        <f aca="false">SUMIF('Data Sheet Aug-2021'!E:E,PVA!B46,'Data Sheet Aug-2021'!T:T)</f>
        <v>0</v>
      </c>
      <c r="I46" s="444" t="n">
        <f aca="false">SUMIF('Data Sheet Aug-2021'!E:E,PVA!B46,'Data Sheet Aug-2021'!U:U)</f>
        <v>0</v>
      </c>
      <c r="J46" s="444" t="n">
        <f aca="false">SUMIF('Data Sheet Aug-2021'!E:E,PVA!B46,'Data Sheet Aug-2021'!P:P)</f>
        <v>0</v>
      </c>
      <c r="K46" s="445" t="n">
        <f aca="false">SUMIF('Data Sheet Aug-2021'!E:E,PVA!B46,'Data Sheet Aug-2021'!Q:Q)</f>
        <v>0</v>
      </c>
      <c r="L46" s="446" t="n">
        <f aca="false">IFERROR(SUM(H46:I46)/SUM(G46:I46),0)</f>
        <v>0</v>
      </c>
      <c r="M46" s="446" t="n">
        <f aca="false">IFERROR(K46/F46,0)</f>
        <v>0</v>
      </c>
      <c r="N46" s="447" t="n">
        <f aca="false">IFERROR(G46/E46,0)</f>
        <v>0</v>
      </c>
      <c r="O46" s="448" t="n">
        <f aca="false">G46-E46</f>
        <v>0</v>
      </c>
      <c r="P46" s="449"/>
      <c r="Q46" s="449" t="n">
        <v>0.022</v>
      </c>
      <c r="R46" s="450" t="n">
        <f aca="false">(H46+I46+K46)*Q46</f>
        <v>0</v>
      </c>
      <c r="S46" s="307"/>
      <c r="V46" s="308"/>
      <c r="Z46" s="279" t="n">
        <f aca="false">H46*Q46</f>
        <v>0</v>
      </c>
      <c r="AA46" s="279" t="n">
        <f aca="false">I46*Q46</f>
        <v>0</v>
      </c>
      <c r="AB46" s="279" t="n">
        <f aca="false">J46</f>
        <v>0</v>
      </c>
      <c r="AC46" s="279" t="n">
        <f aca="false">K46*Q46</f>
        <v>0</v>
      </c>
    </row>
    <row r="47" customFormat="false" ht="13.8" hidden="false" customHeight="false" outlineLevel="0" collapsed="false">
      <c r="A47" s="401"/>
      <c r="B47" s="440" t="s">
        <v>2447</v>
      </c>
      <c r="C47" s="441" t="str">
        <f aca="false">VLOOKUP(B47,'Item Data Support Sheet'!A:B,2,0)</f>
        <v>RPP 240 ML RPP PRINTED DUCK</v>
      </c>
      <c r="D47" s="442" t="s">
        <v>2444</v>
      </c>
      <c r="E47" s="443" t="n">
        <v>0</v>
      </c>
      <c r="F47" s="444" t="n">
        <f aca="false">SUMIF('Data Sheet Aug-2021'!E:E,PVA!B47,'Data Sheet Aug-2021'!N:N)</f>
        <v>0</v>
      </c>
      <c r="G47" s="444" t="n">
        <f aca="false">SUMIF('Data Sheet Aug-2021'!E:E,PVA!B47,'Data Sheet Aug-2021'!O:O)</f>
        <v>0</v>
      </c>
      <c r="H47" s="444" t="n">
        <f aca="false">SUMIF('Data Sheet Aug-2021'!E:E,PVA!B47,'Data Sheet Aug-2021'!T:T)</f>
        <v>0</v>
      </c>
      <c r="I47" s="444" t="n">
        <f aca="false">SUMIF('Data Sheet Aug-2021'!E:E,PVA!B47,'Data Sheet Aug-2021'!U:U)</f>
        <v>0</v>
      </c>
      <c r="J47" s="444" t="n">
        <f aca="false">SUMIF('Data Sheet Aug-2021'!E:E,PVA!B47,'Data Sheet Aug-2021'!P:P)</f>
        <v>0</v>
      </c>
      <c r="K47" s="445" t="n">
        <f aca="false">SUMIF('Data Sheet Aug-2021'!E:E,PVA!B47,'Data Sheet Aug-2021'!Q:Q)</f>
        <v>0</v>
      </c>
      <c r="L47" s="446" t="n">
        <f aca="false">IFERROR(SUM(H47:I47)/SUM(G47:I47),0)</f>
        <v>0</v>
      </c>
      <c r="M47" s="446" t="n">
        <f aca="false">IFERROR(K47/F47,0)</f>
        <v>0</v>
      </c>
      <c r="N47" s="447" t="n">
        <f aca="false">IFERROR(G47/E47,0)</f>
        <v>0</v>
      </c>
      <c r="O47" s="448" t="n">
        <f aca="false">G47-E47</f>
        <v>0</v>
      </c>
      <c r="P47" s="449"/>
      <c r="Q47" s="449" t="n">
        <v>0.032</v>
      </c>
      <c r="R47" s="450" t="n">
        <f aca="false">(H47+I47+K47)*Q47</f>
        <v>0</v>
      </c>
      <c r="S47" s="307"/>
      <c r="V47" s="308"/>
      <c r="Z47" s="279" t="n">
        <f aca="false">H47*Q47</f>
        <v>0</v>
      </c>
      <c r="AA47" s="279" t="n">
        <f aca="false">I47*Q47</f>
        <v>0</v>
      </c>
      <c r="AB47" s="279" t="n">
        <f aca="false">J47</f>
        <v>0</v>
      </c>
      <c r="AC47" s="279" t="n">
        <f aca="false">K47*Q47</f>
        <v>0</v>
      </c>
    </row>
    <row r="48" customFormat="false" ht="13.8" hidden="false" customHeight="false" outlineLevel="0" collapsed="false">
      <c r="A48" s="401"/>
      <c r="B48" s="440" t="s">
        <v>2448</v>
      </c>
      <c r="C48" s="441" t="str">
        <f aca="false">VLOOKUP(B48,'Item Data Support Sheet'!A:B,2,0)</f>
        <v>RPP 240 ML RPP PRINTED GIRAFFE</v>
      </c>
      <c r="D48" s="442" t="s">
        <v>2444</v>
      </c>
      <c r="E48" s="443" t="n">
        <v>0</v>
      </c>
      <c r="F48" s="444" t="n">
        <f aca="false">SUMIF('Data Sheet Aug-2021'!E:E,PVA!B48,'Data Sheet Aug-2021'!N:N)</f>
        <v>0</v>
      </c>
      <c r="G48" s="444" t="n">
        <f aca="false">SUMIF('Data Sheet Aug-2021'!E:E,PVA!B48,'Data Sheet Aug-2021'!O:O)</f>
        <v>0</v>
      </c>
      <c r="H48" s="444" t="n">
        <f aca="false">SUMIF('Data Sheet Aug-2021'!E:E,PVA!B48,'Data Sheet Aug-2021'!T:T)</f>
        <v>0</v>
      </c>
      <c r="I48" s="444" t="n">
        <f aca="false">SUMIF('Data Sheet Aug-2021'!E:E,PVA!B48,'Data Sheet Aug-2021'!U:U)</f>
        <v>0</v>
      </c>
      <c r="J48" s="444" t="n">
        <f aca="false">SUMIF('Data Sheet Aug-2021'!E:E,PVA!B48,'Data Sheet Aug-2021'!P:P)</f>
        <v>0</v>
      </c>
      <c r="K48" s="445" t="n">
        <f aca="false">SUMIF('Data Sheet Aug-2021'!E:E,PVA!B48,'Data Sheet Aug-2021'!Q:Q)</f>
        <v>0</v>
      </c>
      <c r="L48" s="446" t="n">
        <f aca="false">IFERROR(SUM(H48:I48)/SUM(G48:I48),0)</f>
        <v>0</v>
      </c>
      <c r="M48" s="446" t="n">
        <f aca="false">IFERROR(K48/F48,0)</f>
        <v>0</v>
      </c>
      <c r="N48" s="447" t="n">
        <f aca="false">IFERROR(G48/E48,0)</f>
        <v>0</v>
      </c>
      <c r="O48" s="448" t="n">
        <f aca="false">G48-E48</f>
        <v>0</v>
      </c>
      <c r="P48" s="449"/>
      <c r="Q48" s="449" t="n">
        <v>0.032</v>
      </c>
      <c r="R48" s="450" t="n">
        <f aca="false">(H48+I48+K48)*Q48</f>
        <v>0</v>
      </c>
      <c r="S48" s="307"/>
      <c r="V48" s="308"/>
      <c r="Z48" s="279" t="n">
        <f aca="false">H48*Q48</f>
        <v>0</v>
      </c>
      <c r="AA48" s="279" t="n">
        <f aca="false">I48*Q48</f>
        <v>0</v>
      </c>
      <c r="AB48" s="279" t="n">
        <f aca="false">J48</f>
        <v>0</v>
      </c>
      <c r="AC48" s="279" t="n">
        <f aca="false">K48*Q48</f>
        <v>0</v>
      </c>
    </row>
    <row r="49" customFormat="false" ht="13.8" hidden="false" customHeight="false" outlineLevel="0" collapsed="false">
      <c r="A49" s="401"/>
      <c r="B49" s="451" t="s">
        <v>2449</v>
      </c>
      <c r="C49" s="452" t="str">
        <f aca="false">VLOOKUP(B49,'Item Data Support Sheet'!A:B,2,0)</f>
        <v>SQUEEZABLE -RPP 240ML PP BOTTLE PRINTED</v>
      </c>
      <c r="D49" s="453" t="s">
        <v>2444</v>
      </c>
      <c r="E49" s="454" t="n">
        <v>0</v>
      </c>
      <c r="F49" s="455" t="n">
        <f aca="false">SUMIF('Data Sheet Aug-2021'!E:E,PVA!B49,'Data Sheet Aug-2021'!N:N)</f>
        <v>0</v>
      </c>
      <c r="G49" s="455" t="n">
        <f aca="false">SUMIF('Data Sheet Aug-2021'!E:E,PVA!B49,'Data Sheet Aug-2021'!O:O)</f>
        <v>0</v>
      </c>
      <c r="H49" s="455" t="n">
        <f aca="false">SUMIF('Data Sheet Aug-2021'!E:E,PVA!B49,'Data Sheet Aug-2021'!T:T)</f>
        <v>0</v>
      </c>
      <c r="I49" s="455" t="n">
        <f aca="false">SUMIF('Data Sheet Aug-2021'!E:E,PVA!B49,'Data Sheet Aug-2021'!U:U)</f>
        <v>0</v>
      </c>
      <c r="J49" s="455" t="n">
        <f aca="false">SUMIF('Data Sheet Aug-2021'!E:E,PVA!B49,'Data Sheet Aug-2021'!P:P)</f>
        <v>0</v>
      </c>
      <c r="K49" s="456" t="n">
        <f aca="false">SUMIF('Data Sheet Aug-2021'!E:E,PVA!B49,'Data Sheet Aug-2021'!Q:Q)</f>
        <v>0</v>
      </c>
      <c r="L49" s="446" t="n">
        <f aca="false">IFERROR(SUM(H49:I49)/SUM(G49:I49),0)</f>
        <v>0</v>
      </c>
      <c r="M49" s="446" t="n">
        <f aca="false">IFERROR(K49/F49,0)</f>
        <v>0</v>
      </c>
      <c r="N49" s="447" t="n">
        <f aca="false">IFERROR(G49/E49,0)</f>
        <v>0</v>
      </c>
      <c r="O49" s="457" t="n">
        <f aca="false">G49-E49</f>
        <v>0</v>
      </c>
      <c r="P49" s="458"/>
      <c r="Q49" s="458" t="n">
        <v>0.028</v>
      </c>
      <c r="R49" s="459" t="n">
        <f aca="false">(H49+I49+K49)*Q49</f>
        <v>0</v>
      </c>
      <c r="S49" s="307"/>
      <c r="U49" s="308" t="n">
        <f aca="false">SUM(R33:R49)</f>
        <v>98.4387</v>
      </c>
      <c r="V49" s="308"/>
      <c r="Z49" s="279" t="n">
        <f aca="false">H49*Q49</f>
        <v>0</v>
      </c>
      <c r="AA49" s="279" t="n">
        <f aca="false">I49*Q49</f>
        <v>0</v>
      </c>
      <c r="AB49" s="279" t="n">
        <f aca="false">J49</f>
        <v>0</v>
      </c>
      <c r="AC49" s="279" t="n">
        <f aca="false">K49*Q49</f>
        <v>0</v>
      </c>
    </row>
    <row r="50" customFormat="false" ht="13.8" hidden="false" customHeight="false" outlineLevel="0" collapsed="false">
      <c r="A50" s="401"/>
      <c r="B50" s="391" t="s">
        <v>829</v>
      </c>
      <c r="C50" s="390" t="str">
        <f aca="false">VLOOKUP(B50,'Item Data Support Sheet'!A:B,2,0)</f>
        <v>KPP 120 BOTTLE PRINTED-WMG3B (OZ SCALE)</v>
      </c>
      <c r="D50" s="389" t="str">
        <f aca="false">IFERROR(VLOOKUP(B50,'Item Data Support Sheet'!A:O,15,0),0)</f>
        <v>KPP4_W</v>
      </c>
      <c r="E50" s="460" t="n">
        <v>2100</v>
      </c>
      <c r="F50" s="393" t="n">
        <f aca="false">SUMIF('Data Sheet Aug-2021'!E:E,PVA!B50,'Data Sheet Aug-2021'!N:N)</f>
        <v>4450</v>
      </c>
      <c r="G50" s="393" t="n">
        <f aca="false">SUMIF('Data Sheet Aug-2021'!E:E,PVA!B50,'Data Sheet Aug-2021'!O:O)</f>
        <v>4397</v>
      </c>
      <c r="H50" s="393" t="n">
        <f aca="false">SUMIF('Data Sheet Aug-2021'!E:E,PVA!B50,'Data Sheet Aug-2021'!T:T)</f>
        <v>53</v>
      </c>
      <c r="I50" s="393" t="n">
        <f aca="false">SUMIF('Data Sheet Aug-2021'!E:E,PVA!B50,'Data Sheet Aug-2021'!U:U)</f>
        <v>0</v>
      </c>
      <c r="J50" s="393" t="n">
        <f aca="false">SUMIF('Data Sheet Aug-2021'!E:E,PVA!B50,'Data Sheet Aug-2021'!P:P)</f>
        <v>0</v>
      </c>
      <c r="K50" s="393" t="n">
        <f aca="false">SUMIF('Data Sheet Aug-2021'!E:E,PVA!B50,'Data Sheet Aug-2021'!Q:Q)</f>
        <v>0</v>
      </c>
      <c r="L50" s="461" t="n">
        <f aca="false">IFERROR(SUM(H50:I50)/SUM(G50:I50),0)</f>
        <v>0.0119101123595506</v>
      </c>
      <c r="M50" s="395" t="n">
        <f aca="false">IFERROR(K50/F50,0)</f>
        <v>0</v>
      </c>
      <c r="N50" s="396" t="n">
        <f aca="false">IFERROR(G50/E50,0)</f>
        <v>2.09380952380952</v>
      </c>
      <c r="O50" s="462" t="n">
        <f aca="false">G50-E50</f>
        <v>2297</v>
      </c>
      <c r="P50" s="462"/>
      <c r="Q50" s="463" t="n">
        <v>0.022</v>
      </c>
      <c r="R50" s="464" t="n">
        <f aca="false">(H50+I50+K50)*Q50</f>
        <v>1.166</v>
      </c>
      <c r="S50" s="307"/>
      <c r="Z50" s="279" t="n">
        <f aca="false">H50*Q50</f>
        <v>1.166</v>
      </c>
      <c r="AA50" s="279" t="n">
        <f aca="false">I50*Q50</f>
        <v>0</v>
      </c>
      <c r="AB50" s="279" t="n">
        <f aca="false">J50</f>
        <v>0</v>
      </c>
      <c r="AC50" s="279" t="n">
        <f aca="false">K50*Q50</f>
        <v>0</v>
      </c>
    </row>
    <row r="51" customFormat="false" ht="13.8" hidden="false" customHeight="false" outlineLevel="0" collapsed="false">
      <c r="A51" s="401"/>
      <c r="B51" s="391" t="s">
        <v>2450</v>
      </c>
      <c r="C51" s="390" t="str">
        <f aca="false">VLOOKUP(B51,'Item Data Support Sheet'!A:B,2,0)</f>
        <v>KPP 200 BOTTLE PRINTED-WMG3B (OZ SCALE)</v>
      </c>
      <c r="D51" s="389" t="str">
        <f aca="false">IFERROR(VLOOKUP(B51,'Item Data Support Sheet'!A:O,15,0),0)</f>
        <v>KPP6_W</v>
      </c>
      <c r="E51" s="460" t="n">
        <v>0</v>
      </c>
      <c r="F51" s="393" t="n">
        <f aca="false">SUMIF('Data Sheet Aug-2021'!E:E,PVA!B51,'Data Sheet Aug-2021'!N:N)</f>
        <v>0</v>
      </c>
      <c r="G51" s="393" t="n">
        <f aca="false">SUMIF('Data Sheet Aug-2021'!E:E,PVA!B51,'Data Sheet Aug-2021'!O:O)</f>
        <v>0</v>
      </c>
      <c r="H51" s="393" t="n">
        <f aca="false">SUMIF('Data Sheet Aug-2021'!E:E,PVA!B51,'Data Sheet Aug-2021'!T:T)</f>
        <v>0</v>
      </c>
      <c r="I51" s="393" t="n">
        <f aca="false">SUMIF('Data Sheet Aug-2021'!E:E,PVA!B51,'Data Sheet Aug-2021'!U:U)</f>
        <v>0</v>
      </c>
      <c r="J51" s="393" t="n">
        <f aca="false">SUMIF('Data Sheet Aug-2021'!E:E,PVA!B51,'Data Sheet Aug-2021'!P:P)</f>
        <v>0</v>
      </c>
      <c r="K51" s="393" t="n">
        <f aca="false">SUMIF('Data Sheet Aug-2021'!E:E,PVA!B51,'Data Sheet Aug-2021'!Q:Q)</f>
        <v>0</v>
      </c>
      <c r="L51" s="465" t="n">
        <f aca="false">IFERROR(SUM(H51:I51)/SUM(G51:I51),0)</f>
        <v>0</v>
      </c>
      <c r="M51" s="399" t="n">
        <f aca="false">IFERROR(K51/F51,0)</f>
        <v>0</v>
      </c>
      <c r="N51" s="400" t="n">
        <f aca="false">IFERROR(G51/E51,0)</f>
        <v>0</v>
      </c>
      <c r="O51" s="462" t="n">
        <f aca="false">G51-E51</f>
        <v>0</v>
      </c>
      <c r="P51" s="462"/>
      <c r="Q51" s="463" t="n">
        <v>0.028</v>
      </c>
      <c r="R51" s="464" t="n">
        <f aca="false">(H51+I51+K51)*Q51</f>
        <v>0</v>
      </c>
      <c r="S51" s="307"/>
      <c r="Z51" s="279" t="n">
        <f aca="false">H51*Q51</f>
        <v>0</v>
      </c>
      <c r="AA51" s="279" t="n">
        <f aca="false">I51*Q51</f>
        <v>0</v>
      </c>
      <c r="AB51" s="279" t="n">
        <f aca="false">J51</f>
        <v>0</v>
      </c>
      <c r="AC51" s="279" t="n">
        <f aca="false">K51*Q51</f>
        <v>0</v>
      </c>
    </row>
    <row r="52" customFormat="false" ht="13.8" hidden="false" customHeight="false" outlineLevel="0" collapsed="false">
      <c r="A52" s="401"/>
      <c r="B52" s="391" t="s">
        <v>825</v>
      </c>
      <c r="C52" s="390" t="str">
        <f aca="false">VLOOKUP(B52,'Item Data Support Sheet'!A:B,2,0)</f>
        <v>KPP 240 BOTTLE PRINTED-WMG3B (OZ SCALE)</v>
      </c>
      <c r="D52" s="389" t="str">
        <f aca="false">IFERROR(VLOOKUP(B52,'Item Data Support Sheet'!A:O,15,0),0)</f>
        <v>KPP8_W</v>
      </c>
      <c r="E52" s="460" t="n">
        <v>1300</v>
      </c>
      <c r="F52" s="393" t="n">
        <f aca="false">SUMIF('Data Sheet Aug-2021'!E:E,PVA!B52,'Data Sheet Aug-2021'!N:N)</f>
        <v>4199</v>
      </c>
      <c r="G52" s="393" t="n">
        <f aca="false">SUMIF('Data Sheet Aug-2021'!E:E,PVA!B52,'Data Sheet Aug-2021'!O:O)</f>
        <v>4144</v>
      </c>
      <c r="H52" s="393" t="n">
        <f aca="false">SUMIF('Data Sheet Aug-2021'!E:E,PVA!B52,'Data Sheet Aug-2021'!T:T)</f>
        <v>55</v>
      </c>
      <c r="I52" s="393" t="n">
        <f aca="false">SUMIF('Data Sheet Aug-2021'!E:E,PVA!B52,'Data Sheet Aug-2021'!U:U)</f>
        <v>0</v>
      </c>
      <c r="J52" s="393" t="n">
        <f aca="false">SUMIF('Data Sheet Aug-2021'!E:E,PVA!B52,'Data Sheet Aug-2021'!P:P)</f>
        <v>0</v>
      </c>
      <c r="K52" s="393" t="n">
        <f aca="false">SUMIF('Data Sheet Aug-2021'!E:E,PVA!B52,'Data Sheet Aug-2021'!Q:Q)</f>
        <v>0</v>
      </c>
      <c r="L52" s="465" t="n">
        <f aca="false">IFERROR(SUM(H52:I52)/SUM(G52:I52),0)</f>
        <v>0.0130983567516075</v>
      </c>
      <c r="M52" s="399" t="n">
        <f aca="false">IFERROR(K52/F52,0)</f>
        <v>0</v>
      </c>
      <c r="N52" s="400" t="n">
        <f aca="false">IFERROR(G52/E52,0)</f>
        <v>3.18769230769231</v>
      </c>
      <c r="O52" s="462" t="n">
        <f aca="false">G52-E52</f>
        <v>2844</v>
      </c>
      <c r="P52" s="462"/>
      <c r="Q52" s="463" t="n">
        <v>0.032</v>
      </c>
      <c r="R52" s="464" t="n">
        <f aca="false">(H52+I52+K52)*Q52</f>
        <v>1.76</v>
      </c>
      <c r="S52" s="307"/>
      <c r="Z52" s="279" t="n">
        <f aca="false">H52*Q52</f>
        <v>1.76</v>
      </c>
      <c r="AA52" s="279" t="n">
        <f aca="false">I52*Q52</f>
        <v>0</v>
      </c>
      <c r="AB52" s="279" t="n">
        <f aca="false">J52</f>
        <v>0</v>
      </c>
      <c r="AC52" s="279" t="n">
        <f aca="false">K52*Q52</f>
        <v>0</v>
      </c>
    </row>
    <row r="53" customFormat="false" ht="13.8" hidden="false" customHeight="false" outlineLevel="0" collapsed="false">
      <c r="A53" s="401"/>
      <c r="B53" s="391" t="s">
        <v>2451</v>
      </c>
      <c r="C53" s="390" t="str">
        <f aca="false">VLOOKUP(B53,'Item Data Support Sheet'!A:B,2,0)</f>
        <v>RPP 120 BOTTLE PRINTED-WMG3B (OZ SCALE)</v>
      </c>
      <c r="D53" s="389" t="str">
        <f aca="false">IFERROR(VLOOKUP(B53,'Item Data Support Sheet'!A:O,15,0),0)</f>
        <v>RPP4_W</v>
      </c>
      <c r="E53" s="460" t="n">
        <v>0</v>
      </c>
      <c r="F53" s="393" t="n">
        <f aca="false">SUMIF('Data Sheet Aug-2021'!E:E,PVA!B53,'Data Sheet Aug-2021'!N:N)</f>
        <v>0</v>
      </c>
      <c r="G53" s="393" t="n">
        <f aca="false">SUMIF('Data Sheet Aug-2021'!E:E,PVA!B53,'Data Sheet Aug-2021'!O:O)</f>
        <v>0</v>
      </c>
      <c r="H53" s="393" t="n">
        <f aca="false">SUMIF('Data Sheet Aug-2021'!E:E,PVA!B53,'Data Sheet Aug-2021'!T:T)</f>
        <v>0</v>
      </c>
      <c r="I53" s="393" t="n">
        <f aca="false">SUMIF('Data Sheet Aug-2021'!E:E,PVA!B53,'Data Sheet Aug-2021'!U:U)</f>
        <v>0</v>
      </c>
      <c r="J53" s="393" t="n">
        <f aca="false">SUMIF('Data Sheet Aug-2021'!E:E,PVA!B53,'Data Sheet Aug-2021'!P:P)</f>
        <v>0</v>
      </c>
      <c r="K53" s="393" t="n">
        <f aca="false">SUMIF('Data Sheet Aug-2021'!E:E,PVA!B53,'Data Sheet Aug-2021'!Q:Q)</f>
        <v>0</v>
      </c>
      <c r="L53" s="465" t="n">
        <f aca="false">IFERROR(SUM(H53:I53)/SUM(G53:I53),0)</f>
        <v>0</v>
      </c>
      <c r="M53" s="399" t="n">
        <f aca="false">IFERROR(K53/F53,0)</f>
        <v>0</v>
      </c>
      <c r="N53" s="400" t="n">
        <f aca="false">IFERROR(G53/E53,0)</f>
        <v>0</v>
      </c>
      <c r="O53" s="462" t="n">
        <f aca="false">G53-E53</f>
        <v>0</v>
      </c>
      <c r="P53" s="462"/>
      <c r="Q53" s="463" t="n">
        <v>0.022</v>
      </c>
      <c r="R53" s="464" t="n">
        <f aca="false">(H53+I53+K53)*Q53</f>
        <v>0</v>
      </c>
      <c r="S53" s="307"/>
      <c r="Z53" s="279" t="n">
        <f aca="false">H53*Q53</f>
        <v>0</v>
      </c>
      <c r="AA53" s="279" t="n">
        <f aca="false">I53*Q53</f>
        <v>0</v>
      </c>
      <c r="AB53" s="279" t="n">
        <f aca="false">J53</f>
        <v>0</v>
      </c>
      <c r="AC53" s="279" t="n">
        <f aca="false">K53*Q53</f>
        <v>0</v>
      </c>
    </row>
    <row r="54" customFormat="false" ht="13.8" hidden="false" customHeight="false" outlineLevel="0" collapsed="false">
      <c r="A54" s="401"/>
      <c r="B54" s="391" t="s">
        <v>2452</v>
      </c>
      <c r="C54" s="390" t="str">
        <f aca="false">VLOOKUP(B54,'Item Data Support Sheet'!A:B,2,0)</f>
        <v>RPP 240 BOTTLE PRINTED-WMG3B (OZ SCALE)</v>
      </c>
      <c r="D54" s="389" t="str">
        <f aca="false">IFERROR(VLOOKUP(B54,'Item Data Support Sheet'!A:O,15,0),0)</f>
        <v>RPP8_W</v>
      </c>
      <c r="E54" s="460" t="n">
        <v>0</v>
      </c>
      <c r="F54" s="393" t="n">
        <f aca="false">SUMIF('Data Sheet Aug-2021'!E:E,PVA!B54,'Data Sheet Aug-2021'!N:N)</f>
        <v>0</v>
      </c>
      <c r="G54" s="393" t="n">
        <f aca="false">SUMIF('Data Sheet Aug-2021'!E:E,PVA!B54,'Data Sheet Aug-2021'!O:O)</f>
        <v>0</v>
      </c>
      <c r="H54" s="393" t="n">
        <f aca="false">SUMIF('Data Sheet Aug-2021'!E:E,PVA!B54,'Data Sheet Aug-2021'!T:T)</f>
        <v>0</v>
      </c>
      <c r="I54" s="393" t="n">
        <f aca="false">SUMIF('Data Sheet Aug-2021'!E:E,PVA!B54,'Data Sheet Aug-2021'!U:U)</f>
        <v>0</v>
      </c>
      <c r="J54" s="393" t="n">
        <f aca="false">SUMIF('Data Sheet Aug-2021'!E:E,PVA!B54,'Data Sheet Aug-2021'!P:P)</f>
        <v>0</v>
      </c>
      <c r="K54" s="393" t="n">
        <f aca="false">SUMIF('Data Sheet Aug-2021'!E:E,PVA!B54,'Data Sheet Aug-2021'!Q:Q)</f>
        <v>0</v>
      </c>
      <c r="L54" s="465" t="n">
        <f aca="false">IFERROR(SUM(H54:I54)/SUM(G54:I54),0)</f>
        <v>0</v>
      </c>
      <c r="M54" s="399" t="n">
        <f aca="false">IFERROR(K54/F54,0)</f>
        <v>0</v>
      </c>
      <c r="N54" s="400" t="n">
        <f aca="false">IFERROR(G54/E54,0)</f>
        <v>0</v>
      </c>
      <c r="O54" s="462" t="n">
        <f aca="false">G54-E54</f>
        <v>0</v>
      </c>
      <c r="P54" s="462"/>
      <c r="Q54" s="463" t="n">
        <v>0.032</v>
      </c>
      <c r="R54" s="464" t="n">
        <f aca="false">(H54+I54+K54)*Q54</f>
        <v>0</v>
      </c>
      <c r="S54" s="307"/>
      <c r="Z54" s="279" t="n">
        <f aca="false">H54*Q54</f>
        <v>0</v>
      </c>
      <c r="AA54" s="279" t="n">
        <f aca="false">I54*Q54</f>
        <v>0</v>
      </c>
      <c r="AB54" s="279" t="n">
        <f aca="false">J54</f>
        <v>0</v>
      </c>
      <c r="AC54" s="279" t="n">
        <f aca="false">K54*Q54</f>
        <v>0</v>
      </c>
    </row>
    <row r="55" customFormat="false" ht="13.8" hidden="false" customHeight="false" outlineLevel="0" collapsed="false">
      <c r="A55" s="401"/>
      <c r="B55" s="391" t="s">
        <v>2453</v>
      </c>
      <c r="C55" s="390" t="str">
        <f aca="false">VLOOKUP(B55,'Item Data Support Sheet'!A:B,2,0)</f>
        <v>KPP BOTTLE 120 ML PRINTED-WMG3B</v>
      </c>
      <c r="D55" s="389" t="str">
        <f aca="false">IFERROR(VLOOKUP(B55,'Item Data Support Sheet'!A:O,15,0),0)</f>
        <v>KPP4_W</v>
      </c>
      <c r="E55" s="460" t="n">
        <v>0</v>
      </c>
      <c r="F55" s="393" t="n">
        <f aca="false">SUMIF('Data Sheet Aug-2021'!E:E,PVA!B55,'Data Sheet Aug-2021'!N:N)</f>
        <v>0</v>
      </c>
      <c r="G55" s="393" t="n">
        <f aca="false">SUMIF('Data Sheet Aug-2021'!E:E,PVA!B55,'Data Sheet Aug-2021'!O:O)</f>
        <v>0</v>
      </c>
      <c r="H55" s="393" t="n">
        <f aca="false">SUMIF('Data Sheet Aug-2021'!E:E,PVA!B55,'Data Sheet Aug-2021'!T:T)</f>
        <v>0</v>
      </c>
      <c r="I55" s="393" t="n">
        <f aca="false">SUMIF('Data Sheet Aug-2021'!E:E,PVA!B55,'Data Sheet Aug-2021'!U:U)</f>
        <v>0</v>
      </c>
      <c r="J55" s="393" t="n">
        <f aca="false">SUMIF('Data Sheet Aug-2021'!E:E,PVA!B55,'Data Sheet Aug-2021'!P:P)</f>
        <v>0</v>
      </c>
      <c r="K55" s="393" t="n">
        <f aca="false">SUMIF('Data Sheet Aug-2021'!E:E,PVA!B55,'Data Sheet Aug-2021'!Q:Q)</f>
        <v>0</v>
      </c>
      <c r="L55" s="465" t="n">
        <f aca="false">IFERROR(SUM(H55:I55)/SUM(G55:I55),0)</f>
        <v>0</v>
      </c>
      <c r="M55" s="399" t="n">
        <f aca="false">IFERROR(K55/F55,0)</f>
        <v>0</v>
      </c>
      <c r="N55" s="400" t="n">
        <f aca="false">IFERROR(G55/E55,0)</f>
        <v>0</v>
      </c>
      <c r="O55" s="462" t="n">
        <f aca="false">G55-E55</f>
        <v>0</v>
      </c>
      <c r="P55" s="462"/>
      <c r="Q55" s="463" t="n">
        <v>0.022</v>
      </c>
      <c r="R55" s="464" t="n">
        <f aca="false">(H55+I55+K55)*Q55</f>
        <v>0</v>
      </c>
      <c r="S55" s="307"/>
      <c r="Z55" s="279" t="n">
        <f aca="false">H55*Q55</f>
        <v>0</v>
      </c>
      <c r="AA55" s="279" t="n">
        <f aca="false">I55*Q55</f>
        <v>0</v>
      </c>
      <c r="AB55" s="279" t="n">
        <f aca="false">J55</f>
        <v>0</v>
      </c>
      <c r="AC55" s="279" t="n">
        <f aca="false">K55*Q55</f>
        <v>0</v>
      </c>
    </row>
    <row r="56" customFormat="false" ht="13.8" hidden="false" customHeight="false" outlineLevel="0" collapsed="false">
      <c r="A56" s="401"/>
      <c r="B56" s="391" t="s">
        <v>229</v>
      </c>
      <c r="C56" s="390" t="str">
        <f aca="false">VLOOKUP(B56,'Item Data Support Sheet'!A:B,2,0)</f>
        <v>KPP BOTTLE 200 ML PRINTED-WMG3B</v>
      </c>
      <c r="D56" s="389" t="str">
        <f aca="false">IFERROR(VLOOKUP(B56,'Item Data Support Sheet'!A:O,15,0),0)</f>
        <v>KPP6_W</v>
      </c>
      <c r="E56" s="460" t="n">
        <v>9634</v>
      </c>
      <c r="F56" s="393" t="n">
        <f aca="false">SUMIF('Data Sheet Aug-2021'!E:E,PVA!B56,'Data Sheet Aug-2021'!N:N)</f>
        <v>19157</v>
      </c>
      <c r="G56" s="393" t="n">
        <f aca="false">SUMIF('Data Sheet Aug-2021'!E:E,PVA!B56,'Data Sheet Aug-2021'!O:O)</f>
        <v>18867</v>
      </c>
      <c r="H56" s="393" t="n">
        <f aca="false">SUMIF('Data Sheet Aug-2021'!E:E,PVA!B56,'Data Sheet Aug-2021'!T:T)</f>
        <v>290</v>
      </c>
      <c r="I56" s="393" t="n">
        <f aca="false">SUMIF('Data Sheet Aug-2021'!E:E,PVA!B56,'Data Sheet Aug-2021'!U:U)</f>
        <v>0</v>
      </c>
      <c r="J56" s="393" t="n">
        <f aca="false">SUMIF('Data Sheet Aug-2021'!E:E,PVA!B56,'Data Sheet Aug-2021'!P:P)</f>
        <v>0</v>
      </c>
      <c r="K56" s="393" t="n">
        <f aca="false">SUMIF('Data Sheet Aug-2021'!E:E,PVA!B56,'Data Sheet Aug-2021'!Q:Q)</f>
        <v>0</v>
      </c>
      <c r="L56" s="465" t="n">
        <f aca="false">IFERROR(SUM(H56:I56)/SUM(G56:I56),0)</f>
        <v>0.0151380696351203</v>
      </c>
      <c r="M56" s="399" t="n">
        <f aca="false">IFERROR(K56/F56,0)</f>
        <v>0</v>
      </c>
      <c r="N56" s="400" t="n">
        <f aca="false">IFERROR(G56/E56,0)</f>
        <v>1.95837658293544</v>
      </c>
      <c r="O56" s="462" t="n">
        <f aca="false">G56-E56</f>
        <v>9233</v>
      </c>
      <c r="P56" s="462"/>
      <c r="Q56" s="463" t="n">
        <v>0.028</v>
      </c>
      <c r="R56" s="464" t="n">
        <f aca="false">(H56+I56+K56)*Q56</f>
        <v>8.12</v>
      </c>
      <c r="S56" s="307"/>
      <c r="Z56" s="279" t="n">
        <f aca="false">H56*Q56</f>
        <v>8.12</v>
      </c>
      <c r="AA56" s="279" t="n">
        <f aca="false">I56*Q56</f>
        <v>0</v>
      </c>
      <c r="AB56" s="279" t="n">
        <f aca="false">J56</f>
        <v>0</v>
      </c>
      <c r="AC56" s="279" t="n">
        <f aca="false">K56*Q56</f>
        <v>0</v>
      </c>
    </row>
    <row r="57" customFormat="false" ht="13.8" hidden="false" customHeight="false" outlineLevel="0" collapsed="false">
      <c r="A57" s="401"/>
      <c r="B57" s="391" t="s">
        <v>981</v>
      </c>
      <c r="C57" s="390" t="str">
        <f aca="false">VLOOKUP(B57,'Item Data Support Sheet'!A:B,2,0)</f>
        <v>KPP BOTTLE 240 ML PRINTED-WMG3B</v>
      </c>
      <c r="D57" s="389" t="str">
        <f aca="false">IFERROR(VLOOKUP(B57,'Item Data Support Sheet'!A:O,15,0),0)</f>
        <v>KPP8_W</v>
      </c>
      <c r="E57" s="460" t="n">
        <v>4100</v>
      </c>
      <c r="F57" s="393" t="n">
        <f aca="false">SUMIF('Data Sheet Aug-2021'!E:E,PVA!B57,'Data Sheet Aug-2021'!N:N)</f>
        <v>17716</v>
      </c>
      <c r="G57" s="393" t="n">
        <f aca="false">SUMIF('Data Sheet Aug-2021'!E:E,PVA!B57,'Data Sheet Aug-2021'!O:O)</f>
        <v>17402</v>
      </c>
      <c r="H57" s="393" t="n">
        <f aca="false">SUMIF('Data Sheet Aug-2021'!E:E,PVA!B57,'Data Sheet Aug-2021'!T:T)</f>
        <v>314</v>
      </c>
      <c r="I57" s="393" t="n">
        <f aca="false">SUMIF('Data Sheet Aug-2021'!E:E,PVA!B57,'Data Sheet Aug-2021'!U:U)</f>
        <v>0</v>
      </c>
      <c r="J57" s="393" t="n">
        <f aca="false">SUMIF('Data Sheet Aug-2021'!E:E,PVA!B57,'Data Sheet Aug-2021'!P:P)</f>
        <v>0</v>
      </c>
      <c r="K57" s="393" t="n">
        <f aca="false">SUMIF('Data Sheet Aug-2021'!E:E,PVA!B57,'Data Sheet Aug-2021'!Q:Q)</f>
        <v>0</v>
      </c>
      <c r="L57" s="465" t="n">
        <f aca="false">IFERROR(SUM(H57:I57)/SUM(G57:I57),0)</f>
        <v>0.017724091216979</v>
      </c>
      <c r="M57" s="399" t="n">
        <f aca="false">IFERROR(K57/F57,0)</f>
        <v>0</v>
      </c>
      <c r="N57" s="400" t="n">
        <f aca="false">IFERROR(G57/E57,0)</f>
        <v>4.24439024390244</v>
      </c>
      <c r="O57" s="462" t="n">
        <f aca="false">G57-E57</f>
        <v>13302</v>
      </c>
      <c r="P57" s="462"/>
      <c r="Q57" s="463" t="n">
        <v>0.032</v>
      </c>
      <c r="R57" s="464" t="n">
        <f aca="false">(H57+I57+K57)*Q57</f>
        <v>10.048</v>
      </c>
      <c r="S57" s="307"/>
      <c r="Z57" s="279" t="n">
        <f aca="false">H57*Q57</f>
        <v>10.048</v>
      </c>
      <c r="AA57" s="279" t="n">
        <f aca="false">I57*Q57</f>
        <v>0</v>
      </c>
      <c r="AB57" s="279" t="n">
        <f aca="false">J57</f>
        <v>0</v>
      </c>
      <c r="AC57" s="279" t="n">
        <f aca="false">K57*Q57</f>
        <v>0</v>
      </c>
    </row>
    <row r="58" customFormat="false" ht="13.8" hidden="false" customHeight="false" outlineLevel="0" collapsed="false">
      <c r="A58" s="401"/>
      <c r="B58" s="391" t="s">
        <v>2454</v>
      </c>
      <c r="C58" s="390" t="str">
        <f aca="false">VLOOKUP(B58,'Item Data Support Sheet'!A:B,2,0)</f>
        <v>RPP BOTTLE 120 ML PRINTED-WMG3B</v>
      </c>
      <c r="D58" s="389" t="str">
        <f aca="false">IFERROR(VLOOKUP(B58,'Item Data Support Sheet'!A:O,15,0),0)</f>
        <v>RPP4_W</v>
      </c>
      <c r="E58" s="460" t="n">
        <v>0</v>
      </c>
      <c r="F58" s="393" t="n">
        <f aca="false">SUMIF('Data Sheet Aug-2021'!E:E,PVA!B58,'Data Sheet Aug-2021'!N:N)</f>
        <v>0</v>
      </c>
      <c r="G58" s="393" t="n">
        <f aca="false">SUMIF('Data Sheet Aug-2021'!E:E,PVA!B58,'Data Sheet Aug-2021'!O:O)</f>
        <v>0</v>
      </c>
      <c r="H58" s="393" t="n">
        <f aca="false">SUMIF('Data Sheet Aug-2021'!E:E,PVA!B58,'Data Sheet Aug-2021'!T:T)</f>
        <v>0</v>
      </c>
      <c r="I58" s="393" t="n">
        <f aca="false">SUMIF('Data Sheet Aug-2021'!E:E,PVA!B58,'Data Sheet Aug-2021'!U:U)</f>
        <v>0</v>
      </c>
      <c r="J58" s="393" t="n">
        <f aca="false">SUMIF('Data Sheet Aug-2021'!E:E,PVA!B58,'Data Sheet Aug-2021'!P:P)</f>
        <v>0</v>
      </c>
      <c r="K58" s="393" t="n">
        <f aca="false">SUMIF('Data Sheet Aug-2021'!E:E,PVA!B58,'Data Sheet Aug-2021'!Q:Q)</f>
        <v>0</v>
      </c>
      <c r="L58" s="465" t="n">
        <f aca="false">IFERROR(SUM(H58:I58)/SUM(G58:I58),0)</f>
        <v>0</v>
      </c>
      <c r="M58" s="399" t="n">
        <f aca="false">IFERROR(K58/F58,0)</f>
        <v>0</v>
      </c>
      <c r="N58" s="400" t="n">
        <f aca="false">IFERROR(G58/E58,0)</f>
        <v>0</v>
      </c>
      <c r="O58" s="462" t="n">
        <f aca="false">G58-E58</f>
        <v>0</v>
      </c>
      <c r="P58" s="462"/>
      <c r="Q58" s="463" t="n">
        <v>0.022</v>
      </c>
      <c r="R58" s="464" t="n">
        <f aca="false">(H58+I58+K58)*Q58</f>
        <v>0</v>
      </c>
      <c r="S58" s="307"/>
      <c r="Z58" s="279" t="n">
        <f aca="false">H58*Q58</f>
        <v>0</v>
      </c>
      <c r="AA58" s="279" t="n">
        <f aca="false">I58*Q58</f>
        <v>0</v>
      </c>
      <c r="AB58" s="279" t="n">
        <f aca="false">J58</f>
        <v>0</v>
      </c>
      <c r="AC58" s="279" t="n">
        <f aca="false">K58*Q58</f>
        <v>0</v>
      </c>
    </row>
    <row r="59" customFormat="false" ht="13.8" hidden="false" customHeight="false" outlineLevel="0" collapsed="false">
      <c r="A59" s="401"/>
      <c r="B59" s="391" t="s">
        <v>2455</v>
      </c>
      <c r="C59" s="390" t="str">
        <f aca="false">VLOOKUP(B59,'Item Data Support Sheet'!A:B,2,0)</f>
        <v>RPP BOTTLE 240 ML PRINTED-WMG3B</v>
      </c>
      <c r="D59" s="389" t="str">
        <f aca="false">IFERROR(VLOOKUP(B59,'Item Data Support Sheet'!A:O,15,0),0)</f>
        <v>RPP8_W</v>
      </c>
      <c r="E59" s="460" t="n">
        <v>0</v>
      </c>
      <c r="F59" s="393" t="n">
        <f aca="false">SUMIF('Data Sheet Aug-2021'!E:E,PVA!B59,'Data Sheet Aug-2021'!N:N)</f>
        <v>0</v>
      </c>
      <c r="G59" s="393" t="n">
        <f aca="false">SUMIF('Data Sheet Aug-2021'!E:E,PVA!B59,'Data Sheet Aug-2021'!O:O)</f>
        <v>0</v>
      </c>
      <c r="H59" s="393" t="n">
        <f aca="false">SUMIF('Data Sheet Aug-2021'!E:E,PVA!B59,'Data Sheet Aug-2021'!T:T)</f>
        <v>0</v>
      </c>
      <c r="I59" s="393" t="n">
        <f aca="false">SUMIF('Data Sheet Aug-2021'!E:E,PVA!B59,'Data Sheet Aug-2021'!U:U)</f>
        <v>0</v>
      </c>
      <c r="J59" s="393" t="n">
        <f aca="false">SUMIF('Data Sheet Aug-2021'!E:E,PVA!B59,'Data Sheet Aug-2021'!P:P)</f>
        <v>0</v>
      </c>
      <c r="K59" s="393" t="n">
        <f aca="false">SUMIF('Data Sheet Aug-2021'!E:E,PVA!B59,'Data Sheet Aug-2021'!Q:Q)</f>
        <v>0</v>
      </c>
      <c r="L59" s="465" t="n">
        <f aca="false">IFERROR(SUM(H59:I59)/SUM(G59:I59),0)</f>
        <v>0</v>
      </c>
      <c r="M59" s="399" t="n">
        <f aca="false">IFERROR(K59/F59,0)</f>
        <v>0</v>
      </c>
      <c r="N59" s="400" t="n">
        <f aca="false">IFERROR(G59/E59,0)</f>
        <v>0</v>
      </c>
      <c r="O59" s="462" t="n">
        <f aca="false">G59-E59</f>
        <v>0</v>
      </c>
      <c r="P59" s="462"/>
      <c r="Q59" s="463" t="n">
        <v>0.032</v>
      </c>
      <c r="R59" s="464" t="n">
        <f aca="false">(H59+I59+K59)*Q59</f>
        <v>0</v>
      </c>
      <c r="S59" s="307"/>
      <c r="Z59" s="279" t="n">
        <f aca="false">H59*Q59</f>
        <v>0</v>
      </c>
      <c r="AA59" s="279" t="n">
        <f aca="false">I59*Q59</f>
        <v>0</v>
      </c>
      <c r="AB59" s="279" t="n">
        <f aca="false">J59</f>
        <v>0</v>
      </c>
      <c r="AC59" s="279" t="n">
        <f aca="false">K59*Q59</f>
        <v>0</v>
      </c>
    </row>
    <row r="60" customFormat="false" ht="13.8" hidden="false" customHeight="false" outlineLevel="0" collapsed="false">
      <c r="A60" s="401"/>
      <c r="B60" s="391" t="s">
        <v>801</v>
      </c>
      <c r="C60" s="390" t="str">
        <f aca="false">VLOOKUP(B60,'Item Data Support Sheet'!A:B,2,0)</f>
        <v>RPP 120ML GIRL PINK BOTTLE PRINTED (WM3GB)</v>
      </c>
      <c r="D60" s="389" t="str">
        <f aca="false">IFERROR(VLOOKUP(B60,'Item Data Support Sheet'!A:O,15,0),0)</f>
        <v>RPP4_W</v>
      </c>
      <c r="E60" s="460" t="n">
        <v>1000</v>
      </c>
      <c r="F60" s="393" t="n">
        <f aca="false">SUMIF('Data Sheet Aug-2021'!E:E,PVA!B60,'Data Sheet Aug-2021'!N:N)</f>
        <v>1193</v>
      </c>
      <c r="G60" s="393" t="n">
        <f aca="false">SUMIF('Data Sheet Aug-2021'!E:E,PVA!B60,'Data Sheet Aug-2021'!O:O)</f>
        <v>1171</v>
      </c>
      <c r="H60" s="393" t="n">
        <f aca="false">SUMIF('Data Sheet Aug-2021'!E:E,PVA!B60,'Data Sheet Aug-2021'!T:T)</f>
        <v>22</v>
      </c>
      <c r="I60" s="393" t="n">
        <f aca="false">SUMIF('Data Sheet Aug-2021'!E:E,PVA!B60,'Data Sheet Aug-2021'!U:U)</f>
        <v>0</v>
      </c>
      <c r="J60" s="393" t="n">
        <f aca="false">SUMIF('Data Sheet Aug-2021'!E:E,PVA!B60,'Data Sheet Aug-2021'!P:P)</f>
        <v>0</v>
      </c>
      <c r="K60" s="393" t="n">
        <f aca="false">SUMIF('Data Sheet Aug-2021'!E:E,PVA!B60,'Data Sheet Aug-2021'!Q:Q)</f>
        <v>0</v>
      </c>
      <c r="L60" s="465" t="n">
        <f aca="false">IFERROR(SUM(H60:I60)/SUM(G60:I60),0)</f>
        <v>0.0184409052808047</v>
      </c>
      <c r="M60" s="399" t="n">
        <f aca="false">IFERROR(K60/F60,0)</f>
        <v>0</v>
      </c>
      <c r="N60" s="400" t="n">
        <f aca="false">IFERROR(G60/E60,0)</f>
        <v>1.171</v>
      </c>
      <c r="O60" s="462" t="n">
        <f aca="false">G60-E60</f>
        <v>171</v>
      </c>
      <c r="P60" s="462"/>
      <c r="Q60" s="463" t="n">
        <v>0.022</v>
      </c>
      <c r="R60" s="464" t="n">
        <f aca="false">(H60+I60+K60)*Q60</f>
        <v>0.484</v>
      </c>
      <c r="S60" s="307"/>
      <c r="Z60" s="279" t="n">
        <f aca="false">H60*Q60</f>
        <v>0.484</v>
      </c>
      <c r="AA60" s="279" t="n">
        <f aca="false">I60*Q60</f>
        <v>0</v>
      </c>
      <c r="AB60" s="279" t="n">
        <f aca="false">J60</f>
        <v>0</v>
      </c>
      <c r="AC60" s="279" t="n">
        <f aca="false">K60*Q60</f>
        <v>0</v>
      </c>
    </row>
    <row r="61" customFormat="false" ht="13.8" hidden="false" customHeight="false" outlineLevel="0" collapsed="false">
      <c r="A61" s="401"/>
      <c r="B61" s="391" t="s">
        <v>865</v>
      </c>
      <c r="C61" s="390" t="str">
        <f aca="false">VLOOKUP(B61,'Item Data Support Sheet'!A:B,2,0)</f>
        <v>RPP 240ML GIRL PINK BOTTLE PRINTED (WM3GB)</v>
      </c>
      <c r="D61" s="389" t="str">
        <f aca="false">IFERROR(VLOOKUP(B61,'Item Data Support Sheet'!A:O,15,0),0)</f>
        <v>RPP8_W</v>
      </c>
      <c r="E61" s="460" t="n">
        <v>1000</v>
      </c>
      <c r="F61" s="393" t="n">
        <f aca="false">SUMIF('Data Sheet Aug-2021'!E:E,PVA!B61,'Data Sheet Aug-2021'!N:N)</f>
        <v>1133</v>
      </c>
      <c r="G61" s="393" t="n">
        <f aca="false">SUMIF('Data Sheet Aug-2021'!E:E,PVA!B61,'Data Sheet Aug-2021'!O:O)</f>
        <v>1116</v>
      </c>
      <c r="H61" s="393" t="n">
        <f aca="false">SUMIF('Data Sheet Aug-2021'!E:E,PVA!B61,'Data Sheet Aug-2021'!T:T)</f>
        <v>17</v>
      </c>
      <c r="I61" s="393" t="n">
        <f aca="false">SUMIF('Data Sheet Aug-2021'!E:E,PVA!B61,'Data Sheet Aug-2021'!U:U)</f>
        <v>0</v>
      </c>
      <c r="J61" s="393" t="n">
        <f aca="false">SUMIF('Data Sheet Aug-2021'!E:E,PVA!B61,'Data Sheet Aug-2021'!P:P)</f>
        <v>0</v>
      </c>
      <c r="K61" s="393" t="n">
        <f aca="false">SUMIF('Data Sheet Aug-2021'!E:E,PVA!B61,'Data Sheet Aug-2021'!Q:Q)</f>
        <v>0</v>
      </c>
      <c r="L61" s="465" t="n">
        <f aca="false">IFERROR(SUM(H61:I61)/SUM(G61:I61),0)</f>
        <v>0.0150044130626655</v>
      </c>
      <c r="M61" s="399" t="n">
        <f aca="false">IFERROR(K61/F61,0)</f>
        <v>0</v>
      </c>
      <c r="N61" s="400" t="n">
        <f aca="false">IFERROR(G61/E61,0)</f>
        <v>1.116</v>
      </c>
      <c r="O61" s="462" t="n">
        <f aca="false">G61-E61</f>
        <v>116</v>
      </c>
      <c r="P61" s="462"/>
      <c r="Q61" s="463" t="n">
        <v>0.032</v>
      </c>
      <c r="R61" s="464" t="n">
        <f aca="false">(H61+I61+K61)*Q61</f>
        <v>0.544</v>
      </c>
      <c r="S61" s="307"/>
      <c r="Z61" s="279" t="n">
        <f aca="false">H61*Q61</f>
        <v>0.544</v>
      </c>
      <c r="AA61" s="279" t="n">
        <f aca="false">I61*Q61</f>
        <v>0</v>
      </c>
      <c r="AB61" s="279" t="n">
        <f aca="false">J61</f>
        <v>0</v>
      </c>
      <c r="AC61" s="279" t="n">
        <f aca="false">K61*Q61</f>
        <v>0</v>
      </c>
    </row>
    <row r="62" customFormat="false" ht="13.8" hidden="false" customHeight="false" outlineLevel="0" collapsed="false">
      <c r="A62" s="401"/>
      <c r="B62" s="391" t="s">
        <v>797</v>
      </c>
      <c r="C62" s="390" t="str">
        <f aca="false">VLOOKUP(B62,'Item Data Support Sheet'!A:B,2,0)</f>
        <v>RPP 120ML BOY BLUE BOTTLE PRINTED (WM3GB)</v>
      </c>
      <c r="D62" s="389" t="str">
        <f aca="false">IFERROR(VLOOKUP(B62,'Item Data Support Sheet'!A:O,15,0),0)</f>
        <v>RPP4_W</v>
      </c>
      <c r="E62" s="460" t="n">
        <v>700</v>
      </c>
      <c r="F62" s="393" t="n">
        <f aca="false">SUMIF('Data Sheet Aug-2021'!E:E,PVA!B62,'Data Sheet Aug-2021'!N:N)</f>
        <v>682</v>
      </c>
      <c r="G62" s="393" t="n">
        <f aca="false">SUMIF('Data Sheet Aug-2021'!E:E,PVA!B62,'Data Sheet Aug-2021'!O:O)</f>
        <v>670</v>
      </c>
      <c r="H62" s="393" t="n">
        <f aca="false">SUMIF('Data Sheet Aug-2021'!E:E,PVA!B62,'Data Sheet Aug-2021'!T:T)</f>
        <v>12</v>
      </c>
      <c r="I62" s="393" t="n">
        <f aca="false">SUMIF('Data Sheet Aug-2021'!E:E,PVA!B62,'Data Sheet Aug-2021'!U:U)</f>
        <v>0</v>
      </c>
      <c r="J62" s="393" t="n">
        <f aca="false">SUMIF('Data Sheet Aug-2021'!E:E,PVA!B62,'Data Sheet Aug-2021'!P:P)</f>
        <v>0</v>
      </c>
      <c r="K62" s="393" t="n">
        <f aca="false">SUMIF('Data Sheet Aug-2021'!E:E,PVA!B62,'Data Sheet Aug-2021'!Q:Q)</f>
        <v>0</v>
      </c>
      <c r="L62" s="465" t="n">
        <f aca="false">IFERROR(SUM(H62:I62)/SUM(G62:I62),0)</f>
        <v>0.0175953079178886</v>
      </c>
      <c r="M62" s="399" t="n">
        <f aca="false">IFERROR(K62/F62,0)</f>
        <v>0</v>
      </c>
      <c r="N62" s="400" t="n">
        <f aca="false">IFERROR(G62/E62,0)</f>
        <v>0.957142857142857</v>
      </c>
      <c r="O62" s="462" t="n">
        <f aca="false">G62-E62</f>
        <v>-30</v>
      </c>
      <c r="P62" s="462"/>
      <c r="Q62" s="463" t="n">
        <v>0.022</v>
      </c>
      <c r="R62" s="464" t="n">
        <f aca="false">(H62+I62+K62)*Q62</f>
        <v>0.264</v>
      </c>
      <c r="S62" s="307"/>
      <c r="Z62" s="279" t="n">
        <f aca="false">H62*Q62</f>
        <v>0.264</v>
      </c>
      <c r="AA62" s="279" t="n">
        <f aca="false">I62*Q62</f>
        <v>0</v>
      </c>
      <c r="AB62" s="279" t="n">
        <f aca="false">J62</f>
        <v>0</v>
      </c>
      <c r="AC62" s="279" t="n">
        <f aca="false">K62*Q62</f>
        <v>0</v>
      </c>
    </row>
    <row r="63" customFormat="false" ht="13.8" hidden="false" customHeight="false" outlineLevel="0" collapsed="false">
      <c r="A63" s="401"/>
      <c r="B63" s="391" t="s">
        <v>870</v>
      </c>
      <c r="C63" s="390" t="str">
        <f aca="false">VLOOKUP(B63,'Item Data Support Sheet'!A:B,2,0)</f>
        <v>RPP 240ML BOY BLUE BOTTLE PRINTED (WM3GB)</v>
      </c>
      <c r="D63" s="389" t="str">
        <f aca="false">IFERROR(VLOOKUP(B63,'Item Data Support Sheet'!A:O,15,0),0)</f>
        <v>RPP8_W</v>
      </c>
      <c r="E63" s="460" t="n">
        <v>1400</v>
      </c>
      <c r="F63" s="393" t="n">
        <f aca="false">SUMIF('Data Sheet Aug-2021'!E:E,PVA!B63,'Data Sheet Aug-2021'!N:N)</f>
        <v>1530</v>
      </c>
      <c r="G63" s="393" t="n">
        <f aca="false">SUMIF('Data Sheet Aug-2021'!E:E,PVA!B63,'Data Sheet Aug-2021'!O:O)</f>
        <v>1511</v>
      </c>
      <c r="H63" s="393" t="n">
        <f aca="false">SUMIF('Data Sheet Aug-2021'!E:E,PVA!B63,'Data Sheet Aug-2021'!T:T)</f>
        <v>19</v>
      </c>
      <c r="I63" s="393" t="n">
        <f aca="false">SUMIF('Data Sheet Aug-2021'!E:E,PVA!B63,'Data Sheet Aug-2021'!U:U)</f>
        <v>0</v>
      </c>
      <c r="J63" s="393" t="n">
        <f aca="false">SUMIF('Data Sheet Aug-2021'!E:E,PVA!B63,'Data Sheet Aug-2021'!P:P)</f>
        <v>0</v>
      </c>
      <c r="K63" s="393" t="n">
        <f aca="false">SUMIF('Data Sheet Aug-2021'!E:E,PVA!B63,'Data Sheet Aug-2021'!Q:Q)</f>
        <v>0</v>
      </c>
      <c r="L63" s="465" t="n">
        <f aca="false">IFERROR(SUM(H63:I63)/SUM(G63:I63),0)</f>
        <v>0.0124183006535948</v>
      </c>
      <c r="M63" s="399" t="n">
        <f aca="false">IFERROR(K63/F63,0)</f>
        <v>0</v>
      </c>
      <c r="N63" s="400" t="n">
        <f aca="false">IFERROR(G63/E63,0)</f>
        <v>1.07928571428571</v>
      </c>
      <c r="O63" s="462" t="n">
        <f aca="false">G63-E63</f>
        <v>111</v>
      </c>
      <c r="P63" s="462"/>
      <c r="Q63" s="463" t="n">
        <v>0.032</v>
      </c>
      <c r="R63" s="464" t="n">
        <f aca="false">(H63+I63+K63)*Q63</f>
        <v>0.608</v>
      </c>
      <c r="S63" s="307"/>
      <c r="Z63" s="279" t="n">
        <f aca="false">H63*Q63</f>
        <v>0.608</v>
      </c>
      <c r="AA63" s="279" t="n">
        <f aca="false">I63*Q63</f>
        <v>0</v>
      </c>
      <c r="AB63" s="279" t="n">
        <f aca="false">J63</f>
        <v>0</v>
      </c>
      <c r="AC63" s="279" t="n">
        <f aca="false">K63*Q63</f>
        <v>0</v>
      </c>
    </row>
    <row r="64" customFormat="false" ht="13.8" hidden="false" customHeight="false" outlineLevel="0" collapsed="false">
      <c r="A64" s="401"/>
      <c r="B64" s="391" t="s">
        <v>2456</v>
      </c>
      <c r="C64" s="390" t="str">
        <f aca="false">VLOOKUP(B64,'Item Data Support Sheet'!A:B,2,0)</f>
        <v>KPP 120ML PINK BOTTLE PRINTED (WMG3B)</v>
      </c>
      <c r="D64" s="389" t="str">
        <f aca="false">IFERROR(VLOOKUP(B64,'Item Data Support Sheet'!A:O,15,0),0)</f>
        <v>KPP4_W</v>
      </c>
      <c r="E64" s="460" t="n">
        <v>0</v>
      </c>
      <c r="F64" s="393" t="n">
        <f aca="false">SUMIF('Data Sheet Aug-2021'!E:E,PVA!B64,'Data Sheet Aug-2021'!N:N)</f>
        <v>0</v>
      </c>
      <c r="G64" s="393" t="n">
        <f aca="false">SUMIF('Data Sheet Aug-2021'!E:E,PVA!B64,'Data Sheet Aug-2021'!O:O)</f>
        <v>0</v>
      </c>
      <c r="H64" s="393" t="n">
        <f aca="false">SUMIF('Data Sheet Aug-2021'!E:E,PVA!B64,'Data Sheet Aug-2021'!T:T)</f>
        <v>0</v>
      </c>
      <c r="I64" s="393" t="n">
        <f aca="false">SUMIF('Data Sheet Aug-2021'!E:E,PVA!B64,'Data Sheet Aug-2021'!U:U)</f>
        <v>0</v>
      </c>
      <c r="J64" s="393" t="n">
        <f aca="false">SUMIF('Data Sheet Aug-2021'!E:E,PVA!B64,'Data Sheet Aug-2021'!P:P)</f>
        <v>0</v>
      </c>
      <c r="K64" s="393" t="n">
        <f aca="false">SUMIF('Data Sheet Aug-2021'!E:E,PVA!B64,'Data Sheet Aug-2021'!Q:Q)</f>
        <v>0</v>
      </c>
      <c r="L64" s="465" t="n">
        <f aca="false">IFERROR(SUM(H64:I64)/SUM(G64:I64),0)</f>
        <v>0</v>
      </c>
      <c r="M64" s="399" t="n">
        <f aca="false">IFERROR(K64/F64,0)</f>
        <v>0</v>
      </c>
      <c r="N64" s="400" t="n">
        <f aca="false">IFERROR(G64/E64,0)</f>
        <v>0</v>
      </c>
      <c r="O64" s="462" t="n">
        <f aca="false">G64-E64</f>
        <v>0</v>
      </c>
      <c r="P64" s="462"/>
      <c r="Q64" s="463" t="n">
        <v>0.022</v>
      </c>
      <c r="R64" s="464" t="n">
        <f aca="false">(H64+I64+K64)*Q64</f>
        <v>0</v>
      </c>
      <c r="S64" s="307"/>
      <c r="Z64" s="279" t="n">
        <f aca="false">H64*Q64</f>
        <v>0</v>
      </c>
      <c r="AA64" s="279" t="n">
        <f aca="false">I64*Q64</f>
        <v>0</v>
      </c>
      <c r="AB64" s="279" t="n">
        <f aca="false">J64</f>
        <v>0</v>
      </c>
      <c r="AC64" s="279" t="n">
        <f aca="false">K64*Q64</f>
        <v>0</v>
      </c>
    </row>
    <row r="65" customFormat="false" ht="13.8" hidden="false" customHeight="false" outlineLevel="0" collapsed="false">
      <c r="A65" s="401"/>
      <c r="B65" s="391" t="s">
        <v>2457</v>
      </c>
      <c r="C65" s="390" t="str">
        <f aca="false">VLOOKUP(B65,'Item Data Support Sheet'!A:B,2,0)</f>
        <v>KPP 200ML PINK BOTTLE PRINTED (WMG3B)</v>
      </c>
      <c r="D65" s="389" t="str">
        <f aca="false">IFERROR(VLOOKUP(B65,'Item Data Support Sheet'!A:O,15,0),0)</f>
        <v>KPP6_W</v>
      </c>
      <c r="E65" s="460" t="n">
        <v>0</v>
      </c>
      <c r="F65" s="393" t="n">
        <f aca="false">SUMIF('Data Sheet Aug-2021'!E:E,PVA!B65,'Data Sheet Aug-2021'!N:N)</f>
        <v>0</v>
      </c>
      <c r="G65" s="393" t="n">
        <f aca="false">SUMIF('Data Sheet Aug-2021'!E:E,PVA!B65,'Data Sheet Aug-2021'!O:O)</f>
        <v>0</v>
      </c>
      <c r="H65" s="393" t="n">
        <f aca="false">SUMIF('Data Sheet Aug-2021'!E:E,PVA!B65,'Data Sheet Aug-2021'!T:T)</f>
        <v>0</v>
      </c>
      <c r="I65" s="393" t="n">
        <f aca="false">SUMIF('Data Sheet Aug-2021'!E:E,PVA!B65,'Data Sheet Aug-2021'!U:U)</f>
        <v>0</v>
      </c>
      <c r="J65" s="393" t="n">
        <f aca="false">SUMIF('Data Sheet Aug-2021'!E:E,PVA!B65,'Data Sheet Aug-2021'!P:P)</f>
        <v>0</v>
      </c>
      <c r="K65" s="393" t="n">
        <f aca="false">SUMIF('Data Sheet Aug-2021'!E:E,PVA!B65,'Data Sheet Aug-2021'!Q:Q)</f>
        <v>0</v>
      </c>
      <c r="L65" s="465" t="n">
        <f aca="false">IFERROR(SUM(H65:I65)/SUM(G65:I65),0)</f>
        <v>0</v>
      </c>
      <c r="M65" s="399" t="n">
        <f aca="false">IFERROR(K65/F65,0)</f>
        <v>0</v>
      </c>
      <c r="N65" s="400" t="n">
        <f aca="false">IFERROR(G65/E65,0)</f>
        <v>0</v>
      </c>
      <c r="O65" s="462" t="n">
        <f aca="false">G65-E65</f>
        <v>0</v>
      </c>
      <c r="P65" s="462"/>
      <c r="Q65" s="463" t="n">
        <v>0.028</v>
      </c>
      <c r="R65" s="464" t="n">
        <f aca="false">(H65+I65+K65)*Q65</f>
        <v>0</v>
      </c>
      <c r="S65" s="307"/>
      <c r="Z65" s="279" t="n">
        <f aca="false">H65*Q65</f>
        <v>0</v>
      </c>
      <c r="AA65" s="279" t="n">
        <f aca="false">I65*Q65</f>
        <v>0</v>
      </c>
      <c r="AB65" s="279" t="n">
        <f aca="false">J65</f>
        <v>0</v>
      </c>
      <c r="AC65" s="279" t="n">
        <f aca="false">K65*Q65</f>
        <v>0</v>
      </c>
    </row>
    <row r="66" customFormat="false" ht="13.8" hidden="false" customHeight="false" outlineLevel="0" collapsed="false">
      <c r="A66" s="401"/>
      <c r="B66" s="391" t="s">
        <v>2458</v>
      </c>
      <c r="C66" s="390" t="str">
        <f aca="false">VLOOKUP(B66,'Item Data Support Sheet'!A:B,2,0)</f>
        <v>KPP 240ML PINK BOTTLE PRINTED (WMG3B)</v>
      </c>
      <c r="D66" s="389" t="str">
        <f aca="false">IFERROR(VLOOKUP(B66,'Item Data Support Sheet'!A:O,15,0),0)</f>
        <v>KPP8_W</v>
      </c>
      <c r="E66" s="460" t="n">
        <v>0</v>
      </c>
      <c r="F66" s="393" t="n">
        <f aca="false">SUMIF('Data Sheet Aug-2021'!E:E,PVA!B66,'Data Sheet Aug-2021'!N:N)</f>
        <v>0</v>
      </c>
      <c r="G66" s="393" t="n">
        <f aca="false">SUMIF('Data Sheet Aug-2021'!E:E,PVA!B66,'Data Sheet Aug-2021'!O:O)</f>
        <v>0</v>
      </c>
      <c r="H66" s="393" t="n">
        <f aca="false">SUMIF('Data Sheet Aug-2021'!E:E,PVA!B66,'Data Sheet Aug-2021'!T:T)</f>
        <v>0</v>
      </c>
      <c r="I66" s="393" t="n">
        <f aca="false">SUMIF('Data Sheet Aug-2021'!E:E,PVA!B66,'Data Sheet Aug-2021'!U:U)</f>
        <v>0</v>
      </c>
      <c r="J66" s="393" t="n">
        <f aca="false">SUMIF('Data Sheet Aug-2021'!E:E,PVA!B66,'Data Sheet Aug-2021'!P:P)</f>
        <v>0</v>
      </c>
      <c r="K66" s="393" t="n">
        <f aca="false">SUMIF('Data Sheet Aug-2021'!E:E,PVA!B66,'Data Sheet Aug-2021'!Q:Q)</f>
        <v>0</v>
      </c>
      <c r="L66" s="465" t="n">
        <f aca="false">IFERROR(SUM(H66:I66)/SUM(G66:I66),0)</f>
        <v>0</v>
      </c>
      <c r="M66" s="399" t="n">
        <f aca="false">IFERROR(K66/F66,0)</f>
        <v>0</v>
      </c>
      <c r="N66" s="400" t="n">
        <f aca="false">IFERROR(G66/E66,0)</f>
        <v>0</v>
      </c>
      <c r="O66" s="462" t="n">
        <f aca="false">G66-E66</f>
        <v>0</v>
      </c>
      <c r="P66" s="462"/>
      <c r="Q66" s="463" t="n">
        <v>0.032</v>
      </c>
      <c r="R66" s="464" t="n">
        <f aca="false">(H66+I66+K66)*Q66</f>
        <v>0</v>
      </c>
      <c r="S66" s="307"/>
      <c r="Z66" s="279" t="n">
        <f aca="false">H66*Q66</f>
        <v>0</v>
      </c>
      <c r="AA66" s="279" t="n">
        <f aca="false">I66*Q66</f>
        <v>0</v>
      </c>
      <c r="AB66" s="279" t="n">
        <f aca="false">J66</f>
        <v>0</v>
      </c>
      <c r="AC66" s="279" t="n">
        <f aca="false">K66*Q66</f>
        <v>0</v>
      </c>
    </row>
    <row r="67" customFormat="false" ht="13.8" hidden="false" customHeight="false" outlineLevel="0" collapsed="false">
      <c r="A67" s="401"/>
      <c r="B67" s="391" t="s">
        <v>2459</v>
      </c>
      <c r="C67" s="390" t="str">
        <f aca="false">VLOOKUP(B67,'Item Data Support Sheet'!A:B,2,0)</f>
        <v>KPP 120ML GREEN BOTTLE PRINTED (WMG3B)</v>
      </c>
      <c r="D67" s="389" t="str">
        <f aca="false">IFERROR(VLOOKUP(B67,'Item Data Support Sheet'!A:O,15,0),0)</f>
        <v>KPP4_W</v>
      </c>
      <c r="E67" s="460" t="n">
        <v>0</v>
      </c>
      <c r="F67" s="393" t="n">
        <f aca="false">SUMIF('Data Sheet Aug-2021'!E:E,PVA!B67,'Data Sheet Aug-2021'!N:N)</f>
        <v>0</v>
      </c>
      <c r="G67" s="393" t="n">
        <f aca="false">SUMIF('Data Sheet Aug-2021'!E:E,PVA!B67,'Data Sheet Aug-2021'!O:O)</f>
        <v>0</v>
      </c>
      <c r="H67" s="393" t="n">
        <f aca="false">SUMIF('Data Sheet Aug-2021'!E:E,PVA!B67,'Data Sheet Aug-2021'!T:T)</f>
        <v>0</v>
      </c>
      <c r="I67" s="393" t="n">
        <f aca="false">SUMIF('Data Sheet Aug-2021'!E:E,PVA!B67,'Data Sheet Aug-2021'!U:U)</f>
        <v>0</v>
      </c>
      <c r="J67" s="393" t="n">
        <f aca="false">SUMIF('Data Sheet Aug-2021'!E:E,PVA!B67,'Data Sheet Aug-2021'!P:P)</f>
        <v>0</v>
      </c>
      <c r="K67" s="393" t="n">
        <f aca="false">SUMIF('Data Sheet Aug-2021'!E:E,PVA!B67,'Data Sheet Aug-2021'!Q:Q)</f>
        <v>0</v>
      </c>
      <c r="L67" s="465" t="n">
        <f aca="false">IFERROR(SUM(H67:I67)/SUM(G67:I67),0)</f>
        <v>0</v>
      </c>
      <c r="M67" s="399" t="n">
        <f aca="false">IFERROR(K67/F67,0)</f>
        <v>0</v>
      </c>
      <c r="N67" s="400" t="n">
        <f aca="false">IFERROR(G67/E67,0)</f>
        <v>0</v>
      </c>
      <c r="O67" s="462" t="n">
        <f aca="false">G67-E67</f>
        <v>0</v>
      </c>
      <c r="P67" s="462"/>
      <c r="Q67" s="463" t="n">
        <v>0.022</v>
      </c>
      <c r="R67" s="464" t="n">
        <f aca="false">(H67+I67+K67)*Q67</f>
        <v>0</v>
      </c>
      <c r="S67" s="307"/>
      <c r="Z67" s="279" t="n">
        <f aca="false">H67*Q67</f>
        <v>0</v>
      </c>
      <c r="AA67" s="279" t="n">
        <f aca="false">I67*Q67</f>
        <v>0</v>
      </c>
      <c r="AB67" s="279" t="n">
        <f aca="false">J67</f>
        <v>0</v>
      </c>
      <c r="AC67" s="279" t="n">
        <f aca="false">K67*Q67</f>
        <v>0</v>
      </c>
    </row>
    <row r="68" customFormat="false" ht="13.8" hidden="false" customHeight="false" outlineLevel="0" collapsed="false">
      <c r="A68" s="401"/>
      <c r="B68" s="391" t="s">
        <v>2460</v>
      </c>
      <c r="C68" s="390" t="str">
        <f aca="false">VLOOKUP(B68,'Item Data Support Sheet'!A:B,2,0)</f>
        <v>KPP 200ML GREEN BOTTLE PRINTED (WMG3B)</v>
      </c>
      <c r="D68" s="389" t="str">
        <f aca="false">IFERROR(VLOOKUP(B68,'Item Data Support Sheet'!A:O,15,0),0)</f>
        <v>KPP6_W</v>
      </c>
      <c r="E68" s="460" t="n">
        <v>0</v>
      </c>
      <c r="F68" s="393" t="n">
        <f aca="false">SUMIF('Data Sheet Aug-2021'!E:E,PVA!B68,'Data Sheet Aug-2021'!N:N)</f>
        <v>0</v>
      </c>
      <c r="G68" s="393" t="n">
        <f aca="false">SUMIF('Data Sheet Aug-2021'!E:E,PVA!B68,'Data Sheet Aug-2021'!O:O)</f>
        <v>0</v>
      </c>
      <c r="H68" s="393" t="n">
        <f aca="false">SUMIF('Data Sheet Aug-2021'!E:E,PVA!B68,'Data Sheet Aug-2021'!T:T)</f>
        <v>0</v>
      </c>
      <c r="I68" s="393" t="n">
        <f aca="false">SUMIF('Data Sheet Aug-2021'!E:E,PVA!B68,'Data Sheet Aug-2021'!U:U)</f>
        <v>0</v>
      </c>
      <c r="J68" s="393" t="n">
        <f aca="false">SUMIF('Data Sheet Aug-2021'!E:E,PVA!B68,'Data Sheet Aug-2021'!P:P)</f>
        <v>0</v>
      </c>
      <c r="K68" s="393" t="n">
        <f aca="false">SUMIF('Data Sheet Aug-2021'!E:E,PVA!B68,'Data Sheet Aug-2021'!Q:Q)</f>
        <v>0</v>
      </c>
      <c r="L68" s="465" t="n">
        <f aca="false">IFERROR(SUM(H68:I68)/SUM(G68:I68),0)</f>
        <v>0</v>
      </c>
      <c r="M68" s="399" t="n">
        <f aca="false">IFERROR(K68/F68,0)</f>
        <v>0</v>
      </c>
      <c r="N68" s="400" t="n">
        <f aca="false">IFERROR(G68/E68,0)</f>
        <v>0</v>
      </c>
      <c r="O68" s="462" t="n">
        <f aca="false">G68-E68</f>
        <v>0</v>
      </c>
      <c r="P68" s="462"/>
      <c r="Q68" s="463" t="n">
        <v>0.028</v>
      </c>
      <c r="R68" s="464" t="n">
        <f aca="false">(H68+I68+K68)*Q68</f>
        <v>0</v>
      </c>
      <c r="S68" s="307"/>
      <c r="Z68" s="279" t="n">
        <f aca="false">H68*Q68</f>
        <v>0</v>
      </c>
      <c r="AA68" s="279" t="n">
        <f aca="false">I68*Q68</f>
        <v>0</v>
      </c>
      <c r="AB68" s="279" t="n">
        <f aca="false">J68</f>
        <v>0</v>
      </c>
      <c r="AC68" s="279" t="n">
        <f aca="false">K68*Q68</f>
        <v>0</v>
      </c>
    </row>
    <row r="69" customFormat="false" ht="13.8" hidden="false" customHeight="false" outlineLevel="0" collapsed="false">
      <c r="A69" s="401"/>
      <c r="B69" s="391" t="s">
        <v>2461</v>
      </c>
      <c r="C69" s="390" t="str">
        <f aca="false">VLOOKUP(B69,'Item Data Support Sheet'!A:B,2,0)</f>
        <v>KPP 240ML GREEN BOTTLE PRINTED (WMG3B)</v>
      </c>
      <c r="D69" s="389" t="str">
        <f aca="false">IFERROR(VLOOKUP(B69,'Item Data Support Sheet'!A:O,15,0),0)</f>
        <v>KPP8_W</v>
      </c>
      <c r="E69" s="460" t="n">
        <v>0</v>
      </c>
      <c r="F69" s="393" t="n">
        <f aca="false">SUMIF('Data Sheet Aug-2021'!E:E,PVA!B69,'Data Sheet Aug-2021'!N:N)</f>
        <v>0</v>
      </c>
      <c r="G69" s="393" t="n">
        <f aca="false">SUMIF('Data Sheet Aug-2021'!E:E,PVA!B69,'Data Sheet Aug-2021'!O:O)</f>
        <v>0</v>
      </c>
      <c r="H69" s="393" t="n">
        <f aca="false">SUMIF('Data Sheet Aug-2021'!E:E,PVA!B69,'Data Sheet Aug-2021'!T:T)</f>
        <v>0</v>
      </c>
      <c r="I69" s="393" t="n">
        <f aca="false">SUMIF('Data Sheet Aug-2021'!E:E,PVA!B69,'Data Sheet Aug-2021'!U:U)</f>
        <v>0</v>
      </c>
      <c r="J69" s="393" t="n">
        <f aca="false">SUMIF('Data Sheet Aug-2021'!E:E,PVA!B69,'Data Sheet Aug-2021'!P:P)</f>
        <v>0</v>
      </c>
      <c r="K69" s="393" t="n">
        <f aca="false">SUMIF('Data Sheet Aug-2021'!E:E,PVA!B69,'Data Sheet Aug-2021'!Q:Q)</f>
        <v>0</v>
      </c>
      <c r="L69" s="465" t="n">
        <f aca="false">IFERROR(SUM(H69:I69)/SUM(G69:I69),0)</f>
        <v>0</v>
      </c>
      <c r="M69" s="399" t="n">
        <f aca="false">IFERROR(K69/F69,0)</f>
        <v>0</v>
      </c>
      <c r="N69" s="400" t="n">
        <f aca="false">IFERROR(G69/E69,0)</f>
        <v>0</v>
      </c>
      <c r="O69" s="462" t="n">
        <f aca="false">G69-E69</f>
        <v>0</v>
      </c>
      <c r="P69" s="462"/>
      <c r="Q69" s="463" t="n">
        <v>0.032</v>
      </c>
      <c r="R69" s="464" t="n">
        <f aca="false">(H69+I69+K69)*Q69</f>
        <v>0</v>
      </c>
      <c r="S69" s="307"/>
      <c r="Z69" s="279" t="n">
        <f aca="false">H69*Q69</f>
        <v>0</v>
      </c>
      <c r="AA69" s="279" t="n">
        <f aca="false">I69*Q69</f>
        <v>0</v>
      </c>
      <c r="AB69" s="279" t="n">
        <f aca="false">J69</f>
        <v>0</v>
      </c>
      <c r="AC69" s="279" t="n">
        <f aca="false">K69*Q69</f>
        <v>0</v>
      </c>
    </row>
    <row r="70" customFormat="false" ht="13.8" hidden="false" customHeight="false" outlineLevel="0" collapsed="false">
      <c r="A70" s="401"/>
      <c r="B70" s="391" t="s">
        <v>2462</v>
      </c>
      <c r="C70" s="390" t="str">
        <f aca="false">VLOOKUP(B70,'Item Data Support Sheet'!A:B,2,0)</f>
        <v>RPP 120ML ABTRCT PINK BOTTLE PRINTED (WMG3B)</v>
      </c>
      <c r="D70" s="389" t="str">
        <f aca="false">IFERROR(VLOOKUP(B70,'Item Data Support Sheet'!A:O,15,0),0)</f>
        <v>RPP4_W</v>
      </c>
      <c r="E70" s="460" t="n">
        <v>0</v>
      </c>
      <c r="F70" s="393" t="n">
        <f aca="false">SUMIF('Data Sheet Aug-2021'!E:E,PVA!B70,'Data Sheet Aug-2021'!N:N)</f>
        <v>0</v>
      </c>
      <c r="G70" s="393" t="n">
        <f aca="false">SUMIF('Data Sheet Aug-2021'!E:E,PVA!B70,'Data Sheet Aug-2021'!O:O)</f>
        <v>0</v>
      </c>
      <c r="H70" s="393" t="n">
        <f aca="false">SUMIF('Data Sheet Aug-2021'!E:E,PVA!B70,'Data Sheet Aug-2021'!T:T)</f>
        <v>0</v>
      </c>
      <c r="I70" s="393" t="n">
        <f aca="false">SUMIF('Data Sheet Aug-2021'!E:E,PVA!B70,'Data Sheet Aug-2021'!U:U)</f>
        <v>0</v>
      </c>
      <c r="J70" s="393" t="n">
        <f aca="false">SUMIF('Data Sheet Aug-2021'!E:E,PVA!B70,'Data Sheet Aug-2021'!P:P)</f>
        <v>0</v>
      </c>
      <c r="K70" s="393" t="n">
        <f aca="false">SUMIF('Data Sheet Aug-2021'!E:E,PVA!B70,'Data Sheet Aug-2021'!Q:Q)</f>
        <v>0</v>
      </c>
      <c r="L70" s="465" t="n">
        <f aca="false">IFERROR(SUM(H70:I70)/SUM(G70:I70),0)</f>
        <v>0</v>
      </c>
      <c r="M70" s="399" t="n">
        <f aca="false">IFERROR(K70/F70,0)</f>
        <v>0</v>
      </c>
      <c r="N70" s="400" t="n">
        <f aca="false">IFERROR(G70/E70,0)</f>
        <v>0</v>
      </c>
      <c r="O70" s="462" t="n">
        <f aca="false">G70-E70</f>
        <v>0</v>
      </c>
      <c r="P70" s="462"/>
      <c r="Q70" s="463" t="n">
        <v>0.022</v>
      </c>
      <c r="R70" s="464" t="n">
        <f aca="false">(H70+I70+K70)*Q70</f>
        <v>0</v>
      </c>
      <c r="S70" s="307"/>
      <c r="Z70" s="279" t="n">
        <f aca="false">H70*Q70</f>
        <v>0</v>
      </c>
      <c r="AA70" s="279" t="n">
        <f aca="false">I70*Q70</f>
        <v>0</v>
      </c>
      <c r="AB70" s="279" t="n">
        <f aca="false">J70</f>
        <v>0</v>
      </c>
      <c r="AC70" s="279" t="n">
        <f aca="false">K70*Q70</f>
        <v>0</v>
      </c>
    </row>
    <row r="71" customFormat="false" ht="13.8" hidden="false" customHeight="false" outlineLevel="0" collapsed="false">
      <c r="A71" s="401"/>
      <c r="B71" s="391" t="s">
        <v>2463</v>
      </c>
      <c r="C71" s="390" t="str">
        <f aca="false">VLOOKUP(B71,'Item Data Support Sheet'!A:B,2,0)</f>
        <v>RPP 240ML ABTRCT PINK BOTTLE PRINTED (WMG3B)</v>
      </c>
      <c r="D71" s="389" t="str">
        <f aca="false">IFERROR(VLOOKUP(B71,'Item Data Support Sheet'!A:O,15,0),0)</f>
        <v>RPP8_W</v>
      </c>
      <c r="E71" s="460" t="n">
        <v>0</v>
      </c>
      <c r="F71" s="393" t="n">
        <f aca="false">SUMIF('Data Sheet Aug-2021'!E:E,PVA!B71,'Data Sheet Aug-2021'!N:N)</f>
        <v>0</v>
      </c>
      <c r="G71" s="393" t="n">
        <f aca="false">SUMIF('Data Sheet Aug-2021'!E:E,PVA!B71,'Data Sheet Aug-2021'!O:O)</f>
        <v>0</v>
      </c>
      <c r="H71" s="393" t="n">
        <f aca="false">SUMIF('Data Sheet Aug-2021'!E:E,PVA!B71,'Data Sheet Aug-2021'!T:T)</f>
        <v>0</v>
      </c>
      <c r="I71" s="393" t="n">
        <f aca="false">SUMIF('Data Sheet Aug-2021'!E:E,PVA!B71,'Data Sheet Aug-2021'!U:U)</f>
        <v>0</v>
      </c>
      <c r="J71" s="393" t="n">
        <f aca="false">SUMIF('Data Sheet Aug-2021'!E:E,PVA!B71,'Data Sheet Aug-2021'!P:P)</f>
        <v>0</v>
      </c>
      <c r="K71" s="393" t="n">
        <f aca="false">SUMIF('Data Sheet Aug-2021'!E:E,PVA!B71,'Data Sheet Aug-2021'!Q:Q)</f>
        <v>0</v>
      </c>
      <c r="L71" s="465" t="n">
        <f aca="false">IFERROR(SUM(H71:I71)/SUM(G71:I71),0)</f>
        <v>0</v>
      </c>
      <c r="M71" s="399" t="n">
        <f aca="false">IFERROR(K71/F71,0)</f>
        <v>0</v>
      </c>
      <c r="N71" s="400" t="n">
        <f aca="false">IFERROR(G71/E71,0)</f>
        <v>0</v>
      </c>
      <c r="O71" s="462" t="n">
        <f aca="false">G71-E71</f>
        <v>0</v>
      </c>
      <c r="P71" s="462"/>
      <c r="Q71" s="463" t="n">
        <v>0.032</v>
      </c>
      <c r="R71" s="464" t="n">
        <f aca="false">(H71+I71+K71)*Q71</f>
        <v>0</v>
      </c>
      <c r="S71" s="307"/>
      <c r="Z71" s="279" t="n">
        <f aca="false">H71*Q71</f>
        <v>0</v>
      </c>
      <c r="AA71" s="279" t="n">
        <f aca="false">I71*Q71</f>
        <v>0</v>
      </c>
      <c r="AB71" s="279" t="n">
        <f aca="false">J71</f>
        <v>0</v>
      </c>
      <c r="AC71" s="279" t="n">
        <f aca="false">K71*Q71</f>
        <v>0</v>
      </c>
    </row>
    <row r="72" customFormat="false" ht="13.8" hidden="false" customHeight="false" outlineLevel="0" collapsed="false">
      <c r="A72" s="401"/>
      <c r="B72" s="391" t="s">
        <v>2464</v>
      </c>
      <c r="C72" s="390" t="str">
        <f aca="false">VLOOKUP(B72,'Item Data Support Sheet'!A:B,2,0)</f>
        <v>RPP 120ML ABTRCT BULE BOTTLE PRINTED (WMG3B)</v>
      </c>
      <c r="D72" s="389" t="str">
        <f aca="false">IFERROR(VLOOKUP(B72,'Item Data Support Sheet'!A:O,15,0),0)</f>
        <v>RPP4_W</v>
      </c>
      <c r="E72" s="460" t="n">
        <v>0</v>
      </c>
      <c r="F72" s="393" t="n">
        <f aca="false">SUMIF('Data Sheet Aug-2021'!E:E,PVA!B72,'Data Sheet Aug-2021'!N:N)</f>
        <v>0</v>
      </c>
      <c r="G72" s="393" t="n">
        <f aca="false">SUMIF('Data Sheet Aug-2021'!E:E,PVA!B72,'Data Sheet Aug-2021'!O:O)</f>
        <v>0</v>
      </c>
      <c r="H72" s="393" t="n">
        <f aca="false">SUMIF('Data Sheet Aug-2021'!E:E,PVA!B72,'Data Sheet Aug-2021'!T:T)</f>
        <v>0</v>
      </c>
      <c r="I72" s="393" t="n">
        <f aca="false">SUMIF('Data Sheet Aug-2021'!E:E,PVA!B72,'Data Sheet Aug-2021'!U:U)</f>
        <v>0</v>
      </c>
      <c r="J72" s="393" t="n">
        <f aca="false">SUMIF('Data Sheet Aug-2021'!E:E,PVA!B72,'Data Sheet Aug-2021'!P:P)</f>
        <v>0</v>
      </c>
      <c r="K72" s="393" t="n">
        <f aca="false">SUMIF('Data Sheet Aug-2021'!E:E,PVA!B72,'Data Sheet Aug-2021'!Q:Q)</f>
        <v>0</v>
      </c>
      <c r="L72" s="465" t="n">
        <f aca="false">IFERROR(SUM(H72:I72)/SUM(G72:I72),0)</f>
        <v>0</v>
      </c>
      <c r="M72" s="399" t="n">
        <f aca="false">IFERROR(K72/F72,0)</f>
        <v>0</v>
      </c>
      <c r="N72" s="400" t="n">
        <f aca="false">IFERROR(G72/E72,0)</f>
        <v>0</v>
      </c>
      <c r="O72" s="462" t="n">
        <f aca="false">G72-E72</f>
        <v>0</v>
      </c>
      <c r="P72" s="462"/>
      <c r="Q72" s="463" t="n">
        <v>0.022</v>
      </c>
      <c r="R72" s="464" t="n">
        <f aca="false">(H72+I72+K72)*Q72</f>
        <v>0</v>
      </c>
      <c r="S72" s="307"/>
      <c r="Z72" s="279" t="n">
        <f aca="false">H72*Q72</f>
        <v>0</v>
      </c>
      <c r="AA72" s="279" t="n">
        <f aca="false">I72*Q72</f>
        <v>0</v>
      </c>
      <c r="AB72" s="279" t="n">
        <f aca="false">J72</f>
        <v>0</v>
      </c>
      <c r="AC72" s="279" t="n">
        <f aca="false">K72*Q72</f>
        <v>0</v>
      </c>
    </row>
    <row r="73" customFormat="false" ht="13.8" hidden="false" customHeight="false" outlineLevel="0" collapsed="false">
      <c r="A73" s="401"/>
      <c r="B73" s="391" t="s">
        <v>2465</v>
      </c>
      <c r="C73" s="390" t="str">
        <f aca="false">VLOOKUP(B73,'Item Data Support Sheet'!A:B,2,0)</f>
        <v>RPP 240ML ABTRCT BULE BOTTLE PRINTED (WMG3B)</v>
      </c>
      <c r="D73" s="389" t="str">
        <f aca="false">IFERROR(VLOOKUP(B73,'Item Data Support Sheet'!A:O,15,0),0)</f>
        <v>RPP8_W</v>
      </c>
      <c r="E73" s="460" t="n">
        <v>0</v>
      </c>
      <c r="F73" s="393" t="n">
        <f aca="false">SUMIF('Data Sheet Aug-2021'!E:E,PVA!B73,'Data Sheet Aug-2021'!N:N)</f>
        <v>0</v>
      </c>
      <c r="G73" s="393" t="n">
        <f aca="false">SUMIF('Data Sheet Aug-2021'!E:E,PVA!B73,'Data Sheet Aug-2021'!O:O)</f>
        <v>0</v>
      </c>
      <c r="H73" s="393" t="n">
        <f aca="false">SUMIF('Data Sheet Aug-2021'!E:E,PVA!B73,'Data Sheet Aug-2021'!T:T)</f>
        <v>0</v>
      </c>
      <c r="I73" s="393" t="n">
        <f aca="false">SUMIF('Data Sheet Aug-2021'!E:E,PVA!B73,'Data Sheet Aug-2021'!U:U)</f>
        <v>0</v>
      </c>
      <c r="J73" s="393" t="n">
        <f aca="false">SUMIF('Data Sheet Aug-2021'!E:E,PVA!B73,'Data Sheet Aug-2021'!P:P)</f>
        <v>0</v>
      </c>
      <c r="K73" s="393" t="n">
        <f aca="false">SUMIF('Data Sheet Aug-2021'!E:E,PVA!B73,'Data Sheet Aug-2021'!Q:Q)</f>
        <v>0</v>
      </c>
      <c r="L73" s="465" t="n">
        <f aca="false">IFERROR(SUM(H73:I73)/SUM(G73:I73),0)</f>
        <v>0</v>
      </c>
      <c r="M73" s="399" t="n">
        <f aca="false">IFERROR(K73/F73,0)</f>
        <v>0</v>
      </c>
      <c r="N73" s="400" t="n">
        <f aca="false">IFERROR(G73/E73,0)</f>
        <v>0</v>
      </c>
      <c r="O73" s="462" t="n">
        <f aca="false">G73-E73</f>
        <v>0</v>
      </c>
      <c r="P73" s="462"/>
      <c r="Q73" s="463" t="n">
        <v>0.032</v>
      </c>
      <c r="R73" s="464" t="n">
        <f aca="false">(H73+I73+K73)*Q73</f>
        <v>0</v>
      </c>
      <c r="S73" s="307"/>
      <c r="Z73" s="279" t="n">
        <f aca="false">H73*Q73</f>
        <v>0</v>
      </c>
      <c r="AA73" s="279" t="n">
        <f aca="false">I73*Q73</f>
        <v>0</v>
      </c>
      <c r="AB73" s="279" t="n">
        <f aca="false">J73</f>
        <v>0</v>
      </c>
      <c r="AC73" s="279" t="n">
        <f aca="false">K73*Q73</f>
        <v>0</v>
      </c>
    </row>
    <row r="74" customFormat="false" ht="13.8" hidden="false" customHeight="false" outlineLevel="0" collapsed="false">
      <c r="A74" s="401"/>
      <c r="B74" s="391" t="s">
        <v>2466</v>
      </c>
      <c r="C74" s="390" t="str">
        <f aca="false">VLOOKUP(B74,'Item Data Support Sheet'!A:B,2,0)</f>
        <v>RPP 120ML FLORLS PINK BOTTLE PRINTED (WMG3B)</v>
      </c>
      <c r="D74" s="389" t="str">
        <f aca="false">IFERROR(VLOOKUP(B74,'Item Data Support Sheet'!A:O,15,0),0)</f>
        <v>RPP4_W</v>
      </c>
      <c r="E74" s="460" t="n">
        <v>0</v>
      </c>
      <c r="F74" s="393" t="n">
        <f aca="false">SUMIF('Data Sheet Aug-2021'!E:E,PVA!B74,'Data Sheet Aug-2021'!N:N)</f>
        <v>0</v>
      </c>
      <c r="G74" s="393" t="n">
        <f aca="false">SUMIF('Data Sheet Aug-2021'!E:E,PVA!B74,'Data Sheet Aug-2021'!O:O)</f>
        <v>0</v>
      </c>
      <c r="H74" s="393" t="n">
        <f aca="false">SUMIF('Data Sheet Aug-2021'!E:E,PVA!B74,'Data Sheet Aug-2021'!T:T)</f>
        <v>0</v>
      </c>
      <c r="I74" s="393" t="n">
        <f aca="false">SUMIF('Data Sheet Aug-2021'!E:E,PVA!B74,'Data Sheet Aug-2021'!U:U)</f>
        <v>0</v>
      </c>
      <c r="J74" s="393" t="n">
        <f aca="false">SUMIF('Data Sheet Aug-2021'!E:E,PVA!B74,'Data Sheet Aug-2021'!P:P)</f>
        <v>0</v>
      </c>
      <c r="K74" s="393" t="n">
        <f aca="false">SUMIF('Data Sheet Aug-2021'!E:E,PVA!B74,'Data Sheet Aug-2021'!Q:Q)</f>
        <v>0</v>
      </c>
      <c r="L74" s="465" t="n">
        <f aca="false">IFERROR(SUM(H74:I74)/SUM(G74:I74),0)</f>
        <v>0</v>
      </c>
      <c r="M74" s="399" t="n">
        <f aca="false">IFERROR(K74/F74,0)</f>
        <v>0</v>
      </c>
      <c r="N74" s="400" t="n">
        <f aca="false">IFERROR(G74/E74,0)</f>
        <v>0</v>
      </c>
      <c r="O74" s="462" t="n">
        <f aca="false">G74-E74</f>
        <v>0</v>
      </c>
      <c r="P74" s="462"/>
      <c r="Q74" s="463" t="n">
        <v>0.022</v>
      </c>
      <c r="R74" s="464" t="n">
        <f aca="false">(H74+I74+K74)*Q74</f>
        <v>0</v>
      </c>
      <c r="S74" s="307"/>
      <c r="Z74" s="279" t="n">
        <f aca="false">H74*Q74</f>
        <v>0</v>
      </c>
      <c r="AA74" s="279" t="n">
        <f aca="false">I74*Q74</f>
        <v>0</v>
      </c>
      <c r="AB74" s="279" t="n">
        <f aca="false">J74</f>
        <v>0</v>
      </c>
      <c r="AC74" s="279" t="n">
        <f aca="false">K74*Q74</f>
        <v>0</v>
      </c>
    </row>
    <row r="75" customFormat="false" ht="13.8" hidden="false" customHeight="false" outlineLevel="0" collapsed="false">
      <c r="A75" s="401"/>
      <c r="B75" s="391" t="s">
        <v>2467</v>
      </c>
      <c r="C75" s="390" t="str">
        <f aca="false">VLOOKUP(B75,'Item Data Support Sheet'!A:B,2,0)</f>
        <v>RPP 240ML FLORLS PINK BOTTLE PRINTED (WMG3B)</v>
      </c>
      <c r="D75" s="389" t="str">
        <f aca="false">IFERROR(VLOOKUP(B75,'Item Data Support Sheet'!A:O,15,0),0)</f>
        <v>RPP8_W</v>
      </c>
      <c r="E75" s="460" t="n">
        <v>0</v>
      </c>
      <c r="F75" s="393" t="n">
        <f aca="false">SUMIF('Data Sheet Aug-2021'!E:E,PVA!B75,'Data Sheet Aug-2021'!N:N)</f>
        <v>0</v>
      </c>
      <c r="G75" s="393" t="n">
        <f aca="false">SUMIF('Data Sheet Aug-2021'!E:E,PVA!B75,'Data Sheet Aug-2021'!O:O)</f>
        <v>0</v>
      </c>
      <c r="H75" s="393" t="n">
        <f aca="false">SUMIF('Data Sheet Aug-2021'!E:E,PVA!B75,'Data Sheet Aug-2021'!T:T)</f>
        <v>0</v>
      </c>
      <c r="I75" s="393" t="n">
        <f aca="false">SUMIF('Data Sheet Aug-2021'!E:E,PVA!B75,'Data Sheet Aug-2021'!U:U)</f>
        <v>0</v>
      </c>
      <c r="J75" s="393" t="n">
        <f aca="false">SUMIF('Data Sheet Aug-2021'!E:E,PVA!B75,'Data Sheet Aug-2021'!P:P)</f>
        <v>0</v>
      </c>
      <c r="K75" s="393" t="n">
        <f aca="false">SUMIF('Data Sheet Aug-2021'!E:E,PVA!B75,'Data Sheet Aug-2021'!Q:Q)</f>
        <v>0</v>
      </c>
      <c r="L75" s="465" t="n">
        <f aca="false">IFERROR(SUM(H75:I75)/SUM(G75:I75),0)</f>
        <v>0</v>
      </c>
      <c r="M75" s="399" t="n">
        <f aca="false">IFERROR(K75/F75,0)</f>
        <v>0</v>
      </c>
      <c r="N75" s="400" t="n">
        <f aca="false">IFERROR(G75/E75,0)</f>
        <v>0</v>
      </c>
      <c r="O75" s="462" t="n">
        <f aca="false">G75-E75</f>
        <v>0</v>
      </c>
      <c r="P75" s="462"/>
      <c r="Q75" s="463" t="n">
        <v>0.032</v>
      </c>
      <c r="R75" s="464" t="n">
        <f aca="false">(H75+I75+K75)*Q75</f>
        <v>0</v>
      </c>
      <c r="S75" s="307"/>
      <c r="Z75" s="279" t="n">
        <f aca="false">H75*Q75</f>
        <v>0</v>
      </c>
      <c r="AA75" s="279" t="n">
        <f aca="false">I75*Q75</f>
        <v>0</v>
      </c>
      <c r="AB75" s="279" t="n">
        <f aca="false">J75</f>
        <v>0</v>
      </c>
      <c r="AC75" s="279" t="n">
        <f aca="false">K75*Q75</f>
        <v>0</v>
      </c>
    </row>
    <row r="76" customFormat="false" ht="13.8" hidden="false" customHeight="false" outlineLevel="0" collapsed="false">
      <c r="A76" s="401"/>
      <c r="B76" s="391" t="s">
        <v>2468</v>
      </c>
      <c r="C76" s="390" t="str">
        <f aca="false">VLOOKUP(B76,'Item Data Support Sheet'!A:B,2,0)</f>
        <v>RPP 120ML FLORLS BULE BOTTLE PRINTED (WMG3B)</v>
      </c>
      <c r="D76" s="389" t="str">
        <f aca="false">IFERROR(VLOOKUP(B76,'Item Data Support Sheet'!A:O,15,0),0)</f>
        <v>RPP4_W</v>
      </c>
      <c r="E76" s="460" t="n">
        <v>0</v>
      </c>
      <c r="F76" s="393" t="n">
        <f aca="false">SUMIF('Data Sheet Aug-2021'!E:E,PVA!B76,'Data Sheet Aug-2021'!N:N)</f>
        <v>0</v>
      </c>
      <c r="G76" s="393" t="n">
        <f aca="false">SUMIF('Data Sheet Aug-2021'!E:E,PVA!B76,'Data Sheet Aug-2021'!O:O)</f>
        <v>0</v>
      </c>
      <c r="H76" s="393" t="n">
        <f aca="false">SUMIF('Data Sheet Aug-2021'!E:E,PVA!B76,'Data Sheet Aug-2021'!T:T)</f>
        <v>0</v>
      </c>
      <c r="I76" s="393" t="n">
        <f aca="false">SUMIF('Data Sheet Aug-2021'!E:E,PVA!B76,'Data Sheet Aug-2021'!U:U)</f>
        <v>0</v>
      </c>
      <c r="J76" s="393" t="n">
        <f aca="false">SUMIF('Data Sheet Aug-2021'!E:E,PVA!B76,'Data Sheet Aug-2021'!P:P)</f>
        <v>0</v>
      </c>
      <c r="K76" s="393" t="n">
        <f aca="false">SUMIF('Data Sheet Aug-2021'!E:E,PVA!B76,'Data Sheet Aug-2021'!Q:Q)</f>
        <v>0</v>
      </c>
      <c r="L76" s="465" t="n">
        <f aca="false">IFERROR(SUM(H76:I76)/SUM(G76:I76),0)</f>
        <v>0</v>
      </c>
      <c r="M76" s="399" t="n">
        <f aca="false">IFERROR(K76/F76,0)</f>
        <v>0</v>
      </c>
      <c r="N76" s="400" t="n">
        <f aca="false">IFERROR(G76/E76,0)</f>
        <v>0</v>
      </c>
      <c r="O76" s="462" t="n">
        <f aca="false">G76-E76</f>
        <v>0</v>
      </c>
      <c r="P76" s="462"/>
      <c r="Q76" s="463" t="n">
        <v>0.022</v>
      </c>
      <c r="R76" s="464" t="n">
        <f aca="false">(H76+I76+K76)*Q76</f>
        <v>0</v>
      </c>
      <c r="S76" s="307"/>
      <c r="Z76" s="279" t="n">
        <f aca="false">H76*Q76</f>
        <v>0</v>
      </c>
      <c r="AA76" s="279" t="n">
        <f aca="false">I76*Q76</f>
        <v>0</v>
      </c>
      <c r="AB76" s="279" t="n">
        <f aca="false">J76</f>
        <v>0</v>
      </c>
      <c r="AC76" s="279" t="n">
        <f aca="false">K76*Q76</f>
        <v>0</v>
      </c>
    </row>
    <row r="77" customFormat="false" ht="13.8" hidden="false" customHeight="false" outlineLevel="0" collapsed="false">
      <c r="A77" s="401"/>
      <c r="B77" s="391" t="s">
        <v>2469</v>
      </c>
      <c r="C77" s="390" t="str">
        <f aca="false">VLOOKUP(B77,'Item Data Support Sheet'!A:B,2,0)</f>
        <v>RPP 240ML FLORLS BULE BOTTLE PRINTED (WMG3B)</v>
      </c>
      <c r="D77" s="389" t="str">
        <f aca="false">IFERROR(VLOOKUP(B77,'Item Data Support Sheet'!A:O,15,0),0)</f>
        <v>RPP8_W</v>
      </c>
      <c r="E77" s="460" t="n">
        <v>0</v>
      </c>
      <c r="F77" s="393" t="n">
        <f aca="false">SUMIF('Data Sheet Aug-2021'!E:E,PVA!B77,'Data Sheet Aug-2021'!N:N)</f>
        <v>0</v>
      </c>
      <c r="G77" s="393" t="n">
        <f aca="false">SUMIF('Data Sheet Aug-2021'!E:E,PVA!B77,'Data Sheet Aug-2021'!O:O)</f>
        <v>0</v>
      </c>
      <c r="H77" s="393" t="n">
        <f aca="false">SUMIF('Data Sheet Aug-2021'!E:E,PVA!B77,'Data Sheet Aug-2021'!T:T)</f>
        <v>0</v>
      </c>
      <c r="I77" s="393" t="n">
        <f aca="false">SUMIF('Data Sheet Aug-2021'!E:E,PVA!B77,'Data Sheet Aug-2021'!U:U)</f>
        <v>0</v>
      </c>
      <c r="J77" s="393" t="n">
        <f aca="false">SUMIF('Data Sheet Aug-2021'!E:E,PVA!B77,'Data Sheet Aug-2021'!P:P)</f>
        <v>0</v>
      </c>
      <c r="K77" s="393" t="n">
        <f aca="false">SUMIF('Data Sheet Aug-2021'!E:E,PVA!B77,'Data Sheet Aug-2021'!Q:Q)</f>
        <v>0</v>
      </c>
      <c r="L77" s="465" t="n">
        <f aca="false">IFERROR(SUM(H77:I77)/SUM(G77:I77),0)</f>
        <v>0</v>
      </c>
      <c r="M77" s="399" t="n">
        <f aca="false">IFERROR(K77/F77,0)</f>
        <v>0</v>
      </c>
      <c r="N77" s="400" t="n">
        <f aca="false">IFERROR(G77/E77,0)</f>
        <v>0</v>
      </c>
      <c r="O77" s="462" t="n">
        <f aca="false">G77-E77</f>
        <v>0</v>
      </c>
      <c r="P77" s="462"/>
      <c r="Q77" s="463" t="n">
        <v>0.032</v>
      </c>
      <c r="R77" s="464" t="n">
        <f aca="false">(H77+I77+K77)*Q77</f>
        <v>0</v>
      </c>
      <c r="S77" s="307"/>
      <c r="Z77" s="279" t="n">
        <f aca="false">H77*Q77</f>
        <v>0</v>
      </c>
      <c r="AA77" s="279" t="n">
        <f aca="false">I77*Q77</f>
        <v>0</v>
      </c>
      <c r="AB77" s="279" t="n">
        <f aca="false">J77</f>
        <v>0</v>
      </c>
      <c r="AC77" s="279" t="n">
        <f aca="false">K77*Q77</f>
        <v>0</v>
      </c>
    </row>
    <row r="78" customFormat="false" ht="13.8" hidden="false" customHeight="false" outlineLevel="0" collapsed="false">
      <c r="A78" s="401"/>
      <c r="B78" s="391" t="s">
        <v>2470</v>
      </c>
      <c r="C78" s="390" t="str">
        <f aca="false">VLOOKUP(B78,'Item Data Support Sheet'!A:B,2,0)</f>
        <v>RPP 120ML RACOON GREEN PRINTED (WM3GB)</v>
      </c>
      <c r="D78" s="389" t="str">
        <f aca="false">IFERROR(VLOOKUP(B78,'Item Data Support Sheet'!A:O,15,0),0)</f>
        <v>RPP4_W</v>
      </c>
      <c r="E78" s="460" t="n">
        <v>0</v>
      </c>
      <c r="F78" s="393" t="n">
        <f aca="false">SUMIF('Data Sheet Aug-2021'!E:E,PVA!B78,'Data Sheet Aug-2021'!N:N)</f>
        <v>0</v>
      </c>
      <c r="G78" s="393" t="n">
        <f aca="false">SUMIF('Data Sheet Aug-2021'!E:E,PVA!B78,'Data Sheet Aug-2021'!O:O)</f>
        <v>0</v>
      </c>
      <c r="H78" s="393" t="n">
        <f aca="false">SUMIF('Data Sheet Aug-2021'!E:E,PVA!B78,'Data Sheet Aug-2021'!T:T)</f>
        <v>0</v>
      </c>
      <c r="I78" s="393" t="n">
        <f aca="false">SUMIF('Data Sheet Aug-2021'!E:E,PVA!B78,'Data Sheet Aug-2021'!U:U)</f>
        <v>0</v>
      </c>
      <c r="J78" s="393" t="n">
        <f aca="false">SUMIF('Data Sheet Aug-2021'!E:E,PVA!B78,'Data Sheet Aug-2021'!P:P)</f>
        <v>0</v>
      </c>
      <c r="K78" s="393" t="n">
        <f aca="false">SUMIF('Data Sheet Aug-2021'!E:E,PVA!B78,'Data Sheet Aug-2021'!Q:Q)</f>
        <v>0</v>
      </c>
      <c r="L78" s="465" t="n">
        <f aca="false">IFERROR(SUM(H78:I78)/SUM(G78:I78),0)</f>
        <v>0</v>
      </c>
      <c r="M78" s="399" t="n">
        <f aca="false">IFERROR(K78/F78,0)</f>
        <v>0</v>
      </c>
      <c r="N78" s="400" t="n">
        <f aca="false">IFERROR(G78/E78,0)</f>
        <v>0</v>
      </c>
      <c r="O78" s="462" t="n">
        <f aca="false">G78-E78</f>
        <v>0</v>
      </c>
      <c r="P78" s="462"/>
      <c r="Q78" s="463" t="n">
        <v>0.022</v>
      </c>
      <c r="R78" s="464" t="n">
        <f aca="false">(H78+I78+K78)*Q78</f>
        <v>0</v>
      </c>
      <c r="S78" s="307"/>
      <c r="Z78" s="279" t="n">
        <f aca="false">H78*Q78</f>
        <v>0</v>
      </c>
      <c r="AA78" s="279" t="n">
        <f aca="false">I78*Q78</f>
        <v>0</v>
      </c>
      <c r="AB78" s="279" t="n">
        <f aca="false">J78</f>
        <v>0</v>
      </c>
      <c r="AC78" s="279" t="n">
        <f aca="false">K78*Q78</f>
        <v>0</v>
      </c>
    </row>
    <row r="79" customFormat="false" ht="13.8" hidden="false" customHeight="false" outlineLevel="0" collapsed="false">
      <c r="A79" s="401"/>
      <c r="B79" s="391" t="s">
        <v>2471</v>
      </c>
      <c r="C79" s="390" t="str">
        <f aca="false">VLOOKUP(B79,'Item Data Support Sheet'!A:B,2,0)</f>
        <v>RPP 240ML DRAGON GREEN PRINTED (WM3GB)</v>
      </c>
      <c r="D79" s="389" t="str">
        <f aca="false">IFERROR(VLOOKUP(B79,'Item Data Support Sheet'!A:O,15,0),0)</f>
        <v>RPP8_W</v>
      </c>
      <c r="E79" s="460" t="n">
        <v>0</v>
      </c>
      <c r="F79" s="393" t="n">
        <f aca="false">SUMIF('Data Sheet Aug-2021'!E:E,PVA!B79,'Data Sheet Aug-2021'!N:N)</f>
        <v>0</v>
      </c>
      <c r="G79" s="393" t="n">
        <f aca="false">SUMIF('Data Sheet Aug-2021'!E:E,PVA!B79,'Data Sheet Aug-2021'!O:O)</f>
        <v>0</v>
      </c>
      <c r="H79" s="393" t="n">
        <f aca="false">SUMIF('Data Sheet Aug-2021'!E:E,PVA!B79,'Data Sheet Aug-2021'!T:T)</f>
        <v>0</v>
      </c>
      <c r="I79" s="393" t="n">
        <f aca="false">SUMIF('Data Sheet Aug-2021'!E:E,PVA!B79,'Data Sheet Aug-2021'!U:U)</f>
        <v>0</v>
      </c>
      <c r="J79" s="393" t="n">
        <f aca="false">SUMIF('Data Sheet Aug-2021'!E:E,PVA!B79,'Data Sheet Aug-2021'!P:P)</f>
        <v>0</v>
      </c>
      <c r="K79" s="393" t="n">
        <f aca="false">SUMIF('Data Sheet Aug-2021'!E:E,PVA!B79,'Data Sheet Aug-2021'!Q:Q)</f>
        <v>0</v>
      </c>
      <c r="L79" s="465" t="n">
        <f aca="false">IFERROR(SUM(H79:I79)/SUM(G79:I79),0)</f>
        <v>0</v>
      </c>
      <c r="M79" s="399" t="n">
        <f aca="false">IFERROR(K79/F79,0)</f>
        <v>0</v>
      </c>
      <c r="N79" s="400" t="n">
        <f aca="false">IFERROR(G79/E79,0)</f>
        <v>0</v>
      </c>
      <c r="O79" s="462" t="n">
        <f aca="false">G79-E79</f>
        <v>0</v>
      </c>
      <c r="P79" s="462"/>
      <c r="Q79" s="463" t="n">
        <v>0.032</v>
      </c>
      <c r="R79" s="464" t="n">
        <f aca="false">(H79+I79+K79)*Q79</f>
        <v>0</v>
      </c>
      <c r="S79" s="307"/>
      <c r="Z79" s="279" t="n">
        <f aca="false">H79*Q79</f>
        <v>0</v>
      </c>
      <c r="AA79" s="279" t="n">
        <f aca="false">I79*Q79</f>
        <v>0</v>
      </c>
      <c r="AB79" s="279" t="n">
        <f aca="false">J79</f>
        <v>0</v>
      </c>
      <c r="AC79" s="279" t="n">
        <f aca="false">K79*Q79</f>
        <v>0</v>
      </c>
    </row>
    <row r="80" customFormat="false" ht="13.8" hidden="false" customHeight="false" outlineLevel="0" collapsed="false">
      <c r="A80" s="401"/>
      <c r="B80" s="391" t="s">
        <v>2472</v>
      </c>
      <c r="C80" s="390" t="str">
        <f aca="false">VLOOKUP(B80,'Item Data Support Sheet'!A:B,2,0)</f>
        <v>KPP 200ML BOTTLE PRINTED WITH LANSINOH LOGO</v>
      </c>
      <c r="D80" s="389" t="str">
        <f aca="false">IFERROR(VLOOKUP(B80,'Item Data Support Sheet'!A:O,15,0),0)</f>
        <v>KPP6_P</v>
      </c>
      <c r="E80" s="460" t="n">
        <v>0</v>
      </c>
      <c r="F80" s="393" t="n">
        <f aca="false">SUMIF('Data Sheet Aug-2021'!E:E,PVA!B80,'Data Sheet Aug-2021'!N:N)</f>
        <v>0</v>
      </c>
      <c r="G80" s="393" t="n">
        <f aca="false">SUMIF('Data Sheet Aug-2021'!E:E,PVA!B80,'Data Sheet Aug-2021'!O:O)</f>
        <v>0</v>
      </c>
      <c r="H80" s="393" t="n">
        <f aca="false">SUMIF('Data Sheet Aug-2021'!E:E,PVA!B80,'Data Sheet Aug-2021'!T:T)</f>
        <v>0</v>
      </c>
      <c r="I80" s="393" t="n">
        <f aca="false">SUMIF('Data Sheet Aug-2021'!E:E,PVA!B80,'Data Sheet Aug-2021'!U:U)</f>
        <v>0</v>
      </c>
      <c r="J80" s="393" t="n">
        <f aca="false">SUMIF('Data Sheet Aug-2021'!E:E,PVA!B80,'Data Sheet Aug-2021'!P:P)</f>
        <v>0</v>
      </c>
      <c r="K80" s="393" t="n">
        <f aca="false">SUMIF('Data Sheet Aug-2021'!E:E,PVA!B80,'Data Sheet Aug-2021'!Q:Q)</f>
        <v>0</v>
      </c>
      <c r="L80" s="465" t="n">
        <f aca="false">IFERROR(SUM(H80:I80)/SUM(G80:I80),0)</f>
        <v>0</v>
      </c>
      <c r="M80" s="399" t="n">
        <f aca="false">IFERROR(K80/F80,0)</f>
        <v>0</v>
      </c>
      <c r="N80" s="400" t="n">
        <f aca="false">IFERROR(G80/E80,0)</f>
        <v>0</v>
      </c>
      <c r="O80" s="462" t="n">
        <f aca="false">G80-E80</f>
        <v>0</v>
      </c>
      <c r="P80" s="462"/>
      <c r="Q80" s="463" t="n">
        <v>0.028</v>
      </c>
      <c r="R80" s="464" t="n">
        <f aca="false">(H80+I80+K80)*Q80</f>
        <v>0</v>
      </c>
      <c r="S80" s="307"/>
      <c r="Z80" s="279" t="n">
        <f aca="false">H80*Q80</f>
        <v>0</v>
      </c>
      <c r="AA80" s="279" t="n">
        <f aca="false">I80*Q80</f>
        <v>0</v>
      </c>
      <c r="AB80" s="279" t="n">
        <f aca="false">J80</f>
        <v>0</v>
      </c>
      <c r="AC80" s="279" t="n">
        <f aca="false">K80*Q80</f>
        <v>0</v>
      </c>
    </row>
    <row r="81" customFormat="false" ht="13.8" hidden="false" customHeight="false" outlineLevel="0" collapsed="false">
      <c r="A81" s="401"/>
      <c r="B81" s="391" t="s">
        <v>758</v>
      </c>
      <c r="C81" s="390" t="str">
        <f aca="false">VLOOKUP(B81,'Item Data Support Sheet'!A:B,2,0)</f>
        <v>KPP 120 BOTTLE PRINTED (WMG3B) W/O OZ &amp; W/BIS LOGO</v>
      </c>
      <c r="D81" s="389" t="str">
        <f aca="false">IFERROR(VLOOKUP(B81,'Item Data Support Sheet'!A:O,15,0),0)</f>
        <v>KPP4_W</v>
      </c>
      <c r="E81" s="460" t="n">
        <v>900</v>
      </c>
      <c r="F81" s="393" t="n">
        <f aca="false">SUMIF('Data Sheet Aug-2021'!E:E,PVA!B81,'Data Sheet Aug-2021'!N:N)</f>
        <v>1541</v>
      </c>
      <c r="G81" s="393" t="n">
        <f aca="false">SUMIF('Data Sheet Aug-2021'!E:E,PVA!B81,'Data Sheet Aug-2021'!O:O)</f>
        <v>1518</v>
      </c>
      <c r="H81" s="393" t="n">
        <f aca="false">SUMIF('Data Sheet Aug-2021'!E:E,PVA!B81,'Data Sheet Aug-2021'!T:T)</f>
        <v>23</v>
      </c>
      <c r="I81" s="393" t="n">
        <f aca="false">SUMIF('Data Sheet Aug-2021'!E:E,PVA!B81,'Data Sheet Aug-2021'!U:U)</f>
        <v>0</v>
      </c>
      <c r="J81" s="393" t="n">
        <f aca="false">SUMIF('Data Sheet Aug-2021'!E:E,PVA!B81,'Data Sheet Aug-2021'!P:P)</f>
        <v>0</v>
      </c>
      <c r="K81" s="393" t="n">
        <f aca="false">SUMIF('Data Sheet Aug-2021'!E:E,PVA!B81,'Data Sheet Aug-2021'!Q:Q)</f>
        <v>0</v>
      </c>
      <c r="L81" s="465" t="n">
        <f aca="false">IFERROR(SUM(H81:I81)/SUM(G81:I81),0)</f>
        <v>0.0149253731343284</v>
      </c>
      <c r="M81" s="399" t="n">
        <f aca="false">IFERROR(K81/F81,0)</f>
        <v>0</v>
      </c>
      <c r="N81" s="400" t="n">
        <f aca="false">IFERROR(G81/E81,0)</f>
        <v>1.68666666666667</v>
      </c>
      <c r="O81" s="462" t="n">
        <f aca="false">G81-E81</f>
        <v>618</v>
      </c>
      <c r="P81" s="462"/>
      <c r="Q81" s="463" t="n">
        <v>0.022</v>
      </c>
      <c r="R81" s="464" t="n">
        <f aca="false">(H81+I81+K81)*Q81</f>
        <v>0.506</v>
      </c>
      <c r="S81" s="307"/>
      <c r="Z81" s="279" t="n">
        <f aca="false">H81*Q81</f>
        <v>0.506</v>
      </c>
      <c r="AA81" s="279" t="n">
        <f aca="false">I81*Q81</f>
        <v>0</v>
      </c>
      <c r="AB81" s="279" t="n">
        <f aca="false">J81</f>
        <v>0</v>
      </c>
      <c r="AC81" s="279" t="n">
        <f aca="false">K81*Q81</f>
        <v>0</v>
      </c>
    </row>
    <row r="82" customFormat="false" ht="13.8" hidden="false" customHeight="false" outlineLevel="0" collapsed="false">
      <c r="A82" s="401"/>
      <c r="B82" s="391" t="s">
        <v>267</v>
      </c>
      <c r="C82" s="390" t="str">
        <f aca="false">VLOOKUP(B82,'Item Data Support Sheet'!A:B,2,0)</f>
        <v>KPP 200 BOTTLE PRINTED (WMG3B) W/O OZ &amp; W/BIS LOGO</v>
      </c>
      <c r="D82" s="389" t="str">
        <f aca="false">IFERROR(VLOOKUP(B82,'Item Data Support Sheet'!A:O,15,0),0)</f>
        <v>KPP6_W</v>
      </c>
      <c r="E82" s="460" t="n">
        <v>800</v>
      </c>
      <c r="F82" s="393" t="n">
        <f aca="false">SUMIF('Data Sheet Aug-2021'!E:E,PVA!B82,'Data Sheet Aug-2021'!N:N)</f>
        <v>1913</v>
      </c>
      <c r="G82" s="393" t="n">
        <f aca="false">SUMIF('Data Sheet Aug-2021'!E:E,PVA!B82,'Data Sheet Aug-2021'!O:O)</f>
        <v>1878</v>
      </c>
      <c r="H82" s="393" t="n">
        <f aca="false">SUMIF('Data Sheet Aug-2021'!E:E,PVA!B82,'Data Sheet Aug-2021'!T:T)</f>
        <v>35</v>
      </c>
      <c r="I82" s="393" t="n">
        <f aca="false">SUMIF('Data Sheet Aug-2021'!E:E,PVA!B82,'Data Sheet Aug-2021'!U:U)</f>
        <v>0</v>
      </c>
      <c r="J82" s="393" t="n">
        <f aca="false">SUMIF('Data Sheet Aug-2021'!E:E,PVA!B82,'Data Sheet Aug-2021'!P:P)</f>
        <v>0</v>
      </c>
      <c r="K82" s="393" t="n">
        <f aca="false">SUMIF('Data Sheet Aug-2021'!E:E,PVA!B82,'Data Sheet Aug-2021'!Q:Q)</f>
        <v>0</v>
      </c>
      <c r="L82" s="465" t="n">
        <f aca="false">IFERROR(SUM(H82:I82)/SUM(G82:I82),0)</f>
        <v>0.01829587036069</v>
      </c>
      <c r="M82" s="399" t="n">
        <f aca="false">IFERROR(K82/F82,0)</f>
        <v>0</v>
      </c>
      <c r="N82" s="400" t="n">
        <f aca="false">IFERROR(G82/E82,0)</f>
        <v>2.3475</v>
      </c>
      <c r="O82" s="462" t="n">
        <f aca="false">G82-E82</f>
        <v>1078</v>
      </c>
      <c r="P82" s="462"/>
      <c r="Q82" s="463" t="n">
        <v>0.028</v>
      </c>
      <c r="R82" s="464" t="n">
        <f aca="false">(H82+I82+K82)*Q82</f>
        <v>0.98</v>
      </c>
      <c r="S82" s="307"/>
      <c r="Z82" s="279" t="n">
        <f aca="false">H82*Q82</f>
        <v>0.98</v>
      </c>
      <c r="AA82" s="279" t="n">
        <f aca="false">I82*Q82</f>
        <v>0</v>
      </c>
      <c r="AB82" s="279" t="n">
        <f aca="false">J82</f>
        <v>0</v>
      </c>
      <c r="AC82" s="279" t="n">
        <f aca="false">K82*Q82</f>
        <v>0</v>
      </c>
    </row>
    <row r="83" customFormat="false" ht="13.8" hidden="false" customHeight="false" outlineLevel="0" collapsed="false">
      <c r="A83" s="401"/>
      <c r="B83" s="391" t="s">
        <v>387</v>
      </c>
      <c r="C83" s="390" t="str">
        <f aca="false">VLOOKUP(B83,'Item Data Support Sheet'!A:B,2,0)</f>
        <v>KPP 240 BOTTLE PRINTED (WMG3B) W/O OZ &amp; W/BIS LOGO</v>
      </c>
      <c r="D83" s="389" t="str">
        <f aca="false">IFERROR(VLOOKUP(B83,'Item Data Support Sheet'!A:O,15,0),0)</f>
        <v>KPP8_W</v>
      </c>
      <c r="E83" s="460" t="n">
        <v>800</v>
      </c>
      <c r="F83" s="393" t="n">
        <f aca="false">SUMIF('Data Sheet Aug-2021'!E:E,PVA!B83,'Data Sheet Aug-2021'!N:N)</f>
        <v>5191</v>
      </c>
      <c r="G83" s="393" t="n">
        <f aca="false">SUMIF('Data Sheet Aug-2021'!E:E,PVA!B83,'Data Sheet Aug-2021'!O:O)</f>
        <v>5091</v>
      </c>
      <c r="H83" s="393" t="n">
        <f aca="false">SUMIF('Data Sheet Aug-2021'!E:E,PVA!B83,'Data Sheet Aug-2021'!T:T)</f>
        <v>100</v>
      </c>
      <c r="I83" s="393" t="n">
        <f aca="false">SUMIF('Data Sheet Aug-2021'!E:E,PVA!B83,'Data Sheet Aug-2021'!U:U)</f>
        <v>0</v>
      </c>
      <c r="J83" s="393" t="n">
        <f aca="false">SUMIF('Data Sheet Aug-2021'!E:E,PVA!B83,'Data Sheet Aug-2021'!P:P)</f>
        <v>0</v>
      </c>
      <c r="K83" s="393" t="n">
        <f aca="false">SUMIF('Data Sheet Aug-2021'!E:E,PVA!B83,'Data Sheet Aug-2021'!Q:Q)</f>
        <v>0</v>
      </c>
      <c r="L83" s="465" t="n">
        <f aca="false">IFERROR(SUM(H83:I83)/SUM(G83:I83),0)</f>
        <v>0.0192641109612791</v>
      </c>
      <c r="M83" s="399" t="n">
        <f aca="false">IFERROR(K83/F83,0)</f>
        <v>0</v>
      </c>
      <c r="N83" s="400" t="n">
        <f aca="false">IFERROR(G83/E83,0)</f>
        <v>6.36375</v>
      </c>
      <c r="O83" s="462" t="n">
        <f aca="false">G83-E83</f>
        <v>4291</v>
      </c>
      <c r="P83" s="462"/>
      <c r="Q83" s="463" t="n">
        <v>0.032</v>
      </c>
      <c r="R83" s="464" t="n">
        <f aca="false">(H83+I83+K83)*Q83</f>
        <v>3.2</v>
      </c>
      <c r="S83" s="307"/>
      <c r="Z83" s="279" t="n">
        <f aca="false">H83*Q83</f>
        <v>3.2</v>
      </c>
      <c r="AA83" s="279" t="n">
        <f aca="false">I83*Q83</f>
        <v>0</v>
      </c>
      <c r="AB83" s="279" t="n">
        <f aca="false">J83</f>
        <v>0</v>
      </c>
      <c r="AC83" s="279" t="n">
        <f aca="false">K83*Q83</f>
        <v>0</v>
      </c>
    </row>
    <row r="84" customFormat="false" ht="13.8" hidden="false" customHeight="false" outlineLevel="0" collapsed="false">
      <c r="A84" s="401"/>
      <c r="B84" s="391" t="s">
        <v>2473</v>
      </c>
      <c r="C84" s="390" t="str">
        <f aca="false">VLOOKUP(B84,'Item Data Support Sheet'!A:B,2,0)</f>
        <v>RPP 120ML RACOON PINK PRINTED BULK (WM3GB)</v>
      </c>
      <c r="D84" s="389" t="str">
        <f aca="false">IFERROR(VLOOKUP(B84,'Item Data Support Sheet'!A:O,15,0),0)</f>
        <v>RPP4_W</v>
      </c>
      <c r="E84" s="460" t="n">
        <v>0</v>
      </c>
      <c r="F84" s="393" t="n">
        <f aca="false">SUMIF('Data Sheet Aug-2021'!E:E,PVA!B84,'Data Sheet Aug-2021'!N:N)</f>
        <v>0</v>
      </c>
      <c r="G84" s="393" t="n">
        <f aca="false">SUMIF('Data Sheet Aug-2021'!E:E,PVA!B84,'Data Sheet Aug-2021'!O:O)</f>
        <v>0</v>
      </c>
      <c r="H84" s="393" t="n">
        <f aca="false">SUMIF('Data Sheet Aug-2021'!E:E,PVA!B84,'Data Sheet Aug-2021'!T:T)</f>
        <v>0</v>
      </c>
      <c r="I84" s="393" t="n">
        <f aca="false">SUMIF('Data Sheet Aug-2021'!E:E,PVA!B84,'Data Sheet Aug-2021'!U:U)</f>
        <v>0</v>
      </c>
      <c r="J84" s="393" t="n">
        <f aca="false">SUMIF('Data Sheet Aug-2021'!E:E,PVA!B84,'Data Sheet Aug-2021'!P:P)</f>
        <v>0</v>
      </c>
      <c r="K84" s="393" t="n">
        <f aca="false">SUMIF('Data Sheet Aug-2021'!E:E,PVA!B84,'Data Sheet Aug-2021'!Q:Q)</f>
        <v>0</v>
      </c>
      <c r="L84" s="465" t="n">
        <f aca="false">IFERROR(SUM(H84:I84)/SUM(G84:I84),0)</f>
        <v>0</v>
      </c>
      <c r="M84" s="399" t="n">
        <f aca="false">IFERROR(K84/F84,0)</f>
        <v>0</v>
      </c>
      <c r="N84" s="400" t="n">
        <f aca="false">IFERROR(G84/E84,0)</f>
        <v>0</v>
      </c>
      <c r="O84" s="462" t="n">
        <f aca="false">G84-E84</f>
        <v>0</v>
      </c>
      <c r="P84" s="462"/>
      <c r="Q84" s="463" t="n">
        <v>0.022</v>
      </c>
      <c r="R84" s="464" t="n">
        <f aca="false">(H84+I84+K84)*Q84</f>
        <v>0</v>
      </c>
      <c r="S84" s="307"/>
      <c r="Z84" s="279" t="n">
        <f aca="false">H84*Q84</f>
        <v>0</v>
      </c>
      <c r="AA84" s="279" t="n">
        <f aca="false">I84*Q84</f>
        <v>0</v>
      </c>
      <c r="AB84" s="279" t="n">
        <f aca="false">J84</f>
        <v>0</v>
      </c>
      <c r="AC84" s="279" t="n">
        <f aca="false">K84*Q84</f>
        <v>0</v>
      </c>
    </row>
    <row r="85" customFormat="false" ht="13.8" hidden="false" customHeight="false" outlineLevel="0" collapsed="false">
      <c r="A85" s="401"/>
      <c r="B85" s="391" t="s">
        <v>2474</v>
      </c>
      <c r="C85" s="390" t="str">
        <f aca="false">VLOOKUP(B85,'Item Data Support Sheet'!A:B,2,0)</f>
        <v>RPP 240ML DRAGON PINK PPRINTED BULK (WM3GB)</v>
      </c>
      <c r="D85" s="389" t="str">
        <f aca="false">IFERROR(VLOOKUP(B85,'Item Data Support Sheet'!A:O,15,0),0)</f>
        <v>RPP8_W</v>
      </c>
      <c r="E85" s="460" t="n">
        <v>0</v>
      </c>
      <c r="F85" s="393" t="n">
        <f aca="false">SUMIF('Data Sheet Aug-2021'!E:E,PVA!B85,'Data Sheet Aug-2021'!N:N)</f>
        <v>0</v>
      </c>
      <c r="G85" s="393" t="n">
        <f aca="false">SUMIF('Data Sheet Aug-2021'!E:E,PVA!B85,'Data Sheet Aug-2021'!O:O)</f>
        <v>0</v>
      </c>
      <c r="H85" s="393" t="n">
        <f aca="false">SUMIF('Data Sheet Aug-2021'!E:E,PVA!B85,'Data Sheet Aug-2021'!T:T)</f>
        <v>0</v>
      </c>
      <c r="I85" s="393" t="n">
        <f aca="false">SUMIF('Data Sheet Aug-2021'!E:E,PVA!B85,'Data Sheet Aug-2021'!U:U)</f>
        <v>0</v>
      </c>
      <c r="J85" s="393" t="n">
        <f aca="false">SUMIF('Data Sheet Aug-2021'!E:E,PVA!B85,'Data Sheet Aug-2021'!P:P)</f>
        <v>0</v>
      </c>
      <c r="K85" s="393" t="n">
        <f aca="false">SUMIF('Data Sheet Aug-2021'!E:E,PVA!B85,'Data Sheet Aug-2021'!Q:Q)</f>
        <v>0</v>
      </c>
      <c r="L85" s="465" t="n">
        <f aca="false">IFERROR(SUM(H85:I85)/SUM(G85:I85),0)</f>
        <v>0</v>
      </c>
      <c r="M85" s="399" t="n">
        <f aca="false">IFERROR(K85/F85,0)</f>
        <v>0</v>
      </c>
      <c r="N85" s="400" t="n">
        <f aca="false">IFERROR(G85/E85,0)</f>
        <v>0</v>
      </c>
      <c r="O85" s="462" t="n">
        <f aca="false">G85-E85</f>
        <v>0</v>
      </c>
      <c r="P85" s="462"/>
      <c r="Q85" s="463" t="n">
        <v>0.032</v>
      </c>
      <c r="R85" s="464" t="n">
        <f aca="false">(H85+I85+K85)*Q85</f>
        <v>0</v>
      </c>
      <c r="S85" s="307"/>
      <c r="Z85" s="279" t="n">
        <f aca="false">H85*Q85</f>
        <v>0</v>
      </c>
      <c r="AA85" s="279" t="n">
        <f aca="false">I85*Q85</f>
        <v>0</v>
      </c>
      <c r="AB85" s="279" t="n">
        <f aca="false">J85</f>
        <v>0</v>
      </c>
      <c r="AC85" s="279" t="n">
        <f aca="false">K85*Q85</f>
        <v>0</v>
      </c>
    </row>
    <row r="86" customFormat="false" ht="13.8" hidden="false" customHeight="false" outlineLevel="0" collapsed="false">
      <c r="A86" s="401"/>
      <c r="B86" s="391" t="s">
        <v>803</v>
      </c>
      <c r="C86" s="390" t="str">
        <f aca="false">VLOOKUP(B86,'Item Data Support Sheet'!A:B,2,0)</f>
        <v>RPP 120ML GRL PNK BOTLE PNTD WM3GB W/BIS LOGO</v>
      </c>
      <c r="D86" s="389" t="str">
        <f aca="false">IFERROR(VLOOKUP(B86,'Item Data Support Sheet'!A:O,15,0),0)</f>
        <v>RPP4_W</v>
      </c>
      <c r="E86" s="460" t="n">
        <v>0</v>
      </c>
      <c r="F86" s="393" t="n">
        <f aca="false">SUMIF('Data Sheet Aug-2021'!E:E,PVA!B86,'Data Sheet Aug-2021'!N:N)</f>
        <v>1867</v>
      </c>
      <c r="G86" s="393" t="n">
        <f aca="false">SUMIF('Data Sheet Aug-2021'!E:E,PVA!B86,'Data Sheet Aug-2021'!O:O)</f>
        <v>1845</v>
      </c>
      <c r="H86" s="393" t="n">
        <f aca="false">SUMIF('Data Sheet Aug-2021'!E:E,PVA!B86,'Data Sheet Aug-2021'!T:T)</f>
        <v>22</v>
      </c>
      <c r="I86" s="393" t="n">
        <f aca="false">SUMIF('Data Sheet Aug-2021'!E:E,PVA!B86,'Data Sheet Aug-2021'!U:U)</f>
        <v>0</v>
      </c>
      <c r="J86" s="393" t="n">
        <f aca="false">SUMIF('Data Sheet Aug-2021'!E:E,PVA!B86,'Data Sheet Aug-2021'!P:P)</f>
        <v>0</v>
      </c>
      <c r="K86" s="393" t="n">
        <f aca="false">SUMIF('Data Sheet Aug-2021'!E:E,PVA!B86,'Data Sheet Aug-2021'!Q:Q)</f>
        <v>0</v>
      </c>
      <c r="L86" s="465" t="n">
        <f aca="false">IFERROR(SUM(H86:I86)/SUM(G86:I86),0)</f>
        <v>0.0117836100696304</v>
      </c>
      <c r="M86" s="399" t="n">
        <f aca="false">IFERROR(K86/F86,0)</f>
        <v>0</v>
      </c>
      <c r="N86" s="400" t="n">
        <f aca="false">IFERROR(G86/E86,0)</f>
        <v>0</v>
      </c>
      <c r="O86" s="462" t="n">
        <f aca="false">G86-E86</f>
        <v>1845</v>
      </c>
      <c r="P86" s="462"/>
      <c r="Q86" s="463" t="n">
        <v>0.022</v>
      </c>
      <c r="R86" s="464" t="n">
        <f aca="false">(H86+I86+K86)*Q86</f>
        <v>0.484</v>
      </c>
      <c r="S86" s="307"/>
      <c r="Z86" s="279" t="n">
        <f aca="false">H86*Q86</f>
        <v>0.484</v>
      </c>
      <c r="AA86" s="279" t="n">
        <f aca="false">I86*Q86</f>
        <v>0</v>
      </c>
      <c r="AB86" s="279" t="n">
        <f aca="false">J86</f>
        <v>0</v>
      </c>
      <c r="AC86" s="279" t="n">
        <f aca="false">K86*Q86</f>
        <v>0</v>
      </c>
    </row>
    <row r="87" customFormat="false" ht="13.8" hidden="false" customHeight="false" outlineLevel="0" collapsed="false">
      <c r="A87" s="401"/>
      <c r="B87" s="391" t="s">
        <v>616</v>
      </c>
      <c r="C87" s="390" t="str">
        <f aca="false">VLOOKUP(B87,'Item Data Support Sheet'!A:B,2,0)</f>
        <v>RPP 240ML GRL PNK BOTLE PNTD WM3GB W/BIS LOGO</v>
      </c>
      <c r="D87" s="389" t="str">
        <f aca="false">IFERROR(VLOOKUP(B87,'Item Data Support Sheet'!A:O,15,0),0)</f>
        <v>RPP8_W</v>
      </c>
      <c r="E87" s="460" t="n">
        <v>600</v>
      </c>
      <c r="F87" s="393" t="n">
        <f aca="false">SUMIF('Data Sheet Aug-2021'!E:E,PVA!B87,'Data Sheet Aug-2021'!N:N)</f>
        <v>2717</v>
      </c>
      <c r="G87" s="393" t="n">
        <f aca="false">SUMIF('Data Sheet Aug-2021'!E:E,PVA!B87,'Data Sheet Aug-2021'!O:O)</f>
        <v>2676</v>
      </c>
      <c r="H87" s="393" t="n">
        <f aca="false">SUMIF('Data Sheet Aug-2021'!E:E,PVA!B87,'Data Sheet Aug-2021'!T:T)</f>
        <v>41</v>
      </c>
      <c r="I87" s="393" t="n">
        <f aca="false">SUMIF('Data Sheet Aug-2021'!E:E,PVA!B87,'Data Sheet Aug-2021'!U:U)</f>
        <v>0</v>
      </c>
      <c r="J87" s="393" t="n">
        <f aca="false">SUMIF('Data Sheet Aug-2021'!E:E,PVA!B87,'Data Sheet Aug-2021'!P:P)</f>
        <v>0</v>
      </c>
      <c r="K87" s="393" t="n">
        <f aca="false">SUMIF('Data Sheet Aug-2021'!E:E,PVA!B87,'Data Sheet Aug-2021'!Q:Q)</f>
        <v>0</v>
      </c>
      <c r="L87" s="465" t="n">
        <f aca="false">IFERROR(SUM(H87:I87)/SUM(G87:I87),0)</f>
        <v>0.0150901729849098</v>
      </c>
      <c r="M87" s="399" t="n">
        <f aca="false">IFERROR(K87/F87,0)</f>
        <v>0</v>
      </c>
      <c r="N87" s="400" t="n">
        <f aca="false">IFERROR(G87/E87,0)</f>
        <v>4.46</v>
      </c>
      <c r="O87" s="462" t="n">
        <f aca="false">G87-E87</f>
        <v>2076</v>
      </c>
      <c r="P87" s="462"/>
      <c r="Q87" s="463" t="n">
        <v>0.032</v>
      </c>
      <c r="R87" s="464" t="n">
        <f aca="false">(H87+I87+K87)*Q87</f>
        <v>1.312</v>
      </c>
      <c r="S87" s="307"/>
      <c r="Z87" s="279" t="n">
        <f aca="false">H87*Q87</f>
        <v>1.312</v>
      </c>
      <c r="AA87" s="279" t="n">
        <f aca="false">I87*Q87</f>
        <v>0</v>
      </c>
      <c r="AB87" s="279" t="n">
        <f aca="false">J87</f>
        <v>0</v>
      </c>
      <c r="AC87" s="279" t="n">
        <f aca="false">K87*Q87</f>
        <v>0</v>
      </c>
    </row>
    <row r="88" customFormat="false" ht="13.8" hidden="false" customHeight="false" outlineLevel="0" collapsed="false">
      <c r="A88" s="401"/>
      <c r="B88" s="391" t="s">
        <v>608</v>
      </c>
      <c r="C88" s="390" t="str">
        <f aca="false">VLOOKUP(B88,'Item Data Support Sheet'!A:B,2,0)</f>
        <v>RPP 120ML BOY BLUE BOTLE PNTD WM3GB W/BIS LOGO</v>
      </c>
      <c r="D88" s="389" t="str">
        <f aca="false">IFERROR(VLOOKUP(B88,'Item Data Support Sheet'!A:O,15,0),0)</f>
        <v>RPP4_W</v>
      </c>
      <c r="E88" s="460" t="n">
        <v>600</v>
      </c>
      <c r="F88" s="393" t="n">
        <f aca="false">SUMIF('Data Sheet Aug-2021'!E:E,PVA!B88,'Data Sheet Aug-2021'!N:N)</f>
        <v>3030</v>
      </c>
      <c r="G88" s="393" t="n">
        <f aca="false">SUMIF('Data Sheet Aug-2021'!E:E,PVA!B88,'Data Sheet Aug-2021'!O:O)</f>
        <v>2987</v>
      </c>
      <c r="H88" s="393" t="n">
        <f aca="false">SUMIF('Data Sheet Aug-2021'!E:E,PVA!B88,'Data Sheet Aug-2021'!T:T)</f>
        <v>43</v>
      </c>
      <c r="I88" s="393" t="n">
        <f aca="false">SUMIF('Data Sheet Aug-2021'!E:E,PVA!B88,'Data Sheet Aug-2021'!U:U)</f>
        <v>0</v>
      </c>
      <c r="J88" s="393" t="n">
        <f aca="false">SUMIF('Data Sheet Aug-2021'!E:E,PVA!B88,'Data Sheet Aug-2021'!P:P)</f>
        <v>0</v>
      </c>
      <c r="K88" s="393" t="n">
        <f aca="false">SUMIF('Data Sheet Aug-2021'!E:E,PVA!B88,'Data Sheet Aug-2021'!Q:Q)</f>
        <v>0</v>
      </c>
      <c r="L88" s="465" t="n">
        <f aca="false">IFERROR(SUM(H88:I88)/SUM(G88:I88),0)</f>
        <v>0.0141914191419142</v>
      </c>
      <c r="M88" s="399" t="n">
        <f aca="false">IFERROR(K88/F88,0)</f>
        <v>0</v>
      </c>
      <c r="N88" s="400" t="n">
        <f aca="false">IFERROR(G88/E88,0)</f>
        <v>4.97833333333333</v>
      </c>
      <c r="O88" s="462" t="n">
        <f aca="false">G88-E88</f>
        <v>2387</v>
      </c>
      <c r="P88" s="462"/>
      <c r="Q88" s="463" t="n">
        <v>0.022</v>
      </c>
      <c r="R88" s="464" t="n">
        <f aca="false">(H88+I88+K88)*Q88</f>
        <v>0.946</v>
      </c>
      <c r="S88" s="307"/>
      <c r="Z88" s="279" t="n">
        <f aca="false">H88*Q88</f>
        <v>0.946</v>
      </c>
      <c r="AA88" s="279" t="n">
        <f aca="false">I88*Q88</f>
        <v>0</v>
      </c>
      <c r="AB88" s="279" t="n">
        <f aca="false">J88</f>
        <v>0</v>
      </c>
      <c r="AC88" s="279" t="n">
        <f aca="false">K88*Q88</f>
        <v>0</v>
      </c>
    </row>
    <row r="89" customFormat="false" ht="13.8" hidden="false" customHeight="false" outlineLevel="0" collapsed="false">
      <c r="A89" s="401"/>
      <c r="B89" s="391" t="s">
        <v>1289</v>
      </c>
      <c r="C89" s="390" t="str">
        <f aca="false">VLOOKUP(B89,'Item Data Support Sheet'!A:B,2,0)</f>
        <v>RPP 240ML BOY BLUE BOTLE PNTD WM3GB W/BIS LOGO</v>
      </c>
      <c r="D89" s="389" t="str">
        <f aca="false">IFERROR(VLOOKUP(B89,'Item Data Support Sheet'!A:O,15,0),0)</f>
        <v>RPP8_W</v>
      </c>
      <c r="E89" s="460" t="n">
        <v>0</v>
      </c>
      <c r="F89" s="393" t="n">
        <f aca="false">SUMIF('Data Sheet Aug-2021'!E:E,PVA!B89,'Data Sheet Aug-2021'!N:N)</f>
        <v>1453</v>
      </c>
      <c r="G89" s="393" t="n">
        <f aca="false">SUMIF('Data Sheet Aug-2021'!E:E,PVA!B89,'Data Sheet Aug-2021'!O:O)</f>
        <v>1440</v>
      </c>
      <c r="H89" s="393" t="n">
        <f aca="false">SUMIF('Data Sheet Aug-2021'!E:E,PVA!B89,'Data Sheet Aug-2021'!T:T)</f>
        <v>13</v>
      </c>
      <c r="I89" s="393" t="n">
        <f aca="false">SUMIF('Data Sheet Aug-2021'!E:E,PVA!B89,'Data Sheet Aug-2021'!U:U)</f>
        <v>0</v>
      </c>
      <c r="J89" s="393" t="n">
        <f aca="false">SUMIF('Data Sheet Aug-2021'!E:E,PVA!B89,'Data Sheet Aug-2021'!P:P)</f>
        <v>0</v>
      </c>
      <c r="K89" s="393" t="n">
        <f aca="false">SUMIF('Data Sheet Aug-2021'!E:E,PVA!B89,'Data Sheet Aug-2021'!Q:Q)</f>
        <v>0</v>
      </c>
      <c r="L89" s="465" t="n">
        <f aca="false">IFERROR(SUM(H89:I89)/SUM(G89:I89),0)</f>
        <v>0.00894700619408121</v>
      </c>
      <c r="M89" s="399" t="n">
        <f aca="false">IFERROR(K89/F89,0)</f>
        <v>0</v>
      </c>
      <c r="N89" s="400" t="n">
        <f aca="false">IFERROR(G89/E89,0)</f>
        <v>0</v>
      </c>
      <c r="O89" s="462" t="n">
        <f aca="false">G89-E89</f>
        <v>1440</v>
      </c>
      <c r="P89" s="462"/>
      <c r="Q89" s="463" t="n">
        <v>0.032</v>
      </c>
      <c r="R89" s="464" t="n">
        <f aca="false">(H89+I89+K89)*Q89</f>
        <v>0.416</v>
      </c>
      <c r="S89" s="307"/>
      <c r="Z89" s="279" t="n">
        <f aca="false">H89*Q89</f>
        <v>0.416</v>
      </c>
      <c r="AA89" s="279" t="n">
        <f aca="false">I89*Q89</f>
        <v>0</v>
      </c>
      <c r="AB89" s="279" t="n">
        <f aca="false">J89</f>
        <v>0</v>
      </c>
      <c r="AC89" s="279" t="n">
        <f aca="false">K89*Q89</f>
        <v>0</v>
      </c>
    </row>
    <row r="90" customFormat="false" ht="13.8" hidden="false" customHeight="false" outlineLevel="0" collapsed="false">
      <c r="A90" s="401"/>
      <c r="B90" s="391" t="s">
        <v>654</v>
      </c>
      <c r="C90" s="390" t="str">
        <f aca="false">VLOOKUP(B90,'Item Data Support Sheet'!A:B,2,0)</f>
        <v>RPP 120ML ABSTRCT PNK BOTLE PNTD WM3GB W/BIS LOGO</v>
      </c>
      <c r="D90" s="389" t="str">
        <f aca="false">IFERROR(VLOOKUP(B90,'Item Data Support Sheet'!A:O,15,0),0)</f>
        <v>RPP4_W</v>
      </c>
      <c r="E90" s="460" t="n">
        <v>1400</v>
      </c>
      <c r="F90" s="393" t="n">
        <f aca="false">SUMIF('Data Sheet Aug-2021'!E:E,PVA!B90,'Data Sheet Aug-2021'!N:N)</f>
        <v>1443</v>
      </c>
      <c r="G90" s="393" t="n">
        <f aca="false">SUMIF('Data Sheet Aug-2021'!E:E,PVA!B90,'Data Sheet Aug-2021'!O:O)</f>
        <v>1412</v>
      </c>
      <c r="H90" s="393" t="n">
        <f aca="false">SUMIF('Data Sheet Aug-2021'!E:E,PVA!B90,'Data Sheet Aug-2021'!T:T)</f>
        <v>31</v>
      </c>
      <c r="I90" s="393" t="n">
        <f aca="false">SUMIF('Data Sheet Aug-2021'!E:E,PVA!B90,'Data Sheet Aug-2021'!U:U)</f>
        <v>0</v>
      </c>
      <c r="J90" s="393" t="n">
        <f aca="false">SUMIF('Data Sheet Aug-2021'!E:E,PVA!B90,'Data Sheet Aug-2021'!P:P)</f>
        <v>0</v>
      </c>
      <c r="K90" s="393" t="n">
        <f aca="false">SUMIF('Data Sheet Aug-2021'!E:E,PVA!B90,'Data Sheet Aug-2021'!Q:Q)</f>
        <v>0</v>
      </c>
      <c r="L90" s="465" t="n">
        <f aca="false">IFERROR(SUM(H90:I90)/SUM(G90:I90),0)</f>
        <v>0.0214830214830215</v>
      </c>
      <c r="M90" s="399" t="n">
        <f aca="false">IFERROR(K90/F90,0)</f>
        <v>0</v>
      </c>
      <c r="N90" s="400" t="n">
        <f aca="false">IFERROR(G90/E90,0)</f>
        <v>1.00857142857143</v>
      </c>
      <c r="O90" s="462" t="n">
        <f aca="false">G90-E90</f>
        <v>12</v>
      </c>
      <c r="P90" s="462"/>
      <c r="Q90" s="463" t="n">
        <v>0.022</v>
      </c>
      <c r="R90" s="464" t="n">
        <f aca="false">(H90+I90+K90)*Q90</f>
        <v>0.682</v>
      </c>
      <c r="S90" s="307"/>
      <c r="Z90" s="279" t="n">
        <f aca="false">H90*Q90</f>
        <v>0.682</v>
      </c>
      <c r="AA90" s="279" t="n">
        <f aca="false">I90*Q90</f>
        <v>0</v>
      </c>
      <c r="AB90" s="279" t="n">
        <f aca="false">J90</f>
        <v>0</v>
      </c>
      <c r="AC90" s="279" t="n">
        <f aca="false">K90*Q90</f>
        <v>0</v>
      </c>
    </row>
    <row r="91" customFormat="false" ht="13.8" hidden="false" customHeight="false" outlineLevel="0" collapsed="false">
      <c r="A91" s="401"/>
      <c r="B91" s="391" t="s">
        <v>1660</v>
      </c>
      <c r="C91" s="390" t="str">
        <f aca="false">VLOOKUP(B91,'Item Data Support Sheet'!A:B,2,0)</f>
        <v>RPP 240ML ABSTRCT PNK BOTLE PNTD WM3GB W/BIS LOGO</v>
      </c>
      <c r="D91" s="389" t="str">
        <f aca="false">IFERROR(VLOOKUP(B91,'Item Data Support Sheet'!A:O,15,0),0)</f>
        <v>RPP8_W</v>
      </c>
      <c r="E91" s="460" t="n">
        <v>0</v>
      </c>
      <c r="F91" s="393" t="n">
        <f aca="false">SUMIF('Data Sheet Aug-2021'!E:E,PVA!B91,'Data Sheet Aug-2021'!N:N)</f>
        <v>987</v>
      </c>
      <c r="G91" s="393" t="n">
        <f aca="false">SUMIF('Data Sheet Aug-2021'!E:E,PVA!B91,'Data Sheet Aug-2021'!O:O)</f>
        <v>973</v>
      </c>
      <c r="H91" s="393" t="n">
        <f aca="false">SUMIF('Data Sheet Aug-2021'!E:E,PVA!B91,'Data Sheet Aug-2021'!T:T)</f>
        <v>14</v>
      </c>
      <c r="I91" s="393" t="n">
        <f aca="false">SUMIF('Data Sheet Aug-2021'!E:E,PVA!B91,'Data Sheet Aug-2021'!U:U)</f>
        <v>0</v>
      </c>
      <c r="J91" s="393" t="n">
        <f aca="false">SUMIF('Data Sheet Aug-2021'!E:E,PVA!B91,'Data Sheet Aug-2021'!P:P)</f>
        <v>0</v>
      </c>
      <c r="K91" s="393" t="n">
        <f aca="false">SUMIF('Data Sheet Aug-2021'!E:E,PVA!B91,'Data Sheet Aug-2021'!Q:Q)</f>
        <v>0</v>
      </c>
      <c r="L91" s="465" t="n">
        <f aca="false">IFERROR(SUM(H91:I91)/SUM(G91:I91),0)</f>
        <v>0.0141843971631206</v>
      </c>
      <c r="M91" s="399" t="n">
        <f aca="false">IFERROR(K91/F91,0)</f>
        <v>0</v>
      </c>
      <c r="N91" s="400" t="n">
        <f aca="false">IFERROR(G91/E91,0)</f>
        <v>0</v>
      </c>
      <c r="O91" s="462" t="n">
        <f aca="false">G91-E91</f>
        <v>973</v>
      </c>
      <c r="P91" s="462"/>
      <c r="Q91" s="463" t="n">
        <v>0.032</v>
      </c>
      <c r="R91" s="464" t="n">
        <f aca="false">(H91+I91+K91)*Q91</f>
        <v>0.448</v>
      </c>
      <c r="S91" s="307"/>
      <c r="Z91" s="279" t="n">
        <f aca="false">H91*Q91</f>
        <v>0.448</v>
      </c>
      <c r="AA91" s="279" t="n">
        <f aca="false">I91*Q91</f>
        <v>0</v>
      </c>
      <c r="AB91" s="279" t="n">
        <f aca="false">J91</f>
        <v>0</v>
      </c>
      <c r="AC91" s="279" t="n">
        <f aca="false">K91*Q91</f>
        <v>0</v>
      </c>
    </row>
    <row r="92" customFormat="false" ht="13.8" hidden="false" customHeight="false" outlineLevel="0" collapsed="false">
      <c r="A92" s="401"/>
      <c r="B92" s="391" t="s">
        <v>1326</v>
      </c>
      <c r="C92" s="390" t="str">
        <f aca="false">VLOOKUP(B92,'Item Data Support Sheet'!A:B,2,0)</f>
        <v>RPP 120ML ABSTRCT BLU BOTLE PNTD WM3GB W/BIS LOGO</v>
      </c>
      <c r="D92" s="389" t="str">
        <f aca="false">IFERROR(VLOOKUP(B92,'Item Data Support Sheet'!A:O,15,0),0)</f>
        <v>RPP4_W</v>
      </c>
      <c r="E92" s="460" t="n">
        <v>0</v>
      </c>
      <c r="F92" s="393" t="n">
        <f aca="false">SUMIF('Data Sheet Aug-2021'!E:E,PVA!B92,'Data Sheet Aug-2021'!N:N)</f>
        <v>1977</v>
      </c>
      <c r="G92" s="393" t="n">
        <f aca="false">SUMIF('Data Sheet Aug-2021'!E:E,PVA!B92,'Data Sheet Aug-2021'!O:O)</f>
        <v>1944</v>
      </c>
      <c r="H92" s="393" t="n">
        <f aca="false">SUMIF('Data Sheet Aug-2021'!E:E,PVA!B92,'Data Sheet Aug-2021'!T:T)</f>
        <v>33</v>
      </c>
      <c r="I92" s="393" t="n">
        <f aca="false">SUMIF('Data Sheet Aug-2021'!E:E,PVA!B92,'Data Sheet Aug-2021'!U:U)</f>
        <v>0</v>
      </c>
      <c r="J92" s="393" t="n">
        <f aca="false">SUMIF('Data Sheet Aug-2021'!E:E,PVA!B92,'Data Sheet Aug-2021'!P:P)</f>
        <v>0</v>
      </c>
      <c r="K92" s="393" t="n">
        <f aca="false">SUMIF('Data Sheet Aug-2021'!E:E,PVA!B92,'Data Sheet Aug-2021'!Q:Q)</f>
        <v>0</v>
      </c>
      <c r="L92" s="465" t="n">
        <f aca="false">IFERROR(SUM(H92:I92)/SUM(G92:I92),0)</f>
        <v>0.0166919575113809</v>
      </c>
      <c r="M92" s="399" t="n">
        <f aca="false">IFERROR(K92/F92,0)</f>
        <v>0</v>
      </c>
      <c r="N92" s="400" t="n">
        <f aca="false">IFERROR(G92/E92,0)</f>
        <v>0</v>
      </c>
      <c r="O92" s="462" t="n">
        <f aca="false">G92-E92</f>
        <v>1944</v>
      </c>
      <c r="P92" s="462"/>
      <c r="Q92" s="463" t="n">
        <v>0.022</v>
      </c>
      <c r="R92" s="464" t="n">
        <f aca="false">(H92+I92+K92)*Q92</f>
        <v>0.726</v>
      </c>
      <c r="S92" s="307"/>
      <c r="Z92" s="279" t="n">
        <f aca="false">H92*Q92</f>
        <v>0.726</v>
      </c>
      <c r="AA92" s="279" t="n">
        <f aca="false">I92*Q92</f>
        <v>0</v>
      </c>
      <c r="AB92" s="279" t="n">
        <f aca="false">J92</f>
        <v>0</v>
      </c>
      <c r="AC92" s="279" t="n">
        <f aca="false">K92*Q92</f>
        <v>0</v>
      </c>
    </row>
    <row r="93" customFormat="false" ht="13.8" hidden="false" customHeight="false" outlineLevel="0" collapsed="false">
      <c r="A93" s="401"/>
      <c r="B93" s="391" t="s">
        <v>1323</v>
      </c>
      <c r="C93" s="390" t="str">
        <f aca="false">VLOOKUP(B93,'Item Data Support Sheet'!A:B,2,0)</f>
        <v>RPP 240ML ABSTRCT BLU BOTLE PNTD WM3GB W/BIS LOGO</v>
      </c>
      <c r="D93" s="389" t="str">
        <f aca="false">IFERROR(VLOOKUP(B93,'Item Data Support Sheet'!A:O,15,0),0)</f>
        <v>RPP8_W</v>
      </c>
      <c r="E93" s="460" t="n">
        <v>0</v>
      </c>
      <c r="F93" s="393" t="n">
        <f aca="false">SUMIF('Data Sheet Aug-2021'!E:E,PVA!B93,'Data Sheet Aug-2021'!N:N)</f>
        <v>1424</v>
      </c>
      <c r="G93" s="393" t="n">
        <f aca="false">SUMIF('Data Sheet Aug-2021'!E:E,PVA!B93,'Data Sheet Aug-2021'!O:O)</f>
        <v>1402</v>
      </c>
      <c r="H93" s="393" t="n">
        <f aca="false">SUMIF('Data Sheet Aug-2021'!E:E,PVA!B93,'Data Sheet Aug-2021'!T:T)</f>
        <v>22</v>
      </c>
      <c r="I93" s="393" t="n">
        <f aca="false">SUMIF('Data Sheet Aug-2021'!E:E,PVA!B93,'Data Sheet Aug-2021'!U:U)</f>
        <v>0</v>
      </c>
      <c r="J93" s="393" t="n">
        <f aca="false">SUMIF('Data Sheet Aug-2021'!E:E,PVA!B93,'Data Sheet Aug-2021'!P:P)</f>
        <v>0</v>
      </c>
      <c r="K93" s="393" t="n">
        <f aca="false">SUMIF('Data Sheet Aug-2021'!E:E,PVA!B93,'Data Sheet Aug-2021'!Q:Q)</f>
        <v>0</v>
      </c>
      <c r="L93" s="465" t="n">
        <f aca="false">IFERROR(SUM(H93:I93)/SUM(G93:I93),0)</f>
        <v>0.0154494382022472</v>
      </c>
      <c r="M93" s="399" t="n">
        <f aca="false">IFERROR(K93/F93,0)</f>
        <v>0</v>
      </c>
      <c r="N93" s="400" t="n">
        <f aca="false">IFERROR(G93/E93,0)</f>
        <v>0</v>
      </c>
      <c r="O93" s="462" t="n">
        <f aca="false">G93-E93</f>
        <v>1402</v>
      </c>
      <c r="P93" s="462"/>
      <c r="Q93" s="463" t="n">
        <v>0.032</v>
      </c>
      <c r="R93" s="464" t="n">
        <f aca="false">(H93+I93+K93)*Q93</f>
        <v>0.704</v>
      </c>
      <c r="S93" s="307"/>
      <c r="Z93" s="279" t="n">
        <f aca="false">H93*Q93</f>
        <v>0.704</v>
      </c>
      <c r="AA93" s="279" t="n">
        <f aca="false">I93*Q93</f>
        <v>0</v>
      </c>
      <c r="AB93" s="279" t="n">
        <f aca="false">J93</f>
        <v>0</v>
      </c>
      <c r="AC93" s="279" t="n">
        <f aca="false">K93*Q93</f>
        <v>0</v>
      </c>
    </row>
    <row r="94" customFormat="false" ht="13.8" hidden="false" customHeight="false" outlineLevel="0" collapsed="false">
      <c r="A94" s="401"/>
      <c r="B94" s="391" t="s">
        <v>650</v>
      </c>
      <c r="C94" s="390" t="str">
        <f aca="false">VLOOKUP(B94,'Item Data Support Sheet'!A:B,2,0)</f>
        <v>RPP 120ML FLORAL PNK BOTLE PNTD WM3GB W/BIS LOGO</v>
      </c>
      <c r="D94" s="389" t="str">
        <f aca="false">IFERROR(VLOOKUP(B94,'Item Data Support Sheet'!A:O,15,0),0)</f>
        <v>RPP4_W</v>
      </c>
      <c r="E94" s="460" t="n">
        <v>1000</v>
      </c>
      <c r="F94" s="393" t="n">
        <f aca="false">SUMIF('Data Sheet Aug-2021'!E:E,PVA!B94,'Data Sheet Aug-2021'!N:N)</f>
        <v>2817</v>
      </c>
      <c r="G94" s="393" t="n">
        <f aca="false">SUMIF('Data Sheet Aug-2021'!E:E,PVA!B94,'Data Sheet Aug-2021'!O:O)</f>
        <v>2784</v>
      </c>
      <c r="H94" s="393" t="n">
        <f aca="false">SUMIF('Data Sheet Aug-2021'!E:E,PVA!B94,'Data Sheet Aug-2021'!T:T)</f>
        <v>33</v>
      </c>
      <c r="I94" s="393" t="n">
        <f aca="false">SUMIF('Data Sheet Aug-2021'!E:E,PVA!B94,'Data Sheet Aug-2021'!U:U)</f>
        <v>0</v>
      </c>
      <c r="J94" s="393" t="n">
        <f aca="false">SUMIF('Data Sheet Aug-2021'!E:E,PVA!B94,'Data Sheet Aug-2021'!P:P)</f>
        <v>0</v>
      </c>
      <c r="K94" s="393" t="n">
        <f aca="false">SUMIF('Data Sheet Aug-2021'!E:E,PVA!B94,'Data Sheet Aug-2021'!Q:Q)</f>
        <v>0</v>
      </c>
      <c r="L94" s="465" t="n">
        <f aca="false">IFERROR(SUM(H94:I94)/SUM(G94:I94),0)</f>
        <v>0.0117145899893504</v>
      </c>
      <c r="M94" s="399" t="n">
        <f aca="false">IFERROR(K94/F94,0)</f>
        <v>0</v>
      </c>
      <c r="N94" s="400" t="n">
        <f aca="false">IFERROR(G94/E94,0)</f>
        <v>2.784</v>
      </c>
      <c r="O94" s="462" t="n">
        <f aca="false">G94-E94</f>
        <v>1784</v>
      </c>
      <c r="P94" s="462"/>
      <c r="Q94" s="463" t="n">
        <v>0.022</v>
      </c>
      <c r="R94" s="464" t="n">
        <f aca="false">(H94+I94+K94)*Q94</f>
        <v>0.726</v>
      </c>
      <c r="S94" s="307"/>
      <c r="Z94" s="279" t="n">
        <f aca="false">H94*Q94</f>
        <v>0.726</v>
      </c>
      <c r="AA94" s="279" t="n">
        <f aca="false">I94*Q94</f>
        <v>0</v>
      </c>
      <c r="AB94" s="279" t="n">
        <f aca="false">J94</f>
        <v>0</v>
      </c>
      <c r="AC94" s="279" t="n">
        <f aca="false">K94*Q94</f>
        <v>0</v>
      </c>
    </row>
    <row r="95" customFormat="false" ht="13.8" hidden="false" customHeight="false" outlineLevel="0" collapsed="false">
      <c r="A95" s="401"/>
      <c r="B95" s="391" t="s">
        <v>646</v>
      </c>
      <c r="C95" s="390" t="str">
        <f aca="false">VLOOKUP(B95,'Item Data Support Sheet'!A:B,2,0)</f>
        <v>RPP 240ML FLORAL PNK BOTLE PNTD WM3GB W/BIS LOGO</v>
      </c>
      <c r="D95" s="389" t="str">
        <f aca="false">IFERROR(VLOOKUP(B95,'Item Data Support Sheet'!A:O,15,0),0)</f>
        <v>RPP8_W</v>
      </c>
      <c r="E95" s="460" t="n">
        <v>0</v>
      </c>
      <c r="F95" s="393" t="n">
        <f aca="false">SUMIF('Data Sheet Aug-2021'!E:E,PVA!B95,'Data Sheet Aug-2021'!N:N)</f>
        <v>1971</v>
      </c>
      <c r="G95" s="393" t="n">
        <f aca="false">SUMIF('Data Sheet Aug-2021'!E:E,PVA!B95,'Data Sheet Aug-2021'!O:O)</f>
        <v>1935</v>
      </c>
      <c r="H95" s="393" t="n">
        <f aca="false">SUMIF('Data Sheet Aug-2021'!E:E,PVA!B95,'Data Sheet Aug-2021'!T:T)</f>
        <v>36</v>
      </c>
      <c r="I95" s="393" t="n">
        <f aca="false">SUMIF('Data Sheet Aug-2021'!E:E,PVA!B95,'Data Sheet Aug-2021'!U:U)</f>
        <v>0</v>
      </c>
      <c r="J95" s="393" t="n">
        <f aca="false">SUMIF('Data Sheet Aug-2021'!E:E,PVA!B95,'Data Sheet Aug-2021'!P:P)</f>
        <v>0</v>
      </c>
      <c r="K95" s="393" t="n">
        <f aca="false">SUMIF('Data Sheet Aug-2021'!E:E,PVA!B95,'Data Sheet Aug-2021'!Q:Q)</f>
        <v>0</v>
      </c>
      <c r="L95" s="465" t="n">
        <f aca="false">IFERROR(SUM(H95:I95)/SUM(G95:I95),0)</f>
        <v>0.0182648401826484</v>
      </c>
      <c r="M95" s="399" t="n">
        <f aca="false">IFERROR(K95/F95,0)</f>
        <v>0</v>
      </c>
      <c r="N95" s="400" t="n">
        <f aca="false">IFERROR(G95/E95,0)</f>
        <v>0</v>
      </c>
      <c r="O95" s="462" t="n">
        <f aca="false">G95-E95</f>
        <v>1935</v>
      </c>
      <c r="P95" s="462"/>
      <c r="Q95" s="463" t="n">
        <v>0.032</v>
      </c>
      <c r="R95" s="464" t="n">
        <f aca="false">(H95+I95+K95)*Q95</f>
        <v>1.152</v>
      </c>
      <c r="S95" s="307"/>
      <c r="Z95" s="279" t="n">
        <f aca="false">H95*Q95</f>
        <v>1.152</v>
      </c>
      <c r="AA95" s="279" t="n">
        <f aca="false">I95*Q95</f>
        <v>0</v>
      </c>
      <c r="AB95" s="279" t="n">
        <f aca="false">J95</f>
        <v>0</v>
      </c>
      <c r="AC95" s="279" t="n">
        <f aca="false">K95*Q95</f>
        <v>0</v>
      </c>
    </row>
    <row r="96" customFormat="false" ht="13.8" hidden="false" customHeight="false" outlineLevel="0" collapsed="false">
      <c r="A96" s="401" t="s">
        <v>58</v>
      </c>
      <c r="B96" s="391" t="s">
        <v>761</v>
      </c>
      <c r="C96" s="390" t="str">
        <f aca="false">VLOOKUP(B96,'Item Data Support Sheet'!A:B,2,0)</f>
        <v>RPP 120ML FLORAL BLUE BOTLE PNTD WM3GB W/BIS LOGO</v>
      </c>
      <c r="D96" s="389" t="str">
        <f aca="false">IFERROR(VLOOKUP(B96,'Item Data Support Sheet'!A:O,15,0),0)</f>
        <v>RPP4_W</v>
      </c>
      <c r="E96" s="460" t="n">
        <v>0</v>
      </c>
      <c r="F96" s="393" t="n">
        <f aca="false">SUMIF('Data Sheet Aug-2021'!E:E,PVA!B96,'Data Sheet Aug-2021'!N:N)</f>
        <v>1011</v>
      </c>
      <c r="G96" s="393" t="n">
        <f aca="false">SUMIF('Data Sheet Aug-2021'!E:E,PVA!B96,'Data Sheet Aug-2021'!O:O)</f>
        <v>1000</v>
      </c>
      <c r="H96" s="393" t="n">
        <f aca="false">SUMIF('Data Sheet Aug-2021'!E:E,PVA!B96,'Data Sheet Aug-2021'!T:T)</f>
        <v>11</v>
      </c>
      <c r="I96" s="393" t="n">
        <f aca="false">SUMIF('Data Sheet Aug-2021'!E:E,PVA!B96,'Data Sheet Aug-2021'!U:U)</f>
        <v>0</v>
      </c>
      <c r="J96" s="393" t="n">
        <f aca="false">SUMIF('Data Sheet Aug-2021'!E:E,PVA!B96,'Data Sheet Aug-2021'!P:P)</f>
        <v>0</v>
      </c>
      <c r="K96" s="393" t="n">
        <f aca="false">SUMIF('Data Sheet Aug-2021'!E:E,PVA!B96,'Data Sheet Aug-2021'!Q:Q)</f>
        <v>0</v>
      </c>
      <c r="L96" s="465" t="n">
        <f aca="false">IFERROR(SUM(H96:I96)/SUM(G96:I96),0)</f>
        <v>0.0108803165182987</v>
      </c>
      <c r="M96" s="399" t="n">
        <f aca="false">IFERROR(K96/F96,0)</f>
        <v>0</v>
      </c>
      <c r="N96" s="400" t="n">
        <f aca="false">IFERROR(G96/E96,0)</f>
        <v>0</v>
      </c>
      <c r="O96" s="462" t="n">
        <f aca="false">G96-E96</f>
        <v>1000</v>
      </c>
      <c r="P96" s="462"/>
      <c r="Q96" s="463" t="n">
        <v>0.022</v>
      </c>
      <c r="R96" s="464" t="n">
        <f aca="false">(H96+I96+K96)*Q96</f>
        <v>0.242</v>
      </c>
      <c r="S96" s="307"/>
      <c r="Z96" s="279" t="n">
        <f aca="false">H96*Q96</f>
        <v>0.242</v>
      </c>
      <c r="AA96" s="279" t="n">
        <f aca="false">I96*Q96</f>
        <v>0</v>
      </c>
      <c r="AB96" s="279" t="n">
        <f aca="false">J96</f>
        <v>0</v>
      </c>
      <c r="AC96" s="279" t="n">
        <f aca="false">K96*Q96</f>
        <v>0</v>
      </c>
    </row>
    <row r="97" customFormat="false" ht="13.8" hidden="false" customHeight="false" outlineLevel="0" collapsed="false">
      <c r="A97" s="401"/>
      <c r="B97" s="391" t="s">
        <v>1359</v>
      </c>
      <c r="C97" s="390" t="str">
        <f aca="false">VLOOKUP(B97,'Item Data Support Sheet'!A:B,2,0)</f>
        <v>RPP 240ML FLORAL BLUE BOTLE PNTD WM3GB W/BIS LOGO</v>
      </c>
      <c r="D97" s="389" t="str">
        <f aca="false">IFERROR(VLOOKUP(B97,'Item Data Support Sheet'!A:O,15,0),0)</f>
        <v>RPP8_W</v>
      </c>
      <c r="E97" s="460" t="n">
        <v>0</v>
      </c>
      <c r="F97" s="393" t="n">
        <f aca="false">SUMIF('Data Sheet Aug-2021'!E:E,PVA!B97,'Data Sheet Aug-2021'!N:N)</f>
        <v>988</v>
      </c>
      <c r="G97" s="393" t="n">
        <f aca="false">SUMIF('Data Sheet Aug-2021'!E:E,PVA!B97,'Data Sheet Aug-2021'!O:O)</f>
        <v>972</v>
      </c>
      <c r="H97" s="393" t="n">
        <f aca="false">SUMIF('Data Sheet Aug-2021'!E:E,PVA!B97,'Data Sheet Aug-2021'!T:T)</f>
        <v>16</v>
      </c>
      <c r="I97" s="393" t="n">
        <f aca="false">SUMIF('Data Sheet Aug-2021'!E:E,PVA!B97,'Data Sheet Aug-2021'!U:U)</f>
        <v>0</v>
      </c>
      <c r="J97" s="393" t="n">
        <f aca="false">SUMIF('Data Sheet Aug-2021'!E:E,PVA!B97,'Data Sheet Aug-2021'!P:P)</f>
        <v>0</v>
      </c>
      <c r="K97" s="393" t="n">
        <f aca="false">SUMIF('Data Sheet Aug-2021'!E:E,PVA!B97,'Data Sheet Aug-2021'!Q:Q)</f>
        <v>0</v>
      </c>
      <c r="L97" s="466" t="n">
        <f aca="false">IFERROR(SUM(H97:I97)/SUM(G97:I97),0)</f>
        <v>0.0161943319838057</v>
      </c>
      <c r="M97" s="408" t="n">
        <f aca="false">IFERROR(K97/F97,0)</f>
        <v>0</v>
      </c>
      <c r="N97" s="409" t="n">
        <f aca="false">IFERROR(G97/E97,0)</f>
        <v>0</v>
      </c>
      <c r="O97" s="462" t="n">
        <f aca="false">G97-E97</f>
        <v>972</v>
      </c>
      <c r="P97" s="462"/>
      <c r="Q97" s="463" t="n">
        <v>0.032</v>
      </c>
      <c r="R97" s="464" t="n">
        <f aca="false">(H97+I97+K97)*Q97</f>
        <v>0.512</v>
      </c>
      <c r="S97" s="307"/>
      <c r="U97" s="308" t="n">
        <f aca="false">SUM(R50:R97)</f>
        <v>36.03</v>
      </c>
      <c r="V97" s="308"/>
      <c r="Z97" s="279" t="n">
        <f aca="false">H97*Q97</f>
        <v>0.512</v>
      </c>
      <c r="AA97" s="279" t="n">
        <f aca="false">I97*Q97</f>
        <v>0</v>
      </c>
      <c r="AB97" s="279" t="n">
        <f aca="false">J97</f>
        <v>0</v>
      </c>
      <c r="AC97" s="279" t="n">
        <f aca="false">K97*Q97</f>
        <v>0</v>
      </c>
    </row>
    <row r="98" s="340" customFormat="true" ht="12.8" hidden="false" customHeight="false" outlineLevel="0" collapsed="false">
      <c r="A98" s="401"/>
      <c r="B98" s="341" t="s">
        <v>2432</v>
      </c>
      <c r="C98" s="342"/>
      <c r="D98" s="343"/>
      <c r="E98" s="349" t="n">
        <f aca="false">SUM(E33:E97)</f>
        <v>89120</v>
      </c>
      <c r="F98" s="349" t="n">
        <f aca="false">SUM(F33:F97)</f>
        <v>509163</v>
      </c>
      <c r="G98" s="349" t="n">
        <f aca="false">SUM(G33:G97)</f>
        <v>504366</v>
      </c>
      <c r="H98" s="349" t="n">
        <f aca="false">SUM(H33:H97)</f>
        <v>4797</v>
      </c>
      <c r="I98" s="349" t="n">
        <f aca="false">SUM(I33:I97)</f>
        <v>0</v>
      </c>
      <c r="J98" s="349" t="n">
        <f aca="false">SUM(J33:J97)</f>
        <v>0</v>
      </c>
      <c r="K98" s="467" t="n">
        <f aca="false">SUM(K33:K97)</f>
        <v>0</v>
      </c>
      <c r="L98" s="468" t="n">
        <f aca="false">SUM(H98:I98)/SUM(G98:I98)</f>
        <v>0.0094213444417603</v>
      </c>
      <c r="M98" s="469" t="n">
        <f aca="false">IFERROR(K98/F98,0)</f>
        <v>0</v>
      </c>
      <c r="N98" s="470" t="n">
        <f aca="false">G98/E98</f>
        <v>5.65940305206463</v>
      </c>
      <c r="O98" s="471" t="n">
        <f aca="false">SUM(O33:O97)</f>
        <v>415246</v>
      </c>
      <c r="P98" s="349"/>
      <c r="Q98" s="472"/>
      <c r="R98" s="352" t="n">
        <f aca="false">SUM(R33:R97)</f>
        <v>134.4687</v>
      </c>
      <c r="S98" s="353"/>
      <c r="T98" s="354"/>
      <c r="U98" s="354"/>
      <c r="V98" s="354"/>
      <c r="W98" s="354"/>
      <c r="X98" s="354"/>
      <c r="Y98" s="354"/>
      <c r="Z98" s="354"/>
      <c r="AA98" s="354"/>
      <c r="AB98" s="354"/>
      <c r="AC98" s="354"/>
      <c r="AD98" s="354"/>
      <c r="AE98" s="354"/>
      <c r="AF98" s="354"/>
      <c r="AG98" s="354"/>
      <c r="AH98" s="354"/>
      <c r="AI98" s="354"/>
      <c r="AJ98" s="354"/>
      <c r="AK98" s="354"/>
      <c r="AL98" s="354"/>
      <c r="AM98" s="354"/>
      <c r="AN98" s="354"/>
      <c r="AO98" s="354"/>
      <c r="AP98" s="354"/>
      <c r="AQ98" s="356"/>
      <c r="AR98" s="356"/>
      <c r="AS98" s="356"/>
      <c r="AT98" s="356"/>
      <c r="AU98" s="356"/>
      <c r="AV98" s="356"/>
      <c r="AW98" s="356"/>
      <c r="AX98" s="356"/>
      <c r="AY98" s="356"/>
    </row>
    <row r="99" customFormat="false" ht="13.8" hidden="false" customHeight="false" outlineLevel="0" collapsed="false">
      <c r="A99" s="401"/>
      <c r="B99" s="473" t="s">
        <v>2475</v>
      </c>
      <c r="C99" s="357" t="s">
        <v>2410</v>
      </c>
      <c r="D99" s="357"/>
      <c r="E99" s="359" t="s">
        <v>2411</v>
      </c>
      <c r="F99" s="359" t="s">
        <v>2412</v>
      </c>
      <c r="G99" s="359" t="s">
        <v>2413</v>
      </c>
      <c r="H99" s="359" t="s">
        <v>2414</v>
      </c>
      <c r="I99" s="359" t="s">
        <v>2415</v>
      </c>
      <c r="J99" s="359" t="s">
        <v>2416</v>
      </c>
      <c r="K99" s="313" t="s">
        <v>2417</v>
      </c>
      <c r="L99" s="360" t="s">
        <v>2418</v>
      </c>
      <c r="M99" s="289" t="s">
        <v>2419</v>
      </c>
      <c r="N99" s="361" t="s">
        <v>2420</v>
      </c>
      <c r="O99" s="359" t="s">
        <v>2421</v>
      </c>
      <c r="P99" s="311" t="s">
        <v>100</v>
      </c>
      <c r="Q99" s="311" t="s">
        <v>2408</v>
      </c>
      <c r="R99" s="313" t="s">
        <v>2422</v>
      </c>
      <c r="S99" s="474"/>
      <c r="AM99" s="279"/>
      <c r="AN99" s="279"/>
      <c r="AO99" s="279"/>
      <c r="AP99" s="279"/>
    </row>
    <row r="100" customFormat="false" ht="13.8" hidden="false" customHeight="false" outlineLevel="0" collapsed="false">
      <c r="A100" s="401"/>
      <c r="B100" s="475" t="s">
        <v>244</v>
      </c>
      <c r="C100" s="476" t="str">
        <f aca="false">VLOOKUP(B100,'Item Data Support Sheet'!A:B,2,0)</f>
        <v>NIPPLE S TYPE S SIZE INJECTION</v>
      </c>
      <c r="D100" s="477" t="str">
        <f aca="false">IFERROR(VLOOKUP(B100,'Item Data Support Sheet'!A:O,15,0),0)</f>
        <v>S-S SIZE</v>
      </c>
      <c r="E100" s="478" t="n">
        <v>113130</v>
      </c>
      <c r="F100" s="479" t="n">
        <f aca="false">SUMIF('Data Sheet Aug-2021'!E:E,PVA!B100,'Data Sheet Aug-2021'!N:N)</f>
        <v>335996</v>
      </c>
      <c r="G100" s="479" t="n">
        <f aca="false">SUMIF('Data Sheet Aug-2021'!E:E,PVA!B100,'Data Sheet Aug-2021'!O:O)</f>
        <v>328312</v>
      </c>
      <c r="H100" s="479" t="n">
        <f aca="false">SUMIF('Data Sheet Aug-2021'!E:E,PVA!B100,'Data Sheet Aug-2021'!T:T)</f>
        <v>4309</v>
      </c>
      <c r="I100" s="479" t="n">
        <f aca="false">SUMIF('Data Sheet Aug-2021'!E:E,PVA!B100,'Data Sheet Aug-2021'!U:U)</f>
        <v>440</v>
      </c>
      <c r="J100" s="479" t="e">
        <f aca="false">SUMIF('Data Sheet Aug-2021'!E:E,PVA!B100,'Data Sheet Aug-2021'!P:P)</f>
        <v>#NAME?</v>
      </c>
      <c r="K100" s="480" t="n">
        <f aca="false">SUMIF('Data Sheet Aug-2021'!E:E,PVA!B100,'Data Sheet Aug-2021'!Q:Q)</f>
        <v>2935</v>
      </c>
      <c r="L100" s="481" t="n">
        <f aca="false">IFERROR(SUM(H100)/SUM(G100:H100),0)</f>
        <v>0.01295468416005</v>
      </c>
      <c r="M100" s="481" t="n">
        <f aca="false">IFERROR(K100/F100,0)</f>
        <v>0.0087352230383695</v>
      </c>
      <c r="N100" s="482" t="n">
        <f aca="false">IFERROR(G100/E100,0)</f>
        <v>2.90207725625387</v>
      </c>
      <c r="O100" s="483" t="n">
        <f aca="false">G100-E100</f>
        <v>215182</v>
      </c>
      <c r="P100" s="484" t="n">
        <f aca="false">IFERROR(G100*Q100/R100,0)</f>
        <v>0</v>
      </c>
      <c r="Q100" s="485" t="n">
        <v>0.0068</v>
      </c>
      <c r="R100" s="486" t="e">
        <f aca="false">(G100+H100+I100+K100)*Q100+J100</f>
        <v>#NAME?</v>
      </c>
      <c r="S100" s="307"/>
      <c r="T100" s="309" t="n">
        <f aca="false">Q100*G100</f>
        <v>2232.5216</v>
      </c>
      <c r="U100" s="279" t="s">
        <v>2476</v>
      </c>
      <c r="AM100" s="279"/>
      <c r="AN100" s="279"/>
      <c r="AO100" s="279"/>
      <c r="AP100" s="279"/>
    </row>
    <row r="101" customFormat="false" ht="13.8" hidden="false" customHeight="false" outlineLevel="0" collapsed="false">
      <c r="A101" s="401"/>
      <c r="B101" s="487" t="s">
        <v>136</v>
      </c>
      <c r="C101" s="488" t="str">
        <f aca="false">VLOOKUP(B101,'Item Data Support Sheet'!A:B,2,0)</f>
        <v>NIPPLE S TYPE M SIZE INJECTION</v>
      </c>
      <c r="D101" s="489" t="str">
        <f aca="false">IFERROR(VLOOKUP(B101,'Item Data Support Sheet'!A:O,15,0),0)</f>
        <v>S-M SIZE</v>
      </c>
      <c r="E101" s="490" t="n">
        <v>69795</v>
      </c>
      <c r="F101" s="491" t="n">
        <f aca="false">SUMIF('Data Sheet Aug-2021'!E:E,PVA!B101,'Data Sheet Aug-2021'!N:N)</f>
        <v>247720</v>
      </c>
      <c r="G101" s="491" t="n">
        <f aca="false">SUMIF('Data Sheet Aug-2021'!E:E,PVA!B101,'Data Sheet Aug-2021'!O:O)</f>
        <v>237572</v>
      </c>
      <c r="H101" s="491" t="n">
        <f aca="false">SUMIF('Data Sheet Aug-2021'!E:E,PVA!B101,'Data Sheet Aug-2021'!T:T)</f>
        <v>3668</v>
      </c>
      <c r="I101" s="491" t="n">
        <f aca="false">SUMIF('Data Sheet Aug-2021'!E:E,PVA!B101,'Data Sheet Aug-2021'!U:U)</f>
        <v>318</v>
      </c>
      <c r="J101" s="491" t="n">
        <f aca="false">SUMIF('Data Sheet Aug-2021'!E:E,PVA!B101,'Data Sheet Aug-2021'!P:P)</f>
        <v>33.543</v>
      </c>
      <c r="K101" s="492" t="n">
        <f aca="false">SUMIF('Data Sheet Aug-2021'!E:E,PVA!B101,'Data Sheet Aug-2021'!Q:Q)</f>
        <v>6162</v>
      </c>
      <c r="L101" s="493" t="n">
        <f aca="false">IFERROR(SUM(H101)/SUM(G101:H101),0)</f>
        <v>0.0152047753274747</v>
      </c>
      <c r="M101" s="493" t="n">
        <f aca="false">IFERROR(K101/F101,0)</f>
        <v>0.0248748587114484</v>
      </c>
      <c r="N101" s="494" t="n">
        <f aca="false">IFERROR(G101/E101,0)</f>
        <v>3.40385414427968</v>
      </c>
      <c r="O101" s="495" t="n">
        <f aca="false">G101-E101</f>
        <v>167777</v>
      </c>
      <c r="P101" s="496" t="n">
        <f aca="false">IFERROR(G101*Q101/R101,0)</f>
        <v>0.940310202504134</v>
      </c>
      <c r="Q101" s="497" t="n">
        <v>0.0068</v>
      </c>
      <c r="R101" s="498" t="n">
        <f aca="false">(G101+H101+I101+K101)*Q101+J101</f>
        <v>1718.039</v>
      </c>
      <c r="S101" s="307"/>
      <c r="T101" s="309" t="n">
        <f aca="false">Q101*G101</f>
        <v>1615.4896</v>
      </c>
      <c r="U101" s="279" t="s">
        <v>2477</v>
      </c>
      <c r="V101" s="279" t="n">
        <v>1</v>
      </c>
      <c r="W101" s="279" t="n">
        <v>2</v>
      </c>
      <c r="X101" s="279" t="n">
        <v>3</v>
      </c>
      <c r="Y101" s="279" t="n">
        <v>4</v>
      </c>
      <c r="Z101" s="279" t="n">
        <v>5</v>
      </c>
      <c r="AA101" s="279" t="n">
        <v>6</v>
      </c>
      <c r="AB101" s="279" t="n">
        <v>7</v>
      </c>
      <c r="AC101" s="279" t="s">
        <v>9</v>
      </c>
      <c r="AM101" s="279"/>
      <c r="AN101" s="279"/>
      <c r="AO101" s="279"/>
      <c r="AP101" s="279"/>
    </row>
    <row r="102" customFormat="false" ht="13.8" hidden="false" customHeight="false" outlineLevel="0" collapsed="false">
      <c r="A102" s="401"/>
      <c r="B102" s="487" t="s">
        <v>661</v>
      </c>
      <c r="C102" s="488" t="str">
        <f aca="false">VLOOKUP(B102,'Item Data Support Sheet'!A:B,2,0)</f>
        <v>NIPPLE S TYPE L SIZE INJECTION</v>
      </c>
      <c r="D102" s="489" t="str">
        <f aca="false">IFERROR(VLOOKUP(B102,'Item Data Support Sheet'!A:O,15,0),0)</f>
        <v>S-L SIZE</v>
      </c>
      <c r="E102" s="490" t="n">
        <v>73395</v>
      </c>
      <c r="F102" s="491" t="n">
        <f aca="false">SUMIF('Data Sheet Aug-2021'!E:E,PVA!B102,'Data Sheet Aug-2021'!N:N)</f>
        <v>401711</v>
      </c>
      <c r="G102" s="491" t="n">
        <f aca="false">SUMIF('Data Sheet Aug-2021'!E:E,PVA!B102,'Data Sheet Aug-2021'!O:O)</f>
        <v>392455</v>
      </c>
      <c r="H102" s="491" t="n">
        <f aca="false">SUMIF('Data Sheet Aug-2021'!E:E,PVA!B102,'Data Sheet Aug-2021'!T:T)</f>
        <v>4538</v>
      </c>
      <c r="I102" s="491" t="n">
        <f aca="false">SUMIF('Data Sheet Aug-2021'!E:E,PVA!B102,'Data Sheet Aug-2021'!U:U)</f>
        <v>488</v>
      </c>
      <c r="J102" s="491" t="n">
        <f aca="false">SUMIF('Data Sheet Aug-2021'!E:E,PVA!B102,'Data Sheet Aug-2021'!P:P)</f>
        <v>49.512</v>
      </c>
      <c r="K102" s="492" t="n">
        <f aca="false">SUMIF('Data Sheet Aug-2021'!E:E,PVA!B102,'Data Sheet Aug-2021'!Q:Q)</f>
        <v>4230</v>
      </c>
      <c r="L102" s="493" t="n">
        <f aca="false">IFERROR(SUM(H102)/SUM(G102:H102),0)</f>
        <v>0.0114309320315472</v>
      </c>
      <c r="M102" s="493" t="n">
        <f aca="false">IFERROR(K102/F102,0)</f>
        <v>0.0105299581042092</v>
      </c>
      <c r="N102" s="494" t="n">
        <f aca="false">IFERROR(G102/E102,0)</f>
        <v>5.34716261325703</v>
      </c>
      <c r="O102" s="495" t="n">
        <f aca="false">G102-E102</f>
        <v>319060</v>
      </c>
      <c r="P102" s="496" t="n">
        <f aca="false">IFERROR(G102*Q102/R102,0)</f>
        <v>0.959566032256909</v>
      </c>
      <c r="Q102" s="497" t="n">
        <v>0.0068</v>
      </c>
      <c r="R102" s="498" t="n">
        <f aca="false">(G102+H102+I102+K102)*Q102+J102</f>
        <v>2781.1468</v>
      </c>
      <c r="S102" s="307"/>
      <c r="T102" s="309" t="n">
        <f aca="false">Q102*G102</f>
        <v>2668.694</v>
      </c>
      <c r="U102" s="279" t="s">
        <v>2478</v>
      </c>
      <c r="V102" s="308" t="n">
        <v>2.399</v>
      </c>
      <c r="W102" s="308" t="n">
        <v>1.36</v>
      </c>
      <c r="X102" s="308" t="n">
        <v>1.48</v>
      </c>
      <c r="Y102" s="279" t="n">
        <v>5.2</v>
      </c>
      <c r="AC102" s="308" t="n">
        <f aca="false">SUM(V102:AB102)</f>
        <v>10.439</v>
      </c>
      <c r="AM102" s="279"/>
      <c r="AN102" s="279"/>
      <c r="AO102" s="279"/>
      <c r="AP102" s="279"/>
    </row>
    <row r="103" customFormat="false" ht="13.8" hidden="false" customHeight="false" outlineLevel="0" collapsed="false">
      <c r="A103" s="401"/>
      <c r="B103" s="487" t="s">
        <v>809</v>
      </c>
      <c r="C103" s="488" t="str">
        <f aca="false">VLOOKUP(B103,'Item Data Support Sheet'!A:B,2,0)</f>
        <v>NIPPLE S TYPE Y SIZE INJECTION</v>
      </c>
      <c r="D103" s="489" t="str">
        <f aca="false">IFERROR(VLOOKUP(B103,'Item Data Support Sheet'!A:O,15,0),0)</f>
        <v>S-Y SIZE</v>
      </c>
      <c r="E103" s="490" t="n">
        <v>0</v>
      </c>
      <c r="F103" s="491" t="n">
        <f aca="false">SUMIF('Data Sheet Aug-2021'!E:E,PVA!B103,'Data Sheet Aug-2021'!N:N)</f>
        <v>96397</v>
      </c>
      <c r="G103" s="491" t="n">
        <f aca="false">SUMIF('Data Sheet Aug-2021'!E:E,PVA!B103,'Data Sheet Aug-2021'!O:O)</f>
        <v>93330</v>
      </c>
      <c r="H103" s="491" t="n">
        <f aca="false">SUMIF('Data Sheet Aug-2021'!E:E,PVA!B103,'Data Sheet Aug-2021'!T:T)</f>
        <v>1209</v>
      </c>
      <c r="I103" s="491" t="n">
        <f aca="false">SUMIF('Data Sheet Aug-2021'!E:E,PVA!B103,'Data Sheet Aug-2021'!U:U)</f>
        <v>168</v>
      </c>
      <c r="J103" s="491" t="n">
        <f aca="false">SUMIF('Data Sheet Aug-2021'!E:E,PVA!B103,'Data Sheet Aug-2021'!P:P)</f>
        <v>8.92</v>
      </c>
      <c r="K103" s="492" t="n">
        <f aca="false">SUMIF('Data Sheet Aug-2021'!E:E,PVA!B103,'Data Sheet Aug-2021'!Q:Q)</f>
        <v>1690</v>
      </c>
      <c r="L103" s="493" t="n">
        <f aca="false">IFERROR(SUM(H103)/SUM(G103:H103),0)</f>
        <v>0.0127883730523911</v>
      </c>
      <c r="M103" s="493" t="n">
        <f aca="false">IFERROR(K103/F103,0)</f>
        <v>0.0175316659232134</v>
      </c>
      <c r="N103" s="494" t="n">
        <f aca="false">IFERROR(G103/E103,0)</f>
        <v>0</v>
      </c>
      <c r="O103" s="495" t="n">
        <f aca="false">G103-E103</f>
        <v>93330</v>
      </c>
      <c r="P103" s="496" t="n">
        <f aca="false">IFERROR(G103*Q103/R103,0)</f>
        <v>0.955185548409469</v>
      </c>
      <c r="Q103" s="497" t="n">
        <v>0.0068</v>
      </c>
      <c r="R103" s="498" t="n">
        <f aca="false">(G103+H103+I103+K103)*Q103+J103</f>
        <v>664.4196</v>
      </c>
      <c r="S103" s="307"/>
      <c r="T103" s="309" t="n">
        <f aca="false">Q103*G103</f>
        <v>634.644</v>
      </c>
      <c r="U103" s="279" t="s">
        <v>2479</v>
      </c>
      <c r="V103" s="308" t="n">
        <v>3.391</v>
      </c>
      <c r="W103" s="308" t="n">
        <v>3.26</v>
      </c>
      <c r="X103" s="308" t="n">
        <v>1.53</v>
      </c>
      <c r="Y103" s="279" t="n">
        <v>4.1</v>
      </c>
      <c r="AC103" s="279" t="n">
        <f aca="false">SUM(V103:AB103)</f>
        <v>12.281</v>
      </c>
      <c r="AM103" s="279"/>
      <c r="AN103" s="279"/>
      <c r="AO103" s="279"/>
      <c r="AP103" s="279"/>
    </row>
    <row r="104" customFormat="false" ht="13.8" hidden="false" customHeight="false" outlineLevel="0" collapsed="false">
      <c r="A104" s="401"/>
      <c r="B104" s="499" t="s">
        <v>492</v>
      </c>
      <c r="C104" s="500" t="str">
        <f aca="false">VLOOKUP(B104,'Item Data Support Sheet'!A:B,2,0)</f>
        <v>NIPPLE S TYPE LL SIZE INJECTION</v>
      </c>
      <c r="D104" s="501" t="s">
        <v>2480</v>
      </c>
      <c r="E104" s="502" t="n">
        <v>33705</v>
      </c>
      <c r="F104" s="503" t="n">
        <f aca="false">SUMIF('Data Sheet Aug-2021'!E:E,PVA!B104,'Data Sheet Aug-2021'!N:N)</f>
        <v>137939</v>
      </c>
      <c r="G104" s="503" t="n">
        <f aca="false">SUMIF('Data Sheet Aug-2021'!E:E,PVA!B104,'Data Sheet Aug-2021'!O:O)</f>
        <v>130839</v>
      </c>
      <c r="H104" s="503" t="n">
        <f aca="false">SUMIF('Data Sheet Aug-2021'!E:E,PVA!B104,'Data Sheet Aug-2021'!T:T)</f>
        <v>2360</v>
      </c>
      <c r="I104" s="503" t="n">
        <f aca="false">SUMIF('Data Sheet Aug-2021'!E:E,PVA!B104,'Data Sheet Aug-2021'!U:U)</f>
        <v>194</v>
      </c>
      <c r="J104" s="503" t="n">
        <f aca="false">SUMIF('Data Sheet Aug-2021'!E:E,PVA!B104,'Data Sheet Aug-2021'!P:P)</f>
        <v>14.05</v>
      </c>
      <c r="K104" s="504" t="n">
        <f aca="false">SUMIF('Data Sheet Aug-2021'!E:E,PVA!B104,'Data Sheet Aug-2021'!Q:Q)</f>
        <v>4546</v>
      </c>
      <c r="L104" s="505" t="n">
        <f aca="false">IFERROR(SUM(H104)/SUM(G104:H104),0)</f>
        <v>0.0177178507346151</v>
      </c>
      <c r="M104" s="505" t="n">
        <f aca="false">IFERROR(K104/F104,0)</f>
        <v>0.0329565967565373</v>
      </c>
      <c r="N104" s="506" t="n">
        <f aca="false">IFERROR(G104/E104,0)</f>
        <v>3.88188696039163</v>
      </c>
      <c r="O104" s="507" t="n">
        <f aca="false">G104-E104</f>
        <v>97134</v>
      </c>
      <c r="P104" s="508" t="n">
        <f aca="false">IFERROR(G104*Q104/R104,0)</f>
        <v>0.934529731673787</v>
      </c>
      <c r="Q104" s="509" t="n">
        <v>0.0068</v>
      </c>
      <c r="R104" s="510" t="n">
        <f aca="false">(G104+H104+I104+K104)*Q104+J104</f>
        <v>952.0352</v>
      </c>
      <c r="S104" s="307"/>
      <c r="T104" s="309" t="n">
        <f aca="false">Q104*G104</f>
        <v>889.7052</v>
      </c>
      <c r="V104" s="308"/>
      <c r="W104" s="308"/>
      <c r="X104" s="308"/>
      <c r="AM104" s="279"/>
      <c r="AN104" s="279"/>
      <c r="AO104" s="279"/>
      <c r="AP104" s="279"/>
    </row>
    <row r="105" s="340" customFormat="true" ht="12.8" hidden="false" customHeight="false" outlineLevel="0" collapsed="false">
      <c r="A105" s="401"/>
      <c r="B105" s="511" t="s">
        <v>2432</v>
      </c>
      <c r="C105" s="512" t="s">
        <v>2410</v>
      </c>
      <c r="D105" s="343"/>
      <c r="E105" s="415" t="n">
        <f aca="false">SUM(E100:E104)</f>
        <v>290025</v>
      </c>
      <c r="F105" s="415" t="n">
        <f aca="false">SUM(F100:F104)</f>
        <v>1219763</v>
      </c>
      <c r="G105" s="415" t="n">
        <f aca="false">SUM(G100:G104)</f>
        <v>1182508</v>
      </c>
      <c r="H105" s="415" t="n">
        <f aca="false">SUM(H100:H104)</f>
        <v>16084</v>
      </c>
      <c r="I105" s="415" t="n">
        <f aca="false">SUM(I100:I104)</f>
        <v>1608</v>
      </c>
      <c r="J105" s="415" t="e">
        <f aca="false">SUM(J100:J104)</f>
        <v>#NAME?</v>
      </c>
      <c r="K105" s="415" t="n">
        <f aca="false">SUM(K100:K104)</f>
        <v>19563</v>
      </c>
      <c r="L105" s="346" t="n">
        <f aca="false">SUM(H105)/SUM(G105:H105)</f>
        <v>0.0134190783853054</v>
      </c>
      <c r="M105" s="347" t="n">
        <f aca="false">IFERROR(K105/F105,0)</f>
        <v>0.0160383615505635</v>
      </c>
      <c r="N105" s="348" t="n">
        <f aca="false">G105/E105</f>
        <v>4.07726230497371</v>
      </c>
      <c r="O105" s="513" t="n">
        <f aca="false">SUM(O100:O104)</f>
        <v>892483</v>
      </c>
      <c r="P105" s="469" t="n">
        <f aca="false">IFERROR(G105*0.0065/R105,0)</f>
        <v>0</v>
      </c>
      <c r="Q105" s="514"/>
      <c r="R105" s="515" t="e">
        <f aca="false">SUM(R100:R104)</f>
        <v>#NAME?</v>
      </c>
      <c r="S105" s="353"/>
      <c r="T105" s="516" t="n">
        <f aca="false">SUM(T100:T104)</f>
        <v>8041.0544</v>
      </c>
      <c r="U105" s="354"/>
      <c r="V105" s="354"/>
      <c r="W105" s="354"/>
      <c r="X105" s="354"/>
      <c r="Y105" s="354"/>
      <c r="Z105" s="354"/>
      <c r="AA105" s="354"/>
      <c r="AB105" s="354" t="s">
        <v>2481</v>
      </c>
      <c r="AC105" s="354" t="n">
        <f aca="false">AC103+AC102</f>
        <v>22.72</v>
      </c>
      <c r="AD105" s="354"/>
      <c r="AE105" s="354"/>
      <c r="AF105" s="354"/>
      <c r="AG105" s="354"/>
      <c r="AH105" s="354"/>
      <c r="AI105" s="354"/>
      <c r="AJ105" s="354"/>
      <c r="AK105" s="354"/>
      <c r="AL105" s="354"/>
      <c r="AM105" s="354"/>
      <c r="AN105" s="354"/>
      <c r="AO105" s="354"/>
      <c r="AP105" s="354"/>
      <c r="AQ105" s="356"/>
      <c r="AR105" s="356"/>
      <c r="AS105" s="356"/>
      <c r="AT105" s="356"/>
      <c r="AU105" s="356"/>
      <c r="AV105" s="356"/>
      <c r="AW105" s="356"/>
      <c r="AX105" s="356"/>
      <c r="AY105" s="356"/>
    </row>
    <row r="106" customFormat="false" ht="13.8" hidden="false" customHeight="false" outlineLevel="0" collapsed="false">
      <c r="A106" s="401"/>
      <c r="B106" s="517" t="s">
        <v>2482</v>
      </c>
      <c r="C106" s="310"/>
      <c r="D106" s="357"/>
      <c r="E106" s="311" t="s">
        <v>2411</v>
      </c>
      <c r="F106" s="311" t="s">
        <v>2412</v>
      </c>
      <c r="G106" s="311" t="s">
        <v>2413</v>
      </c>
      <c r="H106" s="311" t="s">
        <v>2414</v>
      </c>
      <c r="I106" s="311" t="s">
        <v>2415</v>
      </c>
      <c r="J106" s="311" t="s">
        <v>2416</v>
      </c>
      <c r="K106" s="292" t="s">
        <v>2417</v>
      </c>
      <c r="L106" s="360" t="s">
        <v>2418</v>
      </c>
      <c r="M106" s="289" t="s">
        <v>2419</v>
      </c>
      <c r="N106" s="361" t="s">
        <v>2420</v>
      </c>
      <c r="O106" s="311" t="s">
        <v>2421</v>
      </c>
      <c r="P106" s="311" t="s">
        <v>100</v>
      </c>
      <c r="Q106" s="311" t="s">
        <v>2408</v>
      </c>
      <c r="R106" s="292" t="s">
        <v>2441</v>
      </c>
      <c r="S106" s="474"/>
      <c r="T106" s="518"/>
      <c r="V106" s="518"/>
      <c r="AM106" s="279"/>
      <c r="AN106" s="279"/>
      <c r="AO106" s="279"/>
      <c r="AP106" s="279"/>
    </row>
    <row r="107" customFormat="false" ht="13.8" hidden="false" customHeight="false" outlineLevel="0" collapsed="false">
      <c r="A107" s="401"/>
      <c r="B107" s="519" t="s">
        <v>57</v>
      </c>
      <c r="C107" s="476" t="str">
        <f aca="false">VLOOKUP(B107,'Item Data Support Sheet'!A:B,2,0)</f>
        <v>NIPPLE S TYPE S SIZE POSTCURED</v>
      </c>
      <c r="D107" s="477" t="str">
        <f aca="false">IFERROR(VLOOKUP(B107,'Item Data Support Sheet'!A:O,15,0),0)</f>
        <v>S-S SIZE</v>
      </c>
      <c r="E107" s="478" t="n">
        <v>113000</v>
      </c>
      <c r="F107" s="479" t="n">
        <f aca="false">SUMIF('Data Sheet Aug-2021'!E:E,PVA!B107,'Data Sheet Aug-2021'!N:N)</f>
        <v>116670</v>
      </c>
      <c r="G107" s="479" t="n">
        <f aca="false">SUMIF('Data Sheet Aug-2021'!E:E,PVA!B107,'Data Sheet Aug-2021'!O:O)</f>
        <v>116670</v>
      </c>
      <c r="H107" s="479" t="n">
        <f aca="false">SUMIF('Data Sheet Aug-2021'!E:E,PVA!B107,'Data Sheet Aug-2021'!T:T)</f>
        <v>0</v>
      </c>
      <c r="I107" s="479" t="n">
        <f aca="false">SUMIF('Data Sheet Aug-2021'!E:E,PVA!B107,'Data Sheet Aug-2021'!U:U)</f>
        <v>0</v>
      </c>
      <c r="J107" s="479" t="n">
        <f aca="false">SUMIF('Data Sheet Aug-2021'!E:E,PVA!B107,'Data Sheet Aug-2021'!P:P)</f>
        <v>0</v>
      </c>
      <c r="K107" s="480" t="n">
        <f aca="false">SUMIF('Data Sheet Aug-2021'!E:E,PVA!B107,'Data Sheet Aug-2021'!Q:Q)</f>
        <v>0</v>
      </c>
      <c r="L107" s="481" t="n">
        <f aca="false">IFERROR(SUM(H107:I107)/SUM(G107:I107),0)</f>
        <v>0</v>
      </c>
      <c r="M107" s="481" t="n">
        <f aca="false">IFERROR(K107/F107,0)</f>
        <v>0</v>
      </c>
      <c r="N107" s="482" t="n">
        <f aca="false">IFERROR(G107/E107,0)</f>
        <v>1.03247787610619</v>
      </c>
      <c r="O107" s="520" t="n">
        <f aca="false">G107-E107</f>
        <v>3670</v>
      </c>
      <c r="P107" s="520"/>
      <c r="Q107" s="479" t="n">
        <v>0.0068</v>
      </c>
      <c r="R107" s="521" t="n">
        <f aca="false">(H107+I107+K107)*Q107</f>
        <v>0</v>
      </c>
      <c r="S107" s="307"/>
      <c r="U107" s="279" t="n">
        <f aca="false">1092+7.47+7.86</f>
        <v>1107.33</v>
      </c>
      <c r="Z107" s="279" t="n">
        <f aca="false">H107*Q107</f>
        <v>0</v>
      </c>
      <c r="AA107" s="279" t="n">
        <f aca="false">I107*Q107</f>
        <v>0</v>
      </c>
      <c r="AB107" s="279" t="n">
        <f aca="false">J107</f>
        <v>0</v>
      </c>
      <c r="AC107" s="279" t="n">
        <f aca="false">K107*Q107</f>
        <v>0</v>
      </c>
      <c r="AM107" s="279"/>
      <c r="AN107" s="279"/>
      <c r="AO107" s="279"/>
      <c r="AP107" s="279"/>
    </row>
    <row r="108" customFormat="false" ht="13.8" hidden="false" customHeight="false" outlineLevel="0" collapsed="false">
      <c r="A108" s="401"/>
      <c r="B108" s="522" t="s">
        <v>62</v>
      </c>
      <c r="C108" s="488" t="str">
        <f aca="false">VLOOKUP(B108,'Item Data Support Sheet'!A:B,2,0)</f>
        <v>NIPPLE S TYPE M SIZE POSTCURED</v>
      </c>
      <c r="D108" s="489" t="str">
        <f aca="false">IFERROR(VLOOKUP(B108,'Item Data Support Sheet'!A:O,15,0),0)</f>
        <v>S-M SIZE</v>
      </c>
      <c r="E108" s="490" t="n">
        <v>69795</v>
      </c>
      <c r="F108" s="491" t="n">
        <f aca="false">SUMIF('Data Sheet Aug-2021'!E:E,PVA!B108,'Data Sheet Aug-2021'!N:N)</f>
        <v>104782</v>
      </c>
      <c r="G108" s="491" t="n">
        <f aca="false">SUMIF('Data Sheet Aug-2021'!E:E,PVA!B108,'Data Sheet Aug-2021'!O:O)</f>
        <v>104782</v>
      </c>
      <c r="H108" s="491" t="n">
        <f aca="false">SUMIF('Data Sheet Aug-2021'!E:E,PVA!B108,'Data Sheet Aug-2021'!T:T)</f>
        <v>0</v>
      </c>
      <c r="I108" s="491" t="n">
        <f aca="false">SUMIF('Data Sheet Aug-2021'!E:E,PVA!B108,'Data Sheet Aug-2021'!U:U)</f>
        <v>0</v>
      </c>
      <c r="J108" s="491" t="n">
        <f aca="false">SUMIF('Data Sheet Aug-2021'!E:E,PVA!B108,'Data Sheet Aug-2021'!P:P)</f>
        <v>0</v>
      </c>
      <c r="K108" s="492" t="n">
        <f aca="false">SUMIF('Data Sheet Aug-2021'!E:E,PVA!B108,'Data Sheet Aug-2021'!Q:Q)</f>
        <v>0</v>
      </c>
      <c r="L108" s="493" t="n">
        <f aca="false">IFERROR(SUM(H108:I108)/SUM(G108:I108),0)</f>
        <v>0</v>
      </c>
      <c r="M108" s="493" t="n">
        <f aca="false">IFERROR(K108/F108,0)</f>
        <v>0</v>
      </c>
      <c r="N108" s="494" t="n">
        <f aca="false">IFERROR(G108/E108,0)</f>
        <v>1.50128232681424</v>
      </c>
      <c r="O108" s="523" t="n">
        <f aca="false">G108-E108</f>
        <v>34987</v>
      </c>
      <c r="P108" s="523"/>
      <c r="Q108" s="491" t="n">
        <v>0.0068</v>
      </c>
      <c r="R108" s="524" t="n">
        <f aca="false">(H108+I108+K108)*Q108</f>
        <v>0</v>
      </c>
      <c r="S108" s="307"/>
      <c r="Z108" s="279" t="n">
        <f aca="false">H108*Q108</f>
        <v>0</v>
      </c>
      <c r="AA108" s="279" t="n">
        <f aca="false">I108*Q108</f>
        <v>0</v>
      </c>
      <c r="AB108" s="279" t="n">
        <f aca="false">J108</f>
        <v>0</v>
      </c>
      <c r="AC108" s="279" t="n">
        <f aca="false">K108*Q108</f>
        <v>0</v>
      </c>
      <c r="AF108" s="279" t="s">
        <v>58</v>
      </c>
      <c r="AM108" s="279"/>
      <c r="AN108" s="279"/>
      <c r="AO108" s="279"/>
      <c r="AP108" s="279"/>
    </row>
    <row r="109" customFormat="false" ht="13.8" hidden="false" customHeight="false" outlineLevel="0" collapsed="false">
      <c r="A109" s="401"/>
      <c r="B109" s="522" t="s">
        <v>664</v>
      </c>
      <c r="C109" s="488" t="str">
        <f aca="false">VLOOKUP(B109,'Item Data Support Sheet'!A:B,2,0)</f>
        <v>NIPPLE S TYPE L SIZE POSTCURED</v>
      </c>
      <c r="D109" s="489" t="str">
        <f aca="false">IFERROR(VLOOKUP(B109,'Item Data Support Sheet'!A:O,15,0),0)</f>
        <v>S-L SIZE</v>
      </c>
      <c r="E109" s="490" t="n">
        <v>73000</v>
      </c>
      <c r="F109" s="491" t="n">
        <f aca="false">SUMIF('Data Sheet Aug-2021'!E:E,PVA!B109,'Data Sheet Aug-2021'!N:N)</f>
        <v>61768</v>
      </c>
      <c r="G109" s="491" t="n">
        <f aca="false">SUMIF('Data Sheet Aug-2021'!E:E,PVA!B109,'Data Sheet Aug-2021'!O:O)</f>
        <v>61768</v>
      </c>
      <c r="H109" s="491" t="n">
        <f aca="false">SUMIF('Data Sheet Aug-2021'!E:E,PVA!B109,'Data Sheet Aug-2021'!T:T)</f>
        <v>0</v>
      </c>
      <c r="I109" s="491" t="n">
        <f aca="false">SUMIF('Data Sheet Aug-2021'!E:E,PVA!B109,'Data Sheet Aug-2021'!U:U)</f>
        <v>0</v>
      </c>
      <c r="J109" s="491" t="n">
        <f aca="false">SUMIF('Data Sheet Aug-2021'!E:E,PVA!B109,'Data Sheet Aug-2021'!P:P)</f>
        <v>0</v>
      </c>
      <c r="K109" s="492" t="n">
        <f aca="false">SUMIF('Data Sheet Aug-2021'!E:E,PVA!B109,'Data Sheet Aug-2021'!Q:Q)</f>
        <v>0</v>
      </c>
      <c r="L109" s="493" t="n">
        <f aca="false">IFERROR(SUM(H109:I109)/SUM(G109:I109),0)</f>
        <v>0</v>
      </c>
      <c r="M109" s="493" t="n">
        <f aca="false">IFERROR(K109/F109,0)</f>
        <v>0</v>
      </c>
      <c r="N109" s="494" t="n">
        <f aca="false">IFERROR(G109/E109,0)</f>
        <v>0.84613698630137</v>
      </c>
      <c r="O109" s="523" t="n">
        <f aca="false">G109-E109</f>
        <v>-11232</v>
      </c>
      <c r="P109" s="523"/>
      <c r="Q109" s="491" t="n">
        <v>0.0068</v>
      </c>
      <c r="R109" s="524" t="n">
        <f aca="false">(H109+I109+K109)*Q109</f>
        <v>0</v>
      </c>
      <c r="S109" s="307"/>
      <c r="Z109" s="279" t="n">
        <f aca="false">H109*Q109</f>
        <v>0</v>
      </c>
      <c r="AA109" s="279" t="n">
        <f aca="false">I109*Q109</f>
        <v>0</v>
      </c>
      <c r="AB109" s="279" t="n">
        <f aca="false">J109</f>
        <v>0</v>
      </c>
      <c r="AC109" s="279" t="n">
        <f aca="false">K109*Q109</f>
        <v>0</v>
      </c>
      <c r="AM109" s="279"/>
      <c r="AN109" s="279"/>
      <c r="AO109" s="279"/>
      <c r="AP109" s="279"/>
    </row>
    <row r="110" customFormat="false" ht="13.8" hidden="false" customHeight="false" outlineLevel="0" collapsed="false">
      <c r="A110" s="401"/>
      <c r="B110" s="522" t="s">
        <v>839</v>
      </c>
      <c r="C110" s="488" t="str">
        <f aca="false">VLOOKUP(B110,'Item Data Support Sheet'!A:B,2,0)</f>
        <v>NIPPLE S TYPE Y SIZE POSTCURED</v>
      </c>
      <c r="D110" s="489" t="str">
        <f aca="false">IFERROR(VLOOKUP(B110,'Item Data Support Sheet'!A:O,15,0),0)</f>
        <v>S-Y SIZE</v>
      </c>
      <c r="E110" s="490" t="n">
        <v>0</v>
      </c>
      <c r="F110" s="491" t="n">
        <f aca="false">SUMIF('Data Sheet Aug-2021'!E:E,PVA!B110,'Data Sheet Aug-2021'!N:N)</f>
        <v>6220</v>
      </c>
      <c r="G110" s="491" t="n">
        <f aca="false">SUMIF('Data Sheet Aug-2021'!E:E,PVA!B110,'Data Sheet Aug-2021'!O:O)</f>
        <v>6220</v>
      </c>
      <c r="H110" s="491" t="n">
        <f aca="false">SUMIF('Data Sheet Aug-2021'!E:E,PVA!B110,'Data Sheet Aug-2021'!T:T)</f>
        <v>0</v>
      </c>
      <c r="I110" s="491" t="n">
        <f aca="false">SUMIF('Data Sheet Aug-2021'!E:E,PVA!B110,'Data Sheet Aug-2021'!U:U)</f>
        <v>0</v>
      </c>
      <c r="J110" s="491" t="n">
        <f aca="false">SUMIF('Data Sheet Aug-2021'!E:E,PVA!B110,'Data Sheet Aug-2021'!P:P)</f>
        <v>0</v>
      </c>
      <c r="K110" s="492" t="n">
        <f aca="false">SUMIF('Data Sheet Aug-2021'!E:E,PVA!B110,'Data Sheet Aug-2021'!Q:Q)</f>
        <v>0</v>
      </c>
      <c r="L110" s="493" t="n">
        <f aca="false">IFERROR(SUM(H110:I110)/SUM(G110:I110),0)</f>
        <v>0</v>
      </c>
      <c r="M110" s="493" t="n">
        <f aca="false">IFERROR(K110/F110,0)</f>
        <v>0</v>
      </c>
      <c r="N110" s="494" t="n">
        <f aca="false">IFERROR(G110/E110,0)</f>
        <v>0</v>
      </c>
      <c r="O110" s="523" t="n">
        <f aca="false">G110-E110</f>
        <v>6220</v>
      </c>
      <c r="P110" s="523"/>
      <c r="Q110" s="491" t="n">
        <v>0.0068</v>
      </c>
      <c r="R110" s="524" t="n">
        <f aca="false">(H110+I110+K110)*Q110</f>
        <v>0</v>
      </c>
      <c r="S110" s="307"/>
      <c r="Z110" s="279" t="n">
        <f aca="false">H110*Q110</f>
        <v>0</v>
      </c>
      <c r="AA110" s="279" t="n">
        <f aca="false">I110*Q110</f>
        <v>0</v>
      </c>
      <c r="AB110" s="279" t="n">
        <f aca="false">J110</f>
        <v>0</v>
      </c>
      <c r="AC110" s="279" t="n">
        <f aca="false">K110*Q110</f>
        <v>0</v>
      </c>
      <c r="AM110" s="279"/>
      <c r="AN110" s="279"/>
      <c r="AO110" s="279"/>
      <c r="AP110" s="279"/>
    </row>
    <row r="111" customFormat="false" ht="13.8" hidden="false" customHeight="false" outlineLevel="0" collapsed="false">
      <c r="A111" s="401"/>
      <c r="B111" s="525" t="s">
        <v>519</v>
      </c>
      <c r="C111" s="500" t="str">
        <f aca="false">VLOOKUP(B111,'Item Data Support Sheet'!A:B,2,0)</f>
        <v>NIPPLE S TYPE LL SIZE POSTCURED</v>
      </c>
      <c r="D111" s="501" t="s">
        <v>2480</v>
      </c>
      <c r="E111" s="502" t="n">
        <v>33700</v>
      </c>
      <c r="F111" s="503" t="n">
        <f aca="false">SUMIF('Data Sheet Aug-2021'!E:E,PVA!B111,'Data Sheet Aug-2021'!N:N)</f>
        <v>32550</v>
      </c>
      <c r="G111" s="503" t="n">
        <f aca="false">SUMIF('Data Sheet Aug-2021'!E:E,PVA!B111,'Data Sheet Aug-2021'!O:O)</f>
        <v>32550</v>
      </c>
      <c r="H111" s="503" t="n">
        <f aca="false">SUMIF('Data Sheet Aug-2021'!E:E,PVA!B111,'Data Sheet Aug-2021'!T:T)</f>
        <v>0</v>
      </c>
      <c r="I111" s="503" t="n">
        <f aca="false">SUMIF('Data Sheet Aug-2021'!E:E,PVA!B111,'Data Sheet Aug-2021'!U:U)</f>
        <v>0</v>
      </c>
      <c r="J111" s="503" t="n">
        <f aca="false">SUMIF('Data Sheet Aug-2021'!E:E,PVA!B111,'Data Sheet Aug-2021'!P:P)</f>
        <v>0</v>
      </c>
      <c r="K111" s="504" t="n">
        <f aca="false">SUMIF('Data Sheet Aug-2021'!E:E,PVA!B111,'Data Sheet Aug-2021'!Q:Q)</f>
        <v>0</v>
      </c>
      <c r="L111" s="505" t="n">
        <f aca="false">IFERROR(SUM(H111:I111)/SUM(G111:I111),0)</f>
        <v>0</v>
      </c>
      <c r="M111" s="505" t="n">
        <f aca="false">IFERROR(K111/F111,0)</f>
        <v>0</v>
      </c>
      <c r="N111" s="506" t="n">
        <f aca="false">IFERROR(G111/E111,0)</f>
        <v>0.965875370919881</v>
      </c>
      <c r="O111" s="526" t="n">
        <f aca="false">G111-E111</f>
        <v>-1150</v>
      </c>
      <c r="P111" s="526"/>
      <c r="Q111" s="503" t="n">
        <v>0.0068</v>
      </c>
      <c r="R111" s="527" t="n">
        <f aca="false">(H111+I111+K111)*Q111</f>
        <v>0</v>
      </c>
      <c r="S111" s="307"/>
      <c r="AM111" s="279"/>
      <c r="AN111" s="279"/>
      <c r="AO111" s="279"/>
      <c r="AP111" s="279"/>
    </row>
    <row r="112" s="340" customFormat="true" ht="12.8" hidden="false" customHeight="false" outlineLevel="0" collapsed="false">
      <c r="A112" s="401"/>
      <c r="B112" s="511" t="s">
        <v>2432</v>
      </c>
      <c r="C112" s="528"/>
      <c r="D112" s="343"/>
      <c r="E112" s="415" t="n">
        <f aca="false">SUM(E107:E111)</f>
        <v>289495</v>
      </c>
      <c r="F112" s="415" t="n">
        <f aca="false">SUM(F107:F111)</f>
        <v>321990</v>
      </c>
      <c r="G112" s="415" t="n">
        <f aca="false">SUM(G107:G111)</f>
        <v>321990</v>
      </c>
      <c r="H112" s="415" t="n">
        <f aca="false">SUM(H107:H111)</f>
        <v>0</v>
      </c>
      <c r="I112" s="415" t="n">
        <f aca="false">SUM(I107:I111)</f>
        <v>0</v>
      </c>
      <c r="J112" s="415" t="n">
        <f aca="false">SUM(J107:J111)</f>
        <v>0</v>
      </c>
      <c r="K112" s="415" t="n">
        <f aca="false">SUM(K107:K111)</f>
        <v>0</v>
      </c>
      <c r="L112" s="346" t="n">
        <f aca="false">SUM(H112:I112)/SUM(G112:I112)</f>
        <v>0</v>
      </c>
      <c r="M112" s="347" t="n">
        <f aca="false">IFERROR(K112/F112,0)</f>
        <v>0</v>
      </c>
      <c r="N112" s="348" t="n">
        <f aca="false">G112/E112</f>
        <v>1.11224718907062</v>
      </c>
      <c r="O112" s="513" t="n">
        <f aca="false">SUM(O107:O111)</f>
        <v>32495</v>
      </c>
      <c r="P112" s="529"/>
      <c r="Q112" s="529"/>
      <c r="R112" s="530" t="n">
        <f aca="false">(H112+I112+K112)*0.0068</f>
        <v>0</v>
      </c>
      <c r="S112" s="353"/>
      <c r="T112" s="354"/>
      <c r="U112" s="354"/>
      <c r="V112" s="354"/>
      <c r="W112" s="354"/>
      <c r="X112" s="354"/>
      <c r="Y112" s="354"/>
      <c r="Z112" s="354"/>
      <c r="AA112" s="354"/>
      <c r="AB112" s="354"/>
      <c r="AC112" s="354"/>
      <c r="AD112" s="354"/>
      <c r="AE112" s="354"/>
      <c r="AF112" s="354"/>
      <c r="AG112" s="354"/>
      <c r="AH112" s="354"/>
      <c r="AI112" s="354"/>
      <c r="AJ112" s="354"/>
      <c r="AK112" s="354"/>
      <c r="AL112" s="354"/>
      <c r="AM112" s="354"/>
      <c r="AN112" s="354"/>
      <c r="AO112" s="354"/>
      <c r="AP112" s="354"/>
      <c r="AQ112" s="356"/>
      <c r="AR112" s="356"/>
      <c r="AS112" s="356"/>
      <c r="AT112" s="356"/>
      <c r="AU112" s="356"/>
      <c r="AV112" s="356"/>
      <c r="AW112" s="356"/>
      <c r="AX112" s="356"/>
      <c r="AY112" s="356"/>
    </row>
    <row r="113" customFormat="false" ht="13.8" hidden="false" customHeight="false" outlineLevel="0" collapsed="false">
      <c r="A113" s="401"/>
      <c r="B113" s="517" t="s">
        <v>2483</v>
      </c>
      <c r="C113" s="287" t="s">
        <v>2410</v>
      </c>
      <c r="D113" s="357"/>
      <c r="E113" s="311" t="s">
        <v>2411</v>
      </c>
      <c r="F113" s="311" t="s">
        <v>2412</v>
      </c>
      <c r="G113" s="311" t="s">
        <v>2413</v>
      </c>
      <c r="H113" s="311" t="s">
        <v>2414</v>
      </c>
      <c r="I113" s="311" t="s">
        <v>2415</v>
      </c>
      <c r="J113" s="311" t="s">
        <v>2416</v>
      </c>
      <c r="K113" s="292" t="s">
        <v>2417</v>
      </c>
      <c r="L113" s="360" t="s">
        <v>2418</v>
      </c>
      <c r="M113" s="289" t="s">
        <v>2419</v>
      </c>
      <c r="N113" s="361" t="s">
        <v>2420</v>
      </c>
      <c r="O113" s="311" t="s">
        <v>2421</v>
      </c>
      <c r="P113" s="311" t="s">
        <v>100</v>
      </c>
      <c r="Q113" s="311" t="s">
        <v>2408</v>
      </c>
      <c r="R113" s="292" t="s">
        <v>2441</v>
      </c>
      <c r="S113" s="474"/>
      <c r="AM113" s="279"/>
      <c r="AN113" s="279"/>
      <c r="AO113" s="279"/>
      <c r="AP113" s="279"/>
    </row>
    <row r="114" customFormat="false" ht="13.8" hidden="false" customHeight="false" outlineLevel="0" collapsed="false">
      <c r="A114" s="401"/>
      <c r="B114" s="475" t="s">
        <v>53</v>
      </c>
      <c r="C114" s="476" t="str">
        <f aca="false">VLOOKUP(B114,'Item Data Support Sheet'!A:B,2,0)</f>
        <v>NIPPLE S TYPE S SIZE PUNCHED</v>
      </c>
      <c r="D114" s="477" t="str">
        <f aca="false">IFERROR(VLOOKUP(B114,'Item Data Support Sheet'!A:O,15,0),0)</f>
        <v>S-S SIZE</v>
      </c>
      <c r="E114" s="478" t="n">
        <v>113000</v>
      </c>
      <c r="F114" s="479" t="n">
        <f aca="false">SUMIF('Data Sheet Aug-2021'!E:E,PVA!B114,'Data Sheet Aug-2021'!N:N)</f>
        <v>298412</v>
      </c>
      <c r="G114" s="479" t="n">
        <f aca="false">SUMIF('Data Sheet Aug-2021'!E:E,PVA!B114,'Data Sheet Aug-2021'!O:O)</f>
        <v>298396</v>
      </c>
      <c r="H114" s="479" t="n">
        <f aca="false">SUMIF('Data Sheet Aug-2021'!E:E,PVA!B114,'Data Sheet Aug-2021'!T:T)</f>
        <v>0</v>
      </c>
      <c r="I114" s="479" t="n">
        <f aca="false">SUMIF('Data Sheet Aug-2021'!E:E,PVA!B114,'Data Sheet Aug-2021'!U:U)</f>
        <v>16</v>
      </c>
      <c r="J114" s="479" t="n">
        <f aca="false">SUMIF('Data Sheet Aug-2021'!E:E,PVA!B114,'Data Sheet Aug-2021'!P:P)</f>
        <v>0</v>
      </c>
      <c r="K114" s="480" t="n">
        <f aca="false">SUMIF('Data Sheet Aug-2021'!E:E,PVA!B114,'Data Sheet Aug-2021'!Q:Q)</f>
        <v>0</v>
      </c>
      <c r="L114" s="481" t="n">
        <f aca="false">IFERROR(SUM(H114:I114)/SUM(G114:I114),0)</f>
        <v>5.3617146763535E-005</v>
      </c>
      <c r="M114" s="481" t="n">
        <f aca="false">IFERROR(K114/F114,0)</f>
        <v>0</v>
      </c>
      <c r="N114" s="482" t="n">
        <f aca="false">IFERROR(G114/E114,0)</f>
        <v>2.64067256637168</v>
      </c>
      <c r="O114" s="520" t="n">
        <f aca="false">G114-E114</f>
        <v>185396</v>
      </c>
      <c r="P114" s="520"/>
      <c r="Q114" s="479" t="n">
        <v>0.0068</v>
      </c>
      <c r="R114" s="521" t="n">
        <f aca="false">(H114+I114+K114)*Q114</f>
        <v>0.1088</v>
      </c>
      <c r="S114" s="307"/>
      <c r="Z114" s="279" t="n">
        <f aca="false">H114*Q114</f>
        <v>0</v>
      </c>
      <c r="AA114" s="279" t="n">
        <f aca="false">I114*Q114</f>
        <v>0.1088</v>
      </c>
      <c r="AB114" s="279" t="n">
        <f aca="false">J114</f>
        <v>0</v>
      </c>
      <c r="AC114" s="279" t="n">
        <f aca="false">K114*Q114</f>
        <v>0</v>
      </c>
      <c r="AM114" s="279"/>
      <c r="AN114" s="279"/>
      <c r="AO114" s="279"/>
      <c r="AP114" s="279"/>
    </row>
    <row r="115" customFormat="false" ht="13.8" hidden="false" customHeight="false" outlineLevel="0" collapsed="false">
      <c r="A115" s="401"/>
      <c r="B115" s="487" t="s">
        <v>60</v>
      </c>
      <c r="C115" s="488" t="str">
        <f aca="false">VLOOKUP(B115,'Item Data Support Sheet'!A:B,2,0)</f>
        <v>NIPPLE S TYPE M SIZE PUNCHED</v>
      </c>
      <c r="D115" s="489" t="str">
        <f aca="false">IFERROR(VLOOKUP(B115,'Item Data Support Sheet'!A:O,15,0),0)</f>
        <v>S-M SIZE</v>
      </c>
      <c r="E115" s="490" t="n">
        <v>69264</v>
      </c>
      <c r="F115" s="491" t="n">
        <f aca="false">SUMIF('Data Sheet Aug-2021'!E:E,PVA!B115,'Data Sheet Aug-2021'!N:N)</f>
        <v>217175</v>
      </c>
      <c r="G115" s="491" t="n">
        <f aca="false">SUMIF('Data Sheet Aug-2021'!E:E,PVA!B115,'Data Sheet Aug-2021'!O:O)</f>
        <v>217048</v>
      </c>
      <c r="H115" s="491" t="n">
        <f aca="false">SUMIF('Data Sheet Aug-2021'!E:E,PVA!B115,'Data Sheet Aug-2021'!T:T)</f>
        <v>127</v>
      </c>
      <c r="I115" s="491" t="n">
        <f aca="false">SUMIF('Data Sheet Aug-2021'!E:E,PVA!B115,'Data Sheet Aug-2021'!U:U)</f>
        <v>0</v>
      </c>
      <c r="J115" s="491" t="n">
        <f aca="false">SUMIF('Data Sheet Aug-2021'!E:E,PVA!B115,'Data Sheet Aug-2021'!P:P)</f>
        <v>0</v>
      </c>
      <c r="K115" s="492" t="n">
        <f aca="false">SUMIF('Data Sheet Aug-2021'!E:E,PVA!B115,'Data Sheet Aug-2021'!Q:Q)</f>
        <v>0</v>
      </c>
      <c r="L115" s="493" t="n">
        <f aca="false">IFERROR(SUM(H115:I115)/SUM(G115:I115),0)</f>
        <v>0.000584781857948659</v>
      </c>
      <c r="M115" s="493" t="n">
        <f aca="false">IFERROR(K115/F115,0)</f>
        <v>0</v>
      </c>
      <c r="N115" s="494" t="n">
        <f aca="false">IFERROR(G115/E115,0)</f>
        <v>3.13363363363363</v>
      </c>
      <c r="O115" s="523" t="n">
        <f aca="false">G115-E115</f>
        <v>147784</v>
      </c>
      <c r="P115" s="523"/>
      <c r="Q115" s="491" t="n">
        <v>0.0068</v>
      </c>
      <c r="R115" s="524" t="n">
        <f aca="false">(H115+I115+K115)*Q115</f>
        <v>0.8636</v>
      </c>
      <c r="S115" s="307"/>
      <c r="Z115" s="279" t="n">
        <f aca="false">H115*Q115</f>
        <v>0.8636</v>
      </c>
      <c r="AA115" s="279" t="n">
        <f aca="false">I115*Q115</f>
        <v>0</v>
      </c>
      <c r="AB115" s="279" t="n">
        <f aca="false">J115</f>
        <v>0</v>
      </c>
      <c r="AC115" s="279" t="n">
        <f aca="false">K115*Q115</f>
        <v>0</v>
      </c>
      <c r="AM115" s="279"/>
      <c r="AN115" s="279"/>
      <c r="AO115" s="279"/>
      <c r="AP115" s="279"/>
    </row>
    <row r="116" customFormat="false" ht="13.8" hidden="false" customHeight="false" outlineLevel="0" collapsed="false">
      <c r="A116" s="401"/>
      <c r="B116" s="487" t="s">
        <v>666</v>
      </c>
      <c r="C116" s="488" t="str">
        <f aca="false">VLOOKUP(B116,'Item Data Support Sheet'!A:B,2,0)</f>
        <v>NIPPLE S TYPE L SIZE PUNCHED</v>
      </c>
      <c r="D116" s="489" t="str">
        <f aca="false">IFERROR(VLOOKUP(B116,'Item Data Support Sheet'!A:O,15,0),0)</f>
        <v>S-L SIZE</v>
      </c>
      <c r="E116" s="490" t="n">
        <v>73024</v>
      </c>
      <c r="F116" s="491" t="n">
        <f aca="false">SUMIF('Data Sheet Aug-2021'!E:E,PVA!B116,'Data Sheet Aug-2021'!N:N)</f>
        <v>372885</v>
      </c>
      <c r="G116" s="491" t="n">
        <f aca="false">SUMIF('Data Sheet Aug-2021'!E:E,PVA!B116,'Data Sheet Aug-2021'!O:O)</f>
        <v>372798</v>
      </c>
      <c r="H116" s="491" t="n">
        <f aca="false">SUMIF('Data Sheet Aug-2021'!E:E,PVA!B116,'Data Sheet Aug-2021'!T:T)</f>
        <v>87</v>
      </c>
      <c r="I116" s="491" t="n">
        <f aca="false">SUMIF('Data Sheet Aug-2021'!E:E,PVA!B116,'Data Sheet Aug-2021'!U:U)</f>
        <v>0</v>
      </c>
      <c r="J116" s="491" t="n">
        <f aca="false">SUMIF('Data Sheet Aug-2021'!E:E,PVA!B116,'Data Sheet Aug-2021'!P:P)</f>
        <v>0</v>
      </c>
      <c r="K116" s="492" t="n">
        <f aca="false">SUMIF('Data Sheet Aug-2021'!E:E,PVA!B116,'Data Sheet Aug-2021'!Q:Q)</f>
        <v>0</v>
      </c>
      <c r="L116" s="493" t="n">
        <f aca="false">IFERROR(SUM(H116:I116)/SUM(G116:I116),0)</f>
        <v>0.000233315901685506</v>
      </c>
      <c r="M116" s="493" t="n">
        <f aca="false">IFERROR(K116/F116,0)</f>
        <v>0</v>
      </c>
      <c r="N116" s="494" t="n">
        <f aca="false">IFERROR(G116/E116,0)</f>
        <v>5.105143514461</v>
      </c>
      <c r="O116" s="523" t="n">
        <f aca="false">IFERROR(G116-E116,0)</f>
        <v>299774</v>
      </c>
      <c r="P116" s="523"/>
      <c r="Q116" s="491" t="n">
        <v>0.0068</v>
      </c>
      <c r="R116" s="524" t="n">
        <f aca="false">(H116+I116+K116)*Q116</f>
        <v>0.5916</v>
      </c>
      <c r="S116" s="307"/>
      <c r="Z116" s="279" t="n">
        <f aca="false">H116*Q116</f>
        <v>0.5916</v>
      </c>
      <c r="AA116" s="279" t="n">
        <f aca="false">I116*Q116</f>
        <v>0</v>
      </c>
      <c r="AB116" s="279" t="n">
        <f aca="false">J116</f>
        <v>0</v>
      </c>
      <c r="AC116" s="279" t="n">
        <f aca="false">K116*Q116</f>
        <v>0</v>
      </c>
      <c r="AM116" s="279"/>
      <c r="AN116" s="279"/>
      <c r="AO116" s="279"/>
      <c r="AP116" s="279"/>
    </row>
    <row r="117" customFormat="false" ht="13.8" hidden="false" customHeight="false" outlineLevel="0" collapsed="false">
      <c r="A117" s="401"/>
      <c r="B117" s="487" t="s">
        <v>834</v>
      </c>
      <c r="C117" s="488" t="str">
        <f aca="false">VLOOKUP(B117,'Item Data Support Sheet'!A:B,2,0)</f>
        <v>NIPPLE S TYPE Y SIZE PUNCHED</v>
      </c>
      <c r="D117" s="489" t="str">
        <f aca="false">IFERROR(VLOOKUP(B117,'Item Data Support Sheet'!A:O,15,0),0)</f>
        <v>S-Y SIZE</v>
      </c>
      <c r="E117" s="490" t="n">
        <v>0</v>
      </c>
      <c r="F117" s="491" t="n">
        <f aca="false">SUMIF('Data Sheet Aug-2021'!E:E,PVA!B117,'Data Sheet Aug-2021'!N:N)</f>
        <v>66565</v>
      </c>
      <c r="G117" s="491" t="n">
        <f aca="false">SUMIF('Data Sheet Aug-2021'!E:E,PVA!B117,'Data Sheet Aug-2021'!O:O)</f>
        <v>66565</v>
      </c>
      <c r="H117" s="491" t="n">
        <f aca="false">SUMIF('Data Sheet Aug-2021'!E:E,PVA!B117,'Data Sheet Aug-2021'!T:T)</f>
        <v>0</v>
      </c>
      <c r="I117" s="491" t="n">
        <f aca="false">SUMIF('Data Sheet Aug-2021'!E:E,PVA!B117,'Data Sheet Aug-2021'!U:U)</f>
        <v>0</v>
      </c>
      <c r="J117" s="491" t="n">
        <f aca="false">SUMIF('Data Sheet Aug-2021'!E:E,PVA!B117,'Data Sheet Aug-2021'!P:P)</f>
        <v>0</v>
      </c>
      <c r="K117" s="492" t="n">
        <f aca="false">SUMIF('Data Sheet Aug-2021'!E:E,PVA!B117,'Data Sheet Aug-2021'!Q:Q)</f>
        <v>0</v>
      </c>
      <c r="L117" s="493" t="n">
        <f aca="false">IFERROR(SUM(H117:I117)/SUM(G117:I117),0)</f>
        <v>0</v>
      </c>
      <c r="M117" s="493" t="n">
        <f aca="false">IFERROR(K117/F117,0)</f>
        <v>0</v>
      </c>
      <c r="N117" s="494" t="n">
        <f aca="false">IFERROR(G117/E117,0)</f>
        <v>0</v>
      </c>
      <c r="O117" s="523" t="n">
        <f aca="false">IFERROR(G117-E117,0)</f>
        <v>66565</v>
      </c>
      <c r="P117" s="523"/>
      <c r="Q117" s="491" t="n">
        <v>0.0068</v>
      </c>
      <c r="R117" s="524" t="n">
        <f aca="false">(H117+I117+K117)*Q117</f>
        <v>0</v>
      </c>
      <c r="S117" s="307"/>
      <c r="Y117" s="279" t="n">
        <f aca="false">65573+9005+2880</f>
        <v>77458</v>
      </c>
      <c r="Z117" s="279" t="n">
        <f aca="false">H117*Q117</f>
        <v>0</v>
      </c>
      <c r="AA117" s="279" t="n">
        <f aca="false">I117*Q117</f>
        <v>0</v>
      </c>
      <c r="AB117" s="279" t="n">
        <f aca="false">J117</f>
        <v>0</v>
      </c>
      <c r="AC117" s="279" t="n">
        <f aca="false">K117*Q117</f>
        <v>0</v>
      </c>
      <c r="AM117" s="279"/>
      <c r="AN117" s="279"/>
      <c r="AO117" s="279"/>
      <c r="AP117" s="279"/>
    </row>
    <row r="118" customFormat="false" ht="13.8" hidden="false" customHeight="false" outlineLevel="0" collapsed="false">
      <c r="A118" s="401"/>
      <c r="B118" s="525" t="s">
        <v>563</v>
      </c>
      <c r="C118" s="500" t="str">
        <f aca="false">VLOOKUP(B118,'Item Data Support Sheet'!A:B,2,0)</f>
        <v>NIPPLE S TYPE LL SIZE PUNCHED</v>
      </c>
      <c r="D118" s="501" t="s">
        <v>2480</v>
      </c>
      <c r="E118" s="502" t="n">
        <v>31644</v>
      </c>
      <c r="F118" s="503" t="n">
        <f aca="false">SUMIF('Data Sheet Aug-2021'!E:E,PVA!B118,'Data Sheet Aug-2021'!N:N)</f>
        <v>129839</v>
      </c>
      <c r="G118" s="503" t="n">
        <f aca="false">SUMIF('Data Sheet Aug-2021'!E:E,PVA!B118,'Data Sheet Aug-2021'!O:O)</f>
        <v>129839</v>
      </c>
      <c r="H118" s="503" t="n">
        <f aca="false">SUMIF('Data Sheet Aug-2021'!E:E,PVA!B118,'Data Sheet Aug-2021'!T:T)</f>
        <v>0</v>
      </c>
      <c r="I118" s="503" t="n">
        <f aca="false">SUMIF('Data Sheet Aug-2021'!E:E,PVA!B118,'Data Sheet Aug-2021'!U:U)</f>
        <v>0</v>
      </c>
      <c r="J118" s="503" t="n">
        <f aca="false">SUMIF('Data Sheet Aug-2021'!E:E,PVA!B118,'Data Sheet Aug-2021'!P:P)</f>
        <v>0</v>
      </c>
      <c r="K118" s="504" t="n">
        <f aca="false">SUMIF('Data Sheet Aug-2021'!E:E,PVA!B118,'Data Sheet Aug-2021'!Q:Q)</f>
        <v>0</v>
      </c>
      <c r="L118" s="505" t="n">
        <f aca="false">IFERROR(SUM(H118:I118)/SUM(G118:I118),0)</f>
        <v>0</v>
      </c>
      <c r="M118" s="505" t="n">
        <f aca="false">IFERROR(K118/F118,0)</f>
        <v>0</v>
      </c>
      <c r="N118" s="506" t="n">
        <f aca="false">IFERROR(G118/E118,0)</f>
        <v>4.10311591454936</v>
      </c>
      <c r="O118" s="526" t="n">
        <f aca="false">IFERROR(G118-E118,0)</f>
        <v>98195</v>
      </c>
      <c r="P118" s="526"/>
      <c r="Q118" s="503" t="n">
        <v>0.0068</v>
      </c>
      <c r="R118" s="527" t="n">
        <f aca="false">(H118+I118+K118)*Q118</f>
        <v>0</v>
      </c>
      <c r="S118" s="307"/>
      <c r="AM118" s="279"/>
      <c r="AN118" s="279"/>
      <c r="AO118" s="279"/>
      <c r="AP118" s="279"/>
    </row>
    <row r="119" s="340" customFormat="true" ht="12.8" hidden="false" customHeight="false" outlineLevel="0" collapsed="false">
      <c r="A119" s="401"/>
      <c r="B119" s="531" t="s">
        <v>2432</v>
      </c>
      <c r="C119" s="528"/>
      <c r="D119" s="532"/>
      <c r="E119" s="533" t="n">
        <f aca="false">SUM(E114:E118)</f>
        <v>286932</v>
      </c>
      <c r="F119" s="533" t="n">
        <f aca="false">SUM(F114:F118)</f>
        <v>1084876</v>
      </c>
      <c r="G119" s="533" t="n">
        <f aca="false">SUM(G114:G118)</f>
        <v>1084646</v>
      </c>
      <c r="H119" s="533" t="n">
        <f aca="false">SUM(H114:H118)</f>
        <v>214</v>
      </c>
      <c r="I119" s="533" t="n">
        <f aca="false">SUM(I114:I118)</f>
        <v>16</v>
      </c>
      <c r="J119" s="533" t="n">
        <f aca="false">SUM(J114:J118)</f>
        <v>0</v>
      </c>
      <c r="K119" s="533" t="n">
        <f aca="false">SUM(K114:K118)</f>
        <v>0</v>
      </c>
      <c r="L119" s="346" t="n">
        <f aca="false">SUM(H119:I119)/SUM(G119:I119)</f>
        <v>0.000212005796054111</v>
      </c>
      <c r="M119" s="347" t="n">
        <f aca="false">IFERROR(K119/F119,0)</f>
        <v>0</v>
      </c>
      <c r="N119" s="348" t="n">
        <f aca="false">G119/E119</f>
        <v>3.78015000069703</v>
      </c>
      <c r="O119" s="513" t="n">
        <f aca="false">SUM(O114:O118)</f>
        <v>797714</v>
      </c>
      <c r="P119" s="529"/>
      <c r="Q119" s="529"/>
      <c r="R119" s="530" t="n">
        <f aca="false">(H119+I119+K119)*0.0068</f>
        <v>1.564</v>
      </c>
      <c r="S119" s="353"/>
      <c r="T119" s="354"/>
      <c r="U119" s="354"/>
      <c r="V119" s="354"/>
      <c r="W119" s="354"/>
      <c r="X119" s="354"/>
      <c r="Y119" s="354" t="n">
        <f aca="false">G116-Y117</f>
        <v>295340</v>
      </c>
      <c r="Z119" s="354"/>
      <c r="AA119" s="354"/>
      <c r="AB119" s="354"/>
      <c r="AC119" s="354"/>
      <c r="AD119" s="354"/>
      <c r="AE119" s="354"/>
      <c r="AF119" s="354"/>
      <c r="AG119" s="354"/>
      <c r="AH119" s="354"/>
      <c r="AI119" s="354"/>
      <c r="AJ119" s="354"/>
      <c r="AK119" s="354"/>
      <c r="AL119" s="354"/>
      <c r="AM119" s="354"/>
      <c r="AN119" s="354"/>
      <c r="AO119" s="354"/>
      <c r="AP119" s="354"/>
      <c r="AQ119" s="356"/>
      <c r="AR119" s="356"/>
      <c r="AS119" s="356"/>
      <c r="AT119" s="356"/>
      <c r="AU119" s="356"/>
      <c r="AV119" s="356"/>
      <c r="AW119" s="356"/>
      <c r="AX119" s="356"/>
      <c r="AY119" s="356"/>
    </row>
    <row r="120" customFormat="false" ht="13.8" hidden="false" customHeight="false" outlineLevel="0" collapsed="false">
      <c r="A120" s="401"/>
      <c r="B120" s="517" t="s">
        <v>2484</v>
      </c>
      <c r="C120" s="287" t="s">
        <v>2410</v>
      </c>
      <c r="D120" s="357"/>
      <c r="E120" s="311" t="s">
        <v>2411</v>
      </c>
      <c r="F120" s="311" t="s">
        <v>2412</v>
      </c>
      <c r="G120" s="311" t="s">
        <v>2413</v>
      </c>
      <c r="H120" s="311" t="s">
        <v>2414</v>
      </c>
      <c r="I120" s="311" t="s">
        <v>2415</v>
      </c>
      <c r="J120" s="311" t="s">
        <v>2416</v>
      </c>
      <c r="K120" s="292" t="s">
        <v>2417</v>
      </c>
      <c r="L120" s="360" t="s">
        <v>2418</v>
      </c>
      <c r="M120" s="289" t="s">
        <v>2419</v>
      </c>
      <c r="N120" s="361" t="s">
        <v>2420</v>
      </c>
      <c r="O120" s="311" t="s">
        <v>2421</v>
      </c>
      <c r="P120" s="311" t="s">
        <v>100</v>
      </c>
      <c r="Q120" s="311" t="s">
        <v>2408</v>
      </c>
      <c r="R120" s="292" t="s">
        <v>2441</v>
      </c>
      <c r="S120" s="474"/>
      <c r="AM120" s="279"/>
      <c r="AN120" s="279"/>
      <c r="AO120" s="279"/>
      <c r="AP120" s="279"/>
    </row>
    <row r="121" customFormat="false" ht="13.8" hidden="false" customHeight="false" outlineLevel="0" collapsed="false">
      <c r="A121" s="401"/>
      <c r="B121" s="475" t="s">
        <v>444</v>
      </c>
      <c r="C121" s="476" t="str">
        <f aca="false">VLOOKUP(B121,'Item Data Support Sheet'!A:B,2,0)</f>
        <v>NIPPLE S TYPE S SIZE PUNCHED LASER MARKED</v>
      </c>
      <c r="D121" s="477" t="str">
        <f aca="false">IFERROR(VLOOKUP(B121,'Item Data Support Sheet'!A:O,15,0),0)</f>
        <v>S-S SIZE</v>
      </c>
      <c r="E121" s="534" t="n">
        <v>0</v>
      </c>
      <c r="F121" s="479" t="n">
        <f aca="false">SUMIF('Data Sheet Aug-2021'!E:E,PVA!B121,'Data Sheet Aug-2021'!N:N)</f>
        <v>229484</v>
      </c>
      <c r="G121" s="479" t="n">
        <f aca="false">SUMIF('Data Sheet Aug-2021'!E:E,PVA!B121,'Data Sheet Aug-2021'!O:O)</f>
        <v>229471</v>
      </c>
      <c r="H121" s="479" t="n">
        <f aca="false">SUMIF('Data Sheet Aug-2021'!E:E,PVA!B121,'Data Sheet Aug-2021'!T:T)</f>
        <v>13</v>
      </c>
      <c r="I121" s="479" t="n">
        <f aca="false">SUMIF('Data Sheet Aug-2021'!E:E,PVA!B121,'Data Sheet Aug-2021'!U:U)</f>
        <v>0</v>
      </c>
      <c r="J121" s="479" t="n">
        <f aca="false">SUMIF('Data Sheet Aug-2021'!E:E,PVA!B121,'Data Sheet Aug-2021'!P:P)</f>
        <v>0</v>
      </c>
      <c r="K121" s="480" t="n">
        <f aca="false">SUMIF('Data Sheet Aug-2021'!E:E,PVA!B121,'Data Sheet Aug-2021'!Q:Q)</f>
        <v>0</v>
      </c>
      <c r="L121" s="481" t="n">
        <f aca="false">IFERROR(SUM(H121:I121)/SUM(G121:I121),0)</f>
        <v>5.66488295480295E-005</v>
      </c>
      <c r="M121" s="481" t="n">
        <f aca="false">IFERROR(K121/F121,0)</f>
        <v>0</v>
      </c>
      <c r="N121" s="482" t="n">
        <f aca="false">IFERROR(G121/E121,0)</f>
        <v>0</v>
      </c>
      <c r="O121" s="520" t="n">
        <f aca="false">G121-E121</f>
        <v>229471</v>
      </c>
      <c r="P121" s="520"/>
      <c r="Q121" s="479" t="n">
        <v>0.0068</v>
      </c>
      <c r="R121" s="521" t="n">
        <f aca="false">(H121+I121+K121)*Q121</f>
        <v>0.0884</v>
      </c>
      <c r="S121" s="307"/>
      <c r="Z121" s="279" t="n">
        <f aca="false">H121*Q121</f>
        <v>0.0884</v>
      </c>
      <c r="AA121" s="279" t="n">
        <f aca="false">I121*Q121</f>
        <v>0</v>
      </c>
      <c r="AB121" s="279" t="n">
        <f aca="false">J121</f>
        <v>0</v>
      </c>
      <c r="AC121" s="279" t="n">
        <f aca="false">K121*Q121</f>
        <v>0</v>
      </c>
      <c r="AM121" s="279"/>
      <c r="AN121" s="279"/>
      <c r="AO121" s="279"/>
      <c r="AP121" s="279"/>
    </row>
    <row r="122" customFormat="false" ht="13.8" hidden="false" customHeight="false" outlineLevel="0" collapsed="false">
      <c r="A122" s="401"/>
      <c r="B122" s="487" t="s">
        <v>932</v>
      </c>
      <c r="C122" s="488" t="str">
        <f aca="false">VLOOKUP(B122,'Item Data Support Sheet'!A:B,2,0)</f>
        <v>NIPPLE S TYPE M SIZE PUNCHED LASER MARKED</v>
      </c>
      <c r="D122" s="489" t="str">
        <f aca="false">IFERROR(VLOOKUP(B122,'Item Data Support Sheet'!A:O,15,0),0)</f>
        <v>S-M SIZE</v>
      </c>
      <c r="E122" s="535" t="n">
        <v>0</v>
      </c>
      <c r="F122" s="491" t="n">
        <f aca="false">SUMIF('Data Sheet Aug-2021'!E:E,PVA!B122,'Data Sheet Aug-2021'!N:N)</f>
        <v>153356</v>
      </c>
      <c r="G122" s="491" t="n">
        <f aca="false">SUMIF('Data Sheet Aug-2021'!E:E,PVA!B122,'Data Sheet Aug-2021'!O:O)</f>
        <v>153356</v>
      </c>
      <c r="H122" s="491" t="n">
        <f aca="false">SUMIF('Data Sheet Aug-2021'!E:E,PVA!B122,'Data Sheet Aug-2021'!T:T)</f>
        <v>0</v>
      </c>
      <c r="I122" s="491" t="n">
        <f aca="false">SUMIF('Data Sheet Aug-2021'!E:E,PVA!B122,'Data Sheet Aug-2021'!U:U)</f>
        <v>0</v>
      </c>
      <c r="J122" s="491" t="n">
        <f aca="false">SUMIF('Data Sheet Aug-2021'!E:E,PVA!B122,'Data Sheet Aug-2021'!P:P)</f>
        <v>0</v>
      </c>
      <c r="K122" s="492" t="n">
        <f aca="false">SUMIF('Data Sheet Aug-2021'!E:E,PVA!B122,'Data Sheet Aug-2021'!Q:Q)</f>
        <v>0</v>
      </c>
      <c r="L122" s="493" t="n">
        <f aca="false">IFERROR(SUM(H122:I122)/SUM(G122:I122),0)</f>
        <v>0</v>
      </c>
      <c r="M122" s="493" t="n">
        <f aca="false">IFERROR(K122/F122,0)</f>
        <v>0</v>
      </c>
      <c r="N122" s="494" t="n">
        <f aca="false">IFERROR(G122/E122,0)</f>
        <v>0</v>
      </c>
      <c r="O122" s="523" t="n">
        <f aca="false">G122-E122</f>
        <v>153356</v>
      </c>
      <c r="P122" s="523"/>
      <c r="Q122" s="491" t="n">
        <v>0.0068</v>
      </c>
      <c r="R122" s="524" t="n">
        <f aca="false">(H122+I122+K122)*Q122</f>
        <v>0</v>
      </c>
      <c r="S122" s="307"/>
      <c r="Z122" s="279" t="n">
        <f aca="false">H122*Q122</f>
        <v>0</v>
      </c>
      <c r="AA122" s="279" t="n">
        <f aca="false">I122*Q122</f>
        <v>0</v>
      </c>
      <c r="AB122" s="279" t="n">
        <f aca="false">J122</f>
        <v>0</v>
      </c>
      <c r="AC122" s="279" t="n">
        <f aca="false">K122*Q122</f>
        <v>0</v>
      </c>
      <c r="AM122" s="279"/>
      <c r="AN122" s="279"/>
      <c r="AO122" s="279"/>
      <c r="AP122" s="279"/>
    </row>
    <row r="123" customFormat="false" ht="13.8" hidden="false" customHeight="false" outlineLevel="0" collapsed="false">
      <c r="A123" s="401"/>
      <c r="B123" s="487" t="s">
        <v>681</v>
      </c>
      <c r="C123" s="488" t="str">
        <f aca="false">VLOOKUP(B123,'Item Data Support Sheet'!A:B,2,0)</f>
        <v>NIPPLE S TYPE L SIZE PUNCHED LASER MARKED</v>
      </c>
      <c r="D123" s="489" t="str">
        <f aca="false">IFERROR(VLOOKUP(B123,'Item Data Support Sheet'!A:O,15,0),0)</f>
        <v>S-L SIZE</v>
      </c>
      <c r="E123" s="535" t="n">
        <v>0</v>
      </c>
      <c r="F123" s="491" t="n">
        <f aca="false">SUMIF('Data Sheet Aug-2021'!E:E,PVA!B123,'Data Sheet Aug-2021'!N:N)</f>
        <v>361898</v>
      </c>
      <c r="G123" s="491" t="n">
        <f aca="false">SUMIF('Data Sheet Aug-2021'!E:E,PVA!B123,'Data Sheet Aug-2021'!O:O)</f>
        <v>361880</v>
      </c>
      <c r="H123" s="491" t="n">
        <f aca="false">SUMIF('Data Sheet Aug-2021'!E:E,PVA!B123,'Data Sheet Aug-2021'!T:T)</f>
        <v>18</v>
      </c>
      <c r="I123" s="491" t="n">
        <f aca="false">SUMIF('Data Sheet Aug-2021'!E:E,PVA!B123,'Data Sheet Aug-2021'!U:U)</f>
        <v>0</v>
      </c>
      <c r="J123" s="491" t="n">
        <f aca="false">SUMIF('Data Sheet Aug-2021'!E:E,PVA!B123,'Data Sheet Aug-2021'!P:P)</f>
        <v>0</v>
      </c>
      <c r="K123" s="492" t="n">
        <f aca="false">SUMIF('Data Sheet Aug-2021'!E:E,PVA!B123,'Data Sheet Aug-2021'!Q:Q)</f>
        <v>0</v>
      </c>
      <c r="L123" s="493" t="n">
        <f aca="false">IFERROR(SUM(H123:I123)/SUM(G123:I123),0)</f>
        <v>4.97377714162554E-005</v>
      </c>
      <c r="M123" s="493" t="n">
        <f aca="false">IFERROR(K123/F123,0)</f>
        <v>0</v>
      </c>
      <c r="N123" s="494" t="n">
        <f aca="false">IFERROR(G123/E123,0)</f>
        <v>0</v>
      </c>
      <c r="O123" s="523" t="n">
        <f aca="false">IFERROR(G123-E123,0)</f>
        <v>361880</v>
      </c>
      <c r="P123" s="523"/>
      <c r="Q123" s="491" t="n">
        <v>0.0068</v>
      </c>
      <c r="R123" s="524" t="n">
        <f aca="false">(H123+I123+K123)*Q123</f>
        <v>0.1224</v>
      </c>
      <c r="S123" s="307"/>
      <c r="Z123" s="279" t="n">
        <f aca="false">H123*Q123</f>
        <v>0.1224</v>
      </c>
      <c r="AA123" s="279" t="n">
        <f aca="false">I123*Q123</f>
        <v>0</v>
      </c>
      <c r="AB123" s="279" t="n">
        <f aca="false">J123</f>
        <v>0</v>
      </c>
      <c r="AC123" s="279" t="n">
        <f aca="false">K123*Q123</f>
        <v>0</v>
      </c>
      <c r="AM123" s="279"/>
      <c r="AN123" s="279"/>
      <c r="AO123" s="279"/>
      <c r="AP123" s="279"/>
    </row>
    <row r="124" customFormat="false" ht="13.8" hidden="false" customHeight="false" outlineLevel="0" collapsed="false">
      <c r="A124" s="401"/>
      <c r="B124" s="487" t="s">
        <v>885</v>
      </c>
      <c r="C124" s="488" t="str">
        <f aca="false">VLOOKUP(B124,'Item Data Support Sheet'!A:B,2,0)</f>
        <v>NIPPLE S TYPE Y SIZE PUNCHED LASER MARKED</v>
      </c>
      <c r="D124" s="489" t="str">
        <f aca="false">IFERROR(VLOOKUP(B124,'Item Data Support Sheet'!A:O,15,0),0)</f>
        <v>S-Y SIZE</v>
      </c>
      <c r="E124" s="535" t="n">
        <v>0</v>
      </c>
      <c r="F124" s="491" t="n">
        <f aca="false">SUMIF('Data Sheet Aug-2021'!E:E,PVA!B124,'Data Sheet Aug-2021'!N:N)</f>
        <v>66557</v>
      </c>
      <c r="G124" s="491" t="n">
        <f aca="false">SUMIF('Data Sheet Aug-2021'!E:E,PVA!B124,'Data Sheet Aug-2021'!O:O)</f>
        <v>66557</v>
      </c>
      <c r="H124" s="491" t="n">
        <f aca="false">SUMIF('Data Sheet Aug-2021'!E:E,PVA!B124,'Data Sheet Aug-2021'!T:T)</f>
        <v>0</v>
      </c>
      <c r="I124" s="491" t="n">
        <f aca="false">SUMIF('Data Sheet Aug-2021'!E:E,PVA!B124,'Data Sheet Aug-2021'!U:U)</f>
        <v>0</v>
      </c>
      <c r="J124" s="491" t="n">
        <f aca="false">SUMIF('Data Sheet Aug-2021'!E:E,PVA!B124,'Data Sheet Aug-2021'!P:P)</f>
        <v>0</v>
      </c>
      <c r="K124" s="492" t="n">
        <f aca="false">SUMIF('Data Sheet Aug-2021'!E:E,PVA!B124,'Data Sheet Aug-2021'!Q:Q)</f>
        <v>0</v>
      </c>
      <c r="L124" s="493" t="n">
        <f aca="false">IFERROR(SUM(H124:I124)/SUM(G124:I124),0)</f>
        <v>0</v>
      </c>
      <c r="M124" s="493" t="n">
        <f aca="false">IFERROR(K124/F124,0)</f>
        <v>0</v>
      </c>
      <c r="N124" s="494" t="n">
        <f aca="false">IFERROR(G124/E124,0)</f>
        <v>0</v>
      </c>
      <c r="O124" s="523" t="n">
        <f aca="false">IFERROR(G124-E124,0)</f>
        <v>66557</v>
      </c>
      <c r="P124" s="523"/>
      <c r="Q124" s="491" t="n">
        <v>0.0068</v>
      </c>
      <c r="R124" s="524" t="n">
        <f aca="false">(H124+I124+K124)*Q124</f>
        <v>0</v>
      </c>
      <c r="S124" s="307"/>
      <c r="Y124" s="279" t="n">
        <f aca="false">65573+9005+2880</f>
        <v>77458</v>
      </c>
      <c r="Z124" s="279" t="n">
        <f aca="false">H124*Q124</f>
        <v>0</v>
      </c>
      <c r="AA124" s="279" t="n">
        <f aca="false">I124*Q124</f>
        <v>0</v>
      </c>
      <c r="AB124" s="279" t="n">
        <f aca="false">J124</f>
        <v>0</v>
      </c>
      <c r="AC124" s="279" t="n">
        <f aca="false">K124*Q124</f>
        <v>0</v>
      </c>
      <c r="AM124" s="279"/>
      <c r="AN124" s="279"/>
      <c r="AO124" s="279"/>
      <c r="AP124" s="279"/>
    </row>
    <row r="125" customFormat="false" ht="13.8" hidden="false" customHeight="false" outlineLevel="0" collapsed="false">
      <c r="A125" s="401"/>
      <c r="B125" s="525" t="s">
        <v>600</v>
      </c>
      <c r="C125" s="500" t="str">
        <f aca="false">VLOOKUP(B125,'Item Data Support Sheet'!A:B,2,0)</f>
        <v>NIPPLE S TYPE LL SIZE LASER MARKED</v>
      </c>
      <c r="D125" s="501" t="s">
        <v>2480</v>
      </c>
      <c r="E125" s="536" t="n">
        <v>0</v>
      </c>
      <c r="F125" s="503" t="n">
        <f aca="false">SUMIF('Data Sheet Aug-2021'!E:E,PVA!B125,'Data Sheet Aug-2021'!N:N)</f>
        <v>129839</v>
      </c>
      <c r="G125" s="503" t="n">
        <f aca="false">SUMIF('Data Sheet Aug-2021'!E:E,PVA!B125,'Data Sheet Aug-2021'!O:O)</f>
        <v>129839</v>
      </c>
      <c r="H125" s="503" t="n">
        <f aca="false">SUMIF('Data Sheet Aug-2021'!E:E,PVA!B125,'Data Sheet Aug-2021'!T:T)</f>
        <v>0</v>
      </c>
      <c r="I125" s="503" t="n">
        <f aca="false">SUMIF('Data Sheet Aug-2021'!E:E,PVA!B125,'Data Sheet Aug-2021'!U:U)</f>
        <v>0</v>
      </c>
      <c r="J125" s="503" t="n">
        <f aca="false">SUMIF('Data Sheet Aug-2021'!E:E,PVA!B125,'Data Sheet Aug-2021'!P:P)</f>
        <v>0</v>
      </c>
      <c r="K125" s="504" t="n">
        <f aca="false">SUMIF('Data Sheet Aug-2021'!E:E,PVA!B125,'Data Sheet Aug-2021'!Q:Q)</f>
        <v>0</v>
      </c>
      <c r="L125" s="505" t="n">
        <f aca="false">IFERROR(SUM(H125:I125)/SUM(G125:I125),0)</f>
        <v>0</v>
      </c>
      <c r="M125" s="505" t="n">
        <f aca="false">IFERROR(K125/F125,0)</f>
        <v>0</v>
      </c>
      <c r="N125" s="506" t="n">
        <f aca="false">IFERROR(G125/E125,0)</f>
        <v>0</v>
      </c>
      <c r="O125" s="526" t="n">
        <f aca="false">IFERROR(G125-E125,0)</f>
        <v>129839</v>
      </c>
      <c r="P125" s="526"/>
      <c r="Q125" s="503" t="n">
        <v>0.0068</v>
      </c>
      <c r="R125" s="527" t="n">
        <f aca="false">(H125+I125+K125)*Q125</f>
        <v>0</v>
      </c>
      <c r="S125" s="307"/>
      <c r="AM125" s="279"/>
      <c r="AN125" s="279"/>
      <c r="AO125" s="279"/>
      <c r="AP125" s="279"/>
    </row>
    <row r="126" s="340" customFormat="true" ht="12.8" hidden="false" customHeight="false" outlineLevel="0" collapsed="false">
      <c r="A126" s="401"/>
      <c r="B126" s="531" t="s">
        <v>2432</v>
      </c>
      <c r="C126" s="528"/>
      <c r="D126" s="532"/>
      <c r="E126" s="529" t="n">
        <f aca="false">SUM(E121:E125)</f>
        <v>0</v>
      </c>
      <c r="F126" s="529" t="n">
        <f aca="false">SUM(F121:F125)</f>
        <v>941134</v>
      </c>
      <c r="G126" s="529" t="n">
        <f aca="false">SUM(G121:G125)</f>
        <v>941103</v>
      </c>
      <c r="H126" s="529" t="n">
        <f aca="false">SUM(H121:H125)</f>
        <v>31</v>
      </c>
      <c r="I126" s="529" t="n">
        <f aca="false">SUM(I121:I125)</f>
        <v>0</v>
      </c>
      <c r="J126" s="529" t="n">
        <f aca="false">SUM(J121:J125)</f>
        <v>0</v>
      </c>
      <c r="K126" s="529" t="n">
        <f aca="false">SUM(K121:K125)</f>
        <v>0</v>
      </c>
      <c r="L126" s="346" t="n">
        <f aca="false">SUM(H126:I126)/SUM(G126:I126)</f>
        <v>3.293898637176E-005</v>
      </c>
      <c r="M126" s="347" t="n">
        <f aca="false">IFERROR(K126/F126,0)</f>
        <v>0</v>
      </c>
      <c r="N126" s="348" t="e">
        <f aca="false">G126/E126</f>
        <v>#DIV/0!</v>
      </c>
      <c r="O126" s="513" t="n">
        <f aca="false">SUM(O121:O125)</f>
        <v>941103</v>
      </c>
      <c r="P126" s="529"/>
      <c r="Q126" s="529"/>
      <c r="R126" s="530" t="n">
        <f aca="false">(H126+I126+K126)*0.0068</f>
        <v>0.2108</v>
      </c>
      <c r="S126" s="353"/>
      <c r="T126" s="354"/>
      <c r="U126" s="354"/>
      <c r="V126" s="354"/>
      <c r="W126" s="354"/>
      <c r="X126" s="354"/>
      <c r="Y126" s="354" t="n">
        <f aca="false">G123-Y124</f>
        <v>284422</v>
      </c>
      <c r="Z126" s="354"/>
      <c r="AA126" s="354"/>
      <c r="AB126" s="354"/>
      <c r="AC126" s="354"/>
      <c r="AD126" s="354"/>
      <c r="AE126" s="354"/>
      <c r="AF126" s="354"/>
      <c r="AG126" s="354"/>
      <c r="AH126" s="354"/>
      <c r="AI126" s="354"/>
      <c r="AJ126" s="354"/>
      <c r="AK126" s="354"/>
      <c r="AL126" s="354"/>
      <c r="AM126" s="354"/>
      <c r="AN126" s="354"/>
      <c r="AO126" s="354"/>
      <c r="AP126" s="354"/>
      <c r="AQ126" s="356"/>
      <c r="AR126" s="356"/>
      <c r="AS126" s="356"/>
      <c r="AT126" s="356"/>
      <c r="AU126" s="356"/>
      <c r="AV126" s="356"/>
      <c r="AW126" s="356"/>
      <c r="AX126" s="356"/>
      <c r="AY126" s="356"/>
    </row>
    <row r="127" customFormat="false" ht="13.8" hidden="false" customHeight="false" outlineLevel="0" collapsed="false">
      <c r="A127" s="401"/>
      <c r="B127" s="287" t="s">
        <v>2485</v>
      </c>
      <c r="C127" s="537" t="s">
        <v>2410</v>
      </c>
      <c r="D127" s="357"/>
      <c r="E127" s="311" t="s">
        <v>2411</v>
      </c>
      <c r="F127" s="311" t="s">
        <v>2412</v>
      </c>
      <c r="G127" s="311" t="s">
        <v>2413</v>
      </c>
      <c r="H127" s="311" t="s">
        <v>2414</v>
      </c>
      <c r="I127" s="311" t="s">
        <v>2415</v>
      </c>
      <c r="J127" s="311" t="s">
        <v>2416</v>
      </c>
      <c r="K127" s="292" t="s">
        <v>2417</v>
      </c>
      <c r="L127" s="360" t="s">
        <v>2418</v>
      </c>
      <c r="M127" s="289" t="s">
        <v>2419</v>
      </c>
      <c r="N127" s="361" t="s">
        <v>2420</v>
      </c>
      <c r="O127" s="311" t="s">
        <v>2421</v>
      </c>
      <c r="P127" s="311" t="s">
        <v>100</v>
      </c>
      <c r="Q127" s="311" t="s">
        <v>2408</v>
      </c>
      <c r="R127" s="292" t="s">
        <v>2441</v>
      </c>
      <c r="S127" s="538"/>
      <c r="Y127" s="279" t="n">
        <f aca="false">F116-77510</f>
        <v>295375</v>
      </c>
      <c r="AM127" s="279"/>
      <c r="AN127" s="279"/>
      <c r="AO127" s="279"/>
      <c r="AP127" s="279"/>
    </row>
    <row r="128" customFormat="false" ht="13.8" hidden="false" customHeight="false" outlineLevel="0" collapsed="false">
      <c r="A128" s="401"/>
      <c r="B128" s="475" t="s">
        <v>297</v>
      </c>
      <c r="C128" s="476" t="str">
        <f aca="false">VLOOKUP(B128,'Item Data Support Sheet'!A:B,2,0)</f>
        <v>NIPPLE S TYPE S SIZE PUNCHED INSPECTED</v>
      </c>
      <c r="D128" s="477" t="str">
        <f aca="false">IFERROR(VLOOKUP(B128,'Item Data Support Sheet'!A:O,15,0),0)</f>
        <v>S-S SIZE</v>
      </c>
      <c r="E128" s="534" t="n">
        <v>113000</v>
      </c>
      <c r="F128" s="479" t="n">
        <f aca="false">SUMIF('Data Sheet Aug-2021'!E:E,PVA!B128,'Data Sheet Aug-2021'!N:N)</f>
        <v>298234</v>
      </c>
      <c r="G128" s="479" t="n">
        <f aca="false">SUMIF('Data Sheet Aug-2021'!E:E,PVA!B128,'Data Sheet Aug-2021'!O:O)</f>
        <v>296548</v>
      </c>
      <c r="H128" s="479" t="n">
        <f aca="false">SUMIF('Data Sheet Aug-2021'!E:E,PVA!B128,'Data Sheet Aug-2021'!T:T)</f>
        <v>1686</v>
      </c>
      <c r="I128" s="479" t="n">
        <f aca="false">SUMIF('Data Sheet Aug-2021'!E:E,PVA!B128,'Data Sheet Aug-2021'!U:U)</f>
        <v>0</v>
      </c>
      <c r="J128" s="479" t="n">
        <f aca="false">SUMIF('Data Sheet Aug-2021'!E:E,PVA!B128,'Data Sheet Aug-2021'!P:P)</f>
        <v>0</v>
      </c>
      <c r="K128" s="480" t="n">
        <f aca="false">SUMIF('Data Sheet Aug-2021'!E:E,PVA!B128,'Data Sheet Aug-2021'!Q:Q)</f>
        <v>0</v>
      </c>
      <c r="L128" s="481" t="n">
        <f aca="false">IFERROR(SUM(H128:I128)/SUM(G128:I128),0)</f>
        <v>0.00565327896886338</v>
      </c>
      <c r="M128" s="481" t="n">
        <f aca="false">IFERROR(K128/F128,0)</f>
        <v>0</v>
      </c>
      <c r="N128" s="482" t="n">
        <f aca="false">IFERROR(G128/E128,0)</f>
        <v>2.6243185840708</v>
      </c>
      <c r="O128" s="520" t="n">
        <f aca="false">G128-E128</f>
        <v>183548</v>
      </c>
      <c r="P128" s="520"/>
      <c r="Q128" s="479" t="n">
        <v>0.0068</v>
      </c>
      <c r="R128" s="521" t="n">
        <f aca="false">(H128+I128+K128)*Q128</f>
        <v>11.4648</v>
      </c>
      <c r="Y128" s="279" t="n">
        <f aca="false">77510+Y127</f>
        <v>372885</v>
      </c>
      <c r="Z128" s="279" t="n">
        <f aca="false">H128*Q128</f>
        <v>11.4648</v>
      </c>
      <c r="AA128" s="279" t="n">
        <f aca="false">I128*Q128</f>
        <v>0</v>
      </c>
      <c r="AB128" s="279" t="n">
        <f aca="false">J128</f>
        <v>0</v>
      </c>
      <c r="AC128" s="279" t="n">
        <f aca="false">K128*Q128</f>
        <v>0</v>
      </c>
      <c r="AM128" s="279"/>
      <c r="AN128" s="279"/>
      <c r="AO128" s="279"/>
      <c r="AP128" s="279"/>
    </row>
    <row r="129" customFormat="false" ht="13.8" hidden="false" customHeight="false" outlineLevel="0" collapsed="false">
      <c r="A129" s="401"/>
      <c r="B129" s="487" t="s">
        <v>182</v>
      </c>
      <c r="C129" s="488" t="str">
        <f aca="false">VLOOKUP(B129,'Item Data Support Sheet'!A:B,2,0)</f>
        <v>NIPPLE S TYPE M SIZE PUNCHED INSPECTED</v>
      </c>
      <c r="D129" s="489" t="str">
        <f aca="false">IFERROR(VLOOKUP(B129,'Item Data Support Sheet'!A:O,15,0),0)</f>
        <v>S-M SIZE</v>
      </c>
      <c r="E129" s="535" t="n">
        <v>69000</v>
      </c>
      <c r="F129" s="491" t="n">
        <f aca="false">SUMIF('Data Sheet Aug-2021'!E:E,PVA!B129,'Data Sheet Aug-2021'!N:N)</f>
        <v>216978</v>
      </c>
      <c r="G129" s="491" t="n">
        <f aca="false">SUMIF('Data Sheet Aug-2021'!E:E,PVA!B129,'Data Sheet Aug-2021'!O:O)</f>
        <v>215507</v>
      </c>
      <c r="H129" s="491" t="n">
        <f aca="false">SUMIF('Data Sheet Aug-2021'!E:E,PVA!B129,'Data Sheet Aug-2021'!T:T)</f>
        <v>1471</v>
      </c>
      <c r="I129" s="491" t="n">
        <f aca="false">SUMIF('Data Sheet Aug-2021'!E:E,PVA!B129,'Data Sheet Aug-2021'!U:U)</f>
        <v>0</v>
      </c>
      <c r="J129" s="491" t="n">
        <f aca="false">SUMIF('Data Sheet Aug-2021'!E:E,PVA!B129,'Data Sheet Aug-2021'!P:P)</f>
        <v>0</v>
      </c>
      <c r="K129" s="492" t="n">
        <f aca="false">SUMIF('Data Sheet Aug-2021'!E:E,PVA!B129,'Data Sheet Aug-2021'!Q:Q)</f>
        <v>0</v>
      </c>
      <c r="L129" s="493" t="n">
        <f aca="false">IFERROR(SUM(H129:I129)/SUM(G129:I129),0)</f>
        <v>0.00677948916480012</v>
      </c>
      <c r="M129" s="493" t="n">
        <f aca="false">IFERROR(K129/F129,0)</f>
        <v>0</v>
      </c>
      <c r="N129" s="494" t="n">
        <f aca="false">IFERROR(G129/E129,0)</f>
        <v>3.12328985507246</v>
      </c>
      <c r="O129" s="523" t="n">
        <f aca="false">G129-E129</f>
        <v>146507</v>
      </c>
      <c r="P129" s="523"/>
      <c r="Q129" s="491" t="n">
        <v>0.0068</v>
      </c>
      <c r="R129" s="524" t="n">
        <f aca="false">(H129+I129+K129)*Q129</f>
        <v>10.0028</v>
      </c>
      <c r="Z129" s="279" t="n">
        <f aca="false">H129*Q129</f>
        <v>10.0028</v>
      </c>
      <c r="AA129" s="279" t="n">
        <f aca="false">I129*Q129</f>
        <v>0</v>
      </c>
      <c r="AB129" s="279" t="n">
        <f aca="false">J129</f>
        <v>0</v>
      </c>
      <c r="AC129" s="279" t="n">
        <f aca="false">K129*Q129</f>
        <v>0</v>
      </c>
      <c r="AM129" s="279"/>
      <c r="AN129" s="279"/>
      <c r="AO129" s="279"/>
      <c r="AP129" s="279"/>
    </row>
    <row r="130" customFormat="false" ht="13.8" hidden="false" customHeight="false" outlineLevel="0" collapsed="false">
      <c r="A130" s="401"/>
      <c r="B130" s="487" t="s">
        <v>688</v>
      </c>
      <c r="C130" s="488" t="str">
        <f aca="false">VLOOKUP(B130,'Item Data Support Sheet'!A:B,2,0)</f>
        <v>NIPPLE S TYPE L SIZE PUNCHED INSPECTED</v>
      </c>
      <c r="D130" s="489" t="str">
        <f aca="false">IFERROR(VLOOKUP(B130,'Item Data Support Sheet'!A:O,15,0),0)</f>
        <v>S-L SIZE</v>
      </c>
      <c r="E130" s="535" t="n">
        <v>73000</v>
      </c>
      <c r="F130" s="491" t="n">
        <f aca="false">G130+H130</f>
        <v>350680</v>
      </c>
      <c r="G130" s="491" t="n">
        <f aca="false">SUMIF('Data Sheet Aug-2021'!E:E,PVA!B130,'Data Sheet Aug-2021'!O:O)</f>
        <v>348377</v>
      </c>
      <c r="H130" s="491" t="n">
        <f aca="false">SUMIF('Data Sheet Aug-2021'!E:E,PVA!B130,'Data Sheet Aug-2021'!T:T)</f>
        <v>2303</v>
      </c>
      <c r="I130" s="491" t="n">
        <f aca="false">SUMIF('Data Sheet Aug-2021'!E:E,PVA!B130,'Data Sheet Aug-2021'!U:U)</f>
        <v>8</v>
      </c>
      <c r="J130" s="491" t="n">
        <f aca="false">SUMIF('Data Sheet Aug-2021'!E:E,PVA!B130,'Data Sheet Aug-2021'!P:P)</f>
        <v>0</v>
      </c>
      <c r="K130" s="492" t="n">
        <f aca="false">SUMIF('Data Sheet Aug-2021'!E:E,PVA!B130,'Data Sheet Aug-2021'!Q:Q)</f>
        <v>0</v>
      </c>
      <c r="L130" s="493" t="n">
        <f aca="false">IFERROR(SUM(H130:I130)/SUM(G130:I130),0)</f>
        <v>0.00658990327584634</v>
      </c>
      <c r="M130" s="493" t="n">
        <f aca="false">IFERROR(K130/F130,0)</f>
        <v>0</v>
      </c>
      <c r="N130" s="494" t="n">
        <f aca="false">IFERROR(G130/E130,0)</f>
        <v>4.77228767123288</v>
      </c>
      <c r="O130" s="523" t="n">
        <f aca="false">G130-E130</f>
        <v>275377</v>
      </c>
      <c r="P130" s="523"/>
      <c r="Q130" s="491" t="n">
        <v>0.0068</v>
      </c>
      <c r="R130" s="524" t="n">
        <f aca="false">(H130+I130+K130)*Q130</f>
        <v>15.7148</v>
      </c>
      <c r="Z130" s="279" t="n">
        <f aca="false">H130*Q130</f>
        <v>15.6604</v>
      </c>
      <c r="AA130" s="279" t="n">
        <f aca="false">I130*Q130</f>
        <v>0.0544</v>
      </c>
      <c r="AB130" s="279" t="n">
        <f aca="false">J130</f>
        <v>0</v>
      </c>
      <c r="AC130" s="279" t="n">
        <f aca="false">K130*Q130</f>
        <v>0</v>
      </c>
      <c r="AM130" s="279"/>
      <c r="AN130" s="279"/>
      <c r="AO130" s="279"/>
      <c r="AP130" s="279"/>
    </row>
    <row r="131" customFormat="false" ht="13.8" hidden="false" customHeight="false" outlineLevel="0" collapsed="false">
      <c r="A131" s="401"/>
      <c r="B131" s="487" t="s">
        <v>901</v>
      </c>
      <c r="C131" s="488" t="str">
        <f aca="false">VLOOKUP(B131,'Item Data Support Sheet'!A:B,2,0)</f>
        <v>NIPPLE S TYPE Y SIZE PUNCHED INSPECTED</v>
      </c>
      <c r="D131" s="489" t="str">
        <f aca="false">IFERROR(VLOOKUP(B131,'Item Data Support Sheet'!A:O,15,0),0)</f>
        <v>S-Y SIZE</v>
      </c>
      <c r="E131" s="535" t="n">
        <v>0</v>
      </c>
      <c r="F131" s="491" t="n">
        <f aca="false">SUMIF('Data Sheet Aug-2021'!E:E,PVA!B131,'Data Sheet Aug-2021'!N:N)</f>
        <v>66557</v>
      </c>
      <c r="G131" s="491" t="n">
        <f aca="false">SUMIF('Data Sheet Aug-2021'!E:E,PVA!B131,'Data Sheet Aug-2021'!O:O)</f>
        <v>66181</v>
      </c>
      <c r="H131" s="491" t="n">
        <f aca="false">SUMIF('Data Sheet Aug-2021'!E:E,PVA!B131,'Data Sheet Aug-2021'!T:T)</f>
        <v>376</v>
      </c>
      <c r="I131" s="491" t="n">
        <f aca="false">SUMIF('Data Sheet Aug-2021'!E:E,PVA!B131,'Data Sheet Aug-2021'!U:U)</f>
        <v>0</v>
      </c>
      <c r="J131" s="491" t="n">
        <f aca="false">SUMIF('Data Sheet Aug-2021'!E:E,PVA!B131,'Data Sheet Aug-2021'!P:P)</f>
        <v>0</v>
      </c>
      <c r="K131" s="492" t="n">
        <f aca="false">SUMIF('Data Sheet Aug-2021'!E:E,PVA!B131,'Data Sheet Aug-2021'!Q:Q)</f>
        <v>0</v>
      </c>
      <c r="L131" s="493" t="n">
        <f aca="false">IFERROR(SUM(H131:I131)/SUM(G131:I131),0)</f>
        <v>0.00564929308712833</v>
      </c>
      <c r="M131" s="493" t="n">
        <f aca="false">IFERROR(K131/F131,0)</f>
        <v>0</v>
      </c>
      <c r="N131" s="494" t="n">
        <f aca="false">IFERROR(G131/E131,0)</f>
        <v>0</v>
      </c>
      <c r="O131" s="523" t="n">
        <f aca="false">G131-E131</f>
        <v>66181</v>
      </c>
      <c r="P131" s="523"/>
      <c r="Q131" s="491" t="n">
        <v>0.0068</v>
      </c>
      <c r="R131" s="524" t="n">
        <f aca="false">(H131+I131+K131)*Q131</f>
        <v>2.5568</v>
      </c>
      <c r="Z131" s="279" t="n">
        <f aca="false">H131*Q131</f>
        <v>2.5568</v>
      </c>
      <c r="AA131" s="279" t="n">
        <f aca="false">I131*Q131</f>
        <v>0</v>
      </c>
      <c r="AB131" s="279" t="n">
        <f aca="false">J131</f>
        <v>0</v>
      </c>
      <c r="AC131" s="279" t="n">
        <f aca="false">K131*Q131</f>
        <v>0</v>
      </c>
      <c r="AM131" s="279"/>
      <c r="AN131" s="279"/>
      <c r="AO131" s="279"/>
      <c r="AP131" s="279"/>
    </row>
    <row r="132" customFormat="false" ht="13.8" hidden="false" customHeight="false" outlineLevel="0" collapsed="false">
      <c r="A132" s="401"/>
      <c r="B132" s="499" t="s">
        <v>621</v>
      </c>
      <c r="C132" s="500" t="str">
        <f aca="false">VLOOKUP(B132,'Item Data Support Sheet'!A:B,2,0)</f>
        <v>NIPPLE S TYPE LL SIZE INSPECTED</v>
      </c>
      <c r="D132" s="501" t="s">
        <v>2480</v>
      </c>
      <c r="E132" s="536" t="n">
        <v>24000</v>
      </c>
      <c r="F132" s="503" t="n">
        <f aca="false">SUMIF('Data Sheet Aug-2021'!E:E,PVA!B132,'Data Sheet Aug-2021'!N:N)</f>
        <v>129839</v>
      </c>
      <c r="G132" s="503" t="n">
        <f aca="false">SUMIF('Data Sheet Aug-2021'!E:E,PVA!B132,'Data Sheet Aug-2021'!O:O)</f>
        <v>128634</v>
      </c>
      <c r="H132" s="503" t="n">
        <f aca="false">SUMIF('Data Sheet Aug-2021'!E:E,PVA!B132,'Data Sheet Aug-2021'!T:T)</f>
        <v>1205</v>
      </c>
      <c r="I132" s="503" t="n">
        <f aca="false">SUMIF('Data Sheet Aug-2021'!E:E,PVA!B132,'Data Sheet Aug-2021'!U:U)</f>
        <v>0</v>
      </c>
      <c r="J132" s="503" t="n">
        <f aca="false">SUMIF('Data Sheet Aug-2021'!E:E,PVA!B132,'Data Sheet Aug-2021'!P:P)</f>
        <v>0</v>
      </c>
      <c r="K132" s="504" t="n">
        <f aca="false">SUMIF('Data Sheet Aug-2021'!E:E,PVA!B132,'Data Sheet Aug-2021'!Q:Q)</f>
        <v>0</v>
      </c>
      <c r="L132" s="505" t="n">
        <f aca="false">IFERROR(SUM(H132:I132)/SUM(G132:I132),0)</f>
        <v>0.00928072458968415</v>
      </c>
      <c r="M132" s="505" t="n">
        <f aca="false">IFERROR(K132/F132,0)</f>
        <v>0</v>
      </c>
      <c r="N132" s="506" t="n">
        <f aca="false">IFERROR(G132/E132,0)</f>
        <v>5.35975</v>
      </c>
      <c r="O132" s="526" t="n">
        <f aca="false">G132-E132</f>
        <v>104634</v>
      </c>
      <c r="P132" s="526"/>
      <c r="Q132" s="503" t="n">
        <v>0.0068</v>
      </c>
      <c r="R132" s="527" t="n">
        <f aca="false">(H132+I132+K132)*Q132</f>
        <v>8.194</v>
      </c>
      <c r="AM132" s="279"/>
      <c r="AN132" s="279"/>
      <c r="AO132" s="279"/>
      <c r="AP132" s="279"/>
    </row>
    <row r="133" customFormat="false" ht="13.8" hidden="false" customHeight="false" outlineLevel="0" collapsed="false">
      <c r="A133" s="401"/>
      <c r="B133" s="511" t="s">
        <v>2432</v>
      </c>
      <c r="C133" s="512"/>
      <c r="D133" s="539"/>
      <c r="E133" s="540" t="n">
        <f aca="false">SUM(E128:E132)</f>
        <v>279000</v>
      </c>
      <c r="F133" s="540" t="n">
        <f aca="false">SUM(F128:F132)</f>
        <v>1062288</v>
      </c>
      <c r="G133" s="540" t="n">
        <f aca="false">SUM(G128:G132)</f>
        <v>1055247</v>
      </c>
      <c r="H133" s="540" t="n">
        <f aca="false">SUM(H128:H132)</f>
        <v>7041</v>
      </c>
      <c r="I133" s="540" t="n">
        <f aca="false">SUM(I128:I132)</f>
        <v>8</v>
      </c>
      <c r="J133" s="540" t="n">
        <f aca="false">SUM(J128:J132)</f>
        <v>0</v>
      </c>
      <c r="K133" s="540" t="n">
        <f aca="false">SUM(K128:K132)</f>
        <v>0</v>
      </c>
      <c r="L133" s="346" t="n">
        <f aca="false">SUM(H133:I133)/SUM(G133:I133)</f>
        <v>0.00663562698155693</v>
      </c>
      <c r="M133" s="347" t="n">
        <f aca="false">IFERROR(K133/F133,0)</f>
        <v>0</v>
      </c>
      <c r="N133" s="348" t="n">
        <f aca="false">G133/E133</f>
        <v>3.78224731182796</v>
      </c>
      <c r="O133" s="529" t="n">
        <f aca="false">SUM(O128:O132)</f>
        <v>776247</v>
      </c>
      <c r="P133" s="529"/>
      <c r="Q133" s="529"/>
      <c r="R133" s="530" t="n">
        <f aca="false">(H133+I133+K133)*0.0068</f>
        <v>47.9332</v>
      </c>
      <c r="AM133" s="279"/>
      <c r="AN133" s="279"/>
      <c r="AO133" s="279"/>
      <c r="AP133" s="279"/>
    </row>
    <row r="134" customFormat="false" ht="13.8" hidden="false" customHeight="false" outlineLevel="0" collapsed="false">
      <c r="A134" s="401"/>
      <c r="B134" s="287" t="s">
        <v>2486</v>
      </c>
      <c r="C134" s="537" t="s">
        <v>2410</v>
      </c>
      <c r="D134" s="537"/>
      <c r="E134" s="289" t="s">
        <v>2411</v>
      </c>
      <c r="F134" s="289" t="s">
        <v>2412</v>
      </c>
      <c r="G134" s="289" t="s">
        <v>2413</v>
      </c>
      <c r="H134" s="289" t="s">
        <v>2414</v>
      </c>
      <c r="I134" s="289" t="s">
        <v>2415</v>
      </c>
      <c r="J134" s="289" t="s">
        <v>2416</v>
      </c>
      <c r="K134" s="291" t="s">
        <v>2417</v>
      </c>
      <c r="L134" s="360" t="s">
        <v>2418</v>
      </c>
      <c r="M134" s="289" t="s">
        <v>2419</v>
      </c>
      <c r="N134" s="361" t="s">
        <v>2420</v>
      </c>
      <c r="O134" s="311" t="s">
        <v>2421</v>
      </c>
      <c r="P134" s="311" t="s">
        <v>100</v>
      </c>
      <c r="Q134" s="311" t="s">
        <v>2408</v>
      </c>
      <c r="R134" s="292" t="s">
        <v>2441</v>
      </c>
      <c r="AM134" s="279"/>
      <c r="AN134" s="279"/>
      <c r="AO134" s="279"/>
      <c r="AP134" s="279"/>
    </row>
    <row r="135" customFormat="false" ht="13.8" hidden="false" customHeight="false" outlineLevel="0" collapsed="false">
      <c r="A135" s="401"/>
      <c r="B135" s="519" t="s">
        <v>551</v>
      </c>
      <c r="C135" s="476" t="str">
        <f aca="false">VLOOKUP(B135,'Item Data Support Sheet'!A:B,2,0)</f>
        <v>NIPPLE S TYPE S SIZE WITH PRINTED WRAP</v>
      </c>
      <c r="D135" s="519" t="str">
        <f aca="false">IFERROR(VLOOKUP(B135,'Item Data Support Sheet'!A:O,15,0),0)</f>
        <v>S-S SIZE</v>
      </c>
      <c r="E135" s="541" t="n">
        <v>64684</v>
      </c>
      <c r="F135" s="479" t="n">
        <f aca="false">SUMIF('Data Sheet Aug-2021'!E:E,PVA!B135,'Data Sheet Aug-2021'!N:N)</f>
        <v>139373</v>
      </c>
      <c r="G135" s="479" t="n">
        <f aca="false">SUMIF('Data Sheet Aug-2021'!E:E,PVA!B135,'Data Sheet Aug-2021'!O:O)</f>
        <v>139358</v>
      </c>
      <c r="H135" s="479" t="n">
        <f aca="false">SUMIF('Data Sheet Aug-2021'!E:E,PVA!B135,'Data Sheet Aug-2021'!T:T)</f>
        <v>15</v>
      </c>
      <c r="I135" s="479" t="n">
        <f aca="false">SUMIF('Data Sheet Aug-2021'!E:E,PVA!B135,'Data Sheet Aug-2021'!U:U)</f>
        <v>0</v>
      </c>
      <c r="J135" s="479" t="n">
        <f aca="false">SUMIF('Data Sheet Aug-2021'!E:E,PVA!B135,'Data Sheet Aug-2021'!P:P)</f>
        <v>0</v>
      </c>
      <c r="K135" s="480" t="n">
        <f aca="false">SUMIF('Data Sheet Aug-2021'!E:E,PVA!B135,'Data Sheet Aug-2021'!Q:Q)</f>
        <v>0</v>
      </c>
      <c r="L135" s="481" t="n">
        <f aca="false">IFERROR(SUM(H135:I135)/SUM(G135:I135),0)</f>
        <v>0.0001076248627783</v>
      </c>
      <c r="M135" s="481" t="n">
        <f aca="false">IFERROR(K135/F135,0)</f>
        <v>0</v>
      </c>
      <c r="N135" s="482" t="n">
        <f aca="false">IFERROR(G135/E135,0)</f>
        <v>2.15444313895245</v>
      </c>
      <c r="O135" s="542" t="n">
        <f aca="false">G135-E135</f>
        <v>74674</v>
      </c>
      <c r="P135" s="520"/>
      <c r="Q135" s="479" t="n">
        <v>0.0068</v>
      </c>
      <c r="R135" s="521" t="n">
        <f aca="false">(H140+I140+K140)*Q135</f>
        <v>2.6928</v>
      </c>
      <c r="Z135" s="279" t="n">
        <f aca="false">H135*Q135</f>
        <v>0.102</v>
      </c>
      <c r="AA135" s="279" t="n">
        <f aca="false">I135*Q135</f>
        <v>0</v>
      </c>
      <c r="AB135" s="279" t="n">
        <f aca="false">J135</f>
        <v>0</v>
      </c>
      <c r="AC135" s="279" t="n">
        <f aca="false">K135*Q135</f>
        <v>0</v>
      </c>
      <c r="AM135" s="279"/>
      <c r="AN135" s="279"/>
      <c r="AO135" s="279"/>
      <c r="AP135" s="279"/>
    </row>
    <row r="136" customFormat="false" ht="13.8" hidden="false" customHeight="false" outlineLevel="0" collapsed="false">
      <c r="A136" s="401"/>
      <c r="B136" s="522" t="s">
        <v>431</v>
      </c>
      <c r="C136" s="488" t="str">
        <f aca="false">VLOOKUP(B136,'Item Data Support Sheet'!A:B,2,0)</f>
        <v>NIPPLE S TYPE M SIZE WITH PRINTED WRAP</v>
      </c>
      <c r="D136" s="522" t="str">
        <f aca="false">IFERROR(VLOOKUP(B136,'Item Data Support Sheet'!A:O,15,0),0)</f>
        <v>S-M SIZE</v>
      </c>
      <c r="E136" s="541" t="n">
        <v>48513</v>
      </c>
      <c r="F136" s="491" t="n">
        <f aca="false">SUMIF('Data Sheet Aug-2021'!E:E,PVA!B136,'Data Sheet Aug-2021'!N:N)</f>
        <v>125060</v>
      </c>
      <c r="G136" s="491" t="n">
        <f aca="false">SUMIF('Data Sheet Aug-2021'!E:E,PVA!B136,'Data Sheet Aug-2021'!O:O)</f>
        <v>124947</v>
      </c>
      <c r="H136" s="491" t="n">
        <f aca="false">SUMIF('Data Sheet Aug-2021'!E:E,PVA!B136,'Data Sheet Aug-2021'!T:T)</f>
        <v>113</v>
      </c>
      <c r="I136" s="491" t="n">
        <f aca="false">SUMIF('Data Sheet Aug-2021'!E:E,PVA!B136,'Data Sheet Aug-2021'!U:U)</f>
        <v>0</v>
      </c>
      <c r="J136" s="491" t="n">
        <f aca="false">SUMIF('Data Sheet Aug-2021'!E:E,PVA!B136,'Data Sheet Aug-2021'!P:P)</f>
        <v>0</v>
      </c>
      <c r="K136" s="492" t="n">
        <f aca="false">SUMIF('Data Sheet Aug-2021'!E:E,PVA!B136,'Data Sheet Aug-2021'!Q:Q)</f>
        <v>0</v>
      </c>
      <c r="L136" s="493" t="n">
        <f aca="false">IFERROR(SUM(H136:I136)/SUM(G136:I136),0)</f>
        <v>0.000903566288181673</v>
      </c>
      <c r="M136" s="493" t="n">
        <f aca="false">IFERROR(K136/F136,0)</f>
        <v>0</v>
      </c>
      <c r="N136" s="494" t="n">
        <f aca="false">IFERROR(G136/E136,0)</f>
        <v>2.57553645414631</v>
      </c>
      <c r="O136" s="543" t="n">
        <f aca="false">G136-E136</f>
        <v>76434</v>
      </c>
      <c r="P136" s="523"/>
      <c r="Q136" s="491" t="n">
        <v>0.0068</v>
      </c>
      <c r="R136" s="524" t="n">
        <f aca="false">(H136+I136+K136)*Q136</f>
        <v>0.7684</v>
      </c>
      <c r="Z136" s="279" t="n">
        <f aca="false">H136*Q136</f>
        <v>0.7684</v>
      </c>
      <c r="AA136" s="279" t="n">
        <f aca="false">I136*Q136</f>
        <v>0</v>
      </c>
      <c r="AB136" s="279" t="n">
        <f aca="false">J136</f>
        <v>0</v>
      </c>
      <c r="AC136" s="279" t="n">
        <f aca="false">K136*Q136</f>
        <v>0</v>
      </c>
      <c r="AM136" s="279"/>
      <c r="AN136" s="279"/>
      <c r="AO136" s="279"/>
      <c r="AP136" s="279"/>
    </row>
    <row r="137" customFormat="false" ht="13.8" hidden="false" customHeight="false" outlineLevel="0" collapsed="false">
      <c r="A137" s="401"/>
      <c r="B137" s="522" t="s">
        <v>474</v>
      </c>
      <c r="C137" s="488" t="str">
        <f aca="false">VLOOKUP(B137,'Item Data Support Sheet'!A:B,2,0)</f>
        <v>NIPPLE S TYPE L SIZE WITH PRINTED WRAP</v>
      </c>
      <c r="D137" s="522" t="str">
        <f aca="false">IFERROR(VLOOKUP(B137,'Item Data Support Sheet'!A:O,15,0),0)</f>
        <v>S-L SIZE</v>
      </c>
      <c r="E137" s="541" t="n">
        <v>64684</v>
      </c>
      <c r="F137" s="491" t="n">
        <f aca="false">SUMIF('Data Sheet Aug-2021'!E:E,PVA!B137,'Data Sheet Aug-2021'!N:N)</f>
        <v>215649</v>
      </c>
      <c r="G137" s="491" t="n">
        <f aca="false">SUMIF('Data Sheet Aug-2021'!E:E,PVA!B137,'Data Sheet Aug-2021'!O:O)</f>
        <v>215496</v>
      </c>
      <c r="H137" s="491" t="n">
        <f aca="false">SUMIF('Data Sheet Aug-2021'!E:E,PVA!B137,'Data Sheet Aug-2021'!T:T)</f>
        <v>153</v>
      </c>
      <c r="I137" s="491" t="n">
        <f aca="false">SUMIF('Data Sheet Aug-2021'!E:E,PVA!B137,'Data Sheet Aug-2021'!U:U)</f>
        <v>0</v>
      </c>
      <c r="J137" s="491" t="n">
        <f aca="false">SUMIF('Data Sheet Aug-2021'!E:E,PVA!B137,'Data Sheet Aug-2021'!P:P)</f>
        <v>0</v>
      </c>
      <c r="K137" s="492" t="n">
        <f aca="false">SUMIF('Data Sheet Aug-2021'!E:E,PVA!B137,'Data Sheet Aug-2021'!Q:Q)</f>
        <v>0</v>
      </c>
      <c r="L137" s="493" t="n">
        <f aca="false">IFERROR(SUM(H137:I137)/SUM(G137:I137),0)</f>
        <v>0.000709486248487125</v>
      </c>
      <c r="M137" s="493" t="n">
        <f aca="false">IFERROR(K137/F137,0)</f>
        <v>0</v>
      </c>
      <c r="N137" s="494" t="n">
        <f aca="false">IFERROR(G137/E137,0)</f>
        <v>3.33151938655618</v>
      </c>
      <c r="O137" s="543" t="n">
        <f aca="false">G137-E137</f>
        <v>150812</v>
      </c>
      <c r="P137" s="523"/>
      <c r="Q137" s="491" t="n">
        <v>0.0068</v>
      </c>
      <c r="R137" s="524" t="n">
        <f aca="false">(H137+I137+K137)*Q137</f>
        <v>1.0404</v>
      </c>
      <c r="Z137" s="279" t="n">
        <f aca="false">H137*Q137</f>
        <v>1.0404</v>
      </c>
      <c r="AA137" s="279" t="n">
        <f aca="false">I137*Q137</f>
        <v>0</v>
      </c>
      <c r="AB137" s="279" t="n">
        <f aca="false">J137</f>
        <v>0</v>
      </c>
      <c r="AC137" s="279" t="n">
        <f aca="false">K137*Q137</f>
        <v>0</v>
      </c>
      <c r="AM137" s="279"/>
      <c r="AN137" s="279"/>
      <c r="AO137" s="279"/>
      <c r="AP137" s="279"/>
    </row>
    <row r="138" customFormat="false" ht="13.8" hidden="false" customHeight="false" outlineLevel="0" collapsed="false">
      <c r="A138" s="401"/>
      <c r="B138" s="522" t="s">
        <v>937</v>
      </c>
      <c r="C138" s="488" t="str">
        <f aca="false">VLOOKUP(B138,'Item Data Support Sheet'!A:B,2,0)</f>
        <v>NIPPLE S TYPE Y SIZE WITH PRINTED WRAP</v>
      </c>
      <c r="D138" s="522" t="str">
        <f aca="false">IFERROR(VLOOKUP(B138,'Item Data Support Sheet'!A:O,15,0),0)</f>
        <v>S-Y SIZE</v>
      </c>
      <c r="E138" s="541" t="n">
        <v>0</v>
      </c>
      <c r="F138" s="491" t="n">
        <f aca="false">SUMIF('Data Sheet Aug-2021'!E:E,PVA!B138,'Data Sheet Aug-2021'!N:N)</f>
        <v>66052</v>
      </c>
      <c r="G138" s="491" t="n">
        <f aca="false">SUMIF('Data Sheet Aug-2021'!E:E,PVA!B138,'Data Sheet Aug-2021'!O:O)</f>
        <v>66023</v>
      </c>
      <c r="H138" s="491" t="n">
        <f aca="false">SUMIF('Data Sheet Aug-2021'!E:E,PVA!B138,'Data Sheet Aug-2021'!T:T)</f>
        <v>29</v>
      </c>
      <c r="I138" s="491" t="n">
        <f aca="false">SUMIF('Data Sheet Aug-2021'!E:E,PVA!B138,'Data Sheet Aug-2021'!U:U)</f>
        <v>0</v>
      </c>
      <c r="J138" s="491" t="n">
        <f aca="false">SUMIF('Data Sheet Aug-2021'!E:E,PVA!B138,'Data Sheet Aug-2021'!P:P)</f>
        <v>0</v>
      </c>
      <c r="K138" s="492" t="n">
        <f aca="false">SUMIF('Data Sheet Aug-2021'!E:E,PVA!B138,'Data Sheet Aug-2021'!Q:Q)</f>
        <v>0</v>
      </c>
      <c r="L138" s="493" t="n">
        <f aca="false">IFERROR(SUM(H138:I138)/SUM(G138:I138),0)</f>
        <v>0.000439048022769939</v>
      </c>
      <c r="M138" s="493" t="n">
        <f aca="false">IFERROR(K138/F138,0)</f>
        <v>0</v>
      </c>
      <c r="N138" s="494" t="n">
        <f aca="false">IFERROR(G138/E138,0)</f>
        <v>0</v>
      </c>
      <c r="O138" s="543" t="n">
        <f aca="false">G138-E138</f>
        <v>66023</v>
      </c>
      <c r="P138" s="523"/>
      <c r="Q138" s="491" t="n">
        <v>0.0068</v>
      </c>
      <c r="R138" s="524" t="n">
        <f aca="false">(H138+I138+K138)*Q138</f>
        <v>0.1972</v>
      </c>
      <c r="Z138" s="279" t="n">
        <f aca="false">H138*Q138</f>
        <v>0.1972</v>
      </c>
      <c r="AA138" s="279" t="n">
        <f aca="false">I138*Q138</f>
        <v>0</v>
      </c>
      <c r="AB138" s="279" t="n">
        <f aca="false">J138</f>
        <v>0</v>
      </c>
      <c r="AC138" s="279" t="n">
        <f aca="false">K138*Q138</f>
        <v>0</v>
      </c>
      <c r="AM138" s="279"/>
      <c r="AN138" s="279"/>
      <c r="AO138" s="279"/>
      <c r="AP138" s="279"/>
    </row>
    <row r="139" customFormat="false" ht="13.8" hidden="false" customHeight="false" outlineLevel="0" collapsed="false">
      <c r="A139" s="401"/>
      <c r="B139" s="499" t="s">
        <v>506</v>
      </c>
      <c r="C139" s="500" t="str">
        <f aca="false">VLOOKUP(B139,'Item Data Support Sheet'!A:B,2,0)</f>
        <v>NIPPLE S TYPE LL SIZE WRAPPED</v>
      </c>
      <c r="D139" s="499" t="s">
        <v>2480</v>
      </c>
      <c r="E139" s="541" t="n">
        <v>32342</v>
      </c>
      <c r="F139" s="491" t="n">
        <f aca="false">SUMIF('Data Sheet Aug-2021'!E:E,PVA!B139,'Data Sheet Aug-2021'!N:N)</f>
        <v>98078</v>
      </c>
      <c r="G139" s="491" t="n">
        <f aca="false">SUMIF('Data Sheet Aug-2021'!E:E,PVA!B139,'Data Sheet Aug-2021'!O:O)</f>
        <v>97992</v>
      </c>
      <c r="H139" s="491" t="n">
        <f aca="false">SUMIF('Data Sheet Aug-2021'!E:E,PVA!B139,'Data Sheet Aug-2021'!T:T)</f>
        <v>86</v>
      </c>
      <c r="I139" s="491" t="n">
        <f aca="false">SUMIF('Data Sheet Aug-2021'!E:E,PVA!B139,'Data Sheet Aug-2021'!U:U)</f>
        <v>0</v>
      </c>
      <c r="J139" s="491" t="n">
        <f aca="false">SUMIF('Data Sheet Aug-2021'!E:E,PVA!B139,'Data Sheet Aug-2021'!P:P)</f>
        <v>0</v>
      </c>
      <c r="K139" s="492" t="n">
        <f aca="false">SUMIF('Data Sheet Aug-2021'!E:E,PVA!B139,'Data Sheet Aug-2021'!Q:Q)</f>
        <v>0</v>
      </c>
      <c r="L139" s="505" t="n">
        <f aca="false">IFERROR(SUM(H139:I139)/SUM(G139:I139),0)</f>
        <v>0.000876853116906952</v>
      </c>
      <c r="M139" s="505" t="n">
        <f aca="false">IFERROR(K139/F139,0)</f>
        <v>0</v>
      </c>
      <c r="N139" s="506" t="n">
        <f aca="false">IFERROR(G139/E139,0)</f>
        <v>3.02986828272834</v>
      </c>
      <c r="O139" s="544" t="n">
        <f aca="false">G139-E139</f>
        <v>65650</v>
      </c>
      <c r="P139" s="526"/>
      <c r="Q139" s="503" t="n">
        <v>0.0068</v>
      </c>
      <c r="R139" s="527" t="n">
        <f aca="false">(H139+I139+K139)*Q139</f>
        <v>0.5848</v>
      </c>
      <c r="AM139" s="279"/>
      <c r="AN139" s="279"/>
      <c r="AO139" s="279"/>
      <c r="AP139" s="279"/>
    </row>
    <row r="140" customFormat="false" ht="13.8" hidden="false" customHeight="false" outlineLevel="0" collapsed="false">
      <c r="A140" s="401"/>
      <c r="B140" s="531" t="s">
        <v>2432</v>
      </c>
      <c r="C140" s="528"/>
      <c r="D140" s="545"/>
      <c r="E140" s="471" t="n">
        <f aca="false">SUM(E135:E139)</f>
        <v>210223</v>
      </c>
      <c r="F140" s="349" t="n">
        <f aca="false">SUM(F135:F139)</f>
        <v>644212</v>
      </c>
      <c r="G140" s="349" t="n">
        <f aca="false">SUM(G135:G139)</f>
        <v>643816</v>
      </c>
      <c r="H140" s="349" t="n">
        <f aca="false">SUM(H135:H139)</f>
        <v>396</v>
      </c>
      <c r="I140" s="349" t="n">
        <f aca="false">SUM(I135:I139)</f>
        <v>0</v>
      </c>
      <c r="J140" s="349" t="n">
        <f aca="false">SUM(J135:J139)</f>
        <v>0</v>
      </c>
      <c r="K140" s="467" t="n">
        <f aca="false">SUM(K135:K139)</f>
        <v>0</v>
      </c>
      <c r="L140" s="469" t="n">
        <f aca="false">SUM(H140:I140)/SUM(G140:I140)</f>
        <v>0.000614704476166231</v>
      </c>
      <c r="M140" s="469" t="n">
        <f aca="false">IFERROR(K140/F140,0)</f>
        <v>0</v>
      </c>
      <c r="N140" s="470" t="n">
        <f aca="false">G140/E140</f>
        <v>3.06253835213083</v>
      </c>
      <c r="O140" s="529" t="n">
        <f aca="false">SUM(O135:O139)</f>
        <v>433593</v>
      </c>
      <c r="P140" s="529"/>
      <c r="Q140" s="529"/>
      <c r="R140" s="530" t="n">
        <f aca="false">(H140+I140+K140)*0.0068</f>
        <v>2.6928</v>
      </c>
      <c r="AM140" s="279"/>
      <c r="AN140" s="279"/>
      <c r="AO140" s="279"/>
      <c r="AP140" s="279"/>
    </row>
    <row r="141" customFormat="false" ht="13.8" hidden="false" customHeight="false" outlineLevel="0" collapsed="false">
      <c r="B141" s="129"/>
      <c r="C141" s="129"/>
      <c r="D141" s="129"/>
      <c r="E141" s="546" t="n">
        <f aca="false">E140+E133+E119+E112+E105+E98+E31+E126</f>
        <v>1579001</v>
      </c>
      <c r="F141" s="547" t="n">
        <f aca="false">F140+F133+F119+F112+F105+F98+F31+F126</f>
        <v>6360963</v>
      </c>
      <c r="G141" s="547" t="n">
        <f aca="false">G140+G133+G119+G112+G105+G98+G31+G126</f>
        <v>6288498</v>
      </c>
      <c r="H141" s="547" t="n">
        <f aca="false">H140+H133+H119+H112+H105+H98+H31+H126</f>
        <v>39802</v>
      </c>
      <c r="I141" s="547" t="n">
        <f aca="false">I140+I133+I119+I112+I105+I98+I31+I126</f>
        <v>2971</v>
      </c>
      <c r="J141" s="547" t="e">
        <f aca="false">J140+J133+J119+J112+J105+J98+J31+J126</f>
        <v>#NAME?</v>
      </c>
      <c r="K141" s="547" t="n">
        <f aca="false">K140+K133+K119+K112+K105+K98+K31+K126</f>
        <v>29700</v>
      </c>
      <c r="L141" s="548" t="n">
        <f aca="false">(H141+I141+K141)/F141</f>
        <v>0.0113934006533288</v>
      </c>
      <c r="M141" s="548" t="n">
        <f aca="false">IFERROR(K141/F141,0)</f>
        <v>0.0046691043478794</v>
      </c>
      <c r="N141" s="548" t="n">
        <f aca="false">G141/E141</f>
        <v>3.98258012502842</v>
      </c>
      <c r="O141" s="547"/>
      <c r="P141" s="547"/>
      <c r="Q141" s="547"/>
      <c r="R141" s="547"/>
      <c r="AM141" s="279"/>
      <c r="AN141" s="279"/>
      <c r="AO141" s="279"/>
      <c r="AP141" s="279"/>
    </row>
    <row r="142" customFormat="false" ht="24.45" hidden="false" customHeight="false" outlineLevel="0" collapsed="false">
      <c r="B142" s="281"/>
      <c r="C142" s="281"/>
      <c r="D142" s="281"/>
      <c r="E142" s="281" t="s">
        <v>2487</v>
      </c>
      <c r="F142" s="0"/>
      <c r="G142" s="0" t="s">
        <v>58</v>
      </c>
      <c r="H142" s="25"/>
      <c r="I142" s="0"/>
      <c r="J142" s="0"/>
      <c r="K142" s="0"/>
      <c r="L142" s="0"/>
      <c r="M142" s="0"/>
      <c r="N142" s="25"/>
      <c r="O142" s="25"/>
      <c r="P142" s="129"/>
      <c r="Q142" s="0"/>
      <c r="R142" s="0"/>
      <c r="AM142" s="279"/>
      <c r="AN142" s="279"/>
      <c r="AO142" s="279"/>
      <c r="AP142" s="279"/>
    </row>
    <row r="143" customFormat="false" ht="13.8" hidden="false" customHeight="true" outlineLevel="0" collapsed="false">
      <c r="B143" s="0"/>
      <c r="C143" s="0"/>
      <c r="D143" s="0"/>
      <c r="E143" s="549" t="s">
        <v>18</v>
      </c>
      <c r="F143" s="550" t="s">
        <v>2488</v>
      </c>
      <c r="G143" s="549" t="s">
        <v>2489</v>
      </c>
      <c r="H143" s="549"/>
      <c r="I143" s="549" t="s">
        <v>2490</v>
      </c>
      <c r="J143" s="549"/>
      <c r="K143" s="549" t="s">
        <v>2489</v>
      </c>
      <c r="L143" s="549"/>
      <c r="M143" s="549" t="s">
        <v>2490</v>
      </c>
      <c r="N143" s="549"/>
      <c r="O143" s="551" t="s">
        <v>2491</v>
      </c>
      <c r="P143" s="120"/>
      <c r="Q143" s="0"/>
      <c r="R143" s="279"/>
      <c r="AM143" s="279"/>
      <c r="AN143" s="279"/>
      <c r="AO143" s="279"/>
      <c r="AY143" s="276"/>
      <c r="IZ143" s="0"/>
    </row>
    <row r="144" customFormat="false" ht="41.75" hidden="false" customHeight="false" outlineLevel="0" collapsed="false">
      <c r="B144" s="0"/>
      <c r="C144" s="0"/>
      <c r="D144" s="0"/>
      <c r="E144" s="549"/>
      <c r="F144" s="550"/>
      <c r="G144" s="552" t="s">
        <v>2492</v>
      </c>
      <c r="H144" s="553" t="s">
        <v>2493</v>
      </c>
      <c r="I144" s="552" t="s">
        <v>2492</v>
      </c>
      <c r="J144" s="553" t="s">
        <v>2493</v>
      </c>
      <c r="K144" s="554" t="s">
        <v>2494</v>
      </c>
      <c r="L144" s="555" t="s">
        <v>2495</v>
      </c>
      <c r="M144" s="554" t="s">
        <v>2496</v>
      </c>
      <c r="N144" s="555" t="s">
        <v>2497</v>
      </c>
      <c r="O144" s="551"/>
      <c r="P144" s="556"/>
      <c r="Q144" s="0"/>
      <c r="R144" s="279"/>
      <c r="AM144" s="279"/>
      <c r="AN144" s="279"/>
      <c r="AO144" s="279"/>
      <c r="AY144" s="276"/>
      <c r="IZ144" s="0"/>
    </row>
    <row r="145" customFormat="false" ht="13.8" hidden="false" customHeight="true" outlineLevel="0" collapsed="false">
      <c r="B145" s="0"/>
      <c r="C145" s="0"/>
      <c r="D145" s="0"/>
      <c r="E145" s="550" t="s">
        <v>2498</v>
      </c>
      <c r="F145" s="119" t="s">
        <v>2392</v>
      </c>
      <c r="G145" s="557" t="n">
        <f aca="false">G154</f>
        <v>475501</v>
      </c>
      <c r="H145" s="557" t="n">
        <f aca="false">H154</f>
        <v>9011</v>
      </c>
      <c r="I145" s="557" t="n">
        <f aca="false">G156</f>
        <v>425231</v>
      </c>
      <c r="J145" s="557" t="n">
        <f aca="false">H156</f>
        <v>3542</v>
      </c>
      <c r="K145" s="558" t="n">
        <v>0.025</v>
      </c>
      <c r="L145" s="559" t="n">
        <f aca="false">IFERROR(H145/(G145+H145),0)</f>
        <v>0.0185980945776369</v>
      </c>
      <c r="M145" s="558" t="n">
        <v>0.005</v>
      </c>
      <c r="N145" s="559" t="n">
        <f aca="false">IFERROR(J145/(I145+J145),0)</f>
        <v>0.00826078134584034</v>
      </c>
      <c r="O145" s="560" t="n">
        <f aca="false">IFERROR((J145+H145)/(G145+H145),0)</f>
        <v>0.025908543028862</v>
      </c>
      <c r="P145" s="561"/>
      <c r="Q145" s="0"/>
      <c r="R145" s="279"/>
      <c r="AM145" s="279"/>
      <c r="AN145" s="279"/>
      <c r="AO145" s="279"/>
      <c r="AY145" s="276"/>
      <c r="IZ145" s="0"/>
    </row>
    <row r="146" customFormat="false" ht="13.8" hidden="false" customHeight="false" outlineLevel="0" collapsed="false">
      <c r="B146" s="0"/>
      <c r="C146" s="0"/>
      <c r="D146" s="0"/>
      <c r="E146" s="550"/>
      <c r="F146" s="553" t="s">
        <v>77</v>
      </c>
      <c r="G146" s="557" t="n">
        <f aca="false">G155</f>
        <v>79321</v>
      </c>
      <c r="H146" s="557" t="n">
        <f aca="false">H155</f>
        <v>2228</v>
      </c>
      <c r="I146" s="557" t="n">
        <f aca="false">G157</f>
        <v>79135</v>
      </c>
      <c r="J146" s="557" t="n">
        <f aca="false">H157</f>
        <v>1255</v>
      </c>
      <c r="K146" s="558" t="n">
        <v>0.025</v>
      </c>
      <c r="L146" s="559" t="n">
        <f aca="false">IFERROR(H146/(G146+H146),0)</f>
        <v>0.0273209971918724</v>
      </c>
      <c r="M146" s="558" t="n">
        <v>0.005</v>
      </c>
      <c r="N146" s="559" t="n">
        <f aca="false">IFERROR(J146/(I146+J146),0)</f>
        <v>0.0156113944520463</v>
      </c>
      <c r="O146" s="560" t="n">
        <f aca="false">IFERROR((J146+H146)/(G146+H146),0)</f>
        <v>0.0427105176029136</v>
      </c>
      <c r="P146" s="561"/>
      <c r="Q146" s="0"/>
      <c r="R146" s="279"/>
      <c r="AM146" s="279"/>
      <c r="AN146" s="279"/>
      <c r="AO146" s="279"/>
      <c r="AY146" s="276"/>
      <c r="IZ146" s="0"/>
    </row>
    <row r="147" customFormat="false" ht="13.8" hidden="false" customHeight="false" outlineLevel="0" collapsed="false">
      <c r="B147" s="0"/>
      <c r="C147" s="0"/>
      <c r="D147" s="0"/>
      <c r="E147" s="550"/>
      <c r="F147" s="562" t="s">
        <v>2499</v>
      </c>
      <c r="G147" s="563" t="n">
        <f aca="false">G146+G145</f>
        <v>554822</v>
      </c>
      <c r="H147" s="563" t="n">
        <f aca="false">H146+H145</f>
        <v>11239</v>
      </c>
      <c r="I147" s="563" t="n">
        <f aca="false">I146+I145</f>
        <v>504366</v>
      </c>
      <c r="J147" s="563" t="n">
        <f aca="false">J146+J145</f>
        <v>4797</v>
      </c>
      <c r="K147" s="564" t="n">
        <v>0.025</v>
      </c>
      <c r="L147" s="565" t="n">
        <f aca="false">IFERROR(H147/(G147+H147),0)</f>
        <v>0.0198547506364155</v>
      </c>
      <c r="M147" s="564" t="n">
        <v>0.005</v>
      </c>
      <c r="N147" s="565" t="n">
        <f aca="false">IFERROR(J147/(I147+J147),0)</f>
        <v>0.0094213444417603</v>
      </c>
      <c r="O147" s="566" t="n">
        <f aca="false">IFERROR((J147+H147)/(G147+H147),0)</f>
        <v>0.0283291023405605</v>
      </c>
      <c r="P147" s="561"/>
      <c r="Q147" s="0"/>
      <c r="R147" s="279"/>
      <c r="AM147" s="279"/>
      <c r="AN147" s="279"/>
      <c r="AO147" s="279"/>
      <c r="AY147" s="276"/>
      <c r="IZ147" s="0"/>
    </row>
    <row r="148" customFormat="false" ht="13.8" hidden="false" customHeight="false" outlineLevel="0" collapsed="false">
      <c r="B148" s="0"/>
      <c r="C148" s="0"/>
      <c r="D148" s="0"/>
      <c r="E148" s="549" t="s">
        <v>2500</v>
      </c>
      <c r="F148" s="562" t="s">
        <v>2393</v>
      </c>
      <c r="G148" s="563" t="n">
        <f aca="false">G158</f>
        <v>1182508</v>
      </c>
      <c r="H148" s="563" t="n">
        <f aca="false">H158</f>
        <v>16084</v>
      </c>
      <c r="I148" s="563" t="n">
        <f aca="false">G162</f>
        <v>1055247</v>
      </c>
      <c r="J148" s="563" t="n">
        <f aca="false">SUM(H159:H163)</f>
        <v>7706</v>
      </c>
      <c r="K148" s="564" t="n">
        <v>0.015</v>
      </c>
      <c r="L148" s="565" t="n">
        <f aca="false">IFERROR(H148/(G148+H148),0)</f>
        <v>0.0134190783853054</v>
      </c>
      <c r="M148" s="564" t="n">
        <v>0.01</v>
      </c>
      <c r="N148" s="565" t="n">
        <f aca="false">IFERROR(J148/(I148+J148),0)</f>
        <v>0.00724961498768055</v>
      </c>
      <c r="O148" s="566" t="n">
        <f aca="false">IFERROR((J148+H148)/(G148+H148),0)</f>
        <v>0.0198482886586929</v>
      </c>
      <c r="P148" s="561"/>
      <c r="Q148" s="0"/>
      <c r="R148" s="279"/>
      <c r="AM148" s="279"/>
      <c r="AN148" s="279"/>
      <c r="AO148" s="279"/>
      <c r="AY148" s="276"/>
      <c r="IZ148" s="0"/>
    </row>
    <row r="149" customFormat="false" ht="13.8" hidden="false" customHeight="false" outlineLevel="0" collapsed="false">
      <c r="B149" s="0"/>
      <c r="C149" s="0"/>
      <c r="D149" s="0"/>
      <c r="E149" s="549" t="s">
        <v>2424</v>
      </c>
      <c r="F149" s="562" t="s">
        <v>2392</v>
      </c>
      <c r="G149" s="567" t="n">
        <f aca="false">G3</f>
        <v>563933</v>
      </c>
      <c r="H149" s="567" t="n">
        <f aca="false">H3</f>
        <v>1471</v>
      </c>
      <c r="I149" s="568" t="s">
        <v>1434</v>
      </c>
      <c r="J149" s="568" t="s">
        <v>1434</v>
      </c>
      <c r="K149" s="564" t="n">
        <v>0.01</v>
      </c>
      <c r="L149" s="565" t="n">
        <f aca="false">IFERROR(H149/(G149+H149),0)</f>
        <v>0.00260167950704275</v>
      </c>
      <c r="M149" s="564" t="s">
        <v>1434</v>
      </c>
      <c r="N149" s="565" t="s">
        <v>1434</v>
      </c>
      <c r="O149" s="566" t="n">
        <f aca="false">L149</f>
        <v>0.00260167950704275</v>
      </c>
      <c r="P149" s="0"/>
      <c r="Q149" s="0"/>
      <c r="R149" s="279"/>
      <c r="AM149" s="279"/>
      <c r="AN149" s="279"/>
      <c r="AO149" s="279"/>
      <c r="AY149" s="276"/>
      <c r="IZ149" s="0"/>
    </row>
    <row r="150" customFormat="false" ht="13.8" hidden="false" customHeight="false" outlineLevel="0" collapsed="false">
      <c r="B150" s="0"/>
      <c r="C150" s="0"/>
      <c r="D150" s="0"/>
      <c r="E150" s="549" t="s">
        <v>2501</v>
      </c>
      <c r="F150" s="562" t="s">
        <v>2502</v>
      </c>
      <c r="G150" s="567" t="n">
        <f aca="false">G11</f>
        <v>488403</v>
      </c>
      <c r="H150" s="567" t="n">
        <f aca="false">H11</f>
        <v>526</v>
      </c>
      <c r="I150" s="568" t="s">
        <v>1434</v>
      </c>
      <c r="J150" s="568" t="s">
        <v>1434</v>
      </c>
      <c r="K150" s="564" t="n">
        <v>0.01</v>
      </c>
      <c r="L150" s="565" t="n">
        <f aca="false">IFERROR(H150/(G150+H150),0)</f>
        <v>0.00107582082470052</v>
      </c>
      <c r="M150" s="564" t="s">
        <v>1434</v>
      </c>
      <c r="N150" s="565" t="s">
        <v>1434</v>
      </c>
      <c r="O150" s="566" t="n">
        <f aca="false">L150</f>
        <v>0.00107582082470052</v>
      </c>
      <c r="P150" s="0"/>
      <c r="Q150" s="0"/>
      <c r="R150" s="279"/>
      <c r="AM150" s="279"/>
      <c r="AN150" s="279"/>
      <c r="AO150" s="279"/>
      <c r="AY150" s="276"/>
      <c r="IZ150" s="0"/>
    </row>
    <row r="151" customFormat="false" ht="13.8" hidden="false" customHeight="false" outlineLevel="0" collapsed="false">
      <c r="B151" s="0"/>
      <c r="C151" s="0"/>
      <c r="D151" s="0"/>
      <c r="E151" s="0"/>
      <c r="F151" s="0"/>
      <c r="G151" s="0"/>
      <c r="H151" s="0"/>
      <c r="I151" s="0"/>
      <c r="J151" s="0"/>
      <c r="K151" s="0"/>
      <c r="L151" s="0"/>
      <c r="M151" s="0"/>
      <c r="N151" s="0"/>
      <c r="O151" s="0"/>
      <c r="P151" s="129"/>
      <c r="Q151" s="0"/>
      <c r="R151" s="0"/>
      <c r="AM151" s="279"/>
      <c r="AN151" s="279"/>
      <c r="AO151" s="279"/>
      <c r="AP151" s="279"/>
    </row>
    <row r="152" customFormat="false" ht="13.8" hidden="false" customHeight="false" outlineLevel="0" collapsed="false">
      <c r="B152" s="0"/>
      <c r="C152" s="0"/>
      <c r="D152" s="0"/>
      <c r="E152" s="0"/>
      <c r="F152" s="0"/>
      <c r="G152" s="0"/>
      <c r="H152" s="0"/>
      <c r="I152" s="0"/>
      <c r="J152" s="0"/>
      <c r="K152" s="0"/>
      <c r="L152" s="0"/>
      <c r="M152" s="0"/>
      <c r="N152" s="0"/>
      <c r="O152" s="0"/>
      <c r="P152" s="129"/>
      <c r="Q152" s="0"/>
      <c r="R152" s="0"/>
      <c r="AM152" s="279"/>
      <c r="AN152" s="279"/>
      <c r="AO152" s="279"/>
      <c r="AP152" s="279"/>
    </row>
    <row r="153" customFormat="false" ht="30" hidden="false" customHeight="true" outlineLevel="0" collapsed="false">
      <c r="B153" s="0"/>
      <c r="C153" s="0"/>
      <c r="D153" s="0"/>
      <c r="E153" s="569" t="s">
        <v>2503</v>
      </c>
      <c r="F153" s="570" t="s">
        <v>2504</v>
      </c>
      <c r="G153" s="571" t="s">
        <v>2492</v>
      </c>
      <c r="H153" s="572" t="s">
        <v>2493</v>
      </c>
      <c r="I153" s="573" t="s">
        <v>2505</v>
      </c>
      <c r="J153" s="574" t="s">
        <v>2506</v>
      </c>
      <c r="K153" s="574" t="s">
        <v>27</v>
      </c>
      <c r="L153" s="575" t="s">
        <v>2419</v>
      </c>
      <c r="M153" s="0"/>
      <c r="N153" s="0"/>
      <c r="O153" s="0"/>
      <c r="P153" s="129"/>
      <c r="Q153" s="0"/>
      <c r="R153" s="0"/>
      <c r="AM153" s="279"/>
      <c r="AN153" s="279"/>
      <c r="AO153" s="279"/>
      <c r="AP153" s="279"/>
    </row>
    <row r="154" customFormat="false" ht="13.8" hidden="false" customHeight="false" outlineLevel="0" collapsed="false">
      <c r="B154" s="0"/>
      <c r="C154" s="0"/>
      <c r="D154" s="0"/>
      <c r="E154" s="569" t="s">
        <v>71</v>
      </c>
      <c r="F154" s="570" t="s">
        <v>2392</v>
      </c>
      <c r="G154" s="576" t="n">
        <f aca="false">SUM(G13:G19)</f>
        <v>475501</v>
      </c>
      <c r="H154" s="577" t="n">
        <f aca="false">SUM(H13:H19)</f>
        <v>9011</v>
      </c>
      <c r="I154" s="578" t="n">
        <f aca="false">IFERROR(H154/(G154+H154),0)</f>
        <v>0.0185980945776369</v>
      </c>
      <c r="J154" s="579" t="n">
        <f aca="false">SUM(F13:F19)</f>
        <v>493136</v>
      </c>
      <c r="K154" s="579" t="n">
        <f aca="false">SUM(K13:K19)</f>
        <v>7565</v>
      </c>
      <c r="L154" s="578" t="n">
        <f aca="false">IFERROR(K154/(J154+K154),0)</f>
        <v>0.015108817437952</v>
      </c>
      <c r="M154" s="0"/>
      <c r="N154" s="0"/>
      <c r="O154" s="0"/>
      <c r="P154" s="129"/>
      <c r="Q154" s="0"/>
      <c r="R154" s="0"/>
      <c r="AM154" s="279"/>
      <c r="AN154" s="279"/>
      <c r="AO154" s="279"/>
      <c r="AP154" s="279"/>
    </row>
    <row r="155" customFormat="false" ht="13.8" hidden="false" customHeight="false" outlineLevel="0" collapsed="false">
      <c r="B155" s="0"/>
      <c r="C155" s="0"/>
      <c r="D155" s="0"/>
      <c r="E155" s="580"/>
      <c r="F155" s="581" t="s">
        <v>77</v>
      </c>
      <c r="G155" s="582" t="n">
        <f aca="false">SUM(G20:G30)</f>
        <v>79321</v>
      </c>
      <c r="H155" s="583" t="n">
        <f aca="false">SUM(H20:H30)</f>
        <v>2228</v>
      </c>
      <c r="I155" s="584" t="n">
        <f aca="false">IFERROR(H155/(G155+H155),0)</f>
        <v>0.0273209971918724</v>
      </c>
      <c r="J155" s="585" t="n">
        <f aca="false">SUM(F20:F30)</f>
        <v>84401</v>
      </c>
      <c r="K155" s="585" t="n">
        <f aca="false">SUM(K20:K30)</f>
        <v>2572</v>
      </c>
      <c r="L155" s="584" t="n">
        <f aca="false">IFERROR(K155/(J155+K155),0)</f>
        <v>0.0295723960309521</v>
      </c>
      <c r="M155" s="0"/>
      <c r="N155" s="25"/>
      <c r="O155" s="0"/>
      <c r="P155" s="129"/>
      <c r="Q155" s="0"/>
      <c r="R155" s="0"/>
      <c r="AM155" s="279"/>
      <c r="AN155" s="279"/>
      <c r="AO155" s="279"/>
      <c r="AP155" s="279"/>
    </row>
    <row r="156" customFormat="false" ht="13.8" hidden="false" customHeight="false" outlineLevel="0" collapsed="false">
      <c r="B156" s="0"/>
      <c r="C156" s="0"/>
      <c r="D156" s="0"/>
      <c r="E156" s="569" t="s">
        <v>2507</v>
      </c>
      <c r="F156" s="570" t="s">
        <v>2392</v>
      </c>
      <c r="G156" s="576" t="n">
        <f aca="false">SUM(G33:G49)</f>
        <v>425231</v>
      </c>
      <c r="H156" s="577" t="n">
        <f aca="false">SUM(H33:I49)</f>
        <v>3542</v>
      </c>
      <c r="I156" s="578" t="n">
        <f aca="false">IFERROR(H156/(G156+H156),0)</f>
        <v>0.00826078134584034</v>
      </c>
      <c r="J156" s="578" t="s">
        <v>1434</v>
      </c>
      <c r="K156" s="578" t="s">
        <v>1434</v>
      </c>
      <c r="L156" s="578" t="s">
        <v>1434</v>
      </c>
      <c r="M156" s="0"/>
      <c r="N156" s="0"/>
      <c r="O156" s="0"/>
      <c r="P156" s="129"/>
      <c r="Q156" s="0"/>
      <c r="R156" s="0"/>
      <c r="AM156" s="279"/>
      <c r="AN156" s="279"/>
      <c r="AO156" s="279"/>
      <c r="AP156" s="279"/>
    </row>
    <row r="157" customFormat="false" ht="13.8" hidden="false" customHeight="false" outlineLevel="0" collapsed="false">
      <c r="B157" s="0"/>
      <c r="C157" s="0"/>
      <c r="D157" s="0"/>
      <c r="E157" s="580"/>
      <c r="F157" s="581" t="s">
        <v>77</v>
      </c>
      <c r="G157" s="582" t="n">
        <f aca="false">SUM(G50:G97)</f>
        <v>79135</v>
      </c>
      <c r="H157" s="583" t="n">
        <f aca="false">SUM(H50:I97)</f>
        <v>1255</v>
      </c>
      <c r="I157" s="584" t="n">
        <f aca="false">IFERROR(H157/(G157+H157),0)</f>
        <v>0.0156113944520463</v>
      </c>
      <c r="J157" s="584" t="s">
        <v>1434</v>
      </c>
      <c r="K157" s="584" t="s">
        <v>1434</v>
      </c>
      <c r="L157" s="584" t="s">
        <v>1434</v>
      </c>
      <c r="M157" s="0"/>
      <c r="N157" s="0"/>
      <c r="O157" s="586"/>
      <c r="P157" s="129"/>
      <c r="Q157" s="0"/>
      <c r="R157" s="0"/>
      <c r="AM157" s="279"/>
      <c r="AN157" s="279"/>
      <c r="AO157" s="279"/>
      <c r="AP157" s="279"/>
    </row>
    <row r="158" customFormat="false" ht="13.8" hidden="false" customHeight="false" outlineLevel="0" collapsed="false">
      <c r="B158" s="0"/>
      <c r="C158" s="0"/>
      <c r="D158" s="0"/>
      <c r="E158" s="569" t="s">
        <v>2387</v>
      </c>
      <c r="F158" s="570" t="s">
        <v>2393</v>
      </c>
      <c r="G158" s="576" t="n">
        <f aca="false">G105</f>
        <v>1182508</v>
      </c>
      <c r="H158" s="577" t="n">
        <f aca="false">SUM(H105)</f>
        <v>16084</v>
      </c>
      <c r="I158" s="578" t="n">
        <f aca="false">IFERROR(H158/(G158+H158),0)</f>
        <v>0.0134190783853054</v>
      </c>
      <c r="J158" s="579" t="n">
        <f aca="false">SUM(F100:F104)</f>
        <v>1219763</v>
      </c>
      <c r="K158" s="579" t="n">
        <f aca="false">SUM(K100:K104)</f>
        <v>19563</v>
      </c>
      <c r="L158" s="578" t="n">
        <f aca="false">IFERROR(K158/(J158+K158),0)</f>
        <v>0.0157851929193771</v>
      </c>
      <c r="M158" s="0"/>
      <c r="N158" s="0"/>
      <c r="O158" s="587"/>
      <c r="P158" s="129"/>
      <c r="Q158" s="0"/>
      <c r="R158" s="0"/>
      <c r="AM158" s="279"/>
      <c r="AN158" s="279"/>
      <c r="AO158" s="279"/>
      <c r="AP158" s="279"/>
    </row>
    <row r="159" customFormat="false" ht="13.8" hidden="false" customHeight="false" outlineLevel="0" collapsed="false">
      <c r="B159" s="0"/>
      <c r="C159" s="0"/>
      <c r="D159" s="0"/>
      <c r="E159" s="580" t="s">
        <v>2375</v>
      </c>
      <c r="F159" s="581" t="s">
        <v>2393</v>
      </c>
      <c r="G159" s="582" t="n">
        <f aca="false">G112</f>
        <v>321990</v>
      </c>
      <c r="H159" s="583" t="n">
        <f aca="false">SUM(H112:I112)</f>
        <v>0</v>
      </c>
      <c r="I159" s="584" t="n">
        <f aca="false">IFERROR(H159/(G159+H159),0)</f>
        <v>0</v>
      </c>
      <c r="J159" s="584" t="s">
        <v>1434</v>
      </c>
      <c r="K159" s="584" t="s">
        <v>1434</v>
      </c>
      <c r="L159" s="584" t="s">
        <v>1434</v>
      </c>
      <c r="M159" s="0"/>
      <c r="N159" s="0"/>
      <c r="O159" s="0"/>
      <c r="P159" s="129"/>
      <c r="Q159" s="0"/>
      <c r="R159" s="588"/>
      <c r="AM159" s="279"/>
      <c r="AN159" s="279"/>
      <c r="AO159" s="279"/>
      <c r="AP159" s="279"/>
    </row>
    <row r="160" customFormat="false" ht="13.8" hidden="false" customHeight="false" outlineLevel="0" collapsed="false">
      <c r="B160" s="0"/>
      <c r="C160" s="0"/>
      <c r="D160" s="0"/>
      <c r="E160" s="580" t="s">
        <v>52</v>
      </c>
      <c r="F160" s="581" t="s">
        <v>2393</v>
      </c>
      <c r="G160" s="582" t="n">
        <f aca="false">G119</f>
        <v>1084646</v>
      </c>
      <c r="H160" s="583" t="n">
        <f aca="false">SUM(H119:I119)</f>
        <v>230</v>
      </c>
      <c r="I160" s="584" t="n">
        <f aca="false">IFERROR(H160/(G160+H160),0)</f>
        <v>0.000212005796054111</v>
      </c>
      <c r="J160" s="584" t="s">
        <v>1434</v>
      </c>
      <c r="K160" s="584" t="s">
        <v>1434</v>
      </c>
      <c r="L160" s="584" t="s">
        <v>1434</v>
      </c>
      <c r="M160" s="0"/>
      <c r="N160" s="0"/>
      <c r="O160" s="0"/>
      <c r="P160" s="129"/>
      <c r="Q160" s="0"/>
      <c r="R160" s="588"/>
      <c r="AM160" s="279"/>
      <c r="AN160" s="279"/>
      <c r="AO160" s="279"/>
      <c r="AP160" s="279"/>
    </row>
    <row r="161" customFormat="false" ht="13.8" hidden="false" customHeight="false" outlineLevel="0" collapsed="false">
      <c r="B161" s="0"/>
      <c r="C161" s="0"/>
      <c r="D161" s="0"/>
      <c r="E161" s="580" t="s">
        <v>2508</v>
      </c>
      <c r="F161" s="581" t="s">
        <v>2393</v>
      </c>
      <c r="G161" s="582" t="n">
        <f aca="false">G126</f>
        <v>941103</v>
      </c>
      <c r="H161" s="583" t="n">
        <f aca="false">SUM(H126:K126)</f>
        <v>31</v>
      </c>
      <c r="I161" s="584" t="n">
        <f aca="false">IFERROR(H161/(G161+H161),0)</f>
        <v>3.293898637176E-005</v>
      </c>
      <c r="J161" s="584" t="s">
        <v>1434</v>
      </c>
      <c r="K161" s="584" t="s">
        <v>1434</v>
      </c>
      <c r="L161" s="584" t="s">
        <v>1434</v>
      </c>
      <c r="M161" s="0"/>
      <c r="N161" s="0"/>
      <c r="O161" s="0"/>
      <c r="P161" s="129"/>
      <c r="Q161" s="0"/>
      <c r="R161" s="588"/>
      <c r="AM161" s="279"/>
      <c r="AN161" s="279"/>
      <c r="AO161" s="279"/>
      <c r="AP161" s="279"/>
    </row>
    <row r="162" customFormat="false" ht="13.8" hidden="false" customHeight="false" outlineLevel="0" collapsed="false">
      <c r="B162" s="0"/>
      <c r="C162" s="0"/>
      <c r="D162" s="0"/>
      <c r="E162" s="580" t="s">
        <v>2509</v>
      </c>
      <c r="F162" s="581" t="s">
        <v>2393</v>
      </c>
      <c r="G162" s="582" t="n">
        <f aca="false">G133</f>
        <v>1055247</v>
      </c>
      <c r="H162" s="583" t="n">
        <f aca="false">SUM(H133:I133)</f>
        <v>7049</v>
      </c>
      <c r="I162" s="584" t="n">
        <f aca="false">IFERROR(H162/(G162+H162),0)</f>
        <v>0.00663562698155693</v>
      </c>
      <c r="J162" s="584" t="s">
        <v>1434</v>
      </c>
      <c r="K162" s="584" t="s">
        <v>1434</v>
      </c>
      <c r="L162" s="584" t="s">
        <v>1434</v>
      </c>
      <c r="M162" s="0"/>
      <c r="N162" s="0"/>
      <c r="O162" s="0"/>
      <c r="P162" s="129"/>
      <c r="Q162" s="0" t="s">
        <v>58</v>
      </c>
      <c r="R162" s="588"/>
      <c r="AM162" s="279"/>
      <c r="AN162" s="279"/>
      <c r="AO162" s="279"/>
      <c r="AP162" s="279"/>
    </row>
    <row r="163" customFormat="false" ht="13.8" hidden="false" customHeight="false" outlineLevel="0" collapsed="false">
      <c r="B163" s="0"/>
      <c r="C163" s="0"/>
      <c r="D163" s="0"/>
      <c r="E163" s="589" t="s">
        <v>2389</v>
      </c>
      <c r="F163" s="590" t="s">
        <v>2393</v>
      </c>
      <c r="G163" s="591" t="n">
        <f aca="false">G140</f>
        <v>643816</v>
      </c>
      <c r="H163" s="592" t="n">
        <f aca="false">SUM(H140:I140)</f>
        <v>396</v>
      </c>
      <c r="I163" s="593" t="n">
        <f aca="false">IFERROR(H163/(G163+H163),0)</f>
        <v>0.000614704476166231</v>
      </c>
      <c r="J163" s="593" t="s">
        <v>1434</v>
      </c>
      <c r="K163" s="593" t="s">
        <v>1434</v>
      </c>
      <c r="L163" s="593" t="s">
        <v>1434</v>
      </c>
      <c r="M163" s="0"/>
      <c r="N163" s="0"/>
      <c r="O163" s="0"/>
      <c r="P163" s="129"/>
      <c r="Q163" s="0"/>
      <c r="R163" s="588"/>
      <c r="AM163" s="279"/>
      <c r="AN163" s="279"/>
      <c r="AO163" s="279"/>
      <c r="AP163" s="279"/>
    </row>
    <row r="164" customFormat="false" ht="13.8" hidden="false" customHeight="false" outlineLevel="0" collapsed="false">
      <c r="B164" s="0"/>
      <c r="C164" s="0"/>
      <c r="D164" s="0"/>
      <c r="E164" s="569" t="s">
        <v>2424</v>
      </c>
      <c r="F164" s="594" t="s">
        <v>2392</v>
      </c>
      <c r="G164" s="576" t="n">
        <f aca="false">G3</f>
        <v>563933</v>
      </c>
      <c r="H164" s="577" t="n">
        <f aca="false">H3</f>
        <v>1471</v>
      </c>
      <c r="I164" s="595" t="n">
        <f aca="false">IFERROR(H164/(G164+H164),0)</f>
        <v>0.00260167950704275</v>
      </c>
      <c r="J164" s="596" t="n">
        <f aca="false">F3</f>
        <v>568076</v>
      </c>
      <c r="K164" s="579" t="n">
        <f aca="false">K3</f>
        <v>2068</v>
      </c>
      <c r="L164" s="578" t="n">
        <f aca="false">IFERROR(K164/(J164+K164),0)</f>
        <v>0.00362715384183645</v>
      </c>
      <c r="M164" s="0"/>
      <c r="N164" s="0"/>
      <c r="O164" s="0"/>
      <c r="P164" s="129"/>
      <c r="Q164" s="0"/>
      <c r="R164" s="588"/>
      <c r="AM164" s="279"/>
      <c r="AN164" s="279"/>
      <c r="AO164" s="279"/>
      <c r="AP164" s="279"/>
    </row>
    <row r="165" customFormat="false" ht="13.8" hidden="false" customHeight="false" outlineLevel="0" collapsed="false">
      <c r="B165" s="0"/>
      <c r="C165" s="0"/>
      <c r="D165" s="0"/>
      <c r="E165" s="589" t="s">
        <v>2501</v>
      </c>
      <c r="F165" s="597" t="s">
        <v>2510</v>
      </c>
      <c r="G165" s="591" t="n">
        <f aca="false">G11</f>
        <v>488403</v>
      </c>
      <c r="H165" s="592" t="n">
        <f aca="false">H11</f>
        <v>526</v>
      </c>
      <c r="I165" s="598" t="n">
        <f aca="false">IFERROR(H165/(G165+H165),0)</f>
        <v>0.00107582082470052</v>
      </c>
      <c r="J165" s="599" t="n">
        <f aca="false">F11</f>
        <v>489657</v>
      </c>
      <c r="K165" s="600" t="n">
        <f aca="false">K11</f>
        <v>160</v>
      </c>
      <c r="L165" s="593" t="n">
        <f aca="false">IFERROR(K165/(J165+K165),0)</f>
        <v>0.000326652606994041</v>
      </c>
      <c r="M165" s="0"/>
      <c r="N165" s="0"/>
      <c r="O165" s="0"/>
      <c r="P165" s="129"/>
      <c r="Q165" s="0"/>
      <c r="R165" s="588"/>
      <c r="AM165" s="279"/>
      <c r="AN165" s="279"/>
      <c r="AO165" s="279"/>
      <c r="AP165" s="279"/>
    </row>
    <row r="166" customFormat="false" ht="13.8" hidden="false" customHeight="false" outlineLevel="0" collapsed="false">
      <c r="B166" s="0"/>
      <c r="C166" s="0"/>
      <c r="D166" s="0"/>
      <c r="E166" s="0"/>
      <c r="F166" s="0"/>
      <c r="G166" s="0"/>
      <c r="H166" s="0"/>
      <c r="I166" s="0"/>
      <c r="J166" s="0"/>
      <c r="K166" s="0"/>
      <c r="L166" s="0"/>
      <c r="M166" s="0"/>
      <c r="N166" s="0"/>
      <c r="O166" s="0"/>
      <c r="P166" s="129"/>
      <c r="Q166" s="0"/>
      <c r="R166" s="588"/>
      <c r="AM166" s="279"/>
      <c r="AN166" s="279"/>
      <c r="AO166" s="279"/>
      <c r="AP166" s="279"/>
    </row>
    <row r="167" customFormat="false" ht="24.45" hidden="false" customHeight="false" outlineLevel="0" collapsed="false">
      <c r="B167" s="281"/>
      <c r="C167" s="281"/>
      <c r="D167" s="281"/>
      <c r="E167" s="281" t="s">
        <v>2511</v>
      </c>
      <c r="F167" s="547"/>
      <c r="G167" s="588"/>
      <c r="H167" s="588"/>
      <c r="I167" s="588"/>
      <c r="J167" s="588"/>
      <c r="K167" s="588"/>
      <c r="L167" s="588"/>
      <c r="M167" s="588"/>
      <c r="N167" s="588"/>
      <c r="O167" s="588"/>
      <c r="P167" s="588"/>
      <c r="Q167" s="588"/>
      <c r="R167" s="588"/>
      <c r="AM167" s="279"/>
      <c r="AN167" s="279"/>
      <c r="AO167" s="279"/>
      <c r="AP167" s="279"/>
    </row>
    <row r="168" customFormat="false" ht="13.8" hidden="false" customHeight="false" outlineLevel="0" collapsed="false">
      <c r="B168" s="129"/>
      <c r="C168" s="129"/>
      <c r="D168" s="129"/>
      <c r="E168" s="601"/>
      <c r="F168" s="602" t="s">
        <v>2512</v>
      </c>
      <c r="G168" s="603"/>
      <c r="H168" s="602" t="s">
        <v>2513</v>
      </c>
      <c r="I168" s="603"/>
      <c r="J168" s="604" t="s">
        <v>2514</v>
      </c>
      <c r="K168" s="605"/>
      <c r="L168" s="572"/>
      <c r="M168" s="588"/>
      <c r="N168" s="588"/>
      <c r="O168" s="588"/>
      <c r="P168" s="588"/>
      <c r="Q168" s="588"/>
      <c r="R168" s="588"/>
      <c r="AM168" s="279"/>
      <c r="AN168" s="279"/>
      <c r="AO168" s="279"/>
      <c r="AP168" s="279"/>
    </row>
    <row r="169" customFormat="false" ht="57.45" hidden="false" customHeight="false" outlineLevel="0" collapsed="false">
      <c r="B169" s="129"/>
      <c r="C169" s="129"/>
      <c r="D169" s="129"/>
      <c r="E169" s="606" t="s">
        <v>2515</v>
      </c>
      <c r="F169" s="607" t="s">
        <v>2516</v>
      </c>
      <c r="G169" s="608" t="s">
        <v>2517</v>
      </c>
      <c r="H169" s="607" t="s">
        <v>2516</v>
      </c>
      <c r="I169" s="608" t="s">
        <v>2517</v>
      </c>
      <c r="J169" s="609" t="s">
        <v>2518</v>
      </c>
      <c r="K169" s="610" t="s">
        <v>2519</v>
      </c>
      <c r="L169" s="606" t="s">
        <v>2520</v>
      </c>
      <c r="M169" s="588"/>
      <c r="N169" s="588"/>
      <c r="O169" s="588"/>
      <c r="P169" s="588"/>
      <c r="Q169" s="611"/>
      <c r="R169" s="279"/>
      <c r="AM169" s="279"/>
      <c r="AN169" s="279"/>
      <c r="AO169" s="279"/>
      <c r="AY169" s="276"/>
      <c r="IZ169" s="0"/>
    </row>
    <row r="170" customFormat="false" ht="13.8" hidden="false" customHeight="false" outlineLevel="0" collapsed="false">
      <c r="B170" s="129"/>
      <c r="C170" s="129"/>
      <c r="D170" s="129"/>
      <c r="E170" s="612" t="s">
        <v>2521</v>
      </c>
      <c r="F170" s="613" t="n">
        <f aca="false">T105</f>
        <v>8041.0544</v>
      </c>
      <c r="G170" s="614" t="e">
        <f aca="false">R105</f>
        <v>#NAME?</v>
      </c>
      <c r="H170" s="613" t="n">
        <f aca="false">T105</f>
        <v>8041.0544</v>
      </c>
      <c r="I170" s="615" t="e">
        <f aca="false">R105+R112+R119+R133+R140+R126</f>
        <v>#NAME?</v>
      </c>
      <c r="J170" s="616" t="n">
        <f aca="false">IFERROR(F170/G170,0)</f>
        <v>0</v>
      </c>
      <c r="K170" s="617" t="n">
        <f aca="false">IFERROR(H170/I170,0)</f>
        <v>0</v>
      </c>
      <c r="L170" s="618" t="n">
        <v>0.97</v>
      </c>
      <c r="M170" s="588"/>
      <c r="N170" s="588"/>
      <c r="O170" s="588"/>
      <c r="P170" s="588"/>
      <c r="Q170" s="619"/>
      <c r="R170" s="279"/>
      <c r="AL170" s="280"/>
      <c r="AY170" s="276"/>
      <c r="IZ170" s="0"/>
    </row>
    <row r="171" customFormat="false" ht="13.8" hidden="false" customHeight="false" outlineLevel="0" collapsed="false">
      <c r="B171" s="129"/>
      <c r="C171" s="129"/>
      <c r="D171" s="129"/>
      <c r="E171" s="620" t="s">
        <v>2522</v>
      </c>
      <c r="F171" s="621" t="n">
        <f aca="false">U3</f>
        <v>4849.8238</v>
      </c>
      <c r="G171" s="622" t="n">
        <f aca="false">R3</f>
        <v>4890.7036</v>
      </c>
      <c r="H171" s="623" t="s">
        <v>1434</v>
      </c>
      <c r="I171" s="624" t="s">
        <v>1434</v>
      </c>
      <c r="J171" s="625" t="n">
        <f aca="false">IFERROR(F171/G171,0)</f>
        <v>0.9916413253913</v>
      </c>
      <c r="K171" s="626" t="n">
        <f aca="false">IFERROR(H171/I171,0)</f>
        <v>0</v>
      </c>
      <c r="L171" s="627" t="n">
        <v>0.95</v>
      </c>
      <c r="M171" s="588"/>
      <c r="N171" s="588"/>
      <c r="O171" s="588"/>
      <c r="P171" s="588"/>
      <c r="Q171" s="628"/>
      <c r="R171" s="279"/>
      <c r="AL171" s="280"/>
      <c r="AY171" s="276"/>
      <c r="IZ171" s="0"/>
    </row>
    <row r="172" customFormat="false" ht="13.8" hidden="false" customHeight="false" outlineLevel="0" collapsed="false">
      <c r="B172" s="129"/>
      <c r="C172" s="129"/>
      <c r="D172" s="129"/>
      <c r="E172" s="620" t="s">
        <v>2523</v>
      </c>
      <c r="F172" s="621" t="n">
        <f aca="false">V19</f>
        <v>13156.656</v>
      </c>
      <c r="G172" s="622" t="n">
        <f aca="false">W19</f>
        <v>13676.0483</v>
      </c>
      <c r="H172" s="621" t="n">
        <f aca="false">F172</f>
        <v>13156.656</v>
      </c>
      <c r="I172" s="629" t="n">
        <f aca="false">W19+U49</f>
        <v>13774.487</v>
      </c>
      <c r="J172" s="625" t="n">
        <f aca="false">IFERROR(F172/G172,0)</f>
        <v>0.962021755948317</v>
      </c>
      <c r="K172" s="626" t="n">
        <f aca="false">IFERROR(H172/I172,0)</f>
        <v>0.955146714356767</v>
      </c>
      <c r="L172" s="627" t="n">
        <v>0.95</v>
      </c>
      <c r="M172" s="588"/>
      <c r="N172" s="588"/>
      <c r="O172" s="588"/>
      <c r="P172" s="588"/>
      <c r="Q172" s="628"/>
      <c r="R172" s="279"/>
      <c r="AL172" s="280"/>
      <c r="AY172" s="276"/>
      <c r="IZ172" s="0"/>
    </row>
    <row r="173" customFormat="false" ht="13.8" hidden="false" customHeight="false" outlineLevel="0" collapsed="false">
      <c r="B173" s="129"/>
      <c r="C173" s="129"/>
      <c r="D173" s="129"/>
      <c r="E173" s="630" t="s">
        <v>77</v>
      </c>
      <c r="F173" s="631" t="n">
        <f aca="false">V30</f>
        <v>2366.9909</v>
      </c>
      <c r="G173" s="632" t="n">
        <f aca="false">W30</f>
        <v>2539.8954</v>
      </c>
      <c r="H173" s="631" t="n">
        <f aca="false">V30</f>
        <v>2366.9909</v>
      </c>
      <c r="I173" s="633" t="n">
        <f aca="false">W30+U97</f>
        <v>2575.9254</v>
      </c>
      <c r="J173" s="634" t="n">
        <f aca="false">IFERROR(F173/G173,0)</f>
        <v>0.931924558783011</v>
      </c>
      <c r="K173" s="635" t="n">
        <f aca="false">IFERROR(H173/I173,0)</f>
        <v>0.918889537717202</v>
      </c>
      <c r="L173" s="636" t="n">
        <v>0.93</v>
      </c>
      <c r="M173" s="588"/>
      <c r="N173" s="588"/>
      <c r="O173" s="588"/>
      <c r="P173" s="588"/>
      <c r="Q173" s="637"/>
      <c r="R173" s="279"/>
      <c r="AL173" s="280"/>
      <c r="AY173" s="276"/>
      <c r="IZ173" s="0"/>
    </row>
    <row r="174" customFormat="false" ht="13.8" hidden="false" customHeight="false" outlineLevel="0" collapsed="false">
      <c r="B174" s="129"/>
      <c r="C174" s="129"/>
      <c r="D174" s="129"/>
      <c r="E174" s="547"/>
      <c r="F174" s="547"/>
      <c r="G174" s="588"/>
      <c r="H174" s="588"/>
      <c r="I174" s="638"/>
      <c r="J174" s="588"/>
      <c r="K174" s="588"/>
      <c r="L174" s="588"/>
      <c r="M174" s="588"/>
      <c r="N174" s="588"/>
      <c r="O174" s="588"/>
      <c r="P174" s="588"/>
      <c r="Q174" s="588"/>
      <c r="R174" s="637"/>
      <c r="S174" s="639"/>
    </row>
    <row r="175" customFormat="false" ht="13.8" hidden="false" customHeight="false" outlineLevel="0" collapsed="false">
      <c r="B175" s="640"/>
      <c r="C175" s="640"/>
      <c r="D175" s="640"/>
      <c r="E175" s="588"/>
      <c r="F175" s="588"/>
      <c r="G175" s="588"/>
      <c r="H175" s="588"/>
      <c r="I175" s="588"/>
      <c r="J175" s="588"/>
      <c r="K175" s="588"/>
      <c r="L175" s="588"/>
      <c r="M175" s="588"/>
      <c r="N175" s="588"/>
      <c r="O175" s="588"/>
      <c r="P175" s="588"/>
      <c r="Q175" s="588"/>
      <c r="R175" s="588"/>
    </row>
    <row r="176" customFormat="false" ht="24.45" hidden="false" customHeight="false" outlineLevel="0" collapsed="false">
      <c r="B176" s="281"/>
      <c r="C176" s="640"/>
      <c r="D176" s="640"/>
      <c r="E176" s="281" t="s">
        <v>2524</v>
      </c>
      <c r="F176" s="588"/>
      <c r="G176" s="588"/>
      <c r="H176" s="588"/>
      <c r="I176" s="588"/>
      <c r="J176" s="588"/>
      <c r="K176" s="588"/>
      <c r="L176" s="588"/>
      <c r="M176" s="588"/>
      <c r="N176" s="588"/>
      <c r="O176" s="588"/>
      <c r="P176" s="588"/>
      <c r="Q176" s="588"/>
      <c r="R176" s="588"/>
    </row>
    <row r="177" customFormat="false" ht="35.05" hidden="false" customHeight="false" outlineLevel="0" collapsed="false">
      <c r="B177" s="640"/>
      <c r="C177" s="640"/>
      <c r="D177" s="640"/>
      <c r="E177" s="641" t="s">
        <v>2515</v>
      </c>
      <c r="F177" s="642" t="s">
        <v>2525</v>
      </c>
      <c r="G177" s="643" t="str">
        <f aca="false">H169</f>
        <v>material consumed in OK qty</v>
      </c>
      <c r="H177" s="644" t="s">
        <v>2526</v>
      </c>
      <c r="I177" s="645" t="s">
        <v>2527</v>
      </c>
      <c r="J177" s="588"/>
      <c r="K177" s="588"/>
      <c r="L177" s="588"/>
      <c r="M177" s="588"/>
      <c r="N177" s="588"/>
      <c r="O177" s="588"/>
      <c r="P177" s="588"/>
      <c r="Q177" s="588"/>
      <c r="R177" s="588"/>
    </row>
    <row r="178" customFormat="false" ht="14.9" hidden="false" customHeight="false" outlineLevel="0" collapsed="false">
      <c r="B178" s="640"/>
      <c r="C178" s="640"/>
      <c r="D178" s="640"/>
      <c r="E178" s="646" t="s">
        <v>2521</v>
      </c>
      <c r="F178" s="647" t="e">
        <f aca="false">I170</f>
        <v>#NAME?</v>
      </c>
      <c r="G178" s="648" t="n">
        <f aca="false">H170</f>
        <v>8041.0544</v>
      </c>
      <c r="H178" s="649" t="e">
        <f aca="false">F178-G178</f>
        <v>#NAME?</v>
      </c>
      <c r="I178" s="650" t="e">
        <f aca="false">H178/F178</f>
        <v>#NAME?</v>
      </c>
      <c r="J178" s="588"/>
      <c r="K178" s="588"/>
      <c r="L178" s="588"/>
      <c r="M178" s="588"/>
      <c r="N178" s="588"/>
      <c r="O178" s="588"/>
      <c r="P178" s="588"/>
      <c r="Q178" s="588"/>
      <c r="R178" s="588"/>
    </row>
    <row r="179" customFormat="false" ht="14.9" hidden="false" customHeight="false" outlineLevel="0" collapsed="false">
      <c r="B179" s="640"/>
      <c r="C179" s="640"/>
      <c r="D179" s="640"/>
      <c r="E179" s="651" t="s">
        <v>83</v>
      </c>
      <c r="F179" s="652" t="n">
        <f aca="false">I172</f>
        <v>13774.487</v>
      </c>
      <c r="G179" s="653" t="n">
        <f aca="false">H172</f>
        <v>13156.656</v>
      </c>
      <c r="H179" s="654" t="n">
        <f aca="false">F179-G179</f>
        <v>617.831000000002</v>
      </c>
      <c r="I179" s="655" t="n">
        <f aca="false">H179/F179</f>
        <v>0.0448532856432332</v>
      </c>
      <c r="J179" s="588"/>
      <c r="K179" s="588"/>
      <c r="L179" s="588"/>
      <c r="M179" s="588"/>
      <c r="N179" s="588"/>
      <c r="O179" s="588"/>
      <c r="P179" s="588"/>
      <c r="Q179" s="588"/>
      <c r="R179" s="588"/>
    </row>
    <row r="180" customFormat="false" ht="14.9" hidden="false" customHeight="false" outlineLevel="0" collapsed="false">
      <c r="B180" s="640"/>
      <c r="C180" s="640"/>
      <c r="D180" s="640"/>
      <c r="E180" s="656" t="s">
        <v>77</v>
      </c>
      <c r="F180" s="657" t="n">
        <f aca="false">I173</f>
        <v>2575.9254</v>
      </c>
      <c r="G180" s="658" t="n">
        <f aca="false">H173</f>
        <v>2366.9909</v>
      </c>
      <c r="H180" s="659" t="n">
        <f aca="false">F180-G180</f>
        <v>208.934500000001</v>
      </c>
      <c r="I180" s="660" t="n">
        <f aca="false">H180/F180</f>
        <v>0.0811104622827978</v>
      </c>
      <c r="J180" s="588"/>
      <c r="K180" s="588"/>
      <c r="L180" s="588"/>
      <c r="M180" s="588"/>
      <c r="N180" s="588"/>
      <c r="O180" s="588"/>
      <c r="P180" s="588"/>
      <c r="Q180" s="588"/>
      <c r="R180" s="588"/>
    </row>
    <row r="181" customFormat="false" ht="13.8" hidden="false" customHeight="false" outlineLevel="0" collapsed="false">
      <c r="B181" s="640"/>
      <c r="C181" s="640"/>
      <c r="D181" s="640"/>
      <c r="E181" s="661" t="s">
        <v>9</v>
      </c>
      <c r="F181" s="662" t="e">
        <f aca="false">SUM(F178:F180)</f>
        <v>#NAME?</v>
      </c>
      <c r="G181" s="663" t="n">
        <f aca="false">SUM(G178:G180)</f>
        <v>23564.7013</v>
      </c>
      <c r="H181" s="664" t="e">
        <f aca="false">SUM(H178:H180)</f>
        <v>#NAME?</v>
      </c>
      <c r="I181" s="665" t="e">
        <f aca="false">H181/F181</f>
        <v>#NAME?</v>
      </c>
      <c r="J181" s="588"/>
      <c r="K181" s="588"/>
      <c r="L181" s="588"/>
      <c r="M181" s="588"/>
      <c r="N181" s="588"/>
      <c r="O181" s="588"/>
      <c r="P181" s="588"/>
      <c r="Q181" s="588"/>
      <c r="R181" s="588"/>
    </row>
    <row r="182" customFormat="false" ht="13.8" hidden="false" customHeight="false" outlineLevel="0" collapsed="false">
      <c r="B182" s="640"/>
      <c r="C182" s="640"/>
      <c r="D182" s="640"/>
      <c r="E182" s="588"/>
      <c r="F182" s="588"/>
      <c r="G182" s="588"/>
      <c r="H182" s="588"/>
      <c r="I182" s="588"/>
      <c r="J182" s="588"/>
      <c r="K182" s="588"/>
      <c r="L182" s="588"/>
      <c r="M182" s="588"/>
      <c r="N182" s="588"/>
      <c r="O182" s="588"/>
      <c r="P182" s="588"/>
      <c r="Q182" s="588"/>
      <c r="R182" s="588"/>
    </row>
    <row r="183" customFormat="false" ht="13.8" hidden="false" customHeight="false" outlineLevel="0" collapsed="false">
      <c r="B183" s="640"/>
      <c r="C183" s="640"/>
      <c r="D183" s="640"/>
      <c r="E183" s="588"/>
      <c r="F183" s="588"/>
      <c r="G183" s="588"/>
      <c r="H183" s="588"/>
      <c r="I183" s="588"/>
      <c r="J183" s="588"/>
      <c r="K183" s="588"/>
      <c r="L183" s="588"/>
      <c r="M183" s="588"/>
      <c r="N183" s="588"/>
      <c r="O183" s="588"/>
      <c r="P183" s="588"/>
      <c r="Q183" s="588"/>
      <c r="R183" s="588"/>
    </row>
    <row r="184" customFormat="false" ht="13.8" hidden="false" customHeight="false" outlineLevel="0" collapsed="false">
      <c r="B184" s="640"/>
      <c r="C184" s="640"/>
      <c r="D184" s="640"/>
      <c r="E184" s="588"/>
      <c r="F184" s="588"/>
      <c r="G184" s="588"/>
      <c r="H184" s="588"/>
      <c r="I184" s="588"/>
      <c r="J184" s="588"/>
      <c r="K184" s="588"/>
      <c r="L184" s="588"/>
      <c r="M184" s="588"/>
      <c r="N184" s="588"/>
      <c r="O184" s="588"/>
      <c r="P184" s="588"/>
      <c r="Q184" s="588"/>
      <c r="R184" s="588"/>
    </row>
    <row r="185" customFormat="false" ht="13.8" hidden="false" customHeight="false" outlineLevel="0" collapsed="false">
      <c r="B185" s="640"/>
      <c r="C185" s="640"/>
      <c r="D185" s="640"/>
      <c r="E185" s="588"/>
      <c r="F185" s="588"/>
      <c r="G185" s="588"/>
      <c r="H185" s="588"/>
      <c r="I185" s="588"/>
      <c r="J185" s="588"/>
      <c r="K185" s="588"/>
      <c r="L185" s="588"/>
      <c r="M185" s="588"/>
      <c r="N185" s="588"/>
      <c r="O185" s="588"/>
      <c r="P185" s="588"/>
      <c r="Q185" s="588"/>
      <c r="R185" s="588"/>
    </row>
    <row r="186" customFormat="false" ht="13.8" hidden="false" customHeight="false" outlineLevel="0" collapsed="false">
      <c r="B186" s="640"/>
      <c r="C186" s="640"/>
      <c r="D186" s="640"/>
      <c r="E186" s="588"/>
      <c r="F186" s="588"/>
      <c r="G186" s="588"/>
      <c r="H186" s="588"/>
      <c r="I186" s="588"/>
      <c r="J186" s="588"/>
      <c r="K186" s="588"/>
      <c r="L186" s="588"/>
      <c r="M186" s="588"/>
      <c r="N186" s="588"/>
      <c r="O186" s="588"/>
      <c r="P186" s="588"/>
      <c r="Q186" s="588"/>
      <c r="R186" s="588"/>
    </row>
    <row r="187" customFormat="false" ht="13.8" hidden="false" customHeight="false" outlineLevel="0" collapsed="false">
      <c r="B187" s="640"/>
      <c r="C187" s="640"/>
      <c r="D187" s="640"/>
      <c r="E187" s="588"/>
      <c r="F187" s="588"/>
      <c r="G187" s="588"/>
      <c r="H187" s="588"/>
      <c r="I187" s="588"/>
      <c r="J187" s="588"/>
      <c r="K187" s="588"/>
      <c r="L187" s="588"/>
      <c r="M187" s="588"/>
      <c r="N187" s="588"/>
      <c r="O187" s="588"/>
      <c r="P187" s="588"/>
      <c r="Q187" s="588"/>
      <c r="R187" s="588"/>
    </row>
    <row r="188" customFormat="false" ht="13.8" hidden="false" customHeight="false" outlineLevel="0" collapsed="false">
      <c r="B188" s="640"/>
      <c r="C188" s="640"/>
      <c r="D188" s="640"/>
      <c r="E188" s="588"/>
      <c r="F188" s="588"/>
      <c r="G188" s="588"/>
      <c r="H188" s="588"/>
      <c r="I188" s="588"/>
      <c r="J188" s="588"/>
      <c r="K188" s="588"/>
      <c r="L188" s="588"/>
      <c r="M188" s="588"/>
      <c r="N188" s="588"/>
      <c r="O188" s="588"/>
      <c r="P188" s="588"/>
      <c r="Q188" s="588"/>
      <c r="R188" s="588"/>
    </row>
    <row r="189" customFormat="false" ht="13.8" hidden="false" customHeight="false" outlineLevel="0" collapsed="false">
      <c r="B189" s="640"/>
      <c r="C189" s="640"/>
      <c r="D189" s="640"/>
      <c r="E189" s="588"/>
      <c r="F189" s="588"/>
      <c r="G189" s="588"/>
      <c r="H189" s="588"/>
      <c r="I189" s="588"/>
      <c r="J189" s="588"/>
      <c r="K189" s="588"/>
      <c r="L189" s="588"/>
      <c r="M189" s="588"/>
      <c r="N189" s="588"/>
      <c r="O189" s="588"/>
      <c r="P189" s="588"/>
      <c r="Q189" s="588"/>
      <c r="R189" s="588"/>
    </row>
    <row r="190" customFormat="false" ht="13.8" hidden="false" customHeight="false" outlineLevel="0" collapsed="false">
      <c r="B190" s="640"/>
      <c r="C190" s="640"/>
      <c r="D190" s="640"/>
      <c r="E190" s="588"/>
      <c r="F190" s="588"/>
      <c r="G190" s="588"/>
      <c r="H190" s="588"/>
      <c r="I190" s="588"/>
      <c r="J190" s="588"/>
      <c r="K190" s="588"/>
      <c r="L190" s="588"/>
      <c r="M190" s="588"/>
      <c r="N190" s="588"/>
      <c r="O190" s="588"/>
      <c r="P190" s="588"/>
      <c r="Q190" s="588"/>
      <c r="R190" s="588"/>
    </row>
    <row r="191" customFormat="false" ht="13.8" hidden="false" customHeight="false" outlineLevel="0" collapsed="false">
      <c r="B191" s="640"/>
      <c r="C191" s="640"/>
      <c r="D191" s="640"/>
      <c r="E191" s="588"/>
      <c r="F191" s="588"/>
      <c r="G191" s="588"/>
      <c r="H191" s="588"/>
      <c r="I191" s="588"/>
      <c r="J191" s="588"/>
      <c r="K191" s="588"/>
      <c r="L191" s="588"/>
      <c r="M191" s="588"/>
      <c r="N191" s="588"/>
      <c r="O191" s="588"/>
      <c r="P191" s="588"/>
      <c r="Q191" s="588"/>
      <c r="R191" s="588"/>
    </row>
    <row r="192" customFormat="false" ht="13.8" hidden="false" customHeight="false" outlineLevel="0" collapsed="false">
      <c r="B192" s="640"/>
      <c r="C192" s="640"/>
      <c r="D192" s="640"/>
      <c r="E192" s="588"/>
      <c r="F192" s="588"/>
      <c r="G192" s="588"/>
      <c r="H192" s="588"/>
      <c r="I192" s="588"/>
      <c r="J192" s="588"/>
      <c r="K192" s="588"/>
      <c r="L192" s="588"/>
      <c r="M192" s="588"/>
      <c r="N192" s="588"/>
      <c r="O192" s="588"/>
      <c r="P192" s="588"/>
      <c r="Q192" s="588"/>
      <c r="R192" s="588"/>
    </row>
    <row r="193" customFormat="false" ht="13.8" hidden="false" customHeight="false" outlineLevel="0" collapsed="false">
      <c r="B193" s="640"/>
      <c r="C193" s="640"/>
      <c r="D193" s="640"/>
      <c r="E193" s="588"/>
      <c r="F193" s="588"/>
      <c r="G193" s="588"/>
      <c r="H193" s="588"/>
      <c r="I193" s="588"/>
      <c r="J193" s="588"/>
      <c r="K193" s="588"/>
      <c r="L193" s="588"/>
      <c r="M193" s="588"/>
      <c r="N193" s="588"/>
      <c r="O193" s="588"/>
      <c r="P193" s="588"/>
      <c r="Q193" s="588"/>
      <c r="R193" s="588"/>
    </row>
    <row r="194" customFormat="false" ht="13.8" hidden="false" customHeight="false" outlineLevel="0" collapsed="false">
      <c r="B194" s="640"/>
      <c r="C194" s="640"/>
      <c r="D194" s="640"/>
      <c r="E194" s="588"/>
      <c r="F194" s="588"/>
      <c r="G194" s="588"/>
      <c r="H194" s="588"/>
      <c r="I194" s="588"/>
      <c r="J194" s="588"/>
      <c r="K194" s="588"/>
      <c r="L194" s="588"/>
      <c r="M194" s="588"/>
      <c r="N194" s="588"/>
      <c r="O194" s="588"/>
      <c r="P194" s="588"/>
      <c r="Q194" s="588"/>
      <c r="R194" s="588"/>
    </row>
    <row r="195" customFormat="false" ht="13.8" hidden="false" customHeight="false" outlineLevel="0" collapsed="false">
      <c r="B195" s="640"/>
      <c r="C195" s="640"/>
      <c r="D195" s="640"/>
      <c r="E195" s="588"/>
      <c r="F195" s="588"/>
      <c r="G195" s="588"/>
      <c r="H195" s="588"/>
      <c r="I195" s="588"/>
      <c r="J195" s="588"/>
      <c r="K195" s="588"/>
      <c r="L195" s="588"/>
      <c r="M195" s="588"/>
      <c r="N195" s="588"/>
      <c r="O195" s="588"/>
      <c r="P195" s="588"/>
      <c r="Q195" s="588"/>
      <c r="R195" s="588"/>
    </row>
    <row r="196" customFormat="false" ht="13.8" hidden="false" customHeight="false" outlineLevel="0" collapsed="false">
      <c r="B196" s="640"/>
      <c r="C196" s="640"/>
      <c r="D196" s="640"/>
      <c r="E196" s="588"/>
      <c r="F196" s="588"/>
      <c r="G196" s="588"/>
      <c r="H196" s="588"/>
      <c r="I196" s="588"/>
      <c r="J196" s="588"/>
      <c r="K196" s="588"/>
      <c r="L196" s="588"/>
      <c r="M196" s="588"/>
      <c r="N196" s="588"/>
      <c r="O196" s="588"/>
      <c r="P196" s="588"/>
      <c r="Q196" s="588"/>
      <c r="R196" s="588"/>
    </row>
    <row r="197" customFormat="false" ht="13.8" hidden="false" customHeight="false" outlineLevel="0" collapsed="false">
      <c r="B197" s="640"/>
      <c r="C197" s="640"/>
      <c r="D197" s="640"/>
      <c r="E197" s="588"/>
      <c r="F197" s="588"/>
      <c r="G197" s="588"/>
      <c r="H197" s="588"/>
      <c r="I197" s="588"/>
      <c r="J197" s="588"/>
      <c r="K197" s="588"/>
      <c r="L197" s="588"/>
      <c r="M197" s="588"/>
      <c r="N197" s="588"/>
      <c r="O197" s="588"/>
      <c r="P197" s="588"/>
      <c r="Q197" s="588"/>
      <c r="R197" s="588"/>
    </row>
    <row r="198" customFormat="false" ht="13.8" hidden="false" customHeight="false" outlineLevel="0" collapsed="false">
      <c r="B198" s="640"/>
      <c r="C198" s="640"/>
      <c r="D198" s="640"/>
      <c r="E198" s="588"/>
      <c r="F198" s="588"/>
      <c r="G198" s="588"/>
      <c r="H198" s="588"/>
      <c r="I198" s="588"/>
      <c r="J198" s="588"/>
      <c r="K198" s="588"/>
      <c r="L198" s="588"/>
      <c r="M198" s="588"/>
      <c r="N198" s="588"/>
      <c r="O198" s="588"/>
      <c r="P198" s="588"/>
      <c r="Q198" s="588"/>
      <c r="R198" s="588"/>
    </row>
    <row r="199" customFormat="false" ht="13.8" hidden="false" customHeight="false" outlineLevel="0" collapsed="false">
      <c r="B199" s="640"/>
      <c r="C199" s="640"/>
      <c r="D199" s="640"/>
      <c r="E199" s="588"/>
      <c r="F199" s="588"/>
      <c r="G199" s="588"/>
      <c r="H199" s="588"/>
      <c r="I199" s="588"/>
      <c r="J199" s="588"/>
      <c r="K199" s="588"/>
      <c r="L199" s="588"/>
      <c r="M199" s="588"/>
      <c r="N199" s="588"/>
      <c r="O199" s="588"/>
      <c r="P199" s="588"/>
      <c r="Q199" s="588"/>
      <c r="R199" s="588"/>
    </row>
    <row r="200" customFormat="false" ht="13.8" hidden="false" customHeight="false" outlineLevel="0" collapsed="false">
      <c r="B200" s="640"/>
      <c r="C200" s="640"/>
      <c r="D200" s="640"/>
      <c r="E200" s="588"/>
      <c r="F200" s="588"/>
      <c r="G200" s="588"/>
      <c r="H200" s="588"/>
      <c r="I200" s="588"/>
      <c r="J200" s="588"/>
      <c r="K200" s="588"/>
      <c r="L200" s="588"/>
      <c r="M200" s="588"/>
      <c r="N200" s="588"/>
      <c r="O200" s="588"/>
      <c r="P200" s="588"/>
      <c r="Q200" s="588"/>
      <c r="R200" s="588"/>
    </row>
    <row r="201" customFormat="false" ht="13.8" hidden="false" customHeight="false" outlineLevel="0" collapsed="false">
      <c r="B201" s="640"/>
      <c r="C201" s="640"/>
      <c r="D201" s="640"/>
      <c r="E201" s="588"/>
      <c r="F201" s="588"/>
      <c r="G201" s="588"/>
      <c r="H201" s="588"/>
      <c r="I201" s="588"/>
      <c r="J201" s="588"/>
      <c r="K201" s="588"/>
      <c r="L201" s="588"/>
      <c r="M201" s="588"/>
      <c r="N201" s="588"/>
      <c r="O201" s="588"/>
      <c r="P201" s="588"/>
      <c r="Q201" s="588"/>
      <c r="R201" s="588"/>
    </row>
    <row r="202" customFormat="false" ht="13.8" hidden="false" customHeight="false" outlineLevel="0" collapsed="false">
      <c r="B202" s="640"/>
      <c r="C202" s="640"/>
      <c r="D202" s="640"/>
      <c r="E202" s="588"/>
      <c r="F202" s="588"/>
      <c r="G202" s="588"/>
      <c r="H202" s="588"/>
      <c r="I202" s="588"/>
      <c r="J202" s="588"/>
      <c r="K202" s="588"/>
      <c r="L202" s="588"/>
      <c r="M202" s="588"/>
      <c r="N202" s="588"/>
      <c r="O202" s="588"/>
      <c r="P202" s="588"/>
      <c r="Q202" s="588"/>
      <c r="R202" s="588"/>
    </row>
    <row r="203" customFormat="false" ht="13.8" hidden="false" customHeight="false" outlineLevel="0" collapsed="false">
      <c r="B203" s="640"/>
      <c r="C203" s="640"/>
      <c r="D203" s="640"/>
      <c r="E203" s="588"/>
      <c r="F203" s="588"/>
      <c r="G203" s="588"/>
      <c r="H203" s="588"/>
      <c r="I203" s="588"/>
      <c r="J203" s="588"/>
      <c r="K203" s="588"/>
      <c r="L203" s="588"/>
      <c r="M203" s="588"/>
      <c r="N203" s="588"/>
      <c r="O203" s="588"/>
      <c r="P203" s="588"/>
      <c r="Q203" s="588"/>
      <c r="R203" s="588"/>
    </row>
    <row r="204" customFormat="false" ht="13.8" hidden="false" customHeight="false" outlineLevel="0" collapsed="false">
      <c r="B204" s="640"/>
      <c r="C204" s="640"/>
      <c r="D204" s="640"/>
      <c r="E204" s="588"/>
      <c r="F204" s="588"/>
      <c r="G204" s="588"/>
      <c r="H204" s="588"/>
      <c r="I204" s="588"/>
      <c r="J204" s="588"/>
      <c r="K204" s="588"/>
      <c r="L204" s="588"/>
      <c r="M204" s="588"/>
      <c r="N204" s="588"/>
      <c r="O204" s="588"/>
      <c r="P204" s="588"/>
      <c r="Q204" s="588"/>
      <c r="R204" s="588"/>
    </row>
    <row r="205" customFormat="false" ht="13.8" hidden="false" customHeight="false" outlineLevel="0" collapsed="false">
      <c r="B205" s="640"/>
      <c r="C205" s="640"/>
      <c r="D205" s="640"/>
      <c r="E205" s="588"/>
      <c r="F205" s="588"/>
      <c r="G205" s="588"/>
      <c r="H205" s="588"/>
      <c r="I205" s="588"/>
      <c r="J205" s="588"/>
      <c r="K205" s="588"/>
      <c r="L205" s="588"/>
      <c r="M205" s="588"/>
      <c r="N205" s="588"/>
      <c r="O205" s="588"/>
      <c r="P205" s="588"/>
      <c r="Q205" s="588"/>
      <c r="R205" s="588"/>
    </row>
    <row r="206" customFormat="false" ht="13.8" hidden="false" customHeight="false" outlineLevel="0" collapsed="false">
      <c r="B206" s="640"/>
      <c r="C206" s="640"/>
      <c r="D206" s="640"/>
      <c r="E206" s="588"/>
      <c r="F206" s="588"/>
      <c r="G206" s="588"/>
      <c r="H206" s="588"/>
      <c r="I206" s="588"/>
      <c r="J206" s="588"/>
      <c r="K206" s="588"/>
      <c r="L206" s="588"/>
      <c r="M206" s="588"/>
      <c r="N206" s="588"/>
      <c r="O206" s="588"/>
      <c r="P206" s="588"/>
      <c r="Q206" s="588"/>
      <c r="R206" s="588"/>
    </row>
    <row r="207" customFormat="false" ht="13.8" hidden="false" customHeight="false" outlineLevel="0" collapsed="false">
      <c r="B207" s="640"/>
      <c r="C207" s="640"/>
      <c r="D207" s="640"/>
      <c r="E207" s="588"/>
      <c r="F207" s="588"/>
      <c r="G207" s="588"/>
      <c r="H207" s="588"/>
      <c r="I207" s="588"/>
      <c r="J207" s="588"/>
      <c r="K207" s="588"/>
      <c r="L207" s="588"/>
      <c r="M207" s="588"/>
      <c r="N207" s="588"/>
      <c r="O207" s="588"/>
      <c r="P207" s="588"/>
      <c r="Q207" s="588"/>
      <c r="R207" s="588"/>
    </row>
    <row r="208" customFormat="false" ht="13.8" hidden="false" customHeight="false" outlineLevel="0" collapsed="false">
      <c r="B208" s="640"/>
      <c r="C208" s="640"/>
      <c r="D208" s="640"/>
      <c r="E208" s="588"/>
      <c r="F208" s="588"/>
      <c r="G208" s="588"/>
      <c r="H208" s="588"/>
      <c r="I208" s="588"/>
      <c r="J208" s="588"/>
      <c r="K208" s="588"/>
      <c r="L208" s="588"/>
      <c r="M208" s="588"/>
      <c r="N208" s="588"/>
      <c r="O208" s="588"/>
      <c r="P208" s="588"/>
      <c r="Q208" s="588"/>
      <c r="R208" s="588"/>
    </row>
    <row r="209" customFormat="false" ht="13.8" hidden="false" customHeight="false" outlineLevel="0" collapsed="false">
      <c r="B209" s="640"/>
      <c r="C209" s="640"/>
      <c r="D209" s="640"/>
      <c r="E209" s="588"/>
      <c r="F209" s="588"/>
      <c r="G209" s="588"/>
      <c r="H209" s="588"/>
      <c r="I209" s="588"/>
      <c r="J209" s="588"/>
      <c r="K209" s="588"/>
      <c r="L209" s="588"/>
      <c r="M209" s="588"/>
      <c r="N209" s="588"/>
      <c r="O209" s="588"/>
      <c r="P209" s="588"/>
      <c r="Q209" s="588"/>
      <c r="R209" s="588"/>
    </row>
    <row r="210" customFormat="false" ht="13.8" hidden="false" customHeight="false" outlineLevel="0" collapsed="false">
      <c r="B210" s="640"/>
      <c r="C210" s="640"/>
      <c r="D210" s="640"/>
      <c r="E210" s="588"/>
      <c r="F210" s="588"/>
      <c r="G210" s="588"/>
      <c r="H210" s="588"/>
      <c r="I210" s="588"/>
      <c r="J210" s="588"/>
      <c r="K210" s="588"/>
      <c r="L210" s="588"/>
      <c r="M210" s="588"/>
      <c r="N210" s="588"/>
      <c r="O210" s="588"/>
      <c r="P210" s="588"/>
      <c r="Q210" s="588"/>
      <c r="R210" s="588"/>
    </row>
    <row r="211" customFormat="false" ht="13.8" hidden="false" customHeight="false" outlineLevel="0" collapsed="false">
      <c r="B211" s="640"/>
      <c r="C211" s="640"/>
      <c r="D211" s="640"/>
      <c r="E211" s="588"/>
      <c r="F211" s="588"/>
      <c r="G211" s="588"/>
      <c r="H211" s="588"/>
      <c r="I211" s="588"/>
      <c r="J211" s="588"/>
      <c r="K211" s="588"/>
      <c r="L211" s="588"/>
      <c r="M211" s="588"/>
      <c r="N211" s="588"/>
      <c r="O211" s="588"/>
      <c r="P211" s="588"/>
      <c r="Q211" s="588"/>
      <c r="R211" s="588"/>
    </row>
    <row r="212" customFormat="false" ht="13.8" hidden="false" customHeight="false" outlineLevel="0" collapsed="false">
      <c r="B212" s="640"/>
      <c r="C212" s="640"/>
      <c r="D212" s="640"/>
      <c r="E212" s="588"/>
      <c r="F212" s="588"/>
      <c r="G212" s="588"/>
      <c r="H212" s="588"/>
      <c r="I212" s="588"/>
      <c r="J212" s="588"/>
      <c r="K212" s="588"/>
      <c r="L212" s="588"/>
      <c r="M212" s="588"/>
      <c r="N212" s="588"/>
      <c r="O212" s="588"/>
      <c r="P212" s="588"/>
      <c r="Q212" s="588"/>
      <c r="R212" s="588"/>
    </row>
    <row r="213" customFormat="false" ht="13.8" hidden="false" customHeight="false" outlineLevel="0" collapsed="false">
      <c r="B213" s="640"/>
      <c r="C213" s="640"/>
      <c r="D213" s="640"/>
      <c r="E213" s="588"/>
      <c r="F213" s="588"/>
      <c r="G213" s="588"/>
      <c r="H213" s="588"/>
      <c r="I213" s="588"/>
      <c r="J213" s="588"/>
      <c r="K213" s="588"/>
      <c r="L213" s="588"/>
      <c r="M213" s="588"/>
      <c r="N213" s="588"/>
      <c r="O213" s="588"/>
      <c r="P213" s="588"/>
      <c r="Q213" s="588"/>
      <c r="R213" s="588"/>
    </row>
    <row r="214" customFormat="false" ht="13.8" hidden="false" customHeight="false" outlineLevel="0" collapsed="false">
      <c r="B214" s="640"/>
      <c r="C214" s="640"/>
      <c r="D214" s="640"/>
      <c r="E214" s="588"/>
      <c r="F214" s="588"/>
      <c r="G214" s="588"/>
      <c r="H214" s="588"/>
      <c r="I214" s="588"/>
      <c r="J214" s="588"/>
      <c r="K214" s="588"/>
      <c r="L214" s="588"/>
      <c r="M214" s="588"/>
      <c r="N214" s="588"/>
      <c r="O214" s="588"/>
      <c r="P214" s="588"/>
      <c r="Q214" s="588"/>
      <c r="R214" s="588"/>
    </row>
    <row r="215" customFormat="false" ht="13.8" hidden="false" customHeight="false" outlineLevel="0" collapsed="false">
      <c r="B215" s="640"/>
      <c r="C215" s="640"/>
      <c r="D215" s="640"/>
      <c r="E215" s="588"/>
      <c r="F215" s="588"/>
      <c r="G215" s="588"/>
      <c r="H215" s="588"/>
      <c r="I215" s="588"/>
      <c r="J215" s="588"/>
      <c r="K215" s="588"/>
      <c r="L215" s="588"/>
      <c r="M215" s="588"/>
      <c r="N215" s="588"/>
      <c r="O215" s="588"/>
      <c r="P215" s="588"/>
      <c r="Q215" s="588"/>
      <c r="R215" s="588"/>
    </row>
    <row r="216" customFormat="false" ht="13.8" hidden="false" customHeight="false" outlineLevel="0" collapsed="false">
      <c r="B216" s="640"/>
      <c r="C216" s="640"/>
      <c r="D216" s="640"/>
      <c r="E216" s="588"/>
      <c r="F216" s="588"/>
      <c r="G216" s="588"/>
      <c r="H216" s="588"/>
      <c r="I216" s="588"/>
      <c r="J216" s="588"/>
      <c r="K216" s="588"/>
      <c r="L216" s="588"/>
      <c r="M216" s="588"/>
      <c r="N216" s="588"/>
      <c r="O216" s="588"/>
      <c r="P216" s="588"/>
      <c r="Q216" s="588"/>
      <c r="R216" s="588"/>
    </row>
    <row r="217" customFormat="false" ht="13.8" hidden="false" customHeight="false" outlineLevel="0" collapsed="false">
      <c r="B217" s="640"/>
      <c r="C217" s="640"/>
      <c r="D217" s="640"/>
      <c r="E217" s="588"/>
      <c r="F217" s="588"/>
      <c r="G217" s="588"/>
      <c r="H217" s="588"/>
      <c r="I217" s="588"/>
      <c r="J217" s="588"/>
      <c r="K217" s="588"/>
      <c r="L217" s="588"/>
      <c r="M217" s="588"/>
      <c r="N217" s="588"/>
      <c r="O217" s="588"/>
      <c r="P217" s="588"/>
      <c r="Q217" s="588"/>
      <c r="R217" s="588"/>
    </row>
    <row r="218" customFormat="false" ht="13.8" hidden="false" customHeight="false" outlineLevel="0" collapsed="false">
      <c r="B218" s="640"/>
      <c r="C218" s="640"/>
      <c r="D218" s="640"/>
      <c r="E218" s="588"/>
      <c r="F218" s="588"/>
      <c r="G218" s="588"/>
      <c r="H218" s="588"/>
      <c r="I218" s="588"/>
      <c r="J218" s="588"/>
      <c r="K218" s="588"/>
      <c r="L218" s="588"/>
      <c r="M218" s="588"/>
      <c r="N218" s="588"/>
      <c r="O218" s="588"/>
      <c r="P218" s="588"/>
      <c r="Q218" s="588"/>
      <c r="R218" s="588"/>
    </row>
    <row r="219" customFormat="false" ht="13.8" hidden="false" customHeight="false" outlineLevel="0" collapsed="false">
      <c r="B219" s="640"/>
      <c r="C219" s="640"/>
      <c r="D219" s="640"/>
      <c r="E219" s="588"/>
      <c r="F219" s="588"/>
      <c r="G219" s="588"/>
      <c r="H219" s="588"/>
      <c r="I219" s="588"/>
      <c r="J219" s="588"/>
      <c r="K219" s="588"/>
      <c r="L219" s="588"/>
      <c r="M219" s="588"/>
      <c r="N219" s="588"/>
      <c r="O219" s="588"/>
      <c r="P219" s="588"/>
      <c r="Q219" s="588"/>
      <c r="R219" s="588"/>
    </row>
    <row r="220" customFormat="false" ht="13.8" hidden="false" customHeight="false" outlineLevel="0" collapsed="false">
      <c r="B220" s="640"/>
      <c r="C220" s="640"/>
      <c r="D220" s="640"/>
      <c r="E220" s="588"/>
      <c r="F220" s="588"/>
      <c r="G220" s="588"/>
      <c r="H220" s="588"/>
      <c r="I220" s="588"/>
      <c r="J220" s="588"/>
      <c r="K220" s="588"/>
      <c r="L220" s="588"/>
      <c r="M220" s="588"/>
      <c r="N220" s="588"/>
      <c r="O220" s="588"/>
      <c r="P220" s="588"/>
      <c r="Q220" s="588"/>
      <c r="R220" s="588"/>
    </row>
    <row r="221" customFormat="false" ht="13.8" hidden="false" customHeight="false" outlineLevel="0" collapsed="false">
      <c r="B221" s="640"/>
      <c r="C221" s="640"/>
      <c r="D221" s="640"/>
      <c r="E221" s="588"/>
      <c r="F221" s="588"/>
      <c r="G221" s="588"/>
      <c r="H221" s="588"/>
      <c r="I221" s="588"/>
      <c r="J221" s="588"/>
      <c r="K221" s="588"/>
      <c r="L221" s="588"/>
      <c r="M221" s="588"/>
      <c r="N221" s="588"/>
      <c r="O221" s="588"/>
      <c r="P221" s="588"/>
      <c r="Q221" s="588"/>
      <c r="R221" s="588"/>
    </row>
    <row r="222" customFormat="false" ht="13.8" hidden="false" customHeight="false" outlineLevel="0" collapsed="false">
      <c r="B222" s="640"/>
      <c r="C222" s="640"/>
      <c r="D222" s="640"/>
      <c r="E222" s="588"/>
      <c r="F222" s="588"/>
      <c r="G222" s="588"/>
      <c r="H222" s="588"/>
      <c r="I222" s="588"/>
      <c r="J222" s="588"/>
      <c r="K222" s="588"/>
      <c r="L222" s="588"/>
      <c r="M222" s="588"/>
      <c r="N222" s="588"/>
      <c r="O222" s="588"/>
      <c r="P222" s="588"/>
      <c r="Q222" s="588"/>
      <c r="R222" s="588"/>
    </row>
    <row r="223" customFormat="false" ht="13.8" hidden="false" customHeight="false" outlineLevel="0" collapsed="false">
      <c r="B223" s="640"/>
      <c r="C223" s="640"/>
      <c r="D223" s="640"/>
      <c r="E223" s="588"/>
      <c r="F223" s="588"/>
      <c r="G223" s="588"/>
      <c r="H223" s="588"/>
      <c r="I223" s="588"/>
      <c r="J223" s="588"/>
      <c r="K223" s="588"/>
      <c r="L223" s="588"/>
      <c r="M223" s="588"/>
      <c r="N223" s="588"/>
      <c r="O223" s="588"/>
      <c r="P223" s="588"/>
      <c r="Q223" s="588"/>
      <c r="R223" s="588"/>
    </row>
    <row r="224" customFormat="false" ht="13.8" hidden="false" customHeight="false" outlineLevel="0" collapsed="false">
      <c r="B224" s="640"/>
      <c r="C224" s="640"/>
      <c r="D224" s="640"/>
      <c r="E224" s="588"/>
      <c r="F224" s="588"/>
      <c r="G224" s="588"/>
      <c r="H224" s="588"/>
      <c r="I224" s="588"/>
      <c r="J224" s="588"/>
      <c r="K224" s="588"/>
      <c r="L224" s="588"/>
      <c r="M224" s="588"/>
      <c r="N224" s="588"/>
      <c r="O224" s="588"/>
      <c r="P224" s="588"/>
      <c r="Q224" s="588"/>
      <c r="R224" s="588"/>
    </row>
    <row r="225" customFormat="false" ht="13.8" hidden="false" customHeight="false" outlineLevel="0" collapsed="false">
      <c r="B225" s="640"/>
      <c r="C225" s="640"/>
      <c r="D225" s="640"/>
      <c r="E225" s="588"/>
      <c r="F225" s="588"/>
      <c r="G225" s="588"/>
      <c r="H225" s="588"/>
      <c r="I225" s="588"/>
      <c r="J225" s="588"/>
      <c r="K225" s="588"/>
      <c r="L225" s="588"/>
      <c r="M225" s="588"/>
      <c r="N225" s="588"/>
      <c r="O225" s="588"/>
      <c r="P225" s="588"/>
      <c r="Q225" s="588"/>
      <c r="R225" s="588"/>
    </row>
    <row r="226" customFormat="false" ht="13.8" hidden="false" customHeight="false" outlineLevel="0" collapsed="false">
      <c r="B226" s="640"/>
      <c r="C226" s="640"/>
      <c r="D226" s="640"/>
      <c r="E226" s="588"/>
      <c r="F226" s="588"/>
      <c r="G226" s="588"/>
      <c r="H226" s="588"/>
      <c r="I226" s="588"/>
      <c r="J226" s="588"/>
      <c r="K226" s="588"/>
      <c r="L226" s="588"/>
      <c r="M226" s="588"/>
      <c r="N226" s="588"/>
      <c r="O226" s="588"/>
      <c r="P226" s="588"/>
      <c r="Q226" s="588"/>
      <c r="R226" s="588"/>
    </row>
    <row r="227" customFormat="false" ht="13.8" hidden="false" customHeight="false" outlineLevel="0" collapsed="false">
      <c r="B227" s="640"/>
      <c r="C227" s="640"/>
      <c r="D227" s="640"/>
      <c r="E227" s="588"/>
      <c r="F227" s="588"/>
      <c r="G227" s="588"/>
      <c r="H227" s="588"/>
      <c r="I227" s="588"/>
      <c r="J227" s="588"/>
      <c r="K227" s="588"/>
      <c r="L227" s="588"/>
      <c r="M227" s="588"/>
      <c r="N227" s="588"/>
      <c r="O227" s="588"/>
      <c r="P227" s="588"/>
      <c r="Q227" s="588"/>
      <c r="R227" s="588"/>
    </row>
    <row r="228" customFormat="false" ht="13.8" hidden="false" customHeight="false" outlineLevel="0" collapsed="false">
      <c r="B228" s="640"/>
      <c r="C228" s="640"/>
      <c r="D228" s="640"/>
      <c r="E228" s="588"/>
      <c r="F228" s="588"/>
      <c r="G228" s="588"/>
      <c r="H228" s="588"/>
      <c r="I228" s="588"/>
      <c r="J228" s="588"/>
      <c r="K228" s="588"/>
      <c r="L228" s="588"/>
      <c r="M228" s="588"/>
      <c r="N228" s="588"/>
      <c r="O228" s="588"/>
      <c r="P228" s="588"/>
      <c r="Q228" s="588"/>
      <c r="R228" s="588"/>
    </row>
    <row r="229" customFormat="false" ht="13.8" hidden="false" customHeight="false" outlineLevel="0" collapsed="false">
      <c r="B229" s="640"/>
      <c r="C229" s="640"/>
      <c r="D229" s="640"/>
      <c r="E229" s="588"/>
      <c r="F229" s="588"/>
      <c r="G229" s="588"/>
      <c r="H229" s="588"/>
      <c r="I229" s="588"/>
      <c r="J229" s="588"/>
      <c r="K229" s="588"/>
      <c r="L229" s="588"/>
      <c r="M229" s="588"/>
      <c r="N229" s="588"/>
      <c r="O229" s="588"/>
      <c r="P229" s="588"/>
      <c r="Q229" s="588"/>
      <c r="R229" s="588"/>
    </row>
    <row r="230" customFormat="false" ht="13.8" hidden="false" customHeight="false" outlineLevel="0" collapsed="false">
      <c r="B230" s="640"/>
      <c r="C230" s="640"/>
      <c r="D230" s="640"/>
      <c r="E230" s="588"/>
      <c r="F230" s="588"/>
      <c r="G230" s="588"/>
      <c r="H230" s="588"/>
      <c r="I230" s="588"/>
      <c r="J230" s="588"/>
      <c r="K230" s="588"/>
      <c r="L230" s="588"/>
      <c r="M230" s="588"/>
      <c r="N230" s="588"/>
      <c r="O230" s="588"/>
      <c r="P230" s="588"/>
      <c r="Q230" s="588"/>
      <c r="R230" s="588"/>
    </row>
    <row r="231" customFormat="false" ht="13.8" hidden="false" customHeight="false" outlineLevel="0" collapsed="false">
      <c r="B231" s="640"/>
      <c r="C231" s="640"/>
      <c r="D231" s="640"/>
      <c r="E231" s="588"/>
      <c r="F231" s="588"/>
      <c r="G231" s="588"/>
      <c r="H231" s="588"/>
      <c r="I231" s="588"/>
      <c r="J231" s="588"/>
      <c r="K231" s="588"/>
      <c r="L231" s="588"/>
      <c r="M231" s="588"/>
      <c r="N231" s="588"/>
      <c r="O231" s="588"/>
      <c r="P231" s="588"/>
      <c r="Q231" s="588"/>
      <c r="R231" s="588"/>
    </row>
    <row r="232" customFormat="false" ht="13.8" hidden="false" customHeight="false" outlineLevel="0" collapsed="false">
      <c r="B232" s="640"/>
      <c r="C232" s="640"/>
      <c r="D232" s="640"/>
      <c r="E232" s="588"/>
      <c r="F232" s="588"/>
      <c r="G232" s="588"/>
      <c r="H232" s="588"/>
      <c r="I232" s="588"/>
      <c r="J232" s="588"/>
      <c r="K232" s="588"/>
      <c r="L232" s="588"/>
      <c r="M232" s="588"/>
      <c r="N232" s="588"/>
      <c r="O232" s="588"/>
      <c r="P232" s="588"/>
      <c r="Q232" s="588"/>
      <c r="R232" s="588"/>
    </row>
    <row r="233" customFormat="false" ht="13.8" hidden="false" customHeight="false" outlineLevel="0" collapsed="false">
      <c r="B233" s="640"/>
      <c r="C233" s="640"/>
      <c r="D233" s="640"/>
      <c r="E233" s="588"/>
      <c r="F233" s="588"/>
      <c r="G233" s="588"/>
      <c r="H233" s="588"/>
      <c r="I233" s="588"/>
      <c r="J233" s="588"/>
      <c r="K233" s="588"/>
      <c r="L233" s="588"/>
      <c r="M233" s="588"/>
      <c r="N233" s="588"/>
      <c r="O233" s="588"/>
      <c r="P233" s="588"/>
      <c r="Q233" s="588"/>
      <c r="R233" s="588"/>
    </row>
    <row r="234" customFormat="false" ht="13.8" hidden="false" customHeight="false" outlineLevel="0" collapsed="false">
      <c r="B234" s="640"/>
      <c r="C234" s="640"/>
      <c r="D234" s="640"/>
      <c r="E234" s="588"/>
      <c r="F234" s="588"/>
      <c r="G234" s="588"/>
      <c r="H234" s="588"/>
      <c r="I234" s="588"/>
      <c r="J234" s="588"/>
      <c r="K234" s="588"/>
      <c r="L234" s="588"/>
      <c r="M234" s="588"/>
      <c r="N234" s="588"/>
      <c r="O234" s="588"/>
      <c r="P234" s="588"/>
      <c r="Q234" s="588"/>
      <c r="R234" s="588"/>
    </row>
    <row r="235" customFormat="false" ht="13.8" hidden="false" customHeight="false" outlineLevel="0" collapsed="false">
      <c r="B235" s="640"/>
      <c r="C235" s="640"/>
      <c r="D235" s="640"/>
      <c r="E235" s="588"/>
      <c r="F235" s="588"/>
      <c r="G235" s="588"/>
      <c r="H235" s="588"/>
      <c r="I235" s="588"/>
      <c r="J235" s="588"/>
      <c r="K235" s="588"/>
      <c r="L235" s="588"/>
      <c r="M235" s="588"/>
      <c r="N235" s="588"/>
      <c r="O235" s="588"/>
      <c r="P235" s="588"/>
      <c r="Q235" s="588"/>
      <c r="R235" s="588"/>
    </row>
    <row r="236" customFormat="false" ht="13.8" hidden="false" customHeight="false" outlineLevel="0" collapsed="false">
      <c r="B236" s="640"/>
      <c r="C236" s="640"/>
      <c r="D236" s="640"/>
      <c r="E236" s="588"/>
      <c r="F236" s="588"/>
      <c r="G236" s="588"/>
      <c r="H236" s="588"/>
      <c r="I236" s="588"/>
      <c r="J236" s="588"/>
      <c r="K236" s="588"/>
      <c r="L236" s="588"/>
      <c r="M236" s="588"/>
      <c r="N236" s="588"/>
      <c r="O236" s="588"/>
      <c r="P236" s="588"/>
      <c r="Q236" s="588"/>
      <c r="R236" s="588"/>
    </row>
    <row r="237" customFormat="false" ht="13.8" hidden="false" customHeight="false" outlineLevel="0" collapsed="false">
      <c r="B237" s="640"/>
      <c r="C237" s="640"/>
      <c r="D237" s="640"/>
      <c r="E237" s="588"/>
      <c r="F237" s="588"/>
      <c r="G237" s="588"/>
      <c r="H237" s="588"/>
      <c r="I237" s="588"/>
      <c r="J237" s="588"/>
      <c r="K237" s="588"/>
      <c r="L237" s="588"/>
      <c r="M237" s="588"/>
      <c r="N237" s="588"/>
      <c r="O237" s="588"/>
      <c r="P237" s="588"/>
      <c r="Q237" s="588"/>
      <c r="R237" s="588"/>
    </row>
    <row r="238" customFormat="false" ht="13.8" hidden="false" customHeight="false" outlineLevel="0" collapsed="false">
      <c r="B238" s="640"/>
      <c r="C238" s="640"/>
      <c r="D238" s="640"/>
      <c r="E238" s="588"/>
      <c r="F238" s="588"/>
      <c r="G238" s="588"/>
      <c r="H238" s="588"/>
      <c r="I238" s="588"/>
      <c r="J238" s="588"/>
      <c r="K238" s="588"/>
      <c r="L238" s="588"/>
      <c r="M238" s="588"/>
      <c r="N238" s="588"/>
      <c r="O238" s="588"/>
      <c r="P238" s="588"/>
      <c r="Q238" s="588"/>
      <c r="R238" s="588"/>
    </row>
    <row r="239" customFormat="false" ht="13.8" hidden="false" customHeight="false" outlineLevel="0" collapsed="false">
      <c r="B239" s="640"/>
      <c r="C239" s="640"/>
      <c r="D239" s="640"/>
      <c r="E239" s="588"/>
      <c r="F239" s="588"/>
      <c r="G239" s="588"/>
      <c r="H239" s="588"/>
      <c r="I239" s="588"/>
      <c r="J239" s="588"/>
      <c r="K239" s="588"/>
      <c r="L239" s="588"/>
      <c r="M239" s="588"/>
      <c r="N239" s="588"/>
      <c r="O239" s="588"/>
      <c r="P239" s="588"/>
      <c r="Q239" s="588"/>
      <c r="R239" s="588"/>
    </row>
    <row r="240" customFormat="false" ht="13.8" hidden="false" customHeight="false" outlineLevel="0" collapsed="false">
      <c r="B240" s="640"/>
      <c r="C240" s="640"/>
      <c r="D240" s="640"/>
      <c r="E240" s="588"/>
      <c r="F240" s="588"/>
      <c r="G240" s="588"/>
      <c r="H240" s="588"/>
      <c r="I240" s="588"/>
      <c r="J240" s="588"/>
      <c r="K240" s="588"/>
      <c r="L240" s="588"/>
      <c r="M240" s="588"/>
      <c r="N240" s="588"/>
      <c r="O240" s="588"/>
      <c r="P240" s="588"/>
      <c r="Q240" s="588"/>
      <c r="R240" s="588"/>
    </row>
    <row r="241" customFormat="false" ht="13.8" hidden="false" customHeight="false" outlineLevel="0" collapsed="false">
      <c r="B241" s="640"/>
      <c r="C241" s="640"/>
      <c r="D241" s="640"/>
      <c r="E241" s="588"/>
      <c r="F241" s="588"/>
      <c r="G241" s="588"/>
      <c r="H241" s="588"/>
      <c r="I241" s="588"/>
      <c r="J241" s="588"/>
      <c r="K241" s="588"/>
      <c r="L241" s="588"/>
      <c r="M241" s="588"/>
      <c r="N241" s="588"/>
      <c r="O241" s="588"/>
      <c r="P241" s="588"/>
      <c r="Q241" s="588"/>
      <c r="R241" s="588"/>
    </row>
    <row r="242" customFormat="false" ht="13.8" hidden="false" customHeight="false" outlineLevel="0" collapsed="false">
      <c r="B242" s="640"/>
      <c r="C242" s="640"/>
      <c r="D242" s="640"/>
      <c r="E242" s="588"/>
      <c r="F242" s="588"/>
      <c r="G242" s="588"/>
      <c r="H242" s="588"/>
      <c r="I242" s="588"/>
      <c r="J242" s="588"/>
      <c r="K242" s="588"/>
      <c r="L242" s="588"/>
      <c r="M242" s="588"/>
      <c r="N242" s="588"/>
      <c r="O242" s="588"/>
      <c r="P242" s="588"/>
      <c r="Q242" s="588"/>
      <c r="R242" s="588"/>
    </row>
    <row r="243" customFormat="false" ht="13.8" hidden="false" customHeight="false" outlineLevel="0" collapsed="false">
      <c r="B243" s="640"/>
      <c r="C243" s="640"/>
      <c r="D243" s="640"/>
      <c r="E243" s="588"/>
      <c r="F243" s="588"/>
      <c r="G243" s="588"/>
      <c r="H243" s="588"/>
      <c r="I243" s="588"/>
      <c r="J243" s="588"/>
      <c r="K243" s="588"/>
      <c r="L243" s="588"/>
      <c r="M243" s="588"/>
      <c r="N243" s="588"/>
      <c r="O243" s="588"/>
      <c r="P243" s="588"/>
      <c r="Q243" s="588"/>
      <c r="R243" s="588"/>
    </row>
    <row r="244" customFormat="false" ht="13.8" hidden="false" customHeight="false" outlineLevel="0" collapsed="false">
      <c r="B244" s="640"/>
      <c r="C244" s="640"/>
      <c r="D244" s="640"/>
      <c r="E244" s="588"/>
      <c r="F244" s="588"/>
      <c r="G244" s="588"/>
      <c r="H244" s="588"/>
      <c r="I244" s="588"/>
      <c r="J244" s="588"/>
      <c r="K244" s="588"/>
      <c r="L244" s="588"/>
      <c r="M244" s="588"/>
      <c r="N244" s="588"/>
      <c r="O244" s="588"/>
      <c r="P244" s="588"/>
      <c r="Q244" s="588"/>
      <c r="R244" s="588"/>
    </row>
    <row r="245" customFormat="false" ht="13.8" hidden="false" customHeight="false" outlineLevel="0" collapsed="false">
      <c r="B245" s="640"/>
      <c r="C245" s="640"/>
      <c r="D245" s="640"/>
      <c r="E245" s="588"/>
      <c r="F245" s="588"/>
      <c r="G245" s="588"/>
      <c r="H245" s="588"/>
      <c r="I245" s="588"/>
      <c r="J245" s="588"/>
      <c r="K245" s="588"/>
      <c r="L245" s="588"/>
      <c r="M245" s="588"/>
      <c r="N245" s="588"/>
      <c r="O245" s="588"/>
      <c r="P245" s="588"/>
      <c r="Q245" s="588"/>
      <c r="R245" s="588"/>
    </row>
    <row r="246" customFormat="false" ht="13.8" hidden="false" customHeight="false" outlineLevel="0" collapsed="false">
      <c r="B246" s="640"/>
      <c r="C246" s="640"/>
      <c r="D246" s="640"/>
      <c r="E246" s="588"/>
      <c r="F246" s="588"/>
      <c r="G246" s="588"/>
      <c r="H246" s="588"/>
      <c r="I246" s="588"/>
      <c r="J246" s="588"/>
      <c r="K246" s="588"/>
      <c r="L246" s="588"/>
      <c r="M246" s="588"/>
      <c r="N246" s="588"/>
      <c r="O246" s="588"/>
      <c r="P246" s="588"/>
      <c r="Q246" s="588"/>
      <c r="R246" s="588"/>
    </row>
    <row r="247" customFormat="false" ht="13.8" hidden="false" customHeight="false" outlineLevel="0" collapsed="false">
      <c r="B247" s="640"/>
      <c r="C247" s="640"/>
      <c r="D247" s="640"/>
      <c r="E247" s="588"/>
      <c r="F247" s="588"/>
      <c r="G247" s="588"/>
      <c r="H247" s="588"/>
      <c r="I247" s="588"/>
      <c r="J247" s="588"/>
      <c r="K247" s="588"/>
      <c r="L247" s="588"/>
      <c r="M247" s="588"/>
      <c r="N247" s="588"/>
      <c r="O247" s="588"/>
      <c r="P247" s="588"/>
      <c r="Q247" s="588"/>
      <c r="R247" s="588"/>
    </row>
    <row r="248" customFormat="false" ht="13.8" hidden="false" customHeight="false" outlineLevel="0" collapsed="false">
      <c r="B248" s="640"/>
      <c r="C248" s="640"/>
      <c r="D248" s="640"/>
      <c r="E248" s="588"/>
      <c r="F248" s="588"/>
      <c r="G248" s="588"/>
      <c r="H248" s="588"/>
      <c r="I248" s="588"/>
      <c r="J248" s="588"/>
      <c r="K248" s="588"/>
      <c r="L248" s="588"/>
      <c r="M248" s="588"/>
      <c r="N248" s="588"/>
      <c r="O248" s="588"/>
      <c r="P248" s="588"/>
      <c r="Q248" s="588"/>
      <c r="R248" s="588"/>
    </row>
    <row r="249" customFormat="false" ht="13.8" hidden="false" customHeight="false" outlineLevel="0" collapsed="false">
      <c r="B249" s="640"/>
      <c r="C249" s="640"/>
      <c r="D249" s="640"/>
      <c r="E249" s="588"/>
      <c r="F249" s="588"/>
      <c r="G249" s="588"/>
      <c r="H249" s="588"/>
      <c r="I249" s="588"/>
      <c r="J249" s="588"/>
      <c r="K249" s="588"/>
      <c r="L249" s="588"/>
      <c r="M249" s="588"/>
      <c r="N249" s="588"/>
      <c r="O249" s="588"/>
      <c r="P249" s="588"/>
      <c r="Q249" s="588"/>
      <c r="R249" s="588"/>
    </row>
    <row r="250" customFormat="false" ht="13.8" hidden="false" customHeight="false" outlineLevel="0" collapsed="false">
      <c r="B250" s="640"/>
      <c r="C250" s="640"/>
      <c r="D250" s="640"/>
      <c r="E250" s="588"/>
      <c r="F250" s="588"/>
      <c r="G250" s="588"/>
      <c r="H250" s="588"/>
      <c r="I250" s="588"/>
      <c r="J250" s="588"/>
      <c r="K250" s="588"/>
      <c r="L250" s="588"/>
      <c r="M250" s="588"/>
      <c r="N250" s="588"/>
      <c r="O250" s="588"/>
      <c r="P250" s="588"/>
      <c r="Q250" s="588"/>
      <c r="R250" s="588"/>
    </row>
    <row r="251" customFormat="false" ht="13.8" hidden="false" customHeight="false" outlineLevel="0" collapsed="false">
      <c r="B251" s="640"/>
      <c r="C251" s="640"/>
      <c r="D251" s="640"/>
      <c r="E251" s="588"/>
      <c r="F251" s="588"/>
      <c r="G251" s="588"/>
      <c r="H251" s="588"/>
      <c r="I251" s="588"/>
      <c r="J251" s="588"/>
      <c r="K251" s="588"/>
      <c r="L251" s="588"/>
      <c r="M251" s="588"/>
      <c r="N251" s="588"/>
      <c r="O251" s="588"/>
      <c r="P251" s="588"/>
      <c r="Q251" s="588"/>
      <c r="R251" s="588"/>
    </row>
    <row r="252" customFormat="false" ht="13.8" hidden="false" customHeight="false" outlineLevel="0" collapsed="false">
      <c r="B252" s="640"/>
      <c r="C252" s="640"/>
      <c r="D252" s="640"/>
      <c r="E252" s="588"/>
      <c r="F252" s="588"/>
      <c r="G252" s="588"/>
      <c r="H252" s="588"/>
      <c r="I252" s="588"/>
      <c r="J252" s="588"/>
      <c r="K252" s="588"/>
      <c r="L252" s="588"/>
      <c r="M252" s="588"/>
      <c r="N252" s="588"/>
      <c r="O252" s="588"/>
      <c r="P252" s="588"/>
      <c r="Q252" s="588"/>
      <c r="R252" s="588"/>
    </row>
    <row r="253" customFormat="false" ht="13.8" hidden="false" customHeight="false" outlineLevel="0" collapsed="false">
      <c r="B253" s="640"/>
      <c r="C253" s="640"/>
      <c r="D253" s="640"/>
      <c r="E253" s="588"/>
      <c r="F253" s="588"/>
      <c r="G253" s="588"/>
      <c r="H253" s="588"/>
      <c r="I253" s="588"/>
      <c r="J253" s="588"/>
      <c r="K253" s="588"/>
      <c r="L253" s="588"/>
      <c r="M253" s="588"/>
      <c r="N253" s="588"/>
      <c r="O253" s="588"/>
      <c r="P253" s="588"/>
      <c r="Q253" s="588"/>
      <c r="R253" s="588"/>
    </row>
    <row r="254" customFormat="false" ht="13.8" hidden="false" customHeight="false" outlineLevel="0" collapsed="false">
      <c r="B254" s="640"/>
      <c r="C254" s="640"/>
      <c r="D254" s="640"/>
      <c r="E254" s="588"/>
      <c r="F254" s="588"/>
      <c r="G254" s="588"/>
      <c r="H254" s="588"/>
      <c r="I254" s="588"/>
      <c r="J254" s="588"/>
      <c r="K254" s="588"/>
      <c r="L254" s="588"/>
      <c r="M254" s="588"/>
      <c r="N254" s="588"/>
      <c r="O254" s="588"/>
      <c r="P254" s="588"/>
      <c r="Q254" s="588"/>
      <c r="R254" s="588"/>
    </row>
    <row r="255" customFormat="false" ht="13.8" hidden="false" customHeight="false" outlineLevel="0" collapsed="false">
      <c r="B255" s="640"/>
      <c r="C255" s="640"/>
      <c r="D255" s="640"/>
      <c r="E255" s="588"/>
      <c r="F255" s="588"/>
      <c r="G255" s="588"/>
      <c r="H255" s="588"/>
      <c r="I255" s="588"/>
      <c r="J255" s="588"/>
      <c r="K255" s="588"/>
      <c r="L255" s="588"/>
      <c r="M255" s="588"/>
      <c r="N255" s="588"/>
      <c r="O255" s="588"/>
      <c r="P255" s="588"/>
      <c r="Q255" s="588"/>
      <c r="R255" s="588"/>
    </row>
    <row r="256" customFormat="false" ht="13.8" hidden="false" customHeight="false" outlineLevel="0" collapsed="false">
      <c r="B256" s="640"/>
      <c r="C256" s="640"/>
      <c r="D256" s="640"/>
      <c r="E256" s="588"/>
      <c r="F256" s="588"/>
      <c r="G256" s="588"/>
      <c r="H256" s="588"/>
      <c r="I256" s="588"/>
      <c r="J256" s="588"/>
      <c r="K256" s="588"/>
      <c r="L256" s="588"/>
      <c r="M256" s="588"/>
      <c r="N256" s="588"/>
      <c r="O256" s="588"/>
      <c r="P256" s="588"/>
      <c r="Q256" s="588"/>
      <c r="R256" s="588"/>
    </row>
    <row r="257" customFormat="false" ht="13.8" hidden="false" customHeight="false" outlineLevel="0" collapsed="false">
      <c r="B257" s="640"/>
      <c r="C257" s="640"/>
      <c r="D257" s="640"/>
      <c r="E257" s="588"/>
      <c r="F257" s="588"/>
      <c r="G257" s="588"/>
      <c r="H257" s="588"/>
      <c r="I257" s="588"/>
      <c r="J257" s="588"/>
      <c r="K257" s="588"/>
      <c r="L257" s="588"/>
      <c r="M257" s="588"/>
      <c r="N257" s="588"/>
      <c r="O257" s="588"/>
      <c r="P257" s="588"/>
      <c r="Q257" s="588"/>
      <c r="R257" s="588"/>
    </row>
    <row r="258" customFormat="false" ht="13.8" hidden="false" customHeight="false" outlineLevel="0" collapsed="false">
      <c r="B258" s="640"/>
      <c r="C258" s="640"/>
      <c r="D258" s="640"/>
      <c r="E258" s="588"/>
      <c r="F258" s="588"/>
      <c r="G258" s="588"/>
      <c r="H258" s="588"/>
      <c r="I258" s="588"/>
      <c r="J258" s="588"/>
      <c r="K258" s="588"/>
      <c r="L258" s="588"/>
      <c r="M258" s="588"/>
      <c r="N258" s="588"/>
      <c r="O258" s="588"/>
      <c r="P258" s="588"/>
      <c r="Q258" s="588"/>
      <c r="R258" s="588"/>
    </row>
    <row r="259" customFormat="false" ht="13.8" hidden="false" customHeight="false" outlineLevel="0" collapsed="false">
      <c r="B259" s="640"/>
      <c r="C259" s="640"/>
      <c r="D259" s="640"/>
      <c r="E259" s="588"/>
      <c r="F259" s="588"/>
      <c r="G259" s="588"/>
      <c r="H259" s="588"/>
      <c r="I259" s="588"/>
      <c r="J259" s="588"/>
      <c r="K259" s="588"/>
      <c r="L259" s="588"/>
      <c r="M259" s="588"/>
      <c r="N259" s="588"/>
      <c r="O259" s="588"/>
      <c r="P259" s="588"/>
      <c r="Q259" s="588"/>
      <c r="R259" s="588"/>
    </row>
    <row r="260" customFormat="false" ht="13.8" hidden="false" customHeight="false" outlineLevel="0" collapsed="false">
      <c r="B260" s="640"/>
      <c r="C260" s="640"/>
      <c r="D260" s="640"/>
      <c r="E260" s="588"/>
      <c r="F260" s="588"/>
      <c r="G260" s="588"/>
      <c r="H260" s="588"/>
      <c r="I260" s="588"/>
      <c r="J260" s="588"/>
      <c r="K260" s="588"/>
      <c r="L260" s="588"/>
      <c r="M260" s="588"/>
      <c r="N260" s="588"/>
      <c r="O260" s="588"/>
      <c r="P260" s="588"/>
      <c r="Q260" s="588"/>
      <c r="R260" s="588"/>
    </row>
    <row r="261" customFormat="false" ht="13.8" hidden="false" customHeight="false" outlineLevel="0" collapsed="false">
      <c r="B261" s="640"/>
      <c r="C261" s="640"/>
      <c r="D261" s="640"/>
      <c r="E261" s="588"/>
      <c r="F261" s="588"/>
      <c r="G261" s="588"/>
      <c r="H261" s="588"/>
      <c r="I261" s="588"/>
      <c r="J261" s="588"/>
      <c r="K261" s="588"/>
      <c r="L261" s="588"/>
      <c r="M261" s="588"/>
      <c r="N261" s="588"/>
      <c r="O261" s="588"/>
      <c r="P261" s="588"/>
      <c r="Q261" s="588"/>
      <c r="R261" s="588"/>
    </row>
    <row r="262" customFormat="false" ht="13.8" hidden="false" customHeight="false" outlineLevel="0" collapsed="false">
      <c r="B262" s="640"/>
      <c r="C262" s="640"/>
      <c r="D262" s="640"/>
      <c r="E262" s="588"/>
      <c r="F262" s="588"/>
      <c r="G262" s="588"/>
      <c r="H262" s="588"/>
      <c r="I262" s="588"/>
      <c r="J262" s="588"/>
      <c r="K262" s="588"/>
      <c r="L262" s="588"/>
      <c r="M262" s="588"/>
      <c r="N262" s="588"/>
      <c r="O262" s="588"/>
      <c r="P262" s="588"/>
      <c r="Q262" s="588"/>
      <c r="R262" s="588"/>
    </row>
    <row r="263" customFormat="false" ht="13.8" hidden="false" customHeight="false" outlineLevel="0" collapsed="false">
      <c r="B263" s="640"/>
      <c r="C263" s="640"/>
      <c r="D263" s="640"/>
      <c r="E263" s="588"/>
      <c r="F263" s="588"/>
      <c r="G263" s="588"/>
      <c r="H263" s="588"/>
      <c r="I263" s="588"/>
      <c r="J263" s="588"/>
      <c r="K263" s="588"/>
      <c r="L263" s="588"/>
      <c r="M263" s="588"/>
      <c r="N263" s="588"/>
      <c r="O263" s="588"/>
      <c r="P263" s="588"/>
      <c r="Q263" s="588"/>
      <c r="R263" s="588"/>
    </row>
    <row r="264" customFormat="false" ht="13.8" hidden="false" customHeight="false" outlineLevel="0" collapsed="false">
      <c r="B264" s="640"/>
      <c r="C264" s="640"/>
      <c r="D264" s="640"/>
      <c r="E264" s="588"/>
      <c r="F264" s="588"/>
      <c r="G264" s="588"/>
      <c r="H264" s="588"/>
      <c r="I264" s="588"/>
      <c r="J264" s="588"/>
      <c r="K264" s="588"/>
      <c r="L264" s="588"/>
      <c r="M264" s="588"/>
      <c r="N264" s="588"/>
      <c r="O264" s="588"/>
      <c r="P264" s="588"/>
      <c r="Q264" s="588"/>
      <c r="R264" s="588"/>
    </row>
    <row r="265" customFormat="false" ht="13.8" hidden="false" customHeight="false" outlineLevel="0" collapsed="false">
      <c r="B265" s="640"/>
      <c r="C265" s="640"/>
      <c r="D265" s="640"/>
      <c r="E265" s="588"/>
      <c r="F265" s="588"/>
      <c r="G265" s="588"/>
      <c r="H265" s="588"/>
      <c r="I265" s="588"/>
      <c r="J265" s="588"/>
      <c r="K265" s="588"/>
      <c r="L265" s="588"/>
      <c r="M265" s="588"/>
      <c r="N265" s="588"/>
      <c r="O265" s="588"/>
      <c r="P265" s="588"/>
      <c r="Q265" s="588"/>
      <c r="R265" s="588"/>
    </row>
    <row r="266" customFormat="false" ht="13.8" hidden="false" customHeight="false" outlineLevel="0" collapsed="false">
      <c r="B266" s="640"/>
      <c r="C266" s="640"/>
      <c r="D266" s="640"/>
      <c r="E266" s="588"/>
      <c r="F266" s="588"/>
      <c r="G266" s="588"/>
      <c r="H266" s="588"/>
      <c r="I266" s="588"/>
      <c r="J266" s="588"/>
      <c r="K266" s="588"/>
      <c r="L266" s="588"/>
      <c r="M266" s="588"/>
      <c r="N266" s="588"/>
      <c r="O266" s="588"/>
      <c r="P266" s="588"/>
      <c r="Q266" s="588"/>
      <c r="R266" s="588"/>
    </row>
    <row r="267" customFormat="false" ht="13.8" hidden="false" customHeight="false" outlineLevel="0" collapsed="false">
      <c r="B267" s="640"/>
      <c r="C267" s="640"/>
      <c r="D267" s="640"/>
      <c r="E267" s="588"/>
      <c r="F267" s="588"/>
      <c r="G267" s="588"/>
      <c r="H267" s="588"/>
      <c r="I267" s="588"/>
      <c r="J267" s="588"/>
      <c r="K267" s="588"/>
      <c r="L267" s="588"/>
      <c r="M267" s="588"/>
      <c r="N267" s="588"/>
      <c r="O267" s="588"/>
      <c r="P267" s="588"/>
      <c r="Q267" s="588"/>
      <c r="R267" s="588"/>
    </row>
    <row r="268" customFormat="false" ht="13.8" hidden="false" customHeight="false" outlineLevel="0" collapsed="false">
      <c r="B268" s="640"/>
      <c r="C268" s="640"/>
      <c r="D268" s="640"/>
      <c r="E268" s="588"/>
      <c r="F268" s="588"/>
      <c r="G268" s="588"/>
      <c r="H268" s="588"/>
      <c r="I268" s="588"/>
      <c r="J268" s="588"/>
      <c r="K268" s="588"/>
      <c r="L268" s="588"/>
      <c r="M268" s="588"/>
      <c r="N268" s="588"/>
      <c r="O268" s="588"/>
      <c r="P268" s="588"/>
      <c r="Q268" s="588"/>
      <c r="R268" s="588"/>
    </row>
    <row r="269" customFormat="false" ht="13.8" hidden="false" customHeight="false" outlineLevel="0" collapsed="false">
      <c r="B269" s="640"/>
      <c r="C269" s="640"/>
      <c r="D269" s="640"/>
      <c r="E269" s="588"/>
      <c r="F269" s="588"/>
      <c r="G269" s="588"/>
      <c r="H269" s="588"/>
      <c r="I269" s="588"/>
      <c r="J269" s="588"/>
      <c r="K269" s="588"/>
      <c r="L269" s="588"/>
      <c r="M269" s="588"/>
      <c r="N269" s="588"/>
      <c r="O269" s="588"/>
      <c r="P269" s="588"/>
      <c r="Q269" s="588"/>
      <c r="R269" s="588"/>
    </row>
    <row r="270" customFormat="false" ht="13.8" hidden="false" customHeight="false" outlineLevel="0" collapsed="false">
      <c r="B270" s="640"/>
      <c r="C270" s="640"/>
      <c r="D270" s="640"/>
      <c r="E270" s="588"/>
      <c r="F270" s="588"/>
      <c r="G270" s="588"/>
      <c r="H270" s="588"/>
      <c r="I270" s="588"/>
      <c r="J270" s="588"/>
      <c r="K270" s="588"/>
      <c r="L270" s="588"/>
      <c r="M270" s="588"/>
      <c r="N270" s="588"/>
      <c r="O270" s="588"/>
      <c r="P270" s="588"/>
      <c r="Q270" s="588"/>
      <c r="R270" s="588"/>
    </row>
    <row r="271" customFormat="false" ht="13.8" hidden="false" customHeight="false" outlineLevel="0" collapsed="false">
      <c r="B271" s="640"/>
      <c r="C271" s="640"/>
      <c r="D271" s="640"/>
      <c r="E271" s="588"/>
      <c r="F271" s="588"/>
      <c r="G271" s="588"/>
      <c r="H271" s="588"/>
      <c r="I271" s="588"/>
      <c r="J271" s="588"/>
      <c r="K271" s="588"/>
      <c r="L271" s="588"/>
      <c r="M271" s="588"/>
      <c r="N271" s="588"/>
      <c r="O271" s="588"/>
      <c r="P271" s="588"/>
      <c r="Q271" s="588"/>
      <c r="R271" s="588"/>
    </row>
    <row r="272" customFormat="false" ht="13.8" hidden="false" customHeight="false" outlineLevel="0" collapsed="false">
      <c r="B272" s="640"/>
      <c r="C272" s="640"/>
      <c r="D272" s="640"/>
      <c r="E272" s="588"/>
      <c r="F272" s="588"/>
      <c r="G272" s="588"/>
      <c r="H272" s="588"/>
      <c r="I272" s="588"/>
      <c r="J272" s="588"/>
      <c r="K272" s="588"/>
      <c r="L272" s="588"/>
      <c r="M272" s="588"/>
      <c r="N272" s="588"/>
      <c r="O272" s="588"/>
      <c r="P272" s="588"/>
      <c r="Q272" s="588"/>
      <c r="R272" s="588"/>
    </row>
    <row r="273" customFormat="false" ht="13.8" hidden="false" customHeight="false" outlineLevel="0" collapsed="false">
      <c r="B273" s="640"/>
      <c r="C273" s="640"/>
      <c r="D273" s="640"/>
      <c r="E273" s="588"/>
      <c r="F273" s="588"/>
      <c r="G273" s="588"/>
      <c r="H273" s="588"/>
      <c r="I273" s="588"/>
      <c r="J273" s="588"/>
      <c r="K273" s="588"/>
      <c r="L273" s="588"/>
      <c r="M273" s="588"/>
      <c r="N273" s="588"/>
      <c r="O273" s="588"/>
      <c r="P273" s="588"/>
      <c r="Q273" s="588"/>
      <c r="R273" s="588"/>
    </row>
    <row r="274" customFormat="false" ht="13.8" hidden="false" customHeight="false" outlineLevel="0" collapsed="false">
      <c r="B274" s="640"/>
      <c r="C274" s="640"/>
      <c r="D274" s="640"/>
      <c r="E274" s="588"/>
      <c r="F274" s="588"/>
      <c r="G274" s="588"/>
      <c r="H274" s="588"/>
      <c r="I274" s="588"/>
      <c r="J274" s="588"/>
      <c r="K274" s="588"/>
      <c r="L274" s="588"/>
      <c r="M274" s="588"/>
      <c r="N274" s="588"/>
      <c r="O274" s="588"/>
      <c r="P274" s="588"/>
      <c r="Q274" s="588"/>
      <c r="R274" s="588"/>
    </row>
    <row r="275" customFormat="false" ht="13.8" hidden="false" customHeight="false" outlineLevel="0" collapsed="false">
      <c r="B275" s="640"/>
      <c r="C275" s="640"/>
      <c r="D275" s="640"/>
      <c r="E275" s="588"/>
      <c r="F275" s="588"/>
      <c r="G275" s="588"/>
      <c r="H275" s="588"/>
      <c r="I275" s="588"/>
      <c r="J275" s="588"/>
      <c r="K275" s="588"/>
      <c r="L275" s="588"/>
      <c r="M275" s="588"/>
      <c r="N275" s="588"/>
      <c r="O275" s="588"/>
      <c r="P275" s="588"/>
      <c r="Q275" s="588"/>
      <c r="R275" s="588"/>
    </row>
    <row r="276" customFormat="false" ht="13.8" hidden="false" customHeight="false" outlineLevel="0" collapsed="false">
      <c r="B276" s="640"/>
      <c r="C276" s="640"/>
      <c r="D276" s="640"/>
      <c r="E276" s="588"/>
      <c r="F276" s="588"/>
      <c r="G276" s="588"/>
      <c r="H276" s="588"/>
      <c r="I276" s="588"/>
      <c r="J276" s="588"/>
      <c r="K276" s="588"/>
      <c r="L276" s="588"/>
      <c r="M276" s="588"/>
      <c r="N276" s="588"/>
      <c r="O276" s="588"/>
      <c r="P276" s="588"/>
      <c r="Q276" s="588"/>
      <c r="R276" s="588"/>
    </row>
    <row r="277" customFormat="false" ht="13.8" hidden="false" customHeight="false" outlineLevel="0" collapsed="false">
      <c r="B277" s="640"/>
      <c r="C277" s="640"/>
      <c r="D277" s="640"/>
      <c r="E277" s="588"/>
      <c r="F277" s="588"/>
      <c r="G277" s="588"/>
      <c r="H277" s="588"/>
      <c r="I277" s="588"/>
      <c r="J277" s="588"/>
      <c r="K277" s="588"/>
      <c r="L277" s="588"/>
      <c r="M277" s="588"/>
      <c r="N277" s="588"/>
      <c r="O277" s="588"/>
      <c r="P277" s="588"/>
      <c r="Q277" s="588"/>
      <c r="R277" s="588"/>
    </row>
    <row r="278" customFormat="false" ht="13.8" hidden="false" customHeight="false" outlineLevel="0" collapsed="false">
      <c r="B278" s="640"/>
      <c r="C278" s="640"/>
      <c r="D278" s="640"/>
      <c r="E278" s="588"/>
      <c r="F278" s="588"/>
      <c r="G278" s="588"/>
      <c r="H278" s="588"/>
      <c r="I278" s="588"/>
      <c r="J278" s="588"/>
      <c r="K278" s="588"/>
      <c r="L278" s="588"/>
      <c r="M278" s="588"/>
      <c r="N278" s="588"/>
      <c r="O278" s="588"/>
      <c r="P278" s="588"/>
      <c r="Q278" s="588"/>
      <c r="R278" s="588"/>
    </row>
    <row r="279" customFormat="false" ht="13.8" hidden="false" customHeight="false" outlineLevel="0" collapsed="false">
      <c r="B279" s="640"/>
      <c r="C279" s="640"/>
      <c r="D279" s="640"/>
      <c r="E279" s="588"/>
      <c r="F279" s="588"/>
      <c r="G279" s="588"/>
      <c r="H279" s="588"/>
      <c r="I279" s="588"/>
      <c r="J279" s="588"/>
      <c r="K279" s="588"/>
      <c r="L279" s="588"/>
      <c r="M279" s="588"/>
      <c r="N279" s="588"/>
      <c r="O279" s="588"/>
      <c r="P279" s="588"/>
      <c r="Q279" s="588"/>
      <c r="R279" s="588"/>
    </row>
    <row r="280" customFormat="false" ht="13.8" hidden="false" customHeight="false" outlineLevel="0" collapsed="false">
      <c r="B280" s="640"/>
      <c r="C280" s="640"/>
      <c r="D280" s="640"/>
      <c r="E280" s="588"/>
      <c r="F280" s="588"/>
      <c r="G280" s="588"/>
      <c r="H280" s="588"/>
      <c r="I280" s="588"/>
      <c r="J280" s="588"/>
      <c r="K280" s="588"/>
      <c r="L280" s="588"/>
      <c r="M280" s="588"/>
      <c r="N280" s="588"/>
      <c r="O280" s="588"/>
      <c r="P280" s="588"/>
      <c r="Q280" s="588"/>
      <c r="R280" s="588"/>
    </row>
    <row r="281" customFormat="false" ht="13.8" hidden="false" customHeight="false" outlineLevel="0" collapsed="false">
      <c r="B281" s="640"/>
      <c r="C281" s="640"/>
      <c r="D281" s="640"/>
      <c r="E281" s="588"/>
      <c r="F281" s="588"/>
      <c r="G281" s="588"/>
      <c r="H281" s="588"/>
      <c r="I281" s="588"/>
      <c r="J281" s="588"/>
      <c r="K281" s="588"/>
      <c r="L281" s="588"/>
      <c r="M281" s="588"/>
      <c r="N281" s="588"/>
      <c r="O281" s="588"/>
      <c r="P281" s="588"/>
      <c r="Q281" s="588"/>
      <c r="R281" s="588"/>
    </row>
    <row r="282" customFormat="false" ht="13.8" hidden="false" customHeight="false" outlineLevel="0" collapsed="false">
      <c r="B282" s="640"/>
      <c r="C282" s="640"/>
      <c r="D282" s="640"/>
      <c r="E282" s="588"/>
      <c r="F282" s="588"/>
      <c r="G282" s="588"/>
      <c r="H282" s="588"/>
      <c r="I282" s="588"/>
      <c r="J282" s="588"/>
      <c r="K282" s="588"/>
      <c r="L282" s="588"/>
      <c r="M282" s="588"/>
      <c r="N282" s="588"/>
      <c r="O282" s="588"/>
      <c r="P282" s="588"/>
      <c r="Q282" s="588"/>
      <c r="R282" s="588"/>
    </row>
    <row r="283" customFormat="false" ht="13.8" hidden="false" customHeight="false" outlineLevel="0" collapsed="false">
      <c r="B283" s="640"/>
      <c r="C283" s="640"/>
      <c r="D283" s="640"/>
      <c r="E283" s="588"/>
      <c r="F283" s="588"/>
      <c r="G283" s="588"/>
      <c r="H283" s="588"/>
      <c r="I283" s="588"/>
      <c r="J283" s="588"/>
      <c r="K283" s="588"/>
      <c r="L283" s="588"/>
      <c r="M283" s="588"/>
      <c r="N283" s="588"/>
      <c r="O283" s="588"/>
      <c r="P283" s="588"/>
      <c r="Q283" s="588"/>
      <c r="R283" s="588"/>
    </row>
    <row r="284" customFormat="false" ht="13.8" hidden="false" customHeight="false" outlineLevel="0" collapsed="false">
      <c r="B284" s="640"/>
      <c r="C284" s="640"/>
      <c r="D284" s="640"/>
      <c r="E284" s="588"/>
      <c r="F284" s="588"/>
      <c r="G284" s="588"/>
      <c r="H284" s="588"/>
      <c r="I284" s="588"/>
      <c r="J284" s="588"/>
      <c r="K284" s="588"/>
      <c r="L284" s="588"/>
      <c r="M284" s="588"/>
      <c r="N284" s="588"/>
      <c r="O284" s="588"/>
      <c r="P284" s="588"/>
      <c r="Q284" s="588"/>
      <c r="R284" s="588"/>
    </row>
    <row r="285" customFormat="false" ht="13.8" hidden="false" customHeight="false" outlineLevel="0" collapsed="false">
      <c r="B285" s="640"/>
      <c r="C285" s="640"/>
      <c r="D285" s="640"/>
      <c r="E285" s="588"/>
      <c r="F285" s="588"/>
      <c r="G285" s="588"/>
      <c r="H285" s="588"/>
      <c r="I285" s="588"/>
      <c r="J285" s="588"/>
      <c r="K285" s="588"/>
      <c r="L285" s="588"/>
      <c r="M285" s="588"/>
      <c r="N285" s="588"/>
      <c r="O285" s="588"/>
      <c r="P285" s="588"/>
      <c r="Q285" s="588"/>
      <c r="R285" s="588"/>
    </row>
    <row r="286" customFormat="false" ht="13.8" hidden="false" customHeight="false" outlineLevel="0" collapsed="false">
      <c r="B286" s="640"/>
      <c r="C286" s="640"/>
      <c r="D286" s="640"/>
      <c r="E286" s="588"/>
      <c r="F286" s="588"/>
      <c r="G286" s="588"/>
      <c r="H286" s="588"/>
      <c r="I286" s="588"/>
      <c r="J286" s="588"/>
      <c r="K286" s="588"/>
      <c r="L286" s="588"/>
      <c r="M286" s="588"/>
      <c r="N286" s="588"/>
      <c r="O286" s="588"/>
      <c r="P286" s="588"/>
      <c r="Q286" s="588"/>
      <c r="R286" s="588"/>
    </row>
    <row r="287" customFormat="false" ht="13.8" hidden="false" customHeight="false" outlineLevel="0" collapsed="false">
      <c r="B287" s="640"/>
      <c r="C287" s="640"/>
      <c r="D287" s="640"/>
      <c r="E287" s="588"/>
      <c r="F287" s="588"/>
      <c r="G287" s="588"/>
      <c r="H287" s="588"/>
      <c r="I287" s="588"/>
      <c r="J287" s="588"/>
      <c r="K287" s="588"/>
      <c r="L287" s="588"/>
      <c r="M287" s="588"/>
      <c r="N287" s="588"/>
      <c r="O287" s="588"/>
      <c r="P287" s="588"/>
      <c r="Q287" s="588"/>
      <c r="R287" s="588"/>
    </row>
    <row r="288" customFormat="false" ht="13.8" hidden="false" customHeight="false" outlineLevel="0" collapsed="false">
      <c r="B288" s="640"/>
      <c r="C288" s="640"/>
      <c r="D288" s="640"/>
      <c r="E288" s="588"/>
      <c r="F288" s="588"/>
      <c r="G288" s="588"/>
      <c r="H288" s="588"/>
      <c r="I288" s="588"/>
      <c r="J288" s="588"/>
      <c r="K288" s="588"/>
      <c r="L288" s="588"/>
      <c r="M288" s="588"/>
      <c r="N288" s="588"/>
      <c r="O288" s="588"/>
      <c r="P288" s="588"/>
      <c r="Q288" s="588"/>
      <c r="R288" s="588"/>
    </row>
    <row r="289" customFormat="false" ht="13.8" hidden="false" customHeight="false" outlineLevel="0" collapsed="false">
      <c r="B289" s="640"/>
      <c r="C289" s="640"/>
      <c r="D289" s="640"/>
      <c r="E289" s="588"/>
      <c r="F289" s="588"/>
      <c r="G289" s="588"/>
      <c r="H289" s="588"/>
      <c r="I289" s="588"/>
      <c r="J289" s="588"/>
      <c r="K289" s="588"/>
      <c r="L289" s="588"/>
      <c r="M289" s="588"/>
      <c r="N289" s="588"/>
      <c r="O289" s="588"/>
      <c r="P289" s="588"/>
      <c r="Q289" s="588"/>
      <c r="R289" s="588"/>
    </row>
    <row r="290" customFormat="false" ht="13.8" hidden="false" customHeight="false" outlineLevel="0" collapsed="false">
      <c r="B290" s="640"/>
      <c r="C290" s="640"/>
      <c r="D290" s="640"/>
      <c r="E290" s="588"/>
      <c r="F290" s="588"/>
      <c r="G290" s="588"/>
      <c r="H290" s="588"/>
      <c r="I290" s="588"/>
      <c r="J290" s="588"/>
      <c r="K290" s="588"/>
      <c r="L290" s="588"/>
      <c r="M290" s="588"/>
      <c r="N290" s="588"/>
      <c r="O290" s="588"/>
      <c r="P290" s="588"/>
      <c r="Q290" s="588"/>
      <c r="R290" s="588"/>
    </row>
    <row r="291" customFormat="false" ht="13.8" hidden="false" customHeight="false" outlineLevel="0" collapsed="false">
      <c r="B291" s="640"/>
      <c r="C291" s="640"/>
      <c r="D291" s="640"/>
      <c r="E291" s="588"/>
      <c r="F291" s="588"/>
      <c r="G291" s="588"/>
      <c r="H291" s="588"/>
      <c r="I291" s="588"/>
      <c r="J291" s="588"/>
      <c r="K291" s="588"/>
      <c r="L291" s="588"/>
      <c r="M291" s="588"/>
      <c r="N291" s="588"/>
      <c r="O291" s="588"/>
      <c r="P291" s="588"/>
      <c r="Q291" s="588"/>
      <c r="R291" s="588"/>
    </row>
    <row r="292" customFormat="false" ht="13.8" hidden="false" customHeight="false" outlineLevel="0" collapsed="false">
      <c r="B292" s="640"/>
      <c r="C292" s="640"/>
      <c r="D292" s="640"/>
      <c r="E292" s="588"/>
      <c r="F292" s="588"/>
      <c r="G292" s="588"/>
      <c r="H292" s="588"/>
      <c r="I292" s="588"/>
      <c r="J292" s="588"/>
      <c r="K292" s="588"/>
      <c r="L292" s="588"/>
      <c r="M292" s="588"/>
      <c r="N292" s="588"/>
      <c r="O292" s="588"/>
      <c r="P292" s="588"/>
      <c r="Q292" s="588"/>
      <c r="R292" s="588"/>
    </row>
    <row r="293" customFormat="false" ht="13.8" hidden="false" customHeight="false" outlineLevel="0" collapsed="false">
      <c r="B293" s="640"/>
      <c r="C293" s="640"/>
      <c r="D293" s="640"/>
      <c r="E293" s="588"/>
      <c r="F293" s="588"/>
      <c r="G293" s="588"/>
      <c r="H293" s="588"/>
      <c r="I293" s="588"/>
      <c r="J293" s="588"/>
      <c r="K293" s="588"/>
      <c r="L293" s="588"/>
      <c r="M293" s="588"/>
      <c r="N293" s="588"/>
      <c r="O293" s="588"/>
      <c r="P293" s="588"/>
      <c r="Q293" s="588"/>
      <c r="R293" s="588"/>
    </row>
    <row r="294" customFormat="false" ht="13.8" hidden="false" customHeight="false" outlineLevel="0" collapsed="false">
      <c r="B294" s="640"/>
      <c r="C294" s="640"/>
      <c r="D294" s="640"/>
      <c r="E294" s="588"/>
      <c r="F294" s="588"/>
      <c r="G294" s="588"/>
      <c r="H294" s="588"/>
      <c r="I294" s="588"/>
      <c r="J294" s="588"/>
      <c r="K294" s="588"/>
      <c r="L294" s="588"/>
      <c r="M294" s="588"/>
      <c r="N294" s="588"/>
      <c r="O294" s="588"/>
      <c r="P294" s="588"/>
      <c r="Q294" s="588"/>
      <c r="R294" s="588"/>
    </row>
    <row r="295" customFormat="false" ht="13.8" hidden="false" customHeight="false" outlineLevel="0" collapsed="false">
      <c r="B295" s="640"/>
      <c r="C295" s="640"/>
      <c r="D295" s="640"/>
      <c r="E295" s="588"/>
      <c r="F295" s="588"/>
      <c r="G295" s="588"/>
      <c r="H295" s="588"/>
      <c r="I295" s="588"/>
      <c r="J295" s="588"/>
      <c r="K295" s="588"/>
      <c r="L295" s="588"/>
      <c r="M295" s="588"/>
      <c r="N295" s="588"/>
      <c r="O295" s="588"/>
      <c r="P295" s="588"/>
      <c r="Q295" s="588"/>
      <c r="R295" s="588"/>
    </row>
    <row r="296" customFormat="false" ht="13.8" hidden="false" customHeight="false" outlineLevel="0" collapsed="false">
      <c r="B296" s="640"/>
      <c r="C296" s="640"/>
      <c r="D296" s="640"/>
      <c r="E296" s="588"/>
      <c r="F296" s="588"/>
      <c r="G296" s="588"/>
      <c r="H296" s="588"/>
      <c r="I296" s="588"/>
      <c r="J296" s="588"/>
      <c r="K296" s="588"/>
      <c r="L296" s="588"/>
      <c r="M296" s="588"/>
      <c r="N296" s="588"/>
      <c r="O296" s="588"/>
      <c r="P296" s="588"/>
      <c r="Q296" s="588"/>
      <c r="R296" s="588"/>
    </row>
    <row r="297" customFormat="false" ht="13.8" hidden="false" customHeight="false" outlineLevel="0" collapsed="false">
      <c r="B297" s="640"/>
      <c r="C297" s="640"/>
      <c r="D297" s="640"/>
      <c r="E297" s="588"/>
      <c r="F297" s="588"/>
      <c r="G297" s="588"/>
      <c r="H297" s="588"/>
      <c r="I297" s="588"/>
      <c r="J297" s="588"/>
      <c r="K297" s="588"/>
      <c r="L297" s="588"/>
      <c r="M297" s="588"/>
      <c r="N297" s="588"/>
      <c r="O297" s="588"/>
      <c r="P297" s="588"/>
      <c r="Q297" s="588"/>
      <c r="R297" s="588"/>
    </row>
    <row r="298" customFormat="false" ht="13.8" hidden="false" customHeight="false" outlineLevel="0" collapsed="false">
      <c r="B298" s="640"/>
      <c r="C298" s="640"/>
      <c r="D298" s="640"/>
      <c r="E298" s="588"/>
      <c r="F298" s="588"/>
      <c r="G298" s="588"/>
      <c r="H298" s="588"/>
      <c r="I298" s="588"/>
      <c r="J298" s="588"/>
      <c r="K298" s="588"/>
      <c r="L298" s="588"/>
      <c r="M298" s="588"/>
      <c r="N298" s="588"/>
      <c r="O298" s="588"/>
      <c r="P298" s="588"/>
      <c r="Q298" s="588"/>
      <c r="R298" s="588"/>
    </row>
    <row r="299" customFormat="false" ht="13.8" hidden="false" customHeight="false" outlineLevel="0" collapsed="false">
      <c r="B299" s="640"/>
      <c r="C299" s="640"/>
      <c r="D299" s="640"/>
      <c r="E299" s="588"/>
      <c r="F299" s="588"/>
      <c r="G299" s="588"/>
      <c r="H299" s="588"/>
      <c r="I299" s="588"/>
      <c r="J299" s="588"/>
      <c r="K299" s="588"/>
      <c r="L299" s="588"/>
      <c r="M299" s="588"/>
      <c r="N299" s="588"/>
      <c r="O299" s="588"/>
      <c r="P299" s="588"/>
      <c r="Q299" s="588"/>
      <c r="R299" s="588"/>
    </row>
    <row r="300" customFormat="false" ht="13.8" hidden="false" customHeight="false" outlineLevel="0" collapsed="false">
      <c r="B300" s="640"/>
      <c r="C300" s="640"/>
      <c r="D300" s="640"/>
      <c r="E300" s="588"/>
      <c r="F300" s="588"/>
      <c r="G300" s="588"/>
      <c r="H300" s="588"/>
      <c r="I300" s="588"/>
      <c r="J300" s="588"/>
      <c r="K300" s="588"/>
      <c r="L300" s="588"/>
      <c r="M300" s="588"/>
      <c r="N300" s="588"/>
      <c r="O300" s="588"/>
      <c r="P300" s="588"/>
      <c r="Q300" s="588"/>
      <c r="R300" s="588"/>
    </row>
    <row r="301" customFormat="false" ht="13.8" hidden="false" customHeight="false" outlineLevel="0" collapsed="false">
      <c r="B301" s="640"/>
      <c r="C301" s="640"/>
      <c r="D301" s="640"/>
      <c r="E301" s="588"/>
      <c r="F301" s="588"/>
      <c r="G301" s="588"/>
      <c r="H301" s="588"/>
      <c r="I301" s="588"/>
      <c r="J301" s="588"/>
      <c r="K301" s="588"/>
      <c r="L301" s="588"/>
      <c r="M301" s="588"/>
      <c r="N301" s="588"/>
      <c r="O301" s="588"/>
      <c r="P301" s="588"/>
      <c r="Q301" s="588"/>
      <c r="R301" s="588"/>
    </row>
    <row r="302" customFormat="false" ht="13.8" hidden="false" customHeight="false" outlineLevel="0" collapsed="false">
      <c r="B302" s="640"/>
      <c r="C302" s="640"/>
      <c r="D302" s="640"/>
      <c r="E302" s="588"/>
      <c r="F302" s="588"/>
      <c r="G302" s="588"/>
      <c r="H302" s="588"/>
      <c r="I302" s="588"/>
      <c r="J302" s="588"/>
      <c r="K302" s="588"/>
      <c r="L302" s="588"/>
      <c r="M302" s="588"/>
      <c r="N302" s="588"/>
      <c r="O302" s="588"/>
      <c r="P302" s="588"/>
      <c r="Q302" s="588"/>
      <c r="R302" s="588"/>
    </row>
    <row r="303" customFormat="false" ht="15" hidden="false" customHeight="true" outlineLevel="0" collapsed="false">
      <c r="B303" s="640"/>
      <c r="C303" s="640"/>
      <c r="D303" s="640"/>
      <c r="E303" s="588"/>
      <c r="F303" s="588"/>
      <c r="G303" s="666"/>
      <c r="H303" s="666"/>
      <c r="I303" s="666"/>
      <c r="J303" s="666"/>
      <c r="K303" s="666"/>
      <c r="L303" s="666"/>
      <c r="M303" s="666"/>
      <c r="N303" s="666"/>
      <c r="O303" s="666"/>
      <c r="P303" s="666"/>
      <c r="Q303" s="588"/>
      <c r="R303" s="588"/>
    </row>
    <row r="304" customFormat="false" ht="15" hidden="false" customHeight="true" outlineLevel="0" collapsed="false">
      <c r="B304" s="640"/>
      <c r="C304" s="640"/>
      <c r="D304" s="640"/>
      <c r="E304" s="588"/>
      <c r="F304" s="588"/>
      <c r="G304" s="666"/>
      <c r="H304" s="666"/>
      <c r="I304" s="666"/>
      <c r="J304" s="666"/>
      <c r="K304" s="666"/>
      <c r="L304" s="666"/>
      <c r="M304" s="666"/>
      <c r="N304" s="666"/>
      <c r="O304" s="666"/>
      <c r="P304" s="666"/>
      <c r="Q304" s="588"/>
      <c r="R304" s="588"/>
    </row>
    <row r="305" customFormat="false" ht="15" hidden="false" customHeight="true" outlineLevel="0" collapsed="false">
      <c r="B305" s="640"/>
      <c r="C305" s="640"/>
      <c r="D305" s="640"/>
      <c r="E305" s="588"/>
      <c r="F305" s="588"/>
      <c r="G305" s="666"/>
      <c r="H305" s="666"/>
      <c r="I305" s="666"/>
      <c r="J305" s="666"/>
      <c r="K305" s="666"/>
      <c r="L305" s="666"/>
      <c r="M305" s="666"/>
      <c r="N305" s="666"/>
      <c r="O305" s="666"/>
      <c r="P305" s="666"/>
      <c r="Q305" s="588"/>
      <c r="R305" s="588"/>
    </row>
    <row r="306" customFormat="false" ht="15" hidden="false" customHeight="true" outlineLevel="0" collapsed="false">
      <c r="B306" s="640"/>
      <c r="C306" s="640"/>
      <c r="D306" s="640"/>
      <c r="E306" s="588"/>
      <c r="F306" s="588"/>
      <c r="G306" s="666"/>
      <c r="H306" s="666"/>
      <c r="I306" s="666"/>
      <c r="J306" s="666"/>
      <c r="K306" s="666"/>
      <c r="L306" s="666"/>
      <c r="M306" s="666"/>
      <c r="N306" s="666"/>
      <c r="O306" s="666"/>
      <c r="P306" s="666"/>
      <c r="Q306" s="588"/>
      <c r="R306" s="588"/>
    </row>
    <row r="307" customFormat="false" ht="15" hidden="false" customHeight="true" outlineLevel="0" collapsed="false">
      <c r="B307" s="640"/>
      <c r="C307" s="640"/>
      <c r="D307" s="640"/>
      <c r="E307" s="588"/>
      <c r="F307" s="588"/>
      <c r="G307" s="666"/>
      <c r="H307" s="666"/>
      <c r="I307" s="666"/>
      <c r="J307" s="666"/>
      <c r="K307" s="666"/>
      <c r="L307" s="666"/>
      <c r="M307" s="666"/>
      <c r="N307" s="666"/>
      <c r="O307" s="666"/>
      <c r="P307" s="666"/>
      <c r="Q307" s="588"/>
      <c r="R307" s="588"/>
    </row>
    <row r="308" customFormat="false" ht="15" hidden="false" customHeight="true" outlineLevel="0" collapsed="false">
      <c r="B308" s="640"/>
      <c r="C308" s="640"/>
      <c r="D308" s="640"/>
      <c r="E308" s="588"/>
      <c r="F308" s="588"/>
      <c r="G308" s="666"/>
      <c r="H308" s="666"/>
      <c r="I308" s="666"/>
      <c r="J308" s="666"/>
      <c r="K308" s="666"/>
      <c r="L308" s="666"/>
      <c r="M308" s="666"/>
      <c r="N308" s="666"/>
      <c r="O308" s="666"/>
      <c r="P308" s="666"/>
      <c r="Q308" s="588"/>
      <c r="R308" s="588"/>
    </row>
    <row r="309" customFormat="false" ht="15" hidden="false" customHeight="true" outlineLevel="0" collapsed="false">
      <c r="B309" s="640"/>
      <c r="C309" s="640"/>
      <c r="D309" s="640"/>
      <c r="E309" s="588"/>
      <c r="F309" s="588"/>
      <c r="G309" s="666"/>
      <c r="H309" s="666"/>
      <c r="I309" s="666"/>
      <c r="J309" s="666"/>
      <c r="K309" s="666"/>
      <c r="L309" s="666"/>
      <c r="M309" s="666"/>
      <c r="N309" s="666"/>
      <c r="O309" s="666"/>
      <c r="P309" s="666"/>
      <c r="Q309" s="588"/>
      <c r="R309" s="588"/>
    </row>
    <row r="310" customFormat="false" ht="15" hidden="false" customHeight="true" outlineLevel="0" collapsed="false">
      <c r="B310" s="640"/>
      <c r="C310" s="640"/>
      <c r="D310" s="640"/>
      <c r="E310" s="588"/>
      <c r="F310" s="588"/>
      <c r="G310" s="666"/>
      <c r="H310" s="666"/>
      <c r="I310" s="666"/>
      <c r="J310" s="666"/>
      <c r="K310" s="666"/>
      <c r="L310" s="666"/>
      <c r="M310" s="666"/>
      <c r="N310" s="666"/>
      <c r="O310" s="666"/>
      <c r="P310" s="666"/>
      <c r="Q310" s="588"/>
      <c r="R310" s="588"/>
    </row>
    <row r="311" customFormat="false" ht="15" hidden="false" customHeight="true" outlineLevel="0" collapsed="false">
      <c r="B311" s="640"/>
      <c r="C311" s="640"/>
      <c r="D311" s="640"/>
      <c r="E311" s="588"/>
      <c r="F311" s="588"/>
      <c r="G311" s="666"/>
      <c r="H311" s="666"/>
      <c r="I311" s="666"/>
      <c r="J311" s="666"/>
      <c r="K311" s="666"/>
      <c r="L311" s="666"/>
      <c r="M311" s="666"/>
      <c r="N311" s="666"/>
      <c r="O311" s="666"/>
      <c r="P311" s="666"/>
      <c r="Q311" s="588"/>
      <c r="R311" s="588"/>
    </row>
    <row r="312" customFormat="false" ht="15" hidden="false" customHeight="true" outlineLevel="0" collapsed="false">
      <c r="B312" s="640"/>
      <c r="C312" s="640"/>
      <c r="D312" s="640"/>
      <c r="E312" s="588"/>
      <c r="F312" s="588"/>
      <c r="G312" s="666"/>
      <c r="H312" s="666"/>
      <c r="I312" s="666"/>
      <c r="J312" s="666"/>
      <c r="K312" s="666"/>
      <c r="L312" s="666"/>
      <c r="M312" s="666"/>
      <c r="N312" s="666"/>
      <c r="O312" s="666"/>
      <c r="P312" s="666"/>
      <c r="Q312" s="588"/>
      <c r="R312" s="588"/>
    </row>
    <row r="313" customFormat="false" ht="15" hidden="false" customHeight="true" outlineLevel="0" collapsed="false">
      <c r="B313" s="640"/>
      <c r="C313" s="640"/>
      <c r="D313" s="640"/>
      <c r="E313" s="588"/>
      <c r="F313" s="588"/>
      <c r="G313" s="666"/>
      <c r="H313" s="666"/>
      <c r="I313" s="666"/>
      <c r="J313" s="666"/>
      <c r="K313" s="666"/>
      <c r="L313" s="666"/>
      <c r="M313" s="666"/>
      <c r="N313" s="666"/>
      <c r="O313" s="666"/>
      <c r="P313" s="666"/>
      <c r="Q313" s="588"/>
      <c r="R313" s="588"/>
    </row>
    <row r="314" customFormat="false" ht="15" hidden="false" customHeight="true" outlineLevel="0" collapsed="false">
      <c r="B314" s="640"/>
      <c r="C314" s="640"/>
      <c r="D314" s="640"/>
      <c r="E314" s="588"/>
      <c r="F314" s="588"/>
      <c r="G314" s="666"/>
      <c r="H314" s="666"/>
      <c r="I314" s="666"/>
      <c r="J314" s="666"/>
      <c r="K314" s="666"/>
      <c r="L314" s="666"/>
      <c r="M314" s="666"/>
      <c r="N314" s="666"/>
      <c r="O314" s="666"/>
      <c r="P314" s="666"/>
      <c r="Q314" s="588"/>
      <c r="R314" s="588"/>
    </row>
    <row r="315" customFormat="false" ht="15" hidden="false" customHeight="true" outlineLevel="0" collapsed="false">
      <c r="B315" s="640"/>
      <c r="C315" s="640"/>
      <c r="D315" s="640"/>
      <c r="E315" s="588"/>
      <c r="F315" s="588"/>
      <c r="G315" s="666"/>
      <c r="H315" s="666"/>
      <c r="I315" s="666"/>
      <c r="J315" s="666"/>
      <c r="K315" s="666"/>
      <c r="L315" s="666"/>
      <c r="M315" s="666"/>
      <c r="N315" s="666"/>
      <c r="O315" s="666"/>
      <c r="P315" s="666"/>
      <c r="Q315" s="588"/>
      <c r="R315" s="588"/>
    </row>
    <row r="316" customFormat="false" ht="15" hidden="false" customHeight="true" outlineLevel="0" collapsed="false">
      <c r="B316" s="640"/>
      <c r="C316" s="640"/>
      <c r="D316" s="640"/>
      <c r="E316" s="588"/>
      <c r="F316" s="588"/>
      <c r="G316" s="666"/>
      <c r="H316" s="666"/>
      <c r="I316" s="666"/>
      <c r="J316" s="666"/>
      <c r="K316" s="666"/>
      <c r="L316" s="666"/>
      <c r="M316" s="666"/>
      <c r="N316" s="666"/>
      <c r="O316" s="666"/>
      <c r="P316" s="666"/>
      <c r="Q316" s="588"/>
      <c r="R316" s="588"/>
    </row>
    <row r="317" customFormat="false" ht="15" hidden="false" customHeight="true" outlineLevel="0" collapsed="false">
      <c r="B317" s="640"/>
      <c r="C317" s="640"/>
      <c r="D317" s="640"/>
      <c r="E317" s="588"/>
      <c r="F317" s="588"/>
      <c r="G317" s="666"/>
      <c r="H317" s="666"/>
      <c r="I317" s="666"/>
      <c r="J317" s="666"/>
      <c r="K317" s="666"/>
      <c r="L317" s="666"/>
      <c r="M317" s="666"/>
      <c r="N317" s="666"/>
      <c r="O317" s="666"/>
      <c r="P317" s="666"/>
      <c r="Q317" s="588"/>
      <c r="R317" s="588"/>
    </row>
    <row r="318" customFormat="false" ht="15" hidden="false" customHeight="true" outlineLevel="0" collapsed="false">
      <c r="B318" s="640"/>
      <c r="C318" s="640"/>
      <c r="D318" s="640"/>
      <c r="E318" s="588"/>
      <c r="F318" s="588"/>
      <c r="G318" s="666"/>
      <c r="H318" s="666"/>
      <c r="I318" s="666"/>
      <c r="J318" s="666"/>
      <c r="K318" s="666"/>
      <c r="L318" s="666"/>
      <c r="M318" s="666"/>
      <c r="N318" s="666"/>
      <c r="O318" s="666"/>
      <c r="P318" s="666"/>
      <c r="Q318" s="588"/>
      <c r="R318" s="588"/>
    </row>
    <row r="319" customFormat="false" ht="15" hidden="false" customHeight="true" outlineLevel="0" collapsed="false">
      <c r="B319" s="640"/>
      <c r="C319" s="640"/>
      <c r="D319" s="640"/>
      <c r="E319" s="588"/>
      <c r="F319" s="588"/>
      <c r="G319" s="666"/>
      <c r="H319" s="666"/>
      <c r="I319" s="666"/>
      <c r="J319" s="666"/>
      <c r="K319" s="666"/>
      <c r="L319" s="666"/>
      <c r="M319" s="666"/>
      <c r="N319" s="666"/>
      <c r="O319" s="666"/>
      <c r="P319" s="666"/>
      <c r="Q319" s="588"/>
      <c r="R319" s="588"/>
    </row>
    <row r="320" customFormat="false" ht="15.75" hidden="false" customHeight="true" outlineLevel="0" collapsed="false">
      <c r="B320" s="640"/>
      <c r="C320" s="640"/>
      <c r="D320" s="640"/>
      <c r="E320" s="588"/>
      <c r="F320" s="588"/>
      <c r="G320" s="666"/>
      <c r="H320" s="666"/>
      <c r="I320" s="666"/>
      <c r="J320" s="666"/>
      <c r="K320" s="666"/>
      <c r="L320" s="666"/>
      <c r="M320" s="666"/>
      <c r="N320" s="666"/>
      <c r="O320" s="666"/>
      <c r="P320" s="666"/>
      <c r="Q320" s="588"/>
      <c r="R320" s="588"/>
    </row>
    <row r="321" customFormat="false" ht="13.8" hidden="false" customHeight="false" outlineLevel="0" collapsed="false">
      <c r="B321" s="640"/>
      <c r="C321" s="640"/>
      <c r="D321" s="640"/>
      <c r="E321" s="588"/>
      <c r="F321" s="588"/>
      <c r="G321" s="588"/>
      <c r="H321" s="588"/>
      <c r="I321" s="588"/>
      <c r="J321" s="588"/>
      <c r="K321" s="588"/>
      <c r="L321" s="588"/>
      <c r="M321" s="588"/>
      <c r="N321" s="588"/>
      <c r="O321" s="588"/>
      <c r="P321" s="588"/>
      <c r="Q321" s="588"/>
      <c r="R321" s="588"/>
    </row>
    <row r="322" customFormat="false" ht="13.8" hidden="false" customHeight="false" outlineLevel="0" collapsed="false">
      <c r="B322" s="640"/>
      <c r="C322" s="640"/>
      <c r="D322" s="640"/>
      <c r="E322" s="588"/>
      <c r="F322" s="588"/>
      <c r="G322" s="588"/>
      <c r="H322" s="588"/>
      <c r="I322" s="588"/>
      <c r="J322" s="588"/>
      <c r="K322" s="588"/>
      <c r="L322" s="588"/>
      <c r="M322" s="588"/>
      <c r="N322" s="588"/>
      <c r="O322" s="588"/>
      <c r="P322" s="588"/>
      <c r="Q322" s="588"/>
      <c r="R322" s="588"/>
    </row>
    <row r="323" customFormat="false" ht="13.8" hidden="false" customHeight="false" outlineLevel="0" collapsed="false">
      <c r="B323" s="640"/>
      <c r="C323" s="640"/>
      <c r="D323" s="640"/>
      <c r="E323" s="588"/>
      <c r="F323" s="588"/>
      <c r="G323" s="588"/>
      <c r="H323" s="588"/>
      <c r="I323" s="588"/>
      <c r="J323" s="588"/>
      <c r="K323" s="588"/>
      <c r="L323" s="588"/>
      <c r="M323" s="588"/>
      <c r="N323" s="588"/>
      <c r="O323" s="588"/>
      <c r="P323" s="588"/>
      <c r="Q323" s="588"/>
      <c r="R323" s="588"/>
    </row>
    <row r="324" customFormat="false" ht="13.8" hidden="false" customHeight="false" outlineLevel="0" collapsed="false">
      <c r="B324" s="640"/>
      <c r="C324" s="640"/>
      <c r="D324" s="640"/>
      <c r="E324" s="588"/>
      <c r="F324" s="588"/>
      <c r="G324" s="588"/>
      <c r="H324" s="588"/>
      <c r="I324" s="588"/>
      <c r="J324" s="588"/>
      <c r="K324" s="588"/>
      <c r="L324" s="588"/>
      <c r="M324" s="588"/>
      <c r="N324" s="588"/>
      <c r="O324" s="588"/>
      <c r="P324" s="588"/>
      <c r="Q324" s="588"/>
      <c r="R324" s="588"/>
    </row>
    <row r="325" customFormat="false" ht="13.8" hidden="false" customHeight="false" outlineLevel="0" collapsed="false">
      <c r="B325" s="640"/>
      <c r="C325" s="640"/>
      <c r="D325" s="640"/>
      <c r="E325" s="588"/>
      <c r="F325" s="588"/>
      <c r="G325" s="588"/>
      <c r="H325" s="588"/>
      <c r="I325" s="588"/>
      <c r="J325" s="588"/>
      <c r="K325" s="588"/>
      <c r="L325" s="588"/>
      <c r="M325" s="588"/>
      <c r="N325" s="588"/>
      <c r="O325" s="588"/>
      <c r="P325" s="588"/>
      <c r="Q325" s="588"/>
      <c r="R325" s="588"/>
    </row>
    <row r="326" customFormat="false" ht="13.8" hidden="false" customHeight="false" outlineLevel="0" collapsed="false">
      <c r="B326" s="640"/>
      <c r="C326" s="640"/>
      <c r="D326" s="640"/>
      <c r="E326" s="588"/>
      <c r="F326" s="588"/>
      <c r="G326" s="588"/>
      <c r="H326" s="588"/>
      <c r="I326" s="588"/>
      <c r="J326" s="588"/>
      <c r="K326" s="588"/>
      <c r="L326" s="588"/>
      <c r="M326" s="588"/>
      <c r="N326" s="588"/>
      <c r="O326" s="588"/>
      <c r="P326" s="588"/>
      <c r="Q326" s="588"/>
      <c r="R326" s="588"/>
    </row>
    <row r="327" customFormat="false" ht="13.8" hidden="false" customHeight="false" outlineLevel="0" collapsed="false">
      <c r="B327" s="640"/>
      <c r="C327" s="640"/>
      <c r="D327" s="640"/>
      <c r="E327" s="588"/>
      <c r="F327" s="588"/>
      <c r="G327" s="588"/>
      <c r="H327" s="588"/>
      <c r="I327" s="588"/>
      <c r="J327" s="588"/>
      <c r="K327" s="588"/>
      <c r="L327" s="588"/>
      <c r="M327" s="588"/>
      <c r="N327" s="588"/>
      <c r="O327" s="588"/>
      <c r="P327" s="588"/>
      <c r="Q327" s="588"/>
      <c r="R327" s="588"/>
    </row>
    <row r="328" customFormat="false" ht="13.8" hidden="false" customHeight="false" outlineLevel="0" collapsed="false">
      <c r="B328" s="640"/>
      <c r="C328" s="640"/>
      <c r="D328" s="640"/>
      <c r="E328" s="588"/>
      <c r="F328" s="588"/>
      <c r="G328" s="588"/>
      <c r="H328" s="588"/>
      <c r="I328" s="588"/>
      <c r="J328" s="588"/>
      <c r="K328" s="588"/>
      <c r="L328" s="588"/>
      <c r="M328" s="588"/>
      <c r="N328" s="588"/>
      <c r="O328" s="588"/>
      <c r="P328" s="588"/>
      <c r="Q328" s="588"/>
      <c r="R328" s="588"/>
    </row>
    <row r="329" customFormat="false" ht="13.8" hidden="false" customHeight="false" outlineLevel="0" collapsed="false">
      <c r="B329" s="640"/>
      <c r="C329" s="640"/>
      <c r="D329" s="640"/>
      <c r="E329" s="588"/>
      <c r="F329" s="588"/>
      <c r="G329" s="588"/>
      <c r="H329" s="588"/>
      <c r="I329" s="588"/>
      <c r="J329" s="588"/>
      <c r="K329" s="588"/>
      <c r="L329" s="588"/>
      <c r="M329" s="588"/>
      <c r="N329" s="588"/>
      <c r="O329" s="588"/>
      <c r="P329" s="588"/>
      <c r="Q329" s="588"/>
      <c r="R329" s="588"/>
    </row>
    <row r="330" customFormat="false" ht="13.8" hidden="false" customHeight="false" outlineLevel="0" collapsed="false">
      <c r="B330" s="640"/>
      <c r="C330" s="640"/>
      <c r="D330" s="640"/>
      <c r="E330" s="588"/>
      <c r="F330" s="588"/>
      <c r="G330" s="588"/>
      <c r="H330" s="588"/>
      <c r="I330" s="588"/>
      <c r="J330" s="588"/>
      <c r="K330" s="588"/>
      <c r="L330" s="588"/>
      <c r="M330" s="588"/>
      <c r="N330" s="588"/>
      <c r="O330" s="588"/>
      <c r="P330" s="588"/>
      <c r="Q330" s="588"/>
      <c r="R330" s="588"/>
    </row>
    <row r="331" customFormat="false" ht="13.8" hidden="false" customHeight="false" outlineLevel="0" collapsed="false">
      <c r="B331" s="640"/>
      <c r="C331" s="640"/>
      <c r="D331" s="640"/>
      <c r="E331" s="588"/>
      <c r="F331" s="588"/>
      <c r="G331" s="588"/>
      <c r="H331" s="588"/>
      <c r="I331" s="588"/>
      <c r="J331" s="588"/>
      <c r="K331" s="588"/>
      <c r="L331" s="588"/>
      <c r="M331" s="588"/>
      <c r="N331" s="588"/>
      <c r="O331" s="588"/>
      <c r="P331" s="588"/>
      <c r="Q331" s="588"/>
      <c r="R331" s="588"/>
    </row>
    <row r="332" customFormat="false" ht="13.8" hidden="false" customHeight="false" outlineLevel="0" collapsed="false">
      <c r="B332" s="640"/>
      <c r="C332" s="640"/>
      <c r="D332" s="640"/>
      <c r="E332" s="588"/>
      <c r="F332" s="588"/>
      <c r="G332" s="588"/>
      <c r="H332" s="588"/>
      <c r="I332" s="588"/>
      <c r="J332" s="588"/>
      <c r="K332" s="588"/>
      <c r="L332" s="588"/>
      <c r="M332" s="588"/>
      <c r="N332" s="588"/>
      <c r="O332" s="588"/>
      <c r="P332" s="588"/>
      <c r="Q332" s="588"/>
      <c r="R332" s="588"/>
    </row>
    <row r="333" customFormat="false" ht="13.8" hidden="false" customHeight="false" outlineLevel="0" collapsed="false">
      <c r="B333" s="640"/>
      <c r="C333" s="640"/>
      <c r="D333" s="640"/>
      <c r="E333" s="588"/>
      <c r="F333" s="588"/>
      <c r="G333" s="588"/>
      <c r="H333" s="588"/>
      <c r="I333" s="588"/>
      <c r="J333" s="588"/>
      <c r="K333" s="588"/>
      <c r="L333" s="588"/>
      <c r="M333" s="588"/>
      <c r="N333" s="588"/>
      <c r="O333" s="588"/>
      <c r="P333" s="588"/>
      <c r="Q333" s="588"/>
      <c r="R333" s="588"/>
    </row>
    <row r="334" customFormat="false" ht="13.8" hidden="false" customHeight="false" outlineLevel="0" collapsed="false">
      <c r="B334" s="640"/>
      <c r="C334" s="640"/>
      <c r="D334" s="640"/>
      <c r="E334" s="588"/>
      <c r="F334" s="588"/>
      <c r="G334" s="588"/>
      <c r="H334" s="588"/>
      <c r="I334" s="588"/>
      <c r="J334" s="588"/>
      <c r="K334" s="588"/>
      <c r="L334" s="588"/>
      <c r="M334" s="588"/>
      <c r="N334" s="588"/>
      <c r="O334" s="588"/>
      <c r="P334" s="588"/>
      <c r="Q334" s="588"/>
      <c r="R334" s="588"/>
    </row>
    <row r="335" customFormat="false" ht="13.8" hidden="false" customHeight="false" outlineLevel="0" collapsed="false">
      <c r="B335" s="640"/>
      <c r="C335" s="640"/>
      <c r="D335" s="640"/>
      <c r="E335" s="588"/>
      <c r="F335" s="588"/>
      <c r="G335" s="588"/>
      <c r="H335" s="588"/>
      <c r="I335" s="588"/>
      <c r="J335" s="588"/>
      <c r="K335" s="588"/>
      <c r="L335" s="588"/>
      <c r="M335" s="588"/>
      <c r="N335" s="588"/>
      <c r="O335" s="588"/>
      <c r="P335" s="588"/>
      <c r="Q335" s="588"/>
      <c r="R335" s="588"/>
    </row>
    <row r="336" customFormat="false" ht="13.8" hidden="false" customHeight="false" outlineLevel="0" collapsed="false">
      <c r="B336" s="640"/>
      <c r="C336" s="640"/>
      <c r="D336" s="640"/>
      <c r="E336" s="588"/>
      <c r="F336" s="588"/>
      <c r="G336" s="588"/>
      <c r="H336" s="588"/>
      <c r="I336" s="588"/>
      <c r="J336" s="588"/>
      <c r="K336" s="588"/>
      <c r="L336" s="588"/>
      <c r="M336" s="588"/>
      <c r="N336" s="588"/>
      <c r="O336" s="588"/>
      <c r="P336" s="588"/>
      <c r="Q336" s="588"/>
      <c r="R336" s="588"/>
    </row>
    <row r="337" customFormat="false" ht="13.8" hidden="false" customHeight="false" outlineLevel="0" collapsed="false">
      <c r="B337" s="640"/>
      <c r="C337" s="640"/>
      <c r="D337" s="640"/>
      <c r="E337" s="588"/>
      <c r="F337" s="588"/>
      <c r="G337" s="588"/>
      <c r="H337" s="588"/>
      <c r="I337" s="588"/>
      <c r="J337" s="588"/>
      <c r="K337" s="588"/>
      <c r="L337" s="588"/>
      <c r="M337" s="588"/>
      <c r="N337" s="588"/>
      <c r="O337" s="588"/>
      <c r="P337" s="588"/>
      <c r="Q337" s="588"/>
      <c r="R337" s="588"/>
    </row>
    <row r="338" customFormat="false" ht="13.8" hidden="false" customHeight="false" outlineLevel="0" collapsed="false">
      <c r="B338" s="640"/>
      <c r="C338" s="640"/>
      <c r="D338" s="640"/>
      <c r="E338" s="588"/>
      <c r="F338" s="588"/>
      <c r="G338" s="588"/>
      <c r="H338" s="588"/>
      <c r="I338" s="588"/>
      <c r="J338" s="588"/>
      <c r="K338" s="588"/>
      <c r="L338" s="588"/>
      <c r="M338" s="588"/>
      <c r="N338" s="588"/>
      <c r="O338" s="588"/>
      <c r="P338" s="588"/>
      <c r="Q338" s="588"/>
      <c r="R338" s="588"/>
    </row>
    <row r="339" customFormat="false" ht="13.8" hidden="false" customHeight="false" outlineLevel="0" collapsed="false">
      <c r="B339" s="640"/>
      <c r="C339" s="640"/>
      <c r="D339" s="640"/>
      <c r="E339" s="588"/>
      <c r="F339" s="588"/>
      <c r="G339" s="588"/>
      <c r="H339" s="588"/>
      <c r="I339" s="588"/>
      <c r="J339" s="588"/>
      <c r="K339" s="588"/>
      <c r="L339" s="588"/>
      <c r="M339" s="588"/>
      <c r="N339" s="588"/>
      <c r="O339" s="588"/>
      <c r="P339" s="588"/>
      <c r="Q339" s="588"/>
      <c r="R339" s="588"/>
    </row>
    <row r="340" customFormat="false" ht="13.8" hidden="false" customHeight="false" outlineLevel="0" collapsed="false">
      <c r="B340" s="640"/>
      <c r="C340" s="640"/>
      <c r="D340" s="640"/>
      <c r="E340" s="588"/>
      <c r="F340" s="588"/>
      <c r="G340" s="588"/>
      <c r="H340" s="588"/>
      <c r="I340" s="588"/>
      <c r="J340" s="588"/>
      <c r="K340" s="588"/>
      <c r="L340" s="588"/>
      <c r="M340" s="588"/>
      <c r="N340" s="588"/>
      <c r="O340" s="588"/>
      <c r="P340" s="588"/>
      <c r="Q340" s="588"/>
      <c r="R340" s="588"/>
    </row>
    <row r="341" customFormat="false" ht="13.8" hidden="false" customHeight="false" outlineLevel="0" collapsed="false">
      <c r="B341" s="640"/>
      <c r="C341" s="640"/>
      <c r="D341" s="640"/>
      <c r="E341" s="588"/>
      <c r="F341" s="588"/>
      <c r="G341" s="588"/>
      <c r="H341" s="588"/>
      <c r="I341" s="588"/>
      <c r="J341" s="588"/>
      <c r="K341" s="588"/>
      <c r="L341" s="588"/>
      <c r="M341" s="588"/>
      <c r="N341" s="588"/>
      <c r="O341" s="588"/>
      <c r="P341" s="588"/>
      <c r="Q341" s="588"/>
      <c r="R341" s="588"/>
    </row>
    <row r="342" customFormat="false" ht="13.8" hidden="false" customHeight="false" outlineLevel="0" collapsed="false">
      <c r="B342" s="640"/>
      <c r="C342" s="640"/>
      <c r="D342" s="640"/>
      <c r="E342" s="588"/>
      <c r="F342" s="588"/>
      <c r="G342" s="588"/>
      <c r="H342" s="588"/>
      <c r="I342" s="588"/>
      <c r="J342" s="588"/>
      <c r="K342" s="588"/>
      <c r="L342" s="588"/>
      <c r="M342" s="588"/>
      <c r="N342" s="588"/>
      <c r="O342" s="588"/>
      <c r="P342" s="588"/>
      <c r="Q342" s="588"/>
      <c r="R342" s="588"/>
    </row>
    <row r="343" customFormat="false" ht="13.8" hidden="false" customHeight="false" outlineLevel="0" collapsed="false">
      <c r="B343" s="640"/>
      <c r="C343" s="640"/>
      <c r="D343" s="640"/>
      <c r="E343" s="588"/>
      <c r="F343" s="588"/>
      <c r="G343" s="588"/>
      <c r="H343" s="588"/>
      <c r="I343" s="588"/>
      <c r="J343" s="588"/>
      <c r="K343" s="588"/>
      <c r="L343" s="588"/>
      <c r="M343" s="588"/>
      <c r="N343" s="588"/>
      <c r="O343" s="588"/>
      <c r="P343" s="588"/>
      <c r="Q343" s="588"/>
      <c r="R343" s="588"/>
    </row>
    <row r="344" customFormat="false" ht="13.8" hidden="false" customHeight="false" outlineLevel="0" collapsed="false">
      <c r="B344" s="640"/>
      <c r="C344" s="640"/>
      <c r="D344" s="640"/>
      <c r="E344" s="588"/>
      <c r="F344" s="588"/>
      <c r="G344" s="588"/>
      <c r="H344" s="588"/>
      <c r="I344" s="588"/>
      <c r="J344" s="588"/>
      <c r="K344" s="588"/>
      <c r="L344" s="588"/>
      <c r="M344" s="588"/>
      <c r="N344" s="588"/>
      <c r="O344" s="588"/>
      <c r="P344" s="588"/>
      <c r="Q344" s="588"/>
      <c r="R344" s="588"/>
    </row>
    <row r="345" customFormat="false" ht="13.8" hidden="false" customHeight="false" outlineLevel="0" collapsed="false">
      <c r="B345" s="640"/>
      <c r="C345" s="640"/>
      <c r="D345" s="640"/>
      <c r="E345" s="588"/>
      <c r="F345" s="588"/>
      <c r="G345" s="588"/>
      <c r="H345" s="588"/>
      <c r="I345" s="588"/>
      <c r="J345" s="588"/>
      <c r="K345" s="588"/>
      <c r="L345" s="588"/>
      <c r="M345" s="588"/>
      <c r="N345" s="588"/>
      <c r="O345" s="588"/>
      <c r="P345" s="588"/>
      <c r="Q345" s="588"/>
      <c r="R345" s="588"/>
    </row>
    <row r="346" customFormat="false" ht="13.8" hidden="false" customHeight="false" outlineLevel="0" collapsed="false">
      <c r="B346" s="640"/>
      <c r="C346" s="640"/>
      <c r="D346" s="640"/>
      <c r="E346" s="588"/>
      <c r="F346" s="588"/>
      <c r="G346" s="588"/>
      <c r="H346" s="588"/>
      <c r="I346" s="588"/>
      <c r="J346" s="588"/>
      <c r="K346" s="588"/>
      <c r="L346" s="588"/>
      <c r="M346" s="588"/>
      <c r="N346" s="588"/>
      <c r="O346" s="588"/>
      <c r="P346" s="588"/>
      <c r="Q346" s="588"/>
      <c r="R346" s="588"/>
    </row>
    <row r="347" customFormat="false" ht="13.8" hidden="false" customHeight="false" outlineLevel="0" collapsed="false">
      <c r="B347" s="640"/>
      <c r="C347" s="640"/>
      <c r="D347" s="640"/>
      <c r="E347" s="588"/>
      <c r="F347" s="588"/>
      <c r="G347" s="588"/>
      <c r="H347" s="588"/>
      <c r="I347" s="588"/>
      <c r="J347" s="588"/>
      <c r="K347" s="588"/>
      <c r="L347" s="588"/>
      <c r="M347" s="588"/>
      <c r="N347" s="588"/>
      <c r="O347" s="588"/>
      <c r="P347" s="588"/>
      <c r="Q347" s="588"/>
      <c r="R347" s="588"/>
    </row>
    <row r="348" customFormat="false" ht="13.8" hidden="false" customHeight="false" outlineLevel="0" collapsed="false">
      <c r="B348" s="640"/>
      <c r="C348" s="640"/>
      <c r="D348" s="640"/>
      <c r="E348" s="588"/>
      <c r="F348" s="588"/>
      <c r="G348" s="588"/>
      <c r="H348" s="588"/>
      <c r="I348" s="588"/>
      <c r="J348" s="588"/>
      <c r="K348" s="588"/>
      <c r="L348" s="588"/>
      <c r="M348" s="588"/>
      <c r="N348" s="588"/>
      <c r="O348" s="588"/>
      <c r="P348" s="588"/>
      <c r="Q348" s="588"/>
      <c r="R348" s="588"/>
    </row>
    <row r="349" customFormat="false" ht="13.8" hidden="false" customHeight="false" outlineLevel="0" collapsed="false">
      <c r="B349" s="640"/>
      <c r="C349" s="640"/>
      <c r="D349" s="640"/>
      <c r="E349" s="588"/>
      <c r="F349" s="588"/>
      <c r="G349" s="588"/>
      <c r="H349" s="588"/>
      <c r="I349" s="588"/>
      <c r="J349" s="588"/>
      <c r="K349" s="588"/>
      <c r="L349" s="588"/>
      <c r="M349" s="588"/>
      <c r="N349" s="588"/>
      <c r="O349" s="588"/>
      <c r="P349" s="588"/>
      <c r="Q349" s="588"/>
      <c r="R349" s="588"/>
    </row>
    <row r="350" customFormat="false" ht="13.8" hidden="false" customHeight="false" outlineLevel="0" collapsed="false">
      <c r="B350" s="640"/>
      <c r="C350" s="640"/>
      <c r="D350" s="640"/>
      <c r="E350" s="588"/>
      <c r="F350" s="588"/>
      <c r="G350" s="588"/>
      <c r="H350" s="588"/>
      <c r="I350" s="588"/>
      <c r="J350" s="588"/>
      <c r="K350" s="588"/>
      <c r="L350" s="588"/>
      <c r="M350" s="588"/>
      <c r="N350" s="588"/>
      <c r="O350" s="588"/>
      <c r="P350" s="588"/>
      <c r="Q350" s="588"/>
      <c r="R350" s="588"/>
    </row>
    <row r="351" customFormat="false" ht="13.8" hidden="false" customHeight="false" outlineLevel="0" collapsed="false">
      <c r="B351" s="640"/>
      <c r="C351" s="640"/>
      <c r="D351" s="640"/>
      <c r="E351" s="588"/>
      <c r="F351" s="588"/>
      <c r="G351" s="588"/>
      <c r="H351" s="588"/>
      <c r="I351" s="588"/>
      <c r="J351" s="588"/>
      <c r="K351" s="588"/>
      <c r="L351" s="588"/>
      <c r="M351" s="588"/>
      <c r="N351" s="588"/>
      <c r="O351" s="588"/>
      <c r="P351" s="588"/>
      <c r="Q351" s="588"/>
      <c r="R351" s="588"/>
    </row>
    <row r="352" customFormat="false" ht="13.8" hidden="false" customHeight="false" outlineLevel="0" collapsed="false">
      <c r="B352" s="640"/>
      <c r="C352" s="640"/>
      <c r="D352" s="640"/>
      <c r="E352" s="588"/>
      <c r="F352" s="588"/>
      <c r="G352" s="588"/>
      <c r="H352" s="588"/>
      <c r="I352" s="588"/>
      <c r="J352" s="588"/>
      <c r="K352" s="588"/>
      <c r="L352" s="588"/>
      <c r="M352" s="588"/>
      <c r="N352" s="588"/>
      <c r="O352" s="588"/>
      <c r="P352" s="588"/>
      <c r="Q352" s="588"/>
      <c r="R352" s="588"/>
    </row>
    <row r="353" customFormat="false" ht="13.8" hidden="false" customHeight="false" outlineLevel="0" collapsed="false">
      <c r="B353" s="640"/>
      <c r="C353" s="640"/>
      <c r="D353" s="640"/>
      <c r="E353" s="588"/>
      <c r="F353" s="588"/>
      <c r="G353" s="588"/>
      <c r="H353" s="588"/>
      <c r="I353" s="588"/>
      <c r="J353" s="588"/>
      <c r="K353" s="588"/>
      <c r="L353" s="588"/>
      <c r="M353" s="588"/>
      <c r="N353" s="588"/>
      <c r="O353" s="588"/>
      <c r="P353" s="588"/>
      <c r="Q353" s="588"/>
      <c r="R353" s="588"/>
    </row>
    <row r="354" customFormat="false" ht="13.8" hidden="false" customHeight="false" outlineLevel="0" collapsed="false">
      <c r="B354" s="640"/>
      <c r="C354" s="640"/>
      <c r="D354" s="640"/>
      <c r="E354" s="588"/>
      <c r="F354" s="588"/>
      <c r="G354" s="588"/>
      <c r="H354" s="588"/>
      <c r="I354" s="588"/>
      <c r="J354" s="588"/>
      <c r="K354" s="588"/>
      <c r="L354" s="588"/>
      <c r="M354" s="588"/>
      <c r="N354" s="588"/>
      <c r="O354" s="588"/>
      <c r="P354" s="588"/>
      <c r="Q354" s="588"/>
      <c r="R354" s="588"/>
    </row>
    <row r="355" customFormat="false" ht="13.8" hidden="false" customHeight="false" outlineLevel="0" collapsed="false">
      <c r="B355" s="640"/>
      <c r="C355" s="640"/>
      <c r="D355" s="640"/>
      <c r="E355" s="588"/>
      <c r="F355" s="588"/>
      <c r="G355" s="588"/>
      <c r="H355" s="588"/>
      <c r="I355" s="588"/>
      <c r="J355" s="588"/>
      <c r="K355" s="588"/>
      <c r="L355" s="588"/>
      <c r="M355" s="588"/>
      <c r="N355" s="588"/>
      <c r="O355" s="588"/>
      <c r="P355" s="588"/>
      <c r="Q355" s="588"/>
      <c r="R355" s="588"/>
    </row>
    <row r="356" customFormat="false" ht="13.8" hidden="false" customHeight="false" outlineLevel="0" collapsed="false">
      <c r="B356" s="640"/>
      <c r="C356" s="640"/>
      <c r="D356" s="640"/>
      <c r="E356" s="588"/>
      <c r="F356" s="588"/>
      <c r="G356" s="588"/>
      <c r="H356" s="588"/>
      <c r="I356" s="588"/>
      <c r="J356" s="588"/>
      <c r="K356" s="588"/>
      <c r="L356" s="588"/>
      <c r="M356" s="588"/>
      <c r="N356" s="588"/>
      <c r="O356" s="588"/>
      <c r="P356" s="588"/>
      <c r="Q356" s="588"/>
      <c r="R356" s="588"/>
    </row>
    <row r="357" customFormat="false" ht="13.8" hidden="false" customHeight="false" outlineLevel="0" collapsed="false">
      <c r="B357" s="640"/>
      <c r="C357" s="640"/>
      <c r="D357" s="640"/>
      <c r="E357" s="588"/>
      <c r="F357" s="588"/>
      <c r="G357" s="588"/>
      <c r="H357" s="588"/>
      <c r="I357" s="588"/>
      <c r="J357" s="588"/>
      <c r="K357" s="588"/>
      <c r="L357" s="588"/>
      <c r="M357" s="588"/>
      <c r="N357" s="588"/>
      <c r="O357" s="588"/>
      <c r="P357" s="588"/>
      <c r="Q357" s="588"/>
      <c r="R357" s="588"/>
    </row>
    <row r="358" customFormat="false" ht="13.8" hidden="false" customHeight="false" outlineLevel="0" collapsed="false">
      <c r="B358" s="640"/>
      <c r="C358" s="640"/>
      <c r="D358" s="640"/>
      <c r="E358" s="588"/>
      <c r="F358" s="588"/>
      <c r="G358" s="588"/>
      <c r="H358" s="588"/>
      <c r="I358" s="588"/>
      <c r="J358" s="588"/>
      <c r="K358" s="588"/>
      <c r="L358" s="588"/>
      <c r="M358" s="588"/>
      <c r="N358" s="588"/>
      <c r="O358" s="588"/>
      <c r="P358" s="588"/>
      <c r="Q358" s="588"/>
      <c r="R358" s="588"/>
    </row>
    <row r="359" customFormat="false" ht="13.8" hidden="false" customHeight="false" outlineLevel="0" collapsed="false">
      <c r="B359" s="640"/>
      <c r="C359" s="640"/>
      <c r="D359" s="640"/>
      <c r="E359" s="588"/>
      <c r="F359" s="588"/>
      <c r="G359" s="588"/>
      <c r="H359" s="588"/>
      <c r="I359" s="588"/>
      <c r="J359" s="588"/>
      <c r="K359" s="588"/>
      <c r="L359" s="588"/>
      <c r="M359" s="588"/>
      <c r="N359" s="588"/>
      <c r="O359" s="588"/>
      <c r="P359" s="588"/>
      <c r="Q359" s="588"/>
      <c r="R359" s="588"/>
    </row>
    <row r="360" customFormat="false" ht="13.8" hidden="false" customHeight="false" outlineLevel="0" collapsed="false">
      <c r="B360" s="640"/>
      <c r="C360" s="640"/>
      <c r="D360" s="640"/>
      <c r="E360" s="588"/>
      <c r="F360" s="588"/>
      <c r="G360" s="588"/>
      <c r="H360" s="588"/>
      <c r="I360" s="588"/>
      <c r="J360" s="588"/>
      <c r="K360" s="588"/>
      <c r="L360" s="588"/>
      <c r="M360" s="588"/>
      <c r="N360" s="588"/>
      <c r="O360" s="588"/>
      <c r="P360" s="588"/>
      <c r="Q360" s="588"/>
      <c r="R360" s="588"/>
    </row>
    <row r="361" customFormat="false" ht="13.8" hidden="false" customHeight="false" outlineLevel="0" collapsed="false">
      <c r="B361" s="640"/>
      <c r="C361" s="640"/>
      <c r="D361" s="640"/>
      <c r="E361" s="588"/>
      <c r="F361" s="588"/>
      <c r="G361" s="588"/>
      <c r="H361" s="588"/>
      <c r="I361" s="588"/>
      <c r="J361" s="588"/>
      <c r="K361" s="588"/>
      <c r="L361" s="588"/>
      <c r="M361" s="588"/>
      <c r="N361" s="588"/>
      <c r="O361" s="588"/>
      <c r="P361" s="588"/>
      <c r="Q361" s="588"/>
      <c r="R361" s="588"/>
    </row>
    <row r="362" customFormat="false" ht="13.8" hidden="false" customHeight="false" outlineLevel="0" collapsed="false">
      <c r="B362" s="640"/>
      <c r="C362" s="640"/>
      <c r="D362" s="640"/>
      <c r="E362" s="588"/>
      <c r="F362" s="588"/>
      <c r="G362" s="588"/>
      <c r="H362" s="588"/>
      <c r="I362" s="588"/>
      <c r="J362" s="588"/>
      <c r="K362" s="588"/>
      <c r="L362" s="588"/>
      <c r="M362" s="588"/>
      <c r="N362" s="588"/>
      <c r="O362" s="588"/>
      <c r="P362" s="588"/>
      <c r="Q362" s="588"/>
      <c r="R362" s="588"/>
    </row>
    <row r="363" customFormat="false" ht="13.8" hidden="false" customHeight="false" outlineLevel="0" collapsed="false">
      <c r="B363" s="640"/>
      <c r="C363" s="640"/>
      <c r="D363" s="640"/>
      <c r="E363" s="588"/>
      <c r="F363" s="588"/>
      <c r="G363" s="588"/>
      <c r="H363" s="588"/>
      <c r="I363" s="588"/>
      <c r="J363" s="588"/>
      <c r="K363" s="588"/>
      <c r="L363" s="588"/>
      <c r="M363" s="588"/>
      <c r="N363" s="588"/>
      <c r="O363" s="588"/>
      <c r="P363" s="588"/>
      <c r="Q363" s="588"/>
      <c r="R363" s="588"/>
    </row>
    <row r="364" customFormat="false" ht="13.8" hidden="false" customHeight="false" outlineLevel="0" collapsed="false">
      <c r="B364" s="640"/>
      <c r="C364" s="640"/>
      <c r="D364" s="640"/>
      <c r="E364" s="588"/>
      <c r="F364" s="588"/>
      <c r="G364" s="588"/>
      <c r="H364" s="588"/>
      <c r="I364" s="588"/>
      <c r="J364" s="588"/>
      <c r="K364" s="588"/>
      <c r="L364" s="588"/>
      <c r="M364" s="588"/>
      <c r="N364" s="588"/>
      <c r="O364" s="588"/>
      <c r="P364" s="588"/>
      <c r="Q364" s="588"/>
      <c r="R364" s="588"/>
    </row>
    <row r="365" customFormat="false" ht="13.8" hidden="false" customHeight="false" outlineLevel="0" collapsed="false">
      <c r="B365" s="640"/>
      <c r="C365" s="640"/>
      <c r="D365" s="640"/>
      <c r="E365" s="588"/>
      <c r="F365" s="588"/>
      <c r="G365" s="588"/>
      <c r="H365" s="588"/>
      <c r="I365" s="588"/>
      <c r="J365" s="588"/>
      <c r="K365" s="588"/>
      <c r="L365" s="588"/>
      <c r="M365" s="588"/>
      <c r="N365" s="588"/>
      <c r="O365" s="588"/>
      <c r="P365" s="588"/>
      <c r="Q365" s="588"/>
      <c r="R365" s="588"/>
    </row>
    <row r="366" customFormat="false" ht="13.8" hidden="false" customHeight="false" outlineLevel="0" collapsed="false">
      <c r="B366" s="640"/>
      <c r="C366" s="640"/>
      <c r="D366" s="640"/>
      <c r="E366" s="588"/>
      <c r="F366" s="588"/>
      <c r="G366" s="588"/>
      <c r="H366" s="588"/>
      <c r="I366" s="588"/>
      <c r="J366" s="588"/>
      <c r="K366" s="588"/>
      <c r="L366" s="588"/>
      <c r="M366" s="588"/>
      <c r="N366" s="588"/>
      <c r="O366" s="588"/>
      <c r="P366" s="588"/>
      <c r="Q366" s="588"/>
      <c r="R366" s="588"/>
    </row>
    <row r="367" customFormat="false" ht="13.8" hidden="false" customHeight="false" outlineLevel="0" collapsed="false">
      <c r="B367" s="640"/>
      <c r="C367" s="640"/>
      <c r="D367" s="640"/>
      <c r="E367" s="588"/>
      <c r="F367" s="588"/>
      <c r="G367" s="588"/>
      <c r="H367" s="588"/>
      <c r="I367" s="588"/>
      <c r="J367" s="588"/>
      <c r="K367" s="588"/>
      <c r="L367" s="588"/>
      <c r="M367" s="588"/>
      <c r="N367" s="588"/>
      <c r="O367" s="588"/>
      <c r="P367" s="588"/>
      <c r="Q367" s="588"/>
      <c r="R367" s="588"/>
    </row>
    <row r="368" customFormat="false" ht="13.8" hidden="false" customHeight="false" outlineLevel="0" collapsed="false">
      <c r="B368" s="640"/>
      <c r="C368" s="640"/>
      <c r="D368" s="640"/>
      <c r="E368" s="588"/>
      <c r="F368" s="588"/>
      <c r="G368" s="588"/>
      <c r="H368" s="588"/>
      <c r="I368" s="588"/>
      <c r="J368" s="588"/>
      <c r="K368" s="588"/>
      <c r="L368" s="588"/>
      <c r="M368" s="588"/>
      <c r="N368" s="588"/>
      <c r="O368" s="588"/>
      <c r="P368" s="588"/>
      <c r="Q368" s="588"/>
      <c r="R368" s="588"/>
    </row>
  </sheetData>
  <mergeCells count="8">
    <mergeCell ref="E143:E144"/>
    <mergeCell ref="F143:F144"/>
    <mergeCell ref="G143:H143"/>
    <mergeCell ref="I143:J143"/>
    <mergeCell ref="K143:L143"/>
    <mergeCell ref="M143:N143"/>
    <mergeCell ref="O143:O144"/>
    <mergeCell ref="E145:E147"/>
  </mergeCell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L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453125" defaultRowHeight="13.8" zeroHeight="false" outlineLevelRow="0" outlineLevelCol="0"/>
  <cols>
    <col collapsed="false" customWidth="true" hidden="false" outlineLevel="0" max="1" min="1" style="667" width="1.53"/>
    <col collapsed="false" customWidth="true" hidden="true" outlineLevel="0" max="2" min="2" style="667" width="8.45"/>
    <col collapsed="false" customWidth="true" hidden="true" outlineLevel="0" max="3" min="3" style="667" width="18.55"/>
    <col collapsed="false" customWidth="true" hidden="true" outlineLevel="0" max="7" min="4" style="667" width="12.45"/>
    <col collapsed="false" customWidth="true" hidden="true" outlineLevel="0" max="8" min="8" style="667" width="15.54"/>
    <col collapsed="false" customWidth="true" hidden="false" outlineLevel="0" max="9" min="9" style="667" width="7.46"/>
    <col collapsed="false" customWidth="true" hidden="false" outlineLevel="0" max="10" min="10" style="667" width="15.54"/>
    <col collapsed="false" customWidth="true" hidden="false" outlineLevel="0" max="12" min="11" style="667" width="16.45"/>
    <col collapsed="false" customWidth="true" hidden="false" outlineLevel="0" max="15" min="13" style="667" width="12.45"/>
    <col collapsed="false" customWidth="true" hidden="false" outlineLevel="0" max="16" min="16" style="668" width="11.54"/>
    <col collapsed="false" customWidth="true" hidden="false" outlineLevel="0" max="17" min="17" style="667" width="15"/>
    <col collapsed="false" customWidth="true" hidden="false" outlineLevel="0" max="18" min="18" style="667" width="30.53"/>
    <col collapsed="false" customWidth="true" hidden="false" outlineLevel="0" max="19" min="19" style="667" width="14.54"/>
    <col collapsed="false" customWidth="false" hidden="false" outlineLevel="0" max="64" min="20" style="667" width="9.45"/>
  </cols>
  <sheetData>
    <row r="1" s="675" customFormat="true" ht="33" hidden="false" customHeight="true" outlineLevel="0" collapsed="false">
      <c r="A1" s="669"/>
      <c r="B1" s="670"/>
      <c r="C1" s="671"/>
      <c r="D1" s="671"/>
      <c r="E1" s="671"/>
      <c r="F1" s="671"/>
      <c r="G1" s="671"/>
      <c r="H1" s="671"/>
      <c r="I1" s="672"/>
      <c r="J1" s="673" t="s">
        <v>2528</v>
      </c>
      <c r="K1" s="673"/>
      <c r="L1" s="673"/>
      <c r="M1" s="673"/>
      <c r="N1" s="673"/>
      <c r="O1" s="673"/>
      <c r="P1" s="673"/>
      <c r="Q1" s="673"/>
      <c r="R1" s="673"/>
      <c r="S1" s="674"/>
      <c r="T1" s="674"/>
      <c r="U1" s="674"/>
      <c r="V1" s="674"/>
      <c r="W1" s="674"/>
      <c r="X1" s="674"/>
      <c r="Y1" s="674"/>
      <c r="Z1" s="674"/>
      <c r="AA1" s="674"/>
      <c r="AB1" s="674"/>
      <c r="AC1" s="674"/>
      <c r="AD1" s="674"/>
      <c r="AE1" s="674"/>
      <c r="AF1" s="674"/>
      <c r="AG1" s="674"/>
      <c r="AH1" s="669"/>
      <c r="AI1" s="669"/>
      <c r="AJ1" s="669"/>
      <c r="AK1" s="669"/>
      <c r="AL1" s="669"/>
      <c r="AM1" s="669"/>
      <c r="AN1" s="669"/>
      <c r="AO1" s="669"/>
      <c r="AP1" s="669"/>
      <c r="AQ1" s="669"/>
      <c r="AR1" s="669"/>
      <c r="AS1" s="669"/>
      <c r="AT1" s="669"/>
      <c r="AU1" s="669"/>
      <c r="AV1" s="669"/>
      <c r="AW1" s="669"/>
      <c r="AX1" s="669"/>
      <c r="AY1" s="669"/>
      <c r="AZ1" s="669"/>
      <c r="BA1" s="669"/>
      <c r="BB1" s="669"/>
      <c r="BC1" s="669"/>
      <c r="BD1" s="669"/>
      <c r="BE1" s="669"/>
      <c r="BF1" s="669"/>
      <c r="BG1" s="669"/>
      <c r="BH1" s="669"/>
      <c r="BI1" s="669"/>
      <c r="BJ1" s="669"/>
      <c r="BK1" s="669"/>
      <c r="BL1" s="669"/>
    </row>
    <row r="2" customFormat="false" ht="13.8" hidden="true" customHeight="false" outlineLevel="0" collapsed="false"/>
    <row r="3" customFormat="false" ht="13.8" hidden="true" customHeight="false" outlineLevel="0" collapsed="false"/>
    <row r="4" customFormat="false" ht="13.8" hidden="true" customHeight="false" outlineLevel="0" collapsed="false">
      <c r="B4" s="676" t="s">
        <v>2529</v>
      </c>
      <c r="C4" s="677" t="s">
        <v>2530</v>
      </c>
      <c r="D4" s="678" t="s">
        <v>2531</v>
      </c>
      <c r="E4" s="679" t="s">
        <v>2532</v>
      </c>
      <c r="F4" s="679" t="s">
        <v>2533</v>
      </c>
      <c r="G4" s="679" t="s">
        <v>2534</v>
      </c>
      <c r="H4" s="680" t="s">
        <v>2535</v>
      </c>
      <c r="J4" s="676" t="s">
        <v>2536</v>
      </c>
      <c r="K4" s="677" t="s">
        <v>2530</v>
      </c>
      <c r="L4" s="678" t="s">
        <v>2531</v>
      </c>
      <c r="M4" s="679" t="s">
        <v>2532</v>
      </c>
      <c r="N4" s="679" t="s">
        <v>2533</v>
      </c>
      <c r="O4" s="679" t="s">
        <v>2534</v>
      </c>
      <c r="P4" s="680" t="s">
        <v>2535</v>
      </c>
    </row>
    <row r="5" customFormat="false" ht="13.8" hidden="true" customHeight="false" outlineLevel="0" collapsed="false">
      <c r="B5" s="676"/>
      <c r="C5" s="681" t="s">
        <v>2537</v>
      </c>
      <c r="D5" s="682" t="n">
        <f aca="false">SUMIF(PVA!D$13:D$29,'Prod Summary'!C5,PVA!E$13:E$30)</f>
        <v>23166</v>
      </c>
      <c r="E5" s="683" t="n">
        <f aca="false">SUMIF(PVA!$D$13:$D$30,'Prod Summary'!C5,PVA!G$13:G$30)</f>
        <v>93483</v>
      </c>
      <c r="F5" s="683" t="n">
        <f aca="false">SUMIF(PVA!$D$13:$D$30,'Prod Summary'!C5,PVA!H$13:H$30)</f>
        <v>1715</v>
      </c>
      <c r="G5" s="684" t="n">
        <f aca="false">IFERROR(F5/(E5+F5),0)</f>
        <v>0.0180150843505116</v>
      </c>
      <c r="H5" s="685" t="n">
        <f aca="false">IFERROR(E5/D5,0)</f>
        <v>4.03535353535354</v>
      </c>
      <c r="J5" s="676"/>
      <c r="K5" s="681" t="s">
        <v>2537</v>
      </c>
      <c r="L5" s="682" t="n">
        <f aca="false">SUMIF(PVA!D$33:D$97,'Prod Summary'!K5,PVA!E$33:E$97)</f>
        <v>15402</v>
      </c>
      <c r="M5" s="682" t="n">
        <f aca="false">SUMIF(PVA!$D$13:$D$30,'Prod Summary'!K5,PVA!G$33:G$97)</f>
        <v>82496</v>
      </c>
      <c r="N5" s="682" t="n">
        <f aca="false">SUMIF(PVA!$D$33:$D$97,'Prod Summary'!K5,PVA!H$33:H$97)+SUMIF(PVA!$D$33:$D$97,'Prod Summary'!K5,PVA!I$33:I$97)</f>
        <v>572</v>
      </c>
      <c r="O5" s="684" t="n">
        <f aca="false">IFERROR(N5/M5,0)</f>
        <v>0.00693366951124903</v>
      </c>
      <c r="P5" s="685" t="n">
        <f aca="false">IFERROR((M5-N5)/L5,0)</f>
        <v>5.31904947409427</v>
      </c>
    </row>
    <row r="6" customFormat="false" ht="13.8" hidden="true" customHeight="false" outlineLevel="0" collapsed="false">
      <c r="B6" s="676"/>
      <c r="C6" s="686" t="s">
        <v>2538</v>
      </c>
      <c r="D6" s="682" t="n">
        <f aca="false">SUMIF(PVA!D$13:D$29,'Prod Summary'!C6,PVA!E$13:E$30)</f>
        <v>20592</v>
      </c>
      <c r="E6" s="683" t="n">
        <f aca="false">SUMIF(PVA!$D$13:$D$30,'Prod Summary'!C6,PVA!G$13:G$30)</f>
        <v>86420</v>
      </c>
      <c r="F6" s="683" t="n">
        <f aca="false">SUMIF(PVA!$D$13:$D$30,'Prod Summary'!C6,PVA!H$13:H$30)</f>
        <v>1398</v>
      </c>
      <c r="G6" s="684" t="n">
        <f aca="false">IFERROR(F6/(E6+F6),0)</f>
        <v>0.0159192876175727</v>
      </c>
      <c r="H6" s="685" t="n">
        <f aca="false">IFERROR(E6/D6,0)</f>
        <v>4.19677544677545</v>
      </c>
      <c r="J6" s="676"/>
      <c r="K6" s="686" t="s">
        <v>2538</v>
      </c>
      <c r="L6" s="682" t="n">
        <f aca="false">SUMIF(PVA!D$33:D$97,'Prod Summary'!K6,PVA!E$33:E$97)</f>
        <v>0</v>
      </c>
      <c r="M6" s="682" t="n">
        <f aca="false">SUMIF(PVA!D$33:D$97,'Prod Summary'!K6,PVA!G$33:G$97)</f>
        <v>62376</v>
      </c>
      <c r="N6" s="682" t="n">
        <f aca="false">SUMIF(PVA!$D$33:$D$97,'Prod Summary'!K6,PVA!H$33:H$97)+SUMIF(PVA!$D$33:$D$97,'Prod Summary'!K6,PVA!I$33:I$97)</f>
        <v>347</v>
      </c>
      <c r="O6" s="684" t="n">
        <f aca="false">IFERROR(N6/M6,0)</f>
        <v>0.00556303706553803</v>
      </c>
      <c r="P6" s="685" t="n">
        <f aca="false">IFERROR((M6-N6)/L6,0)</f>
        <v>0</v>
      </c>
    </row>
    <row r="7" customFormat="false" ht="13.8" hidden="true" customHeight="false" outlineLevel="0" collapsed="false">
      <c r="B7" s="676"/>
      <c r="C7" s="686" t="s">
        <v>2539</v>
      </c>
      <c r="D7" s="682" t="n">
        <f aca="false">SUMIF(PVA!D$13:D$29,'Prod Summary'!C7,PVA!E$13:E$30)</f>
        <v>48906</v>
      </c>
      <c r="E7" s="683" t="n">
        <f aca="false">SUMIF(PVA!$D$13:$D$30,'Prod Summary'!C7,PVA!G$13:G$30)</f>
        <v>182597</v>
      </c>
      <c r="F7" s="683" t="n">
        <f aca="false">SUMIF(PVA!$D$13:$D$30,'Prod Summary'!C7,PVA!H$13:H$30)</f>
        <v>3762</v>
      </c>
      <c r="G7" s="684" t="n">
        <f aca="false">IFERROR(F7/(E7+F7),0)</f>
        <v>0.0201868436726962</v>
      </c>
      <c r="H7" s="685" t="n">
        <f aca="false">IFERROR(E7/D7,0)</f>
        <v>3.73363186521081</v>
      </c>
      <c r="J7" s="676"/>
      <c r="K7" s="686" t="s">
        <v>2539</v>
      </c>
      <c r="L7" s="682" t="n">
        <f aca="false">SUMIF(PVA!D$33:D$97,'Prod Summary'!K7,PVA!E$33:E$97)</f>
        <v>36304</v>
      </c>
      <c r="M7" s="682" t="n">
        <f aca="false">SUMIF(PVA!D$33:D$97,'Prod Summary'!K7,PVA!G$33:G$97)</f>
        <v>180848</v>
      </c>
      <c r="N7" s="682" t="n">
        <f aca="false">SUMIF(PVA!$D$33:$D$97,'Prod Summary'!K7,PVA!H$33:H$97)+SUMIF(PVA!$D$33:$D$97,'Prod Summary'!K7,PVA!I$33:I$97)</f>
        <v>1702</v>
      </c>
      <c r="O7" s="684" t="n">
        <f aca="false">IFERROR(N7/M7,0)</f>
        <v>0.00941121826063877</v>
      </c>
      <c r="P7" s="685" t="n">
        <f aca="false">IFERROR((M7-N7)/L7,0)</f>
        <v>4.93460775672102</v>
      </c>
    </row>
    <row r="8" customFormat="false" ht="13.8" hidden="true" customHeight="false" outlineLevel="0" collapsed="false">
      <c r="B8" s="676"/>
      <c r="C8" s="686" t="s">
        <v>2443</v>
      </c>
      <c r="D8" s="682" t="n">
        <f aca="false">SUMIF(PVA!D$13:D$29,'Prod Summary'!C8,PVA!E$13:E$30)</f>
        <v>16944</v>
      </c>
      <c r="E8" s="683" t="n">
        <f aca="false">SUMIF(PVA!$D$13:$D$30,'Prod Summary'!C8,PVA!G$13:G$30)</f>
        <v>60794</v>
      </c>
      <c r="F8" s="683" t="n">
        <f aca="false">SUMIF(PVA!$D$13:$D$30,'Prod Summary'!C8,PVA!H$13:H$30)</f>
        <v>1036</v>
      </c>
      <c r="G8" s="684" t="n">
        <f aca="false">IFERROR(F8/(E8+F8),0)</f>
        <v>0.01675562024907</v>
      </c>
      <c r="H8" s="685" t="n">
        <f aca="false">IFERROR(E8/D8,0)</f>
        <v>3.58793673276676</v>
      </c>
      <c r="J8" s="676"/>
      <c r="K8" s="686" t="s">
        <v>2443</v>
      </c>
      <c r="L8" s="682" t="n">
        <f aca="false">SUMIF(PVA!D$33:D$97,'Prod Summary'!K8,PVA!E$33:E$97)</f>
        <v>6080</v>
      </c>
      <c r="M8" s="682" t="n">
        <f aca="false">SUMIF(PVA!D$33:D$97,'Prod Summary'!K8,PVA!G$33:G$97)</f>
        <v>50854</v>
      </c>
      <c r="N8" s="682" t="n">
        <f aca="false">SUMIF(PVA!$D$33:$D$97,'Prod Summary'!K8,PVA!H$33:H$97)+SUMIF(PVA!$D$33:$D$97,'Prod Summary'!K8,PVA!I$33:I$97)</f>
        <v>361</v>
      </c>
      <c r="O8" s="684" t="n">
        <f aca="false">IFERROR(N8/M8,0)</f>
        <v>0.00709875329374287</v>
      </c>
      <c r="P8" s="685" t="n">
        <f aca="false">IFERROR((M8-N8)/L8,0)</f>
        <v>8.30476973684211</v>
      </c>
    </row>
    <row r="9" customFormat="false" ht="13.8" hidden="true" customHeight="false" outlineLevel="0" collapsed="false">
      <c r="B9" s="676"/>
      <c r="C9" s="686" t="s">
        <v>2444</v>
      </c>
      <c r="D9" s="682" t="n">
        <f aca="false">SUMIF(PVA!D$13:D$29,'Prod Summary'!C9,PVA!E$13:E$30)</f>
        <v>2574</v>
      </c>
      <c r="E9" s="683" t="n">
        <f aca="false">SUMIF(PVA!$D$13:$D$30,'Prod Summary'!C9,PVA!G$13:G$30)</f>
        <v>45912</v>
      </c>
      <c r="F9" s="683" t="n">
        <f aca="false">SUMIF(PVA!$D$13:$D$30,'Prod Summary'!C9,PVA!H$13:H$30)</f>
        <v>948</v>
      </c>
      <c r="G9" s="684" t="n">
        <f aca="false">IFERROR(F9/(E9+F9),0)</f>
        <v>0.0202304737516005</v>
      </c>
      <c r="H9" s="685" t="n">
        <f aca="false">IFERROR(E9/D9,0)</f>
        <v>17.8368298368298</v>
      </c>
      <c r="J9" s="676"/>
      <c r="K9" s="686" t="s">
        <v>2444</v>
      </c>
      <c r="L9" s="682" t="n">
        <f aca="false">SUMIF(PVA!D$33:D$97,'Prod Summary'!K9,PVA!E$33:E$97)</f>
        <v>4000</v>
      </c>
      <c r="M9" s="682" t="n">
        <f aca="false">SUMIF(PVA!D$33:D$97,'Prod Summary'!K9,PVA!G$33:G$97)</f>
        <v>40835</v>
      </c>
      <c r="N9" s="682" t="n">
        <f aca="false">SUMIF(PVA!$D$33:$D$97,'Prod Summary'!K9,PVA!H$33:H$97)+SUMIF(PVA!$D$33:$D$97,'Prod Summary'!K9,PVA!I$33:I$97)</f>
        <v>308</v>
      </c>
      <c r="O9" s="684" t="n">
        <f aca="false">IFERROR(N9/M9,0)</f>
        <v>0.00754254928370271</v>
      </c>
      <c r="P9" s="685" t="n">
        <f aca="false">IFERROR((M9-N9)/L9,0)</f>
        <v>10.13175</v>
      </c>
    </row>
    <row r="10" customFormat="false" ht="13.8" hidden="true" customHeight="false" outlineLevel="0" collapsed="false">
      <c r="B10" s="676"/>
      <c r="C10" s="686" t="s">
        <v>2442</v>
      </c>
      <c r="D10" s="682" t="n">
        <f aca="false">SUMIF(PVA!D$13:D$29,'Prod Summary'!C10,PVA!E$13:E$30)</f>
        <v>0</v>
      </c>
      <c r="E10" s="683" t="n">
        <f aca="false">SUMIF(PVA!$D$13:$D$30,'Prod Summary'!C10,PVA!G$13:G$30)</f>
        <v>6295</v>
      </c>
      <c r="F10" s="683" t="n">
        <f aca="false">SUMIF(PVA!$D$13:$D$30,'Prod Summary'!C10,PVA!H$13:H$30)</f>
        <v>152</v>
      </c>
      <c r="G10" s="684" t="n">
        <f aca="false">IFERROR(F10/(E10+F10),0)</f>
        <v>0.0235768574530789</v>
      </c>
      <c r="H10" s="685" t="n">
        <f aca="false">IFERROR(E10/D10,0)</f>
        <v>0</v>
      </c>
      <c r="J10" s="676"/>
      <c r="K10" s="686" t="s">
        <v>2442</v>
      </c>
      <c r="L10" s="682" t="n">
        <f aca="false">SUMIF(PVA!D$33:D$97,'Prod Summary'!K10,PVA!E$33:E$97)</f>
        <v>0</v>
      </c>
      <c r="M10" s="682" t="n">
        <f aca="false">SUMIF(PVA!D$33:D$97,'Prod Summary'!K10,PVA!G$33:G$97)</f>
        <v>7822</v>
      </c>
      <c r="N10" s="682" t="n">
        <f aca="false">SUMIF(PVA!$D$33:$D$97,'Prod Summary'!K10,PVA!H$33:H$97)+SUMIF(PVA!$D$33:$D$97,'Prod Summary'!K10,PVA!I$33:I$97)</f>
        <v>252</v>
      </c>
      <c r="O10" s="684" t="n">
        <f aca="false">IFERROR(N10/M10,0)</f>
        <v>0.0322168243416006</v>
      </c>
      <c r="P10" s="685" t="n">
        <f aca="false">IFERROR((M10-N10)/L10,0)</f>
        <v>0</v>
      </c>
    </row>
    <row r="11" customFormat="false" ht="13.8" hidden="true" customHeight="false" outlineLevel="0" collapsed="false">
      <c r="B11" s="676"/>
      <c r="C11" s="686" t="s">
        <v>2540</v>
      </c>
      <c r="D11" s="682" t="n">
        <f aca="false">SUMIF(PVA!D$13:D$29,'Prod Summary'!C11,PVA!E$13:E$30)</f>
        <v>0</v>
      </c>
      <c r="E11" s="683" t="n">
        <f aca="false">SUMIF(PVA!$D$13:$D$30,'Prod Summary'!C11,PVA!G$13:G$30)</f>
        <v>2248</v>
      </c>
      <c r="F11" s="683" t="n">
        <f aca="false">SUMIF(PVA!$D$13:$D$30,'Prod Summary'!C11,PVA!H$13:H$30)</f>
        <v>82</v>
      </c>
      <c r="G11" s="684" t="n">
        <f aca="false">IFERROR(F11/(E11+F11),0)</f>
        <v>0.0351931330472103</v>
      </c>
      <c r="H11" s="685" t="n">
        <f aca="false">IFERROR(E11/D11,0)</f>
        <v>0</v>
      </c>
      <c r="J11" s="676"/>
      <c r="K11" s="686" t="s">
        <v>2540</v>
      </c>
      <c r="L11" s="682" t="n">
        <f aca="false">SUMIF(PVA!D$33:D$97,'Prod Summary'!K11,PVA!E$33:E$97)</f>
        <v>3000</v>
      </c>
      <c r="M11" s="682" t="n">
        <f aca="false">SUMIF(PVA!D$33:D$97,'Prod Summary'!K11,PVA!G$33:G$97)</f>
        <v>5915</v>
      </c>
      <c r="N11" s="682" t="n">
        <f aca="false">SUMIF(PVA!$D$33:$D$97,'Prod Summary'!K11,PVA!H$33:H$97)+SUMIF(PVA!$D$33:$D$97,'Prod Summary'!K11,PVA!I$33:I$97)</f>
        <v>76</v>
      </c>
      <c r="O11" s="684" t="n">
        <f aca="false">IFERROR(N11/M11,0)</f>
        <v>0.0128486897717667</v>
      </c>
      <c r="P11" s="685" t="n">
        <f aca="false">IFERROR((M11-N11)/L11,0)</f>
        <v>1.94633333333333</v>
      </c>
    </row>
    <row r="12" customFormat="false" ht="13.8" hidden="true" customHeight="false" outlineLevel="0" collapsed="false">
      <c r="B12" s="676"/>
      <c r="C12" s="686" t="s">
        <v>2541</v>
      </c>
      <c r="D12" s="682" t="n">
        <f aca="false">SUMIF(PVA!D$13:D$29,'Prod Summary'!C12,PVA!E$13:E$30)</f>
        <v>12012</v>
      </c>
      <c r="E12" s="683" t="n">
        <f aca="false">SUMIF(PVA!$D$13:$D$30,'Prod Summary'!C12,PVA!G$13:G$30)</f>
        <v>18838</v>
      </c>
      <c r="F12" s="683" t="n">
        <f aca="false">SUMIF(PVA!$D$13:$D$30,'Prod Summary'!C12,PVA!H$13:H$30)</f>
        <v>484</v>
      </c>
      <c r="G12" s="684" t="n">
        <f aca="false">IFERROR(F12/(E12+F12),0)</f>
        <v>0.0250491667529241</v>
      </c>
      <c r="H12" s="685" t="n">
        <f aca="false">IFERROR(E12/D12,0)</f>
        <v>1.56826506826507</v>
      </c>
      <c r="J12" s="676"/>
      <c r="K12" s="686" t="s">
        <v>2541</v>
      </c>
      <c r="L12" s="682" t="n">
        <f aca="false">SUMIF(PVA!D$33:D$97,'Prod Summary'!K12,PVA!E$33:E$97)</f>
        <v>10434</v>
      </c>
      <c r="M12" s="682" t="n">
        <f aca="false">SUMIF(PVA!D$33:D$97,'Prod Summary'!K12,PVA!G$33:G$97)</f>
        <v>20745</v>
      </c>
      <c r="N12" s="682" t="n">
        <f aca="false">SUMIF(PVA!$D$33:$D$97,'Prod Summary'!K12,PVA!H$33:H$97)+SUMIF(PVA!$D$33:$D$97,'Prod Summary'!K12,PVA!I$33:I$97)</f>
        <v>325</v>
      </c>
      <c r="O12" s="684" t="n">
        <f aca="false">IFERROR(N12/M12,0)</f>
        <v>0.0156664256447337</v>
      </c>
      <c r="P12" s="685" t="n">
        <f aca="false">IFERROR((M12-N12)/L12,0)</f>
        <v>1.95706344642515</v>
      </c>
    </row>
    <row r="13" customFormat="false" ht="13.8" hidden="true" customHeight="false" outlineLevel="0" collapsed="false">
      <c r="B13" s="676"/>
      <c r="C13" s="686" t="s">
        <v>2542</v>
      </c>
      <c r="D13" s="682" t="n">
        <f aca="false">SUMIF(PVA!D$13:D$29,'Prod Summary'!C13,PVA!E$13:E$30)</f>
        <v>0</v>
      </c>
      <c r="E13" s="683" t="n">
        <f aca="false">SUMIF(PVA!$D$13:$D$30,'Prod Summary'!C13,PVA!G$13:G$30)</f>
        <v>20015</v>
      </c>
      <c r="F13" s="683" t="n">
        <f aca="false">SUMIF(PVA!$D$13:$D$30,'Prod Summary'!C13,PVA!H$13:H$30)</f>
        <v>492</v>
      </c>
      <c r="G13" s="684" t="n">
        <f aca="false">IFERROR(F13/(E13+F13),0)</f>
        <v>0.0239918076754279</v>
      </c>
      <c r="H13" s="685" t="n">
        <f aca="false">IFERROR(E13/D13,0)</f>
        <v>0</v>
      </c>
      <c r="J13" s="676"/>
      <c r="K13" s="686" t="s">
        <v>2542</v>
      </c>
      <c r="L13" s="682" t="n">
        <f aca="false">SUMIF(PVA!D$33:D$97,'Prod Summary'!K13,PVA!E$33:E$97)</f>
        <v>6200</v>
      </c>
      <c r="M13" s="682" t="n">
        <f aca="false">SUMIF(PVA!D$33:D$97,'Prod Summary'!K13,PVA!G$33:G$97)</f>
        <v>26637</v>
      </c>
      <c r="N13" s="682" t="n">
        <f aca="false">SUMIF(PVA!$D$33:$D$97,'Prod Summary'!K13,PVA!H$33:H$97)+SUMIF(PVA!$D$33:$D$97,'Prod Summary'!K13,PVA!I$33:I$97)</f>
        <v>469</v>
      </c>
      <c r="O13" s="684" t="n">
        <f aca="false">IFERROR(N13/M13,0)</f>
        <v>0.0176070878852724</v>
      </c>
      <c r="P13" s="685" t="n">
        <f aca="false">IFERROR((M13-N13)/L13,0)</f>
        <v>4.22064516129032</v>
      </c>
    </row>
    <row r="14" customFormat="false" ht="13.8" hidden="true" customHeight="false" outlineLevel="0" collapsed="false">
      <c r="B14" s="676"/>
      <c r="C14" s="686" t="s">
        <v>2543</v>
      </c>
      <c r="D14" s="682" t="n">
        <f aca="false">SUMIF(PVA!D$13:D$29,'Prod Summary'!C14,PVA!E$13:E$30)</f>
        <v>5006</v>
      </c>
      <c r="E14" s="683" t="n">
        <f aca="false">SUMIF(PVA!$D$13:$D$30,'Prod Summary'!C14,PVA!G$13:G$30)</f>
        <v>14460</v>
      </c>
      <c r="F14" s="683" t="n">
        <f aca="false">SUMIF(PVA!$D$13:$D$30,'Prod Summary'!C14,PVA!H$13:H$30)</f>
        <v>367</v>
      </c>
      <c r="G14" s="684" t="n">
        <f aca="false">IFERROR(F14/(E14+F14),0)</f>
        <v>0.0247521413637283</v>
      </c>
      <c r="H14" s="685" t="n">
        <f aca="false">IFERROR(E14/D14,0)</f>
        <v>2.88853375948861</v>
      </c>
      <c r="J14" s="676"/>
      <c r="K14" s="686" t="s">
        <v>2543</v>
      </c>
      <c r="L14" s="682" t="n">
        <f aca="false">SUMIF(PVA!D$33:D$97,'Prod Summary'!K14,PVA!E$33:E$97)</f>
        <v>4700</v>
      </c>
      <c r="M14" s="682" t="n">
        <f aca="false">SUMIF(PVA!D$33:D$97,'Prod Summary'!K14,PVA!G$33:G$97)</f>
        <v>13813</v>
      </c>
      <c r="N14" s="682" t="n">
        <f aca="false">SUMIF(PVA!$D$33:$D$97,'Prod Summary'!K14,PVA!H$33:H$97)+SUMIF(PVA!$D$33:$D$97,'Prod Summary'!K14,PVA!I$33:I$97)</f>
        <v>207</v>
      </c>
      <c r="O14" s="684" t="n">
        <f aca="false">IFERROR(N14/M14,0)</f>
        <v>0.0149858828639687</v>
      </c>
      <c r="P14" s="685" t="n">
        <f aca="false">IFERROR((M14-N14)/L14,0)</f>
        <v>2.89489361702128</v>
      </c>
    </row>
    <row r="15" customFormat="false" ht="13.8" hidden="true" customHeight="false" outlineLevel="0" collapsed="false">
      <c r="B15" s="676"/>
      <c r="C15" s="687" t="s">
        <v>2544</v>
      </c>
      <c r="D15" s="682" t="n">
        <f aca="false">SUMIF(PVA!D$13:D$29,'Prod Summary'!C15,PVA!E$13:E$30)</f>
        <v>5006</v>
      </c>
      <c r="E15" s="683" t="n">
        <f aca="false">SUMIF(PVA!$D$13:$D$30,'Prod Summary'!C15,PVA!G$13:G$30)</f>
        <v>23760</v>
      </c>
      <c r="F15" s="683" t="n">
        <f aca="false">SUMIF(PVA!$D$13:$D$30,'Prod Summary'!C15,PVA!H$13:H$30)</f>
        <v>803</v>
      </c>
      <c r="G15" s="684" t="n">
        <f aca="false">IFERROR(F15/(E15+F15),0)</f>
        <v>0.0326914464845499</v>
      </c>
      <c r="H15" s="685" t="n">
        <f aca="false">IFERROR(E15/D15,0)</f>
        <v>4.74630443467839</v>
      </c>
      <c r="J15" s="676"/>
      <c r="K15" s="687" t="s">
        <v>2544</v>
      </c>
      <c r="L15" s="682" t="n">
        <f aca="false">SUMIF(PVA!D$33:D$97,'Prod Summary'!K15,PVA!E$33:E$97)</f>
        <v>3000</v>
      </c>
      <c r="M15" s="682" t="n">
        <f aca="false">SUMIF(PVA!D$33:D$97,'Prod Summary'!K15,PVA!G$33:G$97)</f>
        <v>12025</v>
      </c>
      <c r="N15" s="682" t="n">
        <f aca="false">SUMIF(PVA!$D$33:$D$97,'Prod Summary'!K15,PVA!H$33:H$97)+SUMIF(PVA!$D$33:$D$97,'Prod Summary'!K15,PVA!I$33:I$97)</f>
        <v>178</v>
      </c>
      <c r="O15" s="684" t="n">
        <f aca="false">IFERROR(N15/M15,0)</f>
        <v>0.0148024948024948</v>
      </c>
      <c r="P15" s="685" t="n">
        <f aca="false">IFERROR((M15-N15)/L15,0)</f>
        <v>3.949</v>
      </c>
      <c r="Q15" s="667" t="s">
        <v>2545</v>
      </c>
    </row>
    <row r="16" customFormat="false" ht="13.8" hidden="true" customHeight="false" outlineLevel="0" collapsed="false">
      <c r="B16" s="676"/>
      <c r="C16" s="677" t="s">
        <v>2432</v>
      </c>
      <c r="D16" s="688" t="n">
        <f aca="false">SUM(D5:D15)</f>
        <v>134206</v>
      </c>
      <c r="E16" s="689" t="n">
        <f aca="false">SUM(E5:E15)</f>
        <v>554822</v>
      </c>
      <c r="F16" s="689" t="n">
        <f aca="false">SUM(F5:F15)</f>
        <v>11239</v>
      </c>
      <c r="G16" s="690" t="n">
        <f aca="false">F16/(F16+E16)</f>
        <v>0.0198547506364155</v>
      </c>
      <c r="H16" s="691" t="n">
        <f aca="false">E16/D16</f>
        <v>4.13410726793139</v>
      </c>
      <c r="J16" s="676"/>
      <c r="K16" s="677" t="s">
        <v>2432</v>
      </c>
      <c r="L16" s="692" t="n">
        <f aca="false">SUM(L5:L15)</f>
        <v>89120</v>
      </c>
      <c r="M16" s="692" t="n">
        <f aca="false">SUM(M5:M15)</f>
        <v>504366</v>
      </c>
      <c r="N16" s="692" t="n">
        <f aca="false">SUM(N5:N15)</f>
        <v>4797</v>
      </c>
      <c r="O16" s="693" t="n">
        <f aca="false">N16/(N16+M16)</f>
        <v>0.0094213444417603</v>
      </c>
      <c r="P16" s="691" t="n">
        <f aca="false">M16/L16</f>
        <v>5.65940305206463</v>
      </c>
    </row>
    <row r="17" s="694" customFormat="true" ht="13.8" hidden="true" customHeight="false" outlineLevel="0" collapsed="false">
      <c r="E17" s="694" t="n">
        <f aca="false">E16-PVA!G31</f>
        <v>0</v>
      </c>
      <c r="M17" s="694" t="n">
        <f aca="false">M16-PVA!G98</f>
        <v>0</v>
      </c>
      <c r="P17" s="695"/>
    </row>
    <row r="18" customFormat="false" ht="13.8" hidden="true" customHeight="false" outlineLevel="0" collapsed="false">
      <c r="B18" s="696" t="s">
        <v>2546</v>
      </c>
      <c r="C18" s="677" t="s">
        <v>2530</v>
      </c>
      <c r="D18" s="678" t="s">
        <v>2531</v>
      </c>
      <c r="E18" s="679" t="s">
        <v>2532</v>
      </c>
      <c r="F18" s="679" t="s">
        <v>2533</v>
      </c>
      <c r="G18" s="679" t="s">
        <v>2534</v>
      </c>
      <c r="H18" s="680" t="s">
        <v>2535</v>
      </c>
      <c r="J18" s="696" t="s">
        <v>2547</v>
      </c>
      <c r="K18" s="677" t="s">
        <v>2530</v>
      </c>
      <c r="L18" s="678" t="s">
        <v>2531</v>
      </c>
      <c r="M18" s="679" t="s">
        <v>2532</v>
      </c>
      <c r="N18" s="679" t="s">
        <v>2533</v>
      </c>
      <c r="O18" s="679" t="s">
        <v>2534</v>
      </c>
      <c r="P18" s="680" t="s">
        <v>2535</v>
      </c>
    </row>
    <row r="19" customFormat="false" ht="13.8" hidden="true" customHeight="false" outlineLevel="0" collapsed="false">
      <c r="B19" s="696"/>
      <c r="C19" s="686" t="s">
        <v>2548</v>
      </c>
      <c r="D19" s="682" t="n">
        <f aca="false">SUMIF(PVA!D$100:D$104,'Prod Summary'!C19,PVA!E$100:E$104)</f>
        <v>113130</v>
      </c>
      <c r="E19" s="682" t="n">
        <f aca="false">SUMIF(PVA!D$100:D$104,'Prod Summary'!C19,PVA!G$100:G$104)</f>
        <v>328312</v>
      </c>
      <c r="F19" s="682" t="n">
        <f aca="false">SUMIF(PVA!D$100:D$104,'Prod Summary'!C19,PVA!H$100:H$103)+SUMIF(PVA!D$100:D$103,'Prod Summary'!C19,PVA!I$100:I$104)</f>
        <v>4749</v>
      </c>
      <c r="G19" s="684" t="n">
        <f aca="false">IFERROR(F19/(E19+F19),0)</f>
        <v>0.0142586493164916</v>
      </c>
      <c r="H19" s="685" t="n">
        <f aca="false">IFERROR(E19/D19,0)</f>
        <v>2.90207725625387</v>
      </c>
      <c r="J19" s="696"/>
      <c r="K19" s="686" t="s">
        <v>2548</v>
      </c>
      <c r="L19" s="682" t="n">
        <f aca="false">SUMIF(PVA!D$107:D$111,'Prod Summary'!K19,PVA!E$107:E$111)</f>
        <v>113000</v>
      </c>
      <c r="M19" s="682" t="n">
        <f aca="false">SUMIF(PVA!D$107:D$111,'Prod Summary'!K19,PVA!G$107:G$111)</f>
        <v>116670</v>
      </c>
      <c r="N19" s="682" t="n">
        <f aca="false">SUMIF(PVA!D$107:D$111,'Prod Summary'!K19,PVA!H$107:H$111)</f>
        <v>0</v>
      </c>
      <c r="O19" s="684" t="n">
        <f aca="false">IFERROR(N19/(M19+N19),0)</f>
        <v>0</v>
      </c>
      <c r="P19" s="685" t="n">
        <f aca="false">IFERROR(M19/L19,0)</f>
        <v>1.03247787610619</v>
      </c>
    </row>
    <row r="20" customFormat="false" ht="13.8" hidden="true" customHeight="false" outlineLevel="0" collapsed="false">
      <c r="B20" s="696"/>
      <c r="C20" s="686" t="s">
        <v>2549</v>
      </c>
      <c r="D20" s="682" t="n">
        <f aca="false">SUMIF(PVA!D$100:D$104,'Prod Summary'!C20,PVA!E$100:E$104)</f>
        <v>69795</v>
      </c>
      <c r="E20" s="682" t="n">
        <f aca="false">SUMIF(PVA!D$100:D$104,'Prod Summary'!C20,PVA!G$100:G$104)</f>
        <v>237572</v>
      </c>
      <c r="F20" s="682" t="n">
        <f aca="false">SUMIF(PVA!D$100:D$104,'Prod Summary'!C20,PVA!H$100:H$103)+SUMIF(PVA!D$100:D$103,'Prod Summary'!C20,PVA!I$100:I$104)</f>
        <v>3986</v>
      </c>
      <c r="G20" s="684" t="n">
        <f aca="false">IFERROR(F20/(E20+F20),0)</f>
        <v>0.0165012129592065</v>
      </c>
      <c r="H20" s="685" t="n">
        <f aca="false">IFERROR(E20/D20,0)</f>
        <v>3.40385414427968</v>
      </c>
      <c r="J20" s="696"/>
      <c r="K20" s="686" t="s">
        <v>2549</v>
      </c>
      <c r="L20" s="682" t="n">
        <f aca="false">SUMIF(PVA!D$107:D$111,'Prod Summary'!K20,PVA!E$107:E$111)</f>
        <v>69795</v>
      </c>
      <c r="M20" s="682" t="n">
        <f aca="false">SUMIF(PVA!D$107:D$111,'Prod Summary'!K20,PVA!G$107:G$111)</f>
        <v>104782</v>
      </c>
      <c r="N20" s="682" t="n">
        <f aca="false">SUMIF(PVA!D$107:D$111,'Prod Summary'!K20,PVA!H$107:H$111)</f>
        <v>0</v>
      </c>
      <c r="O20" s="684" t="n">
        <f aca="false">IFERROR(N20/(M20+N20),0)</f>
        <v>0</v>
      </c>
      <c r="P20" s="685" t="n">
        <f aca="false">IFERROR(M20/L20,0)</f>
        <v>1.50128232681424</v>
      </c>
    </row>
    <row r="21" customFormat="false" ht="13.8" hidden="true" customHeight="false" outlineLevel="0" collapsed="false">
      <c r="B21" s="696"/>
      <c r="C21" s="686" t="s">
        <v>2550</v>
      </c>
      <c r="D21" s="682" t="n">
        <f aca="false">SUMIF(PVA!D$100:D$104,'Prod Summary'!C21,PVA!E$100:E$104)</f>
        <v>73395</v>
      </c>
      <c r="E21" s="682" t="n">
        <f aca="false">SUMIF(PVA!D$100:D$104,'Prod Summary'!C21,PVA!G$100:G$104)</f>
        <v>392455</v>
      </c>
      <c r="F21" s="682" t="n">
        <f aca="false">SUMIF(PVA!D$100:D$104,'Prod Summary'!C21,PVA!H$100:H$103)+SUMIF(PVA!D$100:D$103,'Prod Summary'!C21,PVA!I$100:I$104)</f>
        <v>5026</v>
      </c>
      <c r="G21" s="684" t="n">
        <f aca="false">IFERROR(F21/(E21+F21),0)</f>
        <v>0.0126446295546202</v>
      </c>
      <c r="H21" s="685" t="n">
        <f aca="false">IFERROR(E21/D21,0)</f>
        <v>5.34716261325703</v>
      </c>
      <c r="J21" s="696"/>
      <c r="K21" s="686" t="s">
        <v>2550</v>
      </c>
      <c r="L21" s="682" t="n">
        <f aca="false">SUMIF(PVA!D$107:D$111,'Prod Summary'!K21,PVA!E$107:E$111)</f>
        <v>73000</v>
      </c>
      <c r="M21" s="682" t="n">
        <f aca="false">SUMIF(PVA!D$107:D$111,'Prod Summary'!K21,PVA!G$107:G$111)</f>
        <v>61768</v>
      </c>
      <c r="N21" s="682" t="n">
        <f aca="false">SUMIF(PVA!D$107:D$111,'Prod Summary'!K21,PVA!H$107:H$111)</f>
        <v>0</v>
      </c>
      <c r="O21" s="684" t="n">
        <f aca="false">IFERROR(N21/(M21+N21),0)</f>
        <v>0</v>
      </c>
      <c r="P21" s="685" t="n">
        <f aca="false">IFERROR(M21/L21,0)</f>
        <v>0.84613698630137</v>
      </c>
    </row>
    <row r="22" customFormat="false" ht="13.8" hidden="true" customHeight="false" outlineLevel="0" collapsed="false">
      <c r="B22" s="696"/>
      <c r="C22" s="686" t="s">
        <v>2551</v>
      </c>
      <c r="D22" s="682" t="n">
        <f aca="false">SUMIF(PVA!D$100:D$104,'Prod Summary'!C22,PVA!E$100:E$104)</f>
        <v>0</v>
      </c>
      <c r="E22" s="682" t="n">
        <f aca="false">SUMIF(PVA!D$100:D$104,'Prod Summary'!C22,PVA!G$100:G$104)</f>
        <v>93330</v>
      </c>
      <c r="F22" s="682" t="n">
        <f aca="false">SUMIF(PVA!D$100:D$104,'Prod Summary'!C22,PVA!H$100:H$103)+SUMIF(PVA!D$100:D$103,'Prod Summary'!C22,PVA!I$100:I$104)</f>
        <v>1377</v>
      </c>
      <c r="G22" s="684" t="n">
        <f aca="false">IFERROR(F22/(E22+F22),0)</f>
        <v>0.0145395799676898</v>
      </c>
      <c r="H22" s="685" t="n">
        <f aca="false">IFERROR(E22/D22,0)</f>
        <v>0</v>
      </c>
      <c r="J22" s="696"/>
      <c r="K22" s="686" t="s">
        <v>2551</v>
      </c>
      <c r="L22" s="682" t="n">
        <f aca="false">SUMIF(PVA!D$107:D$111,'Prod Summary'!K22,PVA!E$107:E$111)</f>
        <v>0</v>
      </c>
      <c r="M22" s="682" t="n">
        <f aca="false">SUMIF(PVA!D$107:D$111,'Prod Summary'!K22,PVA!G$107:G$111)</f>
        <v>6220</v>
      </c>
      <c r="N22" s="682" t="n">
        <f aca="false">SUMIF(PVA!D$107:D$111,'Prod Summary'!K22,PVA!H$107:H$111)</f>
        <v>0</v>
      </c>
      <c r="O22" s="684" t="n">
        <f aca="false">IFERROR(N22/(M22+N22),0)</f>
        <v>0</v>
      </c>
      <c r="P22" s="685" t="n">
        <f aca="false">IFERROR(M22/L22,0)</f>
        <v>0</v>
      </c>
    </row>
    <row r="23" customFormat="false" ht="13.8" hidden="true" customHeight="false" outlineLevel="0" collapsed="false">
      <c r="B23" s="696"/>
      <c r="C23" s="697" t="s">
        <v>2480</v>
      </c>
      <c r="D23" s="682" t="n">
        <f aca="false">SUMIF(PVA!D$100:D$104,'Prod Summary'!C23,PVA!E$100:E$104)</f>
        <v>33705</v>
      </c>
      <c r="E23" s="682" t="n">
        <f aca="false">SUMIF(PVA!D$100:D$104,'Prod Summary'!C23,PVA!G$100:G$104)</f>
        <v>130839</v>
      </c>
      <c r="F23" s="682" t="n">
        <f aca="false">SUMIF(PVA!D$100:D$104,'Prod Summary'!C23,PVA!H$100:H$103)+SUMIF(PVA!D$100:D$103,'Prod Summary'!C23,PVA!I$100:I$104)</f>
        <v>2360</v>
      </c>
      <c r="G23" s="684" t="n">
        <f aca="false">IFERROR(F23/(E23+F23),0)</f>
        <v>0.0177178507346151</v>
      </c>
      <c r="H23" s="685" t="n">
        <f aca="false">IFERROR(E23/D23,0)</f>
        <v>3.88188696039163</v>
      </c>
      <c r="J23" s="696"/>
      <c r="K23" s="697" t="s">
        <v>2480</v>
      </c>
      <c r="L23" s="682" t="n">
        <f aca="false">SUMIF(PVA!D$107:D$111,'Prod Summary'!K23,PVA!E$107:E$111)</f>
        <v>33700</v>
      </c>
      <c r="M23" s="682" t="n">
        <f aca="false">SUMIF(PVA!D$107:D$111,'Prod Summary'!K23,PVA!G$107:G$111)</f>
        <v>32550</v>
      </c>
      <c r="N23" s="682" t="n">
        <f aca="false">SUMIF(PVA!D$107:D$111,'Prod Summary'!K23,PVA!H$107:H$111)</f>
        <v>0</v>
      </c>
      <c r="O23" s="684" t="n">
        <f aca="false">IFERROR(N23/(M23+N23),0)</f>
        <v>0</v>
      </c>
      <c r="P23" s="685" t="n">
        <f aca="false">IFERROR(M23/L23,0)</f>
        <v>0.965875370919881</v>
      </c>
    </row>
    <row r="24" customFormat="false" ht="13.8" hidden="true" customHeight="false" outlineLevel="0" collapsed="false">
      <c r="B24" s="696"/>
      <c r="C24" s="677" t="s">
        <v>2432</v>
      </c>
      <c r="D24" s="688" t="n">
        <f aca="false">SUM(D19:D23)</f>
        <v>290025</v>
      </c>
      <c r="E24" s="688" t="n">
        <f aca="false">SUM(E19:E23)</f>
        <v>1182508</v>
      </c>
      <c r="F24" s="688" t="n">
        <f aca="false">SUM(F19:F23)</f>
        <v>17498</v>
      </c>
      <c r="G24" s="690" t="n">
        <f aca="false">F24/(F24+E24)</f>
        <v>0.0145815937586979</v>
      </c>
      <c r="H24" s="691" t="n">
        <f aca="false">E24/D24</f>
        <v>4.07726230497371</v>
      </c>
      <c r="J24" s="696"/>
      <c r="K24" s="677" t="s">
        <v>2432</v>
      </c>
      <c r="L24" s="688" t="n">
        <f aca="false">SUM(L19:L23)</f>
        <v>289495</v>
      </c>
      <c r="M24" s="688" t="n">
        <f aca="false">SUM(M19:M23)</f>
        <v>321990</v>
      </c>
      <c r="N24" s="688" t="n">
        <f aca="false">SUM(N19:N23)</f>
        <v>0</v>
      </c>
      <c r="O24" s="690" t="n">
        <f aca="false">N24/(N24+M24)</f>
        <v>0</v>
      </c>
      <c r="P24" s="691" t="n">
        <f aca="false">M24/L24</f>
        <v>1.11224718907062</v>
      </c>
    </row>
    <row r="25" s="694" customFormat="true" ht="13.8" hidden="true" customHeight="false" outlineLevel="0" collapsed="false">
      <c r="E25" s="694" t="n">
        <f aca="false">E24-PVA!G105</f>
        <v>0</v>
      </c>
      <c r="M25" s="694" t="n">
        <f aca="false">M24-PVA!G112</f>
        <v>0</v>
      </c>
      <c r="P25" s="695"/>
    </row>
    <row r="26" customFormat="false" ht="16.5" hidden="true" customHeight="true" outlineLevel="0" collapsed="false"/>
    <row r="27" customFormat="false" ht="13.8" hidden="true" customHeight="false" outlineLevel="0" collapsed="false">
      <c r="B27" s="696" t="s">
        <v>2552</v>
      </c>
      <c r="C27" s="677" t="s">
        <v>2530</v>
      </c>
      <c r="D27" s="678" t="s">
        <v>2531</v>
      </c>
      <c r="E27" s="679" t="s">
        <v>2532</v>
      </c>
      <c r="F27" s="679" t="s">
        <v>2533</v>
      </c>
      <c r="G27" s="679" t="s">
        <v>2534</v>
      </c>
      <c r="H27" s="680" t="s">
        <v>2535</v>
      </c>
      <c r="J27" s="698" t="s">
        <v>2553</v>
      </c>
      <c r="K27" s="677" t="s">
        <v>2530</v>
      </c>
      <c r="L27" s="678" t="s">
        <v>2531</v>
      </c>
      <c r="M27" s="679" t="s">
        <v>2532</v>
      </c>
      <c r="N27" s="679" t="s">
        <v>2533</v>
      </c>
      <c r="O27" s="679" t="s">
        <v>2534</v>
      </c>
      <c r="P27" s="680" t="s">
        <v>2535</v>
      </c>
    </row>
    <row r="28" customFormat="false" ht="13.8" hidden="true" customHeight="false" outlineLevel="0" collapsed="false">
      <c r="B28" s="696"/>
      <c r="C28" s="686" t="s">
        <v>2548</v>
      </c>
      <c r="D28" s="682" t="n">
        <f aca="false">SUMIF(PVA!D$114:D$118,'Prod Summary'!C28,PVA!E$114:E$118)</f>
        <v>113000</v>
      </c>
      <c r="E28" s="682" t="n">
        <f aca="false">SUMIF(PVA!D$114:D$118,'Prod Summary'!C28,PVA!G$114:G$118)</f>
        <v>298396</v>
      </c>
      <c r="F28" s="682" t="n">
        <f aca="false">SUMIF(PVA!D$114:D$118,'Prod Summary'!C28,PVA!H$114:H$118)</f>
        <v>0</v>
      </c>
      <c r="G28" s="684" t="n">
        <f aca="false">IFERROR(F28/(E28+F28),0)</f>
        <v>0</v>
      </c>
      <c r="H28" s="685" t="n">
        <f aca="false">IFERROR(E28/D28,0)</f>
        <v>2.64067256637168</v>
      </c>
      <c r="J28" s="698"/>
      <c r="K28" s="686" t="s">
        <v>2548</v>
      </c>
      <c r="L28" s="682" t="n">
        <f aca="false">SUMIF(PVA!D$121:D$125,'Prod Summary'!K28,PVA!E$121:E$125)</f>
        <v>0</v>
      </c>
      <c r="M28" s="682" t="n">
        <f aca="false">SUMIF(PVA!D$121:D$125,'Prod Summary'!K28,PVA!G$121:G$125)</f>
        <v>229471</v>
      </c>
      <c r="N28" s="682" t="n">
        <f aca="false">SUMIF(PVA!D$121:D$125,'Prod Summary'!K28,PVA!H$121:H$125)</f>
        <v>13</v>
      </c>
      <c r="O28" s="684" t="n">
        <f aca="false">IFERROR(N28/(M28+N28),0)</f>
        <v>5.66488295480295E-005</v>
      </c>
      <c r="P28" s="685" t="n">
        <f aca="false">IFERROR(M28/L28,0)</f>
        <v>0</v>
      </c>
    </row>
    <row r="29" customFormat="false" ht="13.8" hidden="true" customHeight="false" outlineLevel="0" collapsed="false">
      <c r="B29" s="696"/>
      <c r="C29" s="686" t="s">
        <v>2549</v>
      </c>
      <c r="D29" s="682" t="n">
        <f aca="false">SUMIF(PVA!D$114:D$118,'Prod Summary'!C29,PVA!E$114:E$118)</f>
        <v>69264</v>
      </c>
      <c r="E29" s="682" t="n">
        <f aca="false">SUMIF(PVA!D$114:D$118,'Prod Summary'!C29,PVA!G$114:G$118)</f>
        <v>217048</v>
      </c>
      <c r="F29" s="682" t="n">
        <f aca="false">SUMIF(PVA!D$114:D$118,'Prod Summary'!C29,PVA!H$114:H$118)</f>
        <v>127</v>
      </c>
      <c r="G29" s="684" t="n">
        <f aca="false">IFERROR(F29/(E29+F29),0)</f>
        <v>0.000584781857948659</v>
      </c>
      <c r="H29" s="685" t="n">
        <f aca="false">IFERROR(E29/D29,0)</f>
        <v>3.13363363363363</v>
      </c>
      <c r="J29" s="698"/>
      <c r="K29" s="686" t="s">
        <v>2549</v>
      </c>
      <c r="L29" s="682" t="n">
        <f aca="false">SUMIF(PVA!D$121:D$125,'Prod Summary'!K29,PVA!E$121:E$125)</f>
        <v>0</v>
      </c>
      <c r="M29" s="682" t="n">
        <f aca="false">SUMIF(PVA!D$121:D$125,'Prod Summary'!K29,PVA!G$121:G$125)</f>
        <v>153356</v>
      </c>
      <c r="N29" s="682" t="n">
        <f aca="false">SUMIF(PVA!D$121:D$125,'Prod Summary'!K29,PVA!H$121:H$125)</f>
        <v>0</v>
      </c>
      <c r="O29" s="684" t="n">
        <f aca="false">IFERROR(N29/(M29+N29),0)</f>
        <v>0</v>
      </c>
      <c r="P29" s="685" t="n">
        <f aca="false">IFERROR(M29/L29,0)</f>
        <v>0</v>
      </c>
    </row>
    <row r="30" customFormat="false" ht="13.8" hidden="true" customHeight="false" outlineLevel="0" collapsed="false">
      <c r="B30" s="696"/>
      <c r="C30" s="686" t="s">
        <v>2550</v>
      </c>
      <c r="D30" s="682" t="n">
        <f aca="false">SUMIF(PVA!D$114:D$118,'Prod Summary'!C30,PVA!E$114:E$118)</f>
        <v>73024</v>
      </c>
      <c r="E30" s="682" t="n">
        <f aca="false">SUMIF(PVA!D$114:D$118,'Prod Summary'!C30,PVA!G$114:G$118)</f>
        <v>372798</v>
      </c>
      <c r="F30" s="682" t="n">
        <f aca="false">SUMIF(PVA!D$114:D$118,'Prod Summary'!C30,PVA!H$114:H$118)</f>
        <v>87</v>
      </c>
      <c r="G30" s="684" t="n">
        <f aca="false">IFERROR(F30/(E30+F30),0)</f>
        <v>0.000233315901685506</v>
      </c>
      <c r="H30" s="685" t="n">
        <f aca="false">IFERROR(E30/D30,0)</f>
        <v>5.105143514461</v>
      </c>
      <c r="J30" s="698"/>
      <c r="K30" s="686" t="s">
        <v>2550</v>
      </c>
      <c r="L30" s="682" t="n">
        <f aca="false">SUMIF(PVA!D$121:D$125,'Prod Summary'!K30,PVA!E$121:E$125)</f>
        <v>0</v>
      </c>
      <c r="M30" s="682" t="n">
        <f aca="false">SUMIF(PVA!D$121:D$125,'Prod Summary'!K30,PVA!G$121:G$125)</f>
        <v>361880</v>
      </c>
      <c r="N30" s="682" t="n">
        <f aca="false">SUMIF(PVA!D$121:D$125,'Prod Summary'!K30,PVA!H$121:H$125)</f>
        <v>18</v>
      </c>
      <c r="O30" s="684" t="n">
        <f aca="false">IFERROR(N30/(M30+N30),0)</f>
        <v>4.97377714162554E-005</v>
      </c>
      <c r="P30" s="685" t="n">
        <f aca="false">IFERROR(M30/L30,0)</f>
        <v>0</v>
      </c>
    </row>
    <row r="31" customFormat="false" ht="13.8" hidden="true" customHeight="false" outlineLevel="0" collapsed="false">
      <c r="B31" s="696"/>
      <c r="C31" s="686" t="s">
        <v>2551</v>
      </c>
      <c r="D31" s="682" t="n">
        <f aca="false">SUMIF(PVA!D$114:D$118,'Prod Summary'!C31,PVA!E$114:E$118)</f>
        <v>0</v>
      </c>
      <c r="E31" s="682" t="n">
        <f aca="false">SUMIF(PVA!D$114:D$118,'Prod Summary'!C31,PVA!G$114:G$118)</f>
        <v>66565</v>
      </c>
      <c r="F31" s="682" t="n">
        <f aca="false">SUMIF(PVA!D$114:D$118,'Prod Summary'!C31,PVA!H$114:H$118)</f>
        <v>0</v>
      </c>
      <c r="G31" s="684" t="n">
        <f aca="false">IFERROR(F31/(E31+F31),0)</f>
        <v>0</v>
      </c>
      <c r="H31" s="685" t="n">
        <v>0</v>
      </c>
      <c r="J31" s="698"/>
      <c r="K31" s="686" t="s">
        <v>2551</v>
      </c>
      <c r="L31" s="682" t="n">
        <f aca="false">SUMIF(PVA!D$121:D$125,'Prod Summary'!K31,PVA!E$121:E$125)</f>
        <v>0</v>
      </c>
      <c r="M31" s="682" t="n">
        <f aca="false">SUMIF(PVA!D$121:D$125,'Prod Summary'!K31,PVA!G$121:G$125)</f>
        <v>66557</v>
      </c>
      <c r="N31" s="682" t="n">
        <f aca="false">SUMIF(PVA!D$121:D$125,'Prod Summary'!K31,PVA!H$121:H$125)</f>
        <v>0</v>
      </c>
      <c r="O31" s="684" t="n">
        <f aca="false">IFERROR(N31/(M31+N31),0)</f>
        <v>0</v>
      </c>
      <c r="P31" s="685" t="n">
        <f aca="false">IFERROR(M31/L31,0)</f>
        <v>0</v>
      </c>
    </row>
    <row r="32" customFormat="false" ht="13.8" hidden="true" customHeight="false" outlineLevel="0" collapsed="false">
      <c r="B32" s="696"/>
      <c r="C32" s="697" t="s">
        <v>2480</v>
      </c>
      <c r="D32" s="682" t="n">
        <f aca="false">SUMIF(PVA!D$114:D$118,'Prod Summary'!C32,PVA!E$114:E$118)</f>
        <v>31644</v>
      </c>
      <c r="E32" s="682" t="n">
        <f aca="false">SUMIF(PVA!D$114:D$118,'Prod Summary'!C32,PVA!G$114:G$118)</f>
        <v>129839</v>
      </c>
      <c r="F32" s="682" t="n">
        <f aca="false">SUMIF(PVA!D$114:D$118,'Prod Summary'!C32,PVA!H$114:H$118)</f>
        <v>0</v>
      </c>
      <c r="G32" s="684" t="n">
        <f aca="false">IFERROR(F32/(E32+F32),0)</f>
        <v>0</v>
      </c>
      <c r="H32" s="685" t="n">
        <v>1</v>
      </c>
      <c r="J32" s="698"/>
      <c r="K32" s="697" t="s">
        <v>2480</v>
      </c>
      <c r="L32" s="682" t="n">
        <f aca="false">SUMIF(PVA!D$121:D$125,'Prod Summary'!K32,PVA!E$121:E$125)</f>
        <v>0</v>
      </c>
      <c r="M32" s="682" t="n">
        <f aca="false">SUMIF(PVA!D$121:D$125,'Prod Summary'!K32,PVA!G$121:G$125)</f>
        <v>129839</v>
      </c>
      <c r="N32" s="682" t="n">
        <f aca="false">SUMIF(PVA!D$121:D$125,'Prod Summary'!K32,PVA!H$121:H$125)</f>
        <v>0</v>
      </c>
      <c r="O32" s="684" t="n">
        <f aca="false">IFERROR(N32/(M32+N32),0)</f>
        <v>0</v>
      </c>
      <c r="P32" s="685" t="n">
        <f aca="false">IFERROR(M32/L32,0)</f>
        <v>0</v>
      </c>
    </row>
    <row r="33" customFormat="false" ht="19.5" hidden="true" customHeight="true" outlineLevel="0" collapsed="false">
      <c r="B33" s="696"/>
      <c r="C33" s="677" t="s">
        <v>2432</v>
      </c>
      <c r="D33" s="688" t="n">
        <f aca="false">SUM(D28:D32)</f>
        <v>286932</v>
      </c>
      <c r="E33" s="688" t="n">
        <f aca="false">SUM(E28:E32)</f>
        <v>1084646</v>
      </c>
      <c r="F33" s="688" t="n">
        <f aca="false">SUM(F28:F32)</f>
        <v>214</v>
      </c>
      <c r="G33" s="693" t="n">
        <f aca="false">F33/(F33+E33)</f>
        <v>0.000197260476006121</v>
      </c>
      <c r="H33" s="699" t="n">
        <f aca="false">E33/D33</f>
        <v>3.78015000069703</v>
      </c>
      <c r="J33" s="698"/>
      <c r="K33" s="677" t="s">
        <v>2432</v>
      </c>
      <c r="L33" s="700" t="n">
        <f aca="false">SUM(L28:L32)</f>
        <v>0</v>
      </c>
      <c r="M33" s="700" t="n">
        <f aca="false">SUM(M28:M32)</f>
        <v>941103</v>
      </c>
      <c r="N33" s="700" t="n">
        <f aca="false">SUM(N28:N32)</f>
        <v>31</v>
      </c>
      <c r="O33" s="693" t="n">
        <f aca="false">N33/(N33+M33)</f>
        <v>3.293898637176E-005</v>
      </c>
      <c r="P33" s="691" t="n">
        <f aca="false">IFERROR(M33/L33,0)</f>
        <v>0</v>
      </c>
    </row>
    <row r="34" s="694" customFormat="true" ht="21.75" hidden="true" customHeight="true" outlineLevel="0" collapsed="false">
      <c r="E34" s="694" t="n">
        <f aca="false">E33-PVA!G119</f>
        <v>0</v>
      </c>
      <c r="M34" s="694" t="n">
        <f aca="false">M33-PVA!G126</f>
        <v>0</v>
      </c>
      <c r="P34" s="695"/>
    </row>
    <row r="35" customFormat="false" ht="21.75" hidden="true" customHeight="true" outlineLevel="0" collapsed="false">
      <c r="B35" s="696" t="s">
        <v>2554</v>
      </c>
      <c r="C35" s="677" t="s">
        <v>2530</v>
      </c>
      <c r="D35" s="678" t="s">
        <v>2531</v>
      </c>
      <c r="E35" s="679" t="s">
        <v>2532</v>
      </c>
      <c r="F35" s="679" t="s">
        <v>2533</v>
      </c>
      <c r="G35" s="679" t="s">
        <v>2534</v>
      </c>
      <c r="H35" s="680" t="s">
        <v>2535</v>
      </c>
      <c r="J35" s="696" t="s">
        <v>2555</v>
      </c>
      <c r="K35" s="677" t="s">
        <v>2530</v>
      </c>
      <c r="L35" s="678" t="s">
        <v>2531</v>
      </c>
      <c r="M35" s="679" t="s">
        <v>2532</v>
      </c>
      <c r="N35" s="679" t="s">
        <v>2533</v>
      </c>
      <c r="O35" s="679" t="s">
        <v>2534</v>
      </c>
      <c r="P35" s="680" t="s">
        <v>2535</v>
      </c>
    </row>
    <row r="36" customFormat="false" ht="13.8" hidden="true" customHeight="false" outlineLevel="0" collapsed="false">
      <c r="B36" s="696"/>
      <c r="C36" s="686" t="s">
        <v>2548</v>
      </c>
      <c r="D36" s="682" t="n">
        <f aca="false">SUMIF(PVA!D$128:D$132,'Prod Summary'!C36,PVA!E$128:E$132)</f>
        <v>113000</v>
      </c>
      <c r="E36" s="682" t="n">
        <f aca="false">SUMIF(PVA!D$128:D$132,'Prod Summary'!C36,PVA!G$128:G$132)</f>
        <v>296548</v>
      </c>
      <c r="F36" s="682" t="n">
        <f aca="false">SUMIF(PVA!D$128:D$132,'Prod Summary'!C36,PVA!H$128:H$132)</f>
        <v>1686</v>
      </c>
      <c r="G36" s="684" t="n">
        <f aca="false">IFERROR(F36/(E36+F36),0)</f>
        <v>0.00565327896886338</v>
      </c>
      <c r="H36" s="685" t="n">
        <f aca="false">IFERROR(E36/D36,0)</f>
        <v>2.6243185840708</v>
      </c>
      <c r="J36" s="696"/>
      <c r="K36" s="686" t="s">
        <v>2548</v>
      </c>
      <c r="L36" s="682" t="n">
        <f aca="false">SUMIF(PVA!D$135:D$139,'Prod Summary'!K36,PVA!E$135:E$139)</f>
        <v>64684</v>
      </c>
      <c r="M36" s="682" t="n">
        <f aca="false">SUMIF(PVA!D$135:D$139,'Prod Summary'!K36,PVA!G$135:G$139)</f>
        <v>139358</v>
      </c>
      <c r="N36" s="682" t="n">
        <f aca="false">SUMIF(PVA!D$135:D$139,'Prod Summary'!K36,PVA!H$135:H$139)</f>
        <v>15</v>
      </c>
      <c r="O36" s="684" t="n">
        <f aca="false">IFERROR(N36/(M36+N36),0)</f>
        <v>0.0001076248627783</v>
      </c>
      <c r="P36" s="685" t="n">
        <f aca="false">IFERROR(M36/L36,0)</f>
        <v>2.15444313895245</v>
      </c>
    </row>
    <row r="37" customFormat="false" ht="13.8" hidden="true" customHeight="false" outlineLevel="0" collapsed="false">
      <c r="B37" s="696"/>
      <c r="C37" s="686" t="s">
        <v>2549</v>
      </c>
      <c r="D37" s="682" t="n">
        <f aca="false">SUMIF(PVA!D$128:D$132,'Prod Summary'!C37,PVA!E$128:E$132)</f>
        <v>69000</v>
      </c>
      <c r="E37" s="682" t="n">
        <f aca="false">SUMIF(PVA!D$128:D$132,'Prod Summary'!C37,PVA!G$128:G$132)</f>
        <v>215507</v>
      </c>
      <c r="F37" s="682" t="n">
        <f aca="false">SUMIF(PVA!D$128:D$132,'Prod Summary'!C37,PVA!H$128:H$132)</f>
        <v>1471</v>
      </c>
      <c r="G37" s="684" t="n">
        <f aca="false">IFERROR(F37/(E37+F37),0)</f>
        <v>0.00677948916480012</v>
      </c>
      <c r="H37" s="685" t="n">
        <f aca="false">IFERROR(E37/D37,0)</f>
        <v>3.12328985507246</v>
      </c>
      <c r="J37" s="696"/>
      <c r="K37" s="686" t="s">
        <v>2549</v>
      </c>
      <c r="L37" s="682" t="n">
        <f aca="false">SUMIF(PVA!D$135:D$139,'Prod Summary'!K37,PVA!E$135:E$139)</f>
        <v>48513</v>
      </c>
      <c r="M37" s="682" t="n">
        <f aca="false">SUMIF(PVA!D$135:D$139,'Prod Summary'!K37,PVA!G$135:G$139)</f>
        <v>124947</v>
      </c>
      <c r="N37" s="682" t="n">
        <f aca="false">SUMIF(PVA!D$135:D$139,'Prod Summary'!K37,PVA!H$135:H$139)</f>
        <v>113</v>
      </c>
      <c r="O37" s="684" t="n">
        <f aca="false">IFERROR(N37/(M37+N37),0)</f>
        <v>0.000903566288181673</v>
      </c>
      <c r="P37" s="685" t="n">
        <f aca="false">IFERROR(M37/L37,0)</f>
        <v>2.57553645414631</v>
      </c>
    </row>
    <row r="38" customFormat="false" ht="13.8" hidden="true" customHeight="false" outlineLevel="0" collapsed="false">
      <c r="B38" s="696"/>
      <c r="C38" s="686" t="s">
        <v>2550</v>
      </c>
      <c r="D38" s="682" t="n">
        <f aca="false">SUMIF(PVA!D$128:D$132,'Prod Summary'!C38,PVA!E$128:E$132)</f>
        <v>73000</v>
      </c>
      <c r="E38" s="682" t="n">
        <f aca="false">SUMIF(PVA!D$128:D$132,'Prod Summary'!C38,PVA!G$128:G$132)</f>
        <v>348377</v>
      </c>
      <c r="F38" s="682" t="n">
        <f aca="false">SUMIF(PVA!D$128:D$132,'Prod Summary'!C38,PVA!H$128:H$132)</f>
        <v>2303</v>
      </c>
      <c r="G38" s="684" t="n">
        <f aca="false">IFERROR(F38/(E38+F38),0)</f>
        <v>0.0065672407893236</v>
      </c>
      <c r="H38" s="685" t="n">
        <f aca="false">IFERROR(E38/D38,0)</f>
        <v>4.77228767123288</v>
      </c>
      <c r="J38" s="696"/>
      <c r="K38" s="686" t="s">
        <v>2550</v>
      </c>
      <c r="L38" s="682" t="n">
        <f aca="false">SUMIF(PVA!D$135:D$139,'Prod Summary'!K38,PVA!E$135:E$139)</f>
        <v>64684</v>
      </c>
      <c r="M38" s="682" t="n">
        <f aca="false">SUMIF(PVA!D$135:D$139,'Prod Summary'!K38,PVA!G$135:G$139)</f>
        <v>215496</v>
      </c>
      <c r="N38" s="682" t="n">
        <f aca="false">SUMIF(PVA!D$135:D$139,'Prod Summary'!K38,PVA!H$135:H$139)</f>
        <v>153</v>
      </c>
      <c r="O38" s="684" t="n">
        <f aca="false">IFERROR(N38/(M38+N38),0)</f>
        <v>0.000709486248487125</v>
      </c>
      <c r="P38" s="685" t="n">
        <f aca="false">IFERROR(M38/L38,0)</f>
        <v>3.33151938655618</v>
      </c>
    </row>
    <row r="39" customFormat="false" ht="13.8" hidden="true" customHeight="false" outlineLevel="0" collapsed="false">
      <c r="B39" s="696"/>
      <c r="C39" s="686" t="s">
        <v>2551</v>
      </c>
      <c r="D39" s="682" t="n">
        <f aca="false">SUMIF(PVA!D$128:D$132,'Prod Summary'!C39,PVA!E$128:E$132)</f>
        <v>0</v>
      </c>
      <c r="E39" s="682" t="n">
        <f aca="false">SUMIF(PVA!D$128:D$132,'Prod Summary'!C39,PVA!G$128:G$132)</f>
        <v>66181</v>
      </c>
      <c r="F39" s="682" t="n">
        <f aca="false">SUMIF(PVA!D$128:D$132,'Prod Summary'!C39,PVA!H$128:H$132)</f>
        <v>376</v>
      </c>
      <c r="G39" s="684" t="n">
        <f aca="false">IFERROR(F39/(E39+F39),0)</f>
        <v>0.00564929308712833</v>
      </c>
      <c r="H39" s="685" t="n">
        <f aca="false">IFERROR(E39/D39,0)</f>
        <v>0</v>
      </c>
      <c r="J39" s="696"/>
      <c r="K39" s="686" t="s">
        <v>2551</v>
      </c>
      <c r="L39" s="682" t="n">
        <f aca="false">SUMIF(PVA!D$135:D$139,'Prod Summary'!K39,PVA!E$135:E$139)</f>
        <v>0</v>
      </c>
      <c r="M39" s="682" t="n">
        <f aca="false">SUMIF(PVA!D$135:D$139,'Prod Summary'!K39,PVA!G$135:G$139)</f>
        <v>66023</v>
      </c>
      <c r="N39" s="682" t="n">
        <f aca="false">SUMIF(PVA!D$135:D$139,'Prod Summary'!K39,PVA!H$135:H$139)</f>
        <v>29</v>
      </c>
      <c r="O39" s="684" t="n">
        <f aca="false">IFERROR(N39/(M39+N39),0)</f>
        <v>0.000439048022769939</v>
      </c>
      <c r="P39" s="685" t="n">
        <f aca="false">IFERROR(M39/L39,0)</f>
        <v>0</v>
      </c>
    </row>
    <row r="40" customFormat="false" ht="13.8" hidden="true" customHeight="false" outlineLevel="0" collapsed="false">
      <c r="B40" s="696"/>
      <c r="C40" s="697" t="s">
        <v>2480</v>
      </c>
      <c r="D40" s="682" t="n">
        <f aca="false">SUMIF(PVA!D$128:D$132,'Prod Summary'!C40,PVA!E$128:E$132)</f>
        <v>24000</v>
      </c>
      <c r="E40" s="682" t="n">
        <f aca="false">SUMIF(PVA!D$128:D$132,'Prod Summary'!C40,PVA!G$128:G$132)</f>
        <v>128634</v>
      </c>
      <c r="F40" s="682" t="n">
        <f aca="false">SUMIF(PVA!D$128:D$132,'Prod Summary'!C40,PVA!H$128:H$132)</f>
        <v>1205</v>
      </c>
      <c r="G40" s="684" t="n">
        <f aca="false">IFERROR(F40/(E40+F40),0)</f>
        <v>0.00928072458968415</v>
      </c>
      <c r="H40" s="685" t="n">
        <f aca="false">IFERROR(E40/D40,0)</f>
        <v>5.35975</v>
      </c>
      <c r="J40" s="696"/>
      <c r="K40" s="697" t="s">
        <v>2480</v>
      </c>
      <c r="L40" s="682" t="n">
        <f aca="false">SUMIF(PVA!D$135:D$139,'Prod Summary'!K40,PVA!E$135:E$139)</f>
        <v>32342</v>
      </c>
      <c r="M40" s="682" t="n">
        <f aca="false">SUMIF(PVA!D$135:D$139,'Prod Summary'!K40,PVA!G$135:G$139)</f>
        <v>97992</v>
      </c>
      <c r="N40" s="682" t="n">
        <f aca="false">SUMIF(PVA!D$135:D$139,'Prod Summary'!K40,PVA!H$135:H$139)</f>
        <v>86</v>
      </c>
      <c r="O40" s="684" t="n">
        <f aca="false">IFERROR(N40/(M40+N40),0)</f>
        <v>0.000876853116906952</v>
      </c>
      <c r="P40" s="685" t="n">
        <f aca="false">IFERROR(M40/L40,0)</f>
        <v>3.02986828272834</v>
      </c>
    </row>
    <row r="41" customFormat="false" ht="13.8" hidden="true" customHeight="false" outlineLevel="0" collapsed="false">
      <c r="B41" s="696"/>
      <c r="C41" s="677" t="s">
        <v>2432</v>
      </c>
      <c r="D41" s="700" t="n">
        <f aca="false">SUM(D36:D40)</f>
        <v>279000</v>
      </c>
      <c r="E41" s="700" t="n">
        <f aca="false">SUM(E36:E40)</f>
        <v>1055247</v>
      </c>
      <c r="F41" s="700" t="n">
        <f aca="false">SUM(F36:F40)</f>
        <v>7041</v>
      </c>
      <c r="G41" s="693" t="n">
        <f aca="false">F41/(F41+E41)</f>
        <v>0.00662814603949211</v>
      </c>
      <c r="H41" s="699" t="n">
        <f aca="false">E41/D41</f>
        <v>3.78224731182796</v>
      </c>
      <c r="J41" s="696"/>
      <c r="K41" s="677" t="s">
        <v>2432</v>
      </c>
      <c r="L41" s="688" t="n">
        <f aca="false">SUM(L36:L40)</f>
        <v>210223</v>
      </c>
      <c r="M41" s="688" t="n">
        <f aca="false">SUM(M36:M40)</f>
        <v>643816</v>
      </c>
      <c r="N41" s="688" t="n">
        <f aca="false">SUM(N36:N40)</f>
        <v>396</v>
      </c>
      <c r="O41" s="690" t="n">
        <f aca="false">N41/(N41+M41)</f>
        <v>0.000614704476166231</v>
      </c>
      <c r="P41" s="691" t="n">
        <f aca="false">M41/L41</f>
        <v>3.06253835213083</v>
      </c>
    </row>
    <row r="42" s="694" customFormat="true" ht="13.8" hidden="true" customHeight="false" outlineLevel="0" collapsed="false">
      <c r="D42" s="701"/>
      <c r="E42" s="702" t="n">
        <f aca="false">E41-PVA!G133</f>
        <v>0</v>
      </c>
      <c r="F42" s="702"/>
      <c r="G42" s="703"/>
      <c r="H42" s="704"/>
      <c r="M42" s="694" t="n">
        <f aca="false">M41-PVA!G140</f>
        <v>0</v>
      </c>
      <c r="P42" s="695"/>
    </row>
    <row r="43" s="694" customFormat="true" ht="13.8" hidden="true" customHeight="true" outlineLevel="0" collapsed="false">
      <c r="B43" s="705" t="s">
        <v>2556</v>
      </c>
      <c r="C43" s="706" t="s">
        <v>2530</v>
      </c>
      <c r="D43" s="707" t="s">
        <v>2531</v>
      </c>
      <c r="E43" s="707" t="s">
        <v>2532</v>
      </c>
      <c r="F43" s="707" t="s">
        <v>2533</v>
      </c>
      <c r="G43" s="708" t="s">
        <v>2534</v>
      </c>
      <c r="H43" s="709" t="s">
        <v>2535</v>
      </c>
      <c r="P43" s="695"/>
    </row>
    <row r="44" customFormat="false" ht="13.8" hidden="true" customHeight="false" outlineLevel="0" collapsed="false">
      <c r="B44" s="705"/>
      <c r="C44" s="710" t="s">
        <v>2556</v>
      </c>
      <c r="D44" s="711" t="n">
        <f aca="false">PVA!E3</f>
        <v>102888</v>
      </c>
      <c r="E44" s="711" t="n">
        <f aca="false">PVA!G3</f>
        <v>563933</v>
      </c>
      <c r="F44" s="711" t="n">
        <f aca="false">PVA!H3</f>
        <v>1471</v>
      </c>
      <c r="G44" s="712" t="n">
        <f aca="false">IFERROR(F44/(E44+F44),0)</f>
        <v>0.00260167950704275</v>
      </c>
      <c r="H44" s="713" t="n">
        <f aca="false">IFERROR(E44/D44,0)</f>
        <v>5.4810376331545</v>
      </c>
    </row>
    <row r="45" customFormat="false" ht="13.8" hidden="false" customHeight="false" outlineLevel="0" collapsed="false">
      <c r="C45" s="714" t="s">
        <v>2557</v>
      </c>
      <c r="D45" s="715" t="s">
        <v>2558</v>
      </c>
      <c r="E45" s="715" t="s">
        <v>2559</v>
      </c>
      <c r="F45" s="715" t="s">
        <v>2560</v>
      </c>
      <c r="G45" s="716"/>
    </row>
    <row r="46" customFormat="false" ht="19.5" hidden="false" customHeight="true" outlineLevel="0" collapsed="false">
      <c r="C46" s="714" t="s">
        <v>71</v>
      </c>
      <c r="D46" s="695" t="n">
        <f aca="false">SUMIF('Data Sheet Aug-2021'!D:D,'Prod Summary'!C46,'Data Sheet Aug-2021'!O:O)</f>
        <v>551582</v>
      </c>
      <c r="E46" s="695" t="n">
        <f aca="false">PVA!G31</f>
        <v>554822</v>
      </c>
      <c r="F46" s="695" t="n">
        <f aca="false">D46-E46</f>
        <v>-3240</v>
      </c>
      <c r="J46" s="717" t="s">
        <v>14</v>
      </c>
      <c r="K46" s="718" t="str">
        <f aca="false">D35</f>
        <v>PLAN</v>
      </c>
      <c r="L46" s="718" t="str">
        <f aca="false">E35</f>
        <v>ACTUAL</v>
      </c>
      <c r="M46" s="719" t="s">
        <v>2561</v>
      </c>
      <c r="N46" s="719" t="str">
        <f aca="false">F35</f>
        <v>REJ</v>
      </c>
      <c r="O46" s="719" t="str">
        <f aca="false">G35</f>
        <v>REJ %</v>
      </c>
      <c r="P46" s="719" t="s">
        <v>2562</v>
      </c>
      <c r="Q46" s="719" t="s">
        <v>2563</v>
      </c>
      <c r="R46" s="720" t="s">
        <v>2564</v>
      </c>
    </row>
    <row r="47" customFormat="false" ht="13.8" hidden="false" customHeight="false" outlineLevel="0" collapsed="false">
      <c r="C47" s="714" t="s">
        <v>2387</v>
      </c>
      <c r="D47" s="695" t="n">
        <f aca="false">SUMIF('Data Sheet Aug-2021'!D:D,'Prod Summary'!C47,'Data Sheet Aug-2021'!O:O)</f>
        <v>1182508</v>
      </c>
      <c r="E47" s="695" t="n">
        <f aca="false">PVA!G105</f>
        <v>1182508</v>
      </c>
      <c r="F47" s="695" t="n">
        <f aca="false">D47-E47</f>
        <v>0</v>
      </c>
      <c r="H47" s="721"/>
      <c r="J47" s="722" t="s">
        <v>2529</v>
      </c>
      <c r="K47" s="723" t="n">
        <f aca="false">D16</f>
        <v>134206</v>
      </c>
      <c r="L47" s="724" t="n">
        <f aca="false">PVA!G31</f>
        <v>554822</v>
      </c>
      <c r="M47" s="725" t="n">
        <f aca="false">IFERROR((L47)/K47,0)</f>
        <v>4.13410726793139</v>
      </c>
      <c r="N47" s="726" t="n">
        <f aca="false">PVA!H31</f>
        <v>11239</v>
      </c>
      <c r="O47" s="727" t="n">
        <f aca="false">N47/(L47+N47)</f>
        <v>0.0198547506364155</v>
      </c>
      <c r="P47" s="726" t="n">
        <f aca="false">PVA!K31</f>
        <v>10137</v>
      </c>
      <c r="Q47" s="728" t="n">
        <f aca="false">P47/L47</f>
        <v>0.0182707246648475</v>
      </c>
      <c r="R47" s="729"/>
      <c r="S47" s="674"/>
    </row>
    <row r="48" customFormat="false" ht="13.8" hidden="false" customHeight="false" outlineLevel="0" collapsed="false">
      <c r="C48" s="714" t="s">
        <v>2375</v>
      </c>
      <c r="D48" s="695" t="n">
        <f aca="false">SUMIF('Data Sheet Aug-2021'!D:D,'Prod Summary'!C48,'Data Sheet Aug-2021'!O:O)</f>
        <v>321990</v>
      </c>
      <c r="E48" s="695" t="n">
        <f aca="false">PVA!G112</f>
        <v>321990</v>
      </c>
      <c r="F48" s="695" t="n">
        <f aca="false">D48-E48</f>
        <v>0</v>
      </c>
      <c r="J48" s="730" t="s">
        <v>2565</v>
      </c>
      <c r="K48" s="731" t="n">
        <f aca="false">L16</f>
        <v>89120</v>
      </c>
      <c r="L48" s="732" t="n">
        <f aca="false">PVA!G98</f>
        <v>504366</v>
      </c>
      <c r="M48" s="725" t="n">
        <f aca="false">IFERROR((L48)/K48,0)</f>
        <v>5.65940305206463</v>
      </c>
      <c r="N48" s="733" t="n">
        <f aca="false">PVA!H98</f>
        <v>4797</v>
      </c>
      <c r="O48" s="734" t="n">
        <f aca="false">N48/(L48+N48)</f>
        <v>0.0094213444417603</v>
      </c>
      <c r="P48" s="733" t="n">
        <f aca="false">PVA!K98</f>
        <v>0</v>
      </c>
      <c r="Q48" s="735" t="n">
        <f aca="false">P48/L48</f>
        <v>0</v>
      </c>
      <c r="R48" s="736"/>
      <c r="S48" s="674"/>
    </row>
    <row r="49" customFormat="false" ht="13.8" hidden="false" customHeight="false" outlineLevel="0" collapsed="false">
      <c r="C49" s="714" t="s">
        <v>52</v>
      </c>
      <c r="D49" s="695" t="n">
        <f aca="false">SUMIF('Data Sheet Aug-2021'!D:D,'Prod Summary'!C49,'Data Sheet Aug-2021'!O:O)</f>
        <v>1084646</v>
      </c>
      <c r="E49" s="695" t="n">
        <f aca="false">PVA!G119</f>
        <v>1084646</v>
      </c>
      <c r="F49" s="695" t="n">
        <f aca="false">D49-E49</f>
        <v>0</v>
      </c>
      <c r="J49" s="730" t="s">
        <v>2546</v>
      </c>
      <c r="K49" s="731" t="n">
        <f aca="false">D24</f>
        <v>290025</v>
      </c>
      <c r="L49" s="737" t="n">
        <f aca="false">PVA!G105</f>
        <v>1182508</v>
      </c>
      <c r="M49" s="725" t="n">
        <f aca="false">IFERROR((L49)/K49,0)</f>
        <v>4.07726230497371</v>
      </c>
      <c r="N49" s="738" t="n">
        <f aca="false">PVA!H105</f>
        <v>16084</v>
      </c>
      <c r="O49" s="734" t="n">
        <f aca="false">N49/(L49+N49)</f>
        <v>0.0134190783853054</v>
      </c>
      <c r="P49" s="733" t="n">
        <f aca="false">PVA!K105</f>
        <v>19563</v>
      </c>
      <c r="Q49" s="735" t="n">
        <f aca="false">P49/L49</f>
        <v>0.0165436512903084</v>
      </c>
      <c r="R49" s="736"/>
      <c r="S49" s="674"/>
    </row>
    <row r="50" customFormat="false" ht="13.8" hidden="false" customHeight="false" outlineLevel="0" collapsed="false">
      <c r="C50" s="714" t="s">
        <v>2386</v>
      </c>
      <c r="D50" s="695" t="n">
        <f aca="false">SUMIF('Data Sheet Aug-2021'!D:D,'Prod Summary'!C50,'Data Sheet Aug-2021'!O:O)</f>
        <v>941103</v>
      </c>
      <c r="E50" s="715" t="n">
        <f aca="false">PVA!G126</f>
        <v>941103</v>
      </c>
      <c r="F50" s="695" t="n">
        <f aca="false">D50-E50</f>
        <v>0</v>
      </c>
      <c r="G50" s="739"/>
      <c r="H50" s="739"/>
      <c r="J50" s="730" t="s">
        <v>2547</v>
      </c>
      <c r="K50" s="731" t="n">
        <f aca="false">L24</f>
        <v>289495</v>
      </c>
      <c r="L50" s="737" t="n">
        <f aca="false">PVA!G112</f>
        <v>321990</v>
      </c>
      <c r="M50" s="725" t="n">
        <f aca="false">IFERROR((L50)/K50,0)</f>
        <v>1.11224718907062</v>
      </c>
      <c r="N50" s="738" t="n">
        <f aca="false">PVA!H112</f>
        <v>0</v>
      </c>
      <c r="O50" s="734" t="n">
        <f aca="false">N50/(L50+N50)</f>
        <v>0</v>
      </c>
      <c r="P50" s="733" t="n">
        <f aca="false">PVA!K112</f>
        <v>0</v>
      </c>
      <c r="Q50" s="735" t="n">
        <f aca="false">P50/L50</f>
        <v>0</v>
      </c>
      <c r="R50" s="736"/>
      <c r="S50" s="674"/>
    </row>
    <row r="51" customFormat="false" ht="13.8" hidden="false" customHeight="false" outlineLevel="0" collapsed="false">
      <c r="C51" s="714" t="s">
        <v>2388</v>
      </c>
      <c r="D51" s="695" t="n">
        <f aca="false">SUMIF('Data Sheet Aug-2021'!D:D,'Prod Summary'!C51,'Data Sheet Aug-2021'!O:O)</f>
        <v>1055247</v>
      </c>
      <c r="E51" s="715" t="n">
        <f aca="false">PVA!G133</f>
        <v>1055247</v>
      </c>
      <c r="F51" s="695" t="n">
        <f aca="false">D51-E51</f>
        <v>0</v>
      </c>
      <c r="G51" s="740"/>
      <c r="H51" s="741"/>
      <c r="J51" s="730" t="s">
        <v>2552</v>
      </c>
      <c r="K51" s="731" t="n">
        <f aca="false">D33</f>
        <v>286932</v>
      </c>
      <c r="L51" s="737" t="n">
        <f aca="false">PVA!G119</f>
        <v>1084646</v>
      </c>
      <c r="M51" s="725" t="n">
        <f aca="false">IFERROR((L51)/K51,0)</f>
        <v>3.78015000069703</v>
      </c>
      <c r="N51" s="738" t="n">
        <f aca="false">PVA!H119</f>
        <v>214</v>
      </c>
      <c r="O51" s="734" t="n">
        <f aca="false">N51/(L51+N51)</f>
        <v>0.000197260476006121</v>
      </c>
      <c r="P51" s="733" t="n">
        <f aca="false">PVA!K119</f>
        <v>0</v>
      </c>
      <c r="Q51" s="735" t="n">
        <f aca="false">P51/L51</f>
        <v>0</v>
      </c>
      <c r="R51" s="736"/>
      <c r="S51" s="674"/>
    </row>
    <row r="52" customFormat="false" ht="13.8" hidden="false" customHeight="false" outlineLevel="0" collapsed="false">
      <c r="C52" s="714" t="s">
        <v>64</v>
      </c>
      <c r="D52" s="695" t="n">
        <f aca="false">SUMIF('Data Sheet Aug-2021'!D:D,'Prod Summary'!C52,'Data Sheet Aug-2021'!O:O)</f>
        <v>504366</v>
      </c>
      <c r="E52" s="715" t="n">
        <f aca="false">PVA!G98</f>
        <v>504366</v>
      </c>
      <c r="F52" s="695" t="n">
        <f aca="false">D52-E52</f>
        <v>0</v>
      </c>
      <c r="G52" s="740"/>
      <c r="H52" s="741"/>
      <c r="J52" s="730" t="s">
        <v>2553</v>
      </c>
      <c r="K52" s="731" t="n">
        <f aca="false">L33</f>
        <v>0</v>
      </c>
      <c r="L52" s="732" t="n">
        <f aca="false">PVA!G126</f>
        <v>941103</v>
      </c>
      <c r="M52" s="725" t="n">
        <f aca="false">IFERROR((L52)/K52,0)</f>
        <v>0</v>
      </c>
      <c r="N52" s="733" t="n">
        <f aca="false">PVA!H126</f>
        <v>31</v>
      </c>
      <c r="O52" s="734" t="n">
        <f aca="false">N52/(L52+N52)</f>
        <v>3.293898637176E-005</v>
      </c>
      <c r="P52" s="733" t="n">
        <f aca="false">PVA!K126</f>
        <v>0</v>
      </c>
      <c r="Q52" s="735" t="n">
        <f aca="false">P52/L52</f>
        <v>0</v>
      </c>
      <c r="R52" s="736"/>
      <c r="S52" s="674"/>
    </row>
    <row r="53" customFormat="false" ht="13.8" hidden="false" customHeight="false" outlineLevel="0" collapsed="false">
      <c r="C53" s="714" t="s">
        <v>2566</v>
      </c>
      <c r="D53" s="695" t="n">
        <f aca="false">SUMIF('Data Sheet Aug-2021'!D:D,'Prod Summary'!C53,'Data Sheet Aug-2021'!O:O)</f>
        <v>0</v>
      </c>
      <c r="E53" s="715" t="e">
        <f aca="false">SUM(pva #REF!)</f>
        <v>#VALUE!</v>
      </c>
      <c r="F53" s="695" t="e">
        <f aca="false">D53-E53</f>
        <v>#VALUE!</v>
      </c>
      <c r="G53" s="740"/>
      <c r="H53" s="741"/>
      <c r="J53" s="730" t="s">
        <v>2554</v>
      </c>
      <c r="K53" s="731" t="n">
        <f aca="false">D41</f>
        <v>279000</v>
      </c>
      <c r="L53" s="732" t="n">
        <f aca="false">PVA!G133</f>
        <v>1055247</v>
      </c>
      <c r="M53" s="725" t="n">
        <f aca="false">IFERROR((L53)/K53,0)</f>
        <v>3.78224731182796</v>
      </c>
      <c r="N53" s="733" t="n">
        <f aca="false">PVA!H133</f>
        <v>7041</v>
      </c>
      <c r="O53" s="734" t="n">
        <f aca="false">N53/(L53+N53)</f>
        <v>0.00662814603949211</v>
      </c>
      <c r="P53" s="733" t="n">
        <f aca="false">PVA!K133</f>
        <v>0</v>
      </c>
      <c r="Q53" s="735" t="n">
        <f aca="false">P53/L53</f>
        <v>0</v>
      </c>
      <c r="R53" s="742"/>
      <c r="S53" s="674"/>
    </row>
    <row r="54" customFormat="false" ht="13.8" hidden="false" customHeight="false" outlineLevel="0" collapsed="false">
      <c r="C54" s="714" t="s">
        <v>2389</v>
      </c>
      <c r="D54" s="695" t="n">
        <f aca="false">SUMIF('Data Sheet Aug-2021'!D:D,'Prod Summary'!C54,'Data Sheet Aug-2021'!O:O)</f>
        <v>643816</v>
      </c>
      <c r="E54" s="715" t="n">
        <f aca="false">SUM(PVA!G135:G138)</f>
        <v>545824</v>
      </c>
      <c r="F54" s="695" t="n">
        <f aca="false">D54-E54</f>
        <v>97992</v>
      </c>
      <c r="G54" s="740"/>
      <c r="H54" s="741"/>
      <c r="J54" s="730" t="s">
        <v>2555</v>
      </c>
      <c r="K54" s="731" t="n">
        <f aca="false">L41</f>
        <v>210223</v>
      </c>
      <c r="L54" s="732" t="n">
        <f aca="false">PVA!G140</f>
        <v>643816</v>
      </c>
      <c r="M54" s="725" t="n">
        <f aca="false">IFERROR((L54)/K54,0)</f>
        <v>3.06253835213083</v>
      </c>
      <c r="N54" s="733" t="n">
        <f aca="false">PVA!H140</f>
        <v>396</v>
      </c>
      <c r="O54" s="734" t="n">
        <f aca="false">N54/(L54+N54)</f>
        <v>0.000614704476166231</v>
      </c>
      <c r="P54" s="733" t="n">
        <f aca="false">PVA!K140</f>
        <v>0</v>
      </c>
      <c r="Q54" s="735" t="n">
        <f aca="false">P54/L54</f>
        <v>0</v>
      </c>
      <c r="R54" s="736"/>
      <c r="S54" s="674"/>
    </row>
    <row r="55" customFormat="false" ht="13.8" hidden="false" customHeight="false" outlineLevel="0" collapsed="false">
      <c r="C55" s="714"/>
      <c r="D55" s="695"/>
      <c r="E55" s="715"/>
      <c r="F55" s="695"/>
      <c r="G55" s="740"/>
      <c r="H55" s="741"/>
      <c r="J55" s="743" t="s">
        <v>2423</v>
      </c>
      <c r="K55" s="744" t="n">
        <f aca="false">D44</f>
        <v>102888</v>
      </c>
      <c r="L55" s="745" t="n">
        <f aca="false">E44</f>
        <v>563933</v>
      </c>
      <c r="M55" s="725" t="n">
        <f aca="false">IFERROR((L55)/K55,0)</f>
        <v>5.4810376331545</v>
      </c>
      <c r="N55" s="746" t="n">
        <f aca="false">F44</f>
        <v>1471</v>
      </c>
      <c r="O55" s="747" t="n">
        <f aca="false">N55/(L55+N55)</f>
        <v>0.00260167950704275</v>
      </c>
      <c r="P55" s="748" t="n">
        <f aca="false">PVA!K3</f>
        <v>2068</v>
      </c>
      <c r="Q55" s="749" t="n">
        <f aca="false">P55/L55</f>
        <v>0.00366710229761337</v>
      </c>
      <c r="R55" s="750"/>
      <c r="S55" s="674"/>
    </row>
    <row r="56" customFormat="false" ht="13.8" hidden="false" customHeight="false" outlineLevel="0" collapsed="false">
      <c r="C56" s="714"/>
      <c r="D56" s="695"/>
      <c r="E56" s="715"/>
      <c r="F56" s="695"/>
      <c r="G56" s="740"/>
      <c r="H56" s="741"/>
      <c r="J56" s="743" t="s">
        <v>2384</v>
      </c>
      <c r="K56" s="744" t="n">
        <f aca="false">PVA!E11</f>
        <v>117825</v>
      </c>
      <c r="L56" s="745" t="n">
        <f aca="false">PVA!G11</f>
        <v>488403</v>
      </c>
      <c r="M56" s="725" t="n">
        <f aca="false">IFERROR((L56)/K56,0)</f>
        <v>4.14515595162317</v>
      </c>
      <c r="N56" s="746" t="n">
        <f aca="false">PVA!H11</f>
        <v>526</v>
      </c>
      <c r="O56" s="747" t="n">
        <f aca="false">N56/(L56+N56)</f>
        <v>0.00107582082470052</v>
      </c>
      <c r="P56" s="748" t="n">
        <f aca="false">PVA!K11</f>
        <v>160</v>
      </c>
      <c r="Q56" s="747" t="n">
        <f aca="false">P56/L56</f>
        <v>0.000327598315325663</v>
      </c>
      <c r="R56" s="751"/>
      <c r="S56" s="674"/>
      <c r="T56" s="668"/>
      <c r="U56" s="752"/>
    </row>
    <row r="57" customFormat="false" ht="13.8" hidden="false" customHeight="false" outlineLevel="0" collapsed="false">
      <c r="D57" s="739"/>
      <c r="E57" s="753"/>
      <c r="F57" s="753"/>
      <c r="G57" s="740"/>
      <c r="H57" s="754"/>
      <c r="J57" s="755" t="s">
        <v>2432</v>
      </c>
      <c r="K57" s="756" t="n">
        <f aca="false">SUM(K47:K55)</f>
        <v>1681889</v>
      </c>
      <c r="L57" s="757" t="n">
        <f aca="false">SUM(L47:L56)</f>
        <v>7340834</v>
      </c>
      <c r="M57" s="758" t="n">
        <f aca="false">(L57-N57)/K57</f>
        <v>4.34097137207033</v>
      </c>
      <c r="N57" s="759" t="n">
        <f aca="false">SUM(N47:N54)</f>
        <v>39802</v>
      </c>
      <c r="O57" s="760" t="n">
        <f aca="false">N57/(L57+N57)</f>
        <v>0.00539276019031422</v>
      </c>
      <c r="P57" s="759" t="n">
        <f aca="false">SUM(P47:P55)</f>
        <v>31768</v>
      </c>
      <c r="Q57" s="760"/>
      <c r="R57" s="761"/>
    </row>
    <row r="58" customFormat="false" ht="13.8" hidden="false" customHeight="false" outlineLevel="0" collapsed="false">
      <c r="D58" s="739"/>
      <c r="E58" s="753"/>
      <c r="F58" s="753"/>
      <c r="G58" s="740"/>
      <c r="H58" s="754"/>
      <c r="Q58" s="667" t="s">
        <v>58</v>
      </c>
    </row>
    <row r="59" customFormat="false" ht="13.8" hidden="false" customHeight="false" outlineLevel="0" collapsed="false">
      <c r="D59" s="739"/>
      <c r="E59" s="753"/>
      <c r="F59" s="753"/>
      <c r="G59" s="740"/>
      <c r="H59" s="753"/>
    </row>
    <row r="60" customFormat="false" ht="13.8" hidden="false" customHeight="false" outlineLevel="0" collapsed="false">
      <c r="Q60" s="762" t="s">
        <v>58</v>
      </c>
    </row>
    <row r="81" customFormat="false" ht="15.65" hidden="false" customHeight="true" outlineLevel="0" collapsed="false">
      <c r="J81" s="716"/>
      <c r="K81" s="763"/>
      <c r="L81" s="763"/>
      <c r="M81" s="716"/>
      <c r="N81" s="764"/>
      <c r="O81" s="764"/>
    </row>
    <row r="82" customFormat="false" ht="13.8" hidden="false" customHeight="false" outlineLevel="0" collapsed="false">
      <c r="J82" s="716"/>
      <c r="K82" s="716"/>
      <c r="L82" s="716"/>
      <c r="M82" s="716"/>
      <c r="N82" s="716"/>
      <c r="O82" s="716"/>
    </row>
    <row r="83" customFormat="false" ht="15" hidden="false" customHeight="true" outlineLevel="0" collapsed="false">
      <c r="J83" s="716"/>
      <c r="K83" s="763"/>
      <c r="L83" s="763"/>
      <c r="M83" s="764"/>
      <c r="N83" s="764"/>
      <c r="O83" s="764"/>
    </row>
  </sheetData>
  <mergeCells count="12">
    <mergeCell ref="J1:R1"/>
    <mergeCell ref="B4:B16"/>
    <mergeCell ref="J4:J16"/>
    <mergeCell ref="B18:B24"/>
    <mergeCell ref="J18:J24"/>
    <mergeCell ref="B27:B33"/>
    <mergeCell ref="J27:J33"/>
    <mergeCell ref="B35:B41"/>
    <mergeCell ref="J35:J41"/>
    <mergeCell ref="B43:B44"/>
    <mergeCell ref="K81:L81"/>
    <mergeCell ref="K83:L83"/>
  </mergeCells>
  <printOptions headings="false" gridLines="false" gridLinesSet="true" horizontalCentered="false" verticalCentered="false"/>
  <pageMargins left="0.65" right="0.279861111111111" top="0.25" bottom="0.2"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true"/>
  </sheetPr>
  <dimension ref="A1:IV81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A4" activeCellId="0" sqref="A4"/>
    </sheetView>
  </sheetViews>
  <sheetFormatPr defaultColWidth="9" defaultRowHeight="13.8" zeroHeight="false" outlineLevelRow="0" outlineLevelCol="0"/>
  <cols>
    <col collapsed="false" customWidth="true" hidden="false" outlineLevel="0" max="1" min="1" style="765" width="17.55"/>
    <col collapsed="false" customWidth="true" hidden="false" outlineLevel="0" max="2" min="2" style="766" width="64.53"/>
    <col collapsed="false" customWidth="true" hidden="false" outlineLevel="0" max="3" min="3" style="767" width="18.55"/>
    <col collapsed="false" customWidth="true" hidden="false" outlineLevel="0" max="4" min="4" style="768" width="12.54"/>
    <col collapsed="false" customWidth="true" hidden="false" outlineLevel="0" max="5" min="5" style="768" width="10.54"/>
    <col collapsed="false" customWidth="true" hidden="false" outlineLevel="0" max="6" min="6" style="768" width="12.45"/>
    <col collapsed="false" customWidth="true" hidden="false" outlineLevel="0" max="7" min="7" style="766" width="24.45"/>
    <col collapsed="false" customWidth="true" hidden="false" outlineLevel="0" max="8" min="8" style="768" width="7.54"/>
    <col collapsed="false" customWidth="true" hidden="false" outlineLevel="0" max="9" min="9" style="768" width="19.45"/>
    <col collapsed="false" customWidth="true" hidden="false" outlineLevel="0" max="10" min="10" style="767" width="21.45"/>
    <col collapsed="false" customWidth="true" hidden="false" outlineLevel="0" max="11" min="11" style="768" width="9.45"/>
    <col collapsed="false" customWidth="true" hidden="false" outlineLevel="0" max="12" min="12" style="768" width="10"/>
    <col collapsed="false" customWidth="true" hidden="false" outlineLevel="0" max="13" min="13" style="768" width="14.45"/>
    <col collapsed="false" customWidth="true" hidden="false" outlineLevel="0" max="14" min="14" style="768" width="10"/>
    <col collapsed="false" customWidth="true" hidden="false" outlineLevel="0" max="15" min="15" style="768" width="15.54"/>
    <col collapsed="false" customWidth="true" hidden="false" outlineLevel="0" max="16" min="16" style="768" width="12.45"/>
    <col collapsed="false" customWidth="true" hidden="false" outlineLevel="0" max="17" min="17" style="768" width="11.54"/>
    <col collapsed="false" customWidth="true" hidden="false" outlineLevel="0" max="64" min="18" style="768" width="9.45"/>
    <col collapsed="false" customWidth="true" hidden="false" outlineLevel="0" max="256" min="65" style="769" width="9.45"/>
  </cols>
  <sheetData>
    <row r="1" s="2" customFormat="true" ht="13.8" hidden="false" customHeight="false" outlineLevel="0" collapsed="false">
      <c r="A1" s="765" t="s">
        <v>2567</v>
      </c>
      <c r="B1" s="770" t="s">
        <v>2568</v>
      </c>
      <c r="C1" s="765" t="s">
        <v>18</v>
      </c>
      <c r="D1" s="771" t="s">
        <v>2569</v>
      </c>
      <c r="E1" s="771" t="s">
        <v>2504</v>
      </c>
      <c r="F1" s="771" t="s">
        <v>2570</v>
      </c>
      <c r="G1" s="772" t="s">
        <v>2571</v>
      </c>
      <c r="H1" s="771" t="s">
        <v>2572</v>
      </c>
      <c r="I1" s="771" t="s">
        <v>2573</v>
      </c>
      <c r="J1" s="765" t="s">
        <v>2574</v>
      </c>
      <c r="K1" s="771" t="s">
        <v>2575</v>
      </c>
      <c r="L1" s="771" t="s">
        <v>2576</v>
      </c>
      <c r="M1" s="771" t="s">
        <v>2577</v>
      </c>
      <c r="N1" s="771" t="s">
        <v>2576</v>
      </c>
      <c r="O1" s="771" t="s">
        <v>19</v>
      </c>
      <c r="P1" s="773"/>
      <c r="Q1" s="773"/>
      <c r="R1" s="773"/>
      <c r="S1" s="773"/>
      <c r="T1" s="773"/>
      <c r="U1" s="773"/>
      <c r="V1" s="773"/>
      <c r="W1" s="773"/>
      <c r="X1" s="773"/>
      <c r="Y1" s="773"/>
      <c r="Z1" s="773"/>
      <c r="AA1" s="773"/>
      <c r="AB1" s="773"/>
      <c r="AC1" s="773"/>
      <c r="AD1" s="773"/>
      <c r="AE1" s="773"/>
      <c r="AF1" s="773"/>
      <c r="AG1" s="773"/>
      <c r="AH1" s="773"/>
      <c r="AI1" s="773"/>
      <c r="AJ1" s="773"/>
      <c r="AK1" s="773"/>
      <c r="AL1" s="773"/>
      <c r="AM1" s="773"/>
      <c r="AN1" s="773"/>
      <c r="AO1" s="773"/>
      <c r="AP1" s="773"/>
      <c r="AQ1" s="773"/>
      <c r="AR1" s="773"/>
      <c r="AS1" s="773"/>
      <c r="AT1" s="773"/>
      <c r="AU1" s="773"/>
      <c r="AV1" s="773"/>
      <c r="AW1" s="773"/>
      <c r="AX1" s="773"/>
      <c r="AY1" s="773"/>
      <c r="AZ1" s="773"/>
      <c r="BA1" s="773"/>
      <c r="BB1" s="773"/>
      <c r="BC1" s="773"/>
      <c r="BD1" s="773"/>
      <c r="BE1" s="773"/>
      <c r="BF1" s="773"/>
      <c r="BG1" s="773"/>
      <c r="BH1" s="773"/>
      <c r="BI1" s="773"/>
      <c r="BJ1" s="773"/>
      <c r="BK1" s="773"/>
      <c r="BL1" s="773"/>
      <c r="BM1" s="773"/>
      <c r="BN1" s="773"/>
      <c r="BO1" s="773"/>
      <c r="BP1" s="773"/>
      <c r="BQ1" s="773"/>
      <c r="BR1" s="773"/>
      <c r="BS1" s="773"/>
      <c r="BT1" s="773"/>
      <c r="BU1" s="773"/>
      <c r="BV1" s="773"/>
      <c r="BW1" s="773"/>
      <c r="BX1" s="773"/>
      <c r="BY1" s="773"/>
      <c r="BZ1" s="773"/>
      <c r="CA1" s="773"/>
      <c r="CB1" s="773"/>
      <c r="CC1" s="773"/>
      <c r="CD1" s="773"/>
      <c r="CE1" s="773"/>
      <c r="CF1" s="773"/>
      <c r="CG1" s="773"/>
      <c r="CH1" s="773"/>
      <c r="CI1" s="773"/>
      <c r="CJ1" s="773"/>
      <c r="CK1" s="773"/>
      <c r="CL1" s="773"/>
      <c r="CM1" s="773"/>
      <c r="CN1" s="773"/>
      <c r="CO1" s="773"/>
      <c r="CP1" s="773"/>
      <c r="CQ1" s="773"/>
      <c r="CR1" s="773"/>
      <c r="CS1" s="773"/>
      <c r="CT1" s="773"/>
      <c r="CU1" s="773"/>
      <c r="CV1" s="773"/>
      <c r="CW1" s="773"/>
      <c r="CX1" s="773"/>
      <c r="CY1" s="773"/>
      <c r="CZ1" s="773"/>
      <c r="DA1" s="773"/>
      <c r="DB1" s="773"/>
      <c r="DC1" s="773"/>
      <c r="DD1" s="773"/>
      <c r="DE1" s="773"/>
      <c r="DF1" s="773"/>
      <c r="DG1" s="773"/>
      <c r="DH1" s="773"/>
      <c r="DI1" s="773"/>
      <c r="DJ1" s="773"/>
      <c r="DK1" s="773"/>
      <c r="DL1" s="773"/>
      <c r="DM1" s="773"/>
      <c r="DN1" s="773"/>
      <c r="DO1" s="773"/>
      <c r="DP1" s="773"/>
      <c r="DQ1" s="773"/>
      <c r="DR1" s="773"/>
      <c r="DS1" s="773"/>
      <c r="DT1" s="773"/>
      <c r="DU1" s="773"/>
      <c r="DV1" s="773"/>
      <c r="DW1" s="773"/>
      <c r="DX1" s="773"/>
      <c r="DY1" s="773"/>
      <c r="DZ1" s="773"/>
      <c r="EA1" s="773"/>
      <c r="EB1" s="773"/>
      <c r="EC1" s="773"/>
      <c r="ED1" s="773"/>
      <c r="EE1" s="773"/>
      <c r="EF1" s="773"/>
      <c r="EG1" s="773"/>
      <c r="EH1" s="773"/>
      <c r="EI1" s="773"/>
      <c r="EJ1" s="773"/>
      <c r="EK1" s="773"/>
      <c r="EL1" s="773"/>
      <c r="EM1" s="773"/>
      <c r="EN1" s="773"/>
      <c r="EO1" s="773"/>
      <c r="EP1" s="773"/>
      <c r="EQ1" s="773"/>
      <c r="ER1" s="773"/>
      <c r="ES1" s="773"/>
      <c r="ET1" s="773"/>
      <c r="EU1" s="773"/>
      <c r="EV1" s="773"/>
      <c r="EW1" s="773"/>
      <c r="EX1" s="773"/>
      <c r="EY1" s="773"/>
      <c r="EZ1" s="773"/>
      <c r="FA1" s="773"/>
      <c r="FB1" s="773"/>
      <c r="FC1" s="773"/>
      <c r="FD1" s="773"/>
      <c r="FE1" s="773"/>
      <c r="FF1" s="773"/>
      <c r="FG1" s="773"/>
      <c r="FH1" s="773"/>
      <c r="FI1" s="773"/>
      <c r="FJ1" s="773"/>
      <c r="FK1" s="773"/>
      <c r="FL1" s="773"/>
      <c r="FM1" s="773"/>
      <c r="FN1" s="773"/>
      <c r="FO1" s="773"/>
      <c r="FP1" s="773"/>
      <c r="FQ1" s="773"/>
      <c r="FR1" s="773"/>
      <c r="FS1" s="773"/>
      <c r="FT1" s="773"/>
      <c r="FU1" s="773"/>
      <c r="FV1" s="773"/>
      <c r="FW1" s="773"/>
      <c r="FX1" s="773"/>
      <c r="FY1" s="773"/>
      <c r="FZ1" s="773"/>
      <c r="GA1" s="773"/>
      <c r="GB1" s="773"/>
      <c r="GC1" s="773"/>
      <c r="GD1" s="773"/>
      <c r="GE1" s="773"/>
      <c r="GF1" s="773"/>
      <c r="GG1" s="773"/>
      <c r="GH1" s="773"/>
      <c r="GI1" s="773"/>
      <c r="GJ1" s="773"/>
      <c r="GK1" s="773"/>
      <c r="GL1" s="773"/>
      <c r="GM1" s="773"/>
      <c r="GN1" s="773"/>
      <c r="GO1" s="773"/>
      <c r="GP1" s="773"/>
      <c r="GQ1" s="773"/>
      <c r="GR1" s="773"/>
      <c r="GS1" s="773"/>
      <c r="GT1" s="773"/>
      <c r="GU1" s="773"/>
      <c r="GV1" s="773"/>
      <c r="GW1" s="773"/>
      <c r="GX1" s="773"/>
      <c r="GY1" s="773"/>
      <c r="GZ1" s="773"/>
      <c r="HA1" s="773"/>
      <c r="HB1" s="773"/>
      <c r="HC1" s="773"/>
      <c r="HD1" s="773"/>
      <c r="HE1" s="773"/>
      <c r="HF1" s="773"/>
      <c r="HG1" s="773"/>
      <c r="HH1" s="773"/>
      <c r="HI1" s="773"/>
      <c r="HJ1" s="773"/>
      <c r="HK1" s="773"/>
      <c r="HL1" s="773"/>
      <c r="HM1" s="773"/>
      <c r="HN1" s="773"/>
      <c r="HO1" s="773"/>
      <c r="HP1" s="773"/>
      <c r="HQ1" s="773"/>
      <c r="HR1" s="773"/>
      <c r="HS1" s="773"/>
      <c r="HT1" s="773"/>
      <c r="HU1" s="773"/>
      <c r="HV1" s="773"/>
      <c r="HW1" s="773"/>
      <c r="HX1" s="773"/>
      <c r="HY1" s="773"/>
      <c r="HZ1" s="773"/>
      <c r="IA1" s="773"/>
      <c r="IB1" s="773"/>
      <c r="IC1" s="773"/>
      <c r="ID1" s="773"/>
      <c r="IE1" s="773"/>
      <c r="IF1" s="773"/>
      <c r="IG1" s="773"/>
      <c r="IH1" s="773"/>
      <c r="II1" s="773"/>
      <c r="IJ1" s="773"/>
      <c r="IK1" s="773"/>
      <c r="IL1" s="773"/>
      <c r="IM1" s="773"/>
      <c r="IN1" s="773"/>
      <c r="IO1" s="773"/>
      <c r="IP1" s="773"/>
      <c r="IQ1" s="773"/>
      <c r="IR1" s="773"/>
      <c r="IS1" s="773"/>
      <c r="IT1" s="773"/>
      <c r="IU1" s="773"/>
      <c r="IV1" s="773"/>
    </row>
    <row r="2" customFormat="false" ht="13.8" hidden="true" customHeight="false" outlineLevel="0" collapsed="false">
      <c r="A2" s="774" t="s">
        <v>2578</v>
      </c>
      <c r="B2" s="775" t="s">
        <v>2579</v>
      </c>
      <c r="C2" s="776" t="s">
        <v>2580</v>
      </c>
      <c r="D2" s="777"/>
      <c r="E2" s="777"/>
      <c r="F2" s="777"/>
      <c r="G2" s="778"/>
      <c r="H2" s="777"/>
      <c r="I2" s="777"/>
      <c r="J2" s="776"/>
    </row>
    <row r="3" customFormat="false" ht="13.8" hidden="true" customHeight="false" outlineLevel="0" collapsed="false">
      <c r="A3" s="765" t="s">
        <v>2581</v>
      </c>
      <c r="B3" s="779" t="s">
        <v>2582</v>
      </c>
      <c r="C3" s="780" t="s">
        <v>2580</v>
      </c>
      <c r="D3" s="781"/>
      <c r="E3" s="781"/>
      <c r="F3" s="781"/>
      <c r="G3" s="782"/>
      <c r="H3" s="781"/>
      <c r="I3" s="781"/>
      <c r="J3" s="780"/>
    </row>
    <row r="4" customFormat="false" ht="13.8" hidden="true" customHeight="false" outlineLevel="0" collapsed="false">
      <c r="A4" s="765" t="s">
        <v>2583</v>
      </c>
      <c r="B4" s="779" t="s">
        <v>2584</v>
      </c>
      <c r="C4" s="780" t="s">
        <v>2580</v>
      </c>
      <c r="D4" s="781"/>
      <c r="E4" s="781"/>
      <c r="F4" s="781"/>
      <c r="G4" s="782"/>
      <c r="H4" s="781"/>
      <c r="I4" s="781"/>
      <c r="J4" s="780"/>
      <c r="K4" s="768" t="s">
        <v>60</v>
      </c>
      <c r="L4" s="768" t="n">
        <v>1</v>
      </c>
    </row>
    <row r="5" customFormat="false" ht="13.8" hidden="true" customHeight="false" outlineLevel="0" collapsed="false">
      <c r="A5" s="765" t="s">
        <v>2585</v>
      </c>
      <c r="B5" s="779" t="s">
        <v>2586</v>
      </c>
      <c r="C5" s="780" t="s">
        <v>2580</v>
      </c>
      <c r="D5" s="781"/>
      <c r="E5" s="781"/>
      <c r="F5" s="781"/>
      <c r="G5" s="782"/>
      <c r="H5" s="781"/>
      <c r="I5" s="781"/>
      <c r="J5" s="780"/>
      <c r="K5" s="768" t="s">
        <v>60</v>
      </c>
      <c r="L5" s="768" t="n">
        <v>1</v>
      </c>
      <c r="M5" s="768" t="n">
        <v>0</v>
      </c>
      <c r="N5" s="768" t="n">
        <v>0</v>
      </c>
    </row>
    <row r="6" customFormat="false" ht="13.8" hidden="true" customHeight="false" outlineLevel="0" collapsed="false">
      <c r="A6" s="765" t="s">
        <v>2587</v>
      </c>
      <c r="B6" s="779" t="s">
        <v>2588</v>
      </c>
      <c r="C6" s="780" t="s">
        <v>2580</v>
      </c>
      <c r="D6" s="781"/>
      <c r="E6" s="781"/>
      <c r="F6" s="781"/>
      <c r="G6" s="782"/>
      <c r="H6" s="781"/>
      <c r="I6" s="781"/>
      <c r="J6" s="780"/>
      <c r="K6" s="768" t="s">
        <v>60</v>
      </c>
      <c r="L6" s="768" t="n">
        <v>1</v>
      </c>
    </row>
    <row r="7" customFormat="false" ht="13.8" hidden="true" customHeight="false" outlineLevel="0" collapsed="false">
      <c r="A7" s="765" t="s">
        <v>2589</v>
      </c>
      <c r="B7" s="779" t="s">
        <v>2590</v>
      </c>
      <c r="C7" s="780" t="s">
        <v>2580</v>
      </c>
      <c r="D7" s="781"/>
      <c r="E7" s="781"/>
      <c r="F7" s="781"/>
      <c r="G7" s="782"/>
      <c r="H7" s="781"/>
      <c r="I7" s="781"/>
      <c r="J7" s="780"/>
      <c r="K7" s="768" t="s">
        <v>60</v>
      </c>
      <c r="L7" s="768" t="n">
        <v>1</v>
      </c>
    </row>
    <row r="8" customFormat="false" ht="13.8" hidden="true" customHeight="false" outlineLevel="0" collapsed="false">
      <c r="A8" s="765" t="s">
        <v>2591</v>
      </c>
      <c r="B8" s="779" t="s">
        <v>2592</v>
      </c>
      <c r="C8" s="780" t="s">
        <v>2580</v>
      </c>
      <c r="D8" s="781"/>
      <c r="E8" s="781"/>
      <c r="F8" s="781"/>
      <c r="G8" s="782"/>
      <c r="H8" s="781"/>
      <c r="I8" s="781"/>
      <c r="J8" s="780"/>
      <c r="K8" s="768" t="s">
        <v>53</v>
      </c>
      <c r="L8" s="768" t="n">
        <v>1</v>
      </c>
    </row>
    <row r="9" customFormat="false" ht="13.8" hidden="true" customHeight="false" outlineLevel="0" collapsed="false">
      <c r="A9" s="765" t="s">
        <v>2593</v>
      </c>
      <c r="B9" s="779" t="s">
        <v>2594</v>
      </c>
      <c r="C9" s="780" t="s">
        <v>2580</v>
      </c>
      <c r="D9" s="781"/>
      <c r="E9" s="781"/>
      <c r="F9" s="781"/>
      <c r="G9" s="782"/>
      <c r="H9" s="781"/>
      <c r="I9" s="781"/>
      <c r="J9" s="780"/>
      <c r="K9" s="768" t="s">
        <v>53</v>
      </c>
      <c r="L9" s="768" t="n">
        <v>1</v>
      </c>
    </row>
    <row r="10" customFormat="false" ht="13.8" hidden="true" customHeight="false" outlineLevel="0" collapsed="false">
      <c r="A10" s="765" t="s">
        <v>2595</v>
      </c>
      <c r="B10" s="779" t="s">
        <v>2596</v>
      </c>
      <c r="C10" s="780" t="s">
        <v>2580</v>
      </c>
      <c r="D10" s="781"/>
      <c r="E10" s="781"/>
      <c r="F10" s="781"/>
      <c r="G10" s="782"/>
      <c r="H10" s="781"/>
      <c r="I10" s="781"/>
      <c r="J10" s="780"/>
    </row>
    <row r="11" customFormat="false" ht="13.8" hidden="true" customHeight="false" outlineLevel="0" collapsed="false">
      <c r="A11" s="765" t="s">
        <v>2597</v>
      </c>
      <c r="B11" s="779" t="s">
        <v>2598</v>
      </c>
      <c r="C11" s="780" t="s">
        <v>2580</v>
      </c>
      <c r="D11" s="781"/>
      <c r="E11" s="781"/>
      <c r="F11" s="781"/>
      <c r="G11" s="782"/>
      <c r="H11" s="781"/>
      <c r="I11" s="781"/>
      <c r="J11" s="780"/>
    </row>
    <row r="12" customFormat="false" ht="13.8" hidden="true" customHeight="false" outlineLevel="0" collapsed="false">
      <c r="A12" s="765" t="s">
        <v>2599</v>
      </c>
      <c r="B12" s="779" t="s">
        <v>2600</v>
      </c>
      <c r="C12" s="780" t="s">
        <v>2580</v>
      </c>
      <c r="D12" s="781"/>
      <c r="E12" s="781"/>
      <c r="F12" s="781"/>
      <c r="G12" s="782"/>
      <c r="H12" s="781"/>
      <c r="I12" s="781"/>
      <c r="J12" s="780"/>
    </row>
    <row r="13" customFormat="false" ht="13.8" hidden="true" customHeight="false" outlineLevel="0" collapsed="false">
      <c r="A13" s="765" t="s">
        <v>2601</v>
      </c>
      <c r="B13" s="779" t="s">
        <v>2602</v>
      </c>
      <c r="C13" s="780" t="s">
        <v>2580</v>
      </c>
      <c r="D13" s="781"/>
      <c r="E13" s="781"/>
      <c r="F13" s="781"/>
      <c r="G13" s="782"/>
      <c r="H13" s="781"/>
      <c r="I13" s="781"/>
      <c r="J13" s="780"/>
    </row>
    <row r="14" customFormat="false" ht="13.8" hidden="true" customHeight="false" outlineLevel="0" collapsed="false">
      <c r="A14" s="765" t="s">
        <v>2603</v>
      </c>
      <c r="B14" s="779" t="s">
        <v>2604</v>
      </c>
      <c r="C14" s="780" t="s">
        <v>2580</v>
      </c>
      <c r="D14" s="781"/>
      <c r="E14" s="781"/>
      <c r="F14" s="781"/>
      <c r="G14" s="782"/>
      <c r="H14" s="781"/>
      <c r="I14" s="781"/>
      <c r="J14" s="780"/>
    </row>
    <row r="15" customFormat="false" ht="13.8" hidden="true" customHeight="false" outlineLevel="0" collapsed="false">
      <c r="A15" s="765" t="s">
        <v>2605</v>
      </c>
      <c r="B15" s="779" t="s">
        <v>2606</v>
      </c>
      <c r="C15" s="780" t="s">
        <v>2580</v>
      </c>
      <c r="D15" s="781"/>
      <c r="E15" s="781"/>
      <c r="F15" s="781"/>
      <c r="G15" s="782"/>
      <c r="H15" s="781"/>
      <c r="I15" s="781"/>
      <c r="J15" s="780"/>
    </row>
    <row r="16" customFormat="false" ht="13.8" hidden="true" customHeight="false" outlineLevel="0" collapsed="false">
      <c r="A16" s="765" t="s">
        <v>2607</v>
      </c>
      <c r="B16" s="779" t="s">
        <v>2608</v>
      </c>
      <c r="C16" s="780" t="s">
        <v>2580</v>
      </c>
      <c r="D16" s="781"/>
      <c r="E16" s="781"/>
      <c r="F16" s="781"/>
      <c r="G16" s="782"/>
      <c r="H16" s="781"/>
      <c r="I16" s="781"/>
      <c r="J16" s="780"/>
    </row>
    <row r="17" customFormat="false" ht="13.8" hidden="true" customHeight="false" outlineLevel="0" collapsed="false">
      <c r="A17" s="765" t="s">
        <v>2609</v>
      </c>
      <c r="B17" s="779" t="s">
        <v>2610</v>
      </c>
      <c r="C17" s="780" t="s">
        <v>2580</v>
      </c>
      <c r="D17" s="781"/>
      <c r="E17" s="781"/>
      <c r="F17" s="781"/>
      <c r="G17" s="782"/>
      <c r="H17" s="781"/>
      <c r="I17" s="781"/>
      <c r="J17" s="780"/>
    </row>
    <row r="18" customFormat="false" ht="13.8" hidden="true" customHeight="false" outlineLevel="0" collapsed="false">
      <c r="A18" s="765" t="s">
        <v>2611</v>
      </c>
      <c r="B18" s="779" t="s">
        <v>2612</v>
      </c>
      <c r="C18" s="780" t="s">
        <v>2580</v>
      </c>
      <c r="D18" s="781"/>
      <c r="E18" s="781"/>
      <c r="F18" s="781"/>
      <c r="G18" s="782"/>
      <c r="H18" s="781"/>
      <c r="I18" s="781"/>
      <c r="J18" s="780"/>
    </row>
    <row r="19" customFormat="false" ht="13.8" hidden="true" customHeight="false" outlineLevel="0" collapsed="false">
      <c r="A19" s="765" t="s">
        <v>2613</v>
      </c>
      <c r="B19" s="779" t="s">
        <v>2614</v>
      </c>
      <c r="C19" s="780" t="s">
        <v>2580</v>
      </c>
      <c r="D19" s="781"/>
      <c r="E19" s="781"/>
      <c r="F19" s="781"/>
      <c r="G19" s="782"/>
      <c r="H19" s="781"/>
      <c r="I19" s="781"/>
      <c r="J19" s="780"/>
    </row>
    <row r="20" customFormat="false" ht="13.8" hidden="true" customHeight="false" outlineLevel="0" collapsed="false">
      <c r="A20" s="765" t="s">
        <v>2615</v>
      </c>
      <c r="B20" s="779" t="s">
        <v>2616</v>
      </c>
      <c r="C20" s="780" t="s">
        <v>2580</v>
      </c>
      <c r="D20" s="781"/>
      <c r="E20" s="781"/>
      <c r="F20" s="781"/>
      <c r="G20" s="782"/>
      <c r="H20" s="781"/>
      <c r="I20" s="781"/>
      <c r="J20" s="780"/>
    </row>
    <row r="21" customFormat="false" ht="13.8" hidden="true" customHeight="false" outlineLevel="0" collapsed="false">
      <c r="A21" s="765" t="s">
        <v>2617</v>
      </c>
      <c r="B21" s="779" t="s">
        <v>2618</v>
      </c>
      <c r="C21" s="780" t="s">
        <v>2580</v>
      </c>
      <c r="D21" s="781"/>
      <c r="E21" s="781"/>
      <c r="F21" s="781"/>
      <c r="G21" s="782"/>
      <c r="H21" s="781"/>
      <c r="I21" s="781"/>
      <c r="J21" s="780"/>
    </row>
    <row r="22" customFormat="false" ht="13.8" hidden="true" customHeight="false" outlineLevel="0" collapsed="false">
      <c r="A22" s="765" t="s">
        <v>2619</v>
      </c>
      <c r="B22" s="779" t="s">
        <v>2620</v>
      </c>
      <c r="C22" s="780" t="s">
        <v>2580</v>
      </c>
      <c r="D22" s="781"/>
      <c r="E22" s="781"/>
      <c r="F22" s="781"/>
      <c r="G22" s="782"/>
      <c r="H22" s="781"/>
      <c r="I22" s="781"/>
      <c r="J22" s="780"/>
    </row>
    <row r="23" customFormat="false" ht="13.8" hidden="true" customHeight="false" outlineLevel="0" collapsed="false">
      <c r="A23" s="765" t="s">
        <v>2621</v>
      </c>
      <c r="B23" s="779" t="s">
        <v>2622</v>
      </c>
      <c r="C23" s="780" t="s">
        <v>2623</v>
      </c>
      <c r="D23" s="781"/>
      <c r="E23" s="781"/>
      <c r="F23" s="781"/>
      <c r="G23" s="782"/>
      <c r="H23" s="781"/>
      <c r="I23" s="781"/>
      <c r="J23" s="780"/>
    </row>
    <row r="24" customFormat="false" ht="13.8" hidden="true" customHeight="false" outlineLevel="0" collapsed="false">
      <c r="A24" s="765" t="s">
        <v>2624</v>
      </c>
      <c r="B24" s="779" t="s">
        <v>2625</v>
      </c>
      <c r="C24" s="780" t="s">
        <v>2623</v>
      </c>
      <c r="D24" s="781"/>
      <c r="E24" s="781"/>
      <c r="F24" s="781"/>
      <c r="G24" s="782"/>
      <c r="H24" s="781"/>
      <c r="I24" s="781"/>
      <c r="J24" s="780"/>
    </row>
    <row r="25" customFormat="false" ht="13.8" hidden="true" customHeight="false" outlineLevel="0" collapsed="false">
      <c r="A25" s="765" t="s">
        <v>2626</v>
      </c>
      <c r="B25" s="779" t="s">
        <v>2627</v>
      </c>
      <c r="C25" s="780" t="s">
        <v>2623</v>
      </c>
      <c r="D25" s="781"/>
      <c r="E25" s="781"/>
      <c r="F25" s="781"/>
      <c r="G25" s="782"/>
      <c r="H25" s="781"/>
      <c r="I25" s="781"/>
      <c r="J25" s="780"/>
    </row>
    <row r="26" customFormat="false" ht="13.8" hidden="true" customHeight="false" outlineLevel="0" collapsed="false">
      <c r="A26" s="765" t="s">
        <v>2628</v>
      </c>
      <c r="B26" s="779" t="s">
        <v>2629</v>
      </c>
      <c r="C26" s="780" t="s">
        <v>2623</v>
      </c>
      <c r="D26" s="781"/>
      <c r="E26" s="781"/>
      <c r="F26" s="781"/>
      <c r="G26" s="782"/>
      <c r="H26" s="781"/>
      <c r="I26" s="781"/>
      <c r="J26" s="780"/>
    </row>
    <row r="27" customFormat="false" ht="13.8" hidden="true" customHeight="false" outlineLevel="0" collapsed="false">
      <c r="A27" s="765" t="s">
        <v>2630</v>
      </c>
      <c r="B27" s="779" t="s">
        <v>2631</v>
      </c>
      <c r="C27" s="780" t="s">
        <v>2580</v>
      </c>
      <c r="D27" s="781"/>
      <c r="E27" s="781"/>
      <c r="F27" s="781"/>
      <c r="G27" s="782"/>
      <c r="H27" s="781"/>
      <c r="I27" s="781"/>
      <c r="J27" s="780"/>
    </row>
    <row r="28" customFormat="false" ht="13.8" hidden="true" customHeight="false" outlineLevel="0" collapsed="false">
      <c r="A28" s="765" t="s">
        <v>2632</v>
      </c>
      <c r="B28" s="779" t="s">
        <v>2633</v>
      </c>
      <c r="C28" s="780" t="s">
        <v>2580</v>
      </c>
      <c r="D28" s="781"/>
      <c r="E28" s="781"/>
      <c r="F28" s="781"/>
      <c r="G28" s="782"/>
      <c r="H28" s="781"/>
      <c r="I28" s="781"/>
      <c r="J28" s="780"/>
    </row>
    <row r="29" customFormat="false" ht="13.8" hidden="true" customHeight="false" outlineLevel="0" collapsed="false">
      <c r="A29" s="765" t="s">
        <v>2634</v>
      </c>
      <c r="B29" s="779" t="s">
        <v>2635</v>
      </c>
      <c r="C29" s="780" t="s">
        <v>2580</v>
      </c>
      <c r="D29" s="781"/>
      <c r="E29" s="781"/>
      <c r="F29" s="781"/>
      <c r="G29" s="782"/>
      <c r="H29" s="781"/>
      <c r="I29" s="781"/>
      <c r="J29" s="780"/>
    </row>
    <row r="30" customFormat="false" ht="13.8" hidden="true" customHeight="false" outlineLevel="0" collapsed="false">
      <c r="A30" s="765" t="s">
        <v>2636</v>
      </c>
      <c r="B30" s="779" t="s">
        <v>2637</v>
      </c>
      <c r="C30" s="780" t="s">
        <v>2580</v>
      </c>
      <c r="D30" s="781"/>
      <c r="E30" s="781"/>
      <c r="F30" s="781"/>
      <c r="G30" s="782"/>
      <c r="H30" s="781"/>
      <c r="I30" s="781"/>
      <c r="J30" s="780"/>
    </row>
    <row r="31" customFormat="false" ht="13.8" hidden="true" customHeight="false" outlineLevel="0" collapsed="false">
      <c r="A31" s="765" t="s">
        <v>2638</v>
      </c>
      <c r="B31" s="779" t="s">
        <v>2639</v>
      </c>
      <c r="C31" s="780" t="s">
        <v>2580</v>
      </c>
      <c r="D31" s="781"/>
      <c r="E31" s="781"/>
      <c r="F31" s="781"/>
      <c r="G31" s="782"/>
      <c r="H31" s="781"/>
      <c r="I31" s="781"/>
      <c r="J31" s="780"/>
    </row>
    <row r="32" customFormat="false" ht="13.8" hidden="true" customHeight="false" outlineLevel="0" collapsed="false">
      <c r="A32" s="765" t="s">
        <v>2640</v>
      </c>
      <c r="B32" s="779" t="s">
        <v>2641</v>
      </c>
      <c r="C32" s="780" t="s">
        <v>2580</v>
      </c>
      <c r="D32" s="781"/>
      <c r="E32" s="781"/>
      <c r="F32" s="781"/>
      <c r="G32" s="782"/>
      <c r="H32" s="781"/>
      <c r="I32" s="781"/>
      <c r="J32" s="780"/>
    </row>
    <row r="33" customFormat="false" ht="13.8" hidden="true" customHeight="false" outlineLevel="0" collapsed="false">
      <c r="A33" s="765" t="s">
        <v>2642</v>
      </c>
      <c r="B33" s="779" t="s">
        <v>2643</v>
      </c>
      <c r="C33" s="780" t="s">
        <v>2580</v>
      </c>
      <c r="D33" s="781"/>
      <c r="E33" s="781"/>
      <c r="F33" s="781"/>
      <c r="G33" s="782"/>
      <c r="H33" s="781"/>
      <c r="I33" s="781"/>
      <c r="J33" s="780"/>
    </row>
    <row r="34" customFormat="false" ht="13.8" hidden="true" customHeight="false" outlineLevel="0" collapsed="false">
      <c r="A34" s="765" t="s">
        <v>2644</v>
      </c>
      <c r="B34" s="779" t="s">
        <v>2645</v>
      </c>
      <c r="C34" s="780" t="s">
        <v>2580</v>
      </c>
      <c r="D34" s="781"/>
      <c r="E34" s="781"/>
      <c r="F34" s="781"/>
      <c r="G34" s="782"/>
      <c r="H34" s="781"/>
      <c r="I34" s="781"/>
      <c r="J34" s="780"/>
    </row>
    <row r="35" customFormat="false" ht="13.8" hidden="true" customHeight="false" outlineLevel="0" collapsed="false">
      <c r="A35" s="765" t="s">
        <v>2646</v>
      </c>
      <c r="B35" s="779" t="s">
        <v>2647</v>
      </c>
      <c r="C35" s="780" t="s">
        <v>2580</v>
      </c>
      <c r="D35" s="781"/>
      <c r="E35" s="781"/>
      <c r="F35" s="781"/>
      <c r="G35" s="782"/>
      <c r="H35" s="781"/>
      <c r="I35" s="781"/>
      <c r="J35" s="780"/>
    </row>
    <row r="36" customFormat="false" ht="13.8" hidden="true" customHeight="false" outlineLevel="0" collapsed="false">
      <c r="A36" s="765" t="s">
        <v>2648</v>
      </c>
      <c r="B36" s="779" t="s">
        <v>2649</v>
      </c>
      <c r="C36" s="780" t="s">
        <v>2580</v>
      </c>
      <c r="D36" s="781"/>
      <c r="E36" s="781"/>
      <c r="F36" s="781"/>
      <c r="G36" s="782"/>
      <c r="H36" s="781"/>
      <c r="I36" s="781"/>
      <c r="J36" s="780"/>
    </row>
    <row r="37" customFormat="false" ht="13.8" hidden="true" customHeight="false" outlineLevel="0" collapsed="false">
      <c r="A37" s="765" t="s">
        <v>2650</v>
      </c>
      <c r="B37" s="779" t="s">
        <v>2651</v>
      </c>
      <c r="C37" s="780" t="s">
        <v>2580</v>
      </c>
      <c r="D37" s="781"/>
      <c r="E37" s="781"/>
      <c r="F37" s="781"/>
      <c r="G37" s="782"/>
      <c r="H37" s="781"/>
      <c r="I37" s="781"/>
      <c r="J37" s="780"/>
    </row>
    <row r="38" customFormat="false" ht="13.8" hidden="true" customHeight="false" outlineLevel="0" collapsed="false">
      <c r="A38" s="765" t="s">
        <v>2652</v>
      </c>
      <c r="B38" s="779" t="s">
        <v>2653</v>
      </c>
      <c r="C38" s="780" t="s">
        <v>2580</v>
      </c>
      <c r="D38" s="781"/>
      <c r="E38" s="781"/>
      <c r="F38" s="781"/>
      <c r="G38" s="782"/>
      <c r="H38" s="781"/>
      <c r="I38" s="781"/>
      <c r="J38" s="780"/>
    </row>
    <row r="39" customFormat="false" ht="13.8" hidden="false" customHeight="false" outlineLevel="0" collapsed="false">
      <c r="A39" s="765" t="s">
        <v>2654</v>
      </c>
      <c r="B39" s="779" t="s">
        <v>2655</v>
      </c>
      <c r="C39" s="780" t="s">
        <v>2500</v>
      </c>
      <c r="D39" s="781"/>
      <c r="E39" s="781"/>
      <c r="F39" s="781"/>
      <c r="G39" s="782"/>
      <c r="H39" s="781"/>
      <c r="I39" s="781"/>
      <c r="J39" s="780"/>
    </row>
    <row r="40" customFormat="false" ht="13.8" hidden="false" customHeight="false" outlineLevel="0" collapsed="false">
      <c r="A40" s="765" t="s">
        <v>2656</v>
      </c>
      <c r="B40" s="779" t="s">
        <v>2657</v>
      </c>
      <c r="C40" s="780" t="s">
        <v>2500</v>
      </c>
      <c r="D40" s="781"/>
      <c r="E40" s="781"/>
      <c r="F40" s="781"/>
      <c r="G40" s="782"/>
      <c r="H40" s="781"/>
      <c r="I40" s="781"/>
      <c r="J40" s="780"/>
    </row>
    <row r="41" customFormat="false" ht="13.8" hidden="false" customHeight="false" outlineLevel="0" collapsed="false">
      <c r="A41" s="765" t="s">
        <v>2658</v>
      </c>
      <c r="B41" s="779" t="s">
        <v>2659</v>
      </c>
      <c r="C41" s="780" t="s">
        <v>2500</v>
      </c>
      <c r="D41" s="781"/>
      <c r="E41" s="781"/>
      <c r="F41" s="781"/>
      <c r="G41" s="782"/>
      <c r="H41" s="781"/>
      <c r="I41" s="781"/>
      <c r="J41" s="780"/>
    </row>
    <row r="42" customFormat="false" ht="13.8" hidden="false" customHeight="false" outlineLevel="0" collapsed="false">
      <c r="A42" s="765" t="s">
        <v>2660</v>
      </c>
      <c r="B42" s="779" t="s">
        <v>2661</v>
      </c>
      <c r="C42" s="780" t="s">
        <v>2500</v>
      </c>
      <c r="D42" s="781"/>
      <c r="E42" s="781"/>
      <c r="F42" s="781"/>
      <c r="G42" s="782"/>
      <c r="H42" s="781"/>
      <c r="I42" s="781"/>
      <c r="J42" s="780"/>
    </row>
    <row r="43" customFormat="false" ht="13.8" hidden="false" customHeight="false" outlineLevel="0" collapsed="false">
      <c r="A43" s="765" t="s">
        <v>2662</v>
      </c>
      <c r="B43" s="779" t="s">
        <v>2663</v>
      </c>
      <c r="C43" s="780" t="s">
        <v>2500</v>
      </c>
      <c r="D43" s="781"/>
      <c r="E43" s="781"/>
      <c r="F43" s="781"/>
      <c r="G43" s="782"/>
      <c r="H43" s="781"/>
      <c r="I43" s="781"/>
      <c r="J43" s="780"/>
    </row>
    <row r="44" customFormat="false" ht="13.8" hidden="false" customHeight="false" outlineLevel="0" collapsed="false">
      <c r="A44" s="765" t="s">
        <v>2664</v>
      </c>
      <c r="B44" s="779" t="s">
        <v>2665</v>
      </c>
      <c r="C44" s="780" t="s">
        <v>2500</v>
      </c>
      <c r="D44" s="781"/>
      <c r="E44" s="781"/>
      <c r="F44" s="781"/>
      <c r="G44" s="782"/>
      <c r="H44" s="781"/>
      <c r="I44" s="781"/>
      <c r="J44" s="780"/>
    </row>
    <row r="45" customFormat="false" ht="13.8" hidden="false" customHeight="false" outlineLevel="0" collapsed="false">
      <c r="A45" s="765" t="s">
        <v>2666</v>
      </c>
      <c r="B45" s="779" t="s">
        <v>2667</v>
      </c>
      <c r="C45" s="780" t="s">
        <v>2500</v>
      </c>
      <c r="D45" s="781"/>
      <c r="E45" s="781"/>
      <c r="F45" s="781"/>
      <c r="G45" s="782"/>
      <c r="H45" s="781"/>
      <c r="I45" s="781"/>
      <c r="J45" s="780"/>
    </row>
    <row r="46" customFormat="false" ht="13.8" hidden="false" customHeight="false" outlineLevel="0" collapsed="false">
      <c r="A46" s="765" t="s">
        <v>2668</v>
      </c>
      <c r="B46" s="779" t="s">
        <v>2669</v>
      </c>
      <c r="C46" s="780" t="s">
        <v>2500</v>
      </c>
      <c r="D46" s="781"/>
      <c r="E46" s="781"/>
      <c r="F46" s="781"/>
      <c r="G46" s="782"/>
      <c r="H46" s="781"/>
      <c r="I46" s="781"/>
      <c r="J46" s="780"/>
    </row>
    <row r="47" customFormat="false" ht="13.8" hidden="false" customHeight="false" outlineLevel="0" collapsed="false">
      <c r="A47" s="765" t="s">
        <v>2670</v>
      </c>
      <c r="B47" s="779" t="s">
        <v>2671</v>
      </c>
      <c r="C47" s="780" t="s">
        <v>2500</v>
      </c>
      <c r="D47" s="781"/>
      <c r="E47" s="781"/>
      <c r="F47" s="781"/>
      <c r="G47" s="782"/>
      <c r="H47" s="781"/>
      <c r="I47" s="781"/>
      <c r="J47" s="780"/>
    </row>
    <row r="48" customFormat="false" ht="13.8" hidden="false" customHeight="false" outlineLevel="0" collapsed="false">
      <c r="A48" s="765" t="s">
        <v>2672</v>
      </c>
      <c r="B48" s="779" t="s">
        <v>2673</v>
      </c>
      <c r="C48" s="780" t="s">
        <v>2500</v>
      </c>
      <c r="D48" s="781"/>
      <c r="E48" s="781"/>
      <c r="F48" s="781"/>
      <c r="G48" s="782"/>
      <c r="H48" s="781"/>
      <c r="I48" s="781"/>
      <c r="J48" s="780"/>
    </row>
    <row r="49" customFormat="false" ht="13.8" hidden="false" customHeight="false" outlineLevel="0" collapsed="false">
      <c r="A49" s="765" t="s">
        <v>2674</v>
      </c>
      <c r="B49" s="779" t="s">
        <v>2675</v>
      </c>
      <c r="C49" s="780" t="s">
        <v>2500</v>
      </c>
      <c r="D49" s="781"/>
      <c r="E49" s="781"/>
      <c r="F49" s="781"/>
      <c r="G49" s="782"/>
      <c r="H49" s="781"/>
      <c r="I49" s="781"/>
      <c r="J49" s="780"/>
    </row>
    <row r="50" customFormat="false" ht="13.8" hidden="false" customHeight="false" outlineLevel="0" collapsed="false">
      <c r="A50" s="765" t="s">
        <v>2676</v>
      </c>
      <c r="B50" s="779" t="s">
        <v>2677</v>
      </c>
      <c r="C50" s="780" t="s">
        <v>2500</v>
      </c>
      <c r="D50" s="781"/>
      <c r="E50" s="781"/>
      <c r="F50" s="781"/>
      <c r="G50" s="782"/>
      <c r="H50" s="781"/>
      <c r="I50" s="781"/>
      <c r="J50" s="780"/>
    </row>
    <row r="51" customFormat="false" ht="13.8" hidden="false" customHeight="false" outlineLevel="0" collapsed="false">
      <c r="A51" s="765" t="s">
        <v>2678</v>
      </c>
      <c r="B51" s="779" t="s">
        <v>2679</v>
      </c>
      <c r="C51" s="780" t="s">
        <v>2500</v>
      </c>
      <c r="D51" s="781"/>
      <c r="E51" s="781"/>
      <c r="F51" s="781"/>
      <c r="G51" s="782"/>
      <c r="H51" s="781"/>
      <c r="I51" s="781"/>
      <c r="J51" s="780"/>
      <c r="R51" s="767"/>
      <c r="S51" s="767"/>
      <c r="T51" s="767"/>
      <c r="U51" s="767"/>
      <c r="V51" s="767"/>
      <c r="W51" s="767"/>
    </row>
    <row r="52" customFormat="false" ht="13.8" hidden="false" customHeight="false" outlineLevel="0" collapsed="false">
      <c r="A52" s="765" t="s">
        <v>2680</v>
      </c>
      <c r="B52" s="779" t="s">
        <v>2681</v>
      </c>
      <c r="C52" s="780" t="s">
        <v>2500</v>
      </c>
      <c r="D52" s="781"/>
      <c r="E52" s="781"/>
      <c r="F52" s="781"/>
      <c r="G52" s="782"/>
      <c r="H52" s="781"/>
      <c r="I52" s="781"/>
      <c r="J52" s="780"/>
    </row>
    <row r="53" customFormat="false" ht="13.8" hidden="false" customHeight="false" outlineLevel="0" collapsed="false">
      <c r="A53" s="765" t="s">
        <v>2682</v>
      </c>
      <c r="B53" s="779" t="s">
        <v>2683</v>
      </c>
      <c r="C53" s="780" t="s">
        <v>2500</v>
      </c>
      <c r="D53" s="781"/>
      <c r="E53" s="781"/>
      <c r="F53" s="781"/>
      <c r="G53" s="782"/>
      <c r="H53" s="781"/>
      <c r="I53" s="781"/>
      <c r="J53" s="780"/>
    </row>
    <row r="54" customFormat="false" ht="13.8" hidden="false" customHeight="false" outlineLevel="0" collapsed="false">
      <c r="A54" s="765" t="s">
        <v>2684</v>
      </c>
      <c r="B54" s="779" t="s">
        <v>2685</v>
      </c>
      <c r="C54" s="780" t="s">
        <v>2500</v>
      </c>
      <c r="D54" s="781"/>
      <c r="E54" s="781"/>
      <c r="F54" s="781"/>
      <c r="G54" s="782"/>
      <c r="H54" s="781"/>
      <c r="I54" s="781"/>
      <c r="J54" s="780"/>
    </row>
    <row r="55" customFormat="false" ht="13.8" hidden="false" customHeight="false" outlineLevel="0" collapsed="false">
      <c r="A55" s="765" t="s">
        <v>2686</v>
      </c>
      <c r="B55" s="779" t="s">
        <v>2687</v>
      </c>
      <c r="C55" s="780" t="s">
        <v>2500</v>
      </c>
      <c r="D55" s="781"/>
      <c r="E55" s="781"/>
      <c r="F55" s="781"/>
      <c r="G55" s="782"/>
      <c r="H55" s="781"/>
      <c r="I55" s="781"/>
      <c r="J55" s="780"/>
    </row>
    <row r="56" customFormat="false" ht="13.8" hidden="false" customHeight="false" outlineLevel="0" collapsed="false">
      <c r="A56" s="765" t="s">
        <v>2688</v>
      </c>
      <c r="B56" s="779" t="s">
        <v>2689</v>
      </c>
      <c r="C56" s="780" t="s">
        <v>2500</v>
      </c>
      <c r="D56" s="781"/>
      <c r="E56" s="781"/>
      <c r="F56" s="781"/>
      <c r="G56" s="782"/>
      <c r="H56" s="781"/>
      <c r="I56" s="781"/>
      <c r="J56" s="780"/>
    </row>
    <row r="57" customFormat="false" ht="13.8" hidden="false" customHeight="false" outlineLevel="0" collapsed="false">
      <c r="A57" s="765" t="s">
        <v>2690</v>
      </c>
      <c r="B57" s="779" t="s">
        <v>2691</v>
      </c>
      <c r="C57" s="780" t="s">
        <v>2500</v>
      </c>
      <c r="D57" s="781"/>
      <c r="E57" s="781"/>
      <c r="F57" s="781"/>
      <c r="G57" s="782"/>
      <c r="H57" s="781"/>
      <c r="I57" s="781"/>
      <c r="J57" s="780"/>
    </row>
    <row r="58" customFormat="false" ht="13.8" hidden="false" customHeight="false" outlineLevel="0" collapsed="false">
      <c r="A58" s="765" t="s">
        <v>2692</v>
      </c>
      <c r="B58" s="779" t="s">
        <v>2693</v>
      </c>
      <c r="C58" s="780" t="s">
        <v>2500</v>
      </c>
      <c r="D58" s="781"/>
      <c r="E58" s="781"/>
      <c r="F58" s="781"/>
      <c r="G58" s="782"/>
      <c r="H58" s="781"/>
      <c r="I58" s="781"/>
      <c r="J58" s="780"/>
    </row>
    <row r="59" customFormat="false" ht="13.8" hidden="false" customHeight="false" outlineLevel="0" collapsed="false">
      <c r="A59" s="765" t="s">
        <v>2694</v>
      </c>
      <c r="B59" s="779" t="s">
        <v>2695</v>
      </c>
      <c r="C59" s="780" t="s">
        <v>2500</v>
      </c>
      <c r="D59" s="781"/>
      <c r="E59" s="781"/>
      <c r="F59" s="781"/>
      <c r="G59" s="782"/>
      <c r="H59" s="781"/>
      <c r="I59" s="781"/>
      <c r="J59" s="780"/>
    </row>
    <row r="60" customFormat="false" ht="13.8" hidden="false" customHeight="false" outlineLevel="0" collapsed="false">
      <c r="A60" s="765" t="s">
        <v>2696</v>
      </c>
      <c r="B60" s="779" t="s">
        <v>2697</v>
      </c>
      <c r="C60" s="780" t="s">
        <v>2500</v>
      </c>
      <c r="D60" s="781"/>
      <c r="E60" s="781"/>
      <c r="F60" s="781"/>
      <c r="G60" s="782"/>
      <c r="H60" s="781"/>
      <c r="I60" s="781"/>
      <c r="J60" s="780"/>
    </row>
    <row r="61" customFormat="false" ht="13.8" hidden="false" customHeight="false" outlineLevel="0" collapsed="false">
      <c r="A61" s="765" t="s">
        <v>2698</v>
      </c>
      <c r="B61" s="779" t="s">
        <v>2699</v>
      </c>
      <c r="C61" s="780" t="s">
        <v>2500</v>
      </c>
      <c r="D61" s="781"/>
      <c r="E61" s="781"/>
      <c r="F61" s="781"/>
      <c r="G61" s="782"/>
      <c r="H61" s="781"/>
      <c r="I61" s="781"/>
      <c r="J61" s="780"/>
    </row>
    <row r="62" customFormat="false" ht="13.8" hidden="false" customHeight="false" outlineLevel="0" collapsed="false">
      <c r="A62" s="765" t="s">
        <v>2700</v>
      </c>
      <c r="B62" s="779" t="s">
        <v>2701</v>
      </c>
      <c r="C62" s="780" t="s">
        <v>2500</v>
      </c>
      <c r="D62" s="781"/>
      <c r="E62" s="781"/>
      <c r="F62" s="781"/>
      <c r="G62" s="782"/>
      <c r="H62" s="781"/>
      <c r="I62" s="781"/>
      <c r="J62" s="780"/>
    </row>
    <row r="63" customFormat="false" ht="13.8" hidden="false" customHeight="false" outlineLevel="0" collapsed="false">
      <c r="A63" s="765" t="s">
        <v>2702</v>
      </c>
      <c r="B63" s="779" t="s">
        <v>2703</v>
      </c>
      <c r="C63" s="780" t="s">
        <v>2500</v>
      </c>
      <c r="D63" s="781"/>
      <c r="E63" s="781"/>
      <c r="F63" s="781"/>
      <c r="G63" s="782"/>
      <c r="H63" s="781"/>
      <c r="I63" s="781"/>
      <c r="J63" s="780"/>
    </row>
    <row r="64" customFormat="false" ht="13.8" hidden="false" customHeight="false" outlineLevel="0" collapsed="false">
      <c r="A64" s="765" t="s">
        <v>2704</v>
      </c>
      <c r="B64" s="779" t="s">
        <v>2705</v>
      </c>
      <c r="C64" s="780" t="s">
        <v>2500</v>
      </c>
      <c r="D64" s="781"/>
      <c r="E64" s="781"/>
      <c r="F64" s="781"/>
      <c r="G64" s="782"/>
      <c r="H64" s="781"/>
      <c r="I64" s="781"/>
      <c r="J64" s="780"/>
    </row>
    <row r="65" customFormat="false" ht="13.8" hidden="true" customHeight="false" outlineLevel="0" collapsed="false">
      <c r="A65" s="765" t="s">
        <v>2706</v>
      </c>
      <c r="B65" s="779" t="s">
        <v>2707</v>
      </c>
      <c r="C65" s="780" t="s">
        <v>2708</v>
      </c>
      <c r="D65" s="781"/>
      <c r="E65" s="781"/>
      <c r="F65" s="781"/>
      <c r="G65" s="782"/>
      <c r="H65" s="781"/>
      <c r="I65" s="781"/>
      <c r="J65" s="780"/>
    </row>
    <row r="66" customFormat="false" ht="13.8" hidden="true" customHeight="false" outlineLevel="0" collapsed="false">
      <c r="A66" s="765" t="s">
        <v>2709</v>
      </c>
      <c r="B66" s="779" t="s">
        <v>2710</v>
      </c>
      <c r="C66" s="780" t="s">
        <v>2711</v>
      </c>
      <c r="D66" s="781"/>
      <c r="E66" s="781"/>
      <c r="F66" s="781"/>
      <c r="G66" s="782"/>
      <c r="H66" s="781"/>
      <c r="I66" s="781"/>
      <c r="J66" s="780"/>
    </row>
    <row r="67" customFormat="false" ht="13.8" hidden="true" customHeight="false" outlineLevel="0" collapsed="false">
      <c r="A67" s="765" t="s">
        <v>2712</v>
      </c>
      <c r="B67" s="779" t="s">
        <v>2713</v>
      </c>
      <c r="C67" s="780" t="s">
        <v>2580</v>
      </c>
      <c r="D67" s="781"/>
      <c r="E67" s="781"/>
      <c r="F67" s="781"/>
      <c r="G67" s="782"/>
      <c r="H67" s="781"/>
      <c r="I67" s="781"/>
      <c r="J67" s="780"/>
    </row>
    <row r="68" customFormat="false" ht="13.8" hidden="true" customHeight="false" outlineLevel="0" collapsed="false">
      <c r="A68" s="765" t="s">
        <v>2714</v>
      </c>
      <c r="B68" s="779" t="s">
        <v>2715</v>
      </c>
      <c r="C68" s="780" t="s">
        <v>2580</v>
      </c>
      <c r="D68" s="781"/>
      <c r="E68" s="781"/>
      <c r="F68" s="781"/>
      <c r="G68" s="782"/>
      <c r="H68" s="781"/>
      <c r="I68" s="781"/>
      <c r="J68" s="780"/>
    </row>
    <row r="69" customFormat="false" ht="13.8" hidden="true" customHeight="false" outlineLevel="0" collapsed="false">
      <c r="A69" s="765" t="s">
        <v>2716</v>
      </c>
      <c r="B69" s="779" t="s">
        <v>2717</v>
      </c>
      <c r="C69" s="780" t="s">
        <v>2711</v>
      </c>
      <c r="D69" s="781"/>
      <c r="E69" s="781"/>
      <c r="F69" s="781"/>
      <c r="G69" s="782"/>
      <c r="H69" s="781"/>
      <c r="I69" s="781"/>
      <c r="J69" s="780"/>
    </row>
    <row r="70" customFormat="false" ht="13.8" hidden="true" customHeight="false" outlineLevel="0" collapsed="false">
      <c r="A70" s="765" t="s">
        <v>2718</v>
      </c>
      <c r="B70" s="779" t="s">
        <v>2719</v>
      </c>
      <c r="C70" s="780" t="s">
        <v>2711</v>
      </c>
      <c r="D70" s="781"/>
      <c r="E70" s="781"/>
      <c r="F70" s="781"/>
      <c r="G70" s="782"/>
      <c r="H70" s="781"/>
      <c r="I70" s="781"/>
      <c r="J70" s="780"/>
    </row>
    <row r="71" customFormat="false" ht="13.8" hidden="true" customHeight="false" outlineLevel="0" collapsed="false">
      <c r="A71" s="765" t="s">
        <v>2720</v>
      </c>
      <c r="B71" s="779" t="s">
        <v>2721</v>
      </c>
      <c r="C71" s="780" t="s">
        <v>2711</v>
      </c>
      <c r="D71" s="781"/>
      <c r="E71" s="781"/>
      <c r="F71" s="781"/>
      <c r="G71" s="782"/>
      <c r="H71" s="781"/>
      <c r="I71" s="781"/>
      <c r="J71" s="780"/>
    </row>
    <row r="72" customFormat="false" ht="13.8" hidden="true" customHeight="false" outlineLevel="0" collapsed="false">
      <c r="A72" s="765" t="s">
        <v>2722</v>
      </c>
      <c r="B72" s="779" t="s">
        <v>2723</v>
      </c>
      <c r="C72" s="780" t="s">
        <v>2711</v>
      </c>
      <c r="D72" s="781"/>
      <c r="E72" s="781"/>
      <c r="F72" s="781"/>
      <c r="G72" s="782"/>
      <c r="H72" s="781"/>
      <c r="I72" s="781"/>
      <c r="J72" s="780"/>
    </row>
    <row r="73" customFormat="false" ht="13.8" hidden="true" customHeight="false" outlineLevel="0" collapsed="false">
      <c r="A73" s="765" t="s">
        <v>2724</v>
      </c>
      <c r="B73" s="779" t="s">
        <v>2725</v>
      </c>
      <c r="C73" s="780" t="s">
        <v>2711</v>
      </c>
      <c r="D73" s="781"/>
      <c r="E73" s="781"/>
      <c r="F73" s="781"/>
      <c r="G73" s="782"/>
      <c r="H73" s="781"/>
      <c r="I73" s="781"/>
      <c r="J73" s="780"/>
    </row>
    <row r="74" customFormat="false" ht="13.8" hidden="true" customHeight="false" outlineLevel="0" collapsed="false">
      <c r="A74" s="765" t="s">
        <v>2726</v>
      </c>
      <c r="B74" s="779" t="s">
        <v>2727</v>
      </c>
      <c r="C74" s="780" t="s">
        <v>2711</v>
      </c>
      <c r="D74" s="781"/>
      <c r="E74" s="781"/>
      <c r="F74" s="781"/>
      <c r="G74" s="782"/>
      <c r="H74" s="781"/>
      <c r="I74" s="781"/>
      <c r="J74" s="780"/>
    </row>
    <row r="75" customFormat="false" ht="13.8" hidden="true" customHeight="false" outlineLevel="0" collapsed="false">
      <c r="A75" s="765" t="s">
        <v>2728</v>
      </c>
      <c r="B75" s="779" t="s">
        <v>2729</v>
      </c>
      <c r="C75" s="780" t="s">
        <v>2711</v>
      </c>
      <c r="D75" s="781"/>
      <c r="E75" s="781"/>
      <c r="F75" s="781"/>
      <c r="G75" s="782"/>
      <c r="H75" s="781"/>
      <c r="I75" s="781"/>
      <c r="J75" s="780"/>
    </row>
    <row r="76" customFormat="false" ht="13.8" hidden="true" customHeight="false" outlineLevel="0" collapsed="false">
      <c r="A76" s="765" t="s">
        <v>2730</v>
      </c>
      <c r="B76" s="779" t="s">
        <v>2731</v>
      </c>
      <c r="C76" s="780" t="s">
        <v>2711</v>
      </c>
      <c r="D76" s="781"/>
      <c r="E76" s="781"/>
      <c r="F76" s="781"/>
      <c r="G76" s="782"/>
      <c r="H76" s="781"/>
      <c r="I76" s="781"/>
      <c r="J76" s="780"/>
    </row>
    <row r="77" customFormat="false" ht="13.8" hidden="true" customHeight="false" outlineLevel="0" collapsed="false">
      <c r="A77" s="765" t="s">
        <v>2732</v>
      </c>
      <c r="B77" s="779" t="s">
        <v>2733</v>
      </c>
      <c r="C77" s="780" t="s">
        <v>2711</v>
      </c>
      <c r="D77" s="781"/>
      <c r="E77" s="781"/>
      <c r="F77" s="781"/>
      <c r="G77" s="782"/>
      <c r="H77" s="781"/>
      <c r="I77" s="781"/>
      <c r="J77" s="780"/>
    </row>
    <row r="78" customFormat="false" ht="13.8" hidden="true" customHeight="false" outlineLevel="0" collapsed="false">
      <c r="A78" s="765" t="s">
        <v>2734</v>
      </c>
      <c r="B78" s="779" t="s">
        <v>2735</v>
      </c>
      <c r="C78" s="780" t="s">
        <v>2711</v>
      </c>
      <c r="D78" s="781"/>
      <c r="E78" s="781"/>
      <c r="F78" s="781"/>
      <c r="G78" s="782"/>
      <c r="H78" s="781"/>
      <c r="I78" s="781"/>
      <c r="J78" s="780"/>
    </row>
    <row r="79" customFormat="false" ht="13.8" hidden="true" customHeight="false" outlineLevel="0" collapsed="false">
      <c r="A79" s="765" t="s">
        <v>2736</v>
      </c>
      <c r="B79" s="779" t="s">
        <v>2737</v>
      </c>
      <c r="C79" s="780" t="s">
        <v>2711</v>
      </c>
      <c r="D79" s="781"/>
      <c r="E79" s="781"/>
      <c r="F79" s="781"/>
      <c r="G79" s="782"/>
      <c r="H79" s="781"/>
      <c r="I79" s="781"/>
      <c r="J79" s="780"/>
    </row>
    <row r="80" customFormat="false" ht="13.8" hidden="true" customHeight="false" outlineLevel="0" collapsed="false">
      <c r="A80" s="765" t="s">
        <v>2738</v>
      </c>
      <c r="B80" s="779" t="s">
        <v>2739</v>
      </c>
      <c r="C80" s="780" t="s">
        <v>2740</v>
      </c>
      <c r="D80" s="781"/>
      <c r="E80" s="781"/>
      <c r="F80" s="781"/>
      <c r="G80" s="782"/>
      <c r="H80" s="781"/>
      <c r="I80" s="781"/>
      <c r="J80" s="780"/>
    </row>
    <row r="81" customFormat="false" ht="13.8" hidden="true" customHeight="false" outlineLevel="0" collapsed="false">
      <c r="A81" s="765" t="s">
        <v>2741</v>
      </c>
      <c r="B81" s="779" t="s">
        <v>2742</v>
      </c>
      <c r="C81" s="780" t="s">
        <v>2740</v>
      </c>
      <c r="D81" s="781"/>
      <c r="E81" s="781"/>
      <c r="F81" s="781"/>
      <c r="G81" s="782"/>
      <c r="H81" s="781"/>
      <c r="I81" s="781"/>
      <c r="J81" s="780"/>
    </row>
    <row r="82" customFormat="false" ht="13.8" hidden="true" customHeight="false" outlineLevel="0" collapsed="false">
      <c r="A82" s="765" t="s">
        <v>2743</v>
      </c>
      <c r="B82" s="779" t="s">
        <v>2744</v>
      </c>
      <c r="C82" s="780" t="s">
        <v>2740</v>
      </c>
      <c r="D82" s="781"/>
      <c r="E82" s="781"/>
      <c r="F82" s="781"/>
      <c r="G82" s="782"/>
      <c r="H82" s="781"/>
      <c r="I82" s="781"/>
      <c r="J82" s="780"/>
    </row>
    <row r="83" customFormat="false" ht="13.8" hidden="true" customHeight="false" outlineLevel="0" collapsed="false">
      <c r="A83" s="765" t="s">
        <v>2745</v>
      </c>
      <c r="B83" s="779" t="s">
        <v>2746</v>
      </c>
      <c r="C83" s="780" t="s">
        <v>2740</v>
      </c>
      <c r="D83" s="781"/>
      <c r="E83" s="781"/>
      <c r="F83" s="781"/>
      <c r="G83" s="782"/>
      <c r="H83" s="781"/>
      <c r="I83" s="781"/>
      <c r="J83" s="780"/>
    </row>
    <row r="84" customFormat="false" ht="13.8" hidden="true" customHeight="false" outlineLevel="0" collapsed="false">
      <c r="A84" s="765" t="s">
        <v>2747</v>
      </c>
      <c r="B84" s="779" t="s">
        <v>2748</v>
      </c>
      <c r="C84" s="780" t="s">
        <v>2740</v>
      </c>
      <c r="D84" s="781"/>
      <c r="E84" s="781"/>
      <c r="F84" s="781"/>
      <c r="G84" s="782"/>
      <c r="H84" s="781"/>
      <c r="I84" s="781"/>
      <c r="J84" s="780"/>
    </row>
    <row r="85" customFormat="false" ht="13.8" hidden="true" customHeight="false" outlineLevel="0" collapsed="false">
      <c r="A85" s="765" t="s">
        <v>2749</v>
      </c>
      <c r="B85" s="779" t="s">
        <v>2750</v>
      </c>
      <c r="C85" s="780" t="s">
        <v>2740</v>
      </c>
      <c r="D85" s="781"/>
      <c r="E85" s="781"/>
      <c r="F85" s="781"/>
      <c r="G85" s="782"/>
      <c r="H85" s="781"/>
      <c r="I85" s="781"/>
      <c r="J85" s="780"/>
    </row>
    <row r="86" customFormat="false" ht="13.8" hidden="true" customHeight="false" outlineLevel="0" collapsed="false">
      <c r="A86" s="765" t="s">
        <v>2751</v>
      </c>
      <c r="B86" s="779" t="s">
        <v>2752</v>
      </c>
      <c r="C86" s="780" t="s">
        <v>2740</v>
      </c>
      <c r="D86" s="781"/>
      <c r="E86" s="781"/>
      <c r="F86" s="781"/>
      <c r="G86" s="782"/>
      <c r="H86" s="781"/>
      <c r="I86" s="781"/>
      <c r="J86" s="780"/>
    </row>
    <row r="87" customFormat="false" ht="13.8" hidden="true" customHeight="false" outlineLevel="0" collapsed="false">
      <c r="A87" s="765" t="s">
        <v>2753</v>
      </c>
      <c r="B87" s="779" t="s">
        <v>2754</v>
      </c>
      <c r="C87" s="780" t="s">
        <v>2740</v>
      </c>
      <c r="D87" s="781"/>
      <c r="E87" s="781"/>
      <c r="F87" s="781"/>
      <c r="G87" s="782"/>
      <c r="H87" s="781"/>
      <c r="I87" s="781"/>
      <c r="J87" s="780"/>
    </row>
    <row r="88" customFormat="false" ht="13.8" hidden="true" customHeight="false" outlineLevel="0" collapsed="false">
      <c r="A88" s="765" t="s">
        <v>2755</v>
      </c>
      <c r="B88" s="779" t="s">
        <v>2756</v>
      </c>
      <c r="C88" s="780" t="s">
        <v>2757</v>
      </c>
      <c r="D88" s="781"/>
      <c r="E88" s="781"/>
      <c r="F88" s="781"/>
      <c r="G88" s="782"/>
      <c r="H88" s="781"/>
      <c r="I88" s="781"/>
      <c r="J88" s="780"/>
    </row>
    <row r="89" customFormat="false" ht="13.8" hidden="true" customHeight="false" outlineLevel="0" collapsed="false">
      <c r="A89" s="765" t="s">
        <v>2758</v>
      </c>
      <c r="B89" s="779" t="s">
        <v>2759</v>
      </c>
      <c r="C89" s="780" t="s">
        <v>2757</v>
      </c>
      <c r="D89" s="781"/>
      <c r="E89" s="781"/>
      <c r="F89" s="781"/>
      <c r="G89" s="782"/>
      <c r="H89" s="781"/>
      <c r="I89" s="781"/>
      <c r="J89" s="780"/>
    </row>
    <row r="90" customFormat="false" ht="13.8" hidden="true" customHeight="false" outlineLevel="0" collapsed="false">
      <c r="A90" s="765" t="s">
        <v>2760</v>
      </c>
      <c r="B90" s="779" t="s">
        <v>2761</v>
      </c>
      <c r="C90" s="780" t="s">
        <v>2757</v>
      </c>
      <c r="D90" s="781"/>
      <c r="E90" s="781"/>
      <c r="F90" s="781"/>
      <c r="G90" s="782"/>
      <c r="H90" s="781"/>
      <c r="I90" s="781"/>
      <c r="J90" s="780"/>
    </row>
    <row r="91" customFormat="false" ht="13.8" hidden="true" customHeight="false" outlineLevel="0" collapsed="false">
      <c r="A91" s="765" t="s">
        <v>2762</v>
      </c>
      <c r="B91" s="779" t="s">
        <v>2763</v>
      </c>
      <c r="C91" s="780" t="s">
        <v>2757</v>
      </c>
      <c r="D91" s="781"/>
      <c r="E91" s="781"/>
      <c r="F91" s="781"/>
      <c r="G91" s="782"/>
      <c r="H91" s="781"/>
      <c r="I91" s="781"/>
      <c r="J91" s="780"/>
    </row>
    <row r="92" customFormat="false" ht="13.8" hidden="true" customHeight="false" outlineLevel="0" collapsed="false">
      <c r="A92" s="765" t="s">
        <v>2764</v>
      </c>
      <c r="B92" s="779" t="s">
        <v>2765</v>
      </c>
      <c r="C92" s="780" t="s">
        <v>2757</v>
      </c>
      <c r="D92" s="781"/>
      <c r="E92" s="781"/>
      <c r="F92" s="781"/>
      <c r="G92" s="782"/>
      <c r="H92" s="781"/>
      <c r="I92" s="781"/>
      <c r="J92" s="780"/>
    </row>
    <row r="93" customFormat="false" ht="13.8" hidden="true" customHeight="false" outlineLevel="0" collapsed="false">
      <c r="A93" s="765" t="s">
        <v>2766</v>
      </c>
      <c r="B93" s="779" t="s">
        <v>2767</v>
      </c>
      <c r="C93" s="780" t="s">
        <v>2757</v>
      </c>
      <c r="D93" s="781"/>
      <c r="E93" s="781"/>
      <c r="F93" s="781"/>
      <c r="G93" s="782"/>
      <c r="H93" s="781"/>
      <c r="I93" s="781"/>
      <c r="J93" s="780"/>
    </row>
    <row r="94" customFormat="false" ht="13.8" hidden="true" customHeight="false" outlineLevel="0" collapsed="false">
      <c r="A94" s="765" t="s">
        <v>2768</v>
      </c>
      <c r="B94" s="779" t="s">
        <v>2769</v>
      </c>
      <c r="C94" s="780" t="s">
        <v>2757</v>
      </c>
      <c r="D94" s="781"/>
      <c r="E94" s="781"/>
      <c r="F94" s="781"/>
      <c r="G94" s="782"/>
      <c r="H94" s="781"/>
      <c r="I94" s="781"/>
      <c r="J94" s="780"/>
    </row>
    <row r="95" customFormat="false" ht="13.8" hidden="true" customHeight="false" outlineLevel="0" collapsed="false">
      <c r="A95" s="765" t="s">
        <v>2770</v>
      </c>
      <c r="B95" s="779" t="s">
        <v>2771</v>
      </c>
      <c r="C95" s="780" t="s">
        <v>2757</v>
      </c>
      <c r="D95" s="781"/>
      <c r="E95" s="781"/>
      <c r="F95" s="781"/>
      <c r="G95" s="782"/>
      <c r="H95" s="781"/>
      <c r="I95" s="781"/>
      <c r="J95" s="780"/>
    </row>
    <row r="96" customFormat="false" ht="13.8" hidden="true" customHeight="false" outlineLevel="0" collapsed="false">
      <c r="A96" s="765" t="s">
        <v>2772</v>
      </c>
      <c r="B96" s="779" t="s">
        <v>2773</v>
      </c>
      <c r="C96" s="780" t="s">
        <v>2740</v>
      </c>
      <c r="D96" s="781"/>
      <c r="E96" s="781"/>
      <c r="F96" s="781"/>
      <c r="G96" s="782"/>
      <c r="H96" s="781"/>
      <c r="I96" s="781"/>
      <c r="J96" s="780"/>
    </row>
    <row r="97" customFormat="false" ht="13.8" hidden="true" customHeight="false" outlineLevel="0" collapsed="false">
      <c r="A97" s="765" t="s">
        <v>2774</v>
      </c>
      <c r="B97" s="779" t="s">
        <v>2775</v>
      </c>
      <c r="C97" s="780" t="s">
        <v>2740</v>
      </c>
      <c r="D97" s="781"/>
      <c r="E97" s="781"/>
      <c r="F97" s="781"/>
      <c r="G97" s="782"/>
      <c r="H97" s="781"/>
      <c r="I97" s="781"/>
      <c r="J97" s="780"/>
    </row>
    <row r="98" customFormat="false" ht="13.8" hidden="true" customHeight="false" outlineLevel="0" collapsed="false">
      <c r="A98" s="765" t="s">
        <v>2776</v>
      </c>
      <c r="B98" s="779" t="s">
        <v>2777</v>
      </c>
      <c r="C98" s="780" t="s">
        <v>2740</v>
      </c>
      <c r="D98" s="781"/>
      <c r="E98" s="781"/>
      <c r="F98" s="781"/>
      <c r="G98" s="782"/>
      <c r="H98" s="781"/>
      <c r="I98" s="781"/>
      <c r="J98" s="780"/>
    </row>
    <row r="99" customFormat="false" ht="13.8" hidden="true" customHeight="false" outlineLevel="0" collapsed="false">
      <c r="A99" s="765" t="s">
        <v>2778</v>
      </c>
      <c r="B99" s="779" t="s">
        <v>2779</v>
      </c>
      <c r="C99" s="780" t="s">
        <v>2740</v>
      </c>
      <c r="D99" s="781"/>
      <c r="E99" s="781"/>
      <c r="F99" s="781"/>
      <c r="G99" s="782"/>
      <c r="H99" s="781"/>
      <c r="I99" s="781"/>
      <c r="J99" s="780"/>
    </row>
    <row r="100" customFormat="false" ht="13.8" hidden="true" customHeight="false" outlineLevel="0" collapsed="false">
      <c r="A100" s="765" t="s">
        <v>2780</v>
      </c>
      <c r="B100" s="779" t="s">
        <v>2781</v>
      </c>
      <c r="C100" s="780" t="s">
        <v>2740</v>
      </c>
      <c r="D100" s="781"/>
      <c r="E100" s="781"/>
      <c r="F100" s="781"/>
      <c r="G100" s="782"/>
      <c r="H100" s="781"/>
      <c r="I100" s="781"/>
      <c r="J100" s="780"/>
    </row>
    <row r="101" customFormat="false" ht="13.8" hidden="true" customHeight="false" outlineLevel="0" collapsed="false">
      <c r="A101" s="765" t="s">
        <v>2782</v>
      </c>
      <c r="B101" s="779" t="s">
        <v>2783</v>
      </c>
      <c r="C101" s="780" t="s">
        <v>2740</v>
      </c>
      <c r="D101" s="781"/>
      <c r="E101" s="781"/>
      <c r="F101" s="781"/>
      <c r="G101" s="782"/>
      <c r="H101" s="781"/>
      <c r="I101" s="781"/>
      <c r="J101" s="780"/>
    </row>
    <row r="102" customFormat="false" ht="13.8" hidden="true" customHeight="false" outlineLevel="0" collapsed="false">
      <c r="A102" s="765" t="s">
        <v>2784</v>
      </c>
      <c r="B102" s="779" t="s">
        <v>2785</v>
      </c>
      <c r="C102" s="780" t="s">
        <v>2711</v>
      </c>
      <c r="D102" s="781"/>
      <c r="E102" s="781"/>
      <c r="F102" s="781"/>
      <c r="G102" s="782"/>
      <c r="H102" s="781"/>
      <c r="I102" s="781"/>
      <c r="J102" s="780"/>
    </row>
    <row r="103" customFormat="false" ht="13.8" hidden="true" customHeight="false" outlineLevel="0" collapsed="false">
      <c r="A103" s="765" t="s">
        <v>2786</v>
      </c>
      <c r="B103" s="779" t="s">
        <v>2787</v>
      </c>
      <c r="C103" s="780" t="s">
        <v>2711</v>
      </c>
      <c r="D103" s="781"/>
      <c r="E103" s="781"/>
      <c r="F103" s="781"/>
      <c r="G103" s="782"/>
      <c r="H103" s="781"/>
      <c r="I103" s="781"/>
      <c r="J103" s="780"/>
    </row>
    <row r="104" customFormat="false" ht="13.8" hidden="true" customHeight="false" outlineLevel="0" collapsed="false">
      <c r="A104" s="765" t="s">
        <v>2788</v>
      </c>
      <c r="B104" s="779" t="s">
        <v>2789</v>
      </c>
      <c r="C104" s="780" t="s">
        <v>2790</v>
      </c>
      <c r="D104" s="781"/>
      <c r="E104" s="781"/>
      <c r="F104" s="781"/>
      <c r="G104" s="782"/>
      <c r="H104" s="781"/>
      <c r="I104" s="781"/>
      <c r="J104" s="780"/>
    </row>
    <row r="105" customFormat="false" ht="13.8" hidden="true" customHeight="false" outlineLevel="0" collapsed="false">
      <c r="A105" s="765" t="s">
        <v>2791</v>
      </c>
      <c r="B105" s="779" t="s">
        <v>2792</v>
      </c>
      <c r="C105" s="780" t="s">
        <v>2790</v>
      </c>
      <c r="D105" s="781"/>
      <c r="E105" s="781"/>
      <c r="F105" s="781"/>
      <c r="G105" s="782"/>
      <c r="H105" s="781"/>
      <c r="I105" s="781"/>
      <c r="J105" s="780"/>
    </row>
    <row r="106" customFormat="false" ht="13.8" hidden="true" customHeight="false" outlineLevel="0" collapsed="false">
      <c r="A106" s="765" t="s">
        <v>2793</v>
      </c>
      <c r="B106" s="779" t="s">
        <v>2794</v>
      </c>
      <c r="C106" s="780" t="s">
        <v>2790</v>
      </c>
      <c r="D106" s="781"/>
      <c r="E106" s="781"/>
      <c r="F106" s="781"/>
      <c r="G106" s="782"/>
      <c r="H106" s="781"/>
      <c r="I106" s="781"/>
      <c r="J106" s="780"/>
    </row>
    <row r="107" customFormat="false" ht="13.8" hidden="true" customHeight="false" outlineLevel="0" collapsed="false">
      <c r="A107" s="765" t="s">
        <v>2795</v>
      </c>
      <c r="B107" s="779" t="s">
        <v>2796</v>
      </c>
      <c r="C107" s="780" t="s">
        <v>2790</v>
      </c>
      <c r="D107" s="781"/>
      <c r="E107" s="781"/>
      <c r="F107" s="781"/>
      <c r="G107" s="782"/>
      <c r="H107" s="781"/>
      <c r="I107" s="781"/>
      <c r="J107" s="780"/>
    </row>
    <row r="108" customFormat="false" ht="13.8" hidden="true" customHeight="false" outlineLevel="0" collapsed="false">
      <c r="A108" s="765" t="s">
        <v>2797</v>
      </c>
      <c r="B108" s="779" t="s">
        <v>2798</v>
      </c>
      <c r="C108" s="780" t="s">
        <v>2790</v>
      </c>
      <c r="D108" s="781"/>
      <c r="E108" s="781"/>
      <c r="F108" s="781"/>
      <c r="G108" s="782"/>
      <c r="H108" s="781"/>
      <c r="I108" s="781"/>
      <c r="J108" s="780"/>
    </row>
    <row r="109" customFormat="false" ht="13.8" hidden="true" customHeight="false" outlineLevel="0" collapsed="false">
      <c r="A109" s="765" t="s">
        <v>2799</v>
      </c>
      <c r="B109" s="779" t="s">
        <v>2800</v>
      </c>
      <c r="C109" s="780" t="s">
        <v>2790</v>
      </c>
      <c r="D109" s="781"/>
      <c r="E109" s="781"/>
      <c r="F109" s="781"/>
      <c r="G109" s="782"/>
      <c r="H109" s="781"/>
      <c r="I109" s="781"/>
      <c r="J109" s="780"/>
    </row>
    <row r="110" customFormat="false" ht="13.8" hidden="true" customHeight="false" outlineLevel="0" collapsed="false">
      <c r="A110" s="765" t="s">
        <v>2801</v>
      </c>
      <c r="B110" s="779" t="s">
        <v>2802</v>
      </c>
      <c r="C110" s="780" t="s">
        <v>2790</v>
      </c>
      <c r="D110" s="781"/>
      <c r="E110" s="781"/>
      <c r="F110" s="781"/>
      <c r="G110" s="782"/>
      <c r="H110" s="781"/>
      <c r="I110" s="781"/>
      <c r="J110" s="780"/>
    </row>
    <row r="111" customFormat="false" ht="13.8" hidden="true" customHeight="false" outlineLevel="0" collapsed="false">
      <c r="A111" s="765" t="s">
        <v>2803</v>
      </c>
      <c r="B111" s="779" t="s">
        <v>2804</v>
      </c>
      <c r="C111" s="780" t="s">
        <v>2790</v>
      </c>
      <c r="D111" s="781"/>
      <c r="E111" s="781"/>
      <c r="F111" s="781"/>
      <c r="G111" s="782"/>
      <c r="H111" s="781"/>
      <c r="I111" s="781"/>
      <c r="J111" s="780"/>
    </row>
    <row r="112" customFormat="false" ht="13.8" hidden="true" customHeight="false" outlineLevel="0" collapsed="false">
      <c r="A112" s="765" t="s">
        <v>2805</v>
      </c>
      <c r="B112" s="779" t="s">
        <v>2806</v>
      </c>
      <c r="C112" s="780" t="s">
        <v>2790</v>
      </c>
      <c r="D112" s="781"/>
      <c r="E112" s="781"/>
      <c r="F112" s="781"/>
      <c r="G112" s="782"/>
      <c r="H112" s="781"/>
      <c r="I112" s="781"/>
      <c r="J112" s="780"/>
    </row>
    <row r="113" customFormat="false" ht="13.8" hidden="true" customHeight="false" outlineLevel="0" collapsed="false">
      <c r="A113" s="765" t="s">
        <v>2807</v>
      </c>
      <c r="B113" s="779" t="s">
        <v>2808</v>
      </c>
      <c r="C113" s="780" t="s">
        <v>2809</v>
      </c>
      <c r="D113" s="781"/>
      <c r="E113" s="781"/>
      <c r="F113" s="781"/>
      <c r="G113" s="782"/>
      <c r="H113" s="781"/>
      <c r="I113" s="781"/>
      <c r="J113" s="780"/>
    </row>
    <row r="114" customFormat="false" ht="13.8" hidden="true" customHeight="false" outlineLevel="0" collapsed="false">
      <c r="A114" s="765" t="s">
        <v>2810</v>
      </c>
      <c r="B114" s="779" t="s">
        <v>2811</v>
      </c>
      <c r="C114" s="780" t="s">
        <v>2809</v>
      </c>
      <c r="D114" s="781"/>
      <c r="E114" s="781"/>
      <c r="F114" s="781"/>
      <c r="G114" s="782"/>
      <c r="H114" s="781"/>
      <c r="I114" s="781"/>
      <c r="J114" s="780"/>
    </row>
    <row r="115" customFormat="false" ht="14.9" hidden="true" customHeight="false" outlineLevel="0" collapsed="false">
      <c r="A115" s="765" t="s">
        <v>2812</v>
      </c>
      <c r="B115" s="779" t="s">
        <v>2813</v>
      </c>
      <c r="C115" s="780" t="s">
        <v>2790</v>
      </c>
      <c r="D115" s="781"/>
      <c r="E115" s="781"/>
      <c r="F115" s="781"/>
      <c r="G115" s="782"/>
      <c r="H115" s="781"/>
      <c r="I115" s="781"/>
      <c r="J115" s="780"/>
    </row>
    <row r="116" customFormat="false" ht="14.9" hidden="true" customHeight="false" outlineLevel="0" collapsed="false">
      <c r="A116" s="765" t="s">
        <v>2814</v>
      </c>
      <c r="B116" s="779" t="s">
        <v>2815</v>
      </c>
      <c r="C116" s="780" t="s">
        <v>2790</v>
      </c>
      <c r="D116" s="781"/>
      <c r="E116" s="781"/>
      <c r="F116" s="781"/>
      <c r="G116" s="782"/>
      <c r="H116" s="781"/>
      <c r="I116" s="781"/>
      <c r="J116" s="780"/>
    </row>
    <row r="117" customFormat="false" ht="14.9" hidden="true" customHeight="false" outlineLevel="0" collapsed="false">
      <c r="A117" s="765" t="s">
        <v>2816</v>
      </c>
      <c r="B117" s="779" t="s">
        <v>2817</v>
      </c>
      <c r="C117" s="780" t="s">
        <v>2790</v>
      </c>
      <c r="D117" s="781"/>
      <c r="E117" s="781"/>
      <c r="F117" s="781"/>
      <c r="G117" s="782"/>
      <c r="H117" s="781"/>
      <c r="I117" s="781"/>
      <c r="J117" s="780"/>
    </row>
    <row r="118" customFormat="false" ht="14.9" hidden="true" customHeight="false" outlineLevel="0" collapsed="false">
      <c r="A118" s="765" t="s">
        <v>2818</v>
      </c>
      <c r="B118" s="779" t="s">
        <v>2819</v>
      </c>
      <c r="C118" s="780" t="s">
        <v>2790</v>
      </c>
      <c r="D118" s="781"/>
      <c r="E118" s="781"/>
      <c r="F118" s="781"/>
      <c r="G118" s="782"/>
      <c r="H118" s="781"/>
      <c r="I118" s="781"/>
      <c r="J118" s="780"/>
    </row>
    <row r="119" customFormat="false" ht="14.9" hidden="true" customHeight="false" outlineLevel="0" collapsed="false">
      <c r="A119" s="765" t="s">
        <v>2820</v>
      </c>
      <c r="B119" s="779" t="s">
        <v>2821</v>
      </c>
      <c r="C119" s="780" t="s">
        <v>2790</v>
      </c>
      <c r="D119" s="781"/>
      <c r="E119" s="781"/>
      <c r="F119" s="781"/>
      <c r="G119" s="782"/>
      <c r="H119" s="781"/>
      <c r="I119" s="781"/>
      <c r="J119" s="780"/>
    </row>
    <row r="120" customFormat="false" ht="14.9" hidden="true" customHeight="false" outlineLevel="0" collapsed="false">
      <c r="A120" s="765" t="s">
        <v>2822</v>
      </c>
      <c r="B120" s="779" t="s">
        <v>2823</v>
      </c>
      <c r="C120" s="780" t="s">
        <v>2790</v>
      </c>
      <c r="D120" s="781"/>
      <c r="E120" s="781"/>
      <c r="F120" s="781"/>
      <c r="G120" s="782"/>
      <c r="H120" s="781"/>
      <c r="I120" s="781"/>
      <c r="J120" s="780"/>
    </row>
    <row r="121" customFormat="false" ht="14.9" hidden="true" customHeight="false" outlineLevel="0" collapsed="false">
      <c r="A121" s="765" t="s">
        <v>2824</v>
      </c>
      <c r="B121" s="779" t="s">
        <v>2825</v>
      </c>
      <c r="C121" s="780" t="s">
        <v>2790</v>
      </c>
      <c r="D121" s="781"/>
      <c r="E121" s="781"/>
      <c r="F121" s="781"/>
      <c r="G121" s="782"/>
      <c r="H121" s="781"/>
      <c r="I121" s="781"/>
      <c r="J121" s="780"/>
    </row>
    <row r="122" customFormat="false" ht="14.9" hidden="true" customHeight="false" outlineLevel="0" collapsed="false">
      <c r="A122" s="765" t="s">
        <v>2826</v>
      </c>
      <c r="B122" s="779" t="s">
        <v>2827</v>
      </c>
      <c r="C122" s="780" t="s">
        <v>2790</v>
      </c>
      <c r="D122" s="781"/>
      <c r="E122" s="781"/>
      <c r="F122" s="781"/>
      <c r="G122" s="782"/>
      <c r="H122" s="781"/>
      <c r="I122" s="781"/>
      <c r="J122" s="780"/>
    </row>
    <row r="123" customFormat="false" ht="14.9" hidden="true" customHeight="false" outlineLevel="0" collapsed="false">
      <c r="A123" s="765" t="s">
        <v>2828</v>
      </c>
      <c r="B123" s="779" t="s">
        <v>2829</v>
      </c>
      <c r="C123" s="780" t="s">
        <v>2790</v>
      </c>
      <c r="D123" s="781"/>
      <c r="E123" s="781"/>
      <c r="F123" s="781"/>
      <c r="G123" s="782"/>
      <c r="H123" s="781"/>
      <c r="I123" s="781"/>
      <c r="J123" s="780"/>
    </row>
    <row r="124" customFormat="false" ht="14.9" hidden="true" customHeight="false" outlineLevel="0" collapsed="false">
      <c r="A124" s="765" t="s">
        <v>2830</v>
      </c>
      <c r="B124" s="779" t="s">
        <v>2831</v>
      </c>
      <c r="C124" s="780" t="s">
        <v>2790</v>
      </c>
      <c r="D124" s="781"/>
      <c r="E124" s="781"/>
      <c r="F124" s="781"/>
      <c r="G124" s="782"/>
      <c r="H124" s="781"/>
      <c r="I124" s="781"/>
      <c r="J124" s="780"/>
    </row>
    <row r="125" customFormat="false" ht="14.9" hidden="true" customHeight="false" outlineLevel="0" collapsed="false">
      <c r="A125" s="765" t="s">
        <v>2832</v>
      </c>
      <c r="B125" s="779" t="s">
        <v>2833</v>
      </c>
      <c r="C125" s="780" t="s">
        <v>2790</v>
      </c>
      <c r="D125" s="781"/>
      <c r="E125" s="781"/>
      <c r="F125" s="781"/>
      <c r="G125" s="782"/>
      <c r="H125" s="781"/>
      <c r="I125" s="781"/>
      <c r="J125" s="780"/>
    </row>
    <row r="126" customFormat="false" ht="14.9" hidden="true" customHeight="false" outlineLevel="0" collapsed="false">
      <c r="A126" s="765" t="s">
        <v>2834</v>
      </c>
      <c r="B126" s="779" t="s">
        <v>2835</v>
      </c>
      <c r="C126" s="780" t="s">
        <v>2790</v>
      </c>
      <c r="D126" s="781"/>
      <c r="E126" s="781"/>
      <c r="F126" s="781"/>
      <c r="G126" s="782"/>
      <c r="H126" s="781"/>
      <c r="I126" s="781"/>
      <c r="J126" s="780"/>
    </row>
    <row r="127" customFormat="false" ht="14.9" hidden="true" customHeight="false" outlineLevel="0" collapsed="false">
      <c r="A127" s="765" t="s">
        <v>2836</v>
      </c>
      <c r="B127" s="779" t="s">
        <v>2837</v>
      </c>
      <c r="C127" s="780" t="s">
        <v>2790</v>
      </c>
      <c r="D127" s="781"/>
      <c r="E127" s="781"/>
      <c r="F127" s="781"/>
      <c r="G127" s="782"/>
      <c r="H127" s="781"/>
      <c r="I127" s="781"/>
      <c r="J127" s="780"/>
    </row>
    <row r="128" customFormat="false" ht="14.9" hidden="true" customHeight="false" outlineLevel="0" collapsed="false">
      <c r="A128" s="765" t="s">
        <v>2838</v>
      </c>
      <c r="B128" s="779" t="s">
        <v>2839</v>
      </c>
      <c r="C128" s="780" t="s">
        <v>2790</v>
      </c>
      <c r="D128" s="781"/>
      <c r="E128" s="781"/>
      <c r="F128" s="781"/>
      <c r="G128" s="782"/>
      <c r="H128" s="781"/>
      <c r="I128" s="781"/>
      <c r="J128" s="780"/>
    </row>
    <row r="129" customFormat="false" ht="14.9" hidden="true" customHeight="false" outlineLevel="0" collapsed="false">
      <c r="A129" s="765" t="s">
        <v>2840</v>
      </c>
      <c r="B129" s="779" t="s">
        <v>2841</v>
      </c>
      <c r="C129" s="780" t="s">
        <v>2790</v>
      </c>
      <c r="D129" s="781"/>
      <c r="E129" s="781"/>
      <c r="F129" s="781"/>
      <c r="G129" s="782"/>
      <c r="H129" s="781"/>
      <c r="I129" s="781"/>
      <c r="J129" s="780"/>
    </row>
    <row r="130" customFormat="false" ht="14.9" hidden="true" customHeight="false" outlineLevel="0" collapsed="false">
      <c r="A130" s="765" t="s">
        <v>2842</v>
      </c>
      <c r="B130" s="779" t="s">
        <v>2843</v>
      </c>
      <c r="C130" s="780" t="s">
        <v>2790</v>
      </c>
      <c r="D130" s="781"/>
      <c r="E130" s="781"/>
      <c r="F130" s="781"/>
      <c r="G130" s="782"/>
      <c r="H130" s="781"/>
      <c r="I130" s="781"/>
      <c r="J130" s="780"/>
    </row>
    <row r="131" customFormat="false" ht="14.9" hidden="true" customHeight="false" outlineLevel="0" collapsed="false">
      <c r="A131" s="765" t="s">
        <v>2844</v>
      </c>
      <c r="B131" s="779" t="s">
        <v>2845</v>
      </c>
      <c r="C131" s="780" t="s">
        <v>2790</v>
      </c>
      <c r="D131" s="781"/>
      <c r="E131" s="781"/>
      <c r="F131" s="781"/>
      <c r="G131" s="782"/>
      <c r="H131" s="781"/>
      <c r="I131" s="781"/>
      <c r="J131" s="780"/>
    </row>
    <row r="132" customFormat="false" ht="14.9" hidden="true" customHeight="false" outlineLevel="0" collapsed="false">
      <c r="A132" s="765" t="s">
        <v>2846</v>
      </c>
      <c r="B132" s="779" t="s">
        <v>2847</v>
      </c>
      <c r="C132" s="780" t="s">
        <v>2790</v>
      </c>
      <c r="D132" s="781"/>
      <c r="E132" s="781"/>
      <c r="F132" s="781"/>
      <c r="G132" s="782"/>
      <c r="H132" s="781"/>
      <c r="I132" s="781"/>
      <c r="J132" s="780"/>
    </row>
    <row r="133" customFormat="false" ht="14.9" hidden="true" customHeight="false" outlineLevel="0" collapsed="false">
      <c r="A133" s="765" t="s">
        <v>2848</v>
      </c>
      <c r="B133" s="779" t="s">
        <v>2849</v>
      </c>
      <c r="C133" s="780" t="s">
        <v>2790</v>
      </c>
      <c r="D133" s="781"/>
      <c r="E133" s="781"/>
      <c r="F133" s="781"/>
      <c r="G133" s="782"/>
      <c r="H133" s="781"/>
      <c r="I133" s="781"/>
      <c r="J133" s="780"/>
    </row>
    <row r="134" customFormat="false" ht="14.9" hidden="true" customHeight="false" outlineLevel="0" collapsed="false">
      <c r="A134" s="765" t="s">
        <v>2850</v>
      </c>
      <c r="B134" s="779" t="s">
        <v>2851</v>
      </c>
      <c r="C134" s="780" t="s">
        <v>2790</v>
      </c>
      <c r="D134" s="781"/>
      <c r="E134" s="781"/>
      <c r="F134" s="781"/>
      <c r="G134" s="782"/>
      <c r="H134" s="781"/>
      <c r="I134" s="781"/>
      <c r="J134" s="780"/>
    </row>
    <row r="135" customFormat="false" ht="14.9" hidden="true" customHeight="false" outlineLevel="0" collapsed="false">
      <c r="A135" s="765" t="s">
        <v>2852</v>
      </c>
      <c r="B135" s="779" t="s">
        <v>2853</v>
      </c>
      <c r="C135" s="780" t="s">
        <v>2790</v>
      </c>
      <c r="D135" s="781"/>
      <c r="E135" s="781"/>
      <c r="F135" s="781"/>
      <c r="G135" s="782"/>
      <c r="H135" s="781"/>
      <c r="I135" s="781"/>
      <c r="J135" s="780"/>
    </row>
    <row r="136" customFormat="false" ht="14.9" hidden="true" customHeight="false" outlineLevel="0" collapsed="false">
      <c r="A136" s="765" t="s">
        <v>2854</v>
      </c>
      <c r="B136" s="779" t="s">
        <v>2855</v>
      </c>
      <c r="C136" s="780" t="s">
        <v>2790</v>
      </c>
      <c r="D136" s="781"/>
      <c r="E136" s="781"/>
      <c r="F136" s="781"/>
      <c r="G136" s="782"/>
      <c r="H136" s="781"/>
      <c r="I136" s="781"/>
      <c r="J136" s="780"/>
    </row>
    <row r="137" customFormat="false" ht="14.9" hidden="true" customHeight="false" outlineLevel="0" collapsed="false">
      <c r="A137" s="765" t="s">
        <v>2856</v>
      </c>
      <c r="B137" s="779" t="s">
        <v>2857</v>
      </c>
      <c r="C137" s="780" t="s">
        <v>2790</v>
      </c>
      <c r="D137" s="781"/>
      <c r="E137" s="781"/>
      <c r="F137" s="781"/>
      <c r="G137" s="782"/>
      <c r="H137" s="781"/>
      <c r="I137" s="781"/>
      <c r="J137" s="780"/>
    </row>
    <row r="138" customFormat="false" ht="14.9" hidden="true" customHeight="false" outlineLevel="0" collapsed="false">
      <c r="A138" s="765" t="s">
        <v>2858</v>
      </c>
      <c r="B138" s="779" t="s">
        <v>2859</v>
      </c>
      <c r="C138" s="780" t="s">
        <v>2790</v>
      </c>
      <c r="D138" s="781"/>
      <c r="E138" s="781"/>
      <c r="F138" s="781"/>
      <c r="G138" s="782"/>
      <c r="H138" s="781"/>
      <c r="I138" s="781"/>
      <c r="J138" s="780"/>
    </row>
    <row r="139" customFormat="false" ht="14.9" hidden="true" customHeight="false" outlineLevel="0" collapsed="false">
      <c r="A139" s="765" t="s">
        <v>2860</v>
      </c>
      <c r="B139" s="779" t="s">
        <v>2861</v>
      </c>
      <c r="C139" s="780" t="s">
        <v>2790</v>
      </c>
      <c r="D139" s="781"/>
      <c r="E139" s="781"/>
      <c r="F139" s="781"/>
      <c r="G139" s="782"/>
      <c r="H139" s="781"/>
      <c r="I139" s="781"/>
      <c r="J139" s="780"/>
    </row>
    <row r="140" customFormat="false" ht="14.9" hidden="true" customHeight="false" outlineLevel="0" collapsed="false">
      <c r="A140" s="765" t="s">
        <v>2862</v>
      </c>
      <c r="B140" s="779" t="s">
        <v>2863</v>
      </c>
      <c r="C140" s="780" t="s">
        <v>2790</v>
      </c>
      <c r="D140" s="781"/>
      <c r="E140" s="781"/>
      <c r="F140" s="781"/>
      <c r="G140" s="782"/>
      <c r="H140" s="781"/>
      <c r="I140" s="781"/>
      <c r="J140" s="780"/>
    </row>
    <row r="141" customFormat="false" ht="14.9" hidden="true" customHeight="false" outlineLevel="0" collapsed="false">
      <c r="A141" s="765" t="s">
        <v>2864</v>
      </c>
      <c r="B141" s="779" t="s">
        <v>2865</v>
      </c>
      <c r="C141" s="780" t="s">
        <v>2790</v>
      </c>
      <c r="D141" s="781"/>
      <c r="E141" s="781"/>
      <c r="F141" s="781"/>
      <c r="G141" s="782"/>
      <c r="H141" s="781"/>
      <c r="I141" s="781"/>
      <c r="J141" s="780"/>
    </row>
    <row r="142" customFormat="false" ht="14.9" hidden="true" customHeight="false" outlineLevel="0" collapsed="false">
      <c r="A142" s="765" t="s">
        <v>2866</v>
      </c>
      <c r="B142" s="779" t="s">
        <v>2867</v>
      </c>
      <c r="C142" s="780" t="s">
        <v>2790</v>
      </c>
      <c r="D142" s="781"/>
      <c r="E142" s="781"/>
      <c r="F142" s="781"/>
      <c r="G142" s="782"/>
      <c r="H142" s="781"/>
      <c r="I142" s="781"/>
      <c r="J142" s="780"/>
    </row>
    <row r="143" customFormat="false" ht="14.9" hidden="true" customHeight="false" outlineLevel="0" collapsed="false">
      <c r="A143" s="765" t="s">
        <v>2868</v>
      </c>
      <c r="B143" s="779" t="s">
        <v>2869</v>
      </c>
      <c r="C143" s="780" t="s">
        <v>2790</v>
      </c>
      <c r="D143" s="781"/>
      <c r="E143" s="781"/>
      <c r="F143" s="781"/>
      <c r="G143" s="782"/>
      <c r="H143" s="781"/>
      <c r="I143" s="781"/>
      <c r="J143" s="780"/>
    </row>
    <row r="144" customFormat="false" ht="14.9" hidden="true" customHeight="false" outlineLevel="0" collapsed="false">
      <c r="A144" s="765" t="s">
        <v>2870</v>
      </c>
      <c r="B144" s="779" t="s">
        <v>2871</v>
      </c>
      <c r="C144" s="780" t="s">
        <v>2790</v>
      </c>
      <c r="D144" s="781"/>
      <c r="E144" s="781"/>
      <c r="F144" s="781"/>
      <c r="G144" s="782"/>
      <c r="H144" s="781"/>
      <c r="I144" s="781"/>
      <c r="J144" s="780"/>
    </row>
    <row r="145" customFormat="false" ht="14.9" hidden="true" customHeight="false" outlineLevel="0" collapsed="false">
      <c r="A145" s="765" t="s">
        <v>2872</v>
      </c>
      <c r="B145" s="779" t="s">
        <v>2873</v>
      </c>
      <c r="C145" s="780" t="s">
        <v>2790</v>
      </c>
      <c r="D145" s="781"/>
      <c r="E145" s="781"/>
      <c r="F145" s="781"/>
      <c r="G145" s="782"/>
      <c r="H145" s="781"/>
      <c r="I145" s="781"/>
      <c r="J145" s="780"/>
    </row>
    <row r="146" customFormat="false" ht="14.9" hidden="true" customHeight="false" outlineLevel="0" collapsed="false">
      <c r="A146" s="765" t="s">
        <v>2874</v>
      </c>
      <c r="B146" s="779" t="s">
        <v>2875</v>
      </c>
      <c r="C146" s="780" t="s">
        <v>2790</v>
      </c>
      <c r="D146" s="781"/>
      <c r="E146" s="781"/>
      <c r="F146" s="781"/>
      <c r="G146" s="782"/>
      <c r="H146" s="781"/>
      <c r="I146" s="781"/>
      <c r="J146" s="780"/>
    </row>
    <row r="147" customFormat="false" ht="14.9" hidden="true" customHeight="false" outlineLevel="0" collapsed="false">
      <c r="A147" s="765" t="s">
        <v>2876</v>
      </c>
      <c r="B147" s="779" t="s">
        <v>2877</v>
      </c>
      <c r="C147" s="780" t="s">
        <v>2790</v>
      </c>
      <c r="D147" s="781"/>
      <c r="E147" s="781"/>
      <c r="F147" s="781"/>
      <c r="G147" s="782"/>
      <c r="H147" s="781"/>
      <c r="I147" s="781"/>
      <c r="J147" s="780"/>
    </row>
    <row r="148" customFormat="false" ht="14.9" hidden="true" customHeight="false" outlineLevel="0" collapsed="false">
      <c r="A148" s="765" t="s">
        <v>2878</v>
      </c>
      <c r="B148" s="779" t="s">
        <v>2879</v>
      </c>
      <c r="C148" s="780" t="s">
        <v>2790</v>
      </c>
      <c r="D148" s="781"/>
      <c r="E148" s="781"/>
      <c r="F148" s="781"/>
      <c r="G148" s="782"/>
      <c r="H148" s="781"/>
      <c r="I148" s="781"/>
      <c r="J148" s="780"/>
    </row>
    <row r="149" customFormat="false" ht="14.9" hidden="true" customHeight="false" outlineLevel="0" collapsed="false">
      <c r="A149" s="765" t="s">
        <v>2880</v>
      </c>
      <c r="B149" s="779" t="s">
        <v>2881</v>
      </c>
      <c r="C149" s="780" t="s">
        <v>2790</v>
      </c>
      <c r="D149" s="781"/>
      <c r="E149" s="781"/>
      <c r="F149" s="781"/>
      <c r="G149" s="782"/>
      <c r="H149" s="781"/>
      <c r="I149" s="781"/>
      <c r="J149" s="780"/>
    </row>
    <row r="150" customFormat="false" ht="14.9" hidden="true" customHeight="false" outlineLevel="0" collapsed="false">
      <c r="A150" s="765" t="s">
        <v>2882</v>
      </c>
      <c r="B150" s="779" t="s">
        <v>2883</v>
      </c>
      <c r="C150" s="780" t="s">
        <v>2790</v>
      </c>
      <c r="D150" s="781"/>
      <c r="E150" s="781"/>
      <c r="F150" s="781"/>
      <c r="G150" s="782"/>
      <c r="H150" s="781"/>
      <c r="I150" s="781"/>
      <c r="J150" s="780"/>
    </row>
    <row r="151" customFormat="false" ht="14.9" hidden="true" customHeight="false" outlineLevel="0" collapsed="false">
      <c r="A151" s="765" t="s">
        <v>2884</v>
      </c>
      <c r="B151" s="779" t="s">
        <v>2885</v>
      </c>
      <c r="C151" s="780" t="s">
        <v>2790</v>
      </c>
      <c r="D151" s="781"/>
      <c r="E151" s="781"/>
      <c r="F151" s="781"/>
      <c r="G151" s="782"/>
      <c r="H151" s="781"/>
      <c r="I151" s="781"/>
      <c r="J151" s="780"/>
    </row>
    <row r="152" customFormat="false" ht="14.9" hidden="true" customHeight="false" outlineLevel="0" collapsed="false">
      <c r="A152" s="765" t="s">
        <v>2886</v>
      </c>
      <c r="B152" s="779" t="s">
        <v>2887</v>
      </c>
      <c r="C152" s="780" t="s">
        <v>2888</v>
      </c>
      <c r="D152" s="781"/>
      <c r="E152" s="781"/>
      <c r="F152" s="781"/>
      <c r="G152" s="782"/>
      <c r="H152" s="781"/>
      <c r="I152" s="781"/>
      <c r="J152" s="780"/>
    </row>
    <row r="153" customFormat="false" ht="14.9" hidden="true" customHeight="false" outlineLevel="0" collapsed="false">
      <c r="A153" s="765" t="s">
        <v>2889</v>
      </c>
      <c r="B153" s="779" t="s">
        <v>2890</v>
      </c>
      <c r="C153" s="780" t="s">
        <v>2888</v>
      </c>
      <c r="D153" s="781"/>
      <c r="E153" s="781"/>
      <c r="F153" s="781"/>
      <c r="G153" s="782"/>
      <c r="H153" s="781"/>
      <c r="I153" s="781"/>
      <c r="J153" s="780"/>
    </row>
    <row r="154" customFormat="false" ht="13.8" hidden="true" customHeight="false" outlineLevel="0" collapsed="false">
      <c r="A154" s="765" t="s">
        <v>2891</v>
      </c>
      <c r="B154" s="779" t="s">
        <v>2892</v>
      </c>
      <c r="C154" s="780" t="s">
        <v>2888</v>
      </c>
      <c r="D154" s="781"/>
      <c r="E154" s="781"/>
      <c r="F154" s="781"/>
      <c r="G154" s="782"/>
      <c r="H154" s="781"/>
      <c r="I154" s="781"/>
      <c r="J154" s="780"/>
    </row>
    <row r="155" customFormat="false" ht="14.9" hidden="true" customHeight="false" outlineLevel="0" collapsed="false">
      <c r="A155" s="765" t="s">
        <v>2893</v>
      </c>
      <c r="B155" s="779" t="s">
        <v>2894</v>
      </c>
      <c r="C155" s="780" t="s">
        <v>2888</v>
      </c>
      <c r="D155" s="781"/>
      <c r="E155" s="781"/>
      <c r="F155" s="781"/>
      <c r="G155" s="782"/>
      <c r="H155" s="781"/>
      <c r="I155" s="781"/>
      <c r="J155" s="780"/>
    </row>
    <row r="156" customFormat="false" ht="14.9" hidden="true" customHeight="false" outlineLevel="0" collapsed="false">
      <c r="A156" s="765" t="s">
        <v>2895</v>
      </c>
      <c r="B156" s="779" t="s">
        <v>2896</v>
      </c>
      <c r="C156" s="780" t="s">
        <v>2888</v>
      </c>
      <c r="D156" s="781"/>
      <c r="E156" s="781"/>
      <c r="F156" s="781"/>
      <c r="G156" s="782"/>
      <c r="H156" s="781"/>
      <c r="I156" s="781"/>
      <c r="J156" s="780"/>
    </row>
    <row r="157" customFormat="false" ht="14.9" hidden="true" customHeight="false" outlineLevel="0" collapsed="false">
      <c r="A157" s="765" t="s">
        <v>2897</v>
      </c>
      <c r="B157" s="779" t="s">
        <v>2898</v>
      </c>
      <c r="C157" s="780" t="s">
        <v>2888</v>
      </c>
      <c r="D157" s="781"/>
      <c r="E157" s="781"/>
      <c r="F157" s="781"/>
      <c r="G157" s="782"/>
      <c r="H157" s="781"/>
      <c r="I157" s="781"/>
      <c r="J157" s="780"/>
    </row>
    <row r="158" customFormat="false" ht="14.9" hidden="true" customHeight="false" outlineLevel="0" collapsed="false">
      <c r="A158" s="765" t="s">
        <v>2899</v>
      </c>
      <c r="B158" s="779" t="s">
        <v>2900</v>
      </c>
      <c r="C158" s="780" t="s">
        <v>2888</v>
      </c>
      <c r="D158" s="781"/>
      <c r="E158" s="781"/>
      <c r="F158" s="781"/>
      <c r="G158" s="782"/>
      <c r="H158" s="781"/>
      <c r="I158" s="781"/>
      <c r="J158" s="780"/>
    </row>
    <row r="159" customFormat="false" ht="14.9" hidden="true" customHeight="false" outlineLevel="0" collapsed="false">
      <c r="A159" s="765" t="s">
        <v>2901</v>
      </c>
      <c r="B159" s="779" t="s">
        <v>2902</v>
      </c>
      <c r="C159" s="780" t="s">
        <v>2790</v>
      </c>
      <c r="D159" s="781"/>
      <c r="E159" s="781"/>
      <c r="F159" s="781"/>
      <c r="G159" s="782"/>
      <c r="H159" s="781"/>
      <c r="I159" s="781"/>
      <c r="J159" s="780"/>
    </row>
    <row r="160" customFormat="false" ht="14.9" hidden="true" customHeight="false" outlineLevel="0" collapsed="false">
      <c r="A160" s="765" t="s">
        <v>2903</v>
      </c>
      <c r="B160" s="779" t="s">
        <v>2904</v>
      </c>
      <c r="C160" s="780" t="s">
        <v>2790</v>
      </c>
      <c r="D160" s="781"/>
      <c r="E160" s="781"/>
      <c r="F160" s="781"/>
      <c r="G160" s="782"/>
      <c r="H160" s="781"/>
      <c r="I160" s="781"/>
      <c r="J160" s="780"/>
    </row>
    <row r="161" customFormat="false" ht="14.9" hidden="true" customHeight="false" outlineLevel="0" collapsed="false">
      <c r="A161" s="765" t="s">
        <v>2905</v>
      </c>
      <c r="B161" s="779" t="s">
        <v>2906</v>
      </c>
      <c r="C161" s="780" t="s">
        <v>2907</v>
      </c>
      <c r="D161" s="781"/>
      <c r="E161" s="781"/>
      <c r="F161" s="781"/>
      <c r="G161" s="782"/>
      <c r="H161" s="781"/>
      <c r="I161" s="781"/>
      <c r="J161" s="780"/>
    </row>
    <row r="162" customFormat="false" ht="14.9" hidden="true" customHeight="false" outlineLevel="0" collapsed="false">
      <c r="A162" s="765" t="s">
        <v>2908</v>
      </c>
      <c r="B162" s="779"/>
      <c r="C162" s="780" t="s">
        <v>2907</v>
      </c>
      <c r="D162" s="781"/>
      <c r="E162" s="781"/>
      <c r="F162" s="781"/>
      <c r="G162" s="782"/>
      <c r="H162" s="781"/>
      <c r="I162" s="781"/>
      <c r="J162" s="780"/>
    </row>
    <row r="163" customFormat="false" ht="14.9" hidden="true" customHeight="false" outlineLevel="0" collapsed="false">
      <c r="A163" s="765" t="s">
        <v>2909</v>
      </c>
      <c r="B163" s="779" t="s">
        <v>2910</v>
      </c>
      <c r="C163" s="780" t="s">
        <v>2907</v>
      </c>
      <c r="D163" s="781"/>
      <c r="E163" s="781"/>
      <c r="F163" s="781"/>
      <c r="G163" s="782"/>
      <c r="H163" s="781"/>
      <c r="I163" s="781"/>
      <c r="J163" s="780"/>
    </row>
    <row r="164" customFormat="false" ht="14.9" hidden="true" customHeight="false" outlineLevel="0" collapsed="false">
      <c r="A164" s="765" t="s">
        <v>2911</v>
      </c>
      <c r="B164" s="779" t="s">
        <v>2912</v>
      </c>
      <c r="C164" s="780" t="s">
        <v>2913</v>
      </c>
      <c r="D164" s="781"/>
      <c r="E164" s="781"/>
      <c r="F164" s="781"/>
      <c r="G164" s="782"/>
      <c r="H164" s="781"/>
      <c r="I164" s="781"/>
      <c r="J164" s="780"/>
    </row>
    <row r="165" customFormat="false" ht="14.9" hidden="true" customHeight="false" outlineLevel="0" collapsed="false">
      <c r="A165" s="765" t="s">
        <v>2914</v>
      </c>
      <c r="B165" s="779" t="s">
        <v>2915</v>
      </c>
      <c r="C165" s="780" t="s">
        <v>2907</v>
      </c>
      <c r="D165" s="781"/>
      <c r="E165" s="781"/>
      <c r="F165" s="781"/>
      <c r="G165" s="782"/>
      <c r="H165" s="781"/>
      <c r="I165" s="781"/>
      <c r="J165" s="780"/>
    </row>
    <row r="166" customFormat="false" ht="14.9" hidden="true" customHeight="false" outlineLevel="0" collapsed="false">
      <c r="A166" s="765" t="s">
        <v>2916</v>
      </c>
      <c r="B166" s="779" t="s">
        <v>2917</v>
      </c>
      <c r="C166" s="780" t="s">
        <v>2907</v>
      </c>
      <c r="D166" s="781"/>
      <c r="E166" s="781"/>
      <c r="F166" s="781"/>
      <c r="G166" s="782"/>
      <c r="H166" s="781"/>
      <c r="I166" s="781"/>
      <c r="J166" s="780"/>
    </row>
    <row r="167" customFormat="false" ht="14.9" hidden="true" customHeight="false" outlineLevel="0" collapsed="false">
      <c r="A167" s="765" t="s">
        <v>2918</v>
      </c>
      <c r="B167" s="779" t="s">
        <v>2919</v>
      </c>
      <c r="C167" s="780" t="s">
        <v>2907</v>
      </c>
      <c r="D167" s="781"/>
      <c r="E167" s="781"/>
      <c r="F167" s="781"/>
      <c r="G167" s="782"/>
      <c r="H167" s="781"/>
      <c r="I167" s="781"/>
      <c r="J167" s="780"/>
    </row>
    <row r="168" customFormat="false" ht="14.9" hidden="true" customHeight="false" outlineLevel="0" collapsed="false">
      <c r="A168" s="765" t="s">
        <v>2920</v>
      </c>
      <c r="B168" s="779" t="s">
        <v>2921</v>
      </c>
      <c r="C168" s="780" t="s">
        <v>2907</v>
      </c>
      <c r="D168" s="781"/>
      <c r="E168" s="781"/>
      <c r="F168" s="781"/>
      <c r="G168" s="782"/>
      <c r="H168" s="781"/>
      <c r="I168" s="781"/>
      <c r="J168" s="780"/>
    </row>
    <row r="169" customFormat="false" ht="14.9" hidden="true" customHeight="false" outlineLevel="0" collapsed="false">
      <c r="A169" s="765" t="s">
        <v>2922</v>
      </c>
      <c r="B169" s="779" t="s">
        <v>2923</v>
      </c>
      <c r="C169" s="780" t="s">
        <v>2907</v>
      </c>
      <c r="D169" s="781"/>
      <c r="E169" s="781"/>
      <c r="F169" s="781"/>
      <c r="G169" s="782"/>
      <c r="H169" s="781"/>
      <c r="I169" s="781"/>
      <c r="J169" s="780"/>
    </row>
    <row r="170" customFormat="false" ht="13.8" hidden="true" customHeight="false" outlineLevel="0" collapsed="false">
      <c r="A170" s="765" t="s">
        <v>2924</v>
      </c>
      <c r="B170" s="779" t="s">
        <v>2925</v>
      </c>
      <c r="C170" s="780" t="s">
        <v>2926</v>
      </c>
      <c r="D170" s="781"/>
      <c r="E170" s="781"/>
      <c r="F170" s="781"/>
      <c r="G170" s="782"/>
      <c r="H170" s="781"/>
      <c r="I170" s="781"/>
      <c r="J170" s="780"/>
    </row>
    <row r="171" customFormat="false" ht="13.8" hidden="true" customHeight="false" outlineLevel="0" collapsed="false">
      <c r="A171" s="765" t="s">
        <v>2927</v>
      </c>
      <c r="B171" s="779" t="s">
        <v>2928</v>
      </c>
      <c r="C171" s="780" t="s">
        <v>2907</v>
      </c>
      <c r="D171" s="781"/>
      <c r="E171" s="781"/>
      <c r="F171" s="781"/>
      <c r="G171" s="782"/>
      <c r="H171" s="781"/>
      <c r="I171" s="781"/>
      <c r="J171" s="780"/>
    </row>
    <row r="172" customFormat="false" ht="13.8" hidden="true" customHeight="false" outlineLevel="0" collapsed="false">
      <c r="A172" s="765" t="s">
        <v>2929</v>
      </c>
      <c r="B172" s="779" t="s">
        <v>2930</v>
      </c>
      <c r="C172" s="780" t="s">
        <v>2913</v>
      </c>
      <c r="D172" s="781"/>
      <c r="E172" s="781"/>
      <c r="F172" s="781"/>
      <c r="G172" s="782"/>
      <c r="H172" s="781"/>
      <c r="I172" s="781"/>
      <c r="J172" s="780"/>
    </row>
    <row r="173" customFormat="false" ht="13.8" hidden="true" customHeight="false" outlineLevel="0" collapsed="false">
      <c r="A173" s="765" t="s">
        <v>2931</v>
      </c>
      <c r="B173" s="779" t="s">
        <v>2932</v>
      </c>
      <c r="C173" s="780" t="s">
        <v>2907</v>
      </c>
      <c r="D173" s="781"/>
      <c r="E173" s="781"/>
      <c r="F173" s="781"/>
      <c r="G173" s="782"/>
      <c r="H173" s="781"/>
      <c r="I173" s="781"/>
      <c r="J173" s="780"/>
    </row>
    <row r="174" customFormat="false" ht="13.8" hidden="true" customHeight="false" outlineLevel="0" collapsed="false">
      <c r="A174" s="765" t="s">
        <v>2933</v>
      </c>
      <c r="B174" s="779" t="s">
        <v>2934</v>
      </c>
      <c r="C174" s="780" t="s">
        <v>2907</v>
      </c>
      <c r="D174" s="781"/>
      <c r="E174" s="781"/>
      <c r="F174" s="781"/>
      <c r="G174" s="782"/>
      <c r="H174" s="781"/>
      <c r="I174" s="781"/>
      <c r="J174" s="780"/>
    </row>
    <row r="175" customFormat="false" ht="13.8" hidden="true" customHeight="false" outlineLevel="0" collapsed="false">
      <c r="A175" s="765" t="s">
        <v>2935</v>
      </c>
      <c r="B175" s="779" t="s">
        <v>2936</v>
      </c>
      <c r="C175" s="780" t="s">
        <v>2907</v>
      </c>
      <c r="D175" s="781"/>
      <c r="E175" s="781"/>
      <c r="F175" s="781"/>
      <c r="G175" s="782"/>
      <c r="H175" s="781"/>
      <c r="I175" s="781"/>
      <c r="J175" s="780"/>
    </row>
    <row r="176" customFormat="false" ht="13.8" hidden="true" customHeight="false" outlineLevel="0" collapsed="false">
      <c r="A176" s="765" t="s">
        <v>2937</v>
      </c>
      <c r="B176" s="779" t="s">
        <v>2938</v>
      </c>
      <c r="C176" s="780" t="s">
        <v>2907</v>
      </c>
      <c r="D176" s="781"/>
      <c r="E176" s="781"/>
      <c r="F176" s="781"/>
      <c r="G176" s="782"/>
      <c r="H176" s="781"/>
      <c r="I176" s="781"/>
      <c r="J176" s="780"/>
    </row>
    <row r="177" customFormat="false" ht="13.8" hidden="true" customHeight="false" outlineLevel="0" collapsed="false">
      <c r="A177" s="765" t="s">
        <v>2939</v>
      </c>
      <c r="B177" s="779" t="s">
        <v>2940</v>
      </c>
      <c r="C177" s="780" t="s">
        <v>2907</v>
      </c>
      <c r="D177" s="781"/>
      <c r="E177" s="781"/>
      <c r="F177" s="781"/>
      <c r="G177" s="782"/>
      <c r="H177" s="781"/>
      <c r="I177" s="781"/>
      <c r="J177" s="780"/>
    </row>
    <row r="178" customFormat="false" ht="13.8" hidden="true" customHeight="false" outlineLevel="0" collapsed="false">
      <c r="A178" s="765" t="s">
        <v>2941</v>
      </c>
      <c r="B178" s="779" t="s">
        <v>2942</v>
      </c>
      <c r="C178" s="780" t="s">
        <v>2907</v>
      </c>
      <c r="D178" s="781"/>
      <c r="E178" s="781"/>
      <c r="F178" s="781"/>
      <c r="G178" s="782"/>
      <c r="H178" s="781"/>
      <c r="I178" s="781"/>
      <c r="J178" s="780"/>
    </row>
    <row r="179" customFormat="false" ht="13.8" hidden="true" customHeight="false" outlineLevel="0" collapsed="false">
      <c r="A179" s="765" t="s">
        <v>2943</v>
      </c>
      <c r="B179" s="779" t="s">
        <v>2944</v>
      </c>
      <c r="C179" s="780" t="s">
        <v>2945</v>
      </c>
      <c r="D179" s="781"/>
      <c r="E179" s="781"/>
      <c r="F179" s="781"/>
      <c r="G179" s="782"/>
      <c r="H179" s="781"/>
      <c r="I179" s="781"/>
      <c r="J179" s="780"/>
    </row>
    <row r="180" customFormat="false" ht="13.8" hidden="true" customHeight="false" outlineLevel="0" collapsed="false">
      <c r="A180" s="765" t="s">
        <v>2946</v>
      </c>
      <c r="B180" s="779" t="s">
        <v>2947</v>
      </c>
      <c r="C180" s="780" t="s">
        <v>2926</v>
      </c>
      <c r="D180" s="781"/>
      <c r="E180" s="781"/>
      <c r="F180" s="781"/>
      <c r="G180" s="782"/>
      <c r="H180" s="781"/>
      <c r="I180" s="781"/>
      <c r="J180" s="780"/>
    </row>
    <row r="181" customFormat="false" ht="13.8" hidden="true" customHeight="false" outlineLevel="0" collapsed="false">
      <c r="A181" s="765" t="s">
        <v>2948</v>
      </c>
      <c r="B181" s="779" t="s">
        <v>2949</v>
      </c>
      <c r="C181" s="780" t="s">
        <v>2913</v>
      </c>
      <c r="D181" s="781"/>
      <c r="E181" s="781"/>
      <c r="F181" s="781"/>
      <c r="G181" s="782"/>
      <c r="H181" s="781"/>
      <c r="I181" s="781"/>
      <c r="J181" s="780"/>
    </row>
    <row r="182" customFormat="false" ht="13.8" hidden="true" customHeight="false" outlineLevel="0" collapsed="false">
      <c r="A182" s="765" t="s">
        <v>2950</v>
      </c>
      <c r="B182" s="779" t="s">
        <v>2951</v>
      </c>
      <c r="C182" s="780" t="s">
        <v>2888</v>
      </c>
      <c r="D182" s="781"/>
      <c r="E182" s="781"/>
      <c r="F182" s="781"/>
      <c r="G182" s="782"/>
      <c r="H182" s="781"/>
      <c r="I182" s="781"/>
      <c r="J182" s="780"/>
    </row>
    <row r="183" customFormat="false" ht="13.8" hidden="true" customHeight="false" outlineLevel="0" collapsed="false">
      <c r="A183" s="765" t="s">
        <v>2952</v>
      </c>
      <c r="B183" s="779" t="s">
        <v>2953</v>
      </c>
      <c r="C183" s="780" t="s">
        <v>2888</v>
      </c>
      <c r="D183" s="781"/>
      <c r="E183" s="781"/>
      <c r="F183" s="781"/>
      <c r="G183" s="782"/>
      <c r="H183" s="781"/>
      <c r="I183" s="781"/>
      <c r="J183" s="780"/>
    </row>
    <row r="184" customFormat="false" ht="13.8" hidden="true" customHeight="false" outlineLevel="0" collapsed="false">
      <c r="A184" s="765" t="s">
        <v>2954</v>
      </c>
      <c r="B184" s="779" t="s">
        <v>2955</v>
      </c>
      <c r="C184" s="780" t="s">
        <v>2926</v>
      </c>
      <c r="D184" s="781"/>
      <c r="E184" s="781"/>
      <c r="F184" s="781"/>
      <c r="G184" s="782"/>
      <c r="H184" s="781"/>
      <c r="I184" s="781"/>
      <c r="J184" s="780"/>
    </row>
    <row r="185" customFormat="false" ht="13.8" hidden="true" customHeight="false" outlineLevel="0" collapsed="false">
      <c r="A185" s="765" t="s">
        <v>2956</v>
      </c>
      <c r="B185" s="779" t="s">
        <v>2957</v>
      </c>
      <c r="C185" s="780" t="s">
        <v>2926</v>
      </c>
      <c r="D185" s="781"/>
      <c r="E185" s="781"/>
      <c r="F185" s="781"/>
      <c r="G185" s="782"/>
      <c r="H185" s="781"/>
      <c r="I185" s="781"/>
      <c r="J185" s="780"/>
    </row>
    <row r="186" customFormat="false" ht="13.8" hidden="true" customHeight="false" outlineLevel="0" collapsed="false">
      <c r="A186" s="765" t="s">
        <v>2958</v>
      </c>
      <c r="B186" s="779" t="s">
        <v>2959</v>
      </c>
      <c r="C186" s="780" t="s">
        <v>2926</v>
      </c>
      <c r="D186" s="781"/>
      <c r="E186" s="781"/>
      <c r="F186" s="781"/>
      <c r="G186" s="782"/>
      <c r="H186" s="781"/>
      <c r="I186" s="781"/>
      <c r="J186" s="780"/>
    </row>
    <row r="187" customFormat="false" ht="13.8" hidden="true" customHeight="false" outlineLevel="0" collapsed="false">
      <c r="A187" s="765" t="s">
        <v>2960</v>
      </c>
      <c r="B187" s="779" t="s">
        <v>2961</v>
      </c>
      <c r="C187" s="780" t="s">
        <v>2926</v>
      </c>
      <c r="D187" s="781"/>
      <c r="E187" s="781"/>
      <c r="F187" s="781"/>
      <c r="G187" s="782"/>
      <c r="H187" s="781"/>
      <c r="I187" s="781"/>
      <c r="J187" s="780"/>
    </row>
    <row r="188" customFormat="false" ht="13.8" hidden="true" customHeight="false" outlineLevel="0" collapsed="false">
      <c r="A188" s="765" t="s">
        <v>2962</v>
      </c>
      <c r="B188" s="779" t="s">
        <v>2963</v>
      </c>
      <c r="C188" s="780" t="s">
        <v>2809</v>
      </c>
      <c r="D188" s="781"/>
      <c r="E188" s="781"/>
      <c r="F188" s="781"/>
      <c r="G188" s="782"/>
      <c r="H188" s="781"/>
      <c r="I188" s="781"/>
      <c r="J188" s="780"/>
    </row>
    <row r="189" customFormat="false" ht="13.8" hidden="true" customHeight="false" outlineLevel="0" collapsed="false">
      <c r="A189" s="765" t="s">
        <v>2964</v>
      </c>
      <c r="B189" s="779" t="s">
        <v>2965</v>
      </c>
      <c r="C189" s="780" t="s">
        <v>2809</v>
      </c>
      <c r="D189" s="781"/>
      <c r="E189" s="781"/>
      <c r="F189" s="781"/>
      <c r="G189" s="782"/>
      <c r="H189" s="781"/>
      <c r="I189" s="781"/>
      <c r="J189" s="780"/>
    </row>
    <row r="190" customFormat="false" ht="13.8" hidden="true" customHeight="false" outlineLevel="0" collapsed="false">
      <c r="A190" s="765" t="s">
        <v>2966</v>
      </c>
      <c r="B190" s="779" t="s">
        <v>2967</v>
      </c>
      <c r="C190" s="780" t="s">
        <v>2809</v>
      </c>
      <c r="D190" s="781"/>
      <c r="E190" s="781"/>
      <c r="F190" s="781"/>
      <c r="G190" s="782"/>
      <c r="H190" s="781"/>
      <c r="I190" s="781"/>
      <c r="J190" s="780"/>
    </row>
    <row r="191" customFormat="false" ht="13.8" hidden="true" customHeight="false" outlineLevel="0" collapsed="false">
      <c r="A191" s="765" t="s">
        <v>2968</v>
      </c>
      <c r="B191" s="779" t="s">
        <v>2969</v>
      </c>
      <c r="C191" s="780" t="s">
        <v>2809</v>
      </c>
      <c r="D191" s="781"/>
      <c r="E191" s="781"/>
      <c r="F191" s="781"/>
      <c r="G191" s="782"/>
      <c r="H191" s="781"/>
      <c r="I191" s="781"/>
      <c r="J191" s="780"/>
    </row>
    <row r="192" customFormat="false" ht="13.8" hidden="true" customHeight="false" outlineLevel="0" collapsed="false">
      <c r="A192" s="765" t="s">
        <v>2970</v>
      </c>
      <c r="B192" s="779" t="s">
        <v>2971</v>
      </c>
      <c r="C192" s="780" t="s">
        <v>2809</v>
      </c>
      <c r="D192" s="781"/>
      <c r="E192" s="781"/>
      <c r="F192" s="781"/>
      <c r="G192" s="782"/>
      <c r="H192" s="781"/>
      <c r="I192" s="781"/>
      <c r="J192" s="780"/>
    </row>
    <row r="193" customFormat="false" ht="13.8" hidden="true" customHeight="false" outlineLevel="0" collapsed="false">
      <c r="A193" s="765" t="s">
        <v>2972</v>
      </c>
      <c r="B193" s="779" t="s">
        <v>2973</v>
      </c>
      <c r="C193" s="780" t="s">
        <v>2809</v>
      </c>
      <c r="D193" s="781"/>
      <c r="E193" s="781"/>
      <c r="F193" s="781"/>
      <c r="G193" s="782"/>
      <c r="H193" s="781"/>
      <c r="I193" s="781"/>
      <c r="J193" s="780"/>
    </row>
    <row r="194" customFormat="false" ht="13.8" hidden="true" customHeight="false" outlineLevel="0" collapsed="false">
      <c r="A194" s="765" t="s">
        <v>2974</v>
      </c>
      <c r="B194" s="779" t="s">
        <v>2975</v>
      </c>
      <c r="C194" s="780" t="s">
        <v>2809</v>
      </c>
      <c r="D194" s="781"/>
      <c r="E194" s="781"/>
      <c r="F194" s="781"/>
      <c r="G194" s="782"/>
      <c r="H194" s="781"/>
      <c r="I194" s="781"/>
      <c r="J194" s="780"/>
    </row>
    <row r="195" customFormat="false" ht="13.8" hidden="true" customHeight="false" outlineLevel="0" collapsed="false">
      <c r="A195" s="765" t="s">
        <v>2976</v>
      </c>
      <c r="B195" s="779" t="s">
        <v>2977</v>
      </c>
      <c r="C195" s="780" t="s">
        <v>2809</v>
      </c>
      <c r="D195" s="781"/>
      <c r="E195" s="781"/>
      <c r="F195" s="781"/>
      <c r="G195" s="782"/>
      <c r="H195" s="781"/>
      <c r="I195" s="781"/>
      <c r="J195" s="780"/>
    </row>
    <row r="196" customFormat="false" ht="13.8" hidden="true" customHeight="false" outlineLevel="0" collapsed="false">
      <c r="A196" s="765" t="s">
        <v>2978</v>
      </c>
      <c r="B196" s="779" t="s">
        <v>2979</v>
      </c>
      <c r="C196" s="780" t="s">
        <v>2913</v>
      </c>
      <c r="D196" s="781"/>
      <c r="E196" s="781"/>
      <c r="F196" s="781"/>
      <c r="G196" s="782"/>
      <c r="H196" s="781"/>
      <c r="I196" s="781"/>
      <c r="J196" s="780"/>
    </row>
    <row r="197" customFormat="false" ht="13.8" hidden="true" customHeight="false" outlineLevel="0" collapsed="false">
      <c r="A197" s="765" t="s">
        <v>2980</v>
      </c>
      <c r="B197" s="779"/>
      <c r="C197" s="780" t="s">
        <v>2926</v>
      </c>
      <c r="D197" s="781"/>
      <c r="E197" s="781"/>
      <c r="F197" s="781"/>
      <c r="G197" s="782"/>
      <c r="H197" s="781"/>
      <c r="I197" s="781"/>
      <c r="J197" s="780"/>
    </row>
    <row r="198" customFormat="false" ht="13.8" hidden="true" customHeight="false" outlineLevel="0" collapsed="false">
      <c r="A198" s="765" t="s">
        <v>2981</v>
      </c>
      <c r="B198" s="779" t="s">
        <v>2982</v>
      </c>
      <c r="C198" s="780" t="s">
        <v>2913</v>
      </c>
      <c r="D198" s="781"/>
      <c r="E198" s="781"/>
      <c r="F198" s="781"/>
      <c r="G198" s="782"/>
      <c r="H198" s="781"/>
      <c r="I198" s="781"/>
      <c r="J198" s="780"/>
    </row>
    <row r="199" customFormat="false" ht="13.8" hidden="true" customHeight="false" outlineLevel="0" collapsed="false">
      <c r="A199" s="765" t="s">
        <v>2983</v>
      </c>
      <c r="B199" s="779" t="s">
        <v>2984</v>
      </c>
      <c r="C199" s="780" t="s">
        <v>2985</v>
      </c>
      <c r="D199" s="781"/>
      <c r="E199" s="781"/>
      <c r="F199" s="781"/>
      <c r="G199" s="782"/>
      <c r="H199" s="781"/>
      <c r="I199" s="781"/>
      <c r="J199" s="780"/>
    </row>
    <row r="200" customFormat="false" ht="13.8" hidden="true" customHeight="false" outlineLevel="0" collapsed="false">
      <c r="A200" s="765" t="s">
        <v>2986</v>
      </c>
      <c r="B200" s="779" t="s">
        <v>2987</v>
      </c>
      <c r="C200" s="780" t="s">
        <v>2985</v>
      </c>
      <c r="D200" s="781"/>
      <c r="E200" s="781"/>
      <c r="F200" s="781"/>
      <c r="G200" s="782"/>
      <c r="H200" s="781"/>
      <c r="I200" s="781"/>
      <c r="J200" s="780"/>
    </row>
    <row r="201" customFormat="false" ht="13.8" hidden="true" customHeight="false" outlineLevel="0" collapsed="false">
      <c r="A201" s="765" t="s">
        <v>2988</v>
      </c>
      <c r="B201" s="779" t="s">
        <v>2989</v>
      </c>
      <c r="C201" s="780" t="s">
        <v>2985</v>
      </c>
      <c r="D201" s="781"/>
      <c r="E201" s="781"/>
      <c r="F201" s="781"/>
      <c r="G201" s="782"/>
      <c r="H201" s="781"/>
      <c r="I201" s="781"/>
      <c r="J201" s="780"/>
    </row>
    <row r="202" customFormat="false" ht="13.8" hidden="true" customHeight="false" outlineLevel="0" collapsed="false">
      <c r="A202" s="765" t="s">
        <v>2990</v>
      </c>
      <c r="B202" s="779" t="s">
        <v>2991</v>
      </c>
      <c r="C202" s="780" t="s">
        <v>2888</v>
      </c>
      <c r="D202" s="781"/>
      <c r="E202" s="781"/>
      <c r="F202" s="781"/>
      <c r="G202" s="782"/>
      <c r="H202" s="781"/>
      <c r="I202" s="781"/>
      <c r="J202" s="780"/>
    </row>
    <row r="203" customFormat="false" ht="13.8" hidden="true" customHeight="false" outlineLevel="0" collapsed="false">
      <c r="A203" s="765" t="s">
        <v>2992</v>
      </c>
      <c r="B203" s="779" t="s">
        <v>2993</v>
      </c>
      <c r="C203" s="780" t="s">
        <v>2888</v>
      </c>
      <c r="D203" s="781"/>
      <c r="E203" s="781"/>
      <c r="F203" s="781"/>
      <c r="G203" s="782"/>
      <c r="H203" s="781"/>
      <c r="I203" s="781"/>
      <c r="J203" s="780"/>
    </row>
    <row r="204" customFormat="false" ht="13.8" hidden="true" customHeight="false" outlineLevel="0" collapsed="false">
      <c r="A204" s="765" t="s">
        <v>2994</v>
      </c>
      <c r="B204" s="779" t="s">
        <v>2995</v>
      </c>
      <c r="C204" s="780" t="s">
        <v>2996</v>
      </c>
      <c r="D204" s="781"/>
      <c r="E204" s="781"/>
      <c r="F204" s="781"/>
      <c r="G204" s="782"/>
      <c r="H204" s="781"/>
      <c r="I204" s="781"/>
      <c r="J204" s="780"/>
    </row>
    <row r="205" customFormat="false" ht="13.8" hidden="true" customHeight="false" outlineLevel="0" collapsed="false">
      <c r="A205" s="765" t="s">
        <v>2997</v>
      </c>
      <c r="B205" s="779" t="s">
        <v>2998</v>
      </c>
      <c r="C205" s="780" t="s">
        <v>2996</v>
      </c>
      <c r="D205" s="781"/>
      <c r="E205" s="781"/>
      <c r="F205" s="781"/>
      <c r="G205" s="782"/>
      <c r="H205" s="781"/>
      <c r="I205" s="781"/>
      <c r="J205" s="780"/>
    </row>
    <row r="206" customFormat="false" ht="13.8" hidden="true" customHeight="false" outlineLevel="0" collapsed="false">
      <c r="A206" s="765" t="s">
        <v>2999</v>
      </c>
      <c r="B206" s="779" t="s">
        <v>3000</v>
      </c>
      <c r="C206" s="780" t="s">
        <v>2996</v>
      </c>
      <c r="D206" s="781"/>
      <c r="E206" s="781"/>
      <c r="F206" s="781"/>
      <c r="G206" s="782"/>
      <c r="H206" s="781"/>
      <c r="I206" s="781"/>
      <c r="J206" s="780"/>
    </row>
    <row r="207" customFormat="false" ht="13.8" hidden="true" customHeight="false" outlineLevel="0" collapsed="false">
      <c r="A207" s="765" t="s">
        <v>3001</v>
      </c>
      <c r="B207" s="779" t="s">
        <v>3002</v>
      </c>
      <c r="C207" s="780" t="s">
        <v>2996</v>
      </c>
      <c r="D207" s="781"/>
      <c r="E207" s="781"/>
      <c r="F207" s="781"/>
      <c r="G207" s="782"/>
      <c r="H207" s="781"/>
      <c r="I207" s="781"/>
      <c r="J207" s="780"/>
    </row>
    <row r="208" customFormat="false" ht="13.8" hidden="true" customHeight="false" outlineLevel="0" collapsed="false">
      <c r="A208" s="765" t="s">
        <v>3003</v>
      </c>
      <c r="B208" s="779" t="s">
        <v>3004</v>
      </c>
      <c r="C208" s="780" t="s">
        <v>2996</v>
      </c>
      <c r="D208" s="781"/>
      <c r="E208" s="781"/>
      <c r="F208" s="781"/>
      <c r="G208" s="782"/>
      <c r="H208" s="781"/>
      <c r="I208" s="781"/>
      <c r="J208" s="780"/>
    </row>
    <row r="209" customFormat="false" ht="13.8" hidden="true" customHeight="false" outlineLevel="0" collapsed="false">
      <c r="A209" s="765" t="s">
        <v>3005</v>
      </c>
      <c r="B209" s="779" t="s">
        <v>3006</v>
      </c>
      <c r="C209" s="780" t="s">
        <v>2996</v>
      </c>
      <c r="D209" s="781"/>
      <c r="E209" s="781"/>
      <c r="F209" s="781"/>
      <c r="G209" s="782"/>
      <c r="H209" s="781"/>
      <c r="I209" s="781"/>
      <c r="J209" s="780"/>
    </row>
    <row r="210" customFormat="false" ht="13.8" hidden="true" customHeight="false" outlineLevel="0" collapsed="false">
      <c r="A210" s="765" t="s">
        <v>3007</v>
      </c>
      <c r="B210" s="779" t="s">
        <v>3008</v>
      </c>
      <c r="C210" s="780" t="s">
        <v>2996</v>
      </c>
      <c r="D210" s="781"/>
      <c r="E210" s="781"/>
      <c r="F210" s="781"/>
      <c r="G210" s="782"/>
      <c r="H210" s="781"/>
      <c r="I210" s="781"/>
      <c r="J210" s="780"/>
    </row>
    <row r="211" customFormat="false" ht="13.8" hidden="true" customHeight="false" outlineLevel="0" collapsed="false">
      <c r="A211" s="765" t="s">
        <v>3009</v>
      </c>
      <c r="B211" s="779" t="s">
        <v>3009</v>
      </c>
      <c r="C211" s="780" t="s">
        <v>2996</v>
      </c>
      <c r="D211" s="781"/>
      <c r="E211" s="781"/>
      <c r="F211" s="781"/>
      <c r="G211" s="782"/>
      <c r="H211" s="781"/>
      <c r="I211" s="781"/>
      <c r="J211" s="780"/>
    </row>
    <row r="212" customFormat="false" ht="13.8" hidden="true" customHeight="false" outlineLevel="0" collapsed="false">
      <c r="A212" s="765" t="s">
        <v>3010</v>
      </c>
      <c r="B212" s="779" t="s">
        <v>3011</v>
      </c>
      <c r="C212" s="780" t="s">
        <v>2996</v>
      </c>
      <c r="D212" s="781"/>
      <c r="E212" s="781"/>
      <c r="F212" s="781"/>
      <c r="G212" s="782"/>
      <c r="H212" s="781"/>
      <c r="I212" s="781"/>
      <c r="J212" s="780"/>
    </row>
    <row r="213" customFormat="false" ht="13.8" hidden="true" customHeight="false" outlineLevel="0" collapsed="false">
      <c r="A213" s="765" t="s">
        <v>3012</v>
      </c>
      <c r="B213" s="779" t="s">
        <v>3013</v>
      </c>
      <c r="C213" s="780" t="s">
        <v>2888</v>
      </c>
      <c r="D213" s="781"/>
      <c r="E213" s="781"/>
      <c r="F213" s="781"/>
      <c r="G213" s="782"/>
      <c r="H213" s="781"/>
      <c r="I213" s="781"/>
      <c r="J213" s="780"/>
    </row>
    <row r="214" customFormat="false" ht="13.8" hidden="true" customHeight="false" outlineLevel="0" collapsed="false">
      <c r="A214" s="765" t="s">
        <v>3014</v>
      </c>
      <c r="B214" s="779" t="s">
        <v>3015</v>
      </c>
      <c r="C214" s="780" t="s">
        <v>2888</v>
      </c>
      <c r="D214" s="781"/>
      <c r="E214" s="781"/>
      <c r="F214" s="781"/>
      <c r="G214" s="782"/>
      <c r="H214" s="781"/>
      <c r="I214" s="781"/>
      <c r="J214" s="780"/>
    </row>
    <row r="215" customFormat="false" ht="13.8" hidden="true" customHeight="false" outlineLevel="0" collapsed="false">
      <c r="A215" s="765" t="s">
        <v>3016</v>
      </c>
      <c r="B215" s="779" t="s">
        <v>3017</v>
      </c>
      <c r="C215" s="780" t="s">
        <v>2888</v>
      </c>
      <c r="D215" s="781"/>
      <c r="E215" s="781"/>
      <c r="F215" s="781"/>
      <c r="G215" s="782"/>
      <c r="H215" s="781"/>
      <c r="I215" s="781"/>
      <c r="J215" s="780"/>
    </row>
    <row r="216" customFormat="false" ht="13.8" hidden="true" customHeight="false" outlineLevel="0" collapsed="false">
      <c r="A216" s="765" t="s">
        <v>3018</v>
      </c>
      <c r="B216" s="779" t="s">
        <v>3019</v>
      </c>
      <c r="C216" s="780" t="s">
        <v>3020</v>
      </c>
      <c r="D216" s="781"/>
      <c r="E216" s="781"/>
      <c r="F216" s="781"/>
      <c r="G216" s="782"/>
      <c r="H216" s="781"/>
      <c r="I216" s="781"/>
      <c r="J216" s="780"/>
    </row>
    <row r="217" customFormat="false" ht="13.8" hidden="true" customHeight="false" outlineLevel="0" collapsed="false">
      <c r="A217" s="765" t="s">
        <v>3021</v>
      </c>
      <c r="B217" s="779" t="s">
        <v>3022</v>
      </c>
      <c r="C217" s="780" t="s">
        <v>3020</v>
      </c>
      <c r="D217" s="781"/>
      <c r="E217" s="781"/>
      <c r="F217" s="781"/>
      <c r="G217" s="782"/>
      <c r="H217" s="781"/>
      <c r="I217" s="781"/>
      <c r="J217" s="780"/>
    </row>
    <row r="218" customFormat="false" ht="13.8" hidden="true" customHeight="false" outlineLevel="0" collapsed="false">
      <c r="A218" s="765" t="s">
        <v>3023</v>
      </c>
      <c r="B218" s="779" t="s">
        <v>3024</v>
      </c>
      <c r="C218" s="780" t="s">
        <v>3020</v>
      </c>
      <c r="D218" s="781"/>
      <c r="E218" s="781"/>
      <c r="F218" s="781"/>
      <c r="G218" s="782"/>
      <c r="H218" s="781"/>
      <c r="I218" s="781"/>
      <c r="J218" s="780"/>
    </row>
    <row r="219" customFormat="false" ht="13.8" hidden="true" customHeight="false" outlineLevel="0" collapsed="false">
      <c r="A219" s="765" t="s">
        <v>3025</v>
      </c>
      <c r="B219" s="779" t="s">
        <v>3026</v>
      </c>
      <c r="C219" s="780" t="s">
        <v>3020</v>
      </c>
      <c r="D219" s="781"/>
      <c r="E219" s="781"/>
      <c r="F219" s="781"/>
      <c r="G219" s="782"/>
      <c r="H219" s="781"/>
      <c r="I219" s="781"/>
      <c r="J219" s="780"/>
    </row>
    <row r="220" customFormat="false" ht="13.8" hidden="true" customHeight="false" outlineLevel="0" collapsed="false">
      <c r="A220" s="765" t="s">
        <v>3027</v>
      </c>
      <c r="B220" s="779" t="s">
        <v>3028</v>
      </c>
      <c r="C220" s="780" t="s">
        <v>3020</v>
      </c>
      <c r="D220" s="781"/>
      <c r="E220" s="781"/>
      <c r="F220" s="781"/>
      <c r="G220" s="782"/>
      <c r="H220" s="781"/>
      <c r="I220" s="781"/>
      <c r="J220" s="780"/>
    </row>
    <row r="221" customFormat="false" ht="13.8" hidden="true" customHeight="false" outlineLevel="0" collapsed="false">
      <c r="A221" s="765" t="s">
        <v>3029</v>
      </c>
      <c r="B221" s="779" t="s">
        <v>3030</v>
      </c>
      <c r="C221" s="780" t="s">
        <v>3020</v>
      </c>
      <c r="D221" s="781"/>
      <c r="E221" s="781"/>
      <c r="F221" s="781"/>
      <c r="G221" s="782"/>
      <c r="H221" s="781"/>
      <c r="I221" s="781"/>
      <c r="J221" s="780"/>
    </row>
    <row r="222" customFormat="false" ht="13.8" hidden="true" customHeight="false" outlineLevel="0" collapsed="false">
      <c r="A222" s="765" t="s">
        <v>3031</v>
      </c>
      <c r="B222" s="779" t="s">
        <v>3032</v>
      </c>
      <c r="C222" s="780" t="s">
        <v>3020</v>
      </c>
      <c r="D222" s="781"/>
      <c r="E222" s="781"/>
      <c r="F222" s="781"/>
      <c r="G222" s="782"/>
      <c r="H222" s="781"/>
      <c r="I222" s="781"/>
      <c r="J222" s="780"/>
    </row>
    <row r="223" customFormat="false" ht="13.8" hidden="true" customHeight="false" outlineLevel="0" collapsed="false">
      <c r="A223" s="765" t="s">
        <v>3033</v>
      </c>
      <c r="B223" s="779" t="s">
        <v>3034</v>
      </c>
      <c r="C223" s="780" t="s">
        <v>3020</v>
      </c>
      <c r="D223" s="781"/>
      <c r="E223" s="781"/>
      <c r="F223" s="781"/>
      <c r="G223" s="782"/>
      <c r="H223" s="781"/>
      <c r="I223" s="781"/>
      <c r="J223" s="780"/>
    </row>
    <row r="224" customFormat="false" ht="13.8" hidden="true" customHeight="false" outlineLevel="0" collapsed="false">
      <c r="A224" s="765" t="s">
        <v>3035</v>
      </c>
      <c r="B224" s="779" t="s">
        <v>3036</v>
      </c>
      <c r="C224" s="780" t="s">
        <v>3020</v>
      </c>
      <c r="D224" s="781"/>
      <c r="E224" s="781"/>
      <c r="F224" s="781"/>
      <c r="G224" s="782"/>
      <c r="H224" s="781"/>
      <c r="I224" s="781"/>
      <c r="J224" s="780"/>
    </row>
    <row r="225" customFormat="false" ht="13.8" hidden="true" customHeight="false" outlineLevel="0" collapsed="false">
      <c r="A225" s="765" t="s">
        <v>3037</v>
      </c>
      <c r="B225" s="779" t="s">
        <v>3038</v>
      </c>
      <c r="C225" s="780" t="s">
        <v>3020</v>
      </c>
      <c r="D225" s="781"/>
      <c r="E225" s="781"/>
      <c r="F225" s="781"/>
      <c r="G225" s="782"/>
      <c r="H225" s="781"/>
      <c r="I225" s="781"/>
      <c r="J225" s="780"/>
    </row>
    <row r="226" customFormat="false" ht="13.8" hidden="true" customHeight="false" outlineLevel="0" collapsed="false">
      <c r="A226" s="765" t="s">
        <v>3039</v>
      </c>
      <c r="B226" s="779" t="s">
        <v>3040</v>
      </c>
      <c r="C226" s="780" t="s">
        <v>3020</v>
      </c>
      <c r="D226" s="781"/>
      <c r="E226" s="781"/>
      <c r="F226" s="781"/>
      <c r="G226" s="782"/>
      <c r="H226" s="781"/>
      <c r="I226" s="781"/>
      <c r="J226" s="780"/>
    </row>
    <row r="227" customFormat="false" ht="13.8" hidden="true" customHeight="false" outlineLevel="0" collapsed="false">
      <c r="A227" s="765" t="s">
        <v>3041</v>
      </c>
      <c r="B227" s="779" t="s">
        <v>3042</v>
      </c>
      <c r="C227" s="780" t="s">
        <v>3020</v>
      </c>
      <c r="D227" s="781"/>
      <c r="E227" s="781"/>
      <c r="F227" s="781"/>
      <c r="G227" s="782"/>
      <c r="H227" s="781"/>
      <c r="I227" s="781"/>
      <c r="J227" s="780"/>
    </row>
    <row r="228" customFormat="false" ht="13.8" hidden="true" customHeight="false" outlineLevel="0" collapsed="false">
      <c r="A228" s="765" t="s">
        <v>3043</v>
      </c>
      <c r="B228" s="779" t="s">
        <v>3044</v>
      </c>
      <c r="C228" s="780" t="s">
        <v>3020</v>
      </c>
      <c r="D228" s="781"/>
      <c r="E228" s="781"/>
      <c r="F228" s="781"/>
      <c r="G228" s="782"/>
      <c r="H228" s="781"/>
      <c r="I228" s="781"/>
      <c r="J228" s="780"/>
    </row>
    <row r="229" customFormat="false" ht="13.8" hidden="true" customHeight="false" outlineLevel="0" collapsed="false">
      <c r="A229" s="765" t="s">
        <v>3045</v>
      </c>
      <c r="B229" s="779" t="s">
        <v>3046</v>
      </c>
      <c r="C229" s="780" t="s">
        <v>3020</v>
      </c>
      <c r="D229" s="781"/>
      <c r="E229" s="781"/>
      <c r="F229" s="781"/>
      <c r="G229" s="782"/>
      <c r="H229" s="781"/>
      <c r="I229" s="781"/>
      <c r="J229" s="780"/>
    </row>
    <row r="230" customFormat="false" ht="13.8" hidden="true" customHeight="false" outlineLevel="0" collapsed="false">
      <c r="A230" s="765" t="s">
        <v>3047</v>
      </c>
      <c r="B230" s="779" t="s">
        <v>3048</v>
      </c>
      <c r="C230" s="780" t="s">
        <v>3020</v>
      </c>
      <c r="D230" s="781"/>
      <c r="E230" s="781"/>
      <c r="F230" s="781"/>
      <c r="G230" s="782"/>
      <c r="H230" s="781"/>
      <c r="I230" s="781"/>
      <c r="J230" s="780"/>
    </row>
    <row r="231" customFormat="false" ht="13.8" hidden="true" customHeight="false" outlineLevel="0" collapsed="false">
      <c r="A231" s="765" t="s">
        <v>3049</v>
      </c>
      <c r="B231" s="779" t="s">
        <v>3050</v>
      </c>
      <c r="C231" s="780" t="s">
        <v>3020</v>
      </c>
      <c r="D231" s="781"/>
      <c r="E231" s="781"/>
      <c r="F231" s="781"/>
      <c r="G231" s="782"/>
      <c r="H231" s="781"/>
      <c r="I231" s="781"/>
      <c r="J231" s="780"/>
    </row>
    <row r="232" customFormat="false" ht="13.8" hidden="true" customHeight="false" outlineLevel="0" collapsed="false">
      <c r="A232" s="765" t="s">
        <v>3051</v>
      </c>
      <c r="B232" s="779" t="s">
        <v>3052</v>
      </c>
      <c r="C232" s="780" t="s">
        <v>3020</v>
      </c>
      <c r="D232" s="781"/>
      <c r="E232" s="781"/>
      <c r="F232" s="781"/>
      <c r="G232" s="782"/>
      <c r="H232" s="781"/>
      <c r="I232" s="781"/>
      <c r="J232" s="780"/>
    </row>
    <row r="233" customFormat="false" ht="13.8" hidden="true" customHeight="false" outlineLevel="0" collapsed="false">
      <c r="A233" s="765" t="s">
        <v>3053</v>
      </c>
      <c r="B233" s="779" t="s">
        <v>3054</v>
      </c>
      <c r="C233" s="780" t="s">
        <v>3020</v>
      </c>
      <c r="D233" s="781"/>
      <c r="E233" s="781"/>
      <c r="F233" s="781"/>
      <c r="G233" s="782"/>
      <c r="H233" s="781"/>
      <c r="I233" s="781"/>
      <c r="J233" s="780"/>
    </row>
    <row r="234" customFormat="false" ht="13.8" hidden="true" customHeight="false" outlineLevel="0" collapsed="false">
      <c r="A234" s="765" t="s">
        <v>3055</v>
      </c>
      <c r="B234" s="779" t="s">
        <v>3056</v>
      </c>
      <c r="C234" s="780" t="s">
        <v>3020</v>
      </c>
      <c r="D234" s="781"/>
      <c r="E234" s="781"/>
      <c r="F234" s="781"/>
      <c r="G234" s="782"/>
      <c r="H234" s="781"/>
      <c r="I234" s="781"/>
      <c r="J234" s="780"/>
    </row>
    <row r="235" customFormat="false" ht="13.8" hidden="true" customHeight="false" outlineLevel="0" collapsed="false">
      <c r="A235" s="765" t="s">
        <v>3057</v>
      </c>
      <c r="B235" s="779" t="s">
        <v>3058</v>
      </c>
      <c r="C235" s="780" t="s">
        <v>3020</v>
      </c>
      <c r="D235" s="781"/>
      <c r="E235" s="781"/>
      <c r="F235" s="781"/>
      <c r="G235" s="782"/>
      <c r="H235" s="781"/>
      <c r="I235" s="781"/>
      <c r="J235" s="780"/>
    </row>
    <row r="236" customFormat="false" ht="13.8" hidden="true" customHeight="false" outlineLevel="0" collapsed="false">
      <c r="A236" s="765" t="s">
        <v>3059</v>
      </c>
      <c r="B236" s="779" t="s">
        <v>3060</v>
      </c>
      <c r="C236" s="780" t="s">
        <v>3020</v>
      </c>
      <c r="D236" s="781"/>
      <c r="E236" s="781"/>
      <c r="F236" s="781"/>
      <c r="G236" s="782"/>
      <c r="H236" s="781"/>
      <c r="I236" s="781"/>
      <c r="J236" s="780"/>
    </row>
    <row r="237" customFormat="false" ht="13.8" hidden="true" customHeight="false" outlineLevel="0" collapsed="false">
      <c r="A237" s="765" t="s">
        <v>3061</v>
      </c>
      <c r="B237" s="779" t="s">
        <v>3062</v>
      </c>
      <c r="C237" s="780" t="s">
        <v>3020</v>
      </c>
      <c r="D237" s="781"/>
      <c r="E237" s="781"/>
      <c r="F237" s="781"/>
      <c r="G237" s="782"/>
      <c r="H237" s="781"/>
      <c r="I237" s="781"/>
      <c r="J237" s="780"/>
    </row>
    <row r="238" customFormat="false" ht="13.8" hidden="true" customHeight="false" outlineLevel="0" collapsed="false">
      <c r="A238" s="765" t="s">
        <v>3063</v>
      </c>
      <c r="B238" s="779" t="s">
        <v>3064</v>
      </c>
      <c r="C238" s="780" t="s">
        <v>3020</v>
      </c>
      <c r="D238" s="781"/>
      <c r="E238" s="781"/>
      <c r="F238" s="781"/>
      <c r="G238" s="782"/>
      <c r="H238" s="781"/>
      <c r="I238" s="781"/>
      <c r="J238" s="780"/>
    </row>
    <row r="239" customFormat="false" ht="13.8" hidden="true" customHeight="false" outlineLevel="0" collapsed="false">
      <c r="A239" s="765" t="s">
        <v>3065</v>
      </c>
      <c r="B239" s="779" t="s">
        <v>3066</v>
      </c>
      <c r="C239" s="780" t="s">
        <v>3020</v>
      </c>
      <c r="D239" s="781"/>
      <c r="E239" s="781"/>
      <c r="F239" s="781"/>
      <c r="G239" s="782"/>
      <c r="H239" s="781"/>
      <c r="I239" s="781"/>
      <c r="J239" s="780"/>
    </row>
    <row r="240" customFormat="false" ht="13.8" hidden="true" customHeight="false" outlineLevel="0" collapsed="false">
      <c r="A240" s="765" t="s">
        <v>3067</v>
      </c>
      <c r="B240" s="779" t="s">
        <v>3068</v>
      </c>
      <c r="C240" s="780" t="s">
        <v>3020</v>
      </c>
      <c r="D240" s="781"/>
      <c r="E240" s="781"/>
      <c r="F240" s="781"/>
      <c r="G240" s="782"/>
      <c r="H240" s="781"/>
      <c r="I240" s="781"/>
      <c r="J240" s="780"/>
    </row>
    <row r="241" customFormat="false" ht="13.8" hidden="true" customHeight="false" outlineLevel="0" collapsed="false">
      <c r="A241" s="765" t="s">
        <v>3069</v>
      </c>
      <c r="B241" s="779" t="s">
        <v>3070</v>
      </c>
      <c r="C241" s="780" t="s">
        <v>3020</v>
      </c>
      <c r="D241" s="781"/>
      <c r="E241" s="781"/>
      <c r="F241" s="781"/>
      <c r="G241" s="782"/>
      <c r="H241" s="781"/>
      <c r="I241" s="781"/>
      <c r="J241" s="780"/>
    </row>
    <row r="242" customFormat="false" ht="13.8" hidden="true" customHeight="false" outlineLevel="0" collapsed="false">
      <c r="A242" s="765" t="s">
        <v>3071</v>
      </c>
      <c r="B242" s="779" t="s">
        <v>3072</v>
      </c>
      <c r="C242" s="780" t="s">
        <v>3020</v>
      </c>
      <c r="D242" s="781"/>
      <c r="E242" s="781"/>
      <c r="F242" s="781"/>
      <c r="G242" s="782"/>
      <c r="H242" s="781"/>
      <c r="I242" s="781"/>
      <c r="J242" s="780"/>
    </row>
    <row r="243" customFormat="false" ht="13.8" hidden="true" customHeight="false" outlineLevel="0" collapsed="false">
      <c r="A243" s="765" t="s">
        <v>3073</v>
      </c>
      <c r="B243" s="779" t="s">
        <v>3074</v>
      </c>
      <c r="C243" s="780" t="s">
        <v>3020</v>
      </c>
      <c r="D243" s="781"/>
      <c r="E243" s="781"/>
      <c r="F243" s="781"/>
      <c r="G243" s="782"/>
      <c r="H243" s="781"/>
      <c r="I243" s="781"/>
      <c r="J243" s="780"/>
    </row>
    <row r="244" customFormat="false" ht="13.8" hidden="true" customHeight="false" outlineLevel="0" collapsed="false">
      <c r="A244" s="765" t="s">
        <v>3075</v>
      </c>
      <c r="B244" s="779" t="s">
        <v>3076</v>
      </c>
      <c r="C244" s="780" t="s">
        <v>3020</v>
      </c>
      <c r="D244" s="781"/>
      <c r="E244" s="781"/>
      <c r="F244" s="781"/>
      <c r="G244" s="782"/>
      <c r="H244" s="781"/>
      <c r="I244" s="781"/>
      <c r="J244" s="780"/>
    </row>
    <row r="245" customFormat="false" ht="13.8" hidden="true" customHeight="false" outlineLevel="0" collapsed="false">
      <c r="A245" s="765" t="s">
        <v>3077</v>
      </c>
      <c r="B245" s="779" t="s">
        <v>3078</v>
      </c>
      <c r="C245" s="780" t="s">
        <v>3020</v>
      </c>
      <c r="D245" s="781"/>
      <c r="E245" s="781"/>
      <c r="F245" s="781"/>
      <c r="G245" s="782"/>
      <c r="H245" s="781"/>
      <c r="I245" s="781"/>
      <c r="J245" s="780"/>
    </row>
    <row r="246" customFormat="false" ht="13.8" hidden="true" customHeight="false" outlineLevel="0" collapsed="false">
      <c r="A246" s="765" t="s">
        <v>3079</v>
      </c>
      <c r="B246" s="779" t="s">
        <v>3080</v>
      </c>
      <c r="C246" s="780" t="s">
        <v>3020</v>
      </c>
      <c r="D246" s="781"/>
      <c r="E246" s="781"/>
      <c r="F246" s="781"/>
      <c r="G246" s="782"/>
      <c r="H246" s="781"/>
      <c r="I246" s="781"/>
      <c r="J246" s="780"/>
    </row>
    <row r="247" customFormat="false" ht="13.8" hidden="true" customHeight="false" outlineLevel="0" collapsed="false">
      <c r="A247" s="765" t="s">
        <v>3081</v>
      </c>
      <c r="B247" s="779" t="s">
        <v>3082</v>
      </c>
      <c r="C247" s="780" t="s">
        <v>3020</v>
      </c>
      <c r="D247" s="781"/>
      <c r="E247" s="781"/>
      <c r="F247" s="781"/>
      <c r="G247" s="782"/>
      <c r="H247" s="781"/>
      <c r="I247" s="781"/>
      <c r="J247" s="780"/>
    </row>
    <row r="248" customFormat="false" ht="13.8" hidden="true" customHeight="false" outlineLevel="0" collapsed="false">
      <c r="A248" s="765" t="s">
        <v>3083</v>
      </c>
      <c r="B248" s="779" t="s">
        <v>3084</v>
      </c>
      <c r="C248" s="780" t="s">
        <v>3020</v>
      </c>
      <c r="D248" s="781"/>
      <c r="E248" s="781"/>
      <c r="F248" s="781"/>
      <c r="G248" s="782"/>
      <c r="H248" s="781"/>
      <c r="I248" s="781"/>
      <c r="J248" s="780"/>
    </row>
    <row r="249" customFormat="false" ht="13.8" hidden="true" customHeight="false" outlineLevel="0" collapsed="false">
      <c r="A249" s="765" t="s">
        <v>3085</v>
      </c>
      <c r="B249" s="779" t="s">
        <v>3086</v>
      </c>
      <c r="C249" s="780" t="s">
        <v>3020</v>
      </c>
      <c r="D249" s="781"/>
      <c r="E249" s="781"/>
      <c r="F249" s="781"/>
      <c r="G249" s="782"/>
      <c r="H249" s="781"/>
      <c r="I249" s="781"/>
      <c r="J249" s="780"/>
    </row>
    <row r="250" customFormat="false" ht="13.8" hidden="true" customHeight="false" outlineLevel="0" collapsed="false">
      <c r="A250" s="765" t="s">
        <v>3087</v>
      </c>
      <c r="B250" s="779" t="s">
        <v>3088</v>
      </c>
      <c r="C250" s="780" t="s">
        <v>3020</v>
      </c>
      <c r="D250" s="781"/>
      <c r="E250" s="781"/>
      <c r="F250" s="781"/>
      <c r="G250" s="782"/>
      <c r="H250" s="781"/>
      <c r="I250" s="781"/>
      <c r="J250" s="780"/>
    </row>
    <row r="251" customFormat="false" ht="13.8" hidden="true" customHeight="false" outlineLevel="0" collapsed="false">
      <c r="A251" s="765" t="s">
        <v>3089</v>
      </c>
      <c r="B251" s="779" t="s">
        <v>3090</v>
      </c>
      <c r="C251" s="780" t="s">
        <v>3020</v>
      </c>
      <c r="D251" s="781"/>
      <c r="E251" s="781"/>
      <c r="F251" s="781"/>
      <c r="G251" s="782"/>
      <c r="H251" s="781"/>
      <c r="I251" s="781"/>
      <c r="J251" s="780"/>
    </row>
    <row r="252" customFormat="false" ht="13.8" hidden="true" customHeight="false" outlineLevel="0" collapsed="false">
      <c r="A252" s="765" t="s">
        <v>3091</v>
      </c>
      <c r="B252" s="779" t="s">
        <v>3092</v>
      </c>
      <c r="C252" s="780" t="s">
        <v>3020</v>
      </c>
      <c r="D252" s="781"/>
      <c r="E252" s="781"/>
      <c r="F252" s="781"/>
      <c r="G252" s="782"/>
      <c r="H252" s="781"/>
      <c r="I252" s="781"/>
      <c r="J252" s="780"/>
    </row>
    <row r="253" customFormat="false" ht="13.8" hidden="true" customHeight="false" outlineLevel="0" collapsed="false">
      <c r="A253" s="765" t="s">
        <v>3093</v>
      </c>
      <c r="B253" s="779" t="s">
        <v>3094</v>
      </c>
      <c r="C253" s="780" t="s">
        <v>3020</v>
      </c>
      <c r="D253" s="781"/>
      <c r="E253" s="781"/>
      <c r="F253" s="781"/>
      <c r="G253" s="782"/>
      <c r="H253" s="781"/>
      <c r="I253" s="781"/>
      <c r="J253" s="780"/>
    </row>
    <row r="254" customFormat="false" ht="13.8" hidden="true" customHeight="false" outlineLevel="0" collapsed="false">
      <c r="A254" s="765" t="s">
        <v>3095</v>
      </c>
      <c r="B254" s="779" t="s">
        <v>3096</v>
      </c>
      <c r="C254" s="780" t="s">
        <v>3020</v>
      </c>
      <c r="D254" s="781"/>
      <c r="E254" s="781"/>
      <c r="F254" s="781"/>
      <c r="G254" s="782"/>
      <c r="H254" s="781"/>
      <c r="I254" s="781"/>
      <c r="J254" s="780"/>
    </row>
    <row r="255" customFormat="false" ht="13.8" hidden="true" customHeight="false" outlineLevel="0" collapsed="false">
      <c r="A255" s="765" t="s">
        <v>3097</v>
      </c>
      <c r="B255" s="779" t="s">
        <v>3098</v>
      </c>
      <c r="C255" s="780" t="s">
        <v>3020</v>
      </c>
      <c r="D255" s="781"/>
      <c r="E255" s="781"/>
      <c r="F255" s="781"/>
      <c r="G255" s="782"/>
      <c r="H255" s="781"/>
      <c r="I255" s="781"/>
      <c r="J255" s="780"/>
    </row>
    <row r="256" customFormat="false" ht="13.8" hidden="true" customHeight="false" outlineLevel="0" collapsed="false">
      <c r="A256" s="765" t="s">
        <v>3099</v>
      </c>
      <c r="B256" s="779" t="s">
        <v>3100</v>
      </c>
      <c r="C256" s="780" t="s">
        <v>3020</v>
      </c>
      <c r="D256" s="781"/>
      <c r="E256" s="781"/>
      <c r="F256" s="781"/>
      <c r="G256" s="782"/>
      <c r="H256" s="781"/>
      <c r="I256" s="781"/>
      <c r="J256" s="780"/>
    </row>
    <row r="257" customFormat="false" ht="13.8" hidden="true" customHeight="false" outlineLevel="0" collapsed="false">
      <c r="A257" s="765" t="s">
        <v>3101</v>
      </c>
      <c r="B257" s="779" t="s">
        <v>3102</v>
      </c>
      <c r="C257" s="780" t="s">
        <v>3020</v>
      </c>
      <c r="D257" s="781"/>
      <c r="E257" s="781"/>
      <c r="F257" s="781"/>
      <c r="G257" s="782"/>
      <c r="H257" s="781"/>
      <c r="I257" s="781"/>
      <c r="J257" s="780"/>
    </row>
    <row r="258" customFormat="false" ht="13.8" hidden="true" customHeight="false" outlineLevel="0" collapsed="false">
      <c r="A258" s="765" t="s">
        <v>3103</v>
      </c>
      <c r="B258" s="779" t="s">
        <v>3104</v>
      </c>
      <c r="C258" s="780" t="s">
        <v>3020</v>
      </c>
      <c r="D258" s="781"/>
      <c r="E258" s="781"/>
      <c r="F258" s="781"/>
      <c r="G258" s="782"/>
      <c r="H258" s="781"/>
      <c r="I258" s="781"/>
      <c r="J258" s="780"/>
    </row>
    <row r="259" customFormat="false" ht="13.8" hidden="true" customHeight="false" outlineLevel="0" collapsed="false">
      <c r="A259" s="765" t="s">
        <v>3105</v>
      </c>
      <c r="B259" s="779" t="s">
        <v>3106</v>
      </c>
      <c r="C259" s="780" t="s">
        <v>3020</v>
      </c>
      <c r="D259" s="781"/>
      <c r="E259" s="781"/>
      <c r="F259" s="781"/>
      <c r="G259" s="782"/>
      <c r="H259" s="781"/>
      <c r="I259" s="781"/>
      <c r="J259" s="780"/>
    </row>
    <row r="260" customFormat="false" ht="13.8" hidden="true" customHeight="false" outlineLevel="0" collapsed="false">
      <c r="A260" s="765" t="s">
        <v>3107</v>
      </c>
      <c r="B260" s="779" t="s">
        <v>3108</v>
      </c>
      <c r="C260" s="780" t="s">
        <v>3020</v>
      </c>
      <c r="D260" s="781"/>
      <c r="E260" s="781"/>
      <c r="F260" s="781"/>
      <c r="G260" s="782"/>
      <c r="H260" s="781"/>
      <c r="I260" s="781"/>
      <c r="J260" s="780"/>
    </row>
    <row r="261" customFormat="false" ht="13.8" hidden="true" customHeight="false" outlineLevel="0" collapsed="false">
      <c r="A261" s="765" t="s">
        <v>3109</v>
      </c>
      <c r="B261" s="779" t="s">
        <v>3110</v>
      </c>
      <c r="C261" s="780" t="s">
        <v>3020</v>
      </c>
      <c r="D261" s="781"/>
      <c r="E261" s="781"/>
      <c r="F261" s="781"/>
      <c r="G261" s="782"/>
      <c r="H261" s="781"/>
      <c r="I261" s="781"/>
      <c r="J261" s="780"/>
    </row>
    <row r="262" customFormat="false" ht="13.8" hidden="true" customHeight="false" outlineLevel="0" collapsed="false">
      <c r="A262" s="765" t="s">
        <v>3111</v>
      </c>
      <c r="B262" s="779" t="s">
        <v>3112</v>
      </c>
      <c r="C262" s="780" t="s">
        <v>3020</v>
      </c>
      <c r="D262" s="781"/>
      <c r="E262" s="781"/>
      <c r="F262" s="781"/>
      <c r="G262" s="782"/>
      <c r="H262" s="781"/>
      <c r="I262" s="781"/>
      <c r="J262" s="780"/>
    </row>
    <row r="263" customFormat="false" ht="13.8" hidden="true" customHeight="false" outlineLevel="0" collapsed="false">
      <c r="A263" s="765" t="s">
        <v>3113</v>
      </c>
      <c r="B263" s="779" t="s">
        <v>3114</v>
      </c>
      <c r="C263" s="780" t="s">
        <v>3020</v>
      </c>
      <c r="D263" s="781"/>
      <c r="E263" s="781"/>
      <c r="F263" s="781"/>
      <c r="G263" s="782"/>
      <c r="H263" s="781"/>
      <c r="I263" s="781"/>
      <c r="J263" s="780"/>
    </row>
    <row r="264" customFormat="false" ht="13.8" hidden="true" customHeight="false" outlineLevel="0" collapsed="false">
      <c r="A264" s="765" t="s">
        <v>3115</v>
      </c>
      <c r="B264" s="779" t="s">
        <v>3116</v>
      </c>
      <c r="C264" s="780" t="s">
        <v>2907</v>
      </c>
      <c r="D264" s="781"/>
      <c r="E264" s="781"/>
      <c r="F264" s="781"/>
      <c r="G264" s="782"/>
      <c r="H264" s="781"/>
      <c r="I264" s="781"/>
      <c r="J264" s="780"/>
    </row>
    <row r="265" customFormat="false" ht="13.8" hidden="true" customHeight="false" outlineLevel="0" collapsed="false">
      <c r="A265" s="765" t="s">
        <v>3117</v>
      </c>
      <c r="B265" s="779" t="s">
        <v>3118</v>
      </c>
      <c r="C265" s="780" t="s">
        <v>2907</v>
      </c>
      <c r="D265" s="781"/>
      <c r="E265" s="781"/>
      <c r="F265" s="781"/>
      <c r="G265" s="782"/>
      <c r="H265" s="781"/>
      <c r="I265" s="781"/>
      <c r="J265" s="780"/>
    </row>
    <row r="266" customFormat="false" ht="13.8" hidden="true" customHeight="false" outlineLevel="0" collapsed="false">
      <c r="A266" s="765" t="s">
        <v>3119</v>
      </c>
      <c r="B266" s="779" t="s">
        <v>3120</v>
      </c>
      <c r="C266" s="780" t="s">
        <v>2907</v>
      </c>
      <c r="D266" s="781"/>
      <c r="E266" s="781"/>
      <c r="F266" s="781"/>
      <c r="G266" s="782"/>
      <c r="H266" s="781"/>
      <c r="I266" s="781"/>
      <c r="J266" s="780"/>
    </row>
    <row r="267" customFormat="false" ht="13.8" hidden="true" customHeight="false" outlineLevel="0" collapsed="false">
      <c r="A267" s="765" t="s">
        <v>3121</v>
      </c>
      <c r="B267" s="779" t="s">
        <v>3122</v>
      </c>
      <c r="C267" s="780" t="s">
        <v>2740</v>
      </c>
      <c r="D267" s="781"/>
      <c r="E267" s="781"/>
      <c r="F267" s="781"/>
      <c r="G267" s="782"/>
      <c r="H267" s="781"/>
      <c r="I267" s="781"/>
      <c r="J267" s="780"/>
    </row>
    <row r="268" customFormat="false" ht="13.8" hidden="true" customHeight="false" outlineLevel="0" collapsed="false">
      <c r="A268" s="765" t="s">
        <v>3123</v>
      </c>
      <c r="B268" s="779" t="s">
        <v>3124</v>
      </c>
      <c r="C268" s="780" t="s">
        <v>2740</v>
      </c>
      <c r="D268" s="781"/>
      <c r="E268" s="781"/>
      <c r="F268" s="781"/>
      <c r="G268" s="782"/>
      <c r="H268" s="781"/>
      <c r="I268" s="781"/>
      <c r="J268" s="780"/>
    </row>
    <row r="269" customFormat="false" ht="13.8" hidden="true" customHeight="false" outlineLevel="0" collapsed="false">
      <c r="A269" s="765" t="s">
        <v>3125</v>
      </c>
      <c r="B269" s="779" t="s">
        <v>3126</v>
      </c>
      <c r="C269" s="780" t="s">
        <v>2740</v>
      </c>
      <c r="D269" s="781"/>
      <c r="E269" s="781"/>
      <c r="F269" s="781"/>
      <c r="G269" s="782"/>
      <c r="H269" s="781"/>
      <c r="I269" s="781"/>
      <c r="J269" s="780"/>
    </row>
    <row r="270" customFormat="false" ht="13.8" hidden="true" customHeight="false" outlineLevel="0" collapsed="false">
      <c r="A270" s="765" t="s">
        <v>3127</v>
      </c>
      <c r="B270" s="779" t="s">
        <v>3128</v>
      </c>
      <c r="C270" s="780" t="s">
        <v>2740</v>
      </c>
      <c r="D270" s="781"/>
      <c r="E270" s="781"/>
      <c r="F270" s="781"/>
      <c r="G270" s="782"/>
      <c r="H270" s="781"/>
      <c r="I270" s="781"/>
      <c r="J270" s="780"/>
    </row>
    <row r="271" customFormat="false" ht="13.8" hidden="true" customHeight="false" outlineLevel="0" collapsed="false">
      <c r="A271" s="765" t="s">
        <v>3129</v>
      </c>
      <c r="B271" s="779" t="s">
        <v>3130</v>
      </c>
      <c r="C271" s="780" t="s">
        <v>2740</v>
      </c>
      <c r="D271" s="781"/>
      <c r="E271" s="781"/>
      <c r="F271" s="781"/>
      <c r="G271" s="782"/>
      <c r="H271" s="781"/>
      <c r="I271" s="781"/>
      <c r="J271" s="780"/>
    </row>
    <row r="272" customFormat="false" ht="13.8" hidden="true" customHeight="false" outlineLevel="0" collapsed="false">
      <c r="A272" s="765" t="s">
        <v>3131</v>
      </c>
      <c r="B272" s="779" t="s">
        <v>3132</v>
      </c>
      <c r="C272" s="780" t="s">
        <v>2907</v>
      </c>
      <c r="D272" s="781"/>
      <c r="E272" s="781"/>
      <c r="F272" s="781"/>
      <c r="G272" s="782"/>
      <c r="H272" s="781"/>
      <c r="I272" s="781"/>
      <c r="J272" s="780"/>
    </row>
    <row r="273" customFormat="false" ht="13.8" hidden="true" customHeight="false" outlineLevel="0" collapsed="false">
      <c r="A273" s="765" t="s">
        <v>3133</v>
      </c>
      <c r="B273" s="779" t="s">
        <v>3134</v>
      </c>
      <c r="C273" s="780" t="s">
        <v>2926</v>
      </c>
      <c r="D273" s="781"/>
      <c r="E273" s="781"/>
      <c r="F273" s="781"/>
      <c r="G273" s="782"/>
      <c r="H273" s="781"/>
      <c r="I273" s="781"/>
      <c r="J273" s="780"/>
    </row>
    <row r="274" customFormat="false" ht="13.8" hidden="true" customHeight="false" outlineLevel="0" collapsed="false">
      <c r="A274" s="765" t="s">
        <v>3135</v>
      </c>
      <c r="B274" s="779" t="s">
        <v>3136</v>
      </c>
      <c r="C274" s="780" t="s">
        <v>2926</v>
      </c>
      <c r="D274" s="781"/>
      <c r="E274" s="781"/>
      <c r="F274" s="781"/>
      <c r="G274" s="782"/>
      <c r="H274" s="781"/>
      <c r="I274" s="781"/>
      <c r="J274" s="780"/>
    </row>
    <row r="275" customFormat="false" ht="13.8" hidden="true" customHeight="false" outlineLevel="0" collapsed="false">
      <c r="A275" s="765" t="s">
        <v>3137</v>
      </c>
      <c r="B275" s="779" t="s">
        <v>3138</v>
      </c>
      <c r="C275" s="780" t="s">
        <v>2926</v>
      </c>
      <c r="D275" s="781"/>
      <c r="E275" s="781"/>
      <c r="F275" s="781"/>
      <c r="G275" s="782"/>
      <c r="H275" s="781"/>
      <c r="I275" s="781"/>
      <c r="J275" s="780"/>
    </row>
    <row r="276" customFormat="false" ht="13.8" hidden="true" customHeight="false" outlineLevel="0" collapsed="false">
      <c r="A276" s="765" t="s">
        <v>3139</v>
      </c>
      <c r="B276" s="779" t="s">
        <v>3140</v>
      </c>
      <c r="C276" s="780" t="s">
        <v>2926</v>
      </c>
      <c r="D276" s="781"/>
      <c r="E276" s="781"/>
      <c r="F276" s="781"/>
      <c r="G276" s="782"/>
      <c r="H276" s="781"/>
      <c r="I276" s="781"/>
      <c r="J276" s="780"/>
    </row>
    <row r="277" customFormat="false" ht="13.8" hidden="true" customHeight="false" outlineLevel="0" collapsed="false">
      <c r="A277" s="765" t="s">
        <v>3141</v>
      </c>
      <c r="B277" s="779" t="s">
        <v>3142</v>
      </c>
      <c r="C277" s="780" t="s">
        <v>2926</v>
      </c>
      <c r="D277" s="781"/>
      <c r="E277" s="781"/>
      <c r="F277" s="781"/>
      <c r="G277" s="782"/>
      <c r="H277" s="781"/>
      <c r="I277" s="781"/>
      <c r="J277" s="780"/>
    </row>
    <row r="278" customFormat="false" ht="13.8" hidden="true" customHeight="false" outlineLevel="0" collapsed="false">
      <c r="A278" s="765" t="s">
        <v>3143</v>
      </c>
      <c r="B278" s="779" t="s">
        <v>3144</v>
      </c>
      <c r="C278" s="780" t="s">
        <v>3145</v>
      </c>
      <c r="D278" s="781"/>
      <c r="E278" s="781"/>
      <c r="F278" s="781"/>
      <c r="G278" s="782"/>
      <c r="H278" s="781"/>
      <c r="I278" s="781"/>
      <c r="J278" s="780"/>
    </row>
    <row r="279" customFormat="false" ht="13.8" hidden="true" customHeight="false" outlineLevel="0" collapsed="false">
      <c r="A279" s="765" t="s">
        <v>3146</v>
      </c>
      <c r="B279" s="779" t="s">
        <v>3147</v>
      </c>
      <c r="C279" s="780" t="s">
        <v>3145</v>
      </c>
      <c r="D279" s="781"/>
      <c r="E279" s="781"/>
      <c r="F279" s="781"/>
      <c r="G279" s="782"/>
      <c r="H279" s="781"/>
      <c r="I279" s="781"/>
      <c r="J279" s="780"/>
    </row>
    <row r="280" customFormat="false" ht="13.8" hidden="true" customHeight="false" outlineLevel="0" collapsed="false">
      <c r="A280" s="765" t="s">
        <v>3148</v>
      </c>
      <c r="B280" s="779" t="s">
        <v>3149</v>
      </c>
      <c r="C280" s="780" t="s">
        <v>3145</v>
      </c>
      <c r="D280" s="781"/>
      <c r="E280" s="781"/>
      <c r="F280" s="781"/>
      <c r="G280" s="782"/>
      <c r="H280" s="781"/>
      <c r="I280" s="781"/>
      <c r="J280" s="780"/>
    </row>
    <row r="281" customFormat="false" ht="13.8" hidden="true" customHeight="false" outlineLevel="0" collapsed="false">
      <c r="A281" s="765" t="s">
        <v>3150</v>
      </c>
      <c r="B281" s="779" t="s">
        <v>3151</v>
      </c>
      <c r="C281" s="780" t="s">
        <v>3145</v>
      </c>
      <c r="D281" s="781"/>
      <c r="E281" s="781"/>
      <c r="F281" s="781"/>
      <c r="G281" s="782"/>
      <c r="H281" s="781"/>
      <c r="I281" s="781"/>
      <c r="J281" s="780"/>
    </row>
    <row r="282" customFormat="false" ht="13.8" hidden="true" customHeight="false" outlineLevel="0" collapsed="false">
      <c r="A282" s="765" t="s">
        <v>3152</v>
      </c>
      <c r="B282" s="779" t="s">
        <v>3153</v>
      </c>
      <c r="C282" s="780" t="s">
        <v>2623</v>
      </c>
      <c r="D282" s="781"/>
      <c r="E282" s="781"/>
      <c r="F282" s="781"/>
      <c r="G282" s="782"/>
      <c r="H282" s="781"/>
      <c r="I282" s="781"/>
      <c r="J282" s="780"/>
    </row>
    <row r="283" customFormat="false" ht="13.8" hidden="true" customHeight="false" outlineLevel="0" collapsed="false">
      <c r="A283" s="765" t="s">
        <v>3154</v>
      </c>
      <c r="B283" s="779" t="s">
        <v>3155</v>
      </c>
      <c r="C283" s="780" t="s">
        <v>3156</v>
      </c>
      <c r="D283" s="781"/>
      <c r="E283" s="781"/>
      <c r="F283" s="781"/>
      <c r="G283" s="782"/>
      <c r="H283" s="781"/>
      <c r="I283" s="781"/>
      <c r="J283" s="780"/>
    </row>
    <row r="284" customFormat="false" ht="13.8" hidden="true" customHeight="false" outlineLevel="0" collapsed="false">
      <c r="A284" s="765" t="s">
        <v>3157</v>
      </c>
      <c r="B284" s="779" t="s">
        <v>3158</v>
      </c>
      <c r="C284" s="780" t="s">
        <v>2580</v>
      </c>
      <c r="D284" s="781"/>
      <c r="E284" s="781"/>
      <c r="F284" s="781"/>
      <c r="G284" s="782"/>
      <c r="H284" s="781"/>
      <c r="I284" s="781"/>
      <c r="J284" s="780"/>
    </row>
    <row r="285" customFormat="false" ht="13.8" hidden="true" customHeight="false" outlineLevel="0" collapsed="false">
      <c r="A285" s="765" t="s">
        <v>3159</v>
      </c>
      <c r="B285" s="779" t="s">
        <v>3160</v>
      </c>
      <c r="C285" s="780" t="s">
        <v>3145</v>
      </c>
      <c r="D285" s="781"/>
      <c r="E285" s="781"/>
      <c r="F285" s="781"/>
      <c r="G285" s="782"/>
      <c r="H285" s="781"/>
      <c r="I285" s="781"/>
      <c r="J285" s="780"/>
    </row>
    <row r="286" customFormat="false" ht="13.8" hidden="true" customHeight="false" outlineLevel="0" collapsed="false">
      <c r="A286" s="765" t="s">
        <v>3161</v>
      </c>
      <c r="B286" s="779" t="s">
        <v>3162</v>
      </c>
      <c r="C286" s="780" t="s">
        <v>3145</v>
      </c>
      <c r="D286" s="781"/>
      <c r="E286" s="781"/>
      <c r="F286" s="781"/>
      <c r="G286" s="782"/>
      <c r="H286" s="781"/>
      <c r="I286" s="781"/>
      <c r="J286" s="780"/>
    </row>
    <row r="287" customFormat="false" ht="13.8" hidden="true" customHeight="false" outlineLevel="0" collapsed="false">
      <c r="A287" s="765" t="s">
        <v>3163</v>
      </c>
      <c r="B287" s="779" t="s">
        <v>3164</v>
      </c>
      <c r="C287" s="780" t="s">
        <v>3145</v>
      </c>
      <c r="D287" s="781"/>
      <c r="E287" s="781"/>
      <c r="F287" s="781"/>
      <c r="G287" s="782"/>
      <c r="H287" s="781"/>
      <c r="I287" s="781"/>
      <c r="J287" s="780"/>
    </row>
    <row r="288" customFormat="false" ht="13.8" hidden="true" customHeight="false" outlineLevel="0" collapsed="false">
      <c r="A288" s="765" t="s">
        <v>3165</v>
      </c>
      <c r="B288" s="779" t="s">
        <v>3166</v>
      </c>
      <c r="C288" s="780" t="s">
        <v>3145</v>
      </c>
      <c r="D288" s="781"/>
      <c r="E288" s="781"/>
      <c r="F288" s="781"/>
      <c r="G288" s="782"/>
      <c r="H288" s="781"/>
      <c r="I288" s="781"/>
      <c r="J288" s="780"/>
    </row>
    <row r="289" customFormat="false" ht="13.8" hidden="true" customHeight="false" outlineLevel="0" collapsed="false">
      <c r="A289" s="765" t="s">
        <v>3167</v>
      </c>
      <c r="B289" s="779" t="s">
        <v>3168</v>
      </c>
      <c r="C289" s="780" t="s">
        <v>3145</v>
      </c>
      <c r="D289" s="781"/>
      <c r="E289" s="781"/>
      <c r="F289" s="781"/>
      <c r="G289" s="782"/>
      <c r="H289" s="781"/>
      <c r="I289" s="781"/>
      <c r="J289" s="780"/>
    </row>
    <row r="290" customFormat="false" ht="13.8" hidden="true" customHeight="false" outlineLevel="0" collapsed="false">
      <c r="A290" s="765" t="s">
        <v>3169</v>
      </c>
      <c r="B290" s="779" t="s">
        <v>3170</v>
      </c>
      <c r="C290" s="780" t="s">
        <v>2623</v>
      </c>
      <c r="D290" s="781"/>
      <c r="E290" s="781"/>
      <c r="F290" s="781"/>
      <c r="G290" s="782"/>
      <c r="H290" s="781"/>
      <c r="I290" s="781"/>
      <c r="J290" s="780"/>
    </row>
    <row r="291" customFormat="false" ht="13.8" hidden="true" customHeight="false" outlineLevel="0" collapsed="false">
      <c r="A291" s="765" t="s">
        <v>3171</v>
      </c>
      <c r="B291" s="779" t="s">
        <v>3172</v>
      </c>
      <c r="C291" s="780" t="s">
        <v>2623</v>
      </c>
      <c r="D291" s="781"/>
      <c r="E291" s="781"/>
      <c r="F291" s="781"/>
      <c r="G291" s="782"/>
      <c r="H291" s="781"/>
      <c r="I291" s="781"/>
      <c r="J291" s="780"/>
    </row>
    <row r="292" customFormat="false" ht="13.8" hidden="true" customHeight="false" outlineLevel="0" collapsed="false">
      <c r="A292" s="765" t="s">
        <v>3173</v>
      </c>
      <c r="B292" s="779" t="s">
        <v>3174</v>
      </c>
      <c r="C292" s="780" t="s">
        <v>2623</v>
      </c>
      <c r="D292" s="781"/>
      <c r="E292" s="781"/>
      <c r="F292" s="781"/>
      <c r="G292" s="782"/>
      <c r="H292" s="781"/>
      <c r="I292" s="781"/>
      <c r="J292" s="780"/>
    </row>
    <row r="293" customFormat="false" ht="13.8" hidden="true" customHeight="false" outlineLevel="0" collapsed="false">
      <c r="A293" s="765" t="s">
        <v>3175</v>
      </c>
      <c r="B293" s="779" t="s">
        <v>3176</v>
      </c>
      <c r="C293" s="780" t="s">
        <v>2623</v>
      </c>
      <c r="D293" s="781"/>
      <c r="E293" s="781"/>
      <c r="F293" s="781"/>
      <c r="G293" s="782"/>
      <c r="H293" s="781"/>
      <c r="I293" s="781"/>
      <c r="J293" s="780"/>
    </row>
    <row r="294" customFormat="false" ht="13.8" hidden="true" customHeight="false" outlineLevel="0" collapsed="false">
      <c r="A294" s="765" t="s">
        <v>3177</v>
      </c>
      <c r="B294" s="779" t="s">
        <v>3178</v>
      </c>
      <c r="C294" s="780" t="s">
        <v>2623</v>
      </c>
      <c r="D294" s="781"/>
      <c r="E294" s="781"/>
      <c r="F294" s="781"/>
      <c r="G294" s="782"/>
      <c r="H294" s="781"/>
      <c r="I294" s="781"/>
      <c r="J294" s="780"/>
    </row>
    <row r="295" customFormat="false" ht="13.8" hidden="true" customHeight="false" outlineLevel="0" collapsed="false">
      <c r="A295" s="765" t="s">
        <v>3179</v>
      </c>
      <c r="B295" s="779" t="s">
        <v>3180</v>
      </c>
      <c r="C295" s="780" t="s">
        <v>2623</v>
      </c>
      <c r="D295" s="781"/>
      <c r="E295" s="781"/>
      <c r="F295" s="781"/>
      <c r="G295" s="782"/>
      <c r="H295" s="781"/>
      <c r="I295" s="781"/>
      <c r="J295" s="780"/>
    </row>
    <row r="296" customFormat="false" ht="13.8" hidden="true" customHeight="false" outlineLevel="0" collapsed="false">
      <c r="A296" s="765" t="s">
        <v>3181</v>
      </c>
      <c r="B296" s="779" t="s">
        <v>3182</v>
      </c>
      <c r="C296" s="780" t="s">
        <v>2623</v>
      </c>
      <c r="D296" s="781"/>
      <c r="E296" s="781"/>
      <c r="F296" s="781"/>
      <c r="G296" s="782"/>
      <c r="H296" s="781"/>
      <c r="I296" s="781"/>
      <c r="J296" s="780"/>
    </row>
    <row r="297" customFormat="false" ht="13.8" hidden="true" customHeight="false" outlineLevel="0" collapsed="false">
      <c r="A297" s="765" t="s">
        <v>3183</v>
      </c>
      <c r="B297" s="779" t="s">
        <v>3184</v>
      </c>
      <c r="C297" s="780" t="s">
        <v>2623</v>
      </c>
      <c r="D297" s="781"/>
      <c r="E297" s="781"/>
      <c r="F297" s="781"/>
      <c r="G297" s="782"/>
      <c r="H297" s="781"/>
      <c r="I297" s="781"/>
      <c r="J297" s="780"/>
    </row>
    <row r="298" customFormat="false" ht="13.8" hidden="true" customHeight="false" outlineLevel="0" collapsed="false">
      <c r="A298" s="765" t="s">
        <v>3185</v>
      </c>
      <c r="B298" s="779" t="s">
        <v>3186</v>
      </c>
      <c r="C298" s="780" t="s">
        <v>2790</v>
      </c>
      <c r="D298" s="781"/>
      <c r="E298" s="781"/>
      <c r="F298" s="781"/>
      <c r="G298" s="782"/>
      <c r="H298" s="781"/>
      <c r="I298" s="781"/>
      <c r="J298" s="780"/>
    </row>
    <row r="299" customFormat="false" ht="13.8" hidden="true" customHeight="false" outlineLevel="0" collapsed="false">
      <c r="A299" s="765" t="s">
        <v>3187</v>
      </c>
      <c r="B299" s="779" t="s">
        <v>3188</v>
      </c>
      <c r="C299" s="780" t="s">
        <v>2623</v>
      </c>
      <c r="D299" s="781"/>
      <c r="E299" s="781"/>
      <c r="F299" s="781"/>
      <c r="G299" s="782"/>
      <c r="H299" s="781"/>
      <c r="I299" s="781"/>
      <c r="J299" s="780"/>
    </row>
    <row r="300" customFormat="false" ht="13.8" hidden="true" customHeight="false" outlineLevel="0" collapsed="false">
      <c r="A300" s="765" t="s">
        <v>3189</v>
      </c>
      <c r="B300" s="779" t="s">
        <v>3190</v>
      </c>
      <c r="C300" s="780" t="s">
        <v>2623</v>
      </c>
      <c r="D300" s="781"/>
      <c r="E300" s="781"/>
      <c r="F300" s="781"/>
      <c r="G300" s="782"/>
      <c r="H300" s="781"/>
      <c r="I300" s="781"/>
      <c r="J300" s="780"/>
    </row>
    <row r="301" customFormat="false" ht="13.8" hidden="true" customHeight="false" outlineLevel="0" collapsed="false">
      <c r="A301" s="765" t="s">
        <v>3191</v>
      </c>
      <c r="B301" s="779" t="s">
        <v>3192</v>
      </c>
      <c r="C301" s="780" t="s">
        <v>2623</v>
      </c>
      <c r="D301" s="781"/>
      <c r="E301" s="781"/>
      <c r="F301" s="781"/>
      <c r="G301" s="782"/>
      <c r="H301" s="781"/>
      <c r="I301" s="781"/>
      <c r="J301" s="780"/>
      <c r="K301" s="768" t="s">
        <v>53</v>
      </c>
      <c r="L301" s="768" t="n">
        <v>1</v>
      </c>
    </row>
    <row r="302" customFormat="false" ht="13.8" hidden="true" customHeight="false" outlineLevel="0" collapsed="false">
      <c r="A302" s="765" t="s">
        <v>3193</v>
      </c>
      <c r="B302" s="779" t="s">
        <v>3194</v>
      </c>
      <c r="C302" s="780" t="s">
        <v>2623</v>
      </c>
      <c r="D302" s="781"/>
      <c r="E302" s="781"/>
      <c r="F302" s="781"/>
      <c r="G302" s="782"/>
      <c r="H302" s="781"/>
      <c r="I302" s="781"/>
      <c r="J302" s="780"/>
      <c r="K302" s="768" t="s">
        <v>53</v>
      </c>
      <c r="L302" s="768" t="n">
        <v>1</v>
      </c>
    </row>
    <row r="303" customFormat="false" ht="13.8" hidden="true" customHeight="false" outlineLevel="0" collapsed="false">
      <c r="A303" s="765" t="s">
        <v>3195</v>
      </c>
      <c r="B303" s="779" t="s">
        <v>3196</v>
      </c>
      <c r="C303" s="780" t="s">
        <v>2623</v>
      </c>
      <c r="D303" s="781"/>
      <c r="E303" s="781"/>
      <c r="F303" s="781"/>
      <c r="G303" s="782"/>
      <c r="H303" s="781"/>
      <c r="I303" s="781"/>
      <c r="J303" s="780"/>
      <c r="K303" s="768" t="s">
        <v>53</v>
      </c>
      <c r="L303" s="768" t="n">
        <v>1</v>
      </c>
      <c r="M303" s="768" t="s">
        <v>320</v>
      </c>
      <c r="N303" s="768" t="n">
        <v>1</v>
      </c>
    </row>
    <row r="304" customFormat="false" ht="13.8" hidden="true" customHeight="false" outlineLevel="0" collapsed="false">
      <c r="A304" s="765" t="s">
        <v>3197</v>
      </c>
      <c r="B304" s="779" t="s">
        <v>3198</v>
      </c>
      <c r="C304" s="780" t="s">
        <v>2623</v>
      </c>
      <c r="D304" s="781"/>
      <c r="E304" s="781"/>
      <c r="F304" s="781"/>
      <c r="G304" s="782"/>
      <c r="H304" s="781"/>
      <c r="I304" s="781"/>
      <c r="J304" s="780"/>
    </row>
    <row r="305" customFormat="false" ht="13.8" hidden="true" customHeight="false" outlineLevel="0" collapsed="false">
      <c r="A305" s="765" t="s">
        <v>3199</v>
      </c>
      <c r="B305" s="779" t="s">
        <v>3200</v>
      </c>
      <c r="C305" s="780" t="s">
        <v>2623</v>
      </c>
      <c r="D305" s="781"/>
      <c r="E305" s="781"/>
      <c r="F305" s="781"/>
      <c r="G305" s="782"/>
      <c r="H305" s="781"/>
      <c r="I305" s="781"/>
      <c r="J305" s="780"/>
    </row>
    <row r="306" customFormat="false" ht="13.8" hidden="true" customHeight="false" outlineLevel="0" collapsed="false">
      <c r="A306" s="765" t="s">
        <v>3201</v>
      </c>
      <c r="B306" s="779" t="s">
        <v>3202</v>
      </c>
      <c r="C306" s="780" t="s">
        <v>2623</v>
      </c>
      <c r="D306" s="781"/>
      <c r="E306" s="781"/>
      <c r="F306" s="781"/>
      <c r="G306" s="782"/>
      <c r="H306" s="781"/>
      <c r="I306" s="781"/>
      <c r="J306" s="780"/>
    </row>
    <row r="307" customFormat="false" ht="13.8" hidden="true" customHeight="false" outlineLevel="0" collapsed="false">
      <c r="A307" s="765" t="s">
        <v>3203</v>
      </c>
      <c r="B307" s="779" t="s">
        <v>3204</v>
      </c>
      <c r="C307" s="780" t="s">
        <v>2623</v>
      </c>
      <c r="D307" s="781"/>
      <c r="E307" s="781"/>
      <c r="F307" s="781"/>
      <c r="G307" s="782"/>
      <c r="H307" s="781"/>
      <c r="I307" s="781"/>
      <c r="J307" s="780"/>
    </row>
    <row r="308" customFormat="false" ht="13.8" hidden="true" customHeight="false" outlineLevel="0" collapsed="false">
      <c r="A308" s="765" t="s">
        <v>3205</v>
      </c>
      <c r="B308" s="779" t="s">
        <v>3206</v>
      </c>
      <c r="C308" s="780" t="s">
        <v>2623</v>
      </c>
      <c r="D308" s="781"/>
      <c r="E308" s="781"/>
      <c r="F308" s="781"/>
      <c r="G308" s="782"/>
      <c r="H308" s="781"/>
      <c r="I308" s="781"/>
      <c r="J308" s="780"/>
    </row>
    <row r="309" customFormat="false" ht="13.8" hidden="true" customHeight="false" outlineLevel="0" collapsed="false">
      <c r="A309" s="765" t="s">
        <v>3207</v>
      </c>
      <c r="B309" s="779" t="s">
        <v>3208</v>
      </c>
      <c r="C309" s="780" t="s">
        <v>2623</v>
      </c>
      <c r="D309" s="781"/>
      <c r="E309" s="781"/>
      <c r="F309" s="781"/>
      <c r="G309" s="782"/>
      <c r="H309" s="781"/>
      <c r="I309" s="781"/>
      <c r="J309" s="780"/>
    </row>
    <row r="310" customFormat="false" ht="13.8" hidden="true" customHeight="false" outlineLevel="0" collapsed="false">
      <c r="A310" s="765" t="s">
        <v>3209</v>
      </c>
      <c r="B310" s="779" t="s">
        <v>3210</v>
      </c>
      <c r="C310" s="780" t="s">
        <v>3145</v>
      </c>
      <c r="D310" s="781"/>
      <c r="E310" s="781"/>
      <c r="F310" s="781"/>
      <c r="G310" s="782"/>
      <c r="H310" s="781"/>
      <c r="I310" s="781"/>
      <c r="J310" s="780"/>
    </row>
    <row r="311" customFormat="false" ht="13.8" hidden="true" customHeight="false" outlineLevel="0" collapsed="false">
      <c r="A311" s="765" t="s">
        <v>3211</v>
      </c>
      <c r="B311" s="779" t="s">
        <v>3212</v>
      </c>
      <c r="C311" s="780" t="s">
        <v>2623</v>
      </c>
      <c r="D311" s="781"/>
      <c r="E311" s="781"/>
      <c r="F311" s="781"/>
      <c r="G311" s="782"/>
      <c r="H311" s="781"/>
      <c r="I311" s="781"/>
      <c r="J311" s="780"/>
    </row>
    <row r="312" customFormat="false" ht="13.8" hidden="true" customHeight="false" outlineLevel="0" collapsed="false">
      <c r="A312" s="765" t="s">
        <v>3213</v>
      </c>
      <c r="B312" s="779" t="s">
        <v>3214</v>
      </c>
      <c r="C312" s="780" t="s">
        <v>2623</v>
      </c>
      <c r="D312" s="781"/>
      <c r="E312" s="781"/>
      <c r="F312" s="781"/>
      <c r="G312" s="782"/>
      <c r="H312" s="781"/>
      <c r="I312" s="781"/>
      <c r="J312" s="780"/>
    </row>
    <row r="313" customFormat="false" ht="13.8" hidden="true" customHeight="false" outlineLevel="0" collapsed="false">
      <c r="A313" s="765" t="s">
        <v>3215</v>
      </c>
      <c r="B313" s="779" t="s">
        <v>3216</v>
      </c>
      <c r="C313" s="780" t="s">
        <v>2623</v>
      </c>
      <c r="D313" s="781"/>
      <c r="E313" s="781"/>
      <c r="F313" s="781"/>
      <c r="G313" s="782"/>
      <c r="H313" s="781"/>
      <c r="I313" s="781"/>
      <c r="J313" s="780"/>
    </row>
    <row r="314" customFormat="false" ht="13.8" hidden="true" customHeight="false" outlineLevel="0" collapsed="false">
      <c r="A314" s="765" t="s">
        <v>3217</v>
      </c>
      <c r="B314" s="779" t="s">
        <v>3218</v>
      </c>
      <c r="C314" s="780" t="s">
        <v>2623</v>
      </c>
      <c r="D314" s="781"/>
      <c r="E314" s="781"/>
      <c r="F314" s="781"/>
      <c r="G314" s="782"/>
      <c r="H314" s="781"/>
      <c r="I314" s="781"/>
      <c r="J314" s="780"/>
    </row>
    <row r="315" customFormat="false" ht="13.8" hidden="true" customHeight="false" outlineLevel="0" collapsed="false">
      <c r="A315" s="765" t="s">
        <v>3219</v>
      </c>
      <c r="B315" s="779" t="s">
        <v>3220</v>
      </c>
      <c r="C315" s="780" t="s">
        <v>2623</v>
      </c>
      <c r="D315" s="781"/>
      <c r="E315" s="781"/>
      <c r="F315" s="781"/>
      <c r="G315" s="782"/>
      <c r="H315" s="781"/>
      <c r="I315" s="781"/>
      <c r="J315" s="780"/>
    </row>
    <row r="316" customFormat="false" ht="13.8" hidden="true" customHeight="false" outlineLevel="0" collapsed="false">
      <c r="A316" s="765" t="s">
        <v>3221</v>
      </c>
      <c r="B316" s="779" t="s">
        <v>3222</v>
      </c>
      <c r="C316" s="780" t="s">
        <v>2623</v>
      </c>
      <c r="D316" s="781"/>
      <c r="E316" s="781"/>
      <c r="F316" s="781"/>
      <c r="G316" s="782"/>
      <c r="H316" s="781"/>
      <c r="I316" s="781"/>
      <c r="J316" s="780"/>
    </row>
    <row r="317" customFormat="false" ht="13.8" hidden="true" customHeight="false" outlineLevel="0" collapsed="false">
      <c r="A317" s="765" t="s">
        <v>3223</v>
      </c>
      <c r="B317" s="779" t="s">
        <v>3224</v>
      </c>
      <c r="C317" s="780" t="s">
        <v>2623</v>
      </c>
      <c r="D317" s="781"/>
      <c r="E317" s="781"/>
      <c r="F317" s="781"/>
      <c r="G317" s="782"/>
      <c r="H317" s="781"/>
      <c r="I317" s="781"/>
      <c r="J317" s="780"/>
    </row>
    <row r="318" customFormat="false" ht="13.8" hidden="true" customHeight="false" outlineLevel="0" collapsed="false">
      <c r="A318" s="765" t="s">
        <v>3225</v>
      </c>
      <c r="B318" s="779" t="s">
        <v>3226</v>
      </c>
      <c r="C318" s="780" t="s">
        <v>2580</v>
      </c>
      <c r="D318" s="781"/>
      <c r="E318" s="781"/>
      <c r="F318" s="781"/>
      <c r="G318" s="782"/>
      <c r="H318" s="781"/>
      <c r="I318" s="781"/>
      <c r="J318" s="780"/>
    </row>
    <row r="319" customFormat="false" ht="13.8" hidden="true" customHeight="false" outlineLevel="0" collapsed="false">
      <c r="A319" s="765" t="s">
        <v>3227</v>
      </c>
      <c r="B319" s="779" t="s">
        <v>3228</v>
      </c>
      <c r="C319" s="780" t="s">
        <v>2580</v>
      </c>
      <c r="D319" s="781"/>
      <c r="E319" s="781"/>
      <c r="F319" s="781"/>
      <c r="G319" s="782"/>
      <c r="H319" s="781"/>
      <c r="I319" s="781"/>
      <c r="J319" s="780"/>
    </row>
    <row r="320" customFormat="false" ht="13.8" hidden="true" customHeight="false" outlineLevel="0" collapsed="false">
      <c r="A320" s="765" t="s">
        <v>3229</v>
      </c>
      <c r="B320" s="779" t="s">
        <v>3230</v>
      </c>
      <c r="C320" s="780" t="s">
        <v>2580</v>
      </c>
      <c r="D320" s="781"/>
      <c r="E320" s="781"/>
      <c r="F320" s="781"/>
      <c r="G320" s="782"/>
      <c r="H320" s="781"/>
      <c r="I320" s="781"/>
      <c r="J320" s="780"/>
    </row>
    <row r="321" customFormat="false" ht="13.8" hidden="true" customHeight="false" outlineLevel="0" collapsed="false">
      <c r="A321" s="765" t="s">
        <v>3231</v>
      </c>
      <c r="B321" s="779" t="s">
        <v>3232</v>
      </c>
      <c r="C321" s="780" t="s">
        <v>2580</v>
      </c>
      <c r="D321" s="781"/>
      <c r="E321" s="781"/>
      <c r="F321" s="781"/>
      <c r="G321" s="782"/>
      <c r="H321" s="781"/>
      <c r="I321" s="781"/>
      <c r="J321" s="780"/>
    </row>
    <row r="322" customFormat="false" ht="13.8" hidden="true" customHeight="false" outlineLevel="0" collapsed="false">
      <c r="A322" s="765" t="s">
        <v>3233</v>
      </c>
      <c r="B322" s="779" t="s">
        <v>3234</v>
      </c>
      <c r="C322" s="780" t="s">
        <v>2580</v>
      </c>
      <c r="D322" s="781"/>
      <c r="E322" s="781"/>
      <c r="F322" s="781"/>
      <c r="G322" s="782"/>
      <c r="H322" s="781"/>
      <c r="I322" s="781"/>
      <c r="J322" s="780"/>
    </row>
    <row r="323" customFormat="false" ht="13.8" hidden="true" customHeight="false" outlineLevel="0" collapsed="false">
      <c r="A323" s="765" t="s">
        <v>3235</v>
      </c>
      <c r="B323" s="779" t="s">
        <v>3236</v>
      </c>
      <c r="C323" s="780" t="s">
        <v>2580</v>
      </c>
      <c r="D323" s="781"/>
      <c r="E323" s="781"/>
      <c r="F323" s="781"/>
      <c r="G323" s="782"/>
      <c r="H323" s="781"/>
      <c r="I323" s="781"/>
      <c r="J323" s="780"/>
    </row>
    <row r="324" customFormat="false" ht="13.8" hidden="true" customHeight="false" outlineLevel="0" collapsed="false">
      <c r="A324" s="765" t="s">
        <v>3237</v>
      </c>
      <c r="B324" s="779" t="s">
        <v>3238</v>
      </c>
      <c r="C324" s="780" t="s">
        <v>2580</v>
      </c>
      <c r="D324" s="781"/>
      <c r="E324" s="781"/>
      <c r="F324" s="781"/>
      <c r="G324" s="782"/>
      <c r="H324" s="781"/>
      <c r="I324" s="781"/>
      <c r="J324" s="780"/>
    </row>
    <row r="325" customFormat="false" ht="13.8" hidden="true" customHeight="false" outlineLevel="0" collapsed="false">
      <c r="A325" s="765" t="s">
        <v>3239</v>
      </c>
      <c r="B325" s="779" t="s">
        <v>3240</v>
      </c>
      <c r="C325" s="780" t="s">
        <v>2580</v>
      </c>
      <c r="D325" s="781"/>
      <c r="E325" s="781"/>
      <c r="F325" s="781"/>
      <c r="G325" s="782"/>
      <c r="H325" s="781"/>
      <c r="I325" s="781"/>
      <c r="J325" s="780"/>
    </row>
    <row r="326" customFormat="false" ht="13.8" hidden="true" customHeight="false" outlineLevel="0" collapsed="false">
      <c r="A326" s="765" t="s">
        <v>3241</v>
      </c>
      <c r="B326" s="779" t="s">
        <v>3242</v>
      </c>
      <c r="C326" s="780" t="s">
        <v>2580</v>
      </c>
      <c r="D326" s="781"/>
      <c r="E326" s="781"/>
      <c r="F326" s="781"/>
      <c r="G326" s="782"/>
      <c r="H326" s="781"/>
      <c r="I326" s="781"/>
      <c r="J326" s="780"/>
    </row>
    <row r="327" customFormat="false" ht="13.8" hidden="true" customHeight="false" outlineLevel="0" collapsed="false">
      <c r="A327" s="765" t="s">
        <v>3243</v>
      </c>
      <c r="B327" s="779" t="s">
        <v>3244</v>
      </c>
      <c r="C327" s="780" t="s">
        <v>2580</v>
      </c>
      <c r="D327" s="781"/>
      <c r="E327" s="781"/>
      <c r="F327" s="781"/>
      <c r="G327" s="782"/>
      <c r="H327" s="781"/>
      <c r="I327" s="781"/>
      <c r="J327" s="780"/>
    </row>
    <row r="328" customFormat="false" ht="13.8" hidden="true" customHeight="false" outlineLevel="0" collapsed="false">
      <c r="A328" s="765" t="s">
        <v>3245</v>
      </c>
      <c r="B328" s="779" t="s">
        <v>3246</v>
      </c>
      <c r="C328" s="780" t="s">
        <v>2580</v>
      </c>
      <c r="D328" s="781"/>
      <c r="E328" s="781"/>
      <c r="F328" s="781"/>
      <c r="G328" s="782"/>
      <c r="H328" s="781"/>
      <c r="I328" s="781"/>
      <c r="J328" s="780"/>
    </row>
    <row r="329" customFormat="false" ht="13.8" hidden="true" customHeight="false" outlineLevel="0" collapsed="false">
      <c r="A329" s="765" t="s">
        <v>3247</v>
      </c>
      <c r="B329" s="779" t="s">
        <v>3248</v>
      </c>
      <c r="C329" s="780" t="s">
        <v>2580</v>
      </c>
      <c r="D329" s="781"/>
      <c r="E329" s="781"/>
      <c r="F329" s="781"/>
      <c r="G329" s="782"/>
      <c r="H329" s="781"/>
      <c r="I329" s="781"/>
      <c r="J329" s="780"/>
    </row>
    <row r="330" customFormat="false" ht="13.8" hidden="true" customHeight="false" outlineLevel="0" collapsed="false">
      <c r="A330" s="765" t="s">
        <v>3249</v>
      </c>
      <c r="B330" s="779" t="s">
        <v>3250</v>
      </c>
      <c r="C330" s="780" t="s">
        <v>2580</v>
      </c>
      <c r="D330" s="781"/>
      <c r="E330" s="781"/>
      <c r="F330" s="781"/>
      <c r="G330" s="782"/>
      <c r="H330" s="781"/>
      <c r="I330" s="781"/>
      <c r="J330" s="780"/>
    </row>
    <row r="331" customFormat="false" ht="13.8" hidden="true" customHeight="false" outlineLevel="0" collapsed="false">
      <c r="A331" s="765" t="s">
        <v>3251</v>
      </c>
      <c r="B331" s="779" t="s">
        <v>3252</v>
      </c>
      <c r="C331" s="780" t="s">
        <v>2580</v>
      </c>
      <c r="D331" s="781"/>
      <c r="E331" s="781"/>
      <c r="F331" s="781"/>
      <c r="G331" s="782"/>
      <c r="H331" s="781"/>
      <c r="I331" s="781"/>
      <c r="J331" s="780"/>
    </row>
    <row r="332" customFormat="false" ht="13.8" hidden="true" customHeight="false" outlineLevel="0" collapsed="false">
      <c r="A332" s="765" t="s">
        <v>3253</v>
      </c>
      <c r="B332" s="779" t="s">
        <v>3254</v>
      </c>
      <c r="C332" s="780" t="s">
        <v>2888</v>
      </c>
      <c r="D332" s="781"/>
      <c r="E332" s="781"/>
      <c r="F332" s="781"/>
      <c r="G332" s="782"/>
      <c r="H332" s="781"/>
      <c r="I332" s="781"/>
      <c r="J332" s="780"/>
    </row>
    <row r="333" customFormat="false" ht="13.8" hidden="true" customHeight="false" outlineLevel="0" collapsed="false">
      <c r="A333" s="765" t="s">
        <v>3255</v>
      </c>
      <c r="B333" s="779" t="s">
        <v>3256</v>
      </c>
      <c r="C333" s="780" t="s">
        <v>2888</v>
      </c>
      <c r="D333" s="781"/>
      <c r="E333" s="781"/>
      <c r="F333" s="781"/>
      <c r="G333" s="782"/>
      <c r="H333" s="781"/>
      <c r="I333" s="781"/>
      <c r="J333" s="780"/>
    </row>
    <row r="334" customFormat="false" ht="13.8" hidden="true" customHeight="false" outlineLevel="0" collapsed="false">
      <c r="A334" s="765" t="s">
        <v>3257</v>
      </c>
      <c r="B334" s="779" t="s">
        <v>3258</v>
      </c>
      <c r="C334" s="780" t="s">
        <v>2888</v>
      </c>
      <c r="D334" s="781"/>
      <c r="E334" s="781"/>
      <c r="F334" s="781"/>
      <c r="G334" s="782"/>
      <c r="H334" s="781"/>
      <c r="I334" s="781"/>
      <c r="J334" s="780"/>
    </row>
    <row r="335" customFormat="false" ht="13.8" hidden="true" customHeight="false" outlineLevel="0" collapsed="false">
      <c r="A335" s="765" t="s">
        <v>3259</v>
      </c>
      <c r="B335" s="779" t="s">
        <v>3260</v>
      </c>
      <c r="C335" s="780" t="s">
        <v>2888</v>
      </c>
      <c r="D335" s="781"/>
      <c r="E335" s="781"/>
      <c r="F335" s="781"/>
      <c r="G335" s="782"/>
      <c r="H335" s="781"/>
      <c r="I335" s="781"/>
      <c r="J335" s="780"/>
    </row>
    <row r="336" customFormat="false" ht="13.8" hidden="true" customHeight="false" outlineLevel="0" collapsed="false">
      <c r="A336" s="765" t="s">
        <v>3261</v>
      </c>
      <c r="B336" s="779" t="s">
        <v>3262</v>
      </c>
      <c r="C336" s="780" t="s">
        <v>2888</v>
      </c>
      <c r="D336" s="781"/>
      <c r="E336" s="781"/>
      <c r="F336" s="781"/>
      <c r="G336" s="782"/>
      <c r="H336" s="781"/>
      <c r="I336" s="781"/>
      <c r="J336" s="780"/>
    </row>
    <row r="337" customFormat="false" ht="13.8" hidden="true" customHeight="false" outlineLevel="0" collapsed="false">
      <c r="A337" s="765" t="s">
        <v>3263</v>
      </c>
      <c r="B337" s="779" t="s">
        <v>3264</v>
      </c>
      <c r="C337" s="780" t="s">
        <v>2888</v>
      </c>
      <c r="D337" s="781"/>
      <c r="E337" s="781"/>
      <c r="F337" s="781"/>
      <c r="G337" s="782"/>
      <c r="H337" s="781"/>
      <c r="I337" s="781"/>
      <c r="J337" s="780"/>
    </row>
    <row r="338" customFormat="false" ht="13.8" hidden="true" customHeight="false" outlineLevel="0" collapsed="false">
      <c r="A338" s="765" t="s">
        <v>3265</v>
      </c>
      <c r="B338" s="779" t="s">
        <v>3266</v>
      </c>
      <c r="C338" s="780" t="s">
        <v>2888</v>
      </c>
      <c r="D338" s="781"/>
      <c r="E338" s="781"/>
      <c r="F338" s="781"/>
      <c r="G338" s="782"/>
      <c r="H338" s="781"/>
      <c r="I338" s="781"/>
      <c r="J338" s="780"/>
    </row>
    <row r="339" customFormat="false" ht="13.8" hidden="true" customHeight="false" outlineLevel="0" collapsed="false">
      <c r="A339" s="765" t="s">
        <v>3267</v>
      </c>
      <c r="B339" s="779" t="s">
        <v>3268</v>
      </c>
      <c r="C339" s="780" t="s">
        <v>2888</v>
      </c>
      <c r="D339" s="781"/>
      <c r="E339" s="781"/>
      <c r="F339" s="781"/>
      <c r="G339" s="782"/>
      <c r="H339" s="781"/>
      <c r="I339" s="781"/>
      <c r="J339" s="780"/>
    </row>
    <row r="340" customFormat="false" ht="13.8" hidden="true" customHeight="false" outlineLevel="0" collapsed="false">
      <c r="A340" s="765" t="s">
        <v>3269</v>
      </c>
      <c r="B340" s="779" t="s">
        <v>3270</v>
      </c>
      <c r="C340" s="780" t="s">
        <v>2888</v>
      </c>
      <c r="D340" s="781"/>
      <c r="E340" s="781"/>
      <c r="F340" s="781"/>
      <c r="G340" s="782"/>
      <c r="H340" s="781"/>
      <c r="I340" s="781"/>
      <c r="J340" s="780"/>
    </row>
    <row r="341" customFormat="false" ht="13.8" hidden="true" customHeight="false" outlineLevel="0" collapsed="false">
      <c r="A341" s="765" t="s">
        <v>3271</v>
      </c>
      <c r="B341" s="779" t="s">
        <v>3272</v>
      </c>
      <c r="C341" s="780" t="s">
        <v>2888</v>
      </c>
      <c r="D341" s="781"/>
      <c r="E341" s="781"/>
      <c r="F341" s="781"/>
      <c r="G341" s="782"/>
      <c r="H341" s="781"/>
      <c r="I341" s="781"/>
      <c r="J341" s="780"/>
    </row>
    <row r="342" customFormat="false" ht="13.8" hidden="true" customHeight="false" outlineLevel="0" collapsed="false">
      <c r="A342" s="765" t="s">
        <v>3273</v>
      </c>
      <c r="B342" s="779" t="s">
        <v>3274</v>
      </c>
      <c r="C342" s="780" t="s">
        <v>2888</v>
      </c>
      <c r="D342" s="781"/>
      <c r="E342" s="781"/>
      <c r="F342" s="781"/>
      <c r="G342" s="782"/>
      <c r="H342" s="781"/>
      <c r="I342" s="781"/>
      <c r="J342" s="780"/>
    </row>
    <row r="343" customFormat="false" ht="13.8" hidden="true" customHeight="false" outlineLevel="0" collapsed="false">
      <c r="A343" s="765" t="s">
        <v>3275</v>
      </c>
      <c r="B343" s="779" t="s">
        <v>3276</v>
      </c>
      <c r="C343" s="780" t="s">
        <v>2888</v>
      </c>
      <c r="D343" s="781"/>
      <c r="E343" s="781"/>
      <c r="F343" s="781"/>
      <c r="G343" s="782"/>
      <c r="H343" s="781"/>
      <c r="I343" s="781"/>
      <c r="J343" s="780"/>
    </row>
    <row r="344" customFormat="false" ht="13.8" hidden="true" customHeight="false" outlineLevel="0" collapsed="false">
      <c r="A344" s="765" t="s">
        <v>3277</v>
      </c>
      <c r="B344" s="779" t="s">
        <v>3278</v>
      </c>
      <c r="C344" s="780" t="s">
        <v>2888</v>
      </c>
      <c r="D344" s="781"/>
      <c r="E344" s="781"/>
      <c r="F344" s="781"/>
      <c r="G344" s="782"/>
      <c r="H344" s="781"/>
      <c r="I344" s="781"/>
      <c r="J344" s="780"/>
    </row>
    <row r="345" customFormat="false" ht="13.8" hidden="true" customHeight="false" outlineLevel="0" collapsed="false">
      <c r="A345" s="765" t="s">
        <v>3279</v>
      </c>
      <c r="B345" s="779" t="s">
        <v>3280</v>
      </c>
      <c r="C345" s="780" t="s">
        <v>2888</v>
      </c>
      <c r="D345" s="781"/>
      <c r="E345" s="781"/>
      <c r="F345" s="781"/>
      <c r="G345" s="782"/>
      <c r="H345" s="781"/>
      <c r="I345" s="781"/>
      <c r="J345" s="780"/>
    </row>
    <row r="346" customFormat="false" ht="13.8" hidden="true" customHeight="false" outlineLevel="0" collapsed="false">
      <c r="A346" s="765" t="s">
        <v>3281</v>
      </c>
      <c r="B346" s="779" t="s">
        <v>3282</v>
      </c>
      <c r="C346" s="780" t="s">
        <v>2757</v>
      </c>
      <c r="D346" s="781"/>
      <c r="E346" s="781"/>
      <c r="F346" s="781"/>
      <c r="G346" s="782"/>
      <c r="H346" s="781"/>
      <c r="I346" s="781"/>
      <c r="J346" s="780"/>
    </row>
    <row r="347" customFormat="false" ht="13.8" hidden="true" customHeight="false" outlineLevel="0" collapsed="false">
      <c r="A347" s="765" t="s">
        <v>3283</v>
      </c>
      <c r="B347" s="779" t="s">
        <v>3284</v>
      </c>
      <c r="C347" s="780" t="s">
        <v>2757</v>
      </c>
      <c r="D347" s="781"/>
      <c r="E347" s="781"/>
      <c r="F347" s="781"/>
      <c r="G347" s="782"/>
      <c r="H347" s="781"/>
      <c r="I347" s="781"/>
      <c r="J347" s="780"/>
    </row>
    <row r="348" customFormat="false" ht="13.8" hidden="true" customHeight="false" outlineLevel="0" collapsed="false">
      <c r="A348" s="765" t="s">
        <v>3285</v>
      </c>
      <c r="B348" s="779" t="s">
        <v>3286</v>
      </c>
      <c r="C348" s="780" t="s">
        <v>2757</v>
      </c>
      <c r="D348" s="781"/>
      <c r="E348" s="781"/>
      <c r="F348" s="781"/>
      <c r="G348" s="782"/>
      <c r="H348" s="781"/>
      <c r="I348" s="781"/>
      <c r="J348" s="780"/>
    </row>
    <row r="349" customFormat="false" ht="13.8" hidden="true" customHeight="false" outlineLevel="0" collapsed="false">
      <c r="A349" s="765" t="s">
        <v>3287</v>
      </c>
      <c r="B349" s="779" t="s">
        <v>3288</v>
      </c>
      <c r="C349" s="780" t="s">
        <v>2757</v>
      </c>
      <c r="D349" s="781"/>
      <c r="E349" s="781"/>
      <c r="F349" s="781"/>
      <c r="G349" s="782"/>
      <c r="H349" s="781"/>
      <c r="I349" s="781"/>
      <c r="J349" s="780"/>
    </row>
    <row r="350" customFormat="false" ht="13.8" hidden="true" customHeight="false" outlineLevel="0" collapsed="false">
      <c r="A350" s="765" t="s">
        <v>3289</v>
      </c>
      <c r="B350" s="779" t="s">
        <v>3290</v>
      </c>
      <c r="C350" s="780" t="s">
        <v>2757</v>
      </c>
      <c r="D350" s="781"/>
      <c r="E350" s="781"/>
      <c r="F350" s="781"/>
      <c r="G350" s="782"/>
      <c r="H350" s="781"/>
      <c r="I350" s="781"/>
      <c r="J350" s="780"/>
    </row>
    <row r="351" customFormat="false" ht="13.8" hidden="true" customHeight="false" outlineLevel="0" collapsed="false">
      <c r="A351" s="765" t="s">
        <v>3291</v>
      </c>
      <c r="B351" s="779" t="s">
        <v>3292</v>
      </c>
      <c r="C351" s="780" t="s">
        <v>2757</v>
      </c>
      <c r="D351" s="781"/>
      <c r="E351" s="781"/>
      <c r="F351" s="781"/>
      <c r="G351" s="782"/>
      <c r="H351" s="781"/>
      <c r="I351" s="781"/>
      <c r="J351" s="780"/>
    </row>
    <row r="352" customFormat="false" ht="13.8" hidden="true" customHeight="false" outlineLevel="0" collapsed="false">
      <c r="A352" s="765" t="s">
        <v>3293</v>
      </c>
      <c r="B352" s="779" t="s">
        <v>3294</v>
      </c>
      <c r="C352" s="780" t="s">
        <v>2757</v>
      </c>
      <c r="D352" s="781"/>
      <c r="E352" s="781"/>
      <c r="F352" s="781"/>
      <c r="G352" s="782"/>
      <c r="H352" s="781"/>
      <c r="I352" s="781"/>
      <c r="J352" s="780"/>
    </row>
    <row r="353" customFormat="false" ht="13.8" hidden="true" customHeight="false" outlineLevel="0" collapsed="false">
      <c r="A353" s="765" t="s">
        <v>3295</v>
      </c>
      <c r="B353" s="779" t="s">
        <v>3296</v>
      </c>
      <c r="C353" s="780" t="s">
        <v>2757</v>
      </c>
      <c r="D353" s="781"/>
      <c r="E353" s="781"/>
      <c r="F353" s="781"/>
      <c r="G353" s="782"/>
      <c r="H353" s="781"/>
      <c r="I353" s="781"/>
      <c r="J353" s="780"/>
    </row>
    <row r="354" customFormat="false" ht="13.8" hidden="true" customHeight="false" outlineLevel="0" collapsed="false">
      <c r="A354" s="765" t="s">
        <v>3297</v>
      </c>
      <c r="B354" s="779" t="s">
        <v>3298</v>
      </c>
      <c r="C354" s="780" t="s">
        <v>2757</v>
      </c>
      <c r="D354" s="781"/>
      <c r="E354" s="781"/>
      <c r="F354" s="781"/>
      <c r="G354" s="782"/>
      <c r="H354" s="781"/>
      <c r="I354" s="781"/>
      <c r="J354" s="780"/>
    </row>
    <row r="355" customFormat="false" ht="13.8" hidden="true" customHeight="false" outlineLevel="0" collapsed="false">
      <c r="A355" s="765" t="s">
        <v>3299</v>
      </c>
      <c r="B355" s="779" t="s">
        <v>3300</v>
      </c>
      <c r="C355" s="780" t="s">
        <v>2996</v>
      </c>
      <c r="D355" s="781"/>
      <c r="E355" s="781"/>
      <c r="F355" s="781"/>
      <c r="G355" s="782"/>
      <c r="H355" s="781"/>
      <c r="I355" s="781"/>
      <c r="J355" s="780"/>
    </row>
    <row r="356" customFormat="false" ht="13.8" hidden="true" customHeight="false" outlineLevel="0" collapsed="false">
      <c r="A356" s="765" t="s">
        <v>3301</v>
      </c>
      <c r="B356" s="779" t="s">
        <v>3302</v>
      </c>
      <c r="C356" s="780" t="s">
        <v>2580</v>
      </c>
      <c r="D356" s="781"/>
      <c r="E356" s="781"/>
      <c r="F356" s="781"/>
      <c r="G356" s="782"/>
      <c r="H356" s="781"/>
      <c r="I356" s="781"/>
      <c r="J356" s="780"/>
    </row>
    <row r="357" customFormat="false" ht="13.8" hidden="true" customHeight="false" outlineLevel="0" collapsed="false">
      <c r="A357" s="765" t="s">
        <v>3303</v>
      </c>
      <c r="B357" s="779" t="s">
        <v>3304</v>
      </c>
      <c r="C357" s="780" t="s">
        <v>2580</v>
      </c>
      <c r="D357" s="781"/>
      <c r="E357" s="781"/>
      <c r="F357" s="781"/>
      <c r="G357" s="782"/>
      <c r="H357" s="781"/>
      <c r="I357" s="781"/>
      <c r="J357" s="780"/>
    </row>
    <row r="358" customFormat="false" ht="13.8" hidden="true" customHeight="false" outlineLevel="0" collapsed="false">
      <c r="A358" s="765" t="s">
        <v>3305</v>
      </c>
      <c r="B358" s="779" t="s">
        <v>3306</v>
      </c>
      <c r="C358" s="780" t="s">
        <v>2580</v>
      </c>
      <c r="D358" s="781"/>
      <c r="E358" s="781"/>
      <c r="F358" s="781"/>
      <c r="G358" s="782"/>
      <c r="H358" s="781"/>
      <c r="I358" s="781"/>
      <c r="J358" s="780"/>
    </row>
    <row r="359" customFormat="false" ht="13.8" hidden="true" customHeight="false" outlineLevel="0" collapsed="false">
      <c r="A359" s="765" t="s">
        <v>3307</v>
      </c>
      <c r="B359" s="779" t="s">
        <v>3308</v>
      </c>
      <c r="C359" s="780" t="s">
        <v>2580</v>
      </c>
      <c r="D359" s="781"/>
      <c r="E359" s="781"/>
      <c r="F359" s="781"/>
      <c r="G359" s="782"/>
      <c r="H359" s="781"/>
      <c r="I359" s="781"/>
      <c r="J359" s="780"/>
    </row>
    <row r="360" customFormat="false" ht="13.8" hidden="true" customHeight="false" outlineLevel="0" collapsed="false">
      <c r="A360" s="765" t="s">
        <v>3309</v>
      </c>
      <c r="B360" s="779" t="s">
        <v>3310</v>
      </c>
      <c r="C360" s="780" t="s">
        <v>3145</v>
      </c>
      <c r="D360" s="781"/>
      <c r="E360" s="781"/>
      <c r="F360" s="781"/>
      <c r="G360" s="782"/>
      <c r="H360" s="781"/>
      <c r="I360" s="781"/>
      <c r="J360" s="780"/>
    </row>
    <row r="361" customFormat="false" ht="13.8" hidden="true" customHeight="false" outlineLevel="0" collapsed="false">
      <c r="A361" s="765" t="s">
        <v>3311</v>
      </c>
      <c r="B361" s="779" t="s">
        <v>3312</v>
      </c>
      <c r="C361" s="780" t="s">
        <v>2907</v>
      </c>
      <c r="D361" s="781"/>
      <c r="E361" s="781"/>
      <c r="F361" s="781"/>
      <c r="G361" s="782"/>
      <c r="H361" s="781"/>
      <c r="I361" s="781"/>
      <c r="J361" s="780"/>
    </row>
    <row r="362" customFormat="false" ht="13.8" hidden="true" customHeight="false" outlineLevel="0" collapsed="false">
      <c r="A362" s="765" t="s">
        <v>3313</v>
      </c>
      <c r="B362" s="779" t="s">
        <v>3314</v>
      </c>
      <c r="C362" s="780" t="s">
        <v>2907</v>
      </c>
      <c r="D362" s="781"/>
      <c r="E362" s="781"/>
      <c r="F362" s="781"/>
      <c r="G362" s="782"/>
      <c r="H362" s="781"/>
      <c r="I362" s="781"/>
      <c r="J362" s="780"/>
    </row>
    <row r="363" customFormat="false" ht="13.8" hidden="true" customHeight="false" outlineLevel="0" collapsed="false">
      <c r="A363" s="765" t="s">
        <v>3315</v>
      </c>
      <c r="B363" s="779" t="s">
        <v>3316</v>
      </c>
      <c r="C363" s="780" t="s">
        <v>2907</v>
      </c>
      <c r="D363" s="781"/>
      <c r="E363" s="781"/>
      <c r="F363" s="781"/>
      <c r="G363" s="782"/>
      <c r="H363" s="781"/>
      <c r="I363" s="781"/>
      <c r="J363" s="780"/>
    </row>
    <row r="364" customFormat="false" ht="13.8" hidden="true" customHeight="false" outlineLevel="0" collapsed="false">
      <c r="A364" s="765" t="s">
        <v>3317</v>
      </c>
      <c r="B364" s="779" t="s">
        <v>3318</v>
      </c>
      <c r="C364" s="780" t="s">
        <v>2907</v>
      </c>
      <c r="D364" s="781"/>
      <c r="E364" s="781"/>
      <c r="F364" s="781"/>
      <c r="G364" s="782"/>
      <c r="H364" s="781"/>
      <c r="I364" s="781"/>
      <c r="J364" s="780"/>
    </row>
    <row r="365" customFormat="false" ht="13.8" hidden="true" customHeight="false" outlineLevel="0" collapsed="false">
      <c r="A365" s="765" t="s">
        <v>3319</v>
      </c>
      <c r="B365" s="779" t="s">
        <v>3320</v>
      </c>
      <c r="C365" s="780" t="s">
        <v>2907</v>
      </c>
      <c r="D365" s="781"/>
      <c r="E365" s="781"/>
      <c r="F365" s="781"/>
      <c r="G365" s="782"/>
      <c r="H365" s="781"/>
      <c r="I365" s="781"/>
      <c r="J365" s="780"/>
    </row>
    <row r="366" customFormat="false" ht="13.8" hidden="true" customHeight="false" outlineLevel="0" collapsed="false">
      <c r="A366" s="765" t="s">
        <v>3321</v>
      </c>
      <c r="B366" s="779" t="s">
        <v>3322</v>
      </c>
      <c r="C366" s="780" t="s">
        <v>2888</v>
      </c>
      <c r="D366" s="781"/>
      <c r="E366" s="781"/>
      <c r="F366" s="781"/>
      <c r="G366" s="782"/>
      <c r="H366" s="781"/>
      <c r="I366" s="781"/>
      <c r="J366" s="780"/>
    </row>
    <row r="367" customFormat="false" ht="13.8" hidden="false" customHeight="false" outlineLevel="0" collapsed="false">
      <c r="A367" s="765" t="s">
        <v>3323</v>
      </c>
      <c r="B367" s="779" t="s">
        <v>3324</v>
      </c>
      <c r="C367" s="780" t="s">
        <v>2500</v>
      </c>
      <c r="D367" s="781"/>
      <c r="E367" s="781"/>
      <c r="F367" s="781"/>
      <c r="G367" s="782"/>
      <c r="H367" s="781"/>
      <c r="I367" s="781"/>
      <c r="J367" s="780"/>
    </row>
    <row r="368" customFormat="false" ht="13.8" hidden="false" customHeight="false" outlineLevel="0" collapsed="false">
      <c r="A368" s="765" t="s">
        <v>3325</v>
      </c>
      <c r="B368" s="779" t="s">
        <v>3326</v>
      </c>
      <c r="C368" s="780" t="s">
        <v>2500</v>
      </c>
      <c r="D368" s="781"/>
      <c r="E368" s="781"/>
      <c r="F368" s="781"/>
      <c r="G368" s="782"/>
      <c r="H368" s="781"/>
      <c r="I368" s="781"/>
      <c r="J368" s="780"/>
    </row>
    <row r="369" customFormat="false" ht="13.8" hidden="false" customHeight="false" outlineLevel="0" collapsed="false">
      <c r="A369" s="765" t="s">
        <v>3327</v>
      </c>
      <c r="B369" s="779" t="s">
        <v>3328</v>
      </c>
      <c r="C369" s="780" t="s">
        <v>2500</v>
      </c>
      <c r="D369" s="781"/>
      <c r="E369" s="781"/>
      <c r="F369" s="781"/>
      <c r="G369" s="782"/>
      <c r="H369" s="781"/>
      <c r="I369" s="781"/>
      <c r="J369" s="780"/>
    </row>
    <row r="370" customFormat="false" ht="13.8" hidden="false" customHeight="false" outlineLevel="0" collapsed="false">
      <c r="A370" s="765" t="s">
        <v>3329</v>
      </c>
      <c r="B370" s="779" t="s">
        <v>3330</v>
      </c>
      <c r="C370" s="780" t="s">
        <v>2500</v>
      </c>
      <c r="D370" s="781"/>
      <c r="E370" s="781"/>
      <c r="F370" s="781"/>
      <c r="G370" s="782"/>
      <c r="H370" s="781"/>
      <c r="I370" s="781"/>
      <c r="J370" s="780"/>
    </row>
    <row r="371" customFormat="false" ht="13.8" hidden="true" customHeight="false" outlineLevel="0" collapsed="false">
      <c r="A371" s="765" t="s">
        <v>3331</v>
      </c>
      <c r="B371" s="779" t="s">
        <v>3332</v>
      </c>
      <c r="C371" s="780" t="s">
        <v>2888</v>
      </c>
      <c r="D371" s="781"/>
      <c r="E371" s="781"/>
      <c r="F371" s="781"/>
      <c r="G371" s="782"/>
      <c r="H371" s="781"/>
      <c r="I371" s="781"/>
      <c r="J371" s="780"/>
    </row>
    <row r="372" customFormat="false" ht="13.8" hidden="true" customHeight="false" outlineLevel="0" collapsed="false">
      <c r="A372" s="765" t="s">
        <v>3333</v>
      </c>
      <c r="B372" s="779" t="s">
        <v>3334</v>
      </c>
      <c r="C372" s="780" t="s">
        <v>2623</v>
      </c>
      <c r="D372" s="781"/>
      <c r="E372" s="781"/>
      <c r="F372" s="781"/>
      <c r="G372" s="782"/>
      <c r="H372" s="781"/>
      <c r="I372" s="781"/>
      <c r="J372" s="780"/>
    </row>
    <row r="373" customFormat="false" ht="13.8" hidden="true" customHeight="false" outlineLevel="0" collapsed="false">
      <c r="A373" s="765" t="s">
        <v>3335</v>
      </c>
      <c r="B373" s="779" t="s">
        <v>3336</v>
      </c>
      <c r="C373" s="780" t="s">
        <v>2623</v>
      </c>
      <c r="D373" s="781"/>
      <c r="E373" s="781"/>
      <c r="F373" s="781"/>
      <c r="G373" s="782"/>
      <c r="H373" s="781"/>
      <c r="I373" s="781"/>
      <c r="J373" s="780"/>
    </row>
    <row r="374" customFormat="false" ht="13.8" hidden="true" customHeight="false" outlineLevel="0" collapsed="false">
      <c r="A374" s="765" t="s">
        <v>3337</v>
      </c>
      <c r="B374" s="779" t="s">
        <v>3338</v>
      </c>
      <c r="C374" s="780" t="s">
        <v>2623</v>
      </c>
      <c r="D374" s="781"/>
      <c r="E374" s="781"/>
      <c r="F374" s="781"/>
      <c r="G374" s="782"/>
      <c r="H374" s="781"/>
      <c r="I374" s="781"/>
      <c r="J374" s="780"/>
    </row>
    <row r="375" customFormat="false" ht="13.8" hidden="true" customHeight="false" outlineLevel="0" collapsed="false">
      <c r="A375" s="765" t="s">
        <v>3339</v>
      </c>
      <c r="B375" s="779" t="s">
        <v>3340</v>
      </c>
      <c r="C375" s="780" t="s">
        <v>2623</v>
      </c>
      <c r="D375" s="781"/>
      <c r="E375" s="781"/>
      <c r="F375" s="781"/>
      <c r="G375" s="782"/>
      <c r="H375" s="781"/>
      <c r="I375" s="781"/>
      <c r="J375" s="780"/>
    </row>
    <row r="376" customFormat="false" ht="13.8" hidden="true" customHeight="false" outlineLevel="0" collapsed="false">
      <c r="A376" s="765" t="s">
        <v>3341</v>
      </c>
      <c r="B376" s="779" t="s">
        <v>3342</v>
      </c>
      <c r="C376" s="780" t="s">
        <v>2623</v>
      </c>
      <c r="D376" s="781"/>
      <c r="E376" s="781"/>
      <c r="F376" s="781"/>
      <c r="G376" s="782"/>
      <c r="H376" s="781"/>
      <c r="I376" s="781"/>
      <c r="J376" s="780"/>
    </row>
    <row r="377" customFormat="false" ht="13.8" hidden="true" customHeight="false" outlineLevel="0" collapsed="false">
      <c r="A377" s="765" t="s">
        <v>3343</v>
      </c>
      <c r="B377" s="779" t="s">
        <v>3344</v>
      </c>
      <c r="C377" s="780" t="s">
        <v>2740</v>
      </c>
      <c r="D377" s="781"/>
      <c r="E377" s="781"/>
      <c r="F377" s="781"/>
      <c r="G377" s="782"/>
      <c r="H377" s="781"/>
      <c r="I377" s="781"/>
      <c r="J377" s="780"/>
    </row>
    <row r="378" customFormat="false" ht="13.8" hidden="true" customHeight="false" outlineLevel="0" collapsed="false">
      <c r="A378" s="765" t="s">
        <v>3345</v>
      </c>
      <c r="B378" s="779" t="s">
        <v>3346</v>
      </c>
      <c r="C378" s="780" t="s">
        <v>2740</v>
      </c>
      <c r="D378" s="781"/>
      <c r="E378" s="781"/>
      <c r="F378" s="781"/>
      <c r="G378" s="782"/>
      <c r="H378" s="781"/>
      <c r="I378" s="781"/>
      <c r="J378" s="780"/>
    </row>
    <row r="379" customFormat="false" ht="13.8" hidden="true" customHeight="false" outlineLevel="0" collapsed="false">
      <c r="A379" s="765" t="s">
        <v>3347</v>
      </c>
      <c r="B379" s="779" t="s">
        <v>3348</v>
      </c>
      <c r="C379" s="780" t="s">
        <v>2740</v>
      </c>
      <c r="D379" s="781"/>
      <c r="E379" s="781"/>
      <c r="F379" s="781"/>
      <c r="G379" s="782"/>
      <c r="H379" s="781"/>
      <c r="I379" s="781"/>
      <c r="J379" s="780"/>
    </row>
    <row r="380" customFormat="false" ht="13.8" hidden="true" customHeight="false" outlineLevel="0" collapsed="false">
      <c r="A380" s="765" t="s">
        <v>3349</v>
      </c>
      <c r="B380" s="779" t="s">
        <v>3350</v>
      </c>
      <c r="C380" s="780" t="s">
        <v>2740</v>
      </c>
      <c r="D380" s="781"/>
      <c r="E380" s="781"/>
      <c r="F380" s="781"/>
      <c r="G380" s="782"/>
      <c r="H380" s="781"/>
      <c r="I380" s="781"/>
      <c r="J380" s="780"/>
    </row>
    <row r="381" customFormat="false" ht="13.8" hidden="true" customHeight="false" outlineLevel="0" collapsed="false">
      <c r="A381" s="765" t="s">
        <v>3351</v>
      </c>
      <c r="B381" s="779" t="s">
        <v>3352</v>
      </c>
      <c r="C381" s="780" t="s">
        <v>2926</v>
      </c>
      <c r="D381" s="781"/>
      <c r="E381" s="781"/>
      <c r="F381" s="781"/>
      <c r="G381" s="782"/>
      <c r="H381" s="781"/>
      <c r="I381" s="781"/>
      <c r="J381" s="780"/>
    </row>
    <row r="382" customFormat="false" ht="13.8" hidden="true" customHeight="false" outlineLevel="0" collapsed="false">
      <c r="A382" s="765" t="s">
        <v>3353</v>
      </c>
      <c r="B382" s="779" t="s">
        <v>3354</v>
      </c>
      <c r="C382" s="780" t="s">
        <v>2926</v>
      </c>
      <c r="D382" s="781"/>
      <c r="E382" s="781"/>
      <c r="F382" s="781"/>
      <c r="G382" s="782"/>
      <c r="H382" s="781"/>
      <c r="I382" s="781"/>
      <c r="J382" s="780"/>
    </row>
    <row r="383" customFormat="false" ht="13.8" hidden="true" customHeight="false" outlineLevel="0" collapsed="false">
      <c r="A383" s="765" t="s">
        <v>3355</v>
      </c>
      <c r="B383" s="779" t="s">
        <v>3356</v>
      </c>
      <c r="C383" s="780" t="s">
        <v>2926</v>
      </c>
      <c r="D383" s="781"/>
      <c r="E383" s="781"/>
      <c r="F383" s="781"/>
      <c r="G383" s="782"/>
      <c r="H383" s="781"/>
      <c r="I383" s="781"/>
      <c r="J383" s="780"/>
    </row>
    <row r="384" customFormat="false" ht="13.8" hidden="true" customHeight="false" outlineLevel="0" collapsed="false">
      <c r="A384" s="765" t="s">
        <v>3357</v>
      </c>
      <c r="B384" s="779" t="s">
        <v>3358</v>
      </c>
      <c r="C384" s="780" t="s">
        <v>2907</v>
      </c>
      <c r="D384" s="781"/>
      <c r="E384" s="781"/>
      <c r="F384" s="781"/>
      <c r="G384" s="782"/>
      <c r="H384" s="781"/>
      <c r="I384" s="781"/>
      <c r="J384" s="780"/>
    </row>
    <row r="385" customFormat="false" ht="13.8" hidden="true" customHeight="false" outlineLevel="0" collapsed="false">
      <c r="A385" s="765" t="s">
        <v>3359</v>
      </c>
      <c r="B385" s="779" t="s">
        <v>3360</v>
      </c>
      <c r="C385" s="780" t="s">
        <v>2907</v>
      </c>
      <c r="D385" s="781"/>
      <c r="E385" s="781"/>
      <c r="F385" s="781"/>
      <c r="G385" s="782"/>
      <c r="H385" s="781"/>
      <c r="I385" s="781"/>
      <c r="J385" s="780"/>
    </row>
    <row r="386" customFormat="false" ht="13.8" hidden="true" customHeight="false" outlineLevel="0" collapsed="false">
      <c r="A386" s="765" t="s">
        <v>3361</v>
      </c>
      <c r="B386" s="779" t="s">
        <v>3362</v>
      </c>
      <c r="C386" s="780" t="s">
        <v>2757</v>
      </c>
      <c r="D386" s="781"/>
      <c r="E386" s="781"/>
      <c r="F386" s="781"/>
      <c r="G386" s="782"/>
      <c r="H386" s="781"/>
      <c r="I386" s="781"/>
      <c r="J386" s="780"/>
    </row>
    <row r="387" customFormat="false" ht="13.8" hidden="true" customHeight="false" outlineLevel="0" collapsed="false">
      <c r="A387" s="765" t="s">
        <v>3363</v>
      </c>
      <c r="B387" s="779" t="s">
        <v>3364</v>
      </c>
      <c r="C387" s="780" t="s">
        <v>2580</v>
      </c>
      <c r="D387" s="781"/>
      <c r="E387" s="781"/>
      <c r="F387" s="781"/>
      <c r="G387" s="782"/>
      <c r="H387" s="781"/>
      <c r="I387" s="781"/>
      <c r="J387" s="780"/>
    </row>
    <row r="388" customFormat="false" ht="13.8" hidden="true" customHeight="false" outlineLevel="0" collapsed="false">
      <c r="A388" s="765" t="s">
        <v>3365</v>
      </c>
      <c r="B388" s="779" t="s">
        <v>3366</v>
      </c>
      <c r="C388" s="780" t="s">
        <v>2623</v>
      </c>
      <c r="D388" s="781"/>
      <c r="E388" s="781"/>
      <c r="F388" s="781"/>
      <c r="G388" s="782"/>
      <c r="H388" s="781"/>
      <c r="I388" s="781"/>
      <c r="J388" s="780"/>
    </row>
    <row r="389" customFormat="false" ht="13.8" hidden="true" customHeight="false" outlineLevel="0" collapsed="false">
      <c r="A389" s="765" t="s">
        <v>3367</v>
      </c>
      <c r="B389" s="779" t="s">
        <v>3368</v>
      </c>
      <c r="C389" s="780" t="s">
        <v>2623</v>
      </c>
      <c r="D389" s="781"/>
      <c r="E389" s="781"/>
      <c r="F389" s="781"/>
      <c r="G389" s="782"/>
      <c r="H389" s="781"/>
      <c r="I389" s="781"/>
      <c r="J389" s="780"/>
    </row>
    <row r="390" customFormat="false" ht="13.8" hidden="true" customHeight="false" outlineLevel="0" collapsed="false">
      <c r="A390" s="765" t="s">
        <v>3369</v>
      </c>
      <c r="B390" s="779" t="s">
        <v>3370</v>
      </c>
      <c r="C390" s="780" t="s">
        <v>2926</v>
      </c>
      <c r="D390" s="781"/>
      <c r="E390" s="781"/>
      <c r="F390" s="781"/>
      <c r="G390" s="782"/>
      <c r="H390" s="781"/>
      <c r="I390" s="781"/>
      <c r="J390" s="780"/>
    </row>
    <row r="391" customFormat="false" ht="13.8" hidden="true" customHeight="false" outlineLevel="0" collapsed="false">
      <c r="A391" s="765" t="s">
        <v>3371</v>
      </c>
      <c r="B391" s="779" t="s">
        <v>3372</v>
      </c>
      <c r="C391" s="780" t="s">
        <v>2757</v>
      </c>
      <c r="D391" s="781"/>
      <c r="E391" s="781"/>
      <c r="F391" s="781"/>
      <c r="G391" s="782"/>
      <c r="H391" s="781"/>
      <c r="I391" s="781"/>
      <c r="J391" s="780"/>
    </row>
    <row r="392" customFormat="false" ht="13.8" hidden="true" customHeight="false" outlineLevel="0" collapsed="false">
      <c r="A392" s="765" t="s">
        <v>3373</v>
      </c>
      <c r="B392" s="779" t="s">
        <v>3374</v>
      </c>
      <c r="C392" s="780" t="s">
        <v>2740</v>
      </c>
      <c r="D392" s="781"/>
      <c r="E392" s="781"/>
      <c r="F392" s="781"/>
      <c r="G392" s="782"/>
      <c r="H392" s="781"/>
      <c r="I392" s="781"/>
      <c r="J392" s="780"/>
    </row>
    <row r="393" customFormat="false" ht="13.8" hidden="true" customHeight="false" outlineLevel="0" collapsed="false">
      <c r="A393" s="765" t="s">
        <v>3375</v>
      </c>
      <c r="B393" s="779" t="s">
        <v>3376</v>
      </c>
      <c r="C393" s="780" t="s">
        <v>2888</v>
      </c>
      <c r="D393" s="781"/>
      <c r="E393" s="781"/>
      <c r="F393" s="781"/>
      <c r="G393" s="782"/>
      <c r="H393" s="781"/>
      <c r="I393" s="781"/>
      <c r="J393" s="780"/>
    </row>
    <row r="394" customFormat="false" ht="13.8" hidden="true" customHeight="false" outlineLevel="0" collapsed="false">
      <c r="A394" s="765" t="s">
        <v>3377</v>
      </c>
      <c r="B394" s="779" t="s">
        <v>3378</v>
      </c>
      <c r="C394" s="780" t="s">
        <v>2888</v>
      </c>
      <c r="D394" s="781"/>
      <c r="E394" s="781"/>
      <c r="F394" s="781"/>
      <c r="G394" s="782"/>
      <c r="H394" s="781"/>
      <c r="I394" s="781"/>
      <c r="J394" s="780"/>
    </row>
    <row r="395" customFormat="false" ht="13.8" hidden="true" customHeight="false" outlineLevel="0" collapsed="false">
      <c r="A395" s="765" t="s">
        <v>3379</v>
      </c>
      <c r="B395" s="779" t="s">
        <v>3380</v>
      </c>
      <c r="C395" s="780" t="s">
        <v>2790</v>
      </c>
      <c r="D395" s="781"/>
      <c r="E395" s="781"/>
      <c r="F395" s="781"/>
      <c r="G395" s="782"/>
      <c r="H395" s="781"/>
      <c r="I395" s="781"/>
      <c r="J395" s="780"/>
    </row>
    <row r="396" customFormat="false" ht="13.8" hidden="true" customHeight="false" outlineLevel="0" collapsed="false">
      <c r="A396" s="765" t="s">
        <v>3381</v>
      </c>
      <c r="B396" s="779" t="s">
        <v>3382</v>
      </c>
      <c r="C396" s="780" t="s">
        <v>2790</v>
      </c>
      <c r="D396" s="781"/>
      <c r="E396" s="781"/>
      <c r="F396" s="781"/>
      <c r="G396" s="782"/>
      <c r="H396" s="781"/>
      <c r="I396" s="781"/>
      <c r="J396" s="780"/>
    </row>
    <row r="397" customFormat="false" ht="13.8" hidden="true" customHeight="false" outlineLevel="0" collapsed="false">
      <c r="A397" s="765" t="s">
        <v>3383</v>
      </c>
      <c r="B397" s="779" t="s">
        <v>3384</v>
      </c>
      <c r="C397" s="780" t="s">
        <v>2790</v>
      </c>
      <c r="D397" s="781"/>
      <c r="E397" s="781"/>
      <c r="F397" s="781"/>
      <c r="G397" s="782"/>
      <c r="H397" s="781"/>
      <c r="I397" s="781"/>
      <c r="J397" s="780"/>
    </row>
    <row r="398" customFormat="false" ht="13.8" hidden="true" customHeight="false" outlineLevel="0" collapsed="false">
      <c r="A398" s="765" t="s">
        <v>3385</v>
      </c>
      <c r="B398" s="779" t="s">
        <v>3386</v>
      </c>
      <c r="C398" s="780" t="s">
        <v>3145</v>
      </c>
      <c r="D398" s="781"/>
      <c r="E398" s="781"/>
      <c r="F398" s="781"/>
      <c r="G398" s="782"/>
      <c r="H398" s="781"/>
      <c r="I398" s="781"/>
      <c r="J398" s="780"/>
    </row>
    <row r="399" customFormat="false" ht="13.8" hidden="true" customHeight="false" outlineLevel="0" collapsed="false">
      <c r="A399" s="765" t="s">
        <v>3387</v>
      </c>
      <c r="B399" s="779" t="s">
        <v>3388</v>
      </c>
      <c r="C399" s="780" t="s">
        <v>2907</v>
      </c>
      <c r="D399" s="781"/>
      <c r="E399" s="781"/>
      <c r="F399" s="781"/>
      <c r="G399" s="782"/>
      <c r="H399" s="781"/>
      <c r="I399" s="781"/>
      <c r="J399" s="780"/>
    </row>
    <row r="400" customFormat="false" ht="13.8" hidden="true" customHeight="false" outlineLevel="0" collapsed="false">
      <c r="A400" s="765" t="s">
        <v>3389</v>
      </c>
      <c r="B400" s="779" t="s">
        <v>3390</v>
      </c>
      <c r="C400" s="780" t="s">
        <v>2907</v>
      </c>
      <c r="D400" s="781"/>
      <c r="E400" s="781"/>
      <c r="F400" s="781"/>
      <c r="G400" s="782"/>
      <c r="H400" s="781"/>
      <c r="I400" s="781"/>
      <c r="J400" s="780"/>
    </row>
    <row r="401" customFormat="false" ht="13.8" hidden="true" customHeight="false" outlineLevel="0" collapsed="false">
      <c r="A401" s="765" t="s">
        <v>3391</v>
      </c>
      <c r="B401" s="779" t="s">
        <v>3392</v>
      </c>
      <c r="C401" s="780" t="s">
        <v>2888</v>
      </c>
      <c r="D401" s="781"/>
      <c r="E401" s="781"/>
      <c r="F401" s="781"/>
      <c r="G401" s="782"/>
      <c r="H401" s="781"/>
      <c r="I401" s="781"/>
      <c r="J401" s="780"/>
    </row>
    <row r="402" customFormat="false" ht="13.8" hidden="true" customHeight="false" outlineLevel="0" collapsed="false">
      <c r="A402" s="765" t="s">
        <v>3393</v>
      </c>
      <c r="B402" s="779" t="s">
        <v>3394</v>
      </c>
      <c r="C402" s="780" t="s">
        <v>2623</v>
      </c>
      <c r="D402" s="781"/>
      <c r="E402" s="781"/>
      <c r="F402" s="781"/>
      <c r="G402" s="782"/>
      <c r="H402" s="781"/>
      <c r="I402" s="781"/>
      <c r="J402" s="780"/>
      <c r="M402" s="768" t="s">
        <v>320</v>
      </c>
      <c r="N402" s="768" t="n">
        <v>1</v>
      </c>
    </row>
    <row r="403" customFormat="false" ht="13.8" hidden="true" customHeight="false" outlineLevel="0" collapsed="false">
      <c r="A403" s="765" t="s">
        <v>3395</v>
      </c>
      <c r="B403" s="779" t="s">
        <v>3396</v>
      </c>
      <c r="C403" s="780" t="s">
        <v>2623</v>
      </c>
      <c r="D403" s="781"/>
      <c r="E403" s="781"/>
      <c r="F403" s="781"/>
      <c r="G403" s="782"/>
      <c r="H403" s="781"/>
      <c r="I403" s="781"/>
      <c r="J403" s="780"/>
      <c r="M403" s="768" t="s">
        <v>320</v>
      </c>
      <c r="N403" s="768" t="n">
        <v>1</v>
      </c>
    </row>
    <row r="404" customFormat="false" ht="13.8" hidden="true" customHeight="false" outlineLevel="0" collapsed="false">
      <c r="A404" s="765" t="s">
        <v>3397</v>
      </c>
      <c r="B404" s="779" t="s">
        <v>3398</v>
      </c>
      <c r="C404" s="780" t="s">
        <v>2623</v>
      </c>
      <c r="D404" s="781"/>
      <c r="E404" s="781"/>
      <c r="F404" s="781"/>
      <c r="G404" s="782"/>
      <c r="H404" s="781"/>
      <c r="I404" s="781"/>
      <c r="J404" s="780"/>
      <c r="K404" s="768" t="s">
        <v>60</v>
      </c>
      <c r="L404" s="768" t="n">
        <v>1</v>
      </c>
      <c r="M404" s="768" t="s">
        <v>320</v>
      </c>
      <c r="N404" s="768" t="n">
        <v>1</v>
      </c>
    </row>
    <row r="405" customFormat="false" ht="13.8" hidden="true" customHeight="false" outlineLevel="0" collapsed="false">
      <c r="A405" s="765" t="s">
        <v>3399</v>
      </c>
      <c r="B405" s="779" t="s">
        <v>3400</v>
      </c>
      <c r="C405" s="780" t="s">
        <v>2580</v>
      </c>
      <c r="D405" s="781"/>
      <c r="E405" s="781"/>
      <c r="F405" s="781"/>
      <c r="G405" s="782"/>
      <c r="H405" s="781"/>
      <c r="I405" s="781"/>
      <c r="J405" s="780"/>
      <c r="M405" s="768" t="s">
        <v>825</v>
      </c>
      <c r="N405" s="768" t="n">
        <v>1</v>
      </c>
    </row>
    <row r="406" customFormat="false" ht="13.8" hidden="true" customHeight="false" outlineLevel="0" collapsed="false">
      <c r="A406" s="765" t="s">
        <v>3401</v>
      </c>
      <c r="B406" s="779" t="s">
        <v>3402</v>
      </c>
      <c r="C406" s="780" t="s">
        <v>2580</v>
      </c>
      <c r="D406" s="781"/>
      <c r="E406" s="781"/>
      <c r="F406" s="781"/>
      <c r="G406" s="782"/>
      <c r="H406" s="781"/>
      <c r="I406" s="781"/>
      <c r="J406" s="780"/>
      <c r="M406" s="768" t="s">
        <v>2450</v>
      </c>
      <c r="N406" s="768" t="n">
        <v>1</v>
      </c>
    </row>
    <row r="407" customFormat="false" ht="13.8" hidden="true" customHeight="false" outlineLevel="0" collapsed="false">
      <c r="A407" s="765" t="s">
        <v>3403</v>
      </c>
      <c r="B407" s="779" t="s">
        <v>3404</v>
      </c>
      <c r="C407" s="780" t="s">
        <v>2580</v>
      </c>
      <c r="D407" s="781"/>
      <c r="E407" s="781"/>
      <c r="F407" s="781"/>
      <c r="G407" s="782"/>
      <c r="H407" s="781"/>
      <c r="I407" s="781"/>
      <c r="J407" s="780"/>
      <c r="M407" s="768" t="s">
        <v>829</v>
      </c>
      <c r="N407" s="768" t="n">
        <v>1</v>
      </c>
    </row>
    <row r="408" customFormat="false" ht="13.8" hidden="true" customHeight="false" outlineLevel="0" collapsed="false">
      <c r="A408" s="765" t="s">
        <v>3405</v>
      </c>
      <c r="B408" s="779" t="s">
        <v>3406</v>
      </c>
      <c r="C408" s="780" t="s">
        <v>2623</v>
      </c>
      <c r="D408" s="781"/>
      <c r="E408" s="781"/>
      <c r="F408" s="781"/>
      <c r="G408" s="782"/>
      <c r="H408" s="781"/>
      <c r="I408" s="781"/>
      <c r="J408" s="780"/>
    </row>
    <row r="409" customFormat="false" ht="13.8" hidden="true" customHeight="false" outlineLevel="0" collapsed="false">
      <c r="A409" s="765" t="s">
        <v>3407</v>
      </c>
      <c r="B409" s="779" t="s">
        <v>3408</v>
      </c>
      <c r="C409" s="780" t="s">
        <v>2809</v>
      </c>
      <c r="D409" s="781"/>
      <c r="E409" s="781"/>
      <c r="F409" s="781"/>
      <c r="G409" s="782"/>
      <c r="H409" s="781"/>
      <c r="I409" s="781"/>
      <c r="J409" s="780"/>
    </row>
    <row r="410" customFormat="false" ht="13.8" hidden="true" customHeight="false" outlineLevel="0" collapsed="false">
      <c r="A410" s="765" t="s">
        <v>3409</v>
      </c>
      <c r="B410" s="779" t="s">
        <v>3410</v>
      </c>
      <c r="C410" s="780" t="s">
        <v>2809</v>
      </c>
      <c r="D410" s="781"/>
      <c r="E410" s="781"/>
      <c r="F410" s="781"/>
      <c r="G410" s="782"/>
      <c r="H410" s="781"/>
      <c r="I410" s="781"/>
      <c r="J410" s="780"/>
    </row>
    <row r="411" customFormat="false" ht="13.8" hidden="true" customHeight="false" outlineLevel="0" collapsed="false">
      <c r="A411" s="765" t="s">
        <v>3411</v>
      </c>
      <c r="B411" s="779" t="s">
        <v>3412</v>
      </c>
      <c r="C411" s="780" t="s">
        <v>2888</v>
      </c>
      <c r="D411" s="781"/>
      <c r="E411" s="781"/>
      <c r="F411" s="781"/>
      <c r="G411" s="782"/>
      <c r="H411" s="781"/>
      <c r="I411" s="781"/>
      <c r="J411" s="780"/>
    </row>
    <row r="412" customFormat="false" ht="13.8" hidden="true" customHeight="false" outlineLevel="0" collapsed="false">
      <c r="A412" s="765" t="s">
        <v>3413</v>
      </c>
      <c r="B412" s="779" t="s">
        <v>3414</v>
      </c>
      <c r="C412" s="780" t="s">
        <v>2996</v>
      </c>
      <c r="D412" s="781"/>
      <c r="E412" s="781"/>
      <c r="F412" s="781"/>
      <c r="G412" s="782"/>
      <c r="H412" s="781"/>
      <c r="I412" s="781"/>
      <c r="J412" s="780"/>
    </row>
    <row r="413" customFormat="false" ht="13.8" hidden="true" customHeight="false" outlineLevel="0" collapsed="false">
      <c r="A413" s="765" t="s">
        <v>3415</v>
      </c>
      <c r="B413" s="779" t="s">
        <v>3416</v>
      </c>
      <c r="C413" s="780" t="s">
        <v>2996</v>
      </c>
      <c r="D413" s="781"/>
      <c r="E413" s="781"/>
      <c r="F413" s="781"/>
      <c r="G413" s="782"/>
      <c r="H413" s="781"/>
      <c r="I413" s="781"/>
      <c r="J413" s="780"/>
    </row>
    <row r="414" customFormat="false" ht="13.8" hidden="true" customHeight="false" outlineLevel="0" collapsed="false">
      <c r="A414" s="765" t="s">
        <v>3417</v>
      </c>
      <c r="B414" s="779" t="s">
        <v>3418</v>
      </c>
      <c r="C414" s="780" t="s">
        <v>2623</v>
      </c>
      <c r="D414" s="781"/>
      <c r="E414" s="781"/>
      <c r="F414" s="781"/>
      <c r="G414" s="782"/>
      <c r="H414" s="781"/>
      <c r="I414" s="781"/>
      <c r="J414" s="780"/>
    </row>
    <row r="415" customFormat="false" ht="13.8" hidden="true" customHeight="false" outlineLevel="0" collapsed="false">
      <c r="A415" s="765" t="s">
        <v>3419</v>
      </c>
      <c r="B415" s="779" t="s">
        <v>3420</v>
      </c>
      <c r="C415" s="780" t="s">
        <v>2580</v>
      </c>
      <c r="D415" s="781"/>
      <c r="E415" s="781"/>
      <c r="F415" s="781"/>
      <c r="G415" s="782"/>
      <c r="H415" s="781"/>
      <c r="I415" s="781"/>
      <c r="J415" s="780"/>
    </row>
    <row r="416" customFormat="false" ht="13.8" hidden="true" customHeight="false" outlineLevel="0" collapsed="false">
      <c r="A416" s="765" t="s">
        <v>3421</v>
      </c>
      <c r="B416" s="779" t="s">
        <v>3422</v>
      </c>
      <c r="C416" s="780" t="s">
        <v>2790</v>
      </c>
      <c r="D416" s="781"/>
      <c r="E416" s="781"/>
      <c r="F416" s="781"/>
      <c r="G416" s="782"/>
      <c r="H416" s="781"/>
      <c r="I416" s="781"/>
      <c r="J416" s="780"/>
    </row>
    <row r="417" customFormat="false" ht="13.8" hidden="true" customHeight="false" outlineLevel="0" collapsed="false">
      <c r="A417" s="765" t="s">
        <v>3423</v>
      </c>
      <c r="B417" s="779" t="s">
        <v>3424</v>
      </c>
      <c r="C417" s="780" t="s">
        <v>2790</v>
      </c>
      <c r="D417" s="781"/>
      <c r="E417" s="781"/>
      <c r="F417" s="781"/>
      <c r="G417" s="782"/>
      <c r="H417" s="781"/>
      <c r="I417" s="781"/>
      <c r="J417" s="780"/>
    </row>
    <row r="418" customFormat="false" ht="13.8" hidden="true" customHeight="false" outlineLevel="0" collapsed="false">
      <c r="A418" s="765" t="s">
        <v>3425</v>
      </c>
      <c r="B418" s="779" t="s">
        <v>3426</v>
      </c>
      <c r="C418" s="780" t="s">
        <v>2790</v>
      </c>
      <c r="D418" s="781"/>
      <c r="E418" s="781"/>
      <c r="F418" s="781"/>
      <c r="G418" s="782"/>
      <c r="H418" s="781"/>
      <c r="I418" s="781"/>
      <c r="J418" s="780"/>
    </row>
    <row r="419" customFormat="false" ht="13.8" hidden="true" customHeight="false" outlineLevel="0" collapsed="false">
      <c r="A419" s="765" t="s">
        <v>3427</v>
      </c>
      <c r="B419" s="779" t="s">
        <v>3428</v>
      </c>
      <c r="C419" s="780" t="s">
        <v>2790</v>
      </c>
      <c r="D419" s="781"/>
      <c r="E419" s="781"/>
      <c r="F419" s="781"/>
      <c r="G419" s="782"/>
      <c r="H419" s="781"/>
      <c r="I419" s="781"/>
      <c r="J419" s="780"/>
    </row>
    <row r="420" customFormat="false" ht="13.8" hidden="true" customHeight="false" outlineLevel="0" collapsed="false">
      <c r="A420" s="765" t="s">
        <v>3429</v>
      </c>
      <c r="B420" s="779" t="s">
        <v>3430</v>
      </c>
      <c r="C420" s="780" t="s">
        <v>2580</v>
      </c>
      <c r="D420" s="781"/>
      <c r="E420" s="781"/>
      <c r="F420" s="781"/>
      <c r="G420" s="782"/>
      <c r="H420" s="781"/>
      <c r="I420" s="781"/>
      <c r="J420" s="780"/>
      <c r="M420" s="768" t="s">
        <v>2463</v>
      </c>
      <c r="N420" s="768" t="n">
        <v>1</v>
      </c>
    </row>
    <row r="421" customFormat="false" ht="13.8" hidden="true" customHeight="false" outlineLevel="0" collapsed="false">
      <c r="A421" s="765" t="s">
        <v>3431</v>
      </c>
      <c r="B421" s="779" t="s">
        <v>3432</v>
      </c>
      <c r="C421" s="780" t="s">
        <v>2580</v>
      </c>
      <c r="D421" s="781"/>
      <c r="E421" s="781"/>
      <c r="F421" s="781"/>
      <c r="G421" s="782"/>
      <c r="H421" s="781"/>
      <c r="I421" s="781"/>
      <c r="J421" s="780"/>
      <c r="M421" s="768" t="s">
        <v>2462</v>
      </c>
      <c r="N421" s="768" t="n">
        <v>1</v>
      </c>
    </row>
    <row r="422" customFormat="false" ht="13.8" hidden="true" customHeight="false" outlineLevel="0" collapsed="false">
      <c r="A422" s="765" t="s">
        <v>3433</v>
      </c>
      <c r="B422" s="779" t="s">
        <v>3434</v>
      </c>
      <c r="C422" s="780" t="s">
        <v>2580</v>
      </c>
      <c r="D422" s="781"/>
      <c r="E422" s="781"/>
      <c r="F422" s="781"/>
      <c r="G422" s="782"/>
      <c r="H422" s="781"/>
      <c r="I422" s="781"/>
      <c r="J422" s="780"/>
      <c r="M422" s="768" t="s">
        <v>2465</v>
      </c>
      <c r="N422" s="768" t="n">
        <v>1</v>
      </c>
    </row>
    <row r="423" customFormat="false" ht="13.8" hidden="true" customHeight="false" outlineLevel="0" collapsed="false">
      <c r="A423" s="765" t="s">
        <v>3435</v>
      </c>
      <c r="B423" s="779" t="s">
        <v>3436</v>
      </c>
      <c r="C423" s="780" t="s">
        <v>2580</v>
      </c>
      <c r="D423" s="781"/>
      <c r="E423" s="781"/>
      <c r="F423" s="781"/>
      <c r="G423" s="782"/>
      <c r="H423" s="781"/>
      <c r="I423" s="781"/>
      <c r="J423" s="780"/>
      <c r="M423" s="768" t="s">
        <v>2464</v>
      </c>
      <c r="N423" s="768" t="n">
        <v>1</v>
      </c>
    </row>
    <row r="424" customFormat="false" ht="13.8" hidden="true" customHeight="false" outlineLevel="0" collapsed="false">
      <c r="A424" s="765" t="s">
        <v>3437</v>
      </c>
      <c r="B424" s="779" t="s">
        <v>3438</v>
      </c>
      <c r="C424" s="780" t="s">
        <v>2580</v>
      </c>
      <c r="D424" s="781"/>
      <c r="E424" s="781"/>
      <c r="F424" s="781"/>
      <c r="G424" s="782"/>
      <c r="H424" s="781"/>
      <c r="I424" s="781"/>
      <c r="J424" s="780"/>
      <c r="M424" s="768" t="s">
        <v>2467</v>
      </c>
      <c r="N424" s="768" t="n">
        <v>1</v>
      </c>
    </row>
    <row r="425" customFormat="false" ht="13.8" hidden="true" customHeight="false" outlineLevel="0" collapsed="false">
      <c r="A425" s="765" t="s">
        <v>3439</v>
      </c>
      <c r="B425" s="779" t="s">
        <v>3440</v>
      </c>
      <c r="C425" s="780" t="s">
        <v>2580</v>
      </c>
      <c r="D425" s="781"/>
      <c r="E425" s="781"/>
      <c r="F425" s="781"/>
      <c r="G425" s="782"/>
      <c r="H425" s="781"/>
      <c r="I425" s="781"/>
      <c r="J425" s="780"/>
      <c r="M425" s="768" t="s">
        <v>2466</v>
      </c>
      <c r="N425" s="768" t="n">
        <v>1</v>
      </c>
    </row>
    <row r="426" customFormat="false" ht="13.8" hidden="true" customHeight="false" outlineLevel="0" collapsed="false">
      <c r="A426" s="765" t="s">
        <v>3441</v>
      </c>
      <c r="B426" s="779" t="s">
        <v>3442</v>
      </c>
      <c r="C426" s="780" t="s">
        <v>2580</v>
      </c>
      <c r="D426" s="781"/>
      <c r="E426" s="781"/>
      <c r="F426" s="781"/>
      <c r="G426" s="782"/>
      <c r="H426" s="781"/>
      <c r="I426" s="781"/>
      <c r="J426" s="780"/>
      <c r="M426" s="768" t="s">
        <v>2469</v>
      </c>
      <c r="N426" s="768" t="n">
        <v>1</v>
      </c>
    </row>
    <row r="427" customFormat="false" ht="13.8" hidden="true" customHeight="false" outlineLevel="0" collapsed="false">
      <c r="A427" s="765" t="s">
        <v>3443</v>
      </c>
      <c r="B427" s="779" t="s">
        <v>3444</v>
      </c>
      <c r="C427" s="780" t="s">
        <v>2580</v>
      </c>
      <c r="D427" s="781"/>
      <c r="E427" s="781"/>
      <c r="F427" s="781"/>
      <c r="G427" s="782"/>
      <c r="H427" s="781"/>
      <c r="I427" s="781"/>
      <c r="J427" s="780"/>
      <c r="M427" s="768" t="s">
        <v>2468</v>
      </c>
      <c r="N427" s="768" t="n">
        <v>1</v>
      </c>
    </row>
    <row r="428" customFormat="false" ht="13.8" hidden="true" customHeight="false" outlineLevel="0" collapsed="false">
      <c r="A428" s="765" t="s">
        <v>3445</v>
      </c>
      <c r="B428" s="779" t="s">
        <v>3446</v>
      </c>
      <c r="C428" s="780" t="s">
        <v>2580</v>
      </c>
      <c r="D428" s="781"/>
      <c r="E428" s="781"/>
      <c r="F428" s="781"/>
      <c r="G428" s="782"/>
      <c r="H428" s="781"/>
      <c r="I428" s="781"/>
      <c r="J428" s="780"/>
    </row>
    <row r="429" customFormat="false" ht="13.8" hidden="true" customHeight="false" outlineLevel="0" collapsed="false">
      <c r="A429" s="765" t="s">
        <v>3447</v>
      </c>
      <c r="B429" s="779" t="s">
        <v>3448</v>
      </c>
      <c r="C429" s="780" t="s">
        <v>2580</v>
      </c>
      <c r="D429" s="781"/>
      <c r="E429" s="781"/>
      <c r="F429" s="781"/>
      <c r="G429" s="782"/>
      <c r="H429" s="781"/>
      <c r="I429" s="781"/>
      <c r="J429" s="780"/>
    </row>
    <row r="430" customFormat="false" ht="13.8" hidden="true" customHeight="false" outlineLevel="0" collapsed="false">
      <c r="A430" s="765" t="s">
        <v>3449</v>
      </c>
      <c r="B430" s="779" t="s">
        <v>3450</v>
      </c>
      <c r="C430" s="780" t="s">
        <v>2580</v>
      </c>
      <c r="D430" s="781"/>
      <c r="E430" s="781"/>
      <c r="F430" s="781"/>
      <c r="G430" s="782"/>
      <c r="H430" s="781"/>
      <c r="I430" s="781"/>
      <c r="J430" s="780"/>
    </row>
    <row r="431" customFormat="false" ht="13.8" hidden="true" customHeight="false" outlineLevel="0" collapsed="false">
      <c r="A431" s="765" t="s">
        <v>3451</v>
      </c>
      <c r="B431" s="779" t="s">
        <v>3452</v>
      </c>
      <c r="C431" s="780" t="s">
        <v>2580</v>
      </c>
      <c r="D431" s="781"/>
      <c r="E431" s="781"/>
      <c r="F431" s="781"/>
      <c r="G431" s="782"/>
      <c r="H431" s="781"/>
      <c r="I431" s="781"/>
      <c r="J431" s="780"/>
    </row>
    <row r="432" customFormat="false" ht="13.8" hidden="true" customHeight="false" outlineLevel="0" collapsed="false">
      <c r="A432" s="765" t="s">
        <v>3453</v>
      </c>
      <c r="B432" s="779" t="s">
        <v>3454</v>
      </c>
      <c r="C432" s="780" t="s">
        <v>2790</v>
      </c>
      <c r="D432" s="781"/>
      <c r="E432" s="781"/>
      <c r="F432" s="781"/>
      <c r="G432" s="782"/>
      <c r="H432" s="781"/>
      <c r="I432" s="781"/>
      <c r="J432" s="780"/>
    </row>
    <row r="433" customFormat="false" ht="13.8" hidden="true" customHeight="false" outlineLevel="0" collapsed="false">
      <c r="A433" s="765" t="s">
        <v>3455</v>
      </c>
      <c r="B433" s="779" t="s">
        <v>3456</v>
      </c>
      <c r="C433" s="780" t="s">
        <v>2790</v>
      </c>
      <c r="D433" s="781"/>
      <c r="E433" s="781"/>
      <c r="F433" s="781"/>
      <c r="G433" s="782"/>
      <c r="H433" s="781"/>
      <c r="I433" s="781"/>
      <c r="J433" s="780"/>
    </row>
    <row r="434" customFormat="false" ht="13.8" hidden="true" customHeight="false" outlineLevel="0" collapsed="false">
      <c r="A434" s="765" t="s">
        <v>3457</v>
      </c>
      <c r="B434" s="779" t="s">
        <v>3458</v>
      </c>
      <c r="C434" s="780" t="s">
        <v>2790</v>
      </c>
      <c r="D434" s="781"/>
      <c r="E434" s="781"/>
      <c r="F434" s="781"/>
      <c r="G434" s="782"/>
      <c r="H434" s="781"/>
      <c r="I434" s="781"/>
      <c r="J434" s="780"/>
    </row>
    <row r="435" customFormat="false" ht="13.8" hidden="true" customHeight="false" outlineLevel="0" collapsed="false">
      <c r="A435" s="765" t="s">
        <v>3459</v>
      </c>
      <c r="B435" s="779" t="s">
        <v>3460</v>
      </c>
      <c r="C435" s="780" t="s">
        <v>2580</v>
      </c>
      <c r="D435" s="781"/>
      <c r="E435" s="781"/>
      <c r="F435" s="781"/>
      <c r="G435" s="782"/>
      <c r="H435" s="781"/>
      <c r="I435" s="781"/>
      <c r="J435" s="780"/>
      <c r="M435" s="768" t="s">
        <v>797</v>
      </c>
      <c r="N435" s="768" t="n">
        <v>1</v>
      </c>
    </row>
    <row r="436" customFormat="false" ht="13.8" hidden="true" customHeight="false" outlineLevel="0" collapsed="false">
      <c r="A436" s="765" t="s">
        <v>3461</v>
      </c>
      <c r="B436" s="779" t="s">
        <v>3462</v>
      </c>
      <c r="C436" s="780" t="s">
        <v>2580</v>
      </c>
      <c r="D436" s="781"/>
      <c r="E436" s="781"/>
      <c r="F436" s="781"/>
      <c r="G436" s="782"/>
      <c r="H436" s="781"/>
      <c r="I436" s="781"/>
      <c r="J436" s="780"/>
      <c r="M436" s="768" t="s">
        <v>801</v>
      </c>
      <c r="N436" s="768" t="n">
        <v>1</v>
      </c>
    </row>
    <row r="437" customFormat="false" ht="13.8" hidden="true" customHeight="false" outlineLevel="0" collapsed="false">
      <c r="A437" s="765" t="n">
        <v>26564</v>
      </c>
      <c r="B437" s="779" t="s">
        <v>3463</v>
      </c>
      <c r="C437" s="780" t="s">
        <v>2580</v>
      </c>
      <c r="D437" s="781"/>
      <c r="E437" s="781"/>
      <c r="F437" s="781"/>
      <c r="G437" s="782"/>
      <c r="H437" s="781"/>
      <c r="I437" s="781"/>
      <c r="J437" s="780"/>
      <c r="M437" s="768" t="s">
        <v>2464</v>
      </c>
      <c r="N437" s="768" t="n">
        <v>1</v>
      </c>
    </row>
    <row r="438" customFormat="false" ht="13.8" hidden="true" customHeight="false" outlineLevel="0" collapsed="false">
      <c r="A438" s="765" t="n">
        <v>26565</v>
      </c>
      <c r="B438" s="779" t="s">
        <v>3464</v>
      </c>
      <c r="C438" s="780" t="s">
        <v>3464</v>
      </c>
      <c r="D438" s="781"/>
      <c r="E438" s="781"/>
      <c r="F438" s="781"/>
      <c r="G438" s="782"/>
      <c r="H438" s="781"/>
      <c r="I438" s="781"/>
      <c r="J438" s="780"/>
      <c r="M438" s="768" t="s">
        <v>2462</v>
      </c>
      <c r="N438" s="768" t="n">
        <v>1</v>
      </c>
    </row>
    <row r="439" customFormat="false" ht="13.8" hidden="true" customHeight="false" outlineLevel="0" collapsed="false">
      <c r="A439" s="765" t="n">
        <v>26570</v>
      </c>
      <c r="B439" s="779" t="s">
        <v>3465</v>
      </c>
      <c r="C439" s="780" t="s">
        <v>2580</v>
      </c>
      <c r="D439" s="781"/>
      <c r="E439" s="781"/>
      <c r="F439" s="781"/>
      <c r="G439" s="782"/>
      <c r="H439" s="781"/>
      <c r="I439" s="781"/>
      <c r="J439" s="780"/>
      <c r="M439" s="768" t="s">
        <v>2465</v>
      </c>
      <c r="N439" s="768" t="n">
        <v>1</v>
      </c>
    </row>
    <row r="440" customFormat="false" ht="13.8" hidden="true" customHeight="false" outlineLevel="0" collapsed="false">
      <c r="A440" s="765" t="s">
        <v>3466</v>
      </c>
      <c r="B440" s="779" t="s">
        <v>3467</v>
      </c>
      <c r="C440" s="780" t="s">
        <v>2580</v>
      </c>
      <c r="D440" s="781"/>
      <c r="E440" s="781"/>
      <c r="F440" s="781"/>
      <c r="G440" s="782"/>
      <c r="H440" s="781"/>
      <c r="I440" s="781"/>
      <c r="J440" s="780"/>
      <c r="M440" s="768" t="s">
        <v>870</v>
      </c>
      <c r="N440" s="768" t="n">
        <v>1</v>
      </c>
    </row>
    <row r="441" customFormat="false" ht="13.8" hidden="true" customHeight="false" outlineLevel="0" collapsed="false">
      <c r="A441" s="765" t="s">
        <v>3468</v>
      </c>
      <c r="B441" s="779" t="s">
        <v>3469</v>
      </c>
      <c r="C441" s="780" t="s">
        <v>2580</v>
      </c>
      <c r="D441" s="781"/>
      <c r="E441" s="781"/>
      <c r="F441" s="781"/>
      <c r="G441" s="782"/>
      <c r="H441" s="781"/>
      <c r="I441" s="781"/>
      <c r="J441" s="780"/>
      <c r="M441" s="768" t="s">
        <v>865</v>
      </c>
      <c r="N441" s="768" t="n">
        <v>1</v>
      </c>
    </row>
    <row r="442" customFormat="false" ht="13.8" hidden="true" customHeight="false" outlineLevel="0" collapsed="false">
      <c r="A442" s="765" t="s">
        <v>3470</v>
      </c>
      <c r="B442" s="779" t="s">
        <v>3471</v>
      </c>
      <c r="C442" s="780" t="s">
        <v>2580</v>
      </c>
      <c r="D442" s="781"/>
      <c r="E442" s="781"/>
      <c r="F442" s="781"/>
      <c r="G442" s="782"/>
      <c r="H442" s="781"/>
      <c r="I442" s="781"/>
      <c r="J442" s="780"/>
      <c r="M442" s="768" t="s">
        <v>2473</v>
      </c>
      <c r="N442" s="768" t="n">
        <v>1</v>
      </c>
    </row>
    <row r="443" customFormat="false" ht="13.8" hidden="true" customHeight="false" outlineLevel="0" collapsed="false">
      <c r="A443" s="765" t="s">
        <v>3472</v>
      </c>
      <c r="B443" s="779" t="s">
        <v>3473</v>
      </c>
      <c r="C443" s="780" t="s">
        <v>2580</v>
      </c>
      <c r="D443" s="781"/>
      <c r="E443" s="781"/>
      <c r="F443" s="781"/>
      <c r="G443" s="782"/>
      <c r="H443" s="781"/>
      <c r="I443" s="781"/>
      <c r="J443" s="780"/>
      <c r="M443" s="768" t="s">
        <v>2470</v>
      </c>
      <c r="N443" s="768" t="n">
        <v>1</v>
      </c>
    </row>
    <row r="444" customFormat="false" ht="13.8" hidden="true" customHeight="false" outlineLevel="0" collapsed="false">
      <c r="A444" s="765" t="s">
        <v>3474</v>
      </c>
      <c r="B444" s="779" t="s">
        <v>3475</v>
      </c>
      <c r="C444" s="780" t="s">
        <v>2580</v>
      </c>
      <c r="D444" s="781"/>
      <c r="E444" s="781"/>
      <c r="F444" s="781"/>
      <c r="G444" s="782"/>
      <c r="H444" s="781"/>
      <c r="I444" s="781"/>
      <c r="J444" s="780"/>
      <c r="M444" s="768" t="s">
        <v>2474</v>
      </c>
      <c r="N444" s="768" t="n">
        <v>1</v>
      </c>
    </row>
    <row r="445" customFormat="false" ht="13.8" hidden="true" customHeight="false" outlineLevel="0" collapsed="false">
      <c r="A445" s="765" t="s">
        <v>3476</v>
      </c>
      <c r="B445" s="779" t="s">
        <v>3477</v>
      </c>
      <c r="C445" s="780" t="s">
        <v>2580</v>
      </c>
      <c r="D445" s="781"/>
      <c r="E445" s="781"/>
      <c r="F445" s="781"/>
      <c r="G445" s="782"/>
      <c r="H445" s="781"/>
      <c r="I445" s="781"/>
      <c r="J445" s="780"/>
      <c r="M445" s="768" t="s">
        <v>2471</v>
      </c>
      <c r="N445" s="768" t="n">
        <v>1</v>
      </c>
    </row>
    <row r="446" customFormat="false" ht="13.8" hidden="true" customHeight="false" outlineLevel="0" collapsed="false">
      <c r="A446" s="765" t="s">
        <v>3478</v>
      </c>
      <c r="B446" s="779" t="s">
        <v>3479</v>
      </c>
      <c r="C446" s="780" t="s">
        <v>2757</v>
      </c>
      <c r="D446" s="781"/>
      <c r="E446" s="781"/>
      <c r="F446" s="781"/>
      <c r="G446" s="782"/>
      <c r="H446" s="781"/>
      <c r="I446" s="781"/>
      <c r="J446" s="780"/>
    </row>
    <row r="447" customFormat="false" ht="13.8" hidden="true" customHeight="false" outlineLevel="0" collapsed="false">
      <c r="A447" s="765" t="s">
        <v>3480</v>
      </c>
      <c r="B447" s="779" t="s">
        <v>3481</v>
      </c>
      <c r="C447" s="780" t="s">
        <v>2790</v>
      </c>
      <c r="D447" s="781"/>
      <c r="E447" s="781"/>
      <c r="F447" s="781"/>
      <c r="G447" s="782"/>
      <c r="H447" s="781"/>
      <c r="I447" s="781"/>
      <c r="J447" s="780"/>
    </row>
    <row r="448" customFormat="false" ht="13.8" hidden="true" customHeight="false" outlineLevel="0" collapsed="false">
      <c r="A448" s="765" t="s">
        <v>3482</v>
      </c>
      <c r="B448" s="779" t="s">
        <v>3483</v>
      </c>
      <c r="C448" s="780" t="s">
        <v>2888</v>
      </c>
      <c r="D448" s="781"/>
      <c r="E448" s="781"/>
      <c r="F448" s="781"/>
      <c r="G448" s="782"/>
      <c r="H448" s="781"/>
      <c r="I448" s="781"/>
      <c r="J448" s="780"/>
    </row>
    <row r="449" customFormat="false" ht="13.8" hidden="true" customHeight="false" outlineLevel="0" collapsed="false">
      <c r="A449" s="765" t="s">
        <v>3484</v>
      </c>
      <c r="B449" s="779" t="s">
        <v>3485</v>
      </c>
      <c r="C449" s="780" t="s">
        <v>2623</v>
      </c>
      <c r="D449" s="781"/>
      <c r="E449" s="781"/>
      <c r="F449" s="781"/>
      <c r="G449" s="782"/>
      <c r="H449" s="781"/>
      <c r="I449" s="781"/>
      <c r="J449" s="780"/>
      <c r="M449" s="768" t="s">
        <v>2472</v>
      </c>
      <c r="N449" s="768" t="n">
        <v>1</v>
      </c>
    </row>
    <row r="450" customFormat="false" ht="13.8" hidden="false" customHeight="false" outlineLevel="0" collapsed="false">
      <c r="A450" s="765" t="s">
        <v>3486</v>
      </c>
      <c r="B450" s="779" t="s">
        <v>3487</v>
      </c>
      <c r="C450" s="780" t="s">
        <v>2500</v>
      </c>
      <c r="D450" s="781"/>
      <c r="E450" s="781"/>
      <c r="F450" s="781"/>
      <c r="G450" s="782"/>
      <c r="H450" s="781"/>
      <c r="I450" s="781"/>
      <c r="J450" s="780"/>
      <c r="K450" s="768" t="s">
        <v>53</v>
      </c>
      <c r="L450" s="768" t="n">
        <v>1</v>
      </c>
    </row>
    <row r="451" customFormat="false" ht="13.8" hidden="false" customHeight="false" outlineLevel="0" collapsed="false">
      <c r="A451" s="765" t="s">
        <v>3488</v>
      </c>
      <c r="B451" s="779" t="s">
        <v>3489</v>
      </c>
      <c r="C451" s="780" t="s">
        <v>2500</v>
      </c>
      <c r="D451" s="781"/>
      <c r="E451" s="781"/>
      <c r="F451" s="781"/>
      <c r="G451" s="782"/>
      <c r="H451" s="781"/>
      <c r="I451" s="781"/>
      <c r="J451" s="780"/>
      <c r="K451" s="768" t="s">
        <v>60</v>
      </c>
      <c r="L451" s="768" t="n">
        <v>1</v>
      </c>
    </row>
    <row r="452" customFormat="false" ht="13.8" hidden="true" customHeight="false" outlineLevel="0" collapsed="false">
      <c r="A452" s="765" t="s">
        <v>3490</v>
      </c>
      <c r="B452" s="779" t="s">
        <v>3491</v>
      </c>
      <c r="C452" s="780" t="s">
        <v>2580</v>
      </c>
      <c r="D452" s="781"/>
      <c r="E452" s="781"/>
      <c r="F452" s="781"/>
      <c r="G452" s="782"/>
      <c r="H452" s="781"/>
      <c r="I452" s="781"/>
      <c r="J452" s="780"/>
      <c r="K452" s="768" t="s">
        <v>53</v>
      </c>
      <c r="L452" s="768" t="n">
        <v>1</v>
      </c>
      <c r="M452" s="768" t="s">
        <v>691</v>
      </c>
      <c r="N452" s="768" t="n">
        <v>1</v>
      </c>
    </row>
    <row r="453" customFormat="false" ht="13.8" hidden="true" customHeight="false" outlineLevel="0" collapsed="false">
      <c r="A453" s="765" t="s">
        <v>3492</v>
      </c>
      <c r="B453" s="779" t="s">
        <v>3493</v>
      </c>
      <c r="C453" s="780" t="s">
        <v>2580</v>
      </c>
      <c r="D453" s="781"/>
      <c r="E453" s="781"/>
      <c r="F453" s="781"/>
      <c r="G453" s="782"/>
      <c r="H453" s="781"/>
      <c r="I453" s="781"/>
      <c r="J453" s="780"/>
      <c r="K453" s="768" t="s">
        <v>53</v>
      </c>
      <c r="L453" s="768" t="n">
        <v>1</v>
      </c>
      <c r="M453" s="768" t="s">
        <v>691</v>
      </c>
      <c r="N453" s="768" t="n">
        <v>1</v>
      </c>
    </row>
    <row r="454" customFormat="false" ht="13.8" hidden="true" customHeight="false" outlineLevel="0" collapsed="false">
      <c r="A454" s="765" t="s">
        <v>3494</v>
      </c>
      <c r="B454" s="779" t="s">
        <v>3495</v>
      </c>
      <c r="C454" s="780" t="s">
        <v>2580</v>
      </c>
      <c r="D454" s="781"/>
      <c r="E454" s="781"/>
      <c r="F454" s="781"/>
      <c r="G454" s="782"/>
      <c r="H454" s="781"/>
      <c r="I454" s="781"/>
      <c r="J454" s="780"/>
      <c r="K454" s="768" t="s">
        <v>60</v>
      </c>
      <c r="L454" s="768" t="n">
        <v>1</v>
      </c>
      <c r="M454" s="768" t="s">
        <v>320</v>
      </c>
      <c r="N454" s="768" t="n">
        <v>1</v>
      </c>
    </row>
    <row r="455" customFormat="false" ht="13.8" hidden="true" customHeight="false" outlineLevel="0" collapsed="false">
      <c r="A455" s="765" t="s">
        <v>3496</v>
      </c>
      <c r="B455" s="779" t="s">
        <v>3497</v>
      </c>
      <c r="C455" s="780" t="s">
        <v>2580</v>
      </c>
      <c r="D455" s="781"/>
      <c r="E455" s="781"/>
      <c r="F455" s="781"/>
      <c r="G455" s="782"/>
      <c r="H455" s="781"/>
      <c r="I455" s="781"/>
      <c r="J455" s="780"/>
      <c r="K455" s="768" t="s">
        <v>60</v>
      </c>
      <c r="L455" s="768" t="n">
        <v>1</v>
      </c>
      <c r="M455" s="768" t="s">
        <v>65</v>
      </c>
      <c r="N455" s="768" t="n">
        <v>1</v>
      </c>
    </row>
    <row r="456" customFormat="false" ht="13.8" hidden="true" customHeight="false" outlineLevel="0" collapsed="false">
      <c r="A456" s="765" t="s">
        <v>3498</v>
      </c>
      <c r="B456" s="779" t="s">
        <v>3499</v>
      </c>
      <c r="C456" s="780" t="s">
        <v>2580</v>
      </c>
      <c r="D456" s="781"/>
      <c r="E456" s="781"/>
      <c r="F456" s="781"/>
      <c r="G456" s="782"/>
      <c r="H456" s="781"/>
      <c r="I456" s="781"/>
      <c r="J456" s="780"/>
      <c r="K456" s="768" t="s">
        <v>666</v>
      </c>
      <c r="L456" s="768" t="n">
        <v>1</v>
      </c>
      <c r="M456" s="768" t="s">
        <v>65</v>
      </c>
      <c r="N456" s="768" t="n">
        <v>1</v>
      </c>
    </row>
    <row r="457" customFormat="false" ht="13.8" hidden="true" customHeight="false" outlineLevel="0" collapsed="false">
      <c r="A457" s="765" t="s">
        <v>3500</v>
      </c>
      <c r="B457" s="779" t="s">
        <v>3501</v>
      </c>
      <c r="C457" s="780" t="s">
        <v>2580</v>
      </c>
      <c r="D457" s="781"/>
      <c r="E457" s="781"/>
      <c r="F457" s="781"/>
      <c r="G457" s="782"/>
      <c r="H457" s="781"/>
      <c r="I457" s="781"/>
      <c r="J457" s="780"/>
      <c r="K457" s="768" t="s">
        <v>666</v>
      </c>
      <c r="L457" s="768" t="n">
        <v>1</v>
      </c>
      <c r="M457" s="768" t="s">
        <v>65</v>
      </c>
      <c r="N457" s="768" t="n">
        <v>1</v>
      </c>
    </row>
    <row r="458" customFormat="false" ht="13.8" hidden="true" customHeight="false" outlineLevel="0" collapsed="false">
      <c r="A458" s="765" t="s">
        <v>3502</v>
      </c>
      <c r="B458" s="779" t="s">
        <v>3503</v>
      </c>
      <c r="C458" s="780" t="s">
        <v>2580</v>
      </c>
      <c r="D458" s="781"/>
      <c r="E458" s="781"/>
      <c r="F458" s="781"/>
      <c r="G458" s="782"/>
      <c r="H458" s="781"/>
      <c r="I458" s="781"/>
      <c r="J458" s="780"/>
      <c r="K458" s="768" t="s">
        <v>53</v>
      </c>
      <c r="L458" s="768" t="n">
        <v>1</v>
      </c>
      <c r="M458" s="768" t="s">
        <v>691</v>
      </c>
      <c r="N458" s="768" t="n">
        <v>1</v>
      </c>
    </row>
    <row r="459" customFormat="false" ht="13.8" hidden="true" customHeight="false" outlineLevel="0" collapsed="false">
      <c r="A459" s="765" t="s">
        <v>3504</v>
      </c>
      <c r="B459" s="779" t="s">
        <v>3505</v>
      </c>
      <c r="C459" s="780" t="s">
        <v>2580</v>
      </c>
      <c r="D459" s="781"/>
      <c r="E459" s="781"/>
      <c r="F459" s="781"/>
      <c r="G459" s="782"/>
      <c r="H459" s="781"/>
      <c r="I459" s="781"/>
      <c r="J459" s="780"/>
      <c r="K459" s="768" t="s">
        <v>60</v>
      </c>
      <c r="L459" s="768" t="n">
        <v>1</v>
      </c>
      <c r="M459" s="768" t="s">
        <v>65</v>
      </c>
      <c r="N459" s="768" t="n">
        <v>1</v>
      </c>
    </row>
    <row r="460" customFormat="false" ht="13.8" hidden="true" customHeight="false" outlineLevel="0" collapsed="false">
      <c r="A460" s="765" t="s">
        <v>3506</v>
      </c>
      <c r="B460" s="779" t="s">
        <v>3507</v>
      </c>
      <c r="C460" s="780" t="s">
        <v>2580</v>
      </c>
      <c r="D460" s="781"/>
      <c r="E460" s="781"/>
      <c r="F460" s="781"/>
      <c r="G460" s="782"/>
      <c r="H460" s="781"/>
      <c r="I460" s="781"/>
      <c r="J460" s="780"/>
      <c r="K460" s="768" t="s">
        <v>666</v>
      </c>
      <c r="L460" s="768" t="n">
        <v>1</v>
      </c>
      <c r="M460" s="768" t="s">
        <v>65</v>
      </c>
      <c r="N460" s="768" t="n">
        <v>1</v>
      </c>
    </row>
    <row r="461" customFormat="false" ht="13.8" hidden="true" customHeight="false" outlineLevel="0" collapsed="false">
      <c r="A461" s="765" t="s">
        <v>3508</v>
      </c>
      <c r="B461" s="779" t="s">
        <v>3509</v>
      </c>
      <c r="C461" s="780" t="s">
        <v>2580</v>
      </c>
      <c r="D461" s="781"/>
      <c r="E461" s="781"/>
      <c r="F461" s="781"/>
      <c r="G461" s="782"/>
      <c r="H461" s="781"/>
      <c r="I461" s="781"/>
      <c r="J461" s="780"/>
      <c r="K461" s="768" t="s">
        <v>53</v>
      </c>
      <c r="L461" s="768" t="n">
        <v>1</v>
      </c>
      <c r="M461" s="768" t="s">
        <v>691</v>
      </c>
      <c r="N461" s="768" t="n">
        <v>1</v>
      </c>
    </row>
    <row r="462" customFormat="false" ht="13.8" hidden="true" customHeight="false" outlineLevel="0" collapsed="false">
      <c r="A462" s="765" t="s">
        <v>3510</v>
      </c>
      <c r="B462" s="779" t="s">
        <v>3511</v>
      </c>
      <c r="C462" s="780" t="s">
        <v>2580</v>
      </c>
      <c r="D462" s="781"/>
      <c r="E462" s="781"/>
      <c r="F462" s="781"/>
      <c r="G462" s="782"/>
      <c r="H462" s="781"/>
      <c r="I462" s="781"/>
      <c r="J462" s="780"/>
      <c r="K462" s="768" t="s">
        <v>53</v>
      </c>
      <c r="L462" s="768" t="n">
        <v>1</v>
      </c>
      <c r="M462" s="768" t="s">
        <v>691</v>
      </c>
      <c r="N462" s="768" t="n">
        <v>1</v>
      </c>
    </row>
    <row r="463" customFormat="false" ht="13.8" hidden="true" customHeight="false" outlineLevel="0" collapsed="false">
      <c r="A463" s="765" t="s">
        <v>3512</v>
      </c>
      <c r="B463" s="779" t="s">
        <v>3513</v>
      </c>
      <c r="C463" s="780" t="s">
        <v>2580</v>
      </c>
      <c r="D463" s="781"/>
      <c r="E463" s="781"/>
      <c r="F463" s="781"/>
      <c r="G463" s="782"/>
      <c r="H463" s="781"/>
      <c r="I463" s="781"/>
      <c r="J463" s="780"/>
      <c r="K463" s="768" t="s">
        <v>60</v>
      </c>
      <c r="L463" s="768" t="n">
        <v>1</v>
      </c>
      <c r="M463" s="768" t="s">
        <v>65</v>
      </c>
      <c r="N463" s="768" t="n">
        <v>1</v>
      </c>
    </row>
    <row r="464" customFormat="false" ht="13.8" hidden="true" customHeight="false" outlineLevel="0" collapsed="false">
      <c r="A464" s="765" t="s">
        <v>3514</v>
      </c>
      <c r="B464" s="779" t="s">
        <v>3515</v>
      </c>
      <c r="C464" s="780" t="s">
        <v>2580</v>
      </c>
      <c r="D464" s="781"/>
      <c r="E464" s="781"/>
      <c r="F464" s="781"/>
      <c r="G464" s="782"/>
      <c r="H464" s="781"/>
      <c r="I464" s="781"/>
      <c r="J464" s="780"/>
      <c r="K464" s="768" t="s">
        <v>60</v>
      </c>
      <c r="L464" s="768" t="n">
        <v>1</v>
      </c>
      <c r="M464" s="768" t="s">
        <v>65</v>
      </c>
      <c r="N464" s="768" t="n">
        <v>1</v>
      </c>
    </row>
    <row r="465" customFormat="false" ht="13.8" hidden="true" customHeight="false" outlineLevel="0" collapsed="false">
      <c r="A465" s="765" t="s">
        <v>3516</v>
      </c>
      <c r="B465" s="779" t="s">
        <v>3517</v>
      </c>
      <c r="C465" s="780" t="s">
        <v>2580</v>
      </c>
      <c r="D465" s="781"/>
      <c r="E465" s="781"/>
      <c r="F465" s="781"/>
      <c r="G465" s="782"/>
      <c r="H465" s="781"/>
      <c r="I465" s="781"/>
      <c r="J465" s="780"/>
      <c r="K465" s="768" t="s">
        <v>666</v>
      </c>
      <c r="L465" s="768" t="n">
        <v>1</v>
      </c>
      <c r="M465" s="768" t="s">
        <v>65</v>
      </c>
      <c r="N465" s="768" t="n">
        <v>1</v>
      </c>
    </row>
    <row r="466" customFormat="false" ht="13.8" hidden="true" customHeight="false" outlineLevel="0" collapsed="false">
      <c r="A466" s="765" t="s">
        <v>3518</v>
      </c>
      <c r="B466" s="779" t="s">
        <v>3519</v>
      </c>
      <c r="C466" s="780" t="s">
        <v>2580</v>
      </c>
      <c r="D466" s="781"/>
      <c r="E466" s="781"/>
      <c r="F466" s="781"/>
      <c r="G466" s="782"/>
      <c r="H466" s="781"/>
      <c r="I466" s="781"/>
      <c r="J466" s="780"/>
      <c r="K466" s="768" t="s">
        <v>666</v>
      </c>
      <c r="L466" s="768" t="n">
        <v>1</v>
      </c>
      <c r="M466" s="768" t="s">
        <v>65</v>
      </c>
      <c r="N466" s="768" t="n">
        <v>1</v>
      </c>
    </row>
    <row r="467" customFormat="false" ht="13.8" hidden="false" customHeight="false" outlineLevel="0" collapsed="false">
      <c r="A467" s="765" t="s">
        <v>3520</v>
      </c>
      <c r="B467" s="779" t="s">
        <v>3521</v>
      </c>
      <c r="C467" s="780" t="s">
        <v>2500</v>
      </c>
      <c r="D467" s="781"/>
      <c r="E467" s="781"/>
      <c r="F467" s="781"/>
      <c r="G467" s="782"/>
      <c r="H467" s="781"/>
      <c r="I467" s="781"/>
      <c r="J467" s="780"/>
      <c r="K467" s="768" t="s">
        <v>53</v>
      </c>
      <c r="L467" s="768" t="n">
        <v>2</v>
      </c>
    </row>
    <row r="468" customFormat="false" ht="13.8" hidden="false" customHeight="false" outlineLevel="0" collapsed="false">
      <c r="A468" s="765" t="s">
        <v>3522</v>
      </c>
      <c r="B468" s="779" t="s">
        <v>3523</v>
      </c>
      <c r="C468" s="780" t="s">
        <v>2500</v>
      </c>
      <c r="D468" s="781"/>
      <c r="E468" s="781"/>
      <c r="F468" s="781"/>
      <c r="G468" s="782"/>
      <c r="H468" s="781"/>
      <c r="I468" s="781"/>
      <c r="J468" s="780"/>
      <c r="K468" s="768" t="s">
        <v>3524</v>
      </c>
      <c r="L468" s="768" t="n">
        <v>2</v>
      </c>
    </row>
    <row r="469" customFormat="false" ht="13.8" hidden="false" customHeight="false" outlineLevel="0" collapsed="false">
      <c r="A469" s="765" t="s">
        <v>3525</v>
      </c>
      <c r="B469" s="779" t="s">
        <v>3526</v>
      </c>
      <c r="C469" s="780" t="s">
        <v>2500</v>
      </c>
      <c r="D469" s="781"/>
      <c r="E469" s="781"/>
      <c r="F469" s="781"/>
      <c r="G469" s="782"/>
      <c r="H469" s="781"/>
      <c r="I469" s="781"/>
      <c r="J469" s="780"/>
      <c r="K469" s="768" t="s">
        <v>60</v>
      </c>
      <c r="L469" s="768" t="n">
        <v>2</v>
      </c>
    </row>
    <row r="470" customFormat="false" ht="13.8" hidden="false" customHeight="false" outlineLevel="0" collapsed="false">
      <c r="A470" s="765" t="s">
        <v>3527</v>
      </c>
      <c r="B470" s="779" t="s">
        <v>3528</v>
      </c>
      <c r="C470" s="780" t="s">
        <v>2500</v>
      </c>
      <c r="D470" s="781"/>
      <c r="E470" s="781"/>
      <c r="F470" s="781"/>
      <c r="G470" s="782"/>
      <c r="H470" s="781"/>
      <c r="I470" s="781"/>
      <c r="J470" s="780"/>
      <c r="K470" s="768" t="s">
        <v>3529</v>
      </c>
      <c r="L470" s="768" t="n">
        <v>2</v>
      </c>
    </row>
    <row r="471" customFormat="false" ht="13.8" hidden="false" customHeight="false" outlineLevel="0" collapsed="false">
      <c r="A471" s="765" t="s">
        <v>3530</v>
      </c>
      <c r="B471" s="779" t="s">
        <v>3531</v>
      </c>
      <c r="C471" s="780" t="s">
        <v>2500</v>
      </c>
      <c r="D471" s="781"/>
      <c r="E471" s="781"/>
      <c r="F471" s="781"/>
      <c r="G471" s="782"/>
      <c r="H471" s="781"/>
      <c r="I471" s="781"/>
      <c r="J471" s="780"/>
      <c r="K471" s="768" t="s">
        <v>834</v>
      </c>
      <c r="L471" s="768" t="n">
        <v>2</v>
      </c>
    </row>
    <row r="472" customFormat="false" ht="13.8" hidden="false" customHeight="false" outlineLevel="0" collapsed="false">
      <c r="A472" s="765" t="s">
        <v>3532</v>
      </c>
      <c r="B472" s="779" t="s">
        <v>3533</v>
      </c>
      <c r="C472" s="780" t="s">
        <v>2500</v>
      </c>
      <c r="D472" s="781"/>
      <c r="E472" s="781"/>
      <c r="F472" s="781"/>
      <c r="G472" s="782"/>
      <c r="H472" s="781"/>
      <c r="I472" s="781"/>
      <c r="J472" s="780"/>
      <c r="K472" s="768" t="s">
        <v>3534</v>
      </c>
      <c r="L472" s="768" t="n">
        <v>2</v>
      </c>
    </row>
    <row r="473" customFormat="false" ht="13.8" hidden="false" customHeight="false" outlineLevel="0" collapsed="false">
      <c r="A473" s="765" t="s">
        <v>3535</v>
      </c>
      <c r="B473" s="779" t="s">
        <v>3536</v>
      </c>
      <c r="C473" s="780" t="s">
        <v>2500</v>
      </c>
      <c r="D473" s="781"/>
      <c r="E473" s="781"/>
      <c r="F473" s="781"/>
      <c r="G473" s="782"/>
      <c r="H473" s="781"/>
      <c r="I473" s="781"/>
      <c r="J473" s="780"/>
      <c r="K473" s="768" t="s">
        <v>666</v>
      </c>
      <c r="L473" s="768" t="n">
        <v>2</v>
      </c>
    </row>
    <row r="474" customFormat="false" ht="13.8" hidden="false" customHeight="false" outlineLevel="0" collapsed="false">
      <c r="A474" s="765" t="s">
        <v>3537</v>
      </c>
      <c r="B474" s="779" t="s">
        <v>3538</v>
      </c>
      <c r="C474" s="780" t="s">
        <v>2500</v>
      </c>
      <c r="D474" s="781"/>
      <c r="E474" s="781"/>
      <c r="F474" s="781"/>
      <c r="G474" s="782"/>
      <c r="H474" s="781"/>
      <c r="I474" s="781"/>
      <c r="J474" s="780"/>
      <c r="K474" s="768" t="s">
        <v>3539</v>
      </c>
      <c r="L474" s="768" t="n">
        <v>2</v>
      </c>
    </row>
    <row r="475" customFormat="false" ht="13.8" hidden="false" customHeight="false" outlineLevel="0" collapsed="false">
      <c r="A475" s="765" t="s">
        <v>3540</v>
      </c>
      <c r="B475" s="779" t="s">
        <v>3541</v>
      </c>
      <c r="C475" s="780" t="s">
        <v>2500</v>
      </c>
      <c r="D475" s="781"/>
      <c r="E475" s="781"/>
      <c r="F475" s="781"/>
      <c r="G475" s="782"/>
      <c r="H475" s="781"/>
      <c r="I475" s="781"/>
      <c r="J475" s="780"/>
      <c r="K475" s="768" t="s">
        <v>53</v>
      </c>
      <c r="L475" s="768" t="n">
        <v>3</v>
      </c>
    </row>
    <row r="476" customFormat="false" ht="13.8" hidden="false" customHeight="false" outlineLevel="0" collapsed="false">
      <c r="A476" s="765" t="s">
        <v>3542</v>
      </c>
      <c r="B476" s="779" t="s">
        <v>3543</v>
      </c>
      <c r="C476" s="780" t="s">
        <v>2500</v>
      </c>
      <c r="D476" s="781"/>
      <c r="E476" s="781"/>
      <c r="F476" s="781"/>
      <c r="G476" s="782"/>
      <c r="H476" s="781"/>
      <c r="I476" s="781"/>
      <c r="J476" s="780"/>
      <c r="K476" s="768" t="s">
        <v>551</v>
      </c>
      <c r="L476" s="768" t="n">
        <v>3</v>
      </c>
    </row>
    <row r="477" customFormat="false" ht="13.8" hidden="false" customHeight="false" outlineLevel="0" collapsed="false">
      <c r="A477" s="765" t="s">
        <v>3544</v>
      </c>
      <c r="B477" s="779" t="s">
        <v>3545</v>
      </c>
      <c r="C477" s="780" t="s">
        <v>2500</v>
      </c>
      <c r="D477" s="781"/>
      <c r="E477" s="781"/>
      <c r="F477" s="781"/>
      <c r="G477" s="782"/>
      <c r="H477" s="781"/>
      <c r="I477" s="781"/>
      <c r="J477" s="780"/>
      <c r="K477" s="768" t="s">
        <v>3524</v>
      </c>
      <c r="L477" s="768" t="n">
        <v>3</v>
      </c>
    </row>
    <row r="478" customFormat="false" ht="13.8" hidden="false" customHeight="false" outlineLevel="0" collapsed="false">
      <c r="A478" s="765" t="s">
        <v>3546</v>
      </c>
      <c r="B478" s="779" t="s">
        <v>3547</v>
      </c>
      <c r="C478" s="780" t="s">
        <v>2500</v>
      </c>
      <c r="D478" s="781"/>
      <c r="E478" s="781"/>
      <c r="F478" s="781"/>
      <c r="G478" s="782"/>
      <c r="H478" s="781"/>
      <c r="I478" s="781"/>
      <c r="J478" s="780"/>
      <c r="K478" s="768" t="s">
        <v>60</v>
      </c>
      <c r="L478" s="768" t="n">
        <v>3</v>
      </c>
    </row>
    <row r="479" customFormat="false" ht="13.8" hidden="false" customHeight="false" outlineLevel="0" collapsed="false">
      <c r="A479" s="765" t="s">
        <v>3548</v>
      </c>
      <c r="B479" s="779" t="s">
        <v>3549</v>
      </c>
      <c r="C479" s="780" t="s">
        <v>2500</v>
      </c>
      <c r="D479" s="781"/>
      <c r="E479" s="781"/>
      <c r="F479" s="781"/>
      <c r="G479" s="782"/>
      <c r="H479" s="781"/>
      <c r="I479" s="781"/>
      <c r="J479" s="780"/>
      <c r="K479" s="768" t="s">
        <v>431</v>
      </c>
      <c r="L479" s="768" t="n">
        <v>3</v>
      </c>
    </row>
    <row r="480" customFormat="false" ht="13.8" hidden="false" customHeight="false" outlineLevel="0" collapsed="false">
      <c r="A480" s="765" t="s">
        <v>3550</v>
      </c>
      <c r="B480" s="779" t="s">
        <v>3551</v>
      </c>
      <c r="C480" s="780" t="s">
        <v>2500</v>
      </c>
      <c r="D480" s="781"/>
      <c r="E480" s="781"/>
      <c r="F480" s="781"/>
      <c r="G480" s="782"/>
      <c r="H480" s="781"/>
      <c r="I480" s="781"/>
      <c r="J480" s="780"/>
      <c r="K480" s="768" t="s">
        <v>3529</v>
      </c>
      <c r="L480" s="768" t="n">
        <v>3</v>
      </c>
    </row>
    <row r="481" customFormat="false" ht="13.8" hidden="false" customHeight="false" outlineLevel="0" collapsed="false">
      <c r="A481" s="765" t="s">
        <v>3552</v>
      </c>
      <c r="B481" s="779" t="s">
        <v>3553</v>
      </c>
      <c r="C481" s="780" t="s">
        <v>2500</v>
      </c>
      <c r="D481" s="781"/>
      <c r="E481" s="781"/>
      <c r="F481" s="781"/>
      <c r="G481" s="782"/>
      <c r="H481" s="781"/>
      <c r="I481" s="781"/>
      <c r="J481" s="780"/>
      <c r="K481" s="768" t="s">
        <v>834</v>
      </c>
      <c r="L481" s="768" t="n">
        <v>3</v>
      </c>
    </row>
    <row r="482" customFormat="false" ht="13.8" hidden="false" customHeight="false" outlineLevel="0" collapsed="false">
      <c r="A482" s="765" t="s">
        <v>3554</v>
      </c>
      <c r="B482" s="779" t="s">
        <v>3555</v>
      </c>
      <c r="C482" s="780" t="s">
        <v>2500</v>
      </c>
      <c r="D482" s="781"/>
      <c r="E482" s="781"/>
      <c r="F482" s="781"/>
      <c r="G482" s="782"/>
      <c r="H482" s="781"/>
      <c r="I482" s="781"/>
      <c r="J482" s="780"/>
      <c r="K482" s="768" t="s">
        <v>937</v>
      </c>
      <c r="L482" s="768" t="n">
        <v>3</v>
      </c>
    </row>
    <row r="483" customFormat="false" ht="13.8" hidden="false" customHeight="false" outlineLevel="0" collapsed="false">
      <c r="A483" s="765" t="s">
        <v>3556</v>
      </c>
      <c r="B483" s="779" t="s">
        <v>3557</v>
      </c>
      <c r="C483" s="780" t="s">
        <v>2500</v>
      </c>
      <c r="D483" s="781"/>
      <c r="E483" s="781"/>
      <c r="F483" s="781"/>
      <c r="G483" s="782"/>
      <c r="H483" s="781"/>
      <c r="I483" s="781"/>
      <c r="J483" s="780"/>
      <c r="K483" s="768" t="s">
        <v>3534</v>
      </c>
      <c r="L483" s="768" t="n">
        <v>3</v>
      </c>
    </row>
    <row r="484" customFormat="false" ht="13.8" hidden="false" customHeight="false" outlineLevel="0" collapsed="false">
      <c r="A484" s="765" t="s">
        <v>3558</v>
      </c>
      <c r="B484" s="779" t="s">
        <v>3559</v>
      </c>
      <c r="C484" s="780" t="s">
        <v>2500</v>
      </c>
      <c r="D484" s="781"/>
      <c r="E484" s="781"/>
      <c r="F484" s="781"/>
      <c r="G484" s="782"/>
      <c r="H484" s="781"/>
      <c r="I484" s="781"/>
      <c r="J484" s="780"/>
      <c r="K484" s="768" t="s">
        <v>666</v>
      </c>
      <c r="L484" s="768" t="n">
        <v>3</v>
      </c>
    </row>
    <row r="485" customFormat="false" ht="13.8" hidden="false" customHeight="false" outlineLevel="0" collapsed="false">
      <c r="A485" s="765" t="s">
        <v>3560</v>
      </c>
      <c r="B485" s="779" t="s">
        <v>3561</v>
      </c>
      <c r="C485" s="780" t="s">
        <v>2500</v>
      </c>
      <c r="D485" s="781"/>
      <c r="E485" s="781"/>
      <c r="F485" s="781"/>
      <c r="G485" s="782"/>
      <c r="H485" s="781"/>
      <c r="I485" s="781"/>
      <c r="J485" s="780"/>
      <c r="K485" s="768" t="s">
        <v>474</v>
      </c>
      <c r="L485" s="768" t="n">
        <v>3</v>
      </c>
    </row>
    <row r="486" customFormat="false" ht="13.8" hidden="false" customHeight="false" outlineLevel="0" collapsed="false">
      <c r="A486" s="765" t="s">
        <v>3562</v>
      </c>
      <c r="B486" s="779" t="s">
        <v>3563</v>
      </c>
      <c r="C486" s="780" t="s">
        <v>2500</v>
      </c>
      <c r="D486" s="781"/>
      <c r="E486" s="781"/>
      <c r="F486" s="781"/>
      <c r="G486" s="782"/>
      <c r="H486" s="781"/>
      <c r="I486" s="781"/>
      <c r="J486" s="780"/>
      <c r="K486" s="768" t="s">
        <v>3539</v>
      </c>
      <c r="L486" s="768" t="n">
        <v>3</v>
      </c>
    </row>
    <row r="487" customFormat="false" ht="13.8" hidden="true" customHeight="false" outlineLevel="0" collapsed="false">
      <c r="A487" s="765" t="s">
        <v>3564</v>
      </c>
      <c r="B487" s="779" t="s">
        <v>3565</v>
      </c>
      <c r="C487" s="780" t="s">
        <v>2580</v>
      </c>
      <c r="D487" s="781"/>
      <c r="E487" s="781"/>
      <c r="F487" s="781"/>
      <c r="G487" s="782"/>
      <c r="H487" s="781"/>
      <c r="I487" s="781"/>
      <c r="J487" s="780"/>
      <c r="K487" s="768" t="s">
        <v>53</v>
      </c>
      <c r="L487" s="768" t="n">
        <v>1</v>
      </c>
      <c r="M487" s="768" t="s">
        <v>270</v>
      </c>
      <c r="N487" s="768" t="n">
        <v>1</v>
      </c>
    </row>
    <row r="488" customFormat="false" ht="13.8" hidden="true" customHeight="false" outlineLevel="0" collapsed="false">
      <c r="A488" s="765" t="s">
        <v>3566</v>
      </c>
      <c r="B488" s="779" t="s">
        <v>3567</v>
      </c>
      <c r="C488" s="780" t="s">
        <v>2580</v>
      </c>
      <c r="D488" s="781"/>
      <c r="E488" s="781"/>
      <c r="F488" s="781"/>
      <c r="G488" s="782"/>
      <c r="H488" s="781"/>
      <c r="I488" s="781"/>
      <c r="J488" s="780"/>
      <c r="K488" s="768" t="s">
        <v>60</v>
      </c>
      <c r="L488" s="768" t="n">
        <v>1</v>
      </c>
      <c r="M488" s="768" t="s">
        <v>591</v>
      </c>
      <c r="N488" s="768" t="n">
        <v>1</v>
      </c>
    </row>
    <row r="489" customFormat="false" ht="13.8" hidden="false" customHeight="false" outlineLevel="0" collapsed="false">
      <c r="A489" s="765" t="s">
        <v>3568</v>
      </c>
      <c r="B489" s="779" t="s">
        <v>3569</v>
      </c>
      <c r="C489" s="780" t="s">
        <v>2500</v>
      </c>
      <c r="D489" s="781"/>
      <c r="E489" s="781"/>
      <c r="F489" s="781"/>
      <c r="G489" s="782"/>
      <c r="H489" s="781"/>
      <c r="I489" s="781"/>
      <c r="J489" s="780"/>
      <c r="K489" s="768" t="s">
        <v>3524</v>
      </c>
      <c r="L489" s="768" t="n">
        <v>1</v>
      </c>
    </row>
    <row r="490" customFormat="false" ht="13.8" hidden="false" customHeight="false" outlineLevel="0" collapsed="false">
      <c r="A490" s="765" t="s">
        <v>3570</v>
      </c>
      <c r="B490" s="779" t="s">
        <v>3571</v>
      </c>
      <c r="C490" s="780" t="s">
        <v>2500</v>
      </c>
      <c r="D490" s="781"/>
      <c r="E490" s="781"/>
      <c r="F490" s="781"/>
      <c r="G490" s="782"/>
      <c r="H490" s="781"/>
      <c r="I490" s="781"/>
      <c r="J490" s="780"/>
      <c r="K490" s="768" t="s">
        <v>551</v>
      </c>
      <c r="L490" s="768" t="n">
        <v>1</v>
      </c>
    </row>
    <row r="491" customFormat="false" ht="13.8" hidden="false" customHeight="false" outlineLevel="0" collapsed="false">
      <c r="A491" s="765" t="s">
        <v>3572</v>
      </c>
      <c r="B491" s="779" t="s">
        <v>3573</v>
      </c>
      <c r="C491" s="780" t="s">
        <v>2500</v>
      </c>
      <c r="D491" s="781"/>
      <c r="E491" s="781"/>
      <c r="F491" s="781"/>
      <c r="G491" s="782"/>
      <c r="H491" s="781"/>
      <c r="I491" s="781"/>
      <c r="J491" s="780"/>
      <c r="K491" s="768" t="s">
        <v>3529</v>
      </c>
      <c r="L491" s="768" t="n">
        <v>1</v>
      </c>
    </row>
    <row r="492" customFormat="false" ht="13.8" hidden="false" customHeight="false" outlineLevel="0" collapsed="false">
      <c r="A492" s="765" t="s">
        <v>3574</v>
      </c>
      <c r="B492" s="779" t="s">
        <v>3575</v>
      </c>
      <c r="C492" s="780" t="s">
        <v>2500</v>
      </c>
      <c r="D492" s="781"/>
      <c r="E492" s="781"/>
      <c r="F492" s="781"/>
      <c r="G492" s="782"/>
      <c r="H492" s="781"/>
      <c r="I492" s="781"/>
      <c r="J492" s="780"/>
      <c r="K492" s="768" t="s">
        <v>431</v>
      </c>
      <c r="L492" s="768" t="n">
        <v>1</v>
      </c>
    </row>
    <row r="493" customFormat="false" ht="13.8" hidden="false" customHeight="false" outlineLevel="0" collapsed="false">
      <c r="A493" s="765" t="s">
        <v>3576</v>
      </c>
      <c r="B493" s="779" t="s">
        <v>3577</v>
      </c>
      <c r="C493" s="780" t="s">
        <v>2500</v>
      </c>
      <c r="D493" s="781"/>
      <c r="E493" s="781"/>
      <c r="F493" s="781"/>
      <c r="G493" s="782"/>
      <c r="H493" s="781"/>
      <c r="I493" s="781"/>
      <c r="J493" s="780"/>
      <c r="K493" s="768" t="s">
        <v>3534</v>
      </c>
      <c r="L493" s="768" t="n">
        <v>1</v>
      </c>
    </row>
    <row r="494" customFormat="false" ht="13.8" hidden="false" customHeight="false" outlineLevel="0" collapsed="false">
      <c r="A494" s="765" t="s">
        <v>3578</v>
      </c>
      <c r="B494" s="779" t="s">
        <v>3579</v>
      </c>
      <c r="C494" s="780" t="s">
        <v>2500</v>
      </c>
      <c r="D494" s="781"/>
      <c r="E494" s="781"/>
      <c r="F494" s="781"/>
      <c r="G494" s="782"/>
      <c r="H494" s="781"/>
      <c r="I494" s="781"/>
      <c r="J494" s="780"/>
      <c r="K494" s="768" t="s">
        <v>937</v>
      </c>
      <c r="L494" s="768" t="n">
        <v>1</v>
      </c>
    </row>
    <row r="495" customFormat="false" ht="13.8" hidden="false" customHeight="false" outlineLevel="0" collapsed="false">
      <c r="A495" s="765" t="s">
        <v>3580</v>
      </c>
      <c r="B495" s="779" t="s">
        <v>3581</v>
      </c>
      <c r="C495" s="780" t="s">
        <v>2500</v>
      </c>
      <c r="D495" s="781"/>
      <c r="E495" s="781"/>
      <c r="F495" s="781"/>
      <c r="G495" s="782"/>
      <c r="H495" s="781"/>
      <c r="I495" s="781"/>
      <c r="J495" s="780"/>
      <c r="K495" s="768" t="s">
        <v>3539</v>
      </c>
      <c r="L495" s="768" t="n">
        <v>1</v>
      </c>
    </row>
    <row r="496" customFormat="false" ht="13.8" hidden="false" customHeight="false" outlineLevel="0" collapsed="false">
      <c r="A496" s="765" t="s">
        <v>3582</v>
      </c>
      <c r="B496" s="779" t="s">
        <v>3583</v>
      </c>
      <c r="C496" s="780" t="s">
        <v>2500</v>
      </c>
      <c r="D496" s="781"/>
      <c r="E496" s="781"/>
      <c r="F496" s="781"/>
      <c r="G496" s="782"/>
      <c r="H496" s="781"/>
      <c r="I496" s="781"/>
      <c r="J496" s="780"/>
      <c r="K496" s="768" t="s">
        <v>474</v>
      </c>
      <c r="L496" s="768" t="n">
        <v>1</v>
      </c>
    </row>
    <row r="497" customFormat="false" ht="13.8" hidden="true" customHeight="false" outlineLevel="0" collapsed="false">
      <c r="A497" s="765" t="s">
        <v>3584</v>
      </c>
      <c r="B497" s="779" t="s">
        <v>3585</v>
      </c>
      <c r="C497" s="780" t="s">
        <v>2580</v>
      </c>
      <c r="D497" s="781"/>
      <c r="E497" s="781"/>
      <c r="F497" s="781"/>
      <c r="G497" s="782"/>
      <c r="H497" s="781"/>
      <c r="I497" s="781"/>
      <c r="J497" s="780"/>
      <c r="K497" s="768" t="s">
        <v>60</v>
      </c>
      <c r="L497" s="768" t="n">
        <v>1</v>
      </c>
      <c r="M497" s="768" t="s">
        <v>320</v>
      </c>
      <c r="N497" s="768" t="n">
        <v>1</v>
      </c>
    </row>
    <row r="498" customFormat="false" ht="13.8" hidden="true" customHeight="false" outlineLevel="0" collapsed="false">
      <c r="A498" s="765" t="s">
        <v>3586</v>
      </c>
      <c r="B498" s="779" t="s">
        <v>3587</v>
      </c>
      <c r="C498" s="780" t="s">
        <v>2580</v>
      </c>
      <c r="D498" s="781"/>
      <c r="E498" s="781"/>
      <c r="F498" s="781"/>
      <c r="G498" s="782"/>
      <c r="H498" s="781"/>
      <c r="I498" s="781"/>
      <c r="J498" s="780"/>
      <c r="K498" s="768" t="s">
        <v>60</v>
      </c>
      <c r="L498" s="768" t="n">
        <v>1</v>
      </c>
      <c r="M498" s="768" t="s">
        <v>320</v>
      </c>
      <c r="N498" s="768" t="n">
        <v>1</v>
      </c>
    </row>
    <row r="499" customFormat="false" ht="13.8" hidden="true" customHeight="false" outlineLevel="0" collapsed="false">
      <c r="A499" s="765" t="s">
        <v>3588</v>
      </c>
      <c r="B499" s="779" t="s">
        <v>3589</v>
      </c>
      <c r="C499" s="780" t="s">
        <v>2580</v>
      </c>
      <c r="D499" s="781"/>
      <c r="E499" s="781"/>
      <c r="F499" s="781"/>
      <c r="G499" s="782"/>
      <c r="H499" s="781"/>
      <c r="I499" s="781"/>
      <c r="J499" s="780"/>
      <c r="M499" s="768" t="s">
        <v>320</v>
      </c>
      <c r="N499" s="768" t="n">
        <v>1</v>
      </c>
    </row>
    <row r="500" customFormat="false" ht="13.8" hidden="false" customHeight="false" outlineLevel="0" collapsed="false">
      <c r="A500" s="765" t="s">
        <v>3590</v>
      </c>
      <c r="B500" s="779" t="s">
        <v>3591</v>
      </c>
      <c r="C500" s="780" t="s">
        <v>2500</v>
      </c>
      <c r="D500" s="781"/>
      <c r="E500" s="781"/>
      <c r="F500" s="781"/>
      <c r="G500" s="782"/>
      <c r="H500" s="781"/>
      <c r="I500" s="781"/>
      <c r="J500" s="780"/>
      <c r="K500" s="768" t="s">
        <v>3524</v>
      </c>
      <c r="L500" s="768" t="n">
        <v>1</v>
      </c>
    </row>
    <row r="501" customFormat="false" ht="13.8" hidden="false" customHeight="false" outlineLevel="0" collapsed="false">
      <c r="A501" s="765" t="s">
        <v>3592</v>
      </c>
      <c r="B501" s="779" t="s">
        <v>3593</v>
      </c>
      <c r="C501" s="780" t="s">
        <v>2500</v>
      </c>
      <c r="D501" s="781"/>
      <c r="E501" s="781"/>
      <c r="F501" s="781"/>
      <c r="G501" s="782"/>
      <c r="H501" s="781"/>
      <c r="I501" s="781"/>
      <c r="J501" s="780"/>
      <c r="K501" s="768" t="s">
        <v>3529</v>
      </c>
      <c r="L501" s="768" t="n">
        <v>1</v>
      </c>
    </row>
    <row r="502" customFormat="false" ht="13.8" hidden="false" customHeight="false" outlineLevel="0" collapsed="false">
      <c r="A502" s="765" t="s">
        <v>3594</v>
      </c>
      <c r="B502" s="779" t="s">
        <v>3595</v>
      </c>
      <c r="C502" s="780" t="s">
        <v>2500</v>
      </c>
      <c r="D502" s="781"/>
      <c r="E502" s="781"/>
      <c r="F502" s="781"/>
      <c r="G502" s="782"/>
      <c r="H502" s="781"/>
      <c r="I502" s="781"/>
      <c r="J502" s="780"/>
      <c r="K502" s="768" t="s">
        <v>3534</v>
      </c>
      <c r="L502" s="768" t="n">
        <v>1</v>
      </c>
    </row>
    <row r="503" customFormat="false" ht="13.8" hidden="false" customHeight="false" outlineLevel="0" collapsed="false">
      <c r="A503" s="765" t="s">
        <v>3596</v>
      </c>
      <c r="B503" s="779" t="s">
        <v>3597</v>
      </c>
      <c r="C503" s="780" t="s">
        <v>2500</v>
      </c>
      <c r="D503" s="781"/>
      <c r="E503" s="781"/>
      <c r="F503" s="781"/>
      <c r="G503" s="782"/>
      <c r="H503" s="781"/>
      <c r="I503" s="781"/>
      <c r="J503" s="780"/>
      <c r="K503" s="768" t="s">
        <v>3539</v>
      </c>
      <c r="L503" s="768" t="n">
        <v>1</v>
      </c>
    </row>
    <row r="504" customFormat="false" ht="13.8" hidden="true" customHeight="false" outlineLevel="0" collapsed="false">
      <c r="A504" s="765" t="s">
        <v>3598</v>
      </c>
      <c r="B504" s="779" t="s">
        <v>3599</v>
      </c>
      <c r="C504" s="780" t="s">
        <v>2580</v>
      </c>
      <c r="D504" s="781"/>
      <c r="E504" s="781"/>
      <c r="F504" s="781"/>
      <c r="G504" s="782"/>
      <c r="H504" s="781"/>
      <c r="I504" s="781"/>
      <c r="J504" s="780"/>
      <c r="K504" s="768" t="s">
        <v>53</v>
      </c>
      <c r="L504" s="768" t="n">
        <v>1</v>
      </c>
      <c r="M504" s="768" t="s">
        <v>270</v>
      </c>
      <c r="N504" s="768" t="n">
        <v>1</v>
      </c>
    </row>
    <row r="505" customFormat="false" ht="13.8" hidden="true" customHeight="false" outlineLevel="0" collapsed="false">
      <c r="A505" s="765" t="s">
        <v>3600</v>
      </c>
      <c r="B505" s="779" t="s">
        <v>3601</v>
      </c>
      <c r="C505" s="780" t="s">
        <v>2580</v>
      </c>
      <c r="D505" s="781"/>
      <c r="E505" s="781"/>
      <c r="F505" s="781"/>
      <c r="G505" s="782"/>
      <c r="H505" s="781"/>
      <c r="I505" s="781"/>
      <c r="J505" s="780"/>
      <c r="K505" s="768" t="s">
        <v>834</v>
      </c>
      <c r="L505" s="768" t="n">
        <v>1</v>
      </c>
      <c r="M505" s="768" t="s">
        <v>591</v>
      </c>
      <c r="N505" s="768" t="n">
        <v>1</v>
      </c>
    </row>
    <row r="506" customFormat="false" ht="13.8" hidden="true" customHeight="false" outlineLevel="0" collapsed="false">
      <c r="A506" s="765" t="s">
        <v>3602</v>
      </c>
      <c r="B506" s="779" t="s">
        <v>3603</v>
      </c>
      <c r="C506" s="780" t="s">
        <v>2580</v>
      </c>
      <c r="D506" s="781"/>
      <c r="E506" s="781"/>
      <c r="F506" s="781"/>
      <c r="G506" s="782"/>
      <c r="H506" s="781"/>
      <c r="I506" s="781"/>
      <c r="J506" s="780"/>
      <c r="K506" s="768" t="s">
        <v>53</v>
      </c>
      <c r="L506" s="768" t="n">
        <v>1</v>
      </c>
      <c r="M506" s="768" t="s">
        <v>803</v>
      </c>
      <c r="N506" s="768" t="n">
        <v>1</v>
      </c>
    </row>
    <row r="507" customFormat="false" ht="13.8" hidden="true" customHeight="false" outlineLevel="0" collapsed="false">
      <c r="A507" s="765" t="s">
        <v>3604</v>
      </c>
      <c r="B507" s="779" t="s">
        <v>3605</v>
      </c>
      <c r="C507" s="780" t="s">
        <v>2580</v>
      </c>
      <c r="D507" s="781"/>
      <c r="E507" s="781"/>
      <c r="F507" s="781"/>
      <c r="G507" s="782"/>
      <c r="H507" s="781"/>
      <c r="I507" s="781"/>
      <c r="J507" s="780"/>
      <c r="K507" s="768" t="s">
        <v>53</v>
      </c>
      <c r="L507" s="768" t="n">
        <v>1</v>
      </c>
      <c r="M507" s="768" t="s">
        <v>608</v>
      </c>
      <c r="N507" s="768" t="n">
        <v>1</v>
      </c>
    </row>
    <row r="508" customFormat="false" ht="13.8" hidden="true" customHeight="false" outlineLevel="0" collapsed="false">
      <c r="A508" s="765" t="s">
        <v>3606</v>
      </c>
      <c r="B508" s="779" t="s">
        <v>3607</v>
      </c>
      <c r="C508" s="780" t="s">
        <v>2580</v>
      </c>
      <c r="D508" s="781"/>
      <c r="E508" s="781"/>
      <c r="F508" s="781"/>
      <c r="G508" s="782"/>
      <c r="H508" s="781"/>
      <c r="I508" s="781"/>
      <c r="J508" s="780"/>
      <c r="K508" s="768" t="s">
        <v>60</v>
      </c>
      <c r="L508" s="768" t="n">
        <v>1</v>
      </c>
      <c r="M508" s="768" t="s">
        <v>616</v>
      </c>
      <c r="N508" s="768" t="n">
        <v>1</v>
      </c>
    </row>
    <row r="509" customFormat="false" ht="13.8" hidden="true" customHeight="false" outlineLevel="0" collapsed="false">
      <c r="A509" s="765" t="s">
        <v>3608</v>
      </c>
      <c r="B509" s="779" t="s">
        <v>3609</v>
      </c>
      <c r="C509" s="780" t="s">
        <v>2580</v>
      </c>
      <c r="D509" s="781"/>
      <c r="E509" s="781"/>
      <c r="F509" s="781"/>
      <c r="G509" s="782"/>
      <c r="H509" s="781"/>
      <c r="I509" s="781"/>
      <c r="J509" s="780"/>
      <c r="K509" s="768" t="s">
        <v>60</v>
      </c>
      <c r="L509" s="768" t="n">
        <v>1</v>
      </c>
      <c r="M509" s="768" t="s">
        <v>1289</v>
      </c>
      <c r="N509" s="768" t="n">
        <v>1</v>
      </c>
    </row>
    <row r="510" customFormat="false" ht="13.8" hidden="true" customHeight="false" outlineLevel="0" collapsed="false">
      <c r="A510" s="765" t="s">
        <v>3610</v>
      </c>
      <c r="B510" s="779" t="s">
        <v>3611</v>
      </c>
      <c r="C510" s="780" t="s">
        <v>2580</v>
      </c>
      <c r="D510" s="781"/>
      <c r="E510" s="781"/>
      <c r="F510" s="781"/>
      <c r="G510" s="782"/>
      <c r="H510" s="781"/>
      <c r="I510" s="781"/>
      <c r="J510" s="780"/>
      <c r="K510" s="768" t="s">
        <v>53</v>
      </c>
      <c r="L510" s="768" t="n">
        <v>1</v>
      </c>
      <c r="M510" s="768" t="s">
        <v>654</v>
      </c>
      <c r="N510" s="768" t="n">
        <v>1</v>
      </c>
    </row>
    <row r="511" customFormat="false" ht="13.8" hidden="true" customHeight="false" outlineLevel="0" collapsed="false">
      <c r="A511" s="765" t="s">
        <v>3612</v>
      </c>
      <c r="B511" s="779" t="s">
        <v>3613</v>
      </c>
      <c r="C511" s="780" t="s">
        <v>2580</v>
      </c>
      <c r="D511" s="781"/>
      <c r="E511" s="781"/>
      <c r="F511" s="781"/>
      <c r="G511" s="782"/>
      <c r="H511" s="781"/>
      <c r="I511" s="781"/>
      <c r="J511" s="780"/>
      <c r="K511" s="768" t="s">
        <v>53</v>
      </c>
      <c r="L511" s="768" t="n">
        <v>1</v>
      </c>
      <c r="M511" s="768" t="s">
        <v>1326</v>
      </c>
      <c r="N511" s="768" t="n">
        <v>1</v>
      </c>
    </row>
    <row r="512" customFormat="false" ht="13.8" hidden="true" customHeight="false" outlineLevel="0" collapsed="false">
      <c r="A512" s="765" t="s">
        <v>3614</v>
      </c>
      <c r="B512" s="779" t="s">
        <v>3615</v>
      </c>
      <c r="C512" s="780" t="s">
        <v>2580</v>
      </c>
      <c r="D512" s="781"/>
      <c r="E512" s="781"/>
      <c r="F512" s="781"/>
      <c r="G512" s="782"/>
      <c r="H512" s="781"/>
      <c r="I512" s="781"/>
      <c r="J512" s="780"/>
      <c r="K512" s="768" t="s">
        <v>60</v>
      </c>
      <c r="L512" s="768" t="n">
        <v>1</v>
      </c>
      <c r="M512" s="768" t="s">
        <v>1660</v>
      </c>
      <c r="N512" s="768" t="n">
        <v>1</v>
      </c>
    </row>
    <row r="513" customFormat="false" ht="13.8" hidden="true" customHeight="false" outlineLevel="0" collapsed="false">
      <c r="A513" s="765" t="s">
        <v>3616</v>
      </c>
      <c r="B513" s="779" t="s">
        <v>3617</v>
      </c>
      <c r="C513" s="780" t="s">
        <v>2580</v>
      </c>
      <c r="D513" s="781"/>
      <c r="E513" s="781"/>
      <c r="F513" s="781"/>
      <c r="G513" s="782"/>
      <c r="H513" s="781"/>
      <c r="I513" s="781"/>
      <c r="J513" s="780"/>
      <c r="K513" s="768" t="s">
        <v>60</v>
      </c>
      <c r="L513" s="768" t="n">
        <v>1</v>
      </c>
      <c r="M513" s="768" t="s">
        <v>1323</v>
      </c>
      <c r="N513" s="768" t="n">
        <v>1</v>
      </c>
    </row>
    <row r="514" customFormat="false" ht="13.8" hidden="true" customHeight="false" outlineLevel="0" collapsed="false">
      <c r="A514" s="765" t="s">
        <v>3618</v>
      </c>
      <c r="B514" s="779" t="s">
        <v>3619</v>
      </c>
      <c r="C514" s="780" t="s">
        <v>2580</v>
      </c>
      <c r="D514" s="781"/>
      <c r="E514" s="781"/>
      <c r="F514" s="781"/>
      <c r="G514" s="782"/>
      <c r="H514" s="781"/>
      <c r="I514" s="781"/>
      <c r="J514" s="780"/>
      <c r="K514" s="768" t="s">
        <v>53</v>
      </c>
      <c r="L514" s="768" t="n">
        <v>2</v>
      </c>
      <c r="M514" s="768" t="s">
        <v>691</v>
      </c>
      <c r="N514" s="768" t="n">
        <v>2</v>
      </c>
    </row>
    <row r="515" customFormat="false" ht="13.8" hidden="true" customHeight="false" outlineLevel="0" collapsed="false">
      <c r="A515" s="765" t="s">
        <v>3620</v>
      </c>
      <c r="B515" s="779" t="s">
        <v>3621</v>
      </c>
      <c r="C515" s="780" t="s">
        <v>2580</v>
      </c>
      <c r="D515" s="781"/>
      <c r="E515" s="781"/>
      <c r="F515" s="781"/>
      <c r="G515" s="782"/>
      <c r="H515" s="781"/>
      <c r="I515" s="781"/>
      <c r="J515" s="780"/>
      <c r="K515" s="768" t="s">
        <v>53</v>
      </c>
      <c r="L515" s="768" t="n">
        <v>2</v>
      </c>
      <c r="M515" s="768" t="s">
        <v>691</v>
      </c>
      <c r="N515" s="768" t="n">
        <v>2</v>
      </c>
    </row>
    <row r="516" customFormat="false" ht="13.8" hidden="true" customHeight="false" outlineLevel="0" collapsed="false">
      <c r="A516" s="765" t="s">
        <v>3622</v>
      </c>
      <c r="B516" s="779" t="s">
        <v>3623</v>
      </c>
      <c r="C516" s="780" t="s">
        <v>2580</v>
      </c>
      <c r="D516" s="781"/>
      <c r="E516" s="781"/>
      <c r="F516" s="781"/>
      <c r="G516" s="782"/>
      <c r="H516" s="781"/>
      <c r="I516" s="781"/>
      <c r="J516" s="780"/>
      <c r="K516" s="768" t="s">
        <v>60</v>
      </c>
      <c r="L516" s="768" t="n">
        <v>2</v>
      </c>
      <c r="M516" s="768" t="s">
        <v>320</v>
      </c>
      <c r="N516" s="768" t="n">
        <v>2</v>
      </c>
    </row>
    <row r="517" customFormat="false" ht="13.8" hidden="true" customHeight="false" outlineLevel="0" collapsed="false">
      <c r="A517" s="765" t="s">
        <v>3624</v>
      </c>
      <c r="B517" s="779" t="s">
        <v>3625</v>
      </c>
      <c r="C517" s="780" t="s">
        <v>2580</v>
      </c>
      <c r="D517" s="781"/>
      <c r="E517" s="781"/>
      <c r="F517" s="781"/>
      <c r="G517" s="782"/>
      <c r="H517" s="781"/>
      <c r="I517" s="781"/>
      <c r="J517" s="780"/>
      <c r="K517" s="768" t="s">
        <v>60</v>
      </c>
      <c r="L517" s="768" t="n">
        <v>2</v>
      </c>
      <c r="M517" s="768" t="s">
        <v>320</v>
      </c>
      <c r="N517" s="768" t="n">
        <v>2</v>
      </c>
    </row>
    <row r="518" customFormat="false" ht="13.8" hidden="true" customHeight="false" outlineLevel="0" collapsed="false">
      <c r="A518" s="765" t="s">
        <v>3626</v>
      </c>
      <c r="B518" s="779" t="s">
        <v>3627</v>
      </c>
      <c r="C518" s="780" t="s">
        <v>2580</v>
      </c>
      <c r="D518" s="781"/>
      <c r="E518" s="781"/>
      <c r="F518" s="781"/>
      <c r="G518" s="782"/>
      <c r="H518" s="781"/>
      <c r="I518" s="781"/>
      <c r="J518" s="780"/>
      <c r="K518" s="768" t="s">
        <v>666</v>
      </c>
      <c r="L518" s="768" t="n">
        <v>2</v>
      </c>
      <c r="M518" s="768" t="s">
        <v>65</v>
      </c>
      <c r="N518" s="768" t="n">
        <v>2</v>
      </c>
    </row>
    <row r="519" customFormat="false" ht="13.8" hidden="true" customHeight="false" outlineLevel="0" collapsed="false">
      <c r="A519" s="765" t="s">
        <v>3628</v>
      </c>
      <c r="B519" s="779" t="s">
        <v>3629</v>
      </c>
      <c r="C519" s="780" t="s">
        <v>2580</v>
      </c>
      <c r="D519" s="781"/>
      <c r="E519" s="781"/>
      <c r="F519" s="781"/>
      <c r="G519" s="782"/>
      <c r="H519" s="781"/>
      <c r="I519" s="781"/>
      <c r="J519" s="780"/>
      <c r="K519" s="768" t="s">
        <v>666</v>
      </c>
      <c r="L519" s="768" t="n">
        <v>2</v>
      </c>
      <c r="M519" s="768" t="s">
        <v>65</v>
      </c>
      <c r="N519" s="768" t="n">
        <v>2</v>
      </c>
    </row>
    <row r="520" customFormat="false" ht="13.8" hidden="true" customHeight="false" outlineLevel="0" collapsed="false">
      <c r="A520" s="765" t="s">
        <v>3630</v>
      </c>
      <c r="B520" s="779" t="s">
        <v>3631</v>
      </c>
      <c r="C520" s="780" t="s">
        <v>2580</v>
      </c>
      <c r="D520" s="781"/>
      <c r="E520" s="781"/>
      <c r="F520" s="781"/>
      <c r="G520" s="782"/>
      <c r="H520" s="781"/>
      <c r="I520" s="781"/>
      <c r="J520" s="780"/>
      <c r="K520" s="768" t="s">
        <v>53</v>
      </c>
      <c r="L520" s="768" t="n">
        <v>1</v>
      </c>
      <c r="M520" s="768" t="s">
        <v>758</v>
      </c>
      <c r="N520" s="768" t="n">
        <v>1</v>
      </c>
    </row>
    <row r="521" customFormat="false" ht="13.8" hidden="true" customHeight="false" outlineLevel="0" collapsed="false">
      <c r="A521" s="765" t="s">
        <v>3632</v>
      </c>
      <c r="B521" s="779" t="s">
        <v>3633</v>
      </c>
      <c r="C521" s="780" t="s">
        <v>2580</v>
      </c>
      <c r="D521" s="781"/>
      <c r="E521" s="781"/>
      <c r="F521" s="781"/>
      <c r="G521" s="782"/>
      <c r="H521" s="781"/>
      <c r="I521" s="781"/>
      <c r="J521" s="780"/>
      <c r="K521" s="768" t="s">
        <v>60</v>
      </c>
      <c r="L521" s="768" t="n">
        <v>1</v>
      </c>
      <c r="M521" s="768" t="s">
        <v>267</v>
      </c>
      <c r="N521" s="768" t="n">
        <v>1</v>
      </c>
    </row>
    <row r="522" customFormat="false" ht="13.8" hidden="true" customHeight="false" outlineLevel="0" collapsed="false">
      <c r="A522" s="765" t="s">
        <v>3634</v>
      </c>
      <c r="B522" s="779" t="s">
        <v>3635</v>
      </c>
      <c r="C522" s="780" t="s">
        <v>2580</v>
      </c>
      <c r="D522" s="781"/>
      <c r="E522" s="781"/>
      <c r="F522" s="781"/>
      <c r="G522" s="782"/>
      <c r="H522" s="781"/>
      <c r="I522" s="781"/>
      <c r="J522" s="780"/>
      <c r="K522" s="768" t="s">
        <v>666</v>
      </c>
      <c r="L522" s="768" t="n">
        <v>1</v>
      </c>
      <c r="M522" s="768" t="s">
        <v>387</v>
      </c>
      <c r="N522" s="768" t="n">
        <v>1</v>
      </c>
    </row>
    <row r="523" customFormat="false" ht="13.8" hidden="true" customHeight="false" outlineLevel="0" collapsed="false">
      <c r="A523" s="765" t="s">
        <v>3636</v>
      </c>
      <c r="B523" s="779" t="s">
        <v>3637</v>
      </c>
      <c r="C523" s="780" t="s">
        <v>2580</v>
      </c>
      <c r="D523" s="781"/>
      <c r="E523" s="781"/>
      <c r="F523" s="781"/>
      <c r="G523" s="782"/>
      <c r="H523" s="781"/>
      <c r="I523" s="781"/>
      <c r="J523" s="780"/>
      <c r="K523" s="768" t="s">
        <v>53</v>
      </c>
      <c r="L523" s="768" t="n">
        <v>1</v>
      </c>
      <c r="M523" s="768" t="s">
        <v>650</v>
      </c>
      <c r="N523" s="768" t="n">
        <v>1</v>
      </c>
    </row>
    <row r="524" customFormat="false" ht="13.8" hidden="true" customHeight="false" outlineLevel="0" collapsed="false">
      <c r="A524" s="765" t="s">
        <v>3638</v>
      </c>
      <c r="B524" s="779" t="s">
        <v>3639</v>
      </c>
      <c r="C524" s="780" t="s">
        <v>2580</v>
      </c>
      <c r="D524" s="781"/>
      <c r="E524" s="781"/>
      <c r="F524" s="781"/>
      <c r="G524" s="782"/>
      <c r="H524" s="781"/>
      <c r="I524" s="781"/>
      <c r="J524" s="780"/>
      <c r="K524" s="768" t="s">
        <v>53</v>
      </c>
      <c r="L524" s="768" t="n">
        <v>1</v>
      </c>
      <c r="M524" s="768" t="s">
        <v>761</v>
      </c>
      <c r="N524" s="768" t="n">
        <v>1</v>
      </c>
    </row>
    <row r="525" customFormat="false" ht="13.8" hidden="true" customHeight="false" outlineLevel="0" collapsed="false">
      <c r="A525" s="765" t="s">
        <v>3640</v>
      </c>
      <c r="B525" s="779" t="s">
        <v>3641</v>
      </c>
      <c r="C525" s="780" t="s">
        <v>2580</v>
      </c>
      <c r="D525" s="781"/>
      <c r="E525" s="781"/>
      <c r="F525" s="781"/>
      <c r="G525" s="782"/>
      <c r="H525" s="781"/>
      <c r="I525" s="781"/>
      <c r="J525" s="780"/>
      <c r="K525" s="768" t="s">
        <v>60</v>
      </c>
      <c r="L525" s="768" t="n">
        <v>1</v>
      </c>
      <c r="M525" s="768" t="s">
        <v>646</v>
      </c>
      <c r="N525" s="768" t="n">
        <v>1</v>
      </c>
    </row>
    <row r="526" customFormat="false" ht="13.8" hidden="true" customHeight="false" outlineLevel="0" collapsed="false">
      <c r="A526" s="765" t="s">
        <v>3642</v>
      </c>
      <c r="B526" s="779" t="s">
        <v>3643</v>
      </c>
      <c r="C526" s="780" t="s">
        <v>2580</v>
      </c>
      <c r="D526" s="781"/>
      <c r="E526" s="781"/>
      <c r="F526" s="781"/>
      <c r="G526" s="782"/>
      <c r="H526" s="781"/>
      <c r="I526" s="781"/>
      <c r="J526" s="780"/>
      <c r="K526" s="768" t="s">
        <v>60</v>
      </c>
      <c r="L526" s="768" t="n">
        <v>1</v>
      </c>
      <c r="M526" s="768" t="s">
        <v>1359</v>
      </c>
      <c r="N526" s="768" t="n">
        <v>1</v>
      </c>
    </row>
    <row r="527" customFormat="false" ht="13.8" hidden="true" customHeight="false" outlineLevel="0" collapsed="false">
      <c r="A527" s="765" t="s">
        <v>3644</v>
      </c>
      <c r="B527" s="779" t="s">
        <v>3645</v>
      </c>
      <c r="C527" s="780" t="s">
        <v>2708</v>
      </c>
      <c r="D527" s="781"/>
      <c r="E527" s="781"/>
      <c r="F527" s="781"/>
      <c r="G527" s="782"/>
      <c r="H527" s="781"/>
      <c r="I527" s="781"/>
      <c r="J527" s="780"/>
    </row>
    <row r="528" customFormat="false" ht="13.8" hidden="true" customHeight="false" outlineLevel="0" collapsed="false">
      <c r="A528" s="765" t="s">
        <v>3646</v>
      </c>
      <c r="B528" s="779" t="s">
        <v>3647</v>
      </c>
      <c r="C528" s="780" t="s">
        <v>2708</v>
      </c>
      <c r="D528" s="781"/>
      <c r="E528" s="781"/>
      <c r="F528" s="781"/>
      <c r="G528" s="782"/>
      <c r="H528" s="781"/>
      <c r="I528" s="781"/>
      <c r="J528" s="780"/>
    </row>
    <row r="529" customFormat="false" ht="13.8" hidden="true" customHeight="false" outlineLevel="0" collapsed="false">
      <c r="A529" s="765" t="s">
        <v>3648</v>
      </c>
      <c r="B529" s="779" t="s">
        <v>3649</v>
      </c>
      <c r="C529" s="780" t="s">
        <v>2708</v>
      </c>
      <c r="D529" s="781"/>
      <c r="E529" s="781"/>
      <c r="F529" s="781"/>
      <c r="G529" s="782"/>
      <c r="H529" s="781"/>
      <c r="I529" s="781"/>
      <c r="J529" s="780"/>
    </row>
    <row r="530" customFormat="false" ht="13.8" hidden="true" customHeight="false" outlineLevel="0" collapsed="false">
      <c r="A530" s="765" t="s">
        <v>3650</v>
      </c>
      <c r="B530" s="779" t="s">
        <v>3651</v>
      </c>
      <c r="C530" s="780" t="s">
        <v>2711</v>
      </c>
      <c r="D530" s="781"/>
      <c r="E530" s="781"/>
      <c r="F530" s="781"/>
      <c r="G530" s="782"/>
      <c r="H530" s="781"/>
      <c r="I530" s="781"/>
      <c r="J530" s="780"/>
    </row>
    <row r="531" customFormat="false" ht="13.8" hidden="true" customHeight="false" outlineLevel="0" collapsed="false">
      <c r="A531" s="765" t="s">
        <v>3652</v>
      </c>
      <c r="B531" s="779" t="s">
        <v>3653</v>
      </c>
      <c r="C531" s="780" t="s">
        <v>2711</v>
      </c>
      <c r="D531" s="781"/>
      <c r="E531" s="781"/>
      <c r="F531" s="781"/>
      <c r="G531" s="782"/>
      <c r="H531" s="781"/>
      <c r="I531" s="781"/>
      <c r="J531" s="780"/>
    </row>
    <row r="532" customFormat="false" ht="13.8" hidden="true" customHeight="false" outlineLevel="0" collapsed="false">
      <c r="A532" s="765" t="s">
        <v>3654</v>
      </c>
      <c r="B532" s="779" t="s">
        <v>3655</v>
      </c>
      <c r="C532" s="780" t="s">
        <v>2711</v>
      </c>
      <c r="D532" s="781"/>
      <c r="E532" s="781"/>
      <c r="F532" s="781"/>
      <c r="G532" s="782"/>
      <c r="H532" s="781"/>
      <c r="I532" s="781"/>
      <c r="J532" s="780"/>
    </row>
    <row r="533" customFormat="false" ht="13.8" hidden="true" customHeight="false" outlineLevel="0" collapsed="false">
      <c r="A533" s="765" t="s">
        <v>3656</v>
      </c>
      <c r="B533" s="779" t="s">
        <v>3657</v>
      </c>
      <c r="C533" s="780" t="s">
        <v>2711</v>
      </c>
      <c r="D533" s="781"/>
      <c r="E533" s="781"/>
      <c r="F533" s="781"/>
      <c r="G533" s="782"/>
      <c r="H533" s="781"/>
      <c r="I533" s="781"/>
      <c r="J533" s="780"/>
    </row>
    <row r="534" customFormat="false" ht="13.8" hidden="true" customHeight="false" outlineLevel="0" collapsed="false">
      <c r="A534" s="765" t="s">
        <v>3658</v>
      </c>
      <c r="B534" s="779" t="s">
        <v>3659</v>
      </c>
      <c r="C534" s="780" t="s">
        <v>2711</v>
      </c>
      <c r="D534" s="781"/>
      <c r="E534" s="781"/>
      <c r="F534" s="781"/>
      <c r="G534" s="782"/>
      <c r="H534" s="781"/>
      <c r="I534" s="781"/>
      <c r="J534" s="780"/>
    </row>
    <row r="535" customFormat="false" ht="13.8" hidden="true" customHeight="false" outlineLevel="0" collapsed="false">
      <c r="A535" s="765" t="s">
        <v>3660</v>
      </c>
      <c r="B535" s="779" t="s">
        <v>3661</v>
      </c>
      <c r="C535" s="780" t="s">
        <v>2711</v>
      </c>
      <c r="D535" s="781"/>
      <c r="E535" s="781"/>
      <c r="F535" s="781"/>
      <c r="G535" s="782"/>
      <c r="H535" s="781"/>
      <c r="I535" s="781"/>
      <c r="J535" s="780"/>
    </row>
    <row r="536" customFormat="false" ht="13.8" hidden="true" customHeight="false" outlineLevel="0" collapsed="false">
      <c r="A536" s="765" t="s">
        <v>3662</v>
      </c>
      <c r="B536" s="779" t="s">
        <v>3663</v>
      </c>
      <c r="C536" s="780" t="s">
        <v>2711</v>
      </c>
      <c r="D536" s="781"/>
      <c r="E536" s="781"/>
      <c r="F536" s="781"/>
      <c r="G536" s="782"/>
      <c r="H536" s="781"/>
      <c r="I536" s="781"/>
      <c r="J536" s="780"/>
    </row>
    <row r="537" customFormat="false" ht="13.8" hidden="true" customHeight="false" outlineLevel="0" collapsed="false">
      <c r="A537" s="765" t="s">
        <v>3664</v>
      </c>
      <c r="B537" s="779" t="s">
        <v>3665</v>
      </c>
      <c r="C537" s="780" t="s">
        <v>2711</v>
      </c>
      <c r="D537" s="781"/>
      <c r="E537" s="781"/>
      <c r="F537" s="781"/>
      <c r="G537" s="782"/>
      <c r="H537" s="781"/>
      <c r="I537" s="781"/>
      <c r="J537" s="780"/>
    </row>
    <row r="538" customFormat="false" ht="13.8" hidden="true" customHeight="false" outlineLevel="0" collapsed="false">
      <c r="A538" s="765" t="s">
        <v>3666</v>
      </c>
      <c r="B538" s="779" t="s">
        <v>3667</v>
      </c>
      <c r="C538" s="780" t="s">
        <v>2757</v>
      </c>
      <c r="D538" s="781"/>
      <c r="E538" s="781"/>
      <c r="F538" s="781"/>
      <c r="G538" s="782"/>
      <c r="H538" s="781"/>
      <c r="I538" s="781"/>
      <c r="J538" s="780"/>
    </row>
    <row r="539" customFormat="false" ht="13.8" hidden="false" customHeight="false" outlineLevel="0" collapsed="false">
      <c r="A539" s="765" t="s">
        <v>3668</v>
      </c>
      <c r="B539" s="779" t="s">
        <v>3669</v>
      </c>
      <c r="C539" s="780" t="s">
        <v>2500</v>
      </c>
      <c r="D539" s="781"/>
      <c r="E539" s="781"/>
      <c r="F539" s="781"/>
      <c r="G539" s="782"/>
      <c r="H539" s="781"/>
      <c r="I539" s="781"/>
      <c r="J539" s="780"/>
    </row>
    <row r="540" customFormat="false" ht="13.8" hidden="false" customHeight="false" outlineLevel="0" collapsed="false">
      <c r="A540" s="765" t="s">
        <v>3670</v>
      </c>
      <c r="B540" s="779" t="s">
        <v>3671</v>
      </c>
      <c r="C540" s="780" t="s">
        <v>2500</v>
      </c>
      <c r="D540" s="781"/>
      <c r="E540" s="781"/>
      <c r="F540" s="781"/>
      <c r="G540" s="782"/>
      <c r="H540" s="781"/>
      <c r="I540" s="781"/>
      <c r="J540" s="780"/>
    </row>
    <row r="541" customFormat="false" ht="13.8" hidden="false" customHeight="false" outlineLevel="0" collapsed="false">
      <c r="A541" s="765" t="s">
        <v>3672</v>
      </c>
      <c r="B541" s="779" t="s">
        <v>3673</v>
      </c>
      <c r="C541" s="780" t="s">
        <v>2500</v>
      </c>
      <c r="D541" s="781"/>
      <c r="E541" s="781"/>
      <c r="F541" s="781"/>
      <c r="G541" s="782"/>
      <c r="H541" s="781"/>
      <c r="I541" s="781"/>
      <c r="J541" s="780"/>
    </row>
    <row r="542" customFormat="false" ht="13.8" hidden="false" customHeight="false" outlineLevel="0" collapsed="false">
      <c r="A542" s="765" t="s">
        <v>3674</v>
      </c>
      <c r="B542" s="779" t="s">
        <v>3675</v>
      </c>
      <c r="C542" s="780" t="s">
        <v>2500</v>
      </c>
      <c r="D542" s="781"/>
      <c r="E542" s="781"/>
      <c r="F542" s="781"/>
      <c r="G542" s="782"/>
      <c r="H542" s="781"/>
      <c r="I542" s="781"/>
      <c r="J542" s="780"/>
    </row>
    <row r="543" customFormat="false" ht="13.8" hidden="false" customHeight="false" outlineLevel="0" collapsed="false">
      <c r="A543" s="765" t="s">
        <v>3676</v>
      </c>
      <c r="B543" s="779" t="s">
        <v>3677</v>
      </c>
      <c r="C543" s="780" t="s">
        <v>2500</v>
      </c>
      <c r="D543" s="781"/>
      <c r="E543" s="781"/>
      <c r="F543" s="781"/>
      <c r="G543" s="782"/>
      <c r="H543" s="781"/>
      <c r="I543" s="781"/>
      <c r="J543" s="780"/>
    </row>
    <row r="544" customFormat="false" ht="13.8" hidden="false" customHeight="false" outlineLevel="0" collapsed="false">
      <c r="A544" s="765" t="s">
        <v>3678</v>
      </c>
      <c r="B544" s="779" t="s">
        <v>3679</v>
      </c>
      <c r="C544" s="780" t="s">
        <v>2500</v>
      </c>
      <c r="D544" s="781"/>
      <c r="E544" s="781"/>
      <c r="F544" s="781"/>
      <c r="G544" s="782"/>
      <c r="H544" s="781"/>
      <c r="I544" s="781"/>
      <c r="J544" s="780"/>
    </row>
    <row r="545" customFormat="false" ht="13.8" hidden="true" customHeight="false" outlineLevel="0" collapsed="false">
      <c r="A545" s="765" t="s">
        <v>3680</v>
      </c>
      <c r="B545" s="779" t="s">
        <v>3681</v>
      </c>
      <c r="C545" s="780" t="s">
        <v>2580</v>
      </c>
      <c r="D545" s="781"/>
      <c r="E545" s="781"/>
      <c r="F545" s="781"/>
      <c r="G545" s="782"/>
      <c r="H545" s="781"/>
      <c r="I545" s="781"/>
      <c r="J545" s="780"/>
    </row>
    <row r="546" customFormat="false" ht="13.8" hidden="true" customHeight="false" outlineLevel="0" collapsed="false">
      <c r="A546" s="765" t="s">
        <v>3682</v>
      </c>
      <c r="B546" s="779" t="s">
        <v>3683</v>
      </c>
      <c r="C546" s="780" t="s">
        <v>2580</v>
      </c>
      <c r="D546" s="781"/>
      <c r="E546" s="781"/>
      <c r="F546" s="781"/>
      <c r="G546" s="782"/>
      <c r="H546" s="781"/>
      <c r="I546" s="781"/>
      <c r="J546" s="780"/>
    </row>
    <row r="547" customFormat="false" ht="13.8" hidden="false" customHeight="false" outlineLevel="0" collapsed="false">
      <c r="A547" s="765" t="s">
        <v>3684</v>
      </c>
      <c r="B547" s="779" t="s">
        <v>3685</v>
      </c>
      <c r="C547" s="780" t="s">
        <v>2500</v>
      </c>
      <c r="D547" s="781"/>
      <c r="E547" s="781"/>
      <c r="F547" s="781"/>
      <c r="G547" s="782"/>
      <c r="H547" s="781"/>
      <c r="I547" s="781"/>
      <c r="J547" s="780"/>
      <c r="K547" s="768" t="s">
        <v>551</v>
      </c>
      <c r="L547" s="768" t="n">
        <v>1</v>
      </c>
    </row>
    <row r="548" customFormat="false" ht="13.8" hidden="false" customHeight="false" outlineLevel="0" collapsed="false">
      <c r="A548" s="765" t="s">
        <v>3686</v>
      </c>
      <c r="B548" s="779" t="s">
        <v>3687</v>
      </c>
      <c r="C548" s="780" t="s">
        <v>2500</v>
      </c>
      <c r="D548" s="781"/>
      <c r="E548" s="781"/>
      <c r="F548" s="781"/>
      <c r="G548" s="782"/>
      <c r="H548" s="781"/>
      <c r="I548" s="781"/>
      <c r="J548" s="780"/>
      <c r="K548" s="768" t="s">
        <v>431</v>
      </c>
      <c r="L548" s="768" t="n">
        <v>1</v>
      </c>
    </row>
    <row r="549" customFormat="false" ht="13.8" hidden="false" customHeight="false" outlineLevel="0" collapsed="false">
      <c r="A549" s="765" t="s">
        <v>3688</v>
      </c>
      <c r="B549" s="779" t="s">
        <v>3689</v>
      </c>
      <c r="C549" s="780" t="s">
        <v>2500</v>
      </c>
      <c r="D549" s="781"/>
      <c r="E549" s="781"/>
      <c r="F549" s="781"/>
      <c r="G549" s="782"/>
      <c r="H549" s="781"/>
      <c r="I549" s="781"/>
      <c r="J549" s="780"/>
      <c r="K549" s="768" t="s">
        <v>937</v>
      </c>
      <c r="L549" s="768" t="n">
        <v>1</v>
      </c>
    </row>
    <row r="550" customFormat="false" ht="13.8" hidden="false" customHeight="false" outlineLevel="0" collapsed="false">
      <c r="A550" s="765" t="s">
        <v>3690</v>
      </c>
      <c r="B550" s="779" t="s">
        <v>3691</v>
      </c>
      <c r="C550" s="780" t="s">
        <v>2500</v>
      </c>
      <c r="D550" s="781"/>
      <c r="E550" s="781"/>
      <c r="F550" s="781"/>
      <c r="G550" s="782"/>
      <c r="H550" s="781"/>
      <c r="I550" s="781"/>
      <c r="J550" s="780"/>
      <c r="K550" s="768" t="s">
        <v>474</v>
      </c>
      <c r="L550" s="768" t="n">
        <v>1</v>
      </c>
    </row>
    <row r="551" customFormat="false" ht="13.8" hidden="true" customHeight="false" outlineLevel="0" collapsed="false">
      <c r="A551" s="765" t="s">
        <v>3692</v>
      </c>
      <c r="B551" s="779" t="s">
        <v>3693</v>
      </c>
      <c r="C551" s="780" t="s">
        <v>2945</v>
      </c>
      <c r="D551" s="781"/>
      <c r="E551" s="781"/>
      <c r="F551" s="781"/>
      <c r="G551" s="782"/>
      <c r="H551" s="781"/>
      <c r="I551" s="781"/>
      <c r="J551" s="780"/>
      <c r="K551" s="768" t="n">
        <v>0</v>
      </c>
    </row>
    <row r="552" customFormat="false" ht="13.8" hidden="true" customHeight="false" outlineLevel="0" collapsed="false">
      <c r="A552" s="765" t="s">
        <v>3694</v>
      </c>
      <c r="B552" s="779" t="s">
        <v>3695</v>
      </c>
      <c r="C552" s="780" t="s">
        <v>2945</v>
      </c>
      <c r="D552" s="781"/>
      <c r="E552" s="781"/>
      <c r="F552" s="781"/>
      <c r="G552" s="782"/>
      <c r="H552" s="781"/>
      <c r="I552" s="781"/>
      <c r="J552" s="780"/>
    </row>
    <row r="553" customFormat="false" ht="13.8" hidden="true" customHeight="false" outlineLevel="0" collapsed="false">
      <c r="A553" s="765" t="s">
        <v>3696</v>
      </c>
      <c r="B553" s="779" t="s">
        <v>3697</v>
      </c>
      <c r="C553" s="780" t="s">
        <v>2790</v>
      </c>
      <c r="D553" s="781"/>
      <c r="E553" s="781"/>
      <c r="F553" s="781"/>
      <c r="G553" s="782"/>
      <c r="H553" s="781"/>
      <c r="I553" s="781"/>
      <c r="J553" s="780"/>
    </row>
    <row r="554" customFormat="false" ht="13.8" hidden="true" customHeight="false" outlineLevel="0" collapsed="false">
      <c r="A554" s="765" t="s">
        <v>3698</v>
      </c>
      <c r="B554" s="779" t="s">
        <v>3699</v>
      </c>
      <c r="C554" s="780" t="s">
        <v>2790</v>
      </c>
      <c r="D554" s="781"/>
      <c r="E554" s="781"/>
      <c r="F554" s="781"/>
      <c r="G554" s="782"/>
      <c r="H554" s="781"/>
      <c r="I554" s="781"/>
      <c r="J554" s="780"/>
    </row>
    <row r="555" customFormat="false" ht="13.8" hidden="true" customHeight="false" outlineLevel="0" collapsed="false">
      <c r="A555" s="765" t="s">
        <v>3700</v>
      </c>
      <c r="B555" s="779" t="s">
        <v>3701</v>
      </c>
      <c r="C555" s="780" t="s">
        <v>2790</v>
      </c>
      <c r="D555" s="781"/>
      <c r="E555" s="781"/>
      <c r="F555" s="781"/>
      <c r="G555" s="782"/>
      <c r="H555" s="781"/>
      <c r="I555" s="781"/>
      <c r="J555" s="780"/>
    </row>
    <row r="556" customFormat="false" ht="13.8" hidden="true" customHeight="false" outlineLevel="0" collapsed="false">
      <c r="A556" s="765" t="s">
        <v>3702</v>
      </c>
      <c r="B556" s="779" t="s">
        <v>3703</v>
      </c>
      <c r="C556" s="780" t="s">
        <v>2790</v>
      </c>
      <c r="D556" s="781"/>
      <c r="E556" s="781"/>
      <c r="F556" s="781"/>
      <c r="G556" s="782"/>
      <c r="H556" s="781"/>
      <c r="I556" s="781"/>
      <c r="J556" s="780"/>
    </row>
    <row r="557" customFormat="false" ht="13.8" hidden="true" customHeight="false" outlineLevel="0" collapsed="false">
      <c r="A557" s="765" t="s">
        <v>3704</v>
      </c>
      <c r="B557" s="779" t="s">
        <v>3705</v>
      </c>
      <c r="C557" s="780" t="s">
        <v>2790</v>
      </c>
      <c r="D557" s="781"/>
      <c r="E557" s="781"/>
      <c r="F557" s="781"/>
      <c r="G557" s="782"/>
      <c r="H557" s="781"/>
      <c r="I557" s="781"/>
      <c r="J557" s="780"/>
    </row>
    <row r="558" customFormat="false" ht="13.8" hidden="true" customHeight="false" outlineLevel="0" collapsed="false">
      <c r="A558" s="765" t="s">
        <v>3706</v>
      </c>
      <c r="B558" s="779" t="s">
        <v>3707</v>
      </c>
      <c r="C558" s="780" t="s">
        <v>2790</v>
      </c>
      <c r="D558" s="781"/>
      <c r="E558" s="781"/>
      <c r="F558" s="781"/>
      <c r="G558" s="782"/>
      <c r="H558" s="781"/>
      <c r="I558" s="781"/>
      <c r="J558" s="780"/>
    </row>
    <row r="559" customFormat="false" ht="13.8" hidden="true" customHeight="false" outlineLevel="0" collapsed="false">
      <c r="A559" s="765" t="s">
        <v>3708</v>
      </c>
      <c r="B559" s="779" t="s">
        <v>3709</v>
      </c>
      <c r="C559" s="780" t="s">
        <v>3710</v>
      </c>
      <c r="D559" s="781"/>
      <c r="E559" s="781"/>
      <c r="F559" s="781"/>
      <c r="G559" s="782"/>
      <c r="H559" s="781"/>
      <c r="I559" s="781"/>
      <c r="J559" s="780"/>
    </row>
    <row r="560" customFormat="false" ht="13.8" hidden="true" customHeight="false" outlineLevel="0" collapsed="false">
      <c r="A560" s="765" t="s">
        <v>3711</v>
      </c>
      <c r="B560" s="779" t="s">
        <v>3712</v>
      </c>
      <c r="C560" s="780" t="s">
        <v>3710</v>
      </c>
      <c r="D560" s="781"/>
      <c r="E560" s="781"/>
      <c r="F560" s="781"/>
      <c r="G560" s="782"/>
      <c r="H560" s="781"/>
      <c r="I560" s="781"/>
      <c r="J560" s="780"/>
    </row>
    <row r="561" customFormat="false" ht="13.8" hidden="true" customHeight="false" outlineLevel="0" collapsed="false">
      <c r="A561" s="765" t="s">
        <v>3713</v>
      </c>
      <c r="B561" s="779" t="s">
        <v>3714</v>
      </c>
      <c r="C561" s="780" t="s">
        <v>3715</v>
      </c>
      <c r="D561" s="781"/>
      <c r="E561" s="781"/>
      <c r="F561" s="781"/>
      <c r="G561" s="782"/>
      <c r="H561" s="781"/>
      <c r="I561" s="781"/>
      <c r="J561" s="780"/>
    </row>
    <row r="562" customFormat="false" ht="13.8" hidden="true" customHeight="false" outlineLevel="0" collapsed="false">
      <c r="A562" s="765" t="s">
        <v>3716</v>
      </c>
      <c r="B562" s="779" t="s">
        <v>3717</v>
      </c>
      <c r="C562" s="780" t="s">
        <v>3715</v>
      </c>
      <c r="D562" s="781"/>
      <c r="E562" s="781"/>
      <c r="F562" s="781"/>
      <c r="G562" s="782"/>
      <c r="H562" s="781"/>
      <c r="I562" s="781"/>
      <c r="J562" s="780"/>
    </row>
    <row r="563" customFormat="false" ht="13.8" hidden="true" customHeight="false" outlineLevel="0" collapsed="false">
      <c r="A563" s="765" t="s">
        <v>3718</v>
      </c>
      <c r="B563" s="779" t="s">
        <v>3719</v>
      </c>
      <c r="C563" s="780" t="s">
        <v>3710</v>
      </c>
      <c r="D563" s="781"/>
      <c r="E563" s="781"/>
      <c r="F563" s="781"/>
      <c r="G563" s="782"/>
      <c r="H563" s="781"/>
      <c r="I563" s="781"/>
      <c r="J563" s="780"/>
    </row>
    <row r="564" customFormat="false" ht="13.8" hidden="true" customHeight="false" outlineLevel="0" collapsed="false">
      <c r="A564" s="765" t="s">
        <v>3720</v>
      </c>
      <c r="B564" s="779" t="s">
        <v>3721</v>
      </c>
      <c r="C564" s="780" t="s">
        <v>3710</v>
      </c>
      <c r="D564" s="781"/>
      <c r="E564" s="781"/>
      <c r="F564" s="781"/>
      <c r="G564" s="782"/>
      <c r="H564" s="781"/>
      <c r="I564" s="781"/>
      <c r="J564" s="780"/>
    </row>
    <row r="565" customFormat="false" ht="13.8" hidden="true" customHeight="false" outlineLevel="0" collapsed="false">
      <c r="A565" s="765" t="s">
        <v>3722</v>
      </c>
      <c r="B565" s="779" t="s">
        <v>3723</v>
      </c>
      <c r="C565" s="780" t="s">
        <v>3710</v>
      </c>
      <c r="D565" s="781"/>
      <c r="E565" s="781"/>
      <c r="F565" s="781"/>
      <c r="G565" s="782"/>
      <c r="H565" s="781"/>
      <c r="I565" s="781"/>
      <c r="J565" s="780"/>
    </row>
    <row r="566" customFormat="false" ht="13.8" hidden="true" customHeight="false" outlineLevel="0" collapsed="false">
      <c r="A566" s="765" t="s">
        <v>3724</v>
      </c>
      <c r="B566" s="779" t="s">
        <v>3725</v>
      </c>
      <c r="C566" s="780" t="s">
        <v>3710</v>
      </c>
      <c r="D566" s="781"/>
      <c r="E566" s="781"/>
      <c r="F566" s="781"/>
      <c r="G566" s="782"/>
      <c r="H566" s="781"/>
      <c r="I566" s="781"/>
      <c r="J566" s="780"/>
    </row>
    <row r="567" customFormat="false" ht="13.8" hidden="true" customHeight="false" outlineLevel="0" collapsed="false">
      <c r="A567" s="765" t="s">
        <v>3726</v>
      </c>
      <c r="B567" s="779" t="s">
        <v>3727</v>
      </c>
      <c r="C567" s="780" t="s">
        <v>3710</v>
      </c>
      <c r="D567" s="781"/>
      <c r="E567" s="781"/>
      <c r="F567" s="781"/>
      <c r="G567" s="782"/>
      <c r="H567" s="781"/>
      <c r="I567" s="781"/>
      <c r="J567" s="780"/>
    </row>
    <row r="568" customFormat="false" ht="13.8" hidden="false" customHeight="false" outlineLevel="0" collapsed="false">
      <c r="A568" s="765" t="s">
        <v>3728</v>
      </c>
      <c r="B568" s="779" t="s">
        <v>3729</v>
      </c>
      <c r="C568" s="780" t="s">
        <v>2500</v>
      </c>
      <c r="D568" s="781"/>
      <c r="E568" s="781"/>
      <c r="F568" s="781"/>
      <c r="G568" s="782"/>
      <c r="H568" s="781"/>
      <c r="I568" s="781"/>
      <c r="J568" s="780"/>
      <c r="K568" s="768" t="s">
        <v>53</v>
      </c>
      <c r="L568" s="768" t="n">
        <v>1</v>
      </c>
    </row>
    <row r="569" customFormat="false" ht="13.8" hidden="false" customHeight="false" outlineLevel="0" collapsed="false">
      <c r="A569" s="765" t="s">
        <v>3730</v>
      </c>
      <c r="B569" s="779" t="s">
        <v>3731</v>
      </c>
      <c r="C569" s="780" t="s">
        <v>2500</v>
      </c>
      <c r="D569" s="781"/>
      <c r="E569" s="781"/>
      <c r="F569" s="781"/>
      <c r="G569" s="782"/>
      <c r="H569" s="781"/>
      <c r="I569" s="781"/>
      <c r="J569" s="780"/>
      <c r="K569" s="768" t="s">
        <v>60</v>
      </c>
      <c r="L569" s="768" t="n">
        <v>1</v>
      </c>
    </row>
    <row r="570" customFormat="false" ht="13.8" hidden="true" customHeight="false" outlineLevel="0" collapsed="false">
      <c r="A570" s="765" t="s">
        <v>3732</v>
      </c>
      <c r="B570" s="779" t="s">
        <v>3733</v>
      </c>
      <c r="C570" s="780" t="s">
        <v>2580</v>
      </c>
      <c r="D570" s="781"/>
      <c r="E570" s="781"/>
      <c r="F570" s="781"/>
      <c r="G570" s="782"/>
      <c r="H570" s="781"/>
      <c r="I570" s="781"/>
      <c r="J570" s="780"/>
      <c r="L570" s="768" t="n">
        <v>0</v>
      </c>
      <c r="M570" s="768" t="s">
        <v>981</v>
      </c>
      <c r="N570" s="768" t="n">
        <v>1</v>
      </c>
    </row>
    <row r="571" customFormat="false" ht="13.8" hidden="true" customHeight="false" outlineLevel="0" collapsed="false">
      <c r="A571" s="765" t="s">
        <v>3734</v>
      </c>
      <c r="B571" s="779" t="s">
        <v>3735</v>
      </c>
      <c r="C571" s="780" t="s">
        <v>2580</v>
      </c>
      <c r="D571" s="781"/>
      <c r="E571" s="781"/>
      <c r="F571" s="781"/>
      <c r="G571" s="782"/>
      <c r="H571" s="781"/>
      <c r="I571" s="781"/>
      <c r="J571" s="780"/>
      <c r="M571" s="768" t="s">
        <v>229</v>
      </c>
      <c r="N571" s="768" t="n">
        <v>1</v>
      </c>
    </row>
    <row r="572" customFormat="false" ht="13.8" hidden="true" customHeight="false" outlineLevel="0" collapsed="false">
      <c r="A572" s="765" t="s">
        <v>3736</v>
      </c>
      <c r="B572" s="779" t="s">
        <v>3737</v>
      </c>
      <c r="C572" s="780" t="s">
        <v>2790</v>
      </c>
      <c r="D572" s="781"/>
      <c r="E572" s="781"/>
      <c r="F572" s="781"/>
      <c r="G572" s="782"/>
      <c r="H572" s="781"/>
      <c r="I572" s="781"/>
      <c r="J572" s="780"/>
    </row>
    <row r="573" customFormat="false" ht="13.8" hidden="true" customHeight="false" outlineLevel="0" collapsed="false">
      <c r="A573" s="765" t="s">
        <v>3738</v>
      </c>
      <c r="B573" s="779" t="s">
        <v>3739</v>
      </c>
      <c r="C573" s="780" t="s">
        <v>2790</v>
      </c>
      <c r="D573" s="781"/>
      <c r="E573" s="781"/>
      <c r="F573" s="781"/>
      <c r="G573" s="782"/>
      <c r="H573" s="781"/>
      <c r="I573" s="781"/>
      <c r="J573" s="780"/>
    </row>
    <row r="574" customFormat="false" ht="13.8" hidden="true" customHeight="false" outlineLevel="0" collapsed="false">
      <c r="A574" s="765" t="s">
        <v>3740</v>
      </c>
      <c r="B574" s="779" t="s">
        <v>3741</v>
      </c>
      <c r="C574" s="780" t="s">
        <v>2790</v>
      </c>
      <c r="D574" s="781"/>
      <c r="E574" s="781"/>
      <c r="F574" s="781"/>
      <c r="G574" s="782"/>
      <c r="H574" s="781"/>
      <c r="I574" s="781"/>
      <c r="J574" s="780"/>
    </row>
    <row r="575" customFormat="false" ht="13.8" hidden="true" customHeight="false" outlineLevel="0" collapsed="false">
      <c r="A575" s="765" t="s">
        <v>3742</v>
      </c>
      <c r="B575" s="779" t="s">
        <v>3743</v>
      </c>
      <c r="C575" s="780" t="s">
        <v>3744</v>
      </c>
      <c r="D575" s="781"/>
      <c r="E575" s="781"/>
      <c r="F575" s="781"/>
      <c r="G575" s="782"/>
      <c r="H575" s="781"/>
      <c r="I575" s="781"/>
      <c r="J575" s="780"/>
    </row>
    <row r="576" customFormat="false" ht="13.8" hidden="true" customHeight="false" outlineLevel="0" collapsed="false">
      <c r="A576" s="765" t="s">
        <v>3745</v>
      </c>
      <c r="B576" s="779" t="s">
        <v>3746</v>
      </c>
      <c r="C576" s="780" t="s">
        <v>2907</v>
      </c>
      <c r="D576" s="781"/>
      <c r="E576" s="781"/>
      <c r="F576" s="781"/>
      <c r="G576" s="782"/>
      <c r="H576" s="781"/>
      <c r="I576" s="781"/>
      <c r="J576" s="780"/>
    </row>
    <row r="577" customFormat="false" ht="13.8" hidden="true" customHeight="false" outlineLevel="0" collapsed="false">
      <c r="A577" s="765" t="s">
        <v>3747</v>
      </c>
      <c r="B577" s="779" t="s">
        <v>3748</v>
      </c>
      <c r="C577" s="780" t="s">
        <v>3749</v>
      </c>
      <c r="D577" s="781"/>
      <c r="E577" s="781"/>
      <c r="F577" s="781"/>
      <c r="G577" s="782"/>
      <c r="H577" s="781"/>
      <c r="I577" s="781"/>
      <c r="J577" s="780"/>
    </row>
    <row r="578" customFormat="false" ht="13.8" hidden="true" customHeight="false" outlineLevel="0" collapsed="false">
      <c r="A578" s="765" t="s">
        <v>3750</v>
      </c>
      <c r="B578" s="779" t="s">
        <v>3751</v>
      </c>
      <c r="C578" s="780" t="s">
        <v>3749</v>
      </c>
      <c r="D578" s="781"/>
      <c r="E578" s="781"/>
      <c r="F578" s="781"/>
      <c r="G578" s="782"/>
      <c r="H578" s="781"/>
      <c r="I578" s="781"/>
      <c r="J578" s="780"/>
    </row>
    <row r="579" customFormat="false" ht="13.8" hidden="true" customHeight="false" outlineLevel="0" collapsed="false">
      <c r="A579" s="765" t="s">
        <v>3752</v>
      </c>
      <c r="B579" s="779" t="s">
        <v>3753</v>
      </c>
      <c r="C579" s="780" t="s">
        <v>2888</v>
      </c>
      <c r="D579" s="781"/>
      <c r="E579" s="781"/>
      <c r="F579" s="781"/>
      <c r="G579" s="782"/>
      <c r="H579" s="781"/>
      <c r="I579" s="781"/>
      <c r="J579" s="780"/>
    </row>
    <row r="580" customFormat="false" ht="13.8" hidden="true" customHeight="false" outlineLevel="0" collapsed="false">
      <c r="A580" s="765" t="s">
        <v>3754</v>
      </c>
      <c r="B580" s="779" t="s">
        <v>3755</v>
      </c>
      <c r="C580" s="780" t="s">
        <v>2888</v>
      </c>
      <c r="D580" s="781"/>
      <c r="E580" s="781"/>
      <c r="F580" s="781"/>
      <c r="G580" s="782"/>
      <c r="H580" s="781"/>
      <c r="I580" s="781"/>
      <c r="J580" s="780"/>
    </row>
    <row r="581" customFormat="false" ht="13.8" hidden="true" customHeight="false" outlineLevel="0" collapsed="false">
      <c r="A581" s="765" t="s">
        <v>3756</v>
      </c>
      <c r="B581" s="779" t="s">
        <v>3757</v>
      </c>
      <c r="C581" s="780" t="s">
        <v>2888</v>
      </c>
      <c r="D581" s="781"/>
      <c r="E581" s="781"/>
      <c r="F581" s="781"/>
      <c r="G581" s="782"/>
      <c r="H581" s="781"/>
      <c r="I581" s="781"/>
      <c r="J581" s="780"/>
    </row>
    <row r="582" customFormat="false" ht="13.8" hidden="true" customHeight="false" outlineLevel="0" collapsed="false">
      <c r="A582" s="765" t="s">
        <v>3758</v>
      </c>
      <c r="B582" s="779" t="s">
        <v>3759</v>
      </c>
      <c r="C582" s="780" t="s">
        <v>2888</v>
      </c>
      <c r="D582" s="781"/>
      <c r="E582" s="781"/>
      <c r="F582" s="781"/>
      <c r="G582" s="782"/>
      <c r="H582" s="781"/>
      <c r="I582" s="781"/>
      <c r="J582" s="780"/>
    </row>
    <row r="583" customFormat="false" ht="13.8" hidden="true" customHeight="false" outlineLevel="0" collapsed="false">
      <c r="A583" s="765" t="s">
        <v>3760</v>
      </c>
      <c r="B583" s="779" t="s">
        <v>3761</v>
      </c>
      <c r="C583" s="780" t="s">
        <v>2888</v>
      </c>
      <c r="D583" s="781"/>
      <c r="E583" s="781"/>
      <c r="F583" s="781"/>
      <c r="G583" s="782"/>
      <c r="H583" s="781"/>
      <c r="I583" s="781"/>
      <c r="J583" s="780"/>
    </row>
    <row r="584" customFormat="false" ht="13.8" hidden="true" customHeight="false" outlineLevel="0" collapsed="false">
      <c r="A584" s="765" t="s">
        <v>3762</v>
      </c>
      <c r="B584" s="779" t="s">
        <v>3763</v>
      </c>
      <c r="C584" s="780" t="s">
        <v>2888</v>
      </c>
      <c r="D584" s="781"/>
      <c r="E584" s="781"/>
      <c r="F584" s="781"/>
      <c r="G584" s="782"/>
      <c r="H584" s="781"/>
      <c r="I584" s="781"/>
      <c r="J584" s="780"/>
    </row>
    <row r="585" customFormat="false" ht="13.8" hidden="true" customHeight="false" outlineLevel="0" collapsed="false">
      <c r="A585" s="765" t="s">
        <v>3764</v>
      </c>
      <c r="B585" s="779" t="s">
        <v>3765</v>
      </c>
      <c r="C585" s="780" t="s">
        <v>2888</v>
      </c>
      <c r="D585" s="781"/>
      <c r="E585" s="781"/>
      <c r="F585" s="781"/>
      <c r="G585" s="782"/>
      <c r="H585" s="781"/>
      <c r="I585" s="781"/>
      <c r="J585" s="780"/>
    </row>
    <row r="586" customFormat="false" ht="13.8" hidden="true" customHeight="false" outlineLevel="0" collapsed="false">
      <c r="A586" s="765" t="s">
        <v>3766</v>
      </c>
      <c r="B586" s="779" t="s">
        <v>3767</v>
      </c>
      <c r="C586" s="780" t="s">
        <v>2888</v>
      </c>
      <c r="D586" s="781"/>
      <c r="E586" s="781"/>
      <c r="F586" s="781"/>
      <c r="G586" s="782"/>
      <c r="H586" s="781"/>
      <c r="I586" s="781"/>
      <c r="J586" s="780"/>
    </row>
    <row r="587" customFormat="false" ht="13.8" hidden="true" customHeight="false" outlineLevel="0" collapsed="false">
      <c r="A587" s="765" t="s">
        <v>3768</v>
      </c>
      <c r="B587" s="779" t="s">
        <v>3769</v>
      </c>
      <c r="C587" s="780" t="s">
        <v>2888</v>
      </c>
      <c r="D587" s="781"/>
      <c r="E587" s="781"/>
      <c r="F587" s="781"/>
      <c r="G587" s="782"/>
      <c r="H587" s="781"/>
      <c r="I587" s="781"/>
      <c r="J587" s="780"/>
    </row>
    <row r="588" customFormat="false" ht="13.8" hidden="true" customHeight="false" outlineLevel="0" collapsed="false">
      <c r="A588" s="765" t="s">
        <v>3770</v>
      </c>
      <c r="B588" s="779" t="s">
        <v>3771</v>
      </c>
      <c r="C588" s="780" t="s">
        <v>2888</v>
      </c>
      <c r="D588" s="781"/>
      <c r="E588" s="781"/>
      <c r="F588" s="781"/>
      <c r="G588" s="782"/>
      <c r="H588" s="781"/>
      <c r="I588" s="781"/>
      <c r="J588" s="780"/>
    </row>
    <row r="589" customFormat="false" ht="13.8" hidden="true" customHeight="false" outlineLevel="0" collapsed="false">
      <c r="A589" s="765" t="s">
        <v>3772</v>
      </c>
      <c r="B589" s="779" t="s">
        <v>3773</v>
      </c>
      <c r="C589" s="780" t="s">
        <v>2888</v>
      </c>
      <c r="D589" s="781"/>
      <c r="E589" s="781"/>
      <c r="F589" s="781"/>
      <c r="G589" s="782"/>
      <c r="H589" s="781"/>
      <c r="I589" s="781"/>
      <c r="J589" s="780"/>
    </row>
    <row r="590" customFormat="false" ht="13.8" hidden="true" customHeight="false" outlineLevel="0" collapsed="false">
      <c r="A590" s="765" t="s">
        <v>3774</v>
      </c>
      <c r="B590" s="779" t="s">
        <v>3775</v>
      </c>
      <c r="C590" s="780" t="s">
        <v>2888</v>
      </c>
      <c r="D590" s="781"/>
      <c r="E590" s="781"/>
      <c r="F590" s="781"/>
      <c r="G590" s="782"/>
      <c r="H590" s="781"/>
      <c r="I590" s="781"/>
      <c r="J590" s="780"/>
    </row>
    <row r="591" customFormat="false" ht="13.8" hidden="true" customHeight="false" outlineLevel="0" collapsed="false">
      <c r="A591" s="765" t="s">
        <v>3776</v>
      </c>
      <c r="B591" s="779" t="s">
        <v>3777</v>
      </c>
      <c r="C591" s="780" t="s">
        <v>2888</v>
      </c>
      <c r="D591" s="781"/>
      <c r="E591" s="781"/>
      <c r="F591" s="781"/>
      <c r="G591" s="782"/>
      <c r="H591" s="781"/>
      <c r="I591" s="781"/>
      <c r="J591" s="780"/>
    </row>
    <row r="592" customFormat="false" ht="13.8" hidden="true" customHeight="false" outlineLevel="0" collapsed="false">
      <c r="A592" s="765" t="s">
        <v>3778</v>
      </c>
      <c r="B592" s="779" t="s">
        <v>3779</v>
      </c>
      <c r="C592" s="780" t="s">
        <v>2790</v>
      </c>
      <c r="D592" s="781"/>
      <c r="E592" s="781"/>
      <c r="F592" s="781"/>
      <c r="G592" s="782"/>
      <c r="H592" s="781"/>
      <c r="I592" s="781"/>
      <c r="J592" s="780"/>
    </row>
    <row r="593" customFormat="false" ht="13.8" hidden="true" customHeight="false" outlineLevel="0" collapsed="false">
      <c r="A593" s="765" t="s">
        <v>3780</v>
      </c>
      <c r="B593" s="779" t="s">
        <v>3781</v>
      </c>
      <c r="C593" s="780" t="s">
        <v>2790</v>
      </c>
      <c r="D593" s="781"/>
      <c r="E593" s="781"/>
      <c r="F593" s="781"/>
      <c r="G593" s="782"/>
      <c r="H593" s="781"/>
      <c r="I593" s="781"/>
      <c r="J593" s="780"/>
    </row>
    <row r="594" customFormat="false" ht="13.8" hidden="true" customHeight="false" outlineLevel="0" collapsed="false">
      <c r="A594" s="765" t="s">
        <v>3782</v>
      </c>
      <c r="B594" s="779" t="s">
        <v>3783</v>
      </c>
      <c r="C594" s="780" t="s">
        <v>2790</v>
      </c>
      <c r="D594" s="781"/>
      <c r="E594" s="781"/>
      <c r="F594" s="781"/>
      <c r="G594" s="782"/>
      <c r="H594" s="781"/>
      <c r="I594" s="781"/>
      <c r="J594" s="780"/>
    </row>
    <row r="595" customFormat="false" ht="13.8" hidden="true" customHeight="false" outlineLevel="0" collapsed="false">
      <c r="A595" s="765" t="s">
        <v>3784</v>
      </c>
      <c r="B595" s="779" t="s">
        <v>3785</v>
      </c>
      <c r="C595" s="780" t="s">
        <v>2623</v>
      </c>
      <c r="D595" s="781"/>
      <c r="E595" s="781"/>
      <c r="F595" s="781"/>
      <c r="G595" s="782"/>
      <c r="H595" s="781"/>
      <c r="I595" s="781"/>
      <c r="J595" s="780"/>
    </row>
    <row r="596" customFormat="false" ht="13.8" hidden="true" customHeight="false" outlineLevel="0" collapsed="false">
      <c r="A596" s="765" t="s">
        <v>3786</v>
      </c>
      <c r="B596" s="779" t="s">
        <v>3787</v>
      </c>
      <c r="C596" s="780" t="s">
        <v>2623</v>
      </c>
      <c r="D596" s="781"/>
      <c r="E596" s="781"/>
      <c r="F596" s="781"/>
      <c r="G596" s="782"/>
      <c r="H596" s="781"/>
      <c r="I596" s="781"/>
      <c r="J596" s="780"/>
    </row>
    <row r="597" customFormat="false" ht="13.8" hidden="true" customHeight="false" outlineLevel="0" collapsed="false">
      <c r="A597" s="765" t="s">
        <v>3788</v>
      </c>
      <c r="B597" s="779" t="s">
        <v>3789</v>
      </c>
      <c r="C597" s="780" t="s">
        <v>2623</v>
      </c>
      <c r="D597" s="781"/>
      <c r="E597" s="781"/>
      <c r="F597" s="781"/>
      <c r="G597" s="782"/>
      <c r="H597" s="781"/>
      <c r="I597" s="781"/>
      <c r="J597" s="780"/>
    </row>
    <row r="598" customFormat="false" ht="13.8" hidden="true" customHeight="false" outlineLevel="0" collapsed="false">
      <c r="A598" s="765" t="s">
        <v>3790</v>
      </c>
      <c r="B598" s="779" t="s">
        <v>3791</v>
      </c>
      <c r="C598" s="780" t="s">
        <v>2623</v>
      </c>
      <c r="D598" s="781"/>
      <c r="E598" s="781"/>
      <c r="F598" s="781"/>
      <c r="G598" s="782"/>
      <c r="H598" s="781"/>
      <c r="I598" s="781"/>
      <c r="J598" s="780"/>
    </row>
    <row r="599" customFormat="false" ht="13.8" hidden="true" customHeight="false" outlineLevel="0" collapsed="false">
      <c r="A599" s="765" t="s">
        <v>3792</v>
      </c>
      <c r="B599" s="779" t="s">
        <v>3793</v>
      </c>
      <c r="C599" s="780" t="s">
        <v>2623</v>
      </c>
      <c r="D599" s="781"/>
      <c r="E599" s="781"/>
      <c r="F599" s="781"/>
      <c r="G599" s="782"/>
      <c r="H599" s="781"/>
      <c r="I599" s="781"/>
      <c r="J599" s="780"/>
      <c r="M599" s="768" t="s">
        <v>320</v>
      </c>
      <c r="N599" s="768" t="n">
        <v>1</v>
      </c>
    </row>
    <row r="600" customFormat="false" ht="13.8" hidden="true" customHeight="false" outlineLevel="0" collapsed="false">
      <c r="A600" s="765" t="s">
        <v>3794</v>
      </c>
      <c r="B600" s="779" t="s">
        <v>3795</v>
      </c>
      <c r="C600" s="780" t="s">
        <v>3796</v>
      </c>
      <c r="D600" s="781"/>
      <c r="E600" s="781"/>
      <c r="F600" s="781"/>
      <c r="G600" s="782"/>
      <c r="H600" s="781"/>
      <c r="I600" s="781"/>
      <c r="J600" s="780"/>
    </row>
    <row r="601" customFormat="false" ht="13.8" hidden="true" customHeight="false" outlineLevel="0" collapsed="false">
      <c r="A601" s="765" t="s">
        <v>3797</v>
      </c>
      <c r="B601" s="779" t="s">
        <v>3798</v>
      </c>
      <c r="C601" s="780" t="s">
        <v>2985</v>
      </c>
      <c r="D601" s="781"/>
      <c r="E601" s="781"/>
      <c r="F601" s="781"/>
      <c r="G601" s="782"/>
      <c r="H601" s="781"/>
      <c r="I601" s="781"/>
      <c r="J601" s="780"/>
    </row>
    <row r="602" customFormat="false" ht="13.8" hidden="true" customHeight="false" outlineLevel="0" collapsed="false">
      <c r="A602" s="765" t="s">
        <v>3799</v>
      </c>
      <c r="B602" s="779" t="s">
        <v>3800</v>
      </c>
      <c r="C602" s="780" t="s">
        <v>2985</v>
      </c>
      <c r="D602" s="781"/>
      <c r="E602" s="781"/>
      <c r="F602" s="781"/>
      <c r="G602" s="782"/>
      <c r="H602" s="781"/>
      <c r="I602" s="781"/>
      <c r="J602" s="780"/>
    </row>
    <row r="603" customFormat="false" ht="13.8" hidden="true" customHeight="false" outlineLevel="0" collapsed="false">
      <c r="A603" s="765" t="s">
        <v>3801</v>
      </c>
      <c r="B603" s="779" t="s">
        <v>3802</v>
      </c>
      <c r="C603" s="780" t="s">
        <v>3796</v>
      </c>
      <c r="D603" s="781"/>
      <c r="E603" s="781"/>
      <c r="F603" s="781"/>
      <c r="G603" s="782"/>
      <c r="H603" s="781"/>
      <c r="I603" s="781"/>
      <c r="J603" s="780"/>
    </row>
    <row r="604" customFormat="false" ht="13.8" hidden="true" customHeight="false" outlineLevel="0" collapsed="false">
      <c r="A604" s="765" t="s">
        <v>3803</v>
      </c>
      <c r="B604" s="779" t="s">
        <v>3804</v>
      </c>
      <c r="C604" s="780" t="s">
        <v>3796</v>
      </c>
      <c r="D604" s="781"/>
      <c r="E604" s="781"/>
      <c r="F604" s="781"/>
      <c r="G604" s="782"/>
      <c r="H604" s="781"/>
      <c r="I604" s="781"/>
      <c r="J604" s="780"/>
    </row>
    <row r="605" customFormat="false" ht="13.8" hidden="true" customHeight="false" outlineLevel="0" collapsed="false">
      <c r="A605" s="765" t="s">
        <v>3805</v>
      </c>
      <c r="B605" s="779" t="s">
        <v>3806</v>
      </c>
      <c r="C605" s="780" t="s">
        <v>3796</v>
      </c>
      <c r="D605" s="781"/>
      <c r="E605" s="781"/>
      <c r="F605" s="781"/>
      <c r="G605" s="782"/>
      <c r="H605" s="781"/>
      <c r="I605" s="781"/>
      <c r="J605" s="780"/>
    </row>
    <row r="606" customFormat="false" ht="13.8" hidden="true" customHeight="false" outlineLevel="0" collapsed="false">
      <c r="A606" s="765" t="s">
        <v>3807</v>
      </c>
      <c r="B606" s="779" t="s">
        <v>3808</v>
      </c>
      <c r="C606" s="780" t="s">
        <v>3796</v>
      </c>
      <c r="D606" s="781"/>
      <c r="E606" s="781"/>
      <c r="F606" s="781"/>
      <c r="G606" s="782"/>
      <c r="H606" s="781"/>
      <c r="I606" s="781"/>
      <c r="J606" s="780"/>
    </row>
    <row r="607" customFormat="false" ht="13.8" hidden="true" customHeight="false" outlineLevel="0" collapsed="false">
      <c r="A607" s="765" t="s">
        <v>3809</v>
      </c>
      <c r="B607" s="779" t="s">
        <v>3810</v>
      </c>
      <c r="C607" s="780" t="s">
        <v>3811</v>
      </c>
      <c r="D607" s="781"/>
      <c r="E607" s="781"/>
      <c r="F607" s="781"/>
      <c r="G607" s="782"/>
      <c r="H607" s="781"/>
      <c r="I607" s="781"/>
      <c r="J607" s="780"/>
    </row>
    <row r="608" customFormat="false" ht="13.8" hidden="true" customHeight="false" outlineLevel="0" collapsed="false">
      <c r="A608" s="765" t="s">
        <v>3812</v>
      </c>
      <c r="B608" s="779" t="s">
        <v>3813</v>
      </c>
      <c r="C608" s="780" t="s">
        <v>3811</v>
      </c>
      <c r="D608" s="781"/>
      <c r="E608" s="781"/>
      <c r="F608" s="781"/>
      <c r="G608" s="782"/>
      <c r="H608" s="781"/>
      <c r="I608" s="781"/>
      <c r="J608" s="780"/>
    </row>
    <row r="609" customFormat="false" ht="13.8" hidden="true" customHeight="false" outlineLevel="0" collapsed="false">
      <c r="A609" s="765" t="s">
        <v>3814</v>
      </c>
      <c r="B609" s="779" t="s">
        <v>3815</v>
      </c>
      <c r="C609" s="780" t="s">
        <v>3811</v>
      </c>
      <c r="D609" s="781"/>
      <c r="E609" s="781"/>
      <c r="F609" s="781"/>
      <c r="G609" s="782"/>
      <c r="H609" s="781"/>
      <c r="I609" s="781"/>
      <c r="J609" s="780"/>
    </row>
    <row r="610" customFormat="false" ht="13.8" hidden="true" customHeight="false" outlineLevel="0" collapsed="false">
      <c r="A610" s="765" t="s">
        <v>3816</v>
      </c>
      <c r="B610" s="779" t="s">
        <v>3817</v>
      </c>
      <c r="C610" s="780" t="s">
        <v>3811</v>
      </c>
      <c r="D610" s="781"/>
      <c r="E610" s="781"/>
      <c r="F610" s="781"/>
      <c r="G610" s="782"/>
      <c r="H610" s="781"/>
      <c r="I610" s="781"/>
      <c r="J610" s="780"/>
    </row>
    <row r="611" customFormat="false" ht="13.8" hidden="true" customHeight="false" outlineLevel="0" collapsed="false">
      <c r="A611" s="765" t="s">
        <v>3818</v>
      </c>
      <c r="B611" s="779" t="s">
        <v>3819</v>
      </c>
      <c r="C611" s="780" t="s">
        <v>3811</v>
      </c>
      <c r="D611" s="781"/>
      <c r="E611" s="781"/>
      <c r="F611" s="781"/>
      <c r="G611" s="782"/>
      <c r="H611" s="781"/>
      <c r="I611" s="781"/>
      <c r="J611" s="780"/>
    </row>
    <row r="612" customFormat="false" ht="13.8" hidden="true" customHeight="false" outlineLevel="0" collapsed="false">
      <c r="A612" s="765" t="s">
        <v>3820</v>
      </c>
      <c r="B612" s="779" t="s">
        <v>3821</v>
      </c>
      <c r="C612" s="780" t="s">
        <v>3811</v>
      </c>
      <c r="D612" s="781"/>
      <c r="E612" s="781"/>
      <c r="F612" s="781"/>
      <c r="G612" s="782"/>
      <c r="H612" s="781"/>
      <c r="I612" s="781"/>
      <c r="J612" s="780"/>
    </row>
    <row r="613" customFormat="false" ht="13.8" hidden="true" customHeight="false" outlineLevel="0" collapsed="false">
      <c r="A613" s="765" t="s">
        <v>3822</v>
      </c>
      <c r="B613" s="779" t="s">
        <v>3823</v>
      </c>
      <c r="C613" s="780" t="s">
        <v>3811</v>
      </c>
      <c r="D613" s="781"/>
      <c r="E613" s="781"/>
      <c r="F613" s="781"/>
      <c r="G613" s="782"/>
      <c r="H613" s="781"/>
      <c r="I613" s="781"/>
      <c r="J613" s="780"/>
    </row>
    <row r="614" customFormat="false" ht="13.8" hidden="true" customHeight="false" outlineLevel="0" collapsed="false">
      <c r="A614" s="765" t="s">
        <v>3824</v>
      </c>
      <c r="B614" s="779" t="s">
        <v>3825</v>
      </c>
      <c r="C614" s="780" t="s">
        <v>3811</v>
      </c>
      <c r="D614" s="781"/>
      <c r="E614" s="781"/>
      <c r="F614" s="781"/>
      <c r="G614" s="782"/>
      <c r="H614" s="781"/>
      <c r="I614" s="781"/>
      <c r="J614" s="780"/>
    </row>
    <row r="615" customFormat="false" ht="13.8" hidden="true" customHeight="false" outlineLevel="0" collapsed="false">
      <c r="A615" s="765" t="s">
        <v>3826</v>
      </c>
      <c r="B615" s="779" t="s">
        <v>3827</v>
      </c>
      <c r="C615" s="780" t="s">
        <v>3811</v>
      </c>
      <c r="D615" s="781"/>
      <c r="E615" s="781"/>
      <c r="F615" s="781"/>
      <c r="G615" s="782"/>
      <c r="H615" s="781"/>
      <c r="I615" s="781"/>
      <c r="J615" s="780"/>
    </row>
    <row r="616" customFormat="false" ht="13.8" hidden="true" customHeight="false" outlineLevel="0" collapsed="false">
      <c r="A616" s="765" t="s">
        <v>3828</v>
      </c>
      <c r="B616" s="779" t="s">
        <v>3829</v>
      </c>
      <c r="C616" s="780" t="s">
        <v>2996</v>
      </c>
      <c r="D616" s="781"/>
      <c r="E616" s="781"/>
      <c r="F616" s="781"/>
      <c r="G616" s="782"/>
      <c r="H616" s="781"/>
      <c r="I616" s="781"/>
      <c r="J616" s="780"/>
    </row>
    <row r="617" customFormat="false" ht="13.8" hidden="true" customHeight="false" outlineLevel="0" collapsed="false">
      <c r="A617" s="765" t="s">
        <v>3830</v>
      </c>
      <c r="B617" s="779" t="s">
        <v>3831</v>
      </c>
      <c r="C617" s="780" t="s">
        <v>2888</v>
      </c>
      <c r="D617" s="781"/>
      <c r="E617" s="781"/>
      <c r="F617" s="781"/>
      <c r="G617" s="782"/>
      <c r="H617" s="781"/>
      <c r="I617" s="781"/>
      <c r="J617" s="780"/>
    </row>
    <row r="618" customFormat="false" ht="13.8" hidden="true" customHeight="false" outlineLevel="0" collapsed="false">
      <c r="A618" s="765" t="s">
        <v>3832</v>
      </c>
      <c r="B618" s="779" t="s">
        <v>3833</v>
      </c>
      <c r="C618" s="780" t="s">
        <v>3834</v>
      </c>
      <c r="D618" s="781"/>
      <c r="E618" s="781"/>
      <c r="F618" s="781"/>
      <c r="G618" s="782"/>
      <c r="H618" s="781"/>
      <c r="I618" s="781"/>
      <c r="J618" s="780"/>
    </row>
    <row r="619" customFormat="false" ht="13.8" hidden="true" customHeight="false" outlineLevel="0" collapsed="false">
      <c r="A619" s="765" t="s">
        <v>3835</v>
      </c>
      <c r="B619" s="779" t="s">
        <v>3836</v>
      </c>
      <c r="C619" s="780" t="s">
        <v>3834</v>
      </c>
      <c r="D619" s="781"/>
      <c r="E619" s="781"/>
      <c r="F619" s="781"/>
      <c r="G619" s="782"/>
      <c r="H619" s="781"/>
      <c r="I619" s="781"/>
      <c r="J619" s="780"/>
    </row>
    <row r="620" customFormat="false" ht="13.8" hidden="false" customHeight="false" outlineLevel="0" collapsed="false">
      <c r="A620" s="765" t="s">
        <v>3837</v>
      </c>
      <c r="B620" s="779" t="s">
        <v>3838</v>
      </c>
      <c r="C620" s="780" t="s">
        <v>2500</v>
      </c>
      <c r="D620" s="781"/>
      <c r="E620" s="781"/>
      <c r="F620" s="781"/>
      <c r="G620" s="782"/>
      <c r="H620" s="781"/>
      <c r="I620" s="781"/>
      <c r="J620" s="780"/>
    </row>
    <row r="621" customFormat="false" ht="13.8" hidden="false" customHeight="false" outlineLevel="0" collapsed="false">
      <c r="A621" s="765" t="s">
        <v>3839</v>
      </c>
      <c r="B621" s="779" t="s">
        <v>3840</v>
      </c>
      <c r="C621" s="780" t="s">
        <v>2500</v>
      </c>
      <c r="D621" s="781"/>
      <c r="E621" s="781"/>
      <c r="F621" s="781"/>
      <c r="G621" s="782"/>
      <c r="H621" s="781"/>
      <c r="I621" s="781"/>
      <c r="J621" s="780"/>
    </row>
    <row r="622" customFormat="false" ht="13.8" hidden="false" customHeight="false" outlineLevel="0" collapsed="false">
      <c r="A622" s="765" t="s">
        <v>3841</v>
      </c>
      <c r="B622" s="779" t="s">
        <v>3842</v>
      </c>
      <c r="C622" s="780" t="s">
        <v>2500</v>
      </c>
      <c r="D622" s="781"/>
      <c r="E622" s="781"/>
      <c r="F622" s="781"/>
      <c r="G622" s="782"/>
      <c r="H622" s="781"/>
      <c r="I622" s="781"/>
      <c r="J622" s="780"/>
    </row>
    <row r="623" customFormat="false" ht="13.8" hidden="false" customHeight="false" outlineLevel="0" collapsed="false">
      <c r="A623" s="765" t="s">
        <v>3843</v>
      </c>
      <c r="B623" s="779" t="s">
        <v>3844</v>
      </c>
      <c r="C623" s="780" t="s">
        <v>2500</v>
      </c>
      <c r="D623" s="781"/>
      <c r="E623" s="781"/>
      <c r="F623" s="781"/>
      <c r="G623" s="782"/>
      <c r="H623" s="781"/>
      <c r="I623" s="781"/>
      <c r="J623" s="780"/>
    </row>
    <row r="624" customFormat="false" ht="13.8" hidden="true" customHeight="false" outlineLevel="0" collapsed="false">
      <c r="A624" s="765" t="s">
        <v>3845</v>
      </c>
      <c r="B624" s="779" t="s">
        <v>3846</v>
      </c>
      <c r="C624" s="780" t="s">
        <v>3847</v>
      </c>
      <c r="D624" s="781"/>
      <c r="E624" s="781"/>
      <c r="F624" s="781"/>
      <c r="G624" s="782"/>
      <c r="H624" s="781"/>
      <c r="I624" s="781"/>
      <c r="J624" s="780"/>
    </row>
    <row r="625" customFormat="false" ht="13.8" hidden="true" customHeight="false" outlineLevel="0" collapsed="false">
      <c r="A625" s="765" t="s">
        <v>3848</v>
      </c>
      <c r="B625" s="779" t="s">
        <v>3849</v>
      </c>
      <c r="C625" s="780" t="s">
        <v>2711</v>
      </c>
      <c r="D625" s="781"/>
      <c r="E625" s="781"/>
      <c r="F625" s="781"/>
      <c r="G625" s="782"/>
      <c r="H625" s="781"/>
      <c r="I625" s="781"/>
      <c r="J625" s="780"/>
    </row>
    <row r="626" customFormat="false" ht="13.8" hidden="true" customHeight="false" outlineLevel="0" collapsed="false">
      <c r="A626" s="765" t="s">
        <v>3850</v>
      </c>
      <c r="B626" s="779" t="s">
        <v>3851</v>
      </c>
      <c r="C626" s="780" t="s">
        <v>2623</v>
      </c>
      <c r="D626" s="781"/>
      <c r="E626" s="781"/>
      <c r="F626" s="781"/>
      <c r="G626" s="782"/>
      <c r="H626" s="781"/>
      <c r="I626" s="781"/>
      <c r="J626" s="780"/>
    </row>
    <row r="627" customFormat="false" ht="13.8" hidden="true" customHeight="false" outlineLevel="0" collapsed="false">
      <c r="A627" s="765" t="s">
        <v>3852</v>
      </c>
      <c r="B627" s="779" t="s">
        <v>3853</v>
      </c>
      <c r="C627" s="780" t="s">
        <v>2623</v>
      </c>
      <c r="D627" s="781"/>
      <c r="E627" s="781"/>
      <c r="F627" s="781"/>
      <c r="G627" s="782"/>
      <c r="H627" s="781"/>
      <c r="I627" s="781"/>
      <c r="J627" s="780"/>
      <c r="K627" s="768" t="s">
        <v>60</v>
      </c>
      <c r="L627" s="768" t="n">
        <v>1</v>
      </c>
      <c r="M627" s="768" t="s">
        <v>320</v>
      </c>
      <c r="N627" s="768" t="n">
        <v>1</v>
      </c>
    </row>
    <row r="628" customFormat="false" ht="13.8" hidden="true" customHeight="false" outlineLevel="0" collapsed="false">
      <c r="A628" s="765" t="s">
        <v>3854</v>
      </c>
      <c r="B628" s="779" t="s">
        <v>3855</v>
      </c>
      <c r="C628" s="780" t="s">
        <v>2907</v>
      </c>
      <c r="D628" s="781"/>
      <c r="E628" s="781"/>
      <c r="F628" s="781"/>
      <c r="G628" s="782"/>
      <c r="H628" s="781"/>
      <c r="I628" s="781"/>
      <c r="J628" s="780"/>
    </row>
    <row r="629" customFormat="false" ht="13.8" hidden="true" customHeight="false" outlineLevel="0" collapsed="false">
      <c r="A629" s="765" t="s">
        <v>3856</v>
      </c>
      <c r="B629" s="779" t="s">
        <v>3857</v>
      </c>
      <c r="C629" s="780" t="s">
        <v>2907</v>
      </c>
      <c r="D629" s="781"/>
      <c r="E629" s="781"/>
      <c r="F629" s="781"/>
      <c r="G629" s="782"/>
      <c r="H629" s="781"/>
      <c r="I629" s="781"/>
      <c r="J629" s="780"/>
    </row>
    <row r="630" customFormat="false" ht="13.8" hidden="true" customHeight="false" outlineLevel="0" collapsed="false">
      <c r="A630" s="765" t="s">
        <v>3858</v>
      </c>
      <c r="B630" s="779" t="s">
        <v>3859</v>
      </c>
      <c r="C630" s="780" t="s">
        <v>2996</v>
      </c>
      <c r="D630" s="781"/>
      <c r="E630" s="781"/>
      <c r="F630" s="781"/>
      <c r="G630" s="782"/>
      <c r="H630" s="781"/>
      <c r="I630" s="781"/>
      <c r="J630" s="780"/>
    </row>
    <row r="631" customFormat="false" ht="13.8" hidden="true" customHeight="false" outlineLevel="0" collapsed="false">
      <c r="A631" s="765" t="s">
        <v>3860</v>
      </c>
      <c r="B631" s="779" t="s">
        <v>3861</v>
      </c>
      <c r="C631" s="780" t="s">
        <v>2945</v>
      </c>
      <c r="D631" s="781"/>
      <c r="E631" s="781"/>
      <c r="F631" s="781"/>
      <c r="G631" s="782"/>
      <c r="H631" s="781"/>
      <c r="I631" s="781"/>
      <c r="J631" s="780"/>
    </row>
    <row r="632" customFormat="false" ht="13.8" hidden="true" customHeight="false" outlineLevel="0" collapsed="false">
      <c r="A632" s="765" t="s">
        <v>3862</v>
      </c>
      <c r="B632" s="779" t="s">
        <v>3863</v>
      </c>
      <c r="C632" s="780" t="s">
        <v>2945</v>
      </c>
      <c r="D632" s="781"/>
      <c r="E632" s="781"/>
      <c r="F632" s="781"/>
      <c r="G632" s="782"/>
      <c r="H632" s="781"/>
      <c r="I632" s="781"/>
      <c r="J632" s="780"/>
    </row>
    <row r="633" customFormat="false" ht="13.8" hidden="true" customHeight="false" outlineLevel="0" collapsed="false">
      <c r="A633" s="765" t="s">
        <v>3864</v>
      </c>
      <c r="B633" s="779" t="s">
        <v>3865</v>
      </c>
      <c r="C633" s="780" t="s">
        <v>2623</v>
      </c>
      <c r="D633" s="781"/>
      <c r="E633" s="781"/>
      <c r="F633" s="781"/>
      <c r="G633" s="782"/>
      <c r="H633" s="781"/>
      <c r="I633" s="781"/>
      <c r="J633" s="780"/>
    </row>
    <row r="634" customFormat="false" ht="13.8" hidden="true" customHeight="false" outlineLevel="0" collapsed="false">
      <c r="A634" s="765" t="s">
        <v>3866</v>
      </c>
      <c r="B634" s="779" t="s">
        <v>3867</v>
      </c>
      <c r="C634" s="780" t="s">
        <v>2888</v>
      </c>
      <c r="D634" s="781"/>
      <c r="E634" s="781"/>
      <c r="F634" s="781"/>
      <c r="G634" s="782"/>
      <c r="H634" s="781"/>
      <c r="I634" s="781"/>
      <c r="J634" s="780"/>
    </row>
    <row r="635" customFormat="false" ht="13.8" hidden="true" customHeight="false" outlineLevel="0" collapsed="false">
      <c r="A635" s="765" t="s">
        <v>3868</v>
      </c>
      <c r="B635" s="779" t="s">
        <v>3869</v>
      </c>
      <c r="C635" s="780" t="s">
        <v>2888</v>
      </c>
      <c r="D635" s="781"/>
      <c r="E635" s="781"/>
      <c r="F635" s="781"/>
      <c r="G635" s="782"/>
      <c r="H635" s="781"/>
      <c r="I635" s="781"/>
      <c r="J635" s="780"/>
    </row>
    <row r="636" customFormat="false" ht="13.8" hidden="true" customHeight="false" outlineLevel="0" collapsed="false">
      <c r="A636" s="765" t="s">
        <v>3870</v>
      </c>
      <c r="B636" s="779" t="s">
        <v>3871</v>
      </c>
      <c r="C636" s="780" t="s">
        <v>2888</v>
      </c>
      <c r="D636" s="781"/>
      <c r="E636" s="781"/>
      <c r="F636" s="781"/>
      <c r="G636" s="782"/>
      <c r="H636" s="781"/>
      <c r="I636" s="781"/>
      <c r="J636" s="780"/>
    </row>
    <row r="637" customFormat="false" ht="13.8" hidden="true" customHeight="false" outlineLevel="0" collapsed="false">
      <c r="A637" s="765" t="s">
        <v>3872</v>
      </c>
      <c r="B637" s="779" t="s">
        <v>3873</v>
      </c>
      <c r="C637" s="780" t="s">
        <v>2888</v>
      </c>
      <c r="D637" s="781"/>
      <c r="E637" s="781"/>
      <c r="F637" s="781"/>
      <c r="G637" s="782"/>
      <c r="H637" s="781"/>
      <c r="I637" s="781"/>
      <c r="J637" s="780"/>
    </row>
    <row r="638" customFormat="false" ht="13.8" hidden="true" customHeight="false" outlineLevel="0" collapsed="false">
      <c r="A638" s="765" t="s">
        <v>3874</v>
      </c>
      <c r="B638" s="779" t="s">
        <v>3875</v>
      </c>
      <c r="C638" s="780" t="s">
        <v>2945</v>
      </c>
      <c r="D638" s="781"/>
      <c r="E638" s="781"/>
      <c r="F638" s="781"/>
      <c r="G638" s="782"/>
      <c r="H638" s="781"/>
      <c r="I638" s="781"/>
      <c r="J638" s="780"/>
    </row>
    <row r="639" customFormat="false" ht="13.8" hidden="true" customHeight="false" outlineLevel="0" collapsed="false">
      <c r="A639" s="765" t="s">
        <v>3876</v>
      </c>
      <c r="B639" s="779" t="s">
        <v>3877</v>
      </c>
      <c r="C639" s="780" t="s">
        <v>2790</v>
      </c>
      <c r="D639" s="781"/>
      <c r="E639" s="781"/>
      <c r="F639" s="781"/>
      <c r="G639" s="782"/>
      <c r="H639" s="781"/>
      <c r="I639" s="781"/>
      <c r="J639" s="780"/>
    </row>
    <row r="640" customFormat="false" ht="13.8" hidden="true" customHeight="false" outlineLevel="0" collapsed="false">
      <c r="A640" s="765" t="s">
        <v>3878</v>
      </c>
      <c r="B640" s="779" t="s">
        <v>3879</v>
      </c>
      <c r="C640" s="780" t="s">
        <v>2945</v>
      </c>
      <c r="D640" s="781"/>
      <c r="E640" s="781"/>
      <c r="F640" s="781"/>
      <c r="G640" s="782"/>
      <c r="H640" s="781"/>
      <c r="I640" s="781"/>
      <c r="J640" s="780"/>
    </row>
    <row r="641" customFormat="false" ht="13.8" hidden="true" customHeight="false" outlineLevel="0" collapsed="false">
      <c r="A641" s="765" t="s">
        <v>3880</v>
      </c>
      <c r="B641" s="779" t="s">
        <v>3881</v>
      </c>
      <c r="C641" s="780" t="s">
        <v>2945</v>
      </c>
      <c r="D641" s="781"/>
      <c r="E641" s="781"/>
      <c r="F641" s="781"/>
      <c r="G641" s="782"/>
      <c r="H641" s="781"/>
      <c r="I641" s="781"/>
      <c r="J641" s="780"/>
    </row>
    <row r="642" customFormat="false" ht="13.8" hidden="true" customHeight="false" outlineLevel="0" collapsed="false">
      <c r="A642" s="765" t="s">
        <v>3882</v>
      </c>
      <c r="B642" s="779" t="s">
        <v>3883</v>
      </c>
      <c r="C642" s="780" t="s">
        <v>2907</v>
      </c>
      <c r="D642" s="781"/>
      <c r="E642" s="781"/>
      <c r="F642" s="781"/>
      <c r="G642" s="782"/>
      <c r="H642" s="781"/>
      <c r="I642" s="781"/>
      <c r="J642" s="780"/>
    </row>
    <row r="643" customFormat="false" ht="13.8" hidden="true" customHeight="false" outlineLevel="0" collapsed="false">
      <c r="A643" s="765" t="s">
        <v>3884</v>
      </c>
      <c r="B643" s="779" t="s">
        <v>3885</v>
      </c>
      <c r="C643" s="780" t="s">
        <v>2580</v>
      </c>
      <c r="D643" s="781"/>
      <c r="E643" s="781"/>
      <c r="F643" s="781"/>
      <c r="G643" s="782"/>
      <c r="H643" s="781"/>
      <c r="I643" s="781"/>
      <c r="J643" s="780"/>
      <c r="K643" s="768" t="s">
        <v>834</v>
      </c>
      <c r="L643" s="768" t="n">
        <v>1</v>
      </c>
      <c r="M643" s="768" t="s">
        <v>591</v>
      </c>
      <c r="N643" s="768" t="n">
        <v>1</v>
      </c>
    </row>
    <row r="644" customFormat="false" ht="13.8" hidden="true" customHeight="false" outlineLevel="0" collapsed="false">
      <c r="A644" s="765" t="s">
        <v>3886</v>
      </c>
      <c r="B644" s="779" t="s">
        <v>3887</v>
      </c>
      <c r="C644" s="780" t="s">
        <v>2580</v>
      </c>
      <c r="D644" s="781"/>
      <c r="E644" s="781"/>
      <c r="F644" s="781"/>
      <c r="G644" s="782"/>
      <c r="H644" s="781"/>
      <c r="I644" s="781"/>
      <c r="J644" s="780"/>
      <c r="K644" s="768" t="s">
        <v>834</v>
      </c>
      <c r="L644" s="768" t="n">
        <v>1</v>
      </c>
      <c r="M644" s="768" t="s">
        <v>591</v>
      </c>
      <c r="N644" s="768" t="n">
        <v>1</v>
      </c>
    </row>
    <row r="645" customFormat="false" ht="13.8" hidden="true" customHeight="false" outlineLevel="0" collapsed="false">
      <c r="A645" s="765" t="s">
        <v>3888</v>
      </c>
      <c r="B645" s="779" t="s">
        <v>3889</v>
      </c>
      <c r="C645" s="780" t="s">
        <v>2580</v>
      </c>
      <c r="D645" s="781"/>
      <c r="E645" s="781"/>
      <c r="F645" s="781"/>
      <c r="G645" s="782"/>
      <c r="H645" s="781"/>
      <c r="I645" s="781"/>
      <c r="J645" s="780"/>
      <c r="K645" s="768" t="s">
        <v>53</v>
      </c>
      <c r="L645" s="768" t="n">
        <v>1</v>
      </c>
      <c r="M645" s="768" t="s">
        <v>270</v>
      </c>
      <c r="N645" s="768" t="n">
        <v>1</v>
      </c>
    </row>
    <row r="646" customFormat="false" ht="13.8" hidden="true" customHeight="false" outlineLevel="0" collapsed="false">
      <c r="A646" s="765" t="s">
        <v>3890</v>
      </c>
      <c r="B646" s="779" t="s">
        <v>3891</v>
      </c>
      <c r="C646" s="780" t="s">
        <v>2790</v>
      </c>
      <c r="D646" s="781"/>
      <c r="E646" s="781"/>
      <c r="F646" s="781"/>
      <c r="G646" s="782"/>
      <c r="H646" s="781"/>
      <c r="I646" s="781"/>
      <c r="J646" s="780"/>
    </row>
    <row r="647" customFormat="false" ht="13.8" hidden="true" customHeight="false" outlineLevel="0" collapsed="false">
      <c r="A647" s="765" t="s">
        <v>3892</v>
      </c>
      <c r="B647" s="779" t="s">
        <v>3893</v>
      </c>
      <c r="C647" s="780" t="s">
        <v>2623</v>
      </c>
      <c r="D647" s="781"/>
      <c r="E647" s="781"/>
      <c r="F647" s="781"/>
      <c r="G647" s="782"/>
      <c r="H647" s="781"/>
      <c r="I647" s="781"/>
      <c r="J647" s="780"/>
    </row>
    <row r="648" customFormat="false" ht="13.8" hidden="true" customHeight="false" outlineLevel="0" collapsed="false">
      <c r="A648" s="765" t="s">
        <v>3894</v>
      </c>
      <c r="B648" s="779" t="s">
        <v>3895</v>
      </c>
      <c r="C648" s="780" t="s">
        <v>2623</v>
      </c>
      <c r="D648" s="781"/>
      <c r="E648" s="781"/>
      <c r="F648" s="781"/>
      <c r="G648" s="782"/>
      <c r="H648" s="781"/>
      <c r="I648" s="781"/>
      <c r="J648" s="780"/>
    </row>
    <row r="649" customFormat="false" ht="13.8" hidden="true" customHeight="false" outlineLevel="0" collapsed="false">
      <c r="A649" s="765" t="s">
        <v>3896</v>
      </c>
      <c r="B649" s="779" t="s">
        <v>3897</v>
      </c>
      <c r="C649" s="780" t="s">
        <v>2790</v>
      </c>
      <c r="D649" s="781"/>
      <c r="E649" s="781"/>
      <c r="F649" s="781"/>
      <c r="G649" s="782"/>
      <c r="H649" s="781"/>
      <c r="I649" s="781"/>
      <c r="J649" s="780"/>
    </row>
    <row r="650" customFormat="false" ht="13.8" hidden="true" customHeight="false" outlineLevel="0" collapsed="false">
      <c r="A650" s="765" t="s">
        <v>3898</v>
      </c>
      <c r="B650" s="779" t="s">
        <v>3899</v>
      </c>
      <c r="C650" s="780" t="s">
        <v>2623</v>
      </c>
      <c r="D650" s="781"/>
      <c r="E650" s="781"/>
      <c r="F650" s="781"/>
      <c r="G650" s="782"/>
      <c r="H650" s="781"/>
      <c r="I650" s="781"/>
      <c r="J650" s="780"/>
    </row>
    <row r="651" customFormat="false" ht="13.8" hidden="true" customHeight="false" outlineLevel="0" collapsed="false">
      <c r="A651" s="783" t="s">
        <v>3900</v>
      </c>
      <c r="B651" s="784" t="s">
        <v>3901</v>
      </c>
      <c r="C651" s="785" t="s">
        <v>2790</v>
      </c>
      <c r="D651" s="786"/>
      <c r="E651" s="786"/>
      <c r="F651" s="786"/>
      <c r="G651" s="787"/>
      <c r="H651" s="786"/>
      <c r="I651" s="786"/>
      <c r="J651" s="788"/>
      <c r="K651" s="789"/>
      <c r="L651" s="789"/>
      <c r="M651" s="789"/>
      <c r="N651" s="789"/>
      <c r="O651" s="789"/>
    </row>
    <row r="652" customFormat="false" ht="15.75" hidden="true" customHeight="true" outlineLevel="0" collapsed="false">
      <c r="A652" s="765" t="s">
        <v>357</v>
      </c>
      <c r="B652" s="779" t="s">
        <v>2336</v>
      </c>
      <c r="C652" s="780" t="s">
        <v>2580</v>
      </c>
      <c r="D652" s="780" t="n">
        <v>21.3</v>
      </c>
      <c r="E652" s="780" t="s">
        <v>3902</v>
      </c>
      <c r="F652" s="780" t="s">
        <v>2392</v>
      </c>
      <c r="G652" s="779" t="s">
        <v>71</v>
      </c>
      <c r="H652" s="780" t="n">
        <v>21.3</v>
      </c>
      <c r="I652" s="780" t="s">
        <v>2392</v>
      </c>
      <c r="J652" s="790" t="n">
        <v>9.45</v>
      </c>
      <c r="K652" s="791"/>
      <c r="L652" s="791"/>
      <c r="M652" s="791" t="s">
        <v>2392</v>
      </c>
      <c r="N652" s="791"/>
      <c r="O652" s="791" t="s">
        <v>2537</v>
      </c>
    </row>
    <row r="653" customFormat="false" ht="13.8" hidden="true" customHeight="false" outlineLevel="0" collapsed="false">
      <c r="A653" s="765" t="s">
        <v>235</v>
      </c>
      <c r="B653" s="779" t="s">
        <v>2332</v>
      </c>
      <c r="C653" s="780" t="s">
        <v>2580</v>
      </c>
      <c r="D653" s="780" t="n">
        <v>28.1</v>
      </c>
      <c r="E653" s="780" t="s">
        <v>3902</v>
      </c>
      <c r="F653" s="780" t="s">
        <v>2392</v>
      </c>
      <c r="G653" s="779" t="s">
        <v>71</v>
      </c>
      <c r="H653" s="780" t="n">
        <v>28.1</v>
      </c>
      <c r="I653" s="780" t="s">
        <v>2392</v>
      </c>
      <c r="J653" s="780" t="n">
        <v>9.45</v>
      </c>
      <c r="K653" s="792"/>
      <c r="L653" s="792"/>
      <c r="M653" s="791" t="s">
        <v>2392</v>
      </c>
      <c r="N653" s="792"/>
      <c r="O653" s="792" t="s">
        <v>2538</v>
      </c>
    </row>
    <row r="654" customFormat="false" ht="13.8" hidden="true" customHeight="false" outlineLevel="0" collapsed="false">
      <c r="A654" s="765" t="s">
        <v>69</v>
      </c>
      <c r="B654" s="779" t="s">
        <v>2329</v>
      </c>
      <c r="C654" s="780" t="s">
        <v>2580</v>
      </c>
      <c r="D654" s="780" t="n">
        <v>32.1</v>
      </c>
      <c r="E654" s="780" t="s">
        <v>3902</v>
      </c>
      <c r="F654" s="780" t="s">
        <v>2392</v>
      </c>
      <c r="G654" s="779" t="s">
        <v>71</v>
      </c>
      <c r="H654" s="780" t="n">
        <v>32.1</v>
      </c>
      <c r="I654" s="780" t="s">
        <v>2392</v>
      </c>
      <c r="J654" s="780" t="n">
        <v>9.45</v>
      </c>
      <c r="K654" s="791"/>
      <c r="L654" s="791"/>
      <c r="M654" s="791" t="s">
        <v>2392</v>
      </c>
      <c r="N654" s="791"/>
      <c r="O654" s="791" t="s">
        <v>2539</v>
      </c>
    </row>
    <row r="655" customFormat="false" ht="13.8" hidden="true" customHeight="false" outlineLevel="0" collapsed="false">
      <c r="A655" s="765" t="s">
        <v>78</v>
      </c>
      <c r="B655" s="779" t="s">
        <v>81</v>
      </c>
      <c r="C655" s="780" t="s">
        <v>2580</v>
      </c>
      <c r="D655" s="780" t="n">
        <v>21.3</v>
      </c>
      <c r="E655" s="780" t="s">
        <v>3902</v>
      </c>
      <c r="F655" s="780" t="s">
        <v>2392</v>
      </c>
      <c r="G655" s="779" t="s">
        <v>71</v>
      </c>
      <c r="H655" s="780" t="n">
        <v>21.3</v>
      </c>
      <c r="I655" s="780" t="s">
        <v>2392</v>
      </c>
      <c r="J655" s="780" t="n">
        <v>9.45</v>
      </c>
      <c r="K655" s="791"/>
      <c r="L655" s="791"/>
      <c r="M655" s="791" t="s">
        <v>2392</v>
      </c>
      <c r="N655" s="791"/>
      <c r="O655" s="791" t="s">
        <v>2443</v>
      </c>
    </row>
    <row r="656" customFormat="false" ht="13.8" hidden="true" customHeight="false" outlineLevel="0" collapsed="false">
      <c r="A656" s="765" t="s">
        <v>572</v>
      </c>
      <c r="B656" s="779" t="s">
        <v>2340</v>
      </c>
      <c r="C656" s="780" t="s">
        <v>2580</v>
      </c>
      <c r="D656" s="780" t="n">
        <v>32.1</v>
      </c>
      <c r="E656" s="780" t="s">
        <v>3902</v>
      </c>
      <c r="F656" s="780" t="s">
        <v>2392</v>
      </c>
      <c r="G656" s="779" t="s">
        <v>71</v>
      </c>
      <c r="H656" s="780" t="n">
        <v>32.1</v>
      </c>
      <c r="I656" s="780" t="s">
        <v>2392</v>
      </c>
      <c r="J656" s="780" t="n">
        <v>9.45</v>
      </c>
      <c r="K656" s="791"/>
      <c r="L656" s="791"/>
      <c r="M656" s="791" t="s">
        <v>2392</v>
      </c>
      <c r="N656" s="791"/>
      <c r="O656" s="791" t="s">
        <v>2444</v>
      </c>
    </row>
    <row r="657" customFormat="false" ht="13.8" hidden="true" customHeight="false" outlineLevel="0" collapsed="false">
      <c r="A657" s="765" t="s">
        <v>691</v>
      </c>
      <c r="B657" s="779" t="s">
        <v>2338</v>
      </c>
      <c r="C657" s="780" t="s">
        <v>2580</v>
      </c>
      <c r="D657" s="780"/>
      <c r="E657" s="780" t="s">
        <v>3902</v>
      </c>
      <c r="F657" s="780" t="s">
        <v>357</v>
      </c>
      <c r="G657" s="779" t="s">
        <v>64</v>
      </c>
      <c r="H657" s="780" t="n">
        <v>22</v>
      </c>
      <c r="I657" s="780" t="s">
        <v>2392</v>
      </c>
      <c r="J657" s="780" t="n">
        <v>6</v>
      </c>
      <c r="K657" s="791"/>
      <c r="L657" s="791"/>
      <c r="M657" s="791" t="s">
        <v>357</v>
      </c>
      <c r="N657" s="791" t="n">
        <v>1</v>
      </c>
      <c r="O657" s="791" t="s">
        <v>2537</v>
      </c>
    </row>
    <row r="658" customFormat="false" ht="13.8" hidden="true" customHeight="false" outlineLevel="0" collapsed="false">
      <c r="A658" s="765" t="s">
        <v>320</v>
      </c>
      <c r="B658" s="779" t="s">
        <v>2335</v>
      </c>
      <c r="C658" s="780" t="s">
        <v>2580</v>
      </c>
      <c r="D658" s="780"/>
      <c r="E658" s="780" t="s">
        <v>3902</v>
      </c>
      <c r="F658" s="780" t="s">
        <v>235</v>
      </c>
      <c r="G658" s="779" t="s">
        <v>64</v>
      </c>
      <c r="H658" s="780" t="n">
        <v>28</v>
      </c>
      <c r="I658" s="780" t="s">
        <v>2392</v>
      </c>
      <c r="J658" s="780" t="n">
        <v>6</v>
      </c>
      <c r="K658" s="791"/>
      <c r="L658" s="791"/>
      <c r="M658" s="791" t="s">
        <v>235</v>
      </c>
      <c r="N658" s="791" t="n">
        <v>1</v>
      </c>
      <c r="O658" s="791" t="s">
        <v>2538</v>
      </c>
    </row>
    <row r="659" customFormat="false" ht="13.8" hidden="true" customHeight="false" outlineLevel="0" collapsed="false">
      <c r="A659" s="765" t="s">
        <v>65</v>
      </c>
      <c r="B659" s="779" t="s">
        <v>67</v>
      </c>
      <c r="C659" s="780" t="s">
        <v>2580</v>
      </c>
      <c r="D659" s="780"/>
      <c r="E659" s="780" t="s">
        <v>3902</v>
      </c>
      <c r="F659" s="780" t="s">
        <v>69</v>
      </c>
      <c r="G659" s="779" t="s">
        <v>64</v>
      </c>
      <c r="H659" s="780" t="n">
        <v>32</v>
      </c>
      <c r="I659" s="780" t="s">
        <v>2392</v>
      </c>
      <c r="J659" s="780" t="n">
        <v>6</v>
      </c>
      <c r="K659" s="791"/>
      <c r="L659" s="791"/>
      <c r="M659" s="791" t="s">
        <v>69</v>
      </c>
      <c r="N659" s="791" t="n">
        <v>1</v>
      </c>
      <c r="O659" s="791" t="s">
        <v>2539</v>
      </c>
    </row>
    <row r="660" customFormat="false" ht="13.8" hidden="true" customHeight="false" outlineLevel="0" collapsed="false">
      <c r="A660" s="765" t="s">
        <v>270</v>
      </c>
      <c r="B660" s="779" t="s">
        <v>2337</v>
      </c>
      <c r="C660" s="780" t="s">
        <v>2580</v>
      </c>
      <c r="D660" s="780"/>
      <c r="E660" s="780" t="s">
        <v>3902</v>
      </c>
      <c r="F660" s="780" t="s">
        <v>78</v>
      </c>
      <c r="G660" s="779" t="s">
        <v>64</v>
      </c>
      <c r="H660" s="780" t="n">
        <v>22</v>
      </c>
      <c r="I660" s="780" t="s">
        <v>2392</v>
      </c>
      <c r="J660" s="780" t="n">
        <v>6</v>
      </c>
      <c r="K660" s="791"/>
      <c r="L660" s="791"/>
      <c r="M660" s="791" t="s">
        <v>78</v>
      </c>
      <c r="N660" s="791" t="n">
        <v>1</v>
      </c>
      <c r="O660" s="791" t="s">
        <v>2443</v>
      </c>
    </row>
    <row r="661" customFormat="false" ht="13.8" hidden="true" customHeight="false" outlineLevel="0" collapsed="false">
      <c r="A661" s="765" t="s">
        <v>591</v>
      </c>
      <c r="B661" s="779" t="s">
        <v>2341</v>
      </c>
      <c r="C661" s="780" t="s">
        <v>2580</v>
      </c>
      <c r="D661" s="780"/>
      <c r="E661" s="780" t="s">
        <v>3902</v>
      </c>
      <c r="F661" s="780" t="s">
        <v>572</v>
      </c>
      <c r="G661" s="779" t="s">
        <v>64</v>
      </c>
      <c r="H661" s="780" t="n">
        <v>32</v>
      </c>
      <c r="I661" s="780" t="s">
        <v>2392</v>
      </c>
      <c r="J661" s="780" t="n">
        <v>6</v>
      </c>
      <c r="K661" s="791"/>
      <c r="L661" s="791"/>
      <c r="M661" s="791" t="s">
        <v>572</v>
      </c>
      <c r="N661" s="791" t="n">
        <v>1</v>
      </c>
      <c r="O661" s="791" t="s">
        <v>2444</v>
      </c>
    </row>
    <row r="662" customFormat="false" ht="13.8" hidden="false" customHeight="false" outlineLevel="0" collapsed="false">
      <c r="A662" s="765" t="s">
        <v>244</v>
      </c>
      <c r="B662" s="779" t="s">
        <v>2344</v>
      </c>
      <c r="C662" s="780" t="s">
        <v>2500</v>
      </c>
      <c r="D662" s="781" t="n">
        <v>6.8</v>
      </c>
      <c r="E662" s="781" t="s">
        <v>2393</v>
      </c>
      <c r="F662" s="781" t="s">
        <v>2393</v>
      </c>
      <c r="G662" s="782" t="s">
        <v>2387</v>
      </c>
      <c r="H662" s="781" t="n">
        <v>6.8</v>
      </c>
      <c r="I662" s="781" t="s">
        <v>2393</v>
      </c>
      <c r="J662" s="780" t="n">
        <v>5.5</v>
      </c>
      <c r="K662" s="793"/>
      <c r="L662" s="793"/>
      <c r="M662" s="793" t="s">
        <v>2393</v>
      </c>
      <c r="N662" s="793"/>
      <c r="O662" s="793" t="s">
        <v>2548</v>
      </c>
    </row>
    <row r="663" customFormat="false" ht="13.8" hidden="false" customHeight="false" outlineLevel="0" collapsed="false">
      <c r="A663" s="765" t="s">
        <v>136</v>
      </c>
      <c r="B663" s="779" t="s">
        <v>2313</v>
      </c>
      <c r="C663" s="780" t="s">
        <v>2500</v>
      </c>
      <c r="D663" s="781" t="n">
        <v>6.8</v>
      </c>
      <c r="E663" s="781" t="s">
        <v>2393</v>
      </c>
      <c r="F663" s="781" t="s">
        <v>2393</v>
      </c>
      <c r="G663" s="782" t="s">
        <v>2387</v>
      </c>
      <c r="H663" s="781" t="n">
        <v>6.8</v>
      </c>
      <c r="I663" s="781" t="s">
        <v>2393</v>
      </c>
      <c r="J663" s="780" t="n">
        <v>5.5</v>
      </c>
      <c r="K663" s="793"/>
      <c r="L663" s="793"/>
      <c r="M663" s="793" t="s">
        <v>2393</v>
      </c>
      <c r="N663" s="793"/>
      <c r="O663" s="793" t="s">
        <v>2549</v>
      </c>
    </row>
    <row r="664" customFormat="false" ht="13.8" hidden="false" customHeight="false" outlineLevel="0" collapsed="false">
      <c r="A664" s="765" t="s">
        <v>661</v>
      </c>
      <c r="B664" s="779" t="s">
        <v>2333</v>
      </c>
      <c r="C664" s="780" t="s">
        <v>2500</v>
      </c>
      <c r="D664" s="781" t="n">
        <v>6.8</v>
      </c>
      <c r="E664" s="781" t="s">
        <v>2393</v>
      </c>
      <c r="F664" s="781" t="s">
        <v>2393</v>
      </c>
      <c r="G664" s="782" t="s">
        <v>2387</v>
      </c>
      <c r="H664" s="781" t="n">
        <v>6.8</v>
      </c>
      <c r="I664" s="781" t="s">
        <v>2393</v>
      </c>
      <c r="J664" s="780" t="n">
        <v>5.5</v>
      </c>
      <c r="K664" s="793"/>
      <c r="L664" s="793"/>
      <c r="M664" s="793" t="s">
        <v>2393</v>
      </c>
      <c r="N664" s="793"/>
      <c r="O664" s="793" t="s">
        <v>2550</v>
      </c>
    </row>
    <row r="665" customFormat="false" ht="13.8" hidden="false" customHeight="false" outlineLevel="0" collapsed="false">
      <c r="A665" s="765" t="s">
        <v>809</v>
      </c>
      <c r="B665" s="779" t="s">
        <v>2303</v>
      </c>
      <c r="C665" s="780" t="s">
        <v>2500</v>
      </c>
      <c r="D665" s="781" t="n">
        <v>6.8</v>
      </c>
      <c r="E665" s="781" t="s">
        <v>2393</v>
      </c>
      <c r="F665" s="781" t="s">
        <v>2393</v>
      </c>
      <c r="G665" s="782" t="s">
        <v>2387</v>
      </c>
      <c r="H665" s="781" t="n">
        <v>6.8</v>
      </c>
      <c r="I665" s="781" t="s">
        <v>2393</v>
      </c>
      <c r="J665" s="780" t="n">
        <v>5.5</v>
      </c>
      <c r="K665" s="793"/>
      <c r="L665" s="793"/>
      <c r="M665" s="793" t="s">
        <v>2393</v>
      </c>
      <c r="N665" s="793"/>
      <c r="O665" s="793" t="s">
        <v>2551</v>
      </c>
    </row>
    <row r="666" customFormat="false" ht="13.8" hidden="false" customHeight="false" outlineLevel="0" collapsed="false">
      <c r="A666" s="765" t="s">
        <v>57</v>
      </c>
      <c r="B666" s="779" t="s">
        <v>2376</v>
      </c>
      <c r="C666" s="780" t="s">
        <v>2500</v>
      </c>
      <c r="D666" s="781"/>
      <c r="E666" s="781"/>
      <c r="F666" s="781" t="s">
        <v>244</v>
      </c>
      <c r="G666" s="782" t="s">
        <v>2375</v>
      </c>
      <c r="H666" s="781" t="n">
        <v>6.8</v>
      </c>
      <c r="I666" s="781" t="s">
        <v>2393</v>
      </c>
      <c r="J666" s="780" t="n">
        <v>5.5</v>
      </c>
      <c r="K666" s="793"/>
      <c r="L666" s="793"/>
      <c r="M666" s="793" t="s">
        <v>244</v>
      </c>
      <c r="N666" s="793"/>
      <c r="O666" s="793" t="s">
        <v>2548</v>
      </c>
    </row>
    <row r="667" customFormat="false" ht="13.8" hidden="false" customHeight="false" outlineLevel="0" collapsed="false">
      <c r="A667" s="765" t="s">
        <v>62</v>
      </c>
      <c r="B667" s="779" t="s">
        <v>2320</v>
      </c>
      <c r="C667" s="780" t="s">
        <v>2500</v>
      </c>
      <c r="D667" s="781"/>
      <c r="E667" s="781"/>
      <c r="F667" s="781" t="s">
        <v>136</v>
      </c>
      <c r="G667" s="782" t="s">
        <v>2375</v>
      </c>
      <c r="H667" s="781" t="n">
        <v>6.8</v>
      </c>
      <c r="I667" s="781" t="s">
        <v>2393</v>
      </c>
      <c r="J667" s="780" t="n">
        <v>5.5</v>
      </c>
      <c r="K667" s="793"/>
      <c r="L667" s="793"/>
      <c r="M667" s="793" t="s">
        <v>136</v>
      </c>
      <c r="N667" s="793"/>
      <c r="O667" s="793" t="s">
        <v>2549</v>
      </c>
    </row>
    <row r="668" customFormat="false" ht="13.8" hidden="false" customHeight="false" outlineLevel="0" collapsed="false">
      <c r="A668" s="765" t="s">
        <v>664</v>
      </c>
      <c r="B668" s="779" t="s">
        <v>2307</v>
      </c>
      <c r="C668" s="780" t="s">
        <v>2500</v>
      </c>
      <c r="D668" s="781"/>
      <c r="E668" s="781"/>
      <c r="F668" s="781" t="s">
        <v>661</v>
      </c>
      <c r="G668" s="782" t="s">
        <v>2375</v>
      </c>
      <c r="H668" s="781" t="n">
        <v>6.8</v>
      </c>
      <c r="I668" s="781" t="s">
        <v>2393</v>
      </c>
      <c r="J668" s="780" t="n">
        <v>5.5</v>
      </c>
      <c r="K668" s="793"/>
      <c r="L668" s="793"/>
      <c r="M668" s="793" t="s">
        <v>661</v>
      </c>
      <c r="N668" s="793"/>
      <c r="O668" s="793" t="s">
        <v>2550</v>
      </c>
    </row>
    <row r="669" customFormat="false" ht="13.8" hidden="false" customHeight="false" outlineLevel="0" collapsed="false">
      <c r="A669" s="765" t="s">
        <v>839</v>
      </c>
      <c r="B669" s="779" t="s">
        <v>2312</v>
      </c>
      <c r="C669" s="780" t="s">
        <v>2500</v>
      </c>
      <c r="D669" s="781"/>
      <c r="E669" s="781"/>
      <c r="F669" s="781" t="s">
        <v>809</v>
      </c>
      <c r="G669" s="782" t="s">
        <v>2375</v>
      </c>
      <c r="H669" s="781" t="n">
        <v>6.8</v>
      </c>
      <c r="I669" s="781" t="s">
        <v>2393</v>
      </c>
      <c r="J669" s="780" t="n">
        <v>5.5</v>
      </c>
      <c r="K669" s="793"/>
      <c r="L669" s="793"/>
      <c r="M669" s="793" t="s">
        <v>809</v>
      </c>
      <c r="N669" s="793"/>
      <c r="O669" s="793" t="s">
        <v>2551</v>
      </c>
    </row>
    <row r="670" customFormat="false" ht="13.8" hidden="false" customHeight="false" outlineLevel="0" collapsed="false">
      <c r="A670" s="765" t="s">
        <v>53</v>
      </c>
      <c r="B670" s="779" t="s">
        <v>55</v>
      </c>
      <c r="C670" s="780" t="s">
        <v>2500</v>
      </c>
      <c r="D670" s="781"/>
      <c r="E670" s="781"/>
      <c r="F670" s="781" t="s">
        <v>57</v>
      </c>
      <c r="G670" s="782" t="s">
        <v>52</v>
      </c>
      <c r="H670" s="781" t="n">
        <v>6.8</v>
      </c>
      <c r="I670" s="781" t="s">
        <v>2393</v>
      </c>
      <c r="J670" s="780" t="n">
        <v>4</v>
      </c>
      <c r="K670" s="793"/>
      <c r="L670" s="793"/>
      <c r="M670" s="793" t="s">
        <v>57</v>
      </c>
      <c r="N670" s="793"/>
      <c r="O670" s="793" t="s">
        <v>2548</v>
      </c>
    </row>
    <row r="671" customFormat="false" ht="13.8" hidden="false" customHeight="false" outlineLevel="0" collapsed="false">
      <c r="A671" s="765" t="s">
        <v>60</v>
      </c>
      <c r="B671" s="779" t="s">
        <v>61</v>
      </c>
      <c r="C671" s="780" t="s">
        <v>2500</v>
      </c>
      <c r="D671" s="781"/>
      <c r="E671" s="781"/>
      <c r="F671" s="781" t="s">
        <v>62</v>
      </c>
      <c r="G671" s="782" t="s">
        <v>52</v>
      </c>
      <c r="H671" s="781" t="n">
        <v>6.8</v>
      </c>
      <c r="I671" s="781" t="s">
        <v>2393</v>
      </c>
      <c r="J671" s="780" t="n">
        <v>4</v>
      </c>
      <c r="K671" s="793"/>
      <c r="L671" s="793"/>
      <c r="M671" s="793" t="s">
        <v>62</v>
      </c>
      <c r="N671" s="793"/>
      <c r="O671" s="793" t="s">
        <v>2549</v>
      </c>
    </row>
    <row r="672" customFormat="false" ht="13.8" hidden="false" customHeight="false" outlineLevel="0" collapsed="false">
      <c r="A672" s="765" t="s">
        <v>666</v>
      </c>
      <c r="B672" s="779" t="s">
        <v>2304</v>
      </c>
      <c r="C672" s="780" t="s">
        <v>2500</v>
      </c>
      <c r="D672" s="781"/>
      <c r="E672" s="781"/>
      <c r="F672" s="781" t="s">
        <v>664</v>
      </c>
      <c r="G672" s="782" t="s">
        <v>52</v>
      </c>
      <c r="H672" s="781" t="n">
        <v>6.8</v>
      </c>
      <c r="I672" s="781" t="s">
        <v>2393</v>
      </c>
      <c r="J672" s="780" t="n">
        <v>4</v>
      </c>
      <c r="K672" s="793"/>
      <c r="L672" s="793"/>
      <c r="M672" s="793" t="s">
        <v>664</v>
      </c>
      <c r="N672" s="793"/>
      <c r="O672" s="793" t="s">
        <v>2550</v>
      </c>
    </row>
    <row r="673" customFormat="false" ht="13.8" hidden="false" customHeight="false" outlineLevel="0" collapsed="false">
      <c r="A673" s="765" t="s">
        <v>834</v>
      </c>
      <c r="B673" s="779" t="s">
        <v>2311</v>
      </c>
      <c r="C673" s="780" t="s">
        <v>2500</v>
      </c>
      <c r="D673" s="781"/>
      <c r="E673" s="781"/>
      <c r="F673" s="781" t="s">
        <v>839</v>
      </c>
      <c r="G673" s="782" t="s">
        <v>52</v>
      </c>
      <c r="H673" s="781" t="n">
        <v>6.8</v>
      </c>
      <c r="I673" s="781" t="s">
        <v>2393</v>
      </c>
      <c r="J673" s="780" t="n">
        <v>4</v>
      </c>
      <c r="K673" s="793"/>
      <c r="L673" s="793"/>
      <c r="M673" s="793" t="s">
        <v>839</v>
      </c>
      <c r="N673" s="793"/>
      <c r="O673" s="793" t="s">
        <v>2551</v>
      </c>
    </row>
    <row r="674" customFormat="false" ht="13.8" hidden="false" customHeight="false" outlineLevel="0" collapsed="false">
      <c r="A674" s="765" t="s">
        <v>3524</v>
      </c>
      <c r="B674" s="779" t="s">
        <v>3903</v>
      </c>
      <c r="C674" s="780" t="s">
        <v>2500</v>
      </c>
      <c r="D674" s="781"/>
      <c r="E674" s="781" t="s">
        <v>2393</v>
      </c>
      <c r="F674" s="781" t="s">
        <v>53</v>
      </c>
      <c r="G674" s="782" t="s">
        <v>2566</v>
      </c>
      <c r="H674" s="781" t="n">
        <v>6.8</v>
      </c>
      <c r="I674" s="781" t="s">
        <v>2393</v>
      </c>
      <c r="J674" s="780" t="n">
        <v>1.5</v>
      </c>
      <c r="K674" s="793" t="s">
        <v>53</v>
      </c>
      <c r="L674" s="793" t="n">
        <v>1</v>
      </c>
      <c r="M674" s="793" t="s">
        <v>53</v>
      </c>
      <c r="N674" s="793"/>
      <c r="O674" s="793" t="s">
        <v>2548</v>
      </c>
    </row>
    <row r="675" customFormat="false" ht="13.8" hidden="false" customHeight="false" outlineLevel="0" collapsed="false">
      <c r="A675" s="765" t="s">
        <v>3529</v>
      </c>
      <c r="B675" s="779" t="s">
        <v>3904</v>
      </c>
      <c r="C675" s="780" t="s">
        <v>2500</v>
      </c>
      <c r="D675" s="781"/>
      <c r="E675" s="781" t="s">
        <v>2393</v>
      </c>
      <c r="F675" s="781" t="s">
        <v>60</v>
      </c>
      <c r="G675" s="782" t="s">
        <v>2566</v>
      </c>
      <c r="H675" s="781" t="n">
        <v>6.8</v>
      </c>
      <c r="I675" s="781" t="s">
        <v>2393</v>
      </c>
      <c r="J675" s="780" t="n">
        <v>1.5</v>
      </c>
      <c r="K675" s="793" t="s">
        <v>60</v>
      </c>
      <c r="L675" s="793" t="n">
        <v>1</v>
      </c>
      <c r="M675" s="793" t="s">
        <v>60</v>
      </c>
      <c r="N675" s="793"/>
      <c r="O675" s="793" t="s">
        <v>2549</v>
      </c>
    </row>
    <row r="676" customFormat="false" ht="13.8" hidden="false" customHeight="false" outlineLevel="0" collapsed="false">
      <c r="A676" s="765" t="s">
        <v>3539</v>
      </c>
      <c r="B676" s="779" t="s">
        <v>3905</v>
      </c>
      <c r="C676" s="780" t="s">
        <v>2500</v>
      </c>
      <c r="D676" s="781"/>
      <c r="E676" s="781" t="s">
        <v>2393</v>
      </c>
      <c r="F676" s="781" t="s">
        <v>688</v>
      </c>
      <c r="G676" s="782" t="s">
        <v>2566</v>
      </c>
      <c r="H676" s="781" t="n">
        <v>6.8</v>
      </c>
      <c r="I676" s="781" t="s">
        <v>2393</v>
      </c>
      <c r="J676" s="780" t="n">
        <v>1.5</v>
      </c>
      <c r="K676" s="793" t="s">
        <v>666</v>
      </c>
      <c r="L676" s="793" t="n">
        <v>1</v>
      </c>
      <c r="M676" s="793" t="s">
        <v>666</v>
      </c>
      <c r="N676" s="793"/>
      <c r="O676" s="793" t="s">
        <v>2550</v>
      </c>
    </row>
    <row r="677" customFormat="false" ht="13.8" hidden="false" customHeight="false" outlineLevel="0" collapsed="false">
      <c r="A677" s="765" t="s">
        <v>3534</v>
      </c>
      <c r="B677" s="779" t="s">
        <v>3906</v>
      </c>
      <c r="C677" s="780" t="s">
        <v>2500</v>
      </c>
      <c r="D677" s="781"/>
      <c r="E677" s="781" t="s">
        <v>2393</v>
      </c>
      <c r="F677" s="781" t="s">
        <v>834</v>
      </c>
      <c r="G677" s="782" t="s">
        <v>2566</v>
      </c>
      <c r="H677" s="781" t="n">
        <v>6.8</v>
      </c>
      <c r="I677" s="781" t="s">
        <v>2393</v>
      </c>
      <c r="J677" s="780" t="n">
        <v>1.5</v>
      </c>
      <c r="K677" s="793" t="s">
        <v>834</v>
      </c>
      <c r="L677" s="793" t="n">
        <v>1</v>
      </c>
      <c r="M677" s="793" t="s">
        <v>834</v>
      </c>
      <c r="N677" s="793"/>
      <c r="O677" s="793" t="s">
        <v>2551</v>
      </c>
    </row>
    <row r="678" customFormat="false" ht="13.8" hidden="false" customHeight="false" outlineLevel="0" collapsed="false">
      <c r="A678" s="765" t="s">
        <v>551</v>
      </c>
      <c r="B678" s="779" t="s">
        <v>2314</v>
      </c>
      <c r="C678" s="780" t="s">
        <v>2500</v>
      </c>
      <c r="D678" s="781"/>
      <c r="E678" s="781" t="s">
        <v>2393</v>
      </c>
      <c r="F678" s="781" t="s">
        <v>297</v>
      </c>
      <c r="G678" s="782" t="s">
        <v>2389</v>
      </c>
      <c r="H678" s="781" t="n">
        <v>6.8</v>
      </c>
      <c r="I678" s="781" t="s">
        <v>2393</v>
      </c>
      <c r="J678" s="780" t="n">
        <v>1.5</v>
      </c>
      <c r="K678" s="793" t="s">
        <v>53</v>
      </c>
      <c r="L678" s="793" t="n">
        <v>1</v>
      </c>
      <c r="M678" s="793" t="s">
        <v>53</v>
      </c>
      <c r="N678" s="793"/>
      <c r="O678" s="793" t="s">
        <v>2548</v>
      </c>
    </row>
    <row r="679" customFormat="false" ht="13.8" hidden="false" customHeight="false" outlineLevel="0" collapsed="false">
      <c r="A679" s="765" t="s">
        <v>431</v>
      </c>
      <c r="B679" s="779" t="s">
        <v>2331</v>
      </c>
      <c r="C679" s="780" t="s">
        <v>2500</v>
      </c>
      <c r="D679" s="781"/>
      <c r="E679" s="781" t="s">
        <v>2393</v>
      </c>
      <c r="F679" s="781" t="s">
        <v>60</v>
      </c>
      <c r="G679" s="782" t="s">
        <v>2389</v>
      </c>
      <c r="H679" s="781" t="n">
        <v>6.8</v>
      </c>
      <c r="I679" s="781" t="s">
        <v>2393</v>
      </c>
      <c r="J679" s="780" t="n">
        <v>1.5</v>
      </c>
      <c r="K679" s="793" t="s">
        <v>60</v>
      </c>
      <c r="L679" s="793" t="n">
        <v>1</v>
      </c>
      <c r="M679" s="793" t="s">
        <v>60</v>
      </c>
      <c r="N679" s="793"/>
      <c r="O679" s="793" t="s">
        <v>2549</v>
      </c>
    </row>
    <row r="680" customFormat="false" ht="13.8" hidden="false" customHeight="false" outlineLevel="0" collapsed="false">
      <c r="A680" s="765" t="s">
        <v>474</v>
      </c>
      <c r="B680" s="779" t="s">
        <v>2346</v>
      </c>
      <c r="C680" s="780" t="s">
        <v>2500</v>
      </c>
      <c r="D680" s="781"/>
      <c r="E680" s="781" t="s">
        <v>2393</v>
      </c>
      <c r="F680" s="781" t="s">
        <v>666</v>
      </c>
      <c r="G680" s="782" t="s">
        <v>2389</v>
      </c>
      <c r="H680" s="781" t="n">
        <v>6.8</v>
      </c>
      <c r="I680" s="781" t="s">
        <v>2393</v>
      </c>
      <c r="J680" s="780" t="n">
        <v>1.5</v>
      </c>
      <c r="K680" s="793" t="s">
        <v>666</v>
      </c>
      <c r="L680" s="793" t="n">
        <v>1</v>
      </c>
      <c r="M680" s="793" t="s">
        <v>666</v>
      </c>
      <c r="N680" s="793"/>
      <c r="O680" s="793" t="s">
        <v>2550</v>
      </c>
    </row>
    <row r="681" customFormat="false" ht="13.8" hidden="false" customHeight="false" outlineLevel="0" collapsed="false">
      <c r="A681" s="765" t="s">
        <v>937</v>
      </c>
      <c r="B681" s="779" t="s">
        <v>2326</v>
      </c>
      <c r="C681" s="780" t="s">
        <v>2500</v>
      </c>
      <c r="D681" s="781"/>
      <c r="E681" s="781" t="s">
        <v>2393</v>
      </c>
      <c r="F681" s="781" t="s">
        <v>834</v>
      </c>
      <c r="G681" s="782" t="s">
        <v>2389</v>
      </c>
      <c r="H681" s="781" t="n">
        <v>6.8</v>
      </c>
      <c r="I681" s="781" t="s">
        <v>2393</v>
      </c>
      <c r="J681" s="780" t="n">
        <v>1.5</v>
      </c>
      <c r="K681" s="793" t="s">
        <v>834</v>
      </c>
      <c r="L681" s="793" t="n">
        <v>1</v>
      </c>
      <c r="M681" s="793" t="s">
        <v>834</v>
      </c>
      <c r="N681" s="793"/>
      <c r="O681" s="793" t="s">
        <v>2551</v>
      </c>
    </row>
    <row r="682" customFormat="false" ht="13.8" hidden="true" customHeight="false" outlineLevel="0" collapsed="false">
      <c r="A682" s="765" t="s">
        <v>829</v>
      </c>
      <c r="B682" s="779" t="s">
        <v>2310</v>
      </c>
      <c r="C682" s="780" t="s">
        <v>2580</v>
      </c>
      <c r="D682" s="780"/>
      <c r="E682" s="780" t="s">
        <v>77</v>
      </c>
      <c r="F682" s="780" t="s">
        <v>1352</v>
      </c>
      <c r="G682" s="779" t="s">
        <v>64</v>
      </c>
      <c r="H682" s="780" t="n">
        <v>22</v>
      </c>
      <c r="I682" s="780" t="s">
        <v>77</v>
      </c>
      <c r="J682" s="780" t="n">
        <v>6</v>
      </c>
      <c r="K682" s="791"/>
      <c r="L682" s="791"/>
      <c r="M682" s="791" t="s">
        <v>1352</v>
      </c>
      <c r="N682" s="791"/>
      <c r="O682" s="791" t="s">
        <v>2540</v>
      </c>
    </row>
    <row r="683" customFormat="false" ht="13.8" hidden="true" customHeight="false" outlineLevel="0" collapsed="false">
      <c r="A683" s="765" t="s">
        <v>2450</v>
      </c>
      <c r="B683" s="779" t="s">
        <v>3907</v>
      </c>
      <c r="C683" s="780" t="s">
        <v>2580</v>
      </c>
      <c r="D683" s="780"/>
      <c r="E683" s="780" t="s">
        <v>77</v>
      </c>
      <c r="F683" s="780" t="s">
        <v>215</v>
      </c>
      <c r="G683" s="779" t="s">
        <v>64</v>
      </c>
      <c r="H683" s="780" t="n">
        <v>28</v>
      </c>
      <c r="I683" s="780" t="s">
        <v>77</v>
      </c>
      <c r="J683" s="780" t="n">
        <v>6</v>
      </c>
      <c r="K683" s="791"/>
      <c r="L683" s="791"/>
      <c r="M683" s="791" t="s">
        <v>215</v>
      </c>
      <c r="N683" s="791" t="n">
        <v>1</v>
      </c>
      <c r="O683" s="791" t="s">
        <v>2541</v>
      </c>
    </row>
    <row r="684" customFormat="false" ht="13.8" hidden="true" customHeight="false" outlineLevel="0" collapsed="false">
      <c r="A684" s="765" t="s">
        <v>825</v>
      </c>
      <c r="B684" s="779" t="s">
        <v>2309</v>
      </c>
      <c r="C684" s="780" t="s">
        <v>2580</v>
      </c>
      <c r="D684" s="780"/>
      <c r="E684" s="780" t="s">
        <v>77</v>
      </c>
      <c r="F684" s="780" t="s">
        <v>72</v>
      </c>
      <c r="G684" s="779" t="s">
        <v>64</v>
      </c>
      <c r="H684" s="780" t="n">
        <v>32</v>
      </c>
      <c r="I684" s="780" t="s">
        <v>77</v>
      </c>
      <c r="J684" s="780" t="n">
        <v>6</v>
      </c>
      <c r="K684" s="791"/>
      <c r="L684" s="791"/>
      <c r="M684" s="791" t="s">
        <v>72</v>
      </c>
      <c r="N684" s="791" t="n">
        <v>1</v>
      </c>
      <c r="O684" s="791" t="s">
        <v>2542</v>
      </c>
    </row>
    <row r="685" customFormat="false" ht="13.8" hidden="true" customHeight="false" outlineLevel="0" collapsed="false">
      <c r="A685" s="765" t="s">
        <v>2451</v>
      </c>
      <c r="B685" s="779" t="s">
        <v>3908</v>
      </c>
      <c r="C685" s="780" t="s">
        <v>2580</v>
      </c>
      <c r="D685" s="780"/>
      <c r="E685" s="780" t="s">
        <v>77</v>
      </c>
      <c r="F685" s="780" t="s">
        <v>2436</v>
      </c>
      <c r="G685" s="779" t="s">
        <v>64</v>
      </c>
      <c r="H685" s="780" t="n">
        <v>22</v>
      </c>
      <c r="I685" s="780" t="s">
        <v>77</v>
      </c>
      <c r="J685" s="780" t="n">
        <v>6</v>
      </c>
      <c r="K685" s="791"/>
      <c r="L685" s="791"/>
      <c r="M685" s="791" t="s">
        <v>2436</v>
      </c>
      <c r="N685" s="791"/>
      <c r="O685" s="791" t="s">
        <v>2543</v>
      </c>
    </row>
    <row r="686" customFormat="false" ht="13.8" hidden="true" customHeight="false" outlineLevel="0" collapsed="false">
      <c r="A686" s="765" t="s">
        <v>2452</v>
      </c>
      <c r="B686" s="779" t="s">
        <v>3909</v>
      </c>
      <c r="C686" s="780" t="s">
        <v>2580</v>
      </c>
      <c r="D686" s="780"/>
      <c r="E686" s="780" t="s">
        <v>77</v>
      </c>
      <c r="F686" s="780" t="s">
        <v>2437</v>
      </c>
      <c r="G686" s="779" t="s">
        <v>64</v>
      </c>
      <c r="H686" s="780" t="n">
        <v>32</v>
      </c>
      <c r="I686" s="780" t="s">
        <v>77</v>
      </c>
      <c r="J686" s="780" t="n">
        <v>6</v>
      </c>
      <c r="K686" s="791"/>
      <c r="L686" s="791"/>
      <c r="M686" s="791" t="s">
        <v>2437</v>
      </c>
      <c r="N686" s="791"/>
      <c r="O686" s="791" t="s">
        <v>2544</v>
      </c>
    </row>
    <row r="687" customFormat="false" ht="13.8" hidden="true" customHeight="false" outlineLevel="0" collapsed="false">
      <c r="A687" s="765" t="s">
        <v>1352</v>
      </c>
      <c r="B687" s="779" t="s">
        <v>2353</v>
      </c>
      <c r="C687" s="780" t="s">
        <v>2580</v>
      </c>
      <c r="D687" s="780" t="n">
        <v>22.7</v>
      </c>
      <c r="E687" s="780" t="s">
        <v>3902</v>
      </c>
      <c r="F687" s="780" t="s">
        <v>77</v>
      </c>
      <c r="G687" s="779" t="s">
        <v>71</v>
      </c>
      <c r="H687" s="780" t="n">
        <v>22.7</v>
      </c>
      <c r="I687" s="780" t="s">
        <v>77</v>
      </c>
      <c r="J687" s="780" t="n">
        <v>9.45</v>
      </c>
      <c r="K687" s="791"/>
      <c r="L687" s="791"/>
      <c r="M687" s="791" t="s">
        <v>77</v>
      </c>
      <c r="N687" s="791"/>
      <c r="O687" s="791" t="s">
        <v>2540</v>
      </c>
    </row>
    <row r="688" customFormat="false" ht="13.8" hidden="true" customHeight="false" outlineLevel="0" collapsed="false">
      <c r="A688" s="765" t="s">
        <v>215</v>
      </c>
      <c r="B688" s="779" t="s">
        <v>2324</v>
      </c>
      <c r="C688" s="780" t="s">
        <v>2580</v>
      </c>
      <c r="D688" s="780" t="n">
        <v>28.6</v>
      </c>
      <c r="E688" s="780" t="s">
        <v>3902</v>
      </c>
      <c r="F688" s="780" t="s">
        <v>77</v>
      </c>
      <c r="G688" s="779" t="s">
        <v>71</v>
      </c>
      <c r="H688" s="780" t="n">
        <v>28.6</v>
      </c>
      <c r="I688" s="780" t="s">
        <v>77</v>
      </c>
      <c r="J688" s="780" t="n">
        <v>9.45</v>
      </c>
      <c r="K688" s="791"/>
      <c r="L688" s="791"/>
      <c r="M688" s="791" t="s">
        <v>77</v>
      </c>
      <c r="N688" s="791"/>
      <c r="O688" s="791" t="s">
        <v>2541</v>
      </c>
    </row>
    <row r="689" customFormat="false" ht="13.8" hidden="true" customHeight="false" outlineLevel="0" collapsed="false">
      <c r="A689" s="765" t="s">
        <v>72</v>
      </c>
      <c r="B689" s="779" t="s">
        <v>75</v>
      </c>
      <c r="C689" s="780" t="s">
        <v>2580</v>
      </c>
      <c r="D689" s="780" t="n">
        <v>33.1</v>
      </c>
      <c r="E689" s="780" t="s">
        <v>3902</v>
      </c>
      <c r="F689" s="780" t="s">
        <v>77</v>
      </c>
      <c r="G689" s="779" t="s">
        <v>71</v>
      </c>
      <c r="H689" s="780" t="n">
        <v>33.1</v>
      </c>
      <c r="I689" s="780" t="s">
        <v>77</v>
      </c>
      <c r="J689" s="780" t="n">
        <v>9.45</v>
      </c>
      <c r="K689" s="791"/>
      <c r="L689" s="791"/>
      <c r="M689" s="791" t="s">
        <v>77</v>
      </c>
      <c r="N689" s="791"/>
      <c r="O689" s="791" t="s">
        <v>2542</v>
      </c>
    </row>
    <row r="690" customFormat="false" ht="13.8" hidden="true" customHeight="false" outlineLevel="0" collapsed="false">
      <c r="A690" s="765" t="s">
        <v>2436</v>
      </c>
      <c r="B690" s="779" t="s">
        <v>3910</v>
      </c>
      <c r="C690" s="780" t="s">
        <v>2580</v>
      </c>
      <c r="D690" s="780" t="n">
        <v>22.7</v>
      </c>
      <c r="E690" s="780" t="s">
        <v>3902</v>
      </c>
      <c r="F690" s="780" t="s">
        <v>77</v>
      </c>
      <c r="G690" s="779" t="s">
        <v>71</v>
      </c>
      <c r="H690" s="780" t="n">
        <v>22.7</v>
      </c>
      <c r="I690" s="780" t="s">
        <v>77</v>
      </c>
      <c r="J690" s="780" t="n">
        <v>9.45</v>
      </c>
      <c r="K690" s="791"/>
      <c r="L690" s="791"/>
      <c r="M690" s="791" t="s">
        <v>77</v>
      </c>
      <c r="N690" s="791"/>
      <c r="O690" s="791" t="s">
        <v>2543</v>
      </c>
    </row>
    <row r="691" customFormat="false" ht="13.8" hidden="true" customHeight="false" outlineLevel="0" collapsed="false">
      <c r="A691" s="765" t="s">
        <v>2437</v>
      </c>
      <c r="B691" s="779" t="s">
        <v>3911</v>
      </c>
      <c r="C691" s="780" t="s">
        <v>2580</v>
      </c>
      <c r="D691" s="780" t="n">
        <v>33.13</v>
      </c>
      <c r="E691" s="780" t="s">
        <v>3902</v>
      </c>
      <c r="F691" s="780" t="s">
        <v>77</v>
      </c>
      <c r="G691" s="779" t="s">
        <v>71</v>
      </c>
      <c r="H691" s="780" t="n">
        <v>33.13</v>
      </c>
      <c r="I691" s="780" t="s">
        <v>77</v>
      </c>
      <c r="J691" s="780" t="n">
        <v>9.45</v>
      </c>
      <c r="K691" s="791"/>
      <c r="L691" s="791"/>
      <c r="M691" s="791" t="s">
        <v>77</v>
      </c>
      <c r="N691" s="791"/>
      <c r="O691" s="791" t="s">
        <v>2544</v>
      </c>
    </row>
    <row r="692" customFormat="false" ht="13.8" hidden="true" customHeight="false" outlineLevel="0" collapsed="false">
      <c r="A692" s="765" t="s">
        <v>2453</v>
      </c>
      <c r="B692" s="779" t="s">
        <v>3912</v>
      </c>
      <c r="C692" s="780" t="s">
        <v>2580</v>
      </c>
      <c r="D692" s="780"/>
      <c r="E692" s="780" t="s">
        <v>77</v>
      </c>
      <c r="F692" s="780" t="s">
        <v>1352</v>
      </c>
      <c r="G692" s="779" t="s">
        <v>64</v>
      </c>
      <c r="H692" s="780" t="n">
        <v>22</v>
      </c>
      <c r="I692" s="780" t="s">
        <v>77</v>
      </c>
      <c r="J692" s="780" t="n">
        <v>6</v>
      </c>
      <c r="K692" s="791"/>
      <c r="L692" s="791"/>
      <c r="M692" s="791" t="s">
        <v>1352</v>
      </c>
      <c r="N692" s="791" t="n">
        <v>1</v>
      </c>
      <c r="O692" s="791" t="s">
        <v>2540</v>
      </c>
    </row>
    <row r="693" customFormat="false" ht="13.8" hidden="true" customHeight="false" outlineLevel="0" collapsed="false">
      <c r="A693" s="765" t="s">
        <v>229</v>
      </c>
      <c r="B693" s="779" t="s">
        <v>2328</v>
      </c>
      <c r="C693" s="780" t="s">
        <v>2580</v>
      </c>
      <c r="D693" s="780"/>
      <c r="E693" s="780" t="s">
        <v>77</v>
      </c>
      <c r="F693" s="780" t="s">
        <v>215</v>
      </c>
      <c r="G693" s="779" t="s">
        <v>64</v>
      </c>
      <c r="H693" s="780" t="n">
        <v>28</v>
      </c>
      <c r="I693" s="780" t="s">
        <v>77</v>
      </c>
      <c r="J693" s="780" t="n">
        <v>6</v>
      </c>
      <c r="K693" s="791"/>
      <c r="L693" s="791"/>
      <c r="M693" s="791" t="s">
        <v>215</v>
      </c>
      <c r="N693" s="791" t="n">
        <v>1</v>
      </c>
      <c r="O693" s="791" t="s">
        <v>2541</v>
      </c>
    </row>
    <row r="694" customFormat="false" ht="13.8" hidden="true" customHeight="false" outlineLevel="0" collapsed="false">
      <c r="A694" s="765" t="s">
        <v>981</v>
      </c>
      <c r="B694" s="779" t="s">
        <v>2330</v>
      </c>
      <c r="C694" s="780" t="s">
        <v>2580</v>
      </c>
      <c r="D694" s="780"/>
      <c r="E694" s="780" t="s">
        <v>77</v>
      </c>
      <c r="F694" s="780" t="s">
        <v>72</v>
      </c>
      <c r="G694" s="779" t="s">
        <v>64</v>
      </c>
      <c r="H694" s="780" t="n">
        <v>32</v>
      </c>
      <c r="I694" s="780" t="s">
        <v>77</v>
      </c>
      <c r="J694" s="780" t="n">
        <v>6</v>
      </c>
      <c r="K694" s="791"/>
      <c r="L694" s="791"/>
      <c r="M694" s="791" t="s">
        <v>72</v>
      </c>
      <c r="N694" s="791" t="n">
        <v>1</v>
      </c>
      <c r="O694" s="791" t="s">
        <v>2542</v>
      </c>
    </row>
    <row r="695" customFormat="false" ht="13.8" hidden="true" customHeight="false" outlineLevel="0" collapsed="false">
      <c r="A695" s="765" t="s">
        <v>2454</v>
      </c>
      <c r="B695" s="779" t="s">
        <v>3913</v>
      </c>
      <c r="C695" s="780" t="s">
        <v>2580</v>
      </c>
      <c r="D695" s="780"/>
      <c r="E695" s="780" t="s">
        <v>77</v>
      </c>
      <c r="F695" s="780" t="s">
        <v>2436</v>
      </c>
      <c r="G695" s="779" t="s">
        <v>64</v>
      </c>
      <c r="H695" s="780" t="n">
        <v>22</v>
      </c>
      <c r="I695" s="780" t="s">
        <v>77</v>
      </c>
      <c r="J695" s="780" t="n">
        <v>6</v>
      </c>
      <c r="K695" s="791"/>
      <c r="L695" s="791"/>
      <c r="M695" s="791" t="s">
        <v>2436</v>
      </c>
      <c r="N695" s="791"/>
      <c r="O695" s="791" t="s">
        <v>2543</v>
      </c>
    </row>
    <row r="696" customFormat="false" ht="13.8" hidden="true" customHeight="false" outlineLevel="0" collapsed="false">
      <c r="A696" s="765" t="s">
        <v>2455</v>
      </c>
      <c r="B696" s="779" t="s">
        <v>3914</v>
      </c>
      <c r="C696" s="780" t="s">
        <v>2580</v>
      </c>
      <c r="D696" s="780"/>
      <c r="E696" s="780" t="s">
        <v>77</v>
      </c>
      <c r="F696" s="780" t="s">
        <v>2437</v>
      </c>
      <c r="G696" s="779" t="s">
        <v>64</v>
      </c>
      <c r="H696" s="780" t="n">
        <v>32</v>
      </c>
      <c r="I696" s="780" t="s">
        <v>77</v>
      </c>
      <c r="J696" s="780" t="n">
        <v>6</v>
      </c>
      <c r="K696" s="791"/>
      <c r="L696" s="791"/>
      <c r="M696" s="791" t="s">
        <v>2437</v>
      </c>
      <c r="N696" s="791"/>
      <c r="O696" s="791" t="s">
        <v>2544</v>
      </c>
    </row>
    <row r="697" customFormat="false" ht="13.8" hidden="true" customHeight="false" outlineLevel="0" collapsed="false">
      <c r="A697" s="765" t="s">
        <v>731</v>
      </c>
      <c r="B697" s="779" t="s">
        <v>3915</v>
      </c>
      <c r="C697" s="780" t="s">
        <v>2580</v>
      </c>
      <c r="D697" s="780" t="n">
        <v>22.7</v>
      </c>
      <c r="E697" s="780" t="s">
        <v>3902</v>
      </c>
      <c r="F697" s="780" t="s">
        <v>77</v>
      </c>
      <c r="G697" s="779" t="s">
        <v>71</v>
      </c>
      <c r="H697" s="780" t="n">
        <v>22.7</v>
      </c>
      <c r="I697" s="780" t="s">
        <v>77</v>
      </c>
      <c r="J697" s="780" t="n">
        <v>9.45</v>
      </c>
      <c r="K697" s="791"/>
      <c r="L697" s="791"/>
      <c r="M697" s="791" t="s">
        <v>77</v>
      </c>
      <c r="N697" s="791"/>
      <c r="O697" s="791" t="s">
        <v>2543</v>
      </c>
    </row>
    <row r="698" customFormat="false" ht="13.8" hidden="true" customHeight="false" outlineLevel="0" collapsed="false">
      <c r="A698" s="765" t="s">
        <v>626</v>
      </c>
      <c r="B698" s="779" t="s">
        <v>2305</v>
      </c>
      <c r="C698" s="780" t="s">
        <v>2580</v>
      </c>
      <c r="D698" s="780" t="n">
        <v>33.13</v>
      </c>
      <c r="E698" s="780" t="s">
        <v>3902</v>
      </c>
      <c r="F698" s="780" t="s">
        <v>77</v>
      </c>
      <c r="G698" s="779" t="s">
        <v>71</v>
      </c>
      <c r="H698" s="780" t="n">
        <v>33.13</v>
      </c>
      <c r="I698" s="780" t="s">
        <v>77</v>
      </c>
      <c r="J698" s="780" t="n">
        <v>9.45</v>
      </c>
      <c r="K698" s="791"/>
      <c r="L698" s="791"/>
      <c r="M698" s="791" t="s">
        <v>77</v>
      </c>
      <c r="N698" s="791"/>
      <c r="O698" s="791" t="s">
        <v>2544</v>
      </c>
    </row>
    <row r="699" customFormat="false" ht="13.8" hidden="true" customHeight="false" outlineLevel="0" collapsed="false">
      <c r="A699" s="765" t="s">
        <v>747</v>
      </c>
      <c r="B699" s="779" t="s">
        <v>2370</v>
      </c>
      <c r="C699" s="780" t="s">
        <v>2580</v>
      </c>
      <c r="D699" s="780" t="n">
        <v>22.7</v>
      </c>
      <c r="E699" s="780" t="s">
        <v>3902</v>
      </c>
      <c r="F699" s="780" t="s">
        <v>77</v>
      </c>
      <c r="G699" s="779" t="s">
        <v>71</v>
      </c>
      <c r="H699" s="780" t="n">
        <v>22.7</v>
      </c>
      <c r="I699" s="780" t="s">
        <v>77</v>
      </c>
      <c r="J699" s="780" t="n">
        <v>9.45</v>
      </c>
      <c r="K699" s="791"/>
      <c r="L699" s="791"/>
      <c r="M699" s="791" t="s">
        <v>77</v>
      </c>
      <c r="N699" s="791"/>
      <c r="O699" s="791" t="s">
        <v>2543</v>
      </c>
    </row>
    <row r="700" customFormat="false" ht="13.8" hidden="true" customHeight="false" outlineLevel="0" collapsed="false">
      <c r="A700" s="765" t="s">
        <v>879</v>
      </c>
      <c r="B700" s="779" t="s">
        <v>2321</v>
      </c>
      <c r="C700" s="780" t="s">
        <v>2580</v>
      </c>
      <c r="D700" s="780" t="n">
        <v>33.13</v>
      </c>
      <c r="E700" s="780" t="s">
        <v>3902</v>
      </c>
      <c r="F700" s="780" t="s">
        <v>77</v>
      </c>
      <c r="G700" s="779" t="s">
        <v>71</v>
      </c>
      <c r="H700" s="780" t="n">
        <v>33.13</v>
      </c>
      <c r="I700" s="780" t="s">
        <v>77</v>
      </c>
      <c r="J700" s="780" t="n">
        <v>9.45</v>
      </c>
      <c r="K700" s="791"/>
      <c r="L700" s="791"/>
      <c r="M700" s="791" t="s">
        <v>77</v>
      </c>
      <c r="N700" s="791"/>
      <c r="O700" s="791" t="s">
        <v>2544</v>
      </c>
    </row>
    <row r="701" customFormat="false" ht="13.8" hidden="true" customHeight="false" outlineLevel="0" collapsed="false">
      <c r="A701" s="765" t="s">
        <v>801</v>
      </c>
      <c r="B701" s="779" t="s">
        <v>3916</v>
      </c>
      <c r="C701" s="780" t="s">
        <v>2580</v>
      </c>
      <c r="D701" s="780"/>
      <c r="E701" s="780" t="s">
        <v>77</v>
      </c>
      <c r="F701" s="780" t="s">
        <v>731</v>
      </c>
      <c r="G701" s="779" t="s">
        <v>64</v>
      </c>
      <c r="H701" s="780" t="n">
        <v>22</v>
      </c>
      <c r="I701" s="780" t="s">
        <v>77</v>
      </c>
      <c r="J701" s="780" t="n">
        <v>9</v>
      </c>
      <c r="K701" s="791"/>
      <c r="L701" s="791"/>
      <c r="M701" s="791" t="s">
        <v>731</v>
      </c>
      <c r="N701" s="791" t="n">
        <v>1</v>
      </c>
      <c r="O701" s="791" t="s">
        <v>2543</v>
      </c>
    </row>
    <row r="702" customFormat="false" ht="13.8" hidden="true" customHeight="false" outlineLevel="0" collapsed="false">
      <c r="A702" s="765" t="s">
        <v>865</v>
      </c>
      <c r="B702" s="779" t="s">
        <v>2317</v>
      </c>
      <c r="C702" s="780" t="s">
        <v>2580</v>
      </c>
      <c r="D702" s="780"/>
      <c r="E702" s="780" t="s">
        <v>77</v>
      </c>
      <c r="F702" s="780" t="s">
        <v>626</v>
      </c>
      <c r="G702" s="779" t="s">
        <v>64</v>
      </c>
      <c r="H702" s="780" t="n">
        <v>22</v>
      </c>
      <c r="I702" s="780" t="s">
        <v>77</v>
      </c>
      <c r="J702" s="780" t="n">
        <v>9</v>
      </c>
      <c r="K702" s="791"/>
      <c r="L702" s="791"/>
      <c r="M702" s="791" t="s">
        <v>626</v>
      </c>
      <c r="N702" s="791" t="n">
        <v>1</v>
      </c>
      <c r="O702" s="791" t="s">
        <v>2544</v>
      </c>
    </row>
    <row r="703" customFormat="false" ht="13.8" hidden="true" customHeight="false" outlineLevel="0" collapsed="false">
      <c r="A703" s="765" t="s">
        <v>797</v>
      </c>
      <c r="B703" s="779" t="s">
        <v>3917</v>
      </c>
      <c r="C703" s="780" t="s">
        <v>2580</v>
      </c>
      <c r="D703" s="780"/>
      <c r="E703" s="780" t="s">
        <v>77</v>
      </c>
      <c r="F703" s="780" t="s">
        <v>747</v>
      </c>
      <c r="G703" s="779" t="s">
        <v>64</v>
      </c>
      <c r="H703" s="780" t="n">
        <v>22</v>
      </c>
      <c r="I703" s="780" t="s">
        <v>77</v>
      </c>
      <c r="J703" s="780" t="n">
        <v>9</v>
      </c>
      <c r="K703" s="791"/>
      <c r="L703" s="791"/>
      <c r="M703" s="791" t="s">
        <v>747</v>
      </c>
      <c r="N703" s="791" t="n">
        <v>1</v>
      </c>
      <c r="O703" s="791" t="s">
        <v>2543</v>
      </c>
    </row>
    <row r="704" customFormat="false" ht="13.8" hidden="true" customHeight="false" outlineLevel="0" collapsed="false">
      <c r="A704" s="765" t="s">
        <v>870</v>
      </c>
      <c r="B704" s="779" t="s">
        <v>2319</v>
      </c>
      <c r="C704" s="780" t="s">
        <v>2580</v>
      </c>
      <c r="D704" s="780"/>
      <c r="E704" s="780" t="s">
        <v>77</v>
      </c>
      <c r="F704" s="780" t="s">
        <v>879</v>
      </c>
      <c r="G704" s="779" t="s">
        <v>64</v>
      </c>
      <c r="H704" s="780" t="n">
        <v>32</v>
      </c>
      <c r="I704" s="780" t="s">
        <v>77</v>
      </c>
      <c r="J704" s="780" t="n">
        <v>9</v>
      </c>
      <c r="K704" s="791"/>
      <c r="L704" s="791"/>
      <c r="M704" s="791" t="s">
        <v>879</v>
      </c>
      <c r="N704" s="791" t="n">
        <v>1</v>
      </c>
      <c r="O704" s="791" t="s">
        <v>2544</v>
      </c>
    </row>
    <row r="705" customFormat="false" ht="13.8" hidden="true" customHeight="false" outlineLevel="0" collapsed="false">
      <c r="A705" s="765" t="s">
        <v>3918</v>
      </c>
      <c r="B705" s="779" t="s">
        <v>3919</v>
      </c>
      <c r="C705" s="780" t="s">
        <v>2580</v>
      </c>
      <c r="D705" s="780" t="n">
        <v>22</v>
      </c>
      <c r="E705" s="780" t="s">
        <v>77</v>
      </c>
      <c r="F705" s="780" t="s">
        <v>77</v>
      </c>
      <c r="G705" s="779" t="s">
        <v>71</v>
      </c>
      <c r="H705" s="780" t="n">
        <v>22</v>
      </c>
      <c r="I705" s="780" t="s">
        <v>77</v>
      </c>
      <c r="J705" s="780" t="n">
        <v>9.45</v>
      </c>
      <c r="K705" s="791"/>
      <c r="L705" s="791"/>
      <c r="M705" s="791" t="s">
        <v>77</v>
      </c>
      <c r="N705" s="791"/>
      <c r="O705" s="791" t="s">
        <v>2540</v>
      </c>
    </row>
    <row r="706" customFormat="false" ht="13.8" hidden="true" customHeight="false" outlineLevel="0" collapsed="false">
      <c r="A706" s="765" t="s">
        <v>3920</v>
      </c>
      <c r="B706" s="779" t="s">
        <v>3921</v>
      </c>
      <c r="C706" s="780" t="s">
        <v>2580</v>
      </c>
      <c r="D706" s="780" t="n">
        <v>28</v>
      </c>
      <c r="E706" s="780" t="s">
        <v>77</v>
      </c>
      <c r="F706" s="780" t="s">
        <v>77</v>
      </c>
      <c r="G706" s="779" t="s">
        <v>71</v>
      </c>
      <c r="H706" s="780" t="n">
        <v>28</v>
      </c>
      <c r="I706" s="780" t="s">
        <v>77</v>
      </c>
      <c r="J706" s="780" t="n">
        <v>9.45</v>
      </c>
      <c r="K706" s="791"/>
      <c r="L706" s="791"/>
      <c r="M706" s="791" t="s">
        <v>77</v>
      </c>
      <c r="N706" s="791"/>
      <c r="O706" s="791" t="s">
        <v>2541</v>
      </c>
    </row>
    <row r="707" customFormat="false" ht="13.8" hidden="true" customHeight="false" outlineLevel="0" collapsed="false">
      <c r="A707" s="765" t="s">
        <v>3922</v>
      </c>
      <c r="B707" s="779" t="s">
        <v>3923</v>
      </c>
      <c r="C707" s="780" t="s">
        <v>2580</v>
      </c>
      <c r="D707" s="780" t="n">
        <v>32</v>
      </c>
      <c r="E707" s="780" t="s">
        <v>77</v>
      </c>
      <c r="F707" s="780" t="s">
        <v>77</v>
      </c>
      <c r="G707" s="779" t="s">
        <v>71</v>
      </c>
      <c r="H707" s="780" t="n">
        <v>32</v>
      </c>
      <c r="I707" s="780" t="s">
        <v>77</v>
      </c>
      <c r="J707" s="780" t="n">
        <v>9.45</v>
      </c>
      <c r="K707" s="791"/>
      <c r="L707" s="791"/>
      <c r="M707" s="791" t="s">
        <v>77</v>
      </c>
      <c r="N707" s="791"/>
      <c r="O707" s="791" t="s">
        <v>2542</v>
      </c>
    </row>
    <row r="708" customFormat="false" ht="13.8" hidden="true" customHeight="false" outlineLevel="0" collapsed="false">
      <c r="A708" s="765" t="s">
        <v>2456</v>
      </c>
      <c r="B708" s="779" t="s">
        <v>3924</v>
      </c>
      <c r="C708" s="780" t="s">
        <v>2580</v>
      </c>
      <c r="D708" s="780"/>
      <c r="E708" s="780" t="s">
        <v>77</v>
      </c>
      <c r="F708" s="780" t="s">
        <v>3918</v>
      </c>
      <c r="G708" s="779" t="s">
        <v>64</v>
      </c>
      <c r="H708" s="780" t="n">
        <v>22</v>
      </c>
      <c r="I708" s="780" t="s">
        <v>77</v>
      </c>
      <c r="J708" s="780" t="n">
        <v>6</v>
      </c>
      <c r="K708" s="791"/>
      <c r="L708" s="791"/>
      <c r="M708" s="791" t="s">
        <v>3918</v>
      </c>
      <c r="N708" s="791"/>
      <c r="O708" s="791" t="s">
        <v>2540</v>
      </c>
    </row>
    <row r="709" customFormat="false" ht="13.8" hidden="true" customHeight="false" outlineLevel="0" collapsed="false">
      <c r="A709" s="765" t="s">
        <v>2457</v>
      </c>
      <c r="B709" s="779" t="s">
        <v>3925</v>
      </c>
      <c r="C709" s="780" t="s">
        <v>2580</v>
      </c>
      <c r="D709" s="780"/>
      <c r="E709" s="780" t="s">
        <v>77</v>
      </c>
      <c r="F709" s="780" t="s">
        <v>3920</v>
      </c>
      <c r="G709" s="779" t="s">
        <v>64</v>
      </c>
      <c r="H709" s="780" t="n">
        <v>28</v>
      </c>
      <c r="I709" s="780" t="s">
        <v>77</v>
      </c>
      <c r="J709" s="780" t="n">
        <v>6</v>
      </c>
      <c r="K709" s="791"/>
      <c r="L709" s="791"/>
      <c r="M709" s="791" t="s">
        <v>3920</v>
      </c>
      <c r="N709" s="791"/>
      <c r="O709" s="791" t="s">
        <v>2541</v>
      </c>
    </row>
    <row r="710" customFormat="false" ht="13.8" hidden="true" customHeight="false" outlineLevel="0" collapsed="false">
      <c r="A710" s="765" t="s">
        <v>2458</v>
      </c>
      <c r="B710" s="779" t="s">
        <v>3926</v>
      </c>
      <c r="C710" s="780" t="s">
        <v>2580</v>
      </c>
      <c r="D710" s="780"/>
      <c r="E710" s="780" t="s">
        <v>77</v>
      </c>
      <c r="F710" s="780" t="s">
        <v>3922</v>
      </c>
      <c r="G710" s="779" t="s">
        <v>64</v>
      </c>
      <c r="H710" s="780" t="n">
        <v>32</v>
      </c>
      <c r="I710" s="780" t="s">
        <v>77</v>
      </c>
      <c r="J710" s="780" t="n">
        <v>6</v>
      </c>
      <c r="K710" s="791"/>
      <c r="L710" s="791"/>
      <c r="M710" s="791" t="s">
        <v>3922</v>
      </c>
      <c r="N710" s="791"/>
      <c r="O710" s="791" t="s">
        <v>2542</v>
      </c>
    </row>
    <row r="711" customFormat="false" ht="13.8" hidden="true" customHeight="false" outlineLevel="0" collapsed="false">
      <c r="A711" s="765" t="s">
        <v>3927</v>
      </c>
      <c r="B711" s="779" t="s">
        <v>3928</v>
      </c>
      <c r="C711" s="780" t="s">
        <v>2580</v>
      </c>
      <c r="D711" s="780" t="n">
        <v>22</v>
      </c>
      <c r="E711" s="780" t="s">
        <v>77</v>
      </c>
      <c r="F711" s="780" t="s">
        <v>77</v>
      </c>
      <c r="G711" s="779" t="s">
        <v>71</v>
      </c>
      <c r="H711" s="780" t="n">
        <v>22</v>
      </c>
      <c r="I711" s="780" t="s">
        <v>77</v>
      </c>
      <c r="J711" s="780" t="n">
        <v>9.45</v>
      </c>
      <c r="K711" s="791"/>
      <c r="L711" s="791"/>
      <c r="M711" s="791" t="s">
        <v>77</v>
      </c>
      <c r="N711" s="791"/>
      <c r="O711" s="791" t="s">
        <v>2540</v>
      </c>
    </row>
    <row r="712" customFormat="false" ht="13.8" hidden="true" customHeight="false" outlineLevel="0" collapsed="false">
      <c r="A712" s="765" t="s">
        <v>3929</v>
      </c>
      <c r="B712" s="779" t="s">
        <v>3930</v>
      </c>
      <c r="C712" s="780" t="s">
        <v>2580</v>
      </c>
      <c r="D712" s="780" t="n">
        <v>28</v>
      </c>
      <c r="E712" s="780" t="s">
        <v>77</v>
      </c>
      <c r="F712" s="780" t="s">
        <v>77</v>
      </c>
      <c r="G712" s="779" t="s">
        <v>71</v>
      </c>
      <c r="H712" s="780" t="n">
        <v>28</v>
      </c>
      <c r="I712" s="780" t="s">
        <v>77</v>
      </c>
      <c r="J712" s="780" t="n">
        <v>9.45</v>
      </c>
      <c r="K712" s="791"/>
      <c r="L712" s="791"/>
      <c r="M712" s="791" t="s">
        <v>77</v>
      </c>
      <c r="N712" s="791"/>
      <c r="O712" s="791" t="s">
        <v>2541</v>
      </c>
    </row>
    <row r="713" customFormat="false" ht="13.8" hidden="true" customHeight="false" outlineLevel="0" collapsed="false">
      <c r="A713" s="765" t="s">
        <v>3931</v>
      </c>
      <c r="B713" s="779" t="s">
        <v>3932</v>
      </c>
      <c r="C713" s="780" t="s">
        <v>2580</v>
      </c>
      <c r="D713" s="780" t="n">
        <v>32</v>
      </c>
      <c r="E713" s="780" t="s">
        <v>77</v>
      </c>
      <c r="F713" s="780" t="s">
        <v>77</v>
      </c>
      <c r="G713" s="779" t="s">
        <v>71</v>
      </c>
      <c r="H713" s="780" t="n">
        <v>32</v>
      </c>
      <c r="I713" s="780" t="s">
        <v>77</v>
      </c>
      <c r="J713" s="780" t="n">
        <v>9.45</v>
      </c>
      <c r="K713" s="791"/>
      <c r="L713" s="791"/>
      <c r="M713" s="791" t="s">
        <v>77</v>
      </c>
      <c r="N713" s="791"/>
      <c r="O713" s="791" t="s">
        <v>2542</v>
      </c>
    </row>
    <row r="714" customFormat="false" ht="13.8" hidden="true" customHeight="false" outlineLevel="0" collapsed="false">
      <c r="A714" s="765" t="s">
        <v>2459</v>
      </c>
      <c r="B714" s="779" t="s">
        <v>3933</v>
      </c>
      <c r="C714" s="780" t="s">
        <v>2580</v>
      </c>
      <c r="D714" s="780"/>
      <c r="E714" s="780" t="s">
        <v>77</v>
      </c>
      <c r="F714" s="780" t="s">
        <v>3927</v>
      </c>
      <c r="G714" s="779" t="s">
        <v>64</v>
      </c>
      <c r="H714" s="780" t="n">
        <v>22</v>
      </c>
      <c r="I714" s="780" t="s">
        <v>77</v>
      </c>
      <c r="J714" s="780" t="n">
        <v>6</v>
      </c>
      <c r="K714" s="791"/>
      <c r="L714" s="791"/>
      <c r="M714" s="791" t="s">
        <v>3927</v>
      </c>
      <c r="N714" s="791"/>
      <c r="O714" s="791" t="s">
        <v>2540</v>
      </c>
    </row>
    <row r="715" customFormat="false" ht="13.8" hidden="true" customHeight="false" outlineLevel="0" collapsed="false">
      <c r="A715" s="765" t="s">
        <v>2460</v>
      </c>
      <c r="B715" s="779" t="s">
        <v>3934</v>
      </c>
      <c r="C715" s="780" t="s">
        <v>2580</v>
      </c>
      <c r="D715" s="780"/>
      <c r="E715" s="780" t="s">
        <v>77</v>
      </c>
      <c r="F715" s="780" t="s">
        <v>3929</v>
      </c>
      <c r="G715" s="779" t="s">
        <v>64</v>
      </c>
      <c r="H715" s="780" t="n">
        <v>38</v>
      </c>
      <c r="I715" s="780" t="s">
        <v>77</v>
      </c>
      <c r="J715" s="780" t="n">
        <v>6</v>
      </c>
      <c r="K715" s="791"/>
      <c r="L715" s="791"/>
      <c r="M715" s="791" t="s">
        <v>3929</v>
      </c>
      <c r="N715" s="791"/>
      <c r="O715" s="791" t="s">
        <v>2541</v>
      </c>
    </row>
    <row r="716" customFormat="false" ht="13.8" hidden="true" customHeight="false" outlineLevel="0" collapsed="false">
      <c r="A716" s="765" t="s">
        <v>2461</v>
      </c>
      <c r="B716" s="779" t="s">
        <v>3935</v>
      </c>
      <c r="C716" s="780" t="s">
        <v>2580</v>
      </c>
      <c r="D716" s="780"/>
      <c r="E716" s="780" t="s">
        <v>77</v>
      </c>
      <c r="F716" s="780" t="s">
        <v>3931</v>
      </c>
      <c r="G716" s="779" t="s">
        <v>64</v>
      </c>
      <c r="H716" s="780" t="n">
        <v>32</v>
      </c>
      <c r="I716" s="780" t="s">
        <v>77</v>
      </c>
      <c r="J716" s="780" t="n">
        <v>6</v>
      </c>
      <c r="K716" s="791"/>
      <c r="L716" s="791"/>
      <c r="M716" s="791" t="s">
        <v>3931</v>
      </c>
      <c r="N716" s="791"/>
      <c r="O716" s="791" t="s">
        <v>2542</v>
      </c>
    </row>
    <row r="717" customFormat="false" ht="13.8" hidden="true" customHeight="false" outlineLevel="0" collapsed="false">
      <c r="A717" s="765" t="s">
        <v>2462</v>
      </c>
      <c r="B717" s="779" t="s">
        <v>3936</v>
      </c>
      <c r="C717" s="780" t="s">
        <v>2580</v>
      </c>
      <c r="D717" s="780"/>
      <c r="E717" s="780" t="s">
        <v>77</v>
      </c>
      <c r="F717" s="780" t="s">
        <v>731</v>
      </c>
      <c r="G717" s="779" t="s">
        <v>64</v>
      </c>
      <c r="H717" s="780" t="n">
        <v>22</v>
      </c>
      <c r="I717" s="780" t="s">
        <v>77</v>
      </c>
      <c r="J717" s="780" t="n">
        <v>9</v>
      </c>
      <c r="K717" s="791"/>
      <c r="L717" s="791"/>
      <c r="M717" s="791" t="s">
        <v>731</v>
      </c>
      <c r="N717" s="791" t="n">
        <v>1</v>
      </c>
      <c r="O717" s="791" t="s">
        <v>2543</v>
      </c>
    </row>
    <row r="718" customFormat="false" ht="13.8" hidden="true" customHeight="false" outlineLevel="0" collapsed="false">
      <c r="A718" s="765" t="s">
        <v>2463</v>
      </c>
      <c r="B718" s="779" t="s">
        <v>3937</v>
      </c>
      <c r="C718" s="780" t="s">
        <v>2580</v>
      </c>
      <c r="D718" s="780"/>
      <c r="E718" s="780" t="s">
        <v>77</v>
      </c>
      <c r="F718" s="780" t="s">
        <v>626</v>
      </c>
      <c r="G718" s="779" t="s">
        <v>64</v>
      </c>
      <c r="H718" s="780" t="n">
        <v>32</v>
      </c>
      <c r="I718" s="780" t="s">
        <v>77</v>
      </c>
      <c r="J718" s="780" t="n">
        <v>9</v>
      </c>
      <c r="K718" s="791"/>
      <c r="L718" s="791"/>
      <c r="M718" s="791" t="s">
        <v>626</v>
      </c>
      <c r="N718" s="791" t="n">
        <v>1</v>
      </c>
      <c r="O718" s="791" t="s">
        <v>2544</v>
      </c>
    </row>
    <row r="719" customFormat="false" ht="13.8" hidden="true" customHeight="false" outlineLevel="0" collapsed="false">
      <c r="A719" s="765" t="s">
        <v>2464</v>
      </c>
      <c r="B719" s="779" t="s">
        <v>3938</v>
      </c>
      <c r="C719" s="780" t="s">
        <v>2580</v>
      </c>
      <c r="D719" s="780"/>
      <c r="E719" s="780" t="s">
        <v>77</v>
      </c>
      <c r="F719" s="780" t="s">
        <v>747</v>
      </c>
      <c r="G719" s="779" t="s">
        <v>64</v>
      </c>
      <c r="H719" s="780" t="n">
        <v>22</v>
      </c>
      <c r="I719" s="780" t="s">
        <v>77</v>
      </c>
      <c r="J719" s="780" t="n">
        <v>9</v>
      </c>
      <c r="K719" s="791"/>
      <c r="L719" s="791"/>
      <c r="M719" s="791" t="s">
        <v>747</v>
      </c>
      <c r="N719" s="791" t="n">
        <v>1</v>
      </c>
      <c r="O719" s="791" t="s">
        <v>2543</v>
      </c>
    </row>
    <row r="720" customFormat="false" ht="13.8" hidden="true" customHeight="false" outlineLevel="0" collapsed="false">
      <c r="A720" s="765" t="s">
        <v>2465</v>
      </c>
      <c r="B720" s="779" t="s">
        <v>3939</v>
      </c>
      <c r="C720" s="780" t="s">
        <v>2580</v>
      </c>
      <c r="D720" s="780"/>
      <c r="E720" s="780" t="s">
        <v>77</v>
      </c>
      <c r="F720" s="780" t="s">
        <v>879</v>
      </c>
      <c r="G720" s="779" t="s">
        <v>64</v>
      </c>
      <c r="H720" s="780" t="n">
        <v>32</v>
      </c>
      <c r="I720" s="780" t="s">
        <v>77</v>
      </c>
      <c r="J720" s="780" t="n">
        <v>9</v>
      </c>
      <c r="K720" s="791"/>
      <c r="L720" s="791"/>
      <c r="M720" s="791" t="s">
        <v>879</v>
      </c>
      <c r="N720" s="791" t="n">
        <v>1</v>
      </c>
      <c r="O720" s="791" t="s">
        <v>2544</v>
      </c>
    </row>
    <row r="721" customFormat="false" ht="13.8" hidden="true" customHeight="false" outlineLevel="0" collapsed="false">
      <c r="A721" s="765" t="s">
        <v>2466</v>
      </c>
      <c r="B721" s="779" t="s">
        <v>3940</v>
      </c>
      <c r="C721" s="780" t="s">
        <v>2580</v>
      </c>
      <c r="D721" s="780"/>
      <c r="E721" s="780" t="s">
        <v>77</v>
      </c>
      <c r="F721" s="780" t="s">
        <v>731</v>
      </c>
      <c r="G721" s="779" t="s">
        <v>64</v>
      </c>
      <c r="H721" s="780" t="n">
        <v>22</v>
      </c>
      <c r="I721" s="780" t="s">
        <v>77</v>
      </c>
      <c r="J721" s="780" t="n">
        <v>9</v>
      </c>
      <c r="K721" s="791"/>
      <c r="L721" s="791"/>
      <c r="M721" s="791" t="s">
        <v>731</v>
      </c>
      <c r="N721" s="791" t="n">
        <v>1</v>
      </c>
      <c r="O721" s="791" t="s">
        <v>2543</v>
      </c>
    </row>
    <row r="722" customFormat="false" ht="13.8" hidden="true" customHeight="false" outlineLevel="0" collapsed="false">
      <c r="A722" s="765" t="s">
        <v>2467</v>
      </c>
      <c r="B722" s="779" t="s">
        <v>3941</v>
      </c>
      <c r="C722" s="780" t="s">
        <v>2580</v>
      </c>
      <c r="D722" s="780"/>
      <c r="E722" s="780" t="s">
        <v>77</v>
      </c>
      <c r="F722" s="780" t="s">
        <v>626</v>
      </c>
      <c r="G722" s="779" t="s">
        <v>64</v>
      </c>
      <c r="H722" s="780" t="n">
        <v>32</v>
      </c>
      <c r="I722" s="780" t="s">
        <v>77</v>
      </c>
      <c r="J722" s="780" t="n">
        <v>9</v>
      </c>
      <c r="K722" s="791"/>
      <c r="L722" s="791"/>
      <c r="M722" s="791" t="s">
        <v>626</v>
      </c>
      <c r="N722" s="791" t="n">
        <v>1</v>
      </c>
      <c r="O722" s="791" t="s">
        <v>2544</v>
      </c>
    </row>
    <row r="723" customFormat="false" ht="13.8" hidden="true" customHeight="false" outlineLevel="0" collapsed="false">
      <c r="A723" s="765" t="s">
        <v>2468</v>
      </c>
      <c r="B723" s="779" t="s">
        <v>3942</v>
      </c>
      <c r="C723" s="780" t="s">
        <v>2580</v>
      </c>
      <c r="D723" s="780"/>
      <c r="E723" s="780" t="s">
        <v>77</v>
      </c>
      <c r="F723" s="780" t="s">
        <v>747</v>
      </c>
      <c r="G723" s="779" t="s">
        <v>64</v>
      </c>
      <c r="H723" s="780" t="n">
        <v>22</v>
      </c>
      <c r="I723" s="780" t="s">
        <v>77</v>
      </c>
      <c r="J723" s="780" t="n">
        <v>9</v>
      </c>
      <c r="K723" s="791"/>
      <c r="L723" s="791"/>
      <c r="M723" s="791" t="s">
        <v>747</v>
      </c>
      <c r="N723" s="791" t="n">
        <v>1</v>
      </c>
      <c r="O723" s="791" t="s">
        <v>2543</v>
      </c>
    </row>
    <row r="724" customFormat="false" ht="13.8" hidden="true" customHeight="false" outlineLevel="0" collapsed="false">
      <c r="A724" s="765" t="s">
        <v>2469</v>
      </c>
      <c r="B724" s="779" t="s">
        <v>3943</v>
      </c>
      <c r="C724" s="780" t="s">
        <v>2580</v>
      </c>
      <c r="D724" s="780"/>
      <c r="E724" s="780" t="s">
        <v>77</v>
      </c>
      <c r="F724" s="780" t="s">
        <v>879</v>
      </c>
      <c r="G724" s="779" t="s">
        <v>64</v>
      </c>
      <c r="H724" s="780" t="n">
        <v>32</v>
      </c>
      <c r="I724" s="780" t="s">
        <v>77</v>
      </c>
      <c r="J724" s="780" t="n">
        <v>9</v>
      </c>
      <c r="K724" s="791"/>
      <c r="L724" s="791"/>
      <c r="M724" s="791" t="s">
        <v>879</v>
      </c>
      <c r="N724" s="791" t="n">
        <v>1</v>
      </c>
      <c r="O724" s="791" t="s">
        <v>2544</v>
      </c>
    </row>
    <row r="725" customFormat="false" ht="13.8" hidden="true" customHeight="false" outlineLevel="0" collapsed="false">
      <c r="A725" s="765" t="s">
        <v>2438</v>
      </c>
      <c r="B725" s="779" t="s">
        <v>3944</v>
      </c>
      <c r="C725" s="780" t="s">
        <v>2580</v>
      </c>
      <c r="D725" s="780" t="n">
        <v>22.7</v>
      </c>
      <c r="E725" s="780" t="s">
        <v>77</v>
      </c>
      <c r="F725" s="780" t="s">
        <v>77</v>
      </c>
      <c r="G725" s="779" t="s">
        <v>71</v>
      </c>
      <c r="H725" s="780" t="n">
        <v>22.7</v>
      </c>
      <c r="I725" s="780" t="s">
        <v>77</v>
      </c>
      <c r="J725" s="780" t="n">
        <v>9.45</v>
      </c>
      <c r="K725" s="791"/>
      <c r="L725" s="791"/>
      <c r="M725" s="791" t="s">
        <v>77</v>
      </c>
      <c r="N725" s="791"/>
      <c r="O725" s="791" t="s">
        <v>2543</v>
      </c>
    </row>
    <row r="726" customFormat="false" ht="13.8" hidden="true" customHeight="false" outlineLevel="0" collapsed="false">
      <c r="A726" s="765" t="s">
        <v>2439</v>
      </c>
      <c r="B726" s="779" t="s">
        <v>3945</v>
      </c>
      <c r="C726" s="780" t="s">
        <v>2580</v>
      </c>
      <c r="D726" s="780" t="n">
        <v>33.13</v>
      </c>
      <c r="E726" s="780" t="s">
        <v>77</v>
      </c>
      <c r="F726" s="780" t="s">
        <v>77</v>
      </c>
      <c r="G726" s="779" t="s">
        <v>71</v>
      </c>
      <c r="H726" s="780" t="n">
        <v>33.13</v>
      </c>
      <c r="I726" s="780" t="s">
        <v>77</v>
      </c>
      <c r="J726" s="780" t="n">
        <v>9.45</v>
      </c>
      <c r="K726" s="791"/>
      <c r="L726" s="791"/>
      <c r="M726" s="791" t="s">
        <v>77</v>
      </c>
      <c r="N726" s="791"/>
      <c r="O726" s="791" t="s">
        <v>2544</v>
      </c>
    </row>
    <row r="727" customFormat="false" ht="13.8" hidden="true" customHeight="false" outlineLevel="0" collapsed="false">
      <c r="A727" s="765" t="s">
        <v>2470</v>
      </c>
      <c r="B727" s="779" t="s">
        <v>3946</v>
      </c>
      <c r="C727" s="780" t="s">
        <v>2580</v>
      </c>
      <c r="D727" s="780"/>
      <c r="E727" s="780" t="s">
        <v>77</v>
      </c>
      <c r="F727" s="780" t="s">
        <v>2438</v>
      </c>
      <c r="G727" s="779" t="s">
        <v>64</v>
      </c>
      <c r="H727" s="780" t="n">
        <v>22</v>
      </c>
      <c r="I727" s="780" t="s">
        <v>77</v>
      </c>
      <c r="J727" s="780" t="n">
        <v>9</v>
      </c>
      <c r="K727" s="791"/>
      <c r="L727" s="791"/>
      <c r="M727" s="791" t="s">
        <v>2438</v>
      </c>
      <c r="N727" s="791" t="n">
        <v>1</v>
      </c>
      <c r="O727" s="791" t="s">
        <v>2543</v>
      </c>
    </row>
    <row r="728" customFormat="false" ht="13.8" hidden="true" customHeight="false" outlineLevel="0" collapsed="false">
      <c r="A728" s="765" t="s">
        <v>2471</v>
      </c>
      <c r="B728" s="779" t="s">
        <v>3947</v>
      </c>
      <c r="C728" s="780" t="s">
        <v>2580</v>
      </c>
      <c r="D728" s="780"/>
      <c r="E728" s="780" t="s">
        <v>77</v>
      </c>
      <c r="F728" s="780" t="s">
        <v>2439</v>
      </c>
      <c r="G728" s="779" t="s">
        <v>64</v>
      </c>
      <c r="H728" s="780" t="n">
        <v>32</v>
      </c>
      <c r="I728" s="780" t="s">
        <v>77</v>
      </c>
      <c r="J728" s="780" t="n">
        <v>9</v>
      </c>
      <c r="K728" s="791"/>
      <c r="L728" s="791"/>
      <c r="M728" s="791" t="s">
        <v>2439</v>
      </c>
      <c r="N728" s="791" t="n">
        <v>1</v>
      </c>
      <c r="O728" s="791" t="s">
        <v>2544</v>
      </c>
    </row>
    <row r="729" customFormat="false" ht="13.8" hidden="true" customHeight="false" outlineLevel="0" collapsed="false">
      <c r="A729" s="765" t="s">
        <v>2472</v>
      </c>
      <c r="B729" s="779" t="s">
        <v>3948</v>
      </c>
      <c r="C729" s="780" t="s">
        <v>2580</v>
      </c>
      <c r="D729" s="780"/>
      <c r="E729" s="780" t="s">
        <v>83</v>
      </c>
      <c r="F729" s="780" t="s">
        <v>235</v>
      </c>
      <c r="G729" s="779" t="s">
        <v>64</v>
      </c>
      <c r="H729" s="780" t="n">
        <v>28</v>
      </c>
      <c r="I729" s="780" t="s">
        <v>2392</v>
      </c>
      <c r="J729" s="780" t="n">
        <v>6</v>
      </c>
      <c r="K729" s="791"/>
      <c r="L729" s="791"/>
      <c r="M729" s="791" t="s">
        <v>235</v>
      </c>
      <c r="N729" s="791" t="n">
        <v>1</v>
      </c>
      <c r="O729" s="791" t="s">
        <v>3949</v>
      </c>
    </row>
    <row r="730" customFormat="false" ht="13.8" hidden="true" customHeight="false" outlineLevel="0" collapsed="false">
      <c r="A730" s="765" t="s">
        <v>758</v>
      </c>
      <c r="B730" s="779" t="s">
        <v>2315</v>
      </c>
      <c r="C730" s="780" t="s">
        <v>2580</v>
      </c>
      <c r="D730" s="780"/>
      <c r="E730" s="780" t="s">
        <v>77</v>
      </c>
      <c r="F730" s="780" t="s">
        <v>1352</v>
      </c>
      <c r="G730" s="779" t="s">
        <v>64</v>
      </c>
      <c r="H730" s="780" t="n">
        <v>22</v>
      </c>
      <c r="I730" s="780" t="s">
        <v>77</v>
      </c>
      <c r="J730" s="780" t="n">
        <v>9</v>
      </c>
      <c r="K730" s="791"/>
      <c r="L730" s="791"/>
      <c r="M730" s="791" t="s">
        <v>1352</v>
      </c>
      <c r="N730" s="791" t="n">
        <v>1</v>
      </c>
      <c r="O730" s="791" t="s">
        <v>2540</v>
      </c>
    </row>
    <row r="731" customFormat="false" ht="13.8" hidden="true" customHeight="false" outlineLevel="0" collapsed="false">
      <c r="A731" s="765" t="s">
        <v>267</v>
      </c>
      <c r="B731" s="779" t="s">
        <v>2368</v>
      </c>
      <c r="C731" s="780" t="s">
        <v>2580</v>
      </c>
      <c r="D731" s="780"/>
      <c r="E731" s="780" t="s">
        <v>77</v>
      </c>
      <c r="F731" s="780" t="s">
        <v>215</v>
      </c>
      <c r="G731" s="779" t="s">
        <v>64</v>
      </c>
      <c r="H731" s="780" t="n">
        <v>28</v>
      </c>
      <c r="I731" s="780" t="s">
        <v>77</v>
      </c>
      <c r="J731" s="780" t="n">
        <v>9</v>
      </c>
      <c r="K731" s="791"/>
      <c r="L731" s="791"/>
      <c r="M731" s="791" t="s">
        <v>215</v>
      </c>
      <c r="N731" s="791" t="n">
        <v>1</v>
      </c>
      <c r="O731" s="791" t="s">
        <v>2541</v>
      </c>
    </row>
    <row r="732" customFormat="false" ht="13.8" hidden="true" customHeight="false" outlineLevel="0" collapsed="false">
      <c r="A732" s="765" t="s">
        <v>387</v>
      </c>
      <c r="B732" s="779" t="s">
        <v>2316</v>
      </c>
      <c r="C732" s="780" t="s">
        <v>2580</v>
      </c>
      <c r="D732" s="780"/>
      <c r="E732" s="780" t="s">
        <v>77</v>
      </c>
      <c r="F732" s="780" t="s">
        <v>72</v>
      </c>
      <c r="G732" s="779" t="s">
        <v>64</v>
      </c>
      <c r="H732" s="780" t="n">
        <v>32</v>
      </c>
      <c r="I732" s="780" t="s">
        <v>77</v>
      </c>
      <c r="J732" s="780" t="n">
        <v>9</v>
      </c>
      <c r="K732" s="791"/>
      <c r="L732" s="791"/>
      <c r="M732" s="791" t="s">
        <v>72</v>
      </c>
      <c r="N732" s="791" t="n">
        <v>1</v>
      </c>
      <c r="O732" s="791" t="s">
        <v>2542</v>
      </c>
    </row>
    <row r="733" customFormat="false" ht="13.8" hidden="true" customHeight="false" outlineLevel="0" collapsed="false">
      <c r="A733" s="765" t="s">
        <v>2473</v>
      </c>
      <c r="B733" s="779" t="s">
        <v>3950</v>
      </c>
      <c r="C733" s="780" t="s">
        <v>2580</v>
      </c>
      <c r="D733" s="780"/>
      <c r="E733" s="780" t="s">
        <v>77</v>
      </c>
      <c r="F733" s="780" t="s">
        <v>731</v>
      </c>
      <c r="G733" s="779" t="s">
        <v>64</v>
      </c>
      <c r="H733" s="780" t="n">
        <v>22</v>
      </c>
      <c r="I733" s="780" t="s">
        <v>77</v>
      </c>
      <c r="J733" s="780" t="n">
        <v>9</v>
      </c>
      <c r="K733" s="791"/>
      <c r="L733" s="791"/>
      <c r="M733" s="791" t="s">
        <v>731</v>
      </c>
      <c r="N733" s="791" t="n">
        <v>1</v>
      </c>
      <c r="O733" s="791" t="s">
        <v>2543</v>
      </c>
    </row>
    <row r="734" customFormat="false" ht="13.8" hidden="true" customHeight="false" outlineLevel="0" collapsed="false">
      <c r="A734" s="765" t="s">
        <v>2474</v>
      </c>
      <c r="B734" s="779" t="s">
        <v>3951</v>
      </c>
      <c r="C734" s="780" t="s">
        <v>2580</v>
      </c>
      <c r="D734" s="780"/>
      <c r="E734" s="780" t="s">
        <v>77</v>
      </c>
      <c r="F734" s="780" t="s">
        <v>626</v>
      </c>
      <c r="G734" s="779" t="s">
        <v>64</v>
      </c>
      <c r="H734" s="780" t="n">
        <v>32</v>
      </c>
      <c r="I734" s="780" t="s">
        <v>77</v>
      </c>
      <c r="J734" s="780" t="n">
        <v>9</v>
      </c>
      <c r="K734" s="791"/>
      <c r="L734" s="791"/>
      <c r="M734" s="791" t="s">
        <v>626</v>
      </c>
      <c r="N734" s="791" t="n">
        <v>1</v>
      </c>
      <c r="O734" s="791" t="s">
        <v>2544</v>
      </c>
    </row>
    <row r="735" customFormat="false" ht="13.8" hidden="true" customHeight="false" outlineLevel="0" collapsed="false">
      <c r="A735" s="765" t="s">
        <v>803</v>
      </c>
      <c r="B735" s="779" t="s">
        <v>2342</v>
      </c>
      <c r="C735" s="780" t="s">
        <v>2580</v>
      </c>
      <c r="D735" s="780"/>
      <c r="E735" s="780" t="s">
        <v>77</v>
      </c>
      <c r="F735" s="780" t="s">
        <v>731</v>
      </c>
      <c r="G735" s="779" t="s">
        <v>64</v>
      </c>
      <c r="H735" s="780" t="n">
        <v>22</v>
      </c>
      <c r="I735" s="780" t="s">
        <v>77</v>
      </c>
      <c r="J735" s="780" t="n">
        <v>9</v>
      </c>
      <c r="K735" s="791"/>
      <c r="L735" s="791"/>
      <c r="M735" s="791" t="s">
        <v>731</v>
      </c>
      <c r="N735" s="791" t="n">
        <v>1</v>
      </c>
      <c r="O735" s="791" t="s">
        <v>2543</v>
      </c>
    </row>
    <row r="736" customFormat="false" ht="13.8" hidden="true" customHeight="false" outlineLevel="0" collapsed="false">
      <c r="A736" s="765" t="s">
        <v>616</v>
      </c>
      <c r="B736" s="779" t="s">
        <v>2318</v>
      </c>
      <c r="C736" s="780" t="s">
        <v>2580</v>
      </c>
      <c r="D736" s="780"/>
      <c r="E736" s="780" t="s">
        <v>77</v>
      </c>
      <c r="F736" s="780" t="s">
        <v>865</v>
      </c>
      <c r="G736" s="779" t="s">
        <v>64</v>
      </c>
      <c r="H736" s="780" t="n">
        <v>33</v>
      </c>
      <c r="I736" s="780" t="s">
        <v>77</v>
      </c>
      <c r="J736" s="780" t="n">
        <v>9</v>
      </c>
      <c r="K736" s="791"/>
      <c r="L736" s="791"/>
      <c r="M736" s="791" t="s">
        <v>865</v>
      </c>
      <c r="N736" s="791" t="n">
        <v>1</v>
      </c>
      <c r="O736" s="791" t="s">
        <v>2544</v>
      </c>
    </row>
    <row r="737" customFormat="false" ht="13.8" hidden="true" customHeight="false" outlineLevel="0" collapsed="false">
      <c r="A737" s="765" t="s">
        <v>608</v>
      </c>
      <c r="B737" s="779" t="s">
        <v>2343</v>
      </c>
      <c r="C737" s="780" t="s">
        <v>2580</v>
      </c>
      <c r="D737" s="780"/>
      <c r="E737" s="780" t="s">
        <v>77</v>
      </c>
      <c r="F737" s="780" t="s">
        <v>747</v>
      </c>
      <c r="G737" s="779" t="s">
        <v>64</v>
      </c>
      <c r="H737" s="780" t="n">
        <v>22</v>
      </c>
      <c r="I737" s="780" t="s">
        <v>77</v>
      </c>
      <c r="J737" s="780" t="n">
        <v>9</v>
      </c>
      <c r="K737" s="791"/>
      <c r="L737" s="791"/>
      <c r="M737" s="791" t="s">
        <v>747</v>
      </c>
      <c r="N737" s="791" t="n">
        <v>1</v>
      </c>
      <c r="O737" s="791" t="s">
        <v>2543</v>
      </c>
    </row>
    <row r="738" customFormat="false" ht="13.8" hidden="true" customHeight="false" outlineLevel="0" collapsed="false">
      <c r="A738" s="765" t="s">
        <v>1289</v>
      </c>
      <c r="B738" s="779" t="s">
        <v>2345</v>
      </c>
      <c r="C738" s="780" t="s">
        <v>2580</v>
      </c>
      <c r="D738" s="780"/>
      <c r="E738" s="780" t="s">
        <v>77</v>
      </c>
      <c r="F738" s="780" t="s">
        <v>879</v>
      </c>
      <c r="G738" s="779" t="s">
        <v>64</v>
      </c>
      <c r="H738" s="780" t="n">
        <v>33</v>
      </c>
      <c r="I738" s="780" t="s">
        <v>77</v>
      </c>
      <c r="J738" s="780" t="n">
        <v>9</v>
      </c>
      <c r="K738" s="791"/>
      <c r="L738" s="791"/>
      <c r="M738" s="791" t="s">
        <v>879</v>
      </c>
      <c r="N738" s="791" t="n">
        <v>1</v>
      </c>
      <c r="O738" s="791" t="s">
        <v>2544</v>
      </c>
    </row>
    <row r="739" customFormat="false" ht="13.8" hidden="true" customHeight="false" outlineLevel="0" collapsed="false">
      <c r="A739" s="765" t="s">
        <v>654</v>
      </c>
      <c r="B739" s="779" t="s">
        <v>2350</v>
      </c>
      <c r="C739" s="780" t="s">
        <v>2580</v>
      </c>
      <c r="D739" s="780"/>
      <c r="E739" s="780" t="s">
        <v>77</v>
      </c>
      <c r="F739" s="780" t="s">
        <v>731</v>
      </c>
      <c r="G739" s="779" t="s">
        <v>64</v>
      </c>
      <c r="H739" s="780" t="n">
        <v>22</v>
      </c>
      <c r="I739" s="780" t="s">
        <v>77</v>
      </c>
      <c r="J739" s="780" t="n">
        <v>9</v>
      </c>
      <c r="K739" s="791"/>
      <c r="L739" s="791"/>
      <c r="M739" s="791" t="s">
        <v>731</v>
      </c>
      <c r="N739" s="791" t="n">
        <v>1</v>
      </c>
      <c r="O739" s="791" t="s">
        <v>2543</v>
      </c>
    </row>
    <row r="740" customFormat="false" ht="13.8" hidden="true" customHeight="false" outlineLevel="0" collapsed="false">
      <c r="A740" s="765" t="s">
        <v>1660</v>
      </c>
      <c r="B740" s="779" t="s">
        <v>2363</v>
      </c>
      <c r="C740" s="780" t="s">
        <v>2580</v>
      </c>
      <c r="D740" s="780"/>
      <c r="E740" s="780" t="s">
        <v>77</v>
      </c>
      <c r="F740" s="780" t="s">
        <v>879</v>
      </c>
      <c r="G740" s="779" t="s">
        <v>64</v>
      </c>
      <c r="H740" s="780" t="n">
        <v>33</v>
      </c>
      <c r="I740" s="780" t="s">
        <v>77</v>
      </c>
      <c r="J740" s="780" t="n">
        <v>9</v>
      </c>
      <c r="K740" s="791"/>
      <c r="L740" s="791"/>
      <c r="M740" s="791" t="s">
        <v>879</v>
      </c>
      <c r="N740" s="791" t="n">
        <v>1</v>
      </c>
      <c r="O740" s="791" t="s">
        <v>2544</v>
      </c>
    </row>
    <row r="741" customFormat="false" ht="13.8" hidden="true" customHeight="false" outlineLevel="0" collapsed="false">
      <c r="A741" s="765" t="s">
        <v>1326</v>
      </c>
      <c r="B741" s="779" t="s">
        <v>2349</v>
      </c>
      <c r="C741" s="780" t="s">
        <v>2580</v>
      </c>
      <c r="D741" s="780"/>
      <c r="E741" s="780" t="s">
        <v>77</v>
      </c>
      <c r="F741" s="780" t="s">
        <v>747</v>
      </c>
      <c r="G741" s="779" t="s">
        <v>64</v>
      </c>
      <c r="H741" s="780" t="n">
        <v>22</v>
      </c>
      <c r="I741" s="780" t="s">
        <v>77</v>
      </c>
      <c r="J741" s="780" t="n">
        <v>9</v>
      </c>
      <c r="K741" s="791"/>
      <c r="L741" s="791"/>
      <c r="M741" s="791" t="s">
        <v>747</v>
      </c>
      <c r="N741" s="791" t="n">
        <v>1</v>
      </c>
      <c r="O741" s="791" t="s">
        <v>2543</v>
      </c>
    </row>
    <row r="742" customFormat="false" ht="13.8" hidden="true" customHeight="false" outlineLevel="0" collapsed="false">
      <c r="A742" s="765" t="s">
        <v>1323</v>
      </c>
      <c r="B742" s="779" t="s">
        <v>2348</v>
      </c>
      <c r="C742" s="780" t="s">
        <v>2580</v>
      </c>
      <c r="D742" s="780"/>
      <c r="E742" s="780" t="s">
        <v>77</v>
      </c>
      <c r="F742" s="780" t="s">
        <v>879</v>
      </c>
      <c r="G742" s="779" t="s">
        <v>64</v>
      </c>
      <c r="H742" s="780" t="n">
        <v>33</v>
      </c>
      <c r="I742" s="780" t="s">
        <v>77</v>
      </c>
      <c r="J742" s="780" t="n">
        <v>9</v>
      </c>
      <c r="K742" s="791"/>
      <c r="L742" s="791"/>
      <c r="M742" s="791" t="s">
        <v>879</v>
      </c>
      <c r="N742" s="791" t="n">
        <v>1</v>
      </c>
      <c r="O742" s="791" t="s">
        <v>2544</v>
      </c>
    </row>
    <row r="743" customFormat="false" ht="13.8" hidden="true" customHeight="false" outlineLevel="0" collapsed="false">
      <c r="A743" s="765" t="s">
        <v>650</v>
      </c>
      <c r="B743" s="779" t="s">
        <v>2354</v>
      </c>
      <c r="C743" s="780" t="s">
        <v>2580</v>
      </c>
      <c r="D743" s="780"/>
      <c r="E743" s="780" t="s">
        <v>77</v>
      </c>
      <c r="F743" s="780" t="s">
        <v>731</v>
      </c>
      <c r="G743" s="779" t="s">
        <v>64</v>
      </c>
      <c r="H743" s="780" t="n">
        <v>22</v>
      </c>
      <c r="I743" s="780" t="s">
        <v>77</v>
      </c>
      <c r="J743" s="780" t="n">
        <v>9</v>
      </c>
      <c r="K743" s="791"/>
      <c r="L743" s="791"/>
      <c r="M743" s="791" t="s">
        <v>731</v>
      </c>
      <c r="N743" s="791" t="n">
        <v>1</v>
      </c>
      <c r="O743" s="791" t="s">
        <v>2543</v>
      </c>
    </row>
    <row r="744" customFormat="false" ht="13.8" hidden="true" customHeight="false" outlineLevel="0" collapsed="false">
      <c r="A744" s="765" t="s">
        <v>646</v>
      </c>
      <c r="B744" s="779" t="s">
        <v>2355</v>
      </c>
      <c r="C744" s="780" t="s">
        <v>2580</v>
      </c>
      <c r="D744" s="780"/>
      <c r="E744" s="780" t="s">
        <v>77</v>
      </c>
      <c r="F744" s="780" t="s">
        <v>626</v>
      </c>
      <c r="G744" s="779" t="s">
        <v>64</v>
      </c>
      <c r="H744" s="780" t="n">
        <v>33</v>
      </c>
      <c r="I744" s="780" t="s">
        <v>77</v>
      </c>
      <c r="J744" s="780" t="n">
        <v>9</v>
      </c>
      <c r="K744" s="791"/>
      <c r="L744" s="791"/>
      <c r="M744" s="791" t="s">
        <v>626</v>
      </c>
      <c r="N744" s="791" t="n">
        <v>1</v>
      </c>
      <c r="O744" s="791" t="s">
        <v>2544</v>
      </c>
    </row>
    <row r="745" customFormat="false" ht="13.8" hidden="true" customHeight="false" outlineLevel="0" collapsed="false">
      <c r="A745" s="765" t="s">
        <v>761</v>
      </c>
      <c r="B745" s="779" t="s">
        <v>3952</v>
      </c>
      <c r="C745" s="780" t="s">
        <v>2580</v>
      </c>
      <c r="D745" s="780"/>
      <c r="E745" s="780" t="s">
        <v>77</v>
      </c>
      <c r="F745" s="780" t="s">
        <v>747</v>
      </c>
      <c r="G745" s="779" t="s">
        <v>64</v>
      </c>
      <c r="H745" s="780" t="n">
        <v>22</v>
      </c>
      <c r="I745" s="780" t="s">
        <v>77</v>
      </c>
      <c r="J745" s="780" t="n">
        <v>9</v>
      </c>
      <c r="K745" s="791"/>
      <c r="L745" s="791"/>
      <c r="M745" s="791" t="s">
        <v>747</v>
      </c>
      <c r="N745" s="791" t="n">
        <v>1</v>
      </c>
      <c r="O745" s="791" t="s">
        <v>2543</v>
      </c>
    </row>
    <row r="746" customFormat="false" ht="13.8" hidden="true" customHeight="false" outlineLevel="0" collapsed="false">
      <c r="A746" s="765" t="s">
        <v>1359</v>
      </c>
      <c r="B746" s="779" t="s">
        <v>2356</v>
      </c>
      <c r="C746" s="780" t="s">
        <v>2580</v>
      </c>
      <c r="D746" s="780"/>
      <c r="E746" s="780" t="s">
        <v>77</v>
      </c>
      <c r="F746" s="780" t="s">
        <v>879</v>
      </c>
      <c r="G746" s="779" t="s">
        <v>64</v>
      </c>
      <c r="H746" s="780" t="n">
        <v>33</v>
      </c>
      <c r="I746" s="780" t="s">
        <v>77</v>
      </c>
      <c r="J746" s="780" t="n">
        <v>9</v>
      </c>
      <c r="K746" s="791"/>
      <c r="L746" s="791"/>
      <c r="M746" s="791" t="s">
        <v>879</v>
      </c>
      <c r="N746" s="791" t="n">
        <v>1</v>
      </c>
      <c r="O746" s="791" t="s">
        <v>2544</v>
      </c>
    </row>
    <row r="747" customFormat="false" ht="13.8" hidden="false" customHeight="false" outlineLevel="0" collapsed="false">
      <c r="A747" s="765" t="s">
        <v>297</v>
      </c>
      <c r="B747" s="779" t="s">
        <v>2351</v>
      </c>
      <c r="C747" s="780" t="s">
        <v>2500</v>
      </c>
      <c r="D747" s="781"/>
      <c r="E747" s="781" t="s">
        <v>2393</v>
      </c>
      <c r="F747" s="781" t="s">
        <v>444</v>
      </c>
      <c r="G747" s="782" t="s">
        <v>2388</v>
      </c>
      <c r="H747" s="781" t="n">
        <v>6.8</v>
      </c>
      <c r="I747" s="781" t="s">
        <v>2393</v>
      </c>
      <c r="J747" s="780" t="n">
        <v>5</v>
      </c>
      <c r="K747" s="793"/>
      <c r="L747" s="793"/>
      <c r="M747" s="793"/>
      <c r="N747" s="793"/>
      <c r="O747" s="793" t="s">
        <v>2548</v>
      </c>
    </row>
    <row r="748" customFormat="false" ht="13.8" hidden="false" customHeight="false" outlineLevel="0" collapsed="false">
      <c r="A748" s="765" t="s">
        <v>182</v>
      </c>
      <c r="B748" s="779" t="s">
        <v>2327</v>
      </c>
      <c r="C748" s="780" t="s">
        <v>2500</v>
      </c>
      <c r="D748" s="781"/>
      <c r="E748" s="781" t="s">
        <v>2393</v>
      </c>
      <c r="F748" s="781" t="s">
        <v>932</v>
      </c>
      <c r="G748" s="782" t="s">
        <v>2388</v>
      </c>
      <c r="H748" s="781" t="n">
        <v>6.8</v>
      </c>
      <c r="I748" s="781" t="s">
        <v>2393</v>
      </c>
      <c r="J748" s="780" t="n">
        <v>5</v>
      </c>
      <c r="K748" s="793"/>
      <c r="L748" s="793"/>
      <c r="M748" s="793"/>
      <c r="N748" s="793"/>
      <c r="O748" s="793" t="s">
        <v>2549</v>
      </c>
    </row>
    <row r="749" customFormat="false" ht="13.8" hidden="false" customHeight="false" outlineLevel="0" collapsed="false">
      <c r="A749" s="765" t="s">
        <v>688</v>
      </c>
      <c r="B749" s="779" t="s">
        <v>2308</v>
      </c>
      <c r="C749" s="780" t="s">
        <v>2500</v>
      </c>
      <c r="D749" s="781"/>
      <c r="E749" s="781" t="s">
        <v>2393</v>
      </c>
      <c r="F749" s="781" t="s">
        <v>681</v>
      </c>
      <c r="G749" s="782" t="s">
        <v>2388</v>
      </c>
      <c r="H749" s="781" t="n">
        <v>6.8</v>
      </c>
      <c r="I749" s="781" t="s">
        <v>2393</v>
      </c>
      <c r="J749" s="780" t="n">
        <v>5</v>
      </c>
      <c r="K749" s="793"/>
      <c r="L749" s="793"/>
      <c r="M749" s="793"/>
      <c r="N749" s="793"/>
      <c r="O749" s="793" t="s">
        <v>2550</v>
      </c>
    </row>
    <row r="750" customFormat="false" ht="13.8" hidden="false" customHeight="false" outlineLevel="0" collapsed="false">
      <c r="A750" s="765" t="s">
        <v>901</v>
      </c>
      <c r="B750" s="779" t="s">
        <v>2323</v>
      </c>
      <c r="C750" s="780" t="s">
        <v>2500</v>
      </c>
      <c r="D750" s="781"/>
      <c r="E750" s="781" t="s">
        <v>2393</v>
      </c>
      <c r="F750" s="781" t="s">
        <v>885</v>
      </c>
      <c r="G750" s="782" t="s">
        <v>2388</v>
      </c>
      <c r="H750" s="781" t="n">
        <v>6.8</v>
      </c>
      <c r="I750" s="781" t="s">
        <v>2393</v>
      </c>
      <c r="J750" s="780" t="n">
        <v>5</v>
      </c>
      <c r="K750" s="793"/>
      <c r="L750" s="793"/>
      <c r="M750" s="793"/>
      <c r="N750" s="793"/>
      <c r="O750" s="793" t="s">
        <v>2551</v>
      </c>
    </row>
    <row r="751" customFormat="false" ht="13.8" hidden="true" customHeight="false" outlineLevel="0" collapsed="false">
      <c r="A751" s="774" t="s">
        <v>2001</v>
      </c>
      <c r="B751" s="779" t="s">
        <v>2369</v>
      </c>
      <c r="C751" s="780" t="s">
        <v>2580</v>
      </c>
      <c r="D751" s="776" t="n">
        <v>17.015</v>
      </c>
      <c r="E751" s="780" t="s">
        <v>3902</v>
      </c>
      <c r="F751" s="780" t="s">
        <v>2392</v>
      </c>
      <c r="G751" s="779" t="s">
        <v>71</v>
      </c>
      <c r="H751" s="776" t="n">
        <v>17.015</v>
      </c>
      <c r="I751" s="776" t="s">
        <v>2392</v>
      </c>
      <c r="J751" s="776" t="n">
        <v>15</v>
      </c>
      <c r="K751" s="791"/>
      <c r="L751" s="791"/>
      <c r="M751" s="791"/>
      <c r="N751" s="791"/>
      <c r="O751" s="791" t="s">
        <v>2442</v>
      </c>
    </row>
    <row r="752" customFormat="false" ht="13.8" hidden="true" customHeight="false" outlineLevel="0" collapsed="false">
      <c r="A752" s="774" t="s">
        <v>204</v>
      </c>
      <c r="B752" s="779" t="s">
        <v>2371</v>
      </c>
      <c r="C752" s="780" t="s">
        <v>2580</v>
      </c>
      <c r="D752" s="776" t="n">
        <v>17.015</v>
      </c>
      <c r="E752" s="780" t="s">
        <v>3902</v>
      </c>
      <c r="F752" s="780" t="s">
        <v>2001</v>
      </c>
      <c r="G752" s="779" t="s">
        <v>64</v>
      </c>
      <c r="H752" s="776" t="n">
        <v>17.015</v>
      </c>
      <c r="I752" s="776" t="s">
        <v>2392</v>
      </c>
      <c r="J752" s="776" t="n">
        <v>12</v>
      </c>
      <c r="K752" s="791"/>
      <c r="L752" s="791"/>
      <c r="M752" s="780" t="s">
        <v>2001</v>
      </c>
      <c r="N752" s="791" t="n">
        <v>1</v>
      </c>
      <c r="O752" s="791" t="s">
        <v>2442</v>
      </c>
    </row>
    <row r="753" customFormat="false" ht="13.8" hidden="true" customHeight="false" outlineLevel="0" collapsed="false">
      <c r="A753" s="774" t="s">
        <v>2152</v>
      </c>
      <c r="B753" s="779" t="s">
        <v>2372</v>
      </c>
      <c r="C753" s="780" t="s">
        <v>2580</v>
      </c>
      <c r="D753" s="776" t="n">
        <v>17.015</v>
      </c>
      <c r="E753" s="780" t="s">
        <v>3902</v>
      </c>
      <c r="F753" s="780" t="s">
        <v>2001</v>
      </c>
      <c r="G753" s="779" t="s">
        <v>64</v>
      </c>
      <c r="H753" s="776" t="n">
        <v>17.015</v>
      </c>
      <c r="I753" s="776" t="s">
        <v>2392</v>
      </c>
      <c r="J753" s="776" t="n">
        <v>12</v>
      </c>
      <c r="K753" s="791"/>
      <c r="L753" s="791"/>
      <c r="M753" s="780" t="s">
        <v>2001</v>
      </c>
      <c r="N753" s="791" t="n">
        <v>1</v>
      </c>
      <c r="O753" s="791" t="s">
        <v>2442</v>
      </c>
    </row>
    <row r="754" customFormat="false" ht="13.8" hidden="true" customHeight="false" outlineLevel="0" collapsed="false">
      <c r="A754" s="774" t="s">
        <v>2180</v>
      </c>
      <c r="B754" s="779" t="s">
        <v>2373</v>
      </c>
      <c r="C754" s="780" t="s">
        <v>2580</v>
      </c>
      <c r="D754" s="776" t="n">
        <v>17.015</v>
      </c>
      <c r="E754" s="780" t="s">
        <v>3902</v>
      </c>
      <c r="F754" s="780" t="s">
        <v>2001</v>
      </c>
      <c r="G754" s="779" t="s">
        <v>64</v>
      </c>
      <c r="H754" s="776" t="n">
        <v>17.015</v>
      </c>
      <c r="I754" s="776" t="s">
        <v>2392</v>
      </c>
      <c r="J754" s="776" t="n">
        <v>12</v>
      </c>
      <c r="K754" s="791"/>
      <c r="L754" s="791"/>
      <c r="M754" s="780" t="s">
        <v>2001</v>
      </c>
      <c r="N754" s="791" t="n">
        <v>1</v>
      </c>
      <c r="O754" s="791" t="s">
        <v>2442</v>
      </c>
    </row>
    <row r="755" customFormat="false" ht="13.8" hidden="true" customHeight="false" outlineLevel="0" collapsed="false">
      <c r="A755" s="774" t="s">
        <v>594</v>
      </c>
      <c r="B755" s="775" t="s">
        <v>3953</v>
      </c>
      <c r="C755" s="776" t="s">
        <v>2580</v>
      </c>
      <c r="D755" s="776"/>
      <c r="E755" s="780" t="s">
        <v>3902</v>
      </c>
      <c r="F755" s="776" t="s">
        <v>78</v>
      </c>
      <c r="G755" s="779" t="s">
        <v>64</v>
      </c>
      <c r="H755" s="776"/>
      <c r="I755" s="776" t="s">
        <v>2392</v>
      </c>
      <c r="J755" s="776" t="n">
        <v>9</v>
      </c>
      <c r="K755" s="791"/>
      <c r="L755" s="791"/>
      <c r="M755" s="776" t="s">
        <v>78</v>
      </c>
      <c r="N755" s="791" t="n">
        <v>1</v>
      </c>
      <c r="O755" s="791" t="s">
        <v>2443</v>
      </c>
    </row>
    <row r="756" customFormat="false" ht="13.8" hidden="true" customHeight="false" outlineLevel="0" collapsed="false">
      <c r="A756" s="774" t="s">
        <v>547</v>
      </c>
      <c r="B756" s="775" t="s">
        <v>2374</v>
      </c>
      <c r="C756" s="776" t="s">
        <v>2580</v>
      </c>
      <c r="D756" s="776" t="n">
        <v>32</v>
      </c>
      <c r="E756" s="780" t="s">
        <v>3902</v>
      </c>
      <c r="F756" s="776" t="s">
        <v>572</v>
      </c>
      <c r="G756" s="779" t="s">
        <v>64</v>
      </c>
      <c r="H756" s="776"/>
      <c r="I756" s="776" t="s">
        <v>2392</v>
      </c>
      <c r="J756" s="776" t="n">
        <v>9</v>
      </c>
      <c r="K756" s="791"/>
      <c r="L756" s="791"/>
      <c r="M756" s="776" t="s">
        <v>572</v>
      </c>
      <c r="N756" s="791" t="n">
        <v>1</v>
      </c>
      <c r="O756" s="791" t="s">
        <v>2444</v>
      </c>
    </row>
    <row r="757" customFormat="false" ht="13.8" hidden="true" customHeight="false" outlineLevel="0" collapsed="false">
      <c r="A757" s="774" t="s">
        <v>1684</v>
      </c>
      <c r="B757" s="775" t="s">
        <v>2366</v>
      </c>
      <c r="C757" s="776" t="s">
        <v>2580</v>
      </c>
      <c r="D757" s="776"/>
      <c r="E757" s="780" t="s">
        <v>3902</v>
      </c>
      <c r="F757" s="776" t="s">
        <v>78</v>
      </c>
      <c r="G757" s="779" t="s">
        <v>64</v>
      </c>
      <c r="H757" s="776"/>
      <c r="I757" s="776" t="s">
        <v>2392</v>
      </c>
      <c r="J757" s="776" t="n">
        <v>9</v>
      </c>
      <c r="K757" s="791"/>
      <c r="L757" s="791"/>
      <c r="M757" s="776" t="s">
        <v>78</v>
      </c>
      <c r="N757" s="791" t="n">
        <v>1</v>
      </c>
      <c r="O757" s="791" t="s">
        <v>2443</v>
      </c>
    </row>
    <row r="758" customFormat="false" ht="13.8" hidden="true" customHeight="false" outlineLevel="0" collapsed="false">
      <c r="A758" s="774" t="s">
        <v>612</v>
      </c>
      <c r="B758" s="775" t="s">
        <v>3954</v>
      </c>
      <c r="C758" s="776" t="s">
        <v>2580</v>
      </c>
      <c r="D758" s="776"/>
      <c r="E758" s="780" t="s">
        <v>3902</v>
      </c>
      <c r="F758" s="776" t="s">
        <v>572</v>
      </c>
      <c r="G758" s="779" t="s">
        <v>64</v>
      </c>
      <c r="H758" s="776"/>
      <c r="I758" s="776" t="s">
        <v>2392</v>
      </c>
      <c r="J758" s="776" t="n">
        <v>9</v>
      </c>
      <c r="K758" s="791"/>
      <c r="L758" s="791"/>
      <c r="M758" s="776" t="s">
        <v>572</v>
      </c>
      <c r="N758" s="791" t="n">
        <v>1</v>
      </c>
      <c r="O758" s="791" t="s">
        <v>2444</v>
      </c>
    </row>
    <row r="759" customFormat="false" ht="13.8" hidden="true" customHeight="false" outlineLevel="0" collapsed="false">
      <c r="A759" s="774" t="s">
        <v>2445</v>
      </c>
      <c r="B759" s="775" t="s">
        <v>3955</v>
      </c>
      <c r="C759" s="776" t="s">
        <v>2580</v>
      </c>
      <c r="D759" s="776"/>
      <c r="E759" s="780" t="s">
        <v>3902</v>
      </c>
      <c r="F759" s="776" t="s">
        <v>78</v>
      </c>
      <c r="G759" s="779" t="s">
        <v>64</v>
      </c>
      <c r="H759" s="776"/>
      <c r="I759" s="776" t="s">
        <v>2392</v>
      </c>
      <c r="J759" s="776" t="n">
        <v>9</v>
      </c>
      <c r="K759" s="791"/>
      <c r="L759" s="791"/>
      <c r="M759" s="776" t="s">
        <v>78</v>
      </c>
      <c r="N759" s="791" t="n">
        <v>1</v>
      </c>
      <c r="O759" s="791" t="s">
        <v>2443</v>
      </c>
    </row>
    <row r="760" customFormat="false" ht="13.8" hidden="true" customHeight="false" outlineLevel="0" collapsed="false">
      <c r="A760" s="774" t="s">
        <v>2446</v>
      </c>
      <c r="B760" s="775" t="s">
        <v>3956</v>
      </c>
      <c r="C760" s="776" t="s">
        <v>2580</v>
      </c>
      <c r="D760" s="776"/>
      <c r="E760" s="780" t="s">
        <v>3902</v>
      </c>
      <c r="F760" s="776" t="s">
        <v>78</v>
      </c>
      <c r="G760" s="779" t="s">
        <v>64</v>
      </c>
      <c r="H760" s="776"/>
      <c r="I760" s="776" t="s">
        <v>2392</v>
      </c>
      <c r="J760" s="776" t="n">
        <v>9</v>
      </c>
      <c r="K760" s="791"/>
      <c r="L760" s="791"/>
      <c r="M760" s="776" t="s">
        <v>78</v>
      </c>
      <c r="N760" s="791" t="n">
        <v>1</v>
      </c>
      <c r="O760" s="791" t="s">
        <v>2443</v>
      </c>
    </row>
    <row r="761" customFormat="false" ht="13.8" hidden="true" customHeight="false" outlineLevel="0" collapsed="false">
      <c r="A761" s="774" t="s">
        <v>2447</v>
      </c>
      <c r="B761" s="775" t="s">
        <v>3957</v>
      </c>
      <c r="C761" s="776" t="s">
        <v>2580</v>
      </c>
      <c r="D761" s="776"/>
      <c r="E761" s="780" t="s">
        <v>3902</v>
      </c>
      <c r="F761" s="776" t="s">
        <v>572</v>
      </c>
      <c r="G761" s="779" t="s">
        <v>64</v>
      </c>
      <c r="H761" s="776"/>
      <c r="I761" s="776" t="s">
        <v>2392</v>
      </c>
      <c r="J761" s="776" t="n">
        <v>9</v>
      </c>
      <c r="K761" s="791"/>
      <c r="L761" s="791"/>
      <c r="M761" s="776" t="s">
        <v>572</v>
      </c>
      <c r="N761" s="791" t="n">
        <v>1</v>
      </c>
      <c r="O761" s="791" t="s">
        <v>2444</v>
      </c>
    </row>
    <row r="762" customFormat="false" ht="13.8" hidden="true" customHeight="false" outlineLevel="0" collapsed="false">
      <c r="A762" s="774" t="s">
        <v>2448</v>
      </c>
      <c r="B762" s="775" t="s">
        <v>3958</v>
      </c>
      <c r="C762" s="776" t="s">
        <v>2580</v>
      </c>
      <c r="D762" s="776" t="n">
        <v>32</v>
      </c>
      <c r="E762" s="780" t="s">
        <v>3902</v>
      </c>
      <c r="F762" s="776" t="s">
        <v>572</v>
      </c>
      <c r="G762" s="779" t="s">
        <v>64</v>
      </c>
      <c r="H762" s="776" t="n">
        <v>32</v>
      </c>
      <c r="I762" s="776" t="s">
        <v>2392</v>
      </c>
      <c r="J762" s="776" t="n">
        <v>9</v>
      </c>
      <c r="K762" s="791"/>
      <c r="L762" s="791"/>
      <c r="M762" s="776" t="s">
        <v>572</v>
      </c>
      <c r="N762" s="791" t="n">
        <v>1</v>
      </c>
      <c r="O762" s="791" t="s">
        <v>2444</v>
      </c>
    </row>
    <row r="763" customFormat="false" ht="13.8" hidden="true" customHeight="false" outlineLevel="0" collapsed="false">
      <c r="A763" s="774" t="s">
        <v>2449</v>
      </c>
      <c r="B763" s="775" t="s">
        <v>3959</v>
      </c>
      <c r="C763" s="776" t="s">
        <v>2580</v>
      </c>
      <c r="D763" s="776"/>
      <c r="E763" s="780" t="s">
        <v>3902</v>
      </c>
      <c r="F763" s="776" t="s">
        <v>2392</v>
      </c>
      <c r="G763" s="779" t="s">
        <v>64</v>
      </c>
      <c r="H763" s="776"/>
      <c r="I763" s="776" t="s">
        <v>2392</v>
      </c>
      <c r="J763" s="776" t="n">
        <v>9</v>
      </c>
      <c r="K763" s="791"/>
      <c r="L763" s="791"/>
      <c r="M763" s="776"/>
      <c r="N763" s="791"/>
      <c r="O763" s="791" t="s">
        <v>2444</v>
      </c>
    </row>
    <row r="764" customFormat="false" ht="13.8" hidden="true" customHeight="false" outlineLevel="0" collapsed="false">
      <c r="A764" s="774" t="s">
        <v>2434</v>
      </c>
      <c r="B764" s="775" t="s">
        <v>2435</v>
      </c>
      <c r="C764" s="776" t="s">
        <v>2580</v>
      </c>
      <c r="D764" s="776" t="n">
        <v>28.1</v>
      </c>
      <c r="E764" s="780" t="s">
        <v>3902</v>
      </c>
      <c r="F764" s="776" t="s">
        <v>2392</v>
      </c>
      <c r="G764" s="779" t="s">
        <v>71</v>
      </c>
      <c r="H764" s="776" t="n">
        <v>28.1</v>
      </c>
      <c r="I764" s="776" t="s">
        <v>2392</v>
      </c>
      <c r="J764" s="776" t="n">
        <v>9</v>
      </c>
      <c r="K764" s="791"/>
      <c r="L764" s="791"/>
      <c r="M764" s="776"/>
      <c r="N764" s="791"/>
      <c r="O764" s="791" t="s">
        <v>2444</v>
      </c>
    </row>
    <row r="765" customFormat="false" ht="13.8" hidden="true" customHeight="false" outlineLevel="0" collapsed="false">
      <c r="A765" s="774" t="n">
        <v>26571</v>
      </c>
      <c r="B765" s="775" t="s">
        <v>3960</v>
      </c>
      <c r="C765" s="776" t="s">
        <v>2580</v>
      </c>
      <c r="D765" s="777"/>
      <c r="E765" s="777" t="s">
        <v>77</v>
      </c>
      <c r="F765" s="777"/>
      <c r="G765" s="778"/>
      <c r="H765" s="777"/>
      <c r="I765" s="777"/>
      <c r="J765" s="776"/>
      <c r="K765" s="793"/>
      <c r="L765" s="793"/>
      <c r="M765" s="768" t="s">
        <v>2463</v>
      </c>
      <c r="N765" s="768" t="n">
        <v>1</v>
      </c>
      <c r="O765" s="793"/>
    </row>
    <row r="766" customFormat="false" ht="13.8" hidden="true" customHeight="false" outlineLevel="0" collapsed="false">
      <c r="A766" s="765" t="s">
        <v>3961</v>
      </c>
      <c r="B766" s="779" t="s">
        <v>3962</v>
      </c>
      <c r="C766" s="780" t="s">
        <v>3963</v>
      </c>
      <c r="D766" s="781"/>
      <c r="E766" s="781"/>
      <c r="F766" s="781"/>
      <c r="G766" s="782"/>
      <c r="H766" s="781"/>
      <c r="I766" s="781"/>
      <c r="J766" s="780"/>
      <c r="K766" s="793"/>
      <c r="L766" s="793"/>
      <c r="O766" s="793"/>
    </row>
    <row r="767" customFormat="false" ht="13.8" hidden="true" customHeight="false" outlineLevel="0" collapsed="false">
      <c r="A767" s="765" t="s">
        <v>3964</v>
      </c>
      <c r="B767" s="779" t="s">
        <v>3965</v>
      </c>
      <c r="C767" s="780"/>
      <c r="D767" s="781"/>
      <c r="E767" s="781"/>
      <c r="F767" s="781"/>
      <c r="G767" s="782"/>
      <c r="H767" s="781"/>
      <c r="I767" s="781"/>
      <c r="J767" s="780"/>
      <c r="K767" s="793"/>
      <c r="L767" s="793"/>
      <c r="O767" s="793"/>
    </row>
    <row r="768" customFormat="false" ht="13.8" hidden="true" customHeight="false" outlineLevel="0" collapsed="false">
      <c r="A768" s="765" t="s">
        <v>3966</v>
      </c>
      <c r="B768" s="779" t="s">
        <v>3412</v>
      </c>
      <c r="C768" s="780"/>
      <c r="D768" s="781"/>
      <c r="E768" s="781"/>
      <c r="F768" s="781"/>
      <c r="G768" s="782"/>
      <c r="H768" s="781"/>
      <c r="I768" s="781"/>
      <c r="J768" s="780"/>
      <c r="K768" s="793"/>
      <c r="L768" s="793"/>
      <c r="O768" s="793"/>
    </row>
    <row r="769" customFormat="false" ht="13.8" hidden="true" customHeight="false" outlineLevel="0" collapsed="false">
      <c r="A769" s="765" t="s">
        <v>3967</v>
      </c>
      <c r="B769" s="779" t="s">
        <v>3968</v>
      </c>
      <c r="C769" s="780"/>
      <c r="D769" s="781"/>
      <c r="E769" s="781"/>
      <c r="F769" s="781"/>
      <c r="G769" s="782"/>
      <c r="H769" s="781"/>
      <c r="I769" s="781"/>
      <c r="J769" s="780"/>
      <c r="K769" s="793"/>
      <c r="L769" s="793"/>
      <c r="O769" s="793"/>
    </row>
    <row r="770" customFormat="false" ht="13.8" hidden="true" customHeight="false" outlineLevel="0" collapsed="false">
      <c r="A770" s="765" t="s">
        <v>3969</v>
      </c>
      <c r="B770" s="779" t="s">
        <v>3970</v>
      </c>
      <c r="C770" s="780"/>
      <c r="D770" s="781"/>
      <c r="E770" s="781"/>
      <c r="F770" s="781"/>
      <c r="G770" s="782"/>
      <c r="H770" s="781"/>
      <c r="I770" s="781"/>
      <c r="J770" s="780"/>
      <c r="K770" s="793"/>
      <c r="L770" s="793"/>
      <c r="O770" s="793"/>
    </row>
    <row r="771" customFormat="false" ht="13.8" hidden="true" customHeight="false" outlineLevel="0" collapsed="false">
      <c r="A771" s="765" t="s">
        <v>3971</v>
      </c>
      <c r="B771" s="779" t="s">
        <v>3972</v>
      </c>
      <c r="C771" s="780"/>
      <c r="D771" s="781"/>
      <c r="E771" s="781"/>
      <c r="F771" s="781"/>
      <c r="G771" s="782"/>
      <c r="H771" s="781"/>
      <c r="I771" s="781"/>
      <c r="J771" s="780"/>
      <c r="K771" s="793"/>
      <c r="L771" s="793"/>
      <c r="O771" s="793"/>
    </row>
    <row r="772" customFormat="false" ht="13.8" hidden="true" customHeight="false" outlineLevel="0" collapsed="false">
      <c r="A772" s="765" t="s">
        <v>3973</v>
      </c>
      <c r="B772" s="779" t="s">
        <v>3974</v>
      </c>
      <c r="C772" s="780" t="s">
        <v>3963</v>
      </c>
      <c r="D772" s="781"/>
      <c r="E772" s="781"/>
      <c r="F772" s="781"/>
      <c r="G772" s="782"/>
      <c r="H772" s="781"/>
      <c r="I772" s="781"/>
      <c r="J772" s="780"/>
      <c r="K772" s="793"/>
      <c r="L772" s="793"/>
      <c r="M772" s="768" t="n">
        <v>0</v>
      </c>
      <c r="O772" s="793"/>
    </row>
    <row r="773" customFormat="false" ht="13.8" hidden="true" customHeight="false" outlineLevel="0" collapsed="false">
      <c r="A773" s="765" t="n">
        <v>26810</v>
      </c>
      <c r="B773" s="779" t="s">
        <v>3975</v>
      </c>
      <c r="C773" s="780"/>
      <c r="D773" s="781"/>
      <c r="E773" s="781"/>
      <c r="F773" s="781"/>
      <c r="G773" s="782"/>
      <c r="H773" s="781"/>
      <c r="I773" s="781"/>
      <c r="J773" s="780"/>
      <c r="K773" s="793"/>
      <c r="L773" s="793"/>
      <c r="M773" s="768" t="s">
        <v>320</v>
      </c>
      <c r="N773" s="768" t="n">
        <v>1</v>
      </c>
      <c r="O773" s="793"/>
    </row>
    <row r="774" customFormat="false" ht="13.8" hidden="true" customHeight="false" outlineLevel="0" collapsed="false">
      <c r="A774" s="765" t="s">
        <v>3976</v>
      </c>
      <c r="B774" s="779" t="s">
        <v>3977</v>
      </c>
      <c r="C774" s="780"/>
      <c r="D774" s="781"/>
      <c r="E774" s="781"/>
      <c r="F774" s="781"/>
      <c r="G774" s="782"/>
      <c r="H774" s="781"/>
      <c r="I774" s="781"/>
      <c r="J774" s="780"/>
      <c r="K774" s="793"/>
      <c r="L774" s="793"/>
      <c r="O774" s="793"/>
    </row>
    <row r="775" customFormat="false" ht="13.8" hidden="true" customHeight="false" outlineLevel="0" collapsed="false">
      <c r="A775" s="765" t="s">
        <v>3978</v>
      </c>
      <c r="B775" s="779" t="s">
        <v>3979</v>
      </c>
      <c r="C775" s="780"/>
      <c r="D775" s="781"/>
      <c r="E775" s="781"/>
      <c r="F775" s="781"/>
      <c r="G775" s="782"/>
      <c r="H775" s="781"/>
      <c r="I775" s="781"/>
      <c r="J775" s="780"/>
      <c r="K775" s="793"/>
      <c r="L775" s="793"/>
      <c r="O775" s="793"/>
    </row>
    <row r="776" customFormat="false" ht="13.8" hidden="true" customHeight="false" outlineLevel="0" collapsed="false">
      <c r="A776" s="765" t="s">
        <v>3980</v>
      </c>
      <c r="B776" s="779" t="s">
        <v>3981</v>
      </c>
      <c r="C776" s="780"/>
      <c r="D776" s="781"/>
      <c r="E776" s="781"/>
      <c r="F776" s="781"/>
      <c r="G776" s="782"/>
      <c r="H776" s="781"/>
      <c r="I776" s="781"/>
      <c r="J776" s="780"/>
      <c r="K776" s="793"/>
      <c r="L776" s="793"/>
      <c r="O776" s="793"/>
    </row>
    <row r="777" customFormat="false" ht="13.8" hidden="true" customHeight="false" outlineLevel="0" collapsed="false">
      <c r="A777" s="765" t="s">
        <v>3982</v>
      </c>
      <c r="B777" s="779" t="s">
        <v>3983</v>
      </c>
      <c r="C777" s="780"/>
      <c r="D777" s="781"/>
      <c r="E777" s="781"/>
      <c r="F777" s="781"/>
      <c r="G777" s="782"/>
      <c r="H777" s="781"/>
      <c r="I777" s="781"/>
      <c r="J777" s="780"/>
      <c r="K777" s="793"/>
      <c r="L777" s="793"/>
      <c r="O777" s="793"/>
    </row>
    <row r="778" customFormat="false" ht="13.8" hidden="true" customHeight="false" outlineLevel="0" collapsed="false">
      <c r="A778" s="765" t="s">
        <v>3984</v>
      </c>
      <c r="B778" s="779" t="s">
        <v>3985</v>
      </c>
      <c r="C778" s="780"/>
      <c r="D778" s="781"/>
      <c r="E778" s="781"/>
      <c r="F778" s="781"/>
      <c r="G778" s="782"/>
      <c r="H778" s="781"/>
      <c r="I778" s="781"/>
      <c r="J778" s="780"/>
      <c r="K778" s="793"/>
      <c r="L778" s="793"/>
      <c r="O778" s="793"/>
    </row>
    <row r="779" customFormat="false" ht="13.8" hidden="true" customHeight="false" outlineLevel="0" collapsed="false">
      <c r="A779" s="765" t="s">
        <v>3986</v>
      </c>
      <c r="B779" s="779" t="s">
        <v>3987</v>
      </c>
      <c r="C779" s="780"/>
      <c r="D779" s="781"/>
      <c r="E779" s="781"/>
      <c r="F779" s="781"/>
      <c r="G779" s="782"/>
      <c r="H779" s="781"/>
      <c r="I779" s="781"/>
      <c r="J779" s="780"/>
      <c r="K779" s="793"/>
      <c r="L779" s="793"/>
      <c r="O779" s="793"/>
    </row>
    <row r="780" customFormat="false" ht="13.8" hidden="true" customHeight="false" outlineLevel="0" collapsed="false">
      <c r="A780" s="765" t="s">
        <v>3988</v>
      </c>
      <c r="B780" s="779" t="s">
        <v>3989</v>
      </c>
      <c r="C780" s="780"/>
      <c r="D780" s="781"/>
      <c r="E780" s="781"/>
      <c r="F780" s="781"/>
      <c r="G780" s="782"/>
      <c r="H780" s="781"/>
      <c r="I780" s="781"/>
      <c r="J780" s="780"/>
      <c r="K780" s="793"/>
      <c r="L780" s="793"/>
      <c r="O780" s="793"/>
    </row>
    <row r="781" customFormat="false" ht="13.8" hidden="true" customHeight="false" outlineLevel="0" collapsed="false">
      <c r="A781" s="765" t="s">
        <v>3990</v>
      </c>
      <c r="B781" s="779" t="s">
        <v>3991</v>
      </c>
      <c r="C781" s="780"/>
      <c r="D781" s="781"/>
      <c r="E781" s="781"/>
      <c r="F781" s="781"/>
      <c r="G781" s="782"/>
      <c r="H781" s="781"/>
      <c r="I781" s="781"/>
      <c r="J781" s="780"/>
      <c r="K781" s="793"/>
      <c r="L781" s="793"/>
      <c r="O781" s="793"/>
    </row>
    <row r="782" customFormat="false" ht="13.8" hidden="true" customHeight="false" outlineLevel="0" collapsed="false">
      <c r="A782" s="765" t="s">
        <v>3992</v>
      </c>
      <c r="B782" s="779" t="s">
        <v>3993</v>
      </c>
      <c r="C782" s="780"/>
      <c r="D782" s="781"/>
      <c r="E782" s="781"/>
      <c r="F782" s="781"/>
      <c r="G782" s="782"/>
      <c r="H782" s="781"/>
      <c r="I782" s="781"/>
      <c r="J782" s="780"/>
      <c r="K782" s="793"/>
      <c r="L782" s="793"/>
      <c r="O782" s="793"/>
    </row>
    <row r="783" customFormat="false" ht="13.8" hidden="true" customHeight="false" outlineLevel="0" collapsed="false">
      <c r="A783" s="783" t="n">
        <v>26765</v>
      </c>
      <c r="B783" s="784" t="s">
        <v>3994</v>
      </c>
      <c r="C783" s="785"/>
      <c r="D783" s="786"/>
      <c r="E783" s="786"/>
      <c r="F783" s="786"/>
      <c r="G783" s="787"/>
      <c r="H783" s="786"/>
      <c r="I783" s="786"/>
      <c r="J783" s="785"/>
      <c r="K783" s="793"/>
      <c r="L783" s="793"/>
      <c r="O783" s="793"/>
    </row>
    <row r="784" customFormat="false" ht="13.8" hidden="false" customHeight="false" outlineLevel="0" collapsed="false">
      <c r="A784" s="765" t="s">
        <v>444</v>
      </c>
      <c r="B784" s="779" t="s">
        <v>2347</v>
      </c>
      <c r="C784" s="780" t="s">
        <v>2500</v>
      </c>
      <c r="D784" s="781"/>
      <c r="E784" s="781" t="s">
        <v>2393</v>
      </c>
      <c r="F784" s="781" t="s">
        <v>53</v>
      </c>
      <c r="G784" s="782" t="s">
        <v>2386</v>
      </c>
      <c r="H784" s="781" t="n">
        <v>6.8</v>
      </c>
      <c r="I784" s="781" t="s">
        <v>2393</v>
      </c>
      <c r="J784" s="780" t="n">
        <v>3.5</v>
      </c>
      <c r="K784" s="793"/>
      <c r="L784" s="793"/>
      <c r="M784" s="793"/>
      <c r="N784" s="793"/>
      <c r="O784" s="793" t="s">
        <v>2548</v>
      </c>
    </row>
    <row r="785" customFormat="false" ht="13.8" hidden="false" customHeight="false" outlineLevel="0" collapsed="false">
      <c r="A785" s="765" t="s">
        <v>932</v>
      </c>
      <c r="B785" s="779" t="s">
        <v>2325</v>
      </c>
      <c r="C785" s="780" t="s">
        <v>2500</v>
      </c>
      <c r="D785" s="781"/>
      <c r="E785" s="781" t="s">
        <v>2393</v>
      </c>
      <c r="F785" s="781" t="s">
        <v>60</v>
      </c>
      <c r="G785" s="782" t="s">
        <v>2386</v>
      </c>
      <c r="H785" s="781" t="n">
        <v>6.8</v>
      </c>
      <c r="I785" s="781" t="s">
        <v>2393</v>
      </c>
      <c r="J785" s="780" t="n">
        <v>3.5</v>
      </c>
      <c r="K785" s="793"/>
      <c r="L785" s="793"/>
      <c r="M785" s="793"/>
      <c r="N785" s="793"/>
      <c r="O785" s="793" t="s">
        <v>2549</v>
      </c>
    </row>
    <row r="786" customFormat="false" ht="13.8" hidden="false" customHeight="false" outlineLevel="0" collapsed="false">
      <c r="A786" s="765" t="s">
        <v>681</v>
      </c>
      <c r="B786" s="779" t="s">
        <v>2302</v>
      </c>
      <c r="C786" s="780" t="s">
        <v>2500</v>
      </c>
      <c r="D786" s="781"/>
      <c r="E786" s="781" t="s">
        <v>2393</v>
      </c>
      <c r="F786" s="781" t="s">
        <v>666</v>
      </c>
      <c r="G786" s="782" t="s">
        <v>2386</v>
      </c>
      <c r="H786" s="781" t="n">
        <v>6.8</v>
      </c>
      <c r="I786" s="781" t="s">
        <v>2393</v>
      </c>
      <c r="J786" s="780" t="n">
        <v>3.5</v>
      </c>
      <c r="K786" s="793"/>
      <c r="L786" s="793"/>
      <c r="M786" s="793"/>
      <c r="N786" s="793"/>
      <c r="O786" s="793" t="s">
        <v>2550</v>
      </c>
    </row>
    <row r="787" customFormat="false" ht="13.8" hidden="false" customHeight="false" outlineLevel="0" collapsed="false">
      <c r="A787" s="765" t="s">
        <v>885</v>
      </c>
      <c r="B787" s="779" t="s">
        <v>2322</v>
      </c>
      <c r="C787" s="780" t="s">
        <v>2500</v>
      </c>
      <c r="D787" s="781"/>
      <c r="E787" s="781" t="s">
        <v>2393</v>
      </c>
      <c r="F787" s="781" t="s">
        <v>834</v>
      </c>
      <c r="G787" s="782" t="s">
        <v>2386</v>
      </c>
      <c r="H787" s="781" t="n">
        <v>6.8</v>
      </c>
      <c r="I787" s="781" t="s">
        <v>2393</v>
      </c>
      <c r="J787" s="780" t="n">
        <v>3.5</v>
      </c>
      <c r="K787" s="793"/>
      <c r="L787" s="793"/>
      <c r="M787" s="793"/>
      <c r="N787" s="793"/>
      <c r="O787" s="793" t="s">
        <v>2551</v>
      </c>
    </row>
    <row r="788" customFormat="false" ht="13.8" hidden="true" customHeight="false" outlineLevel="0" collapsed="false">
      <c r="A788" s="774" t="s">
        <v>2001</v>
      </c>
      <c r="B788" s="775" t="s">
        <v>3995</v>
      </c>
      <c r="C788" s="776" t="s">
        <v>2580</v>
      </c>
      <c r="D788" s="776" t="n">
        <v>17.015</v>
      </c>
      <c r="E788" s="780" t="s">
        <v>3902</v>
      </c>
      <c r="F788" s="776" t="s">
        <v>2392</v>
      </c>
      <c r="G788" s="775" t="s">
        <v>71</v>
      </c>
      <c r="H788" s="776" t="n">
        <v>16.5</v>
      </c>
      <c r="I788" s="776" t="s">
        <v>2392</v>
      </c>
      <c r="J788" s="776" t="n">
        <v>5.5</v>
      </c>
      <c r="K788" s="791"/>
      <c r="L788" s="791"/>
      <c r="M788" s="791" t="s">
        <v>2392</v>
      </c>
      <c r="N788" s="791"/>
      <c r="O788" s="791" t="s">
        <v>2442</v>
      </c>
    </row>
    <row r="789" customFormat="false" ht="13.8" hidden="true" customHeight="false" outlineLevel="0" collapsed="false">
      <c r="A789" s="765" t="s">
        <v>204</v>
      </c>
      <c r="B789" s="779" t="s">
        <v>2371</v>
      </c>
      <c r="C789" s="780" t="s">
        <v>2580</v>
      </c>
      <c r="D789" s="776" t="n">
        <v>17.015</v>
      </c>
      <c r="E789" s="780" t="s">
        <v>3902</v>
      </c>
      <c r="F789" s="780" t="s">
        <v>2001</v>
      </c>
      <c r="G789" s="779" t="s">
        <v>64</v>
      </c>
      <c r="H789" s="776" t="n">
        <v>16.5</v>
      </c>
      <c r="I789" s="776" t="s">
        <v>2392</v>
      </c>
      <c r="J789" s="780" t="n">
        <v>12</v>
      </c>
      <c r="K789" s="791"/>
      <c r="L789" s="791"/>
      <c r="M789" s="791" t="s">
        <v>2001</v>
      </c>
      <c r="N789" s="791" t="n">
        <v>1</v>
      </c>
      <c r="O789" s="791" t="s">
        <v>2442</v>
      </c>
    </row>
    <row r="790" customFormat="false" ht="13.8" hidden="true" customHeight="false" outlineLevel="0" collapsed="false">
      <c r="A790" s="765" t="s">
        <v>2152</v>
      </c>
      <c r="B790" s="779" t="s">
        <v>3996</v>
      </c>
      <c r="C790" s="780" t="s">
        <v>2580</v>
      </c>
      <c r="D790" s="776" t="n">
        <v>17.015</v>
      </c>
      <c r="E790" s="780" t="s">
        <v>3902</v>
      </c>
      <c r="F790" s="780" t="s">
        <v>2001</v>
      </c>
      <c r="G790" s="779" t="s">
        <v>64</v>
      </c>
      <c r="H790" s="776" t="n">
        <v>16.5</v>
      </c>
      <c r="I790" s="776" t="s">
        <v>2392</v>
      </c>
      <c r="J790" s="780" t="n">
        <v>12</v>
      </c>
      <c r="K790" s="791"/>
      <c r="L790" s="791"/>
      <c r="M790" s="791" t="s">
        <v>2001</v>
      </c>
      <c r="N790" s="791" t="n">
        <v>1</v>
      </c>
      <c r="O790" s="791" t="s">
        <v>2442</v>
      </c>
    </row>
    <row r="791" customFormat="false" ht="13.8" hidden="true" customHeight="false" outlineLevel="0" collapsed="false">
      <c r="A791" s="765" t="s">
        <v>2180</v>
      </c>
      <c r="B791" s="779" t="s">
        <v>2373</v>
      </c>
      <c r="C791" s="780" t="s">
        <v>2580</v>
      </c>
      <c r="D791" s="776" t="n">
        <v>17.015</v>
      </c>
      <c r="E791" s="780" t="s">
        <v>3902</v>
      </c>
      <c r="F791" s="780" t="s">
        <v>2001</v>
      </c>
      <c r="G791" s="779" t="s">
        <v>64</v>
      </c>
      <c r="H791" s="776" t="n">
        <v>16.5</v>
      </c>
      <c r="I791" s="776" t="s">
        <v>2392</v>
      </c>
      <c r="J791" s="780" t="n">
        <v>12</v>
      </c>
      <c r="K791" s="791"/>
      <c r="L791" s="791"/>
      <c r="M791" s="791" t="s">
        <v>2001</v>
      </c>
      <c r="N791" s="791" t="n">
        <v>1</v>
      </c>
      <c r="O791" s="791" t="s">
        <v>2442</v>
      </c>
    </row>
    <row r="792" customFormat="false" ht="13.8" hidden="true" customHeight="false" outlineLevel="0" collapsed="false">
      <c r="A792" s="765" t="s">
        <v>547</v>
      </c>
      <c r="B792" s="779" t="s">
        <v>3997</v>
      </c>
      <c r="C792" s="780" t="s">
        <v>2580</v>
      </c>
      <c r="D792" s="780" t="n">
        <v>32</v>
      </c>
      <c r="E792" s="780" t="s">
        <v>3902</v>
      </c>
      <c r="F792" s="780" t="s">
        <v>572</v>
      </c>
      <c r="G792" s="779" t="s">
        <v>64</v>
      </c>
      <c r="H792" s="780" t="n">
        <v>32</v>
      </c>
      <c r="I792" s="776" t="s">
        <v>2392</v>
      </c>
      <c r="J792" s="780" t="n">
        <v>6</v>
      </c>
      <c r="K792" s="791"/>
      <c r="L792" s="791"/>
      <c r="M792" s="791" t="s">
        <v>572</v>
      </c>
      <c r="N792" s="791" t="n">
        <v>1</v>
      </c>
      <c r="O792" s="791" t="s">
        <v>2444</v>
      </c>
    </row>
    <row r="793" customFormat="false" ht="13.8" hidden="true" customHeight="false" outlineLevel="0" collapsed="false">
      <c r="A793" s="765" t="s">
        <v>529</v>
      </c>
      <c r="B793" s="779" t="s">
        <v>2306</v>
      </c>
      <c r="C793" s="780" t="s">
        <v>2424</v>
      </c>
      <c r="D793" s="781" t="n">
        <v>8.6</v>
      </c>
      <c r="E793" s="781" t="s">
        <v>2392</v>
      </c>
      <c r="F793" s="781" t="s">
        <v>2392</v>
      </c>
      <c r="G793" s="782" t="s">
        <v>2385</v>
      </c>
      <c r="H793" s="781" t="n">
        <v>8.6</v>
      </c>
      <c r="I793" s="781" t="s">
        <v>2392</v>
      </c>
      <c r="J793" s="780" t="n">
        <v>6.25</v>
      </c>
      <c r="K793" s="793"/>
      <c r="L793" s="793"/>
      <c r="M793" s="793" t="s">
        <v>2392</v>
      </c>
      <c r="N793" s="793"/>
      <c r="O793" s="793" t="s">
        <v>3998</v>
      </c>
    </row>
    <row r="794" customFormat="false" ht="13.8" hidden="false" customHeight="false" outlineLevel="0" collapsed="false">
      <c r="A794" s="765" t="s">
        <v>492</v>
      </c>
      <c r="B794" s="779" t="s">
        <v>2357</v>
      </c>
      <c r="C794" s="780" t="s">
        <v>2500</v>
      </c>
      <c r="D794" s="781" t="n">
        <v>6.8</v>
      </c>
      <c r="E794" s="781" t="s">
        <v>2393</v>
      </c>
      <c r="F794" s="781" t="s">
        <v>492</v>
      </c>
      <c r="G794" s="782" t="s">
        <v>2387</v>
      </c>
      <c r="H794" s="781" t="n">
        <v>6.8</v>
      </c>
      <c r="I794" s="781" t="s">
        <v>2393</v>
      </c>
      <c r="J794" s="780" t="n">
        <v>5.5</v>
      </c>
      <c r="K794" s="781"/>
      <c r="L794" s="781"/>
      <c r="M794" s="781" t="s">
        <v>492</v>
      </c>
      <c r="N794" s="781"/>
      <c r="O794" s="781" t="s">
        <v>3999</v>
      </c>
    </row>
    <row r="795" customFormat="false" ht="13.8" hidden="false" customHeight="false" outlineLevel="0" collapsed="false">
      <c r="A795" s="765" t="s">
        <v>519</v>
      </c>
      <c r="B795" s="779" t="s">
        <v>4000</v>
      </c>
      <c r="C795" s="780" t="s">
        <v>2500</v>
      </c>
      <c r="D795" s="781"/>
      <c r="E795" s="781" t="s">
        <v>2393</v>
      </c>
      <c r="F795" s="781" t="s">
        <v>519</v>
      </c>
      <c r="G795" s="782" t="s">
        <v>2375</v>
      </c>
      <c r="H795" s="781" t="n">
        <v>6.8</v>
      </c>
      <c r="I795" s="781" t="s">
        <v>2393</v>
      </c>
      <c r="J795" s="780" t="n">
        <v>5.5</v>
      </c>
      <c r="K795" s="781"/>
      <c r="L795" s="781"/>
      <c r="M795" s="781" t="s">
        <v>519</v>
      </c>
      <c r="N795" s="781"/>
      <c r="O795" s="781" t="s">
        <v>3999</v>
      </c>
    </row>
    <row r="796" customFormat="false" ht="13.8" hidden="false" customHeight="false" outlineLevel="0" collapsed="false">
      <c r="A796" s="765" t="s">
        <v>563</v>
      </c>
      <c r="B796" s="779" t="s">
        <v>2358</v>
      </c>
      <c r="C796" s="780" t="s">
        <v>2500</v>
      </c>
      <c r="D796" s="781"/>
      <c r="E796" s="781" t="s">
        <v>2393</v>
      </c>
      <c r="F796" s="781" t="s">
        <v>563</v>
      </c>
      <c r="G796" s="782" t="s">
        <v>52</v>
      </c>
      <c r="H796" s="781" t="n">
        <v>6.8</v>
      </c>
      <c r="I796" s="781" t="s">
        <v>2393</v>
      </c>
      <c r="J796" s="780" t="n">
        <v>5.5</v>
      </c>
      <c r="K796" s="781"/>
      <c r="L796" s="781"/>
      <c r="M796" s="781" t="s">
        <v>563</v>
      </c>
      <c r="N796" s="781"/>
      <c r="O796" s="781" t="s">
        <v>3999</v>
      </c>
    </row>
    <row r="797" customFormat="false" ht="13.8" hidden="false" customHeight="false" outlineLevel="0" collapsed="false">
      <c r="A797" s="765" t="s">
        <v>600</v>
      </c>
      <c r="B797" s="779" t="s">
        <v>2360</v>
      </c>
      <c r="C797" s="780" t="s">
        <v>2500</v>
      </c>
      <c r="D797" s="781"/>
      <c r="E797" s="781" t="s">
        <v>2393</v>
      </c>
      <c r="F797" s="781" t="s">
        <v>600</v>
      </c>
      <c r="G797" s="782" t="s">
        <v>2386</v>
      </c>
      <c r="H797" s="781" t="n">
        <v>6.8</v>
      </c>
      <c r="I797" s="781" t="s">
        <v>2393</v>
      </c>
      <c r="J797" s="780" t="n">
        <v>5.5</v>
      </c>
      <c r="K797" s="781"/>
      <c r="L797" s="781"/>
      <c r="M797" s="781" t="s">
        <v>600</v>
      </c>
      <c r="N797" s="781"/>
      <c r="O797" s="781" t="s">
        <v>3999</v>
      </c>
    </row>
    <row r="798" customFormat="false" ht="13.8" hidden="false" customHeight="false" outlineLevel="0" collapsed="false">
      <c r="A798" s="765" t="s">
        <v>621</v>
      </c>
      <c r="B798" s="779" t="s">
        <v>2361</v>
      </c>
      <c r="C798" s="780" t="s">
        <v>2500</v>
      </c>
      <c r="D798" s="781"/>
      <c r="E798" s="781" t="s">
        <v>2393</v>
      </c>
      <c r="F798" s="781" t="s">
        <v>621</v>
      </c>
      <c r="G798" s="782" t="s">
        <v>2388</v>
      </c>
      <c r="H798" s="781" t="n">
        <v>6.8</v>
      </c>
      <c r="I798" s="781" t="s">
        <v>2393</v>
      </c>
      <c r="J798" s="780" t="n">
        <v>5.5</v>
      </c>
      <c r="K798" s="781"/>
      <c r="L798" s="781"/>
      <c r="M798" s="781" t="s">
        <v>621</v>
      </c>
      <c r="N798" s="781"/>
      <c r="O798" s="781" t="s">
        <v>3999</v>
      </c>
    </row>
    <row r="799" customFormat="false" ht="13.8" hidden="false" customHeight="false" outlineLevel="0" collapsed="false">
      <c r="A799" s="765" t="s">
        <v>506</v>
      </c>
      <c r="B799" s="779" t="s">
        <v>2334</v>
      </c>
      <c r="C799" s="780" t="s">
        <v>2500</v>
      </c>
      <c r="D799" s="781"/>
      <c r="E799" s="781" t="s">
        <v>2393</v>
      </c>
      <c r="F799" s="781" t="s">
        <v>506</v>
      </c>
      <c r="G799" s="782" t="s">
        <v>2389</v>
      </c>
      <c r="H799" s="781" t="n">
        <v>6.8</v>
      </c>
      <c r="I799" s="781" t="s">
        <v>2393</v>
      </c>
      <c r="J799" s="780" t="n">
        <v>5.5</v>
      </c>
      <c r="K799" s="781"/>
      <c r="L799" s="781"/>
      <c r="M799" s="781" t="s">
        <v>506</v>
      </c>
      <c r="N799" s="781"/>
      <c r="O799" s="781" t="s">
        <v>3999</v>
      </c>
    </row>
    <row r="800" customFormat="false" ht="13.8" hidden="true" customHeight="false" outlineLevel="0" collapsed="false">
      <c r="A800" s="765" t="s">
        <v>199</v>
      </c>
      <c r="B800" s="779" t="s">
        <v>2359</v>
      </c>
      <c r="C800" s="780" t="s">
        <v>4001</v>
      </c>
      <c r="D800" s="780" t="n">
        <v>7.3</v>
      </c>
      <c r="E800" s="780" t="s">
        <v>3902</v>
      </c>
      <c r="F800" s="765" t="s">
        <v>4002</v>
      </c>
      <c r="G800" s="779" t="s">
        <v>2384</v>
      </c>
      <c r="H800" s="780" t="n">
        <v>7.3</v>
      </c>
      <c r="I800" s="780" t="s">
        <v>4003</v>
      </c>
      <c r="J800" s="780" t="n">
        <v>6</v>
      </c>
      <c r="K800" s="780"/>
      <c r="L800" s="780"/>
      <c r="M800" s="780" t="s">
        <v>4003</v>
      </c>
      <c r="N800" s="780" t="n">
        <v>1</v>
      </c>
      <c r="O800" s="780" t="s">
        <v>4004</v>
      </c>
    </row>
    <row r="801" customFormat="false" ht="13.8" hidden="true" customHeight="false" outlineLevel="0" collapsed="false">
      <c r="A801" s="765" t="s">
        <v>261</v>
      </c>
      <c r="B801" s="779" t="s">
        <v>2339</v>
      </c>
      <c r="C801" s="780" t="s">
        <v>4001</v>
      </c>
      <c r="D801" s="780" t="n">
        <v>7.3</v>
      </c>
      <c r="E801" s="780" t="s">
        <v>3902</v>
      </c>
      <c r="F801" s="780" t="s">
        <v>4005</v>
      </c>
      <c r="G801" s="779" t="s">
        <v>2384</v>
      </c>
      <c r="H801" s="780" t="n">
        <v>7.3</v>
      </c>
      <c r="I801" s="780" t="s">
        <v>4005</v>
      </c>
      <c r="J801" s="780" t="n">
        <v>6</v>
      </c>
      <c r="K801" s="780"/>
      <c r="L801" s="780"/>
      <c r="M801" s="780" t="s">
        <v>4005</v>
      </c>
      <c r="N801" s="780" t="n">
        <v>1</v>
      </c>
      <c r="O801" s="780" t="s">
        <v>4006</v>
      </c>
    </row>
    <row r="802" customFormat="false" ht="13.8" hidden="true" customHeight="false" outlineLevel="0" collapsed="false">
      <c r="A802" s="765" t="s">
        <v>343</v>
      </c>
      <c r="B802" s="779" t="s">
        <v>2352</v>
      </c>
      <c r="C802" s="780" t="s">
        <v>4001</v>
      </c>
      <c r="D802" s="780" t="n">
        <v>7.3</v>
      </c>
      <c r="E802" s="780" t="s">
        <v>3902</v>
      </c>
      <c r="F802" s="780" t="s">
        <v>4007</v>
      </c>
      <c r="G802" s="779" t="s">
        <v>2384</v>
      </c>
      <c r="H802" s="780" t="n">
        <v>7.3</v>
      </c>
      <c r="I802" s="780" t="s">
        <v>4007</v>
      </c>
      <c r="J802" s="780" t="n">
        <v>6</v>
      </c>
      <c r="K802" s="780"/>
      <c r="L802" s="780"/>
      <c r="M802" s="780" t="s">
        <v>4007</v>
      </c>
      <c r="N802" s="780" t="n">
        <v>1</v>
      </c>
      <c r="O802" s="780" t="s">
        <v>4008</v>
      </c>
    </row>
    <row r="803" customFormat="false" ht="13.8" hidden="true" customHeight="false" outlineLevel="0" collapsed="false">
      <c r="A803" s="765" t="s">
        <v>420</v>
      </c>
      <c r="B803" s="779" t="s">
        <v>2362</v>
      </c>
      <c r="C803" s="780" t="s">
        <v>4001</v>
      </c>
      <c r="D803" s="780" t="n">
        <v>7.3</v>
      </c>
      <c r="E803" s="780" t="s">
        <v>3902</v>
      </c>
      <c r="F803" s="780" t="s">
        <v>4009</v>
      </c>
      <c r="G803" s="779" t="s">
        <v>2384</v>
      </c>
      <c r="H803" s="780" t="n">
        <v>7.3</v>
      </c>
      <c r="I803" s="780" t="s">
        <v>4009</v>
      </c>
      <c r="J803" s="780" t="n">
        <v>6</v>
      </c>
      <c r="K803" s="780"/>
      <c r="L803" s="780"/>
      <c r="M803" s="780" t="s">
        <v>4009</v>
      </c>
      <c r="N803" s="780" t="n">
        <v>1</v>
      </c>
      <c r="O803" s="780" t="s">
        <v>4010</v>
      </c>
    </row>
    <row r="804" customFormat="false" ht="13.8" hidden="true" customHeight="false" outlineLevel="0" collapsed="false">
      <c r="A804" s="765" t="s">
        <v>453</v>
      </c>
      <c r="B804" s="779" t="s">
        <v>2364</v>
      </c>
      <c r="C804" s="780" t="s">
        <v>4001</v>
      </c>
      <c r="D804" s="780" t="n">
        <v>7.3</v>
      </c>
      <c r="E804" s="780" t="s">
        <v>3902</v>
      </c>
      <c r="F804" s="780" t="s">
        <v>4011</v>
      </c>
      <c r="G804" s="779" t="s">
        <v>2384</v>
      </c>
      <c r="H804" s="780" t="n">
        <v>7.3</v>
      </c>
      <c r="I804" s="780" t="s">
        <v>4011</v>
      </c>
      <c r="J804" s="780" t="n">
        <v>6</v>
      </c>
      <c r="K804" s="780"/>
      <c r="L804" s="780"/>
      <c r="M804" s="780" t="s">
        <v>4011</v>
      </c>
      <c r="N804" s="780" t="n">
        <v>1</v>
      </c>
      <c r="O804" s="780" t="s">
        <v>4012</v>
      </c>
    </row>
    <row r="805" customFormat="false" ht="13.8" hidden="true" customHeight="false" outlineLevel="0" collapsed="false">
      <c r="A805" s="765" t="s">
        <v>1740</v>
      </c>
      <c r="B805" s="779" t="s">
        <v>2367</v>
      </c>
      <c r="C805" s="780" t="s">
        <v>4001</v>
      </c>
      <c r="D805" s="780" t="n">
        <v>7.3</v>
      </c>
      <c r="E805" s="780" t="s">
        <v>3902</v>
      </c>
      <c r="F805" s="780" t="s">
        <v>4013</v>
      </c>
      <c r="G805" s="779" t="s">
        <v>2384</v>
      </c>
      <c r="H805" s="780" t="n">
        <v>7.3</v>
      </c>
      <c r="I805" s="780" t="s">
        <v>4013</v>
      </c>
      <c r="J805" s="780" t="n">
        <v>6</v>
      </c>
      <c r="K805" s="780"/>
      <c r="L805" s="780"/>
      <c r="M805" s="780" t="s">
        <v>4013</v>
      </c>
      <c r="N805" s="780" t="n">
        <v>1</v>
      </c>
      <c r="O805" s="780" t="s">
        <v>4014</v>
      </c>
    </row>
    <row r="806" customFormat="false" ht="13.8" hidden="false" customHeight="false" outlineLevel="0" collapsed="false">
      <c r="B806" s="779"/>
      <c r="C806" s="780"/>
      <c r="D806" s="781"/>
      <c r="E806" s="781"/>
      <c r="F806" s="781"/>
      <c r="G806" s="782"/>
      <c r="H806" s="781"/>
      <c r="I806" s="781"/>
      <c r="J806" s="780"/>
      <c r="K806" s="781"/>
      <c r="L806" s="781"/>
      <c r="M806" s="781"/>
      <c r="N806" s="781"/>
      <c r="O806" s="781"/>
    </row>
    <row r="807" customFormat="false" ht="13.8" hidden="false" customHeight="false" outlineLevel="0" collapsed="false">
      <c r="B807" s="779"/>
      <c r="C807" s="780"/>
      <c r="D807" s="781"/>
      <c r="E807" s="781"/>
      <c r="F807" s="781"/>
      <c r="G807" s="782"/>
      <c r="H807" s="781"/>
      <c r="I807" s="781"/>
      <c r="J807" s="780"/>
      <c r="K807" s="781"/>
      <c r="L807" s="781"/>
      <c r="M807" s="781"/>
      <c r="N807" s="781"/>
      <c r="O807" s="781"/>
    </row>
    <row r="808" customFormat="false" ht="13.8" hidden="false" customHeight="false" outlineLevel="0" collapsed="false">
      <c r="B808" s="779"/>
      <c r="C808" s="780"/>
      <c r="D808" s="781"/>
      <c r="E808" s="781"/>
      <c r="F808" s="781"/>
      <c r="G808" s="782"/>
      <c r="H808" s="781"/>
      <c r="I808" s="781"/>
      <c r="J808" s="780"/>
      <c r="K808" s="781"/>
      <c r="L808" s="781"/>
      <c r="M808" s="781"/>
      <c r="N808" s="781"/>
      <c r="O808" s="781"/>
    </row>
    <row r="809" customFormat="false" ht="13.8" hidden="false" customHeight="false" outlineLevel="0" collapsed="false">
      <c r="B809" s="779"/>
      <c r="C809" s="780"/>
      <c r="D809" s="781"/>
      <c r="E809" s="781"/>
      <c r="F809" s="781"/>
      <c r="G809" s="782"/>
      <c r="H809" s="781"/>
      <c r="I809" s="781"/>
      <c r="J809" s="780"/>
      <c r="K809" s="781"/>
      <c r="L809" s="781"/>
      <c r="M809" s="781"/>
      <c r="N809" s="781"/>
      <c r="O809" s="781"/>
    </row>
    <row r="810" customFormat="false" ht="13.8" hidden="false" customHeight="false" outlineLevel="0" collapsed="false">
      <c r="B810" s="779"/>
      <c r="C810" s="780"/>
      <c r="D810" s="781"/>
      <c r="E810" s="781"/>
      <c r="F810" s="781"/>
      <c r="G810" s="782"/>
      <c r="H810" s="781"/>
      <c r="I810" s="781"/>
      <c r="J810" s="780"/>
      <c r="K810" s="781"/>
      <c r="L810" s="781"/>
      <c r="M810" s="781"/>
      <c r="N810" s="781"/>
      <c r="O810" s="781"/>
    </row>
    <row r="811" customFormat="false" ht="13.8" hidden="false" customHeight="false" outlineLevel="0" collapsed="false">
      <c r="B811" s="779"/>
      <c r="C811" s="780"/>
      <c r="D811" s="781"/>
      <c r="E811" s="781"/>
      <c r="F811" s="781"/>
      <c r="G811" s="782"/>
      <c r="H811" s="781"/>
      <c r="I811" s="781"/>
      <c r="J811" s="780"/>
      <c r="K811" s="781"/>
      <c r="L811" s="781"/>
      <c r="M811" s="781"/>
      <c r="N811" s="781"/>
      <c r="O811" s="781"/>
    </row>
    <row r="812" customFormat="false" ht="13.8" hidden="false" customHeight="false" outlineLevel="0" collapsed="false">
      <c r="B812" s="779"/>
      <c r="C812" s="780"/>
      <c r="D812" s="781"/>
      <c r="E812" s="781"/>
      <c r="F812" s="781"/>
      <c r="G812" s="782"/>
      <c r="H812" s="781"/>
      <c r="I812" s="781"/>
      <c r="J812" s="780"/>
      <c r="K812" s="781"/>
      <c r="L812" s="781"/>
      <c r="M812" s="781"/>
      <c r="N812" s="781"/>
      <c r="O812" s="781"/>
    </row>
    <row r="813" customFormat="false" ht="13.8" hidden="false" customHeight="false" outlineLevel="0" collapsed="false">
      <c r="B813" s="779"/>
      <c r="C813" s="780"/>
      <c r="D813" s="781"/>
      <c r="E813" s="781"/>
      <c r="F813" s="781"/>
      <c r="G813" s="782"/>
      <c r="H813" s="781"/>
      <c r="I813" s="781"/>
      <c r="J813" s="780"/>
      <c r="K813" s="781"/>
      <c r="L813" s="781"/>
      <c r="M813" s="781"/>
      <c r="N813" s="781"/>
      <c r="O813" s="781"/>
    </row>
    <row r="814" customFormat="false" ht="13.8" hidden="false" customHeight="false" outlineLevel="0" collapsed="false">
      <c r="B814" s="779"/>
      <c r="C814" s="780"/>
      <c r="D814" s="781"/>
      <c r="E814" s="781"/>
      <c r="F814" s="781"/>
      <c r="G814" s="782"/>
      <c r="H814" s="781"/>
      <c r="I814" s="781"/>
      <c r="J814" s="780"/>
      <c r="K814" s="781"/>
      <c r="L814" s="781"/>
      <c r="M814" s="781"/>
      <c r="N814" s="781"/>
      <c r="O814" s="781"/>
    </row>
    <row r="815" customFormat="false" ht="13.8" hidden="false" customHeight="false" outlineLevel="0" collapsed="false">
      <c r="B815" s="779"/>
      <c r="C815" s="780"/>
      <c r="D815" s="781"/>
      <c r="E815" s="781"/>
      <c r="F815" s="781"/>
      <c r="G815" s="782"/>
      <c r="H815" s="781"/>
      <c r="I815" s="781"/>
      <c r="J815" s="780"/>
      <c r="K815" s="781"/>
      <c r="L815" s="781"/>
      <c r="M815" s="781"/>
      <c r="N815" s="781"/>
      <c r="O815" s="781"/>
    </row>
    <row r="816" customFormat="false" ht="13.8" hidden="false" customHeight="false" outlineLevel="0" collapsed="false">
      <c r="B816" s="779"/>
      <c r="C816" s="780"/>
      <c r="D816" s="781"/>
      <c r="E816" s="781"/>
      <c r="F816" s="781"/>
      <c r="G816" s="782"/>
      <c r="H816" s="781"/>
      <c r="I816" s="781"/>
      <c r="J816" s="780"/>
      <c r="K816" s="781"/>
      <c r="L816" s="781"/>
      <c r="M816" s="781"/>
      <c r="N816" s="781"/>
      <c r="O816" s="781"/>
    </row>
  </sheetData>
  <autoFilter ref="A1:IV805">
    <filterColumn colId="2">
      <customFilters and="true">
        <customFilter operator="equal" val="Nipple"/>
      </customFilters>
    </filterColumn>
  </autoFilter>
  <conditionalFormatting sqref="A168:A169">
    <cfRule type="duplicateValues" priority="2" aboveAverage="0" equalAverage="0" bottom="0" percent="0" rank="0" text="" dxfId="254"/>
  </conditionalFormatting>
  <conditionalFormatting sqref="A127:A130">
    <cfRule type="duplicateValues" priority="3" aboveAverage="0" equalAverage="0" bottom="0" percent="0" rank="0" text="" dxfId="255"/>
  </conditionalFormatting>
  <conditionalFormatting sqref="A148:A150">
    <cfRule type="duplicateValues" priority="4" aboveAverage="0" equalAverage="0" bottom="0" percent="0" rank="0" text="" dxfId="256"/>
  </conditionalFormatting>
  <conditionalFormatting sqref="A115:A126 A131:A138 A140:A147 A163:A167 A152:A153 A155:A161">
    <cfRule type="duplicateValues" priority="5" aboveAverage="0" equalAverage="0" bottom="0" percent="0" rank="0" text="" dxfId="257"/>
  </conditionalFormatting>
  <conditionalFormatting sqref="A139">
    <cfRule type="duplicateValues" priority="6" aboveAverage="0" equalAverage="0" bottom="0" percent="0" rank="0" text="" dxfId="258"/>
  </conditionalFormatting>
  <conditionalFormatting sqref="A162">
    <cfRule type="duplicateValues" priority="7" aboveAverage="0" equalAverage="0" bottom="0" percent="0" rank="0" text="" dxfId="259"/>
  </conditionalFormatting>
  <conditionalFormatting sqref="A151">
    <cfRule type="duplicateValues" priority="8" aboveAverage="0" equalAverage="0" bottom="0" percent="0" rank="0" text="" dxfId="260"/>
  </conditionalFormatting>
  <dataValidations count="1">
    <dataValidation allowBlank="true" operator="equal" showDropDown="false" showErrorMessage="true" showInputMessage="true" sqref="A71:A72" type="list">
      <formula1>$AZ$6:$AZ$103</formula1>
      <formula2>0</formula2>
    </dataValidation>
  </dataValidations>
  <printOptions headings="false" gridLines="false" gridLinesSet="true" horizontalCentered="false" verticalCentered="false"/>
  <pageMargins left="0.440277777777778" right="0.2" top="0.75" bottom="0.75"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E29"/>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4" activeCellId="0" sqref="A4"/>
    </sheetView>
  </sheetViews>
  <sheetFormatPr defaultColWidth="9.14453125" defaultRowHeight="13.8" zeroHeight="false" outlineLevelRow="0" outlineLevelCol="0"/>
  <cols>
    <col collapsed="false" customWidth="true" hidden="false" outlineLevel="0" max="1" min="1" style="0" width="33.82"/>
    <col collapsed="false" customWidth="true" hidden="false" outlineLevel="0" max="2" min="2" style="0" width="9.91"/>
    <col collapsed="false" customWidth="true" hidden="false" outlineLevel="0" max="5" min="3" style="0" width="9.72"/>
    <col collapsed="false" customWidth="true" hidden="false" outlineLevel="0" max="64" min="6" style="0" width="8.53"/>
  </cols>
  <sheetData>
    <row r="3" customFormat="false" ht="13.8" hidden="false" customHeight="false" outlineLevel="0" collapsed="false">
      <c r="A3" s="140"/>
      <c r="B3" s="141" t="s">
        <v>2397</v>
      </c>
      <c r="C3" s="142"/>
      <c r="D3" s="142"/>
      <c r="E3" s="143"/>
    </row>
    <row r="4" customFormat="false" ht="13.8" hidden="false" customHeight="false" outlineLevel="0" collapsed="false">
      <c r="A4" s="144" t="s">
        <v>14</v>
      </c>
      <c r="B4" s="145" t="s">
        <v>4015</v>
      </c>
      <c r="C4" s="146" t="s">
        <v>4016</v>
      </c>
      <c r="D4" s="146" t="s">
        <v>4017</v>
      </c>
      <c r="E4" s="242" t="s">
        <v>4018</v>
      </c>
    </row>
    <row r="5" customFormat="false" ht="13.8" hidden="false" customHeight="false" outlineLevel="0" collapsed="false">
      <c r="A5" s="148" t="s">
        <v>71</v>
      </c>
      <c r="B5" s="192" t="n">
        <v>0.917262324239069</v>
      </c>
      <c r="C5" s="193" t="n">
        <v>0.978398216660821</v>
      </c>
      <c r="D5" s="193" t="n">
        <v>0.943220448514583</v>
      </c>
      <c r="E5" s="244" t="n">
        <v>0.848724480654763</v>
      </c>
    </row>
    <row r="6" customFormat="false" ht="13.8" hidden="false" customHeight="false" outlineLevel="0" collapsed="false">
      <c r="A6" s="153" t="s">
        <v>64</v>
      </c>
      <c r="B6" s="196" t="n">
        <v>0.684411075791795</v>
      </c>
      <c r="C6" s="197" t="n">
        <v>0.984154055197125</v>
      </c>
      <c r="D6" s="197" t="n">
        <v>0.955248044382204</v>
      </c>
      <c r="E6" s="248" t="n">
        <v>0.664820765859391</v>
      </c>
    </row>
    <row r="7" customFormat="false" ht="13.8" hidden="false" customHeight="false" outlineLevel="0" collapsed="false">
      <c r="A7" s="153" t="s">
        <v>2384</v>
      </c>
      <c r="B7" s="196" t="n">
        <v>0.949146274250441</v>
      </c>
      <c r="C7" s="197" t="n">
        <v>0.998179374854497</v>
      </c>
      <c r="D7" s="197" t="n">
        <v>0.916329757874945</v>
      </c>
      <c r="E7" s="248" t="n">
        <v>0.867473777334585</v>
      </c>
    </row>
    <row r="8" customFormat="false" ht="13.8" hidden="false" customHeight="false" outlineLevel="0" collapsed="false">
      <c r="A8" s="153" t="s">
        <v>2385</v>
      </c>
      <c r="B8" s="196" t="n">
        <v>0.975109649122807</v>
      </c>
      <c r="C8" s="197" t="n">
        <v>0.991863798835292</v>
      </c>
      <c r="D8" s="197" t="n">
        <v>1.02528907048432</v>
      </c>
      <c r="E8" s="248" t="n">
        <v>0.994111721418613</v>
      </c>
    </row>
    <row r="9" customFormat="false" ht="13.8" hidden="false" customHeight="false" outlineLevel="0" collapsed="false">
      <c r="A9" s="153" t="s">
        <v>2386</v>
      </c>
      <c r="B9" s="196" t="n">
        <v>0.892175417175418</v>
      </c>
      <c r="C9" s="197" t="n">
        <v>0.999714285714286</v>
      </c>
      <c r="D9" s="197" t="n">
        <v>0.896860405313035</v>
      </c>
      <c r="E9" s="248" t="n">
        <v>0.800560772293103</v>
      </c>
    </row>
    <row r="10" customFormat="false" ht="13.8" hidden="false" customHeight="false" outlineLevel="0" collapsed="false">
      <c r="A10" s="153" t="s">
        <v>2387</v>
      </c>
      <c r="B10" s="196" t="n">
        <v>0.924748563218391</v>
      </c>
      <c r="C10" s="197" t="n">
        <v>0.987183911234543</v>
      </c>
      <c r="D10" s="197" t="n">
        <v>0.9468105611794</v>
      </c>
      <c r="E10" s="248" t="n">
        <v>0.86583963269828</v>
      </c>
    </row>
    <row r="11" customFormat="false" ht="13.8" hidden="false" customHeight="false" outlineLevel="0" collapsed="false">
      <c r="A11" s="153" t="s">
        <v>2375</v>
      </c>
      <c r="B11" s="196" t="n">
        <v>0.920760233918129</v>
      </c>
      <c r="C11" s="197" t="n">
        <v>1</v>
      </c>
      <c r="D11" s="197" t="n">
        <v>0.894112266899767</v>
      </c>
      <c r="E11" s="248" t="n">
        <v>0.824100816276803</v>
      </c>
    </row>
    <row r="12" customFormat="false" ht="13.8" hidden="false" customHeight="false" outlineLevel="0" collapsed="false">
      <c r="A12" s="153" t="s">
        <v>52</v>
      </c>
      <c r="B12" s="196" t="n">
        <v>0.879782196969697</v>
      </c>
      <c r="C12" s="197" t="n">
        <v>0.999823094419511</v>
      </c>
      <c r="D12" s="197" t="n">
        <v>0.924688739278756</v>
      </c>
      <c r="E12" s="248" t="n">
        <v>0.812573107058856</v>
      </c>
    </row>
    <row r="13" customFormat="false" ht="13.8" hidden="false" customHeight="false" outlineLevel="0" collapsed="false">
      <c r="A13" s="153" t="s">
        <v>2388</v>
      </c>
      <c r="B13" s="196" t="n">
        <v>0.873858621407641</v>
      </c>
      <c r="C13" s="197" t="n">
        <v>0.992182554488712</v>
      </c>
      <c r="D13" s="197" t="n">
        <v>1.17984047895806</v>
      </c>
      <c r="E13" s="248" t="n">
        <v>1.03374613210608</v>
      </c>
    </row>
    <row r="14" customFormat="false" ht="13.8" hidden="false" customHeight="false" outlineLevel="0" collapsed="false">
      <c r="A14" s="153" t="s">
        <v>2389</v>
      </c>
      <c r="B14" s="200" t="n">
        <v>0.950805322128852</v>
      </c>
      <c r="C14" s="201" t="n">
        <v>0.999157453571581</v>
      </c>
      <c r="D14" s="201" t="n">
        <v>0.838074884117931</v>
      </c>
      <c r="E14" s="260" t="n">
        <v>0.804335066276789</v>
      </c>
    </row>
    <row r="15" customFormat="false" ht="13.8" hidden="false" customHeight="false" outlineLevel="0" collapsed="false">
      <c r="A15" s="164" t="s">
        <v>2383</v>
      </c>
      <c r="B15" s="204" t="n">
        <v>0.893864887416391</v>
      </c>
      <c r="C15" s="205" t="n">
        <v>0.991531148445561</v>
      </c>
      <c r="D15" s="205" t="n">
        <v>0.948010939919588</v>
      </c>
      <c r="E15" s="261" t="n">
        <v>0.843483751514647</v>
      </c>
    </row>
    <row r="18" customFormat="false" ht="13.8" hidden="false" customHeight="false" outlineLevel="0" collapsed="false">
      <c r="A18" s="794" t="s">
        <v>14</v>
      </c>
      <c r="B18" s="795" t="s">
        <v>2391</v>
      </c>
    </row>
    <row r="19" customFormat="false" ht="14.25" hidden="false" customHeight="true" outlineLevel="0" collapsed="false">
      <c r="A19" s="148" t="s">
        <v>71</v>
      </c>
      <c r="B19" s="796"/>
    </row>
    <row r="20" customFormat="false" ht="13.8" hidden="false" customHeight="false" outlineLevel="0" collapsed="false">
      <c r="A20" s="153" t="s">
        <v>64</v>
      </c>
      <c r="B20" s="797"/>
    </row>
    <row r="21" customFormat="false" ht="13.8" hidden="false" customHeight="false" outlineLevel="0" collapsed="false">
      <c r="A21" s="153" t="s">
        <v>2384</v>
      </c>
      <c r="B21" s="797"/>
    </row>
    <row r="22" customFormat="false" ht="13.8" hidden="false" customHeight="false" outlineLevel="0" collapsed="false">
      <c r="A22" s="153" t="s">
        <v>2385</v>
      </c>
      <c r="B22" s="797"/>
    </row>
    <row r="23" customFormat="false" ht="13.8" hidden="false" customHeight="false" outlineLevel="0" collapsed="false">
      <c r="A23" s="153" t="s">
        <v>2386</v>
      </c>
      <c r="B23" s="797"/>
    </row>
    <row r="24" customFormat="false" ht="13.8" hidden="false" customHeight="false" outlineLevel="0" collapsed="false">
      <c r="A24" s="153" t="s">
        <v>2387</v>
      </c>
      <c r="B24" s="797"/>
    </row>
    <row r="25" customFormat="false" ht="13.8" hidden="false" customHeight="false" outlineLevel="0" collapsed="false">
      <c r="A25" s="153" t="s">
        <v>2375</v>
      </c>
      <c r="B25" s="797"/>
    </row>
    <row r="26" customFormat="false" ht="13.8" hidden="false" customHeight="false" outlineLevel="0" collapsed="false">
      <c r="A26" s="153" t="s">
        <v>52</v>
      </c>
      <c r="B26" s="797"/>
    </row>
    <row r="27" customFormat="false" ht="13.8" hidden="false" customHeight="false" outlineLevel="0" collapsed="false">
      <c r="A27" s="153" t="s">
        <v>2388</v>
      </c>
      <c r="B27" s="797"/>
    </row>
    <row r="28" customFormat="false" ht="13.8" hidden="false" customHeight="false" outlineLevel="0" collapsed="false">
      <c r="A28" s="153" t="s">
        <v>2389</v>
      </c>
      <c r="B28" s="798"/>
    </row>
    <row r="29" customFormat="false" ht="13.8" hidden="false" customHeight="false" outlineLevel="0" collapsed="false">
      <c r="A29" s="164" t="s">
        <v>2383</v>
      </c>
      <c r="B29" s="18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O6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5" ySplit="3" topLeftCell="F40" activePane="bottomRight" state="frozen"/>
      <selection pane="topLeft" activeCell="A1" activeCellId="0" sqref="A1"/>
      <selection pane="topRight" activeCell="F1" activeCellId="0" sqref="F1"/>
      <selection pane="bottomLeft" activeCell="A40" activeCellId="0" sqref="A40"/>
      <selection pane="bottomRight" activeCell="A4" activeCellId="0" sqref="A4"/>
    </sheetView>
  </sheetViews>
  <sheetFormatPr defaultColWidth="8.54296875" defaultRowHeight="13.8" zeroHeight="false" outlineLevelRow="0" outlineLevelCol="0"/>
  <cols>
    <col collapsed="false" customWidth="true" hidden="false" outlineLevel="0" max="1" min="1" style="0" width="8.72"/>
    <col collapsed="false" customWidth="true" hidden="false" outlineLevel="0" max="2" min="2" style="0" width="6.46"/>
    <col collapsed="false" customWidth="true" hidden="false" outlineLevel="0" max="3" min="3" style="0" width="26.54"/>
    <col collapsed="false" customWidth="true" hidden="false" outlineLevel="0" max="4" min="4" style="0" width="8"/>
    <col collapsed="false" customWidth="true" hidden="false" outlineLevel="0" max="5" min="5" style="0" width="17.55"/>
    <col collapsed="false" customWidth="true" hidden="false" outlineLevel="0" max="6" min="6" style="0" width="9.45"/>
    <col collapsed="false" customWidth="true" hidden="false" outlineLevel="0" max="7" min="7" style="0" width="10.45"/>
    <col collapsed="false" customWidth="true" hidden="false" outlineLevel="0" max="8" min="8" style="0" width="9.45"/>
    <col collapsed="false" customWidth="true" hidden="false" outlineLevel="0" max="9" min="9" style="0" width="10.45"/>
    <col collapsed="false" customWidth="true" hidden="false" outlineLevel="0" max="10" min="10" style="0" width="9.45"/>
    <col collapsed="false" customWidth="true" hidden="false" outlineLevel="0" max="11" min="11" style="0" width="10.45"/>
    <col collapsed="false" customWidth="true" hidden="false" outlineLevel="0" max="12" min="12" style="0" width="9.45"/>
    <col collapsed="false" customWidth="true" hidden="false" outlineLevel="0" max="13" min="13" style="0" width="10.45"/>
    <col collapsed="false" customWidth="true" hidden="false" outlineLevel="0" max="14" min="14" style="0" width="9.45"/>
    <col collapsed="false" customWidth="true" hidden="false" outlineLevel="0" max="15" min="15" style="0" width="10.45"/>
    <col collapsed="false" customWidth="true" hidden="false" outlineLevel="0" max="16" min="16" style="0" width="9.45"/>
    <col collapsed="false" customWidth="true" hidden="false" outlineLevel="0" max="17" min="17" style="0" width="10.45"/>
    <col collapsed="false" customWidth="true" hidden="false" outlineLevel="0" max="18" min="18" style="0" width="9.45"/>
    <col collapsed="false" customWidth="true" hidden="false" outlineLevel="0" max="19" min="19" style="0" width="10.45"/>
    <col collapsed="false" customWidth="true" hidden="false" outlineLevel="0" max="20" min="20" style="0" width="9.45"/>
    <col collapsed="false" customWidth="true" hidden="false" outlineLevel="0" max="21" min="21" style="0" width="10.45"/>
    <col collapsed="false" customWidth="true" hidden="false" outlineLevel="0" max="22" min="22" style="0" width="9.45"/>
    <col collapsed="false" customWidth="true" hidden="false" outlineLevel="0" max="23" min="23" style="0" width="10.45"/>
    <col collapsed="false" customWidth="true" hidden="false" outlineLevel="0" max="24" min="24" style="0" width="9.45"/>
    <col collapsed="false" customWidth="true" hidden="false" outlineLevel="0" max="25" min="25" style="0" width="10.45"/>
    <col collapsed="false" customWidth="true" hidden="false" outlineLevel="0" max="26" min="26" style="0" width="9.45"/>
    <col collapsed="false" customWidth="true" hidden="false" outlineLevel="0" max="27" min="27" style="0" width="10.45"/>
    <col collapsed="false" customWidth="true" hidden="false" outlineLevel="0" max="28" min="28" style="0" width="9.45"/>
    <col collapsed="false" customWidth="true" hidden="false" outlineLevel="0" max="29" min="29" style="0" width="10.45"/>
    <col collapsed="false" customWidth="true" hidden="false" outlineLevel="0" max="30" min="30" style="0" width="9.45"/>
    <col collapsed="false" customWidth="true" hidden="false" outlineLevel="0" max="31" min="31" style="0" width="10.45"/>
    <col collapsed="false" customWidth="true" hidden="false" outlineLevel="0" max="32" min="32" style="0" width="9.45"/>
    <col collapsed="false" customWidth="true" hidden="false" outlineLevel="0" max="33" min="33" style="0" width="10.45"/>
    <col collapsed="false" customWidth="true" hidden="false" outlineLevel="0" max="34" min="34" style="0" width="9.45"/>
    <col collapsed="false" customWidth="true" hidden="false" outlineLevel="0" max="35" min="35" style="0" width="10.45"/>
    <col collapsed="false" customWidth="true" hidden="false" outlineLevel="0" max="36" min="36" style="0" width="9.45"/>
    <col collapsed="false" customWidth="true" hidden="false" outlineLevel="0" max="37" min="37" style="0" width="10.45"/>
    <col collapsed="false" customWidth="true" hidden="false" outlineLevel="0" max="38" min="38" style="0" width="9.45"/>
    <col collapsed="false" customWidth="true" hidden="false" outlineLevel="0" max="39" min="39" style="0" width="10.45"/>
    <col collapsed="false" customWidth="true" hidden="false" outlineLevel="0" max="40" min="40" style="0" width="9.45"/>
    <col collapsed="false" customWidth="true" hidden="false" outlineLevel="0" max="41" min="41" style="0" width="10.45"/>
    <col collapsed="false" customWidth="true" hidden="false" outlineLevel="0" max="42" min="42" style="0" width="9.45"/>
    <col collapsed="false" customWidth="true" hidden="false" outlineLevel="0" max="43" min="43" style="0" width="10.45"/>
    <col collapsed="false" customWidth="true" hidden="false" outlineLevel="0" max="44" min="44" style="0" width="9.45"/>
    <col collapsed="false" customWidth="true" hidden="false" outlineLevel="0" max="45" min="45" style="0" width="10.45"/>
    <col collapsed="false" customWidth="true" hidden="false" outlineLevel="0" max="46" min="46" style="0" width="9.45"/>
    <col collapsed="false" customWidth="true" hidden="false" outlineLevel="0" max="47" min="47" style="0" width="10.45"/>
    <col collapsed="false" customWidth="true" hidden="false" outlineLevel="0" max="48" min="48" style="0" width="9.45"/>
    <col collapsed="false" customWidth="true" hidden="false" outlineLevel="0" max="49" min="49" style="0" width="10.45"/>
    <col collapsed="false" customWidth="true" hidden="false" outlineLevel="0" max="50" min="50" style="0" width="9.45"/>
    <col collapsed="false" customWidth="true" hidden="false" outlineLevel="0" max="51" min="51" style="0" width="10.45"/>
    <col collapsed="false" customWidth="true" hidden="false" outlineLevel="0" max="52" min="52" style="0" width="9.45"/>
    <col collapsed="false" customWidth="true" hidden="false" outlineLevel="0" max="53" min="53" style="0" width="10.45"/>
    <col collapsed="false" customWidth="true" hidden="false" outlineLevel="0" max="54" min="54" style="0" width="9.45"/>
    <col collapsed="false" customWidth="true" hidden="false" outlineLevel="0" max="55" min="55" style="0" width="10.45"/>
    <col collapsed="false" customWidth="true" hidden="false" outlineLevel="0" max="56" min="56" style="0" width="9.45"/>
    <col collapsed="false" customWidth="true" hidden="false" outlineLevel="0" max="57" min="57" style="0" width="10.45"/>
    <col collapsed="false" customWidth="true" hidden="false" outlineLevel="0" max="58" min="58" style="0" width="9.45"/>
    <col collapsed="false" customWidth="true" hidden="false" outlineLevel="0" max="59" min="59" style="0" width="10.45"/>
    <col collapsed="false" customWidth="true" hidden="false" outlineLevel="0" max="60" min="60" style="0" width="9.45"/>
    <col collapsed="false" customWidth="true" hidden="false" outlineLevel="0" max="61" min="61" style="0" width="10.45"/>
    <col collapsed="false" customWidth="true" hidden="false" outlineLevel="0" max="62" min="62" style="0" width="9.45"/>
    <col collapsed="false" customWidth="true" hidden="false" outlineLevel="0" max="63" min="63" style="0" width="10.45"/>
    <col collapsed="false" customWidth="true" hidden="false" outlineLevel="0" max="64" min="64" style="0" width="9.45"/>
    <col collapsed="false" customWidth="true" hidden="false" outlineLevel="0" max="65" min="65" style="0" width="10.45"/>
    <col collapsed="false" customWidth="true" hidden="false" outlineLevel="0" max="66" min="66" style="0" width="9.45"/>
    <col collapsed="false" customWidth="true" hidden="false" outlineLevel="0" max="67" min="67" style="0" width="10.45"/>
  </cols>
  <sheetData>
    <row r="2" customFormat="false" ht="14.9" hidden="false" customHeight="true" outlineLevel="0" collapsed="false">
      <c r="B2" s="549" t="s">
        <v>4019</v>
      </c>
      <c r="C2" s="799" t="s">
        <v>14</v>
      </c>
      <c r="D2" s="800" t="s">
        <v>4020</v>
      </c>
      <c r="E2" s="550" t="s">
        <v>4021</v>
      </c>
      <c r="F2" s="801" t="n">
        <v>1</v>
      </c>
      <c r="G2" s="801"/>
      <c r="H2" s="138" t="n">
        <v>2</v>
      </c>
      <c r="I2" s="138"/>
      <c r="J2" s="138" t="n">
        <v>3</v>
      </c>
      <c r="K2" s="138"/>
      <c r="L2" s="138" t="n">
        <v>4</v>
      </c>
      <c r="M2" s="138"/>
      <c r="N2" s="138" t="n">
        <v>5</v>
      </c>
      <c r="O2" s="138"/>
      <c r="P2" s="138" t="n">
        <v>6</v>
      </c>
      <c r="Q2" s="138"/>
      <c r="R2" s="138" t="n">
        <v>7</v>
      </c>
      <c r="S2" s="138"/>
      <c r="T2" s="801"/>
      <c r="U2" s="801"/>
      <c r="V2" s="138" t="n">
        <v>9</v>
      </c>
      <c r="W2" s="138"/>
      <c r="X2" s="138" t="n">
        <v>10</v>
      </c>
      <c r="Y2" s="138"/>
      <c r="Z2" s="138" t="n">
        <v>11</v>
      </c>
      <c r="AA2" s="138"/>
      <c r="AB2" s="138" t="n">
        <v>12</v>
      </c>
      <c r="AC2" s="138"/>
      <c r="AD2" s="138" t="n">
        <v>13</v>
      </c>
      <c r="AE2" s="138"/>
      <c r="AF2" s="801" t="n">
        <v>14</v>
      </c>
      <c r="AG2" s="801"/>
      <c r="AH2" s="801" t="n">
        <v>15</v>
      </c>
      <c r="AI2" s="801"/>
      <c r="AJ2" s="801" t="n">
        <v>16</v>
      </c>
      <c r="AK2" s="801"/>
      <c r="AL2" s="138" t="n">
        <v>17</v>
      </c>
      <c r="AM2" s="138"/>
      <c r="AN2" s="138" t="n">
        <v>18</v>
      </c>
      <c r="AO2" s="138"/>
      <c r="AP2" s="138" t="n">
        <v>19</v>
      </c>
      <c r="AQ2" s="138"/>
      <c r="AR2" s="138" t="n">
        <v>20</v>
      </c>
      <c r="AS2" s="138"/>
      <c r="AT2" s="138" t="n">
        <v>21</v>
      </c>
      <c r="AU2" s="138"/>
      <c r="AV2" s="801" t="n">
        <v>22</v>
      </c>
      <c r="AW2" s="801"/>
      <c r="AX2" s="801" t="n">
        <v>23</v>
      </c>
      <c r="AY2" s="801" t="n">
        <v>24</v>
      </c>
      <c r="AZ2" s="138" t="n">
        <v>24</v>
      </c>
      <c r="BA2" s="138" t="n">
        <v>24</v>
      </c>
      <c r="BB2" s="138" t="n">
        <v>25</v>
      </c>
      <c r="BC2" s="138" t="n">
        <v>25</v>
      </c>
      <c r="BD2" s="138" t="n">
        <v>26</v>
      </c>
      <c r="BE2" s="138"/>
      <c r="BF2" s="138" t="n">
        <v>27</v>
      </c>
      <c r="BG2" s="138"/>
      <c r="BH2" s="138" t="n">
        <v>28</v>
      </c>
      <c r="BI2" s="138"/>
      <c r="BJ2" s="801" t="n">
        <v>29</v>
      </c>
      <c r="BK2" s="801"/>
      <c r="BL2" s="801" t="n">
        <v>30</v>
      </c>
      <c r="BM2" s="801"/>
      <c r="BN2" s="138" t="n">
        <v>31</v>
      </c>
      <c r="BO2" s="138"/>
    </row>
    <row r="3" customFormat="false" ht="13.8" hidden="false" customHeight="false" outlineLevel="0" collapsed="false">
      <c r="B3" s="549"/>
      <c r="C3" s="799"/>
      <c r="D3" s="800"/>
      <c r="E3" s="550"/>
      <c r="F3" s="802" t="s">
        <v>4022</v>
      </c>
      <c r="G3" s="803" t="s">
        <v>4023</v>
      </c>
      <c r="H3" s="804" t="s">
        <v>4022</v>
      </c>
      <c r="I3" s="138" t="s">
        <v>4023</v>
      </c>
      <c r="J3" s="804" t="s">
        <v>4022</v>
      </c>
      <c r="K3" s="138" t="s">
        <v>4023</v>
      </c>
      <c r="L3" s="804" t="s">
        <v>4022</v>
      </c>
      <c r="M3" s="138" t="s">
        <v>4023</v>
      </c>
      <c r="N3" s="804" t="s">
        <v>4022</v>
      </c>
      <c r="O3" s="138" t="s">
        <v>4023</v>
      </c>
      <c r="P3" s="804" t="s">
        <v>4022</v>
      </c>
      <c r="Q3" s="138" t="s">
        <v>4023</v>
      </c>
      <c r="R3" s="804" t="s">
        <v>4022</v>
      </c>
      <c r="S3" s="138" t="s">
        <v>4023</v>
      </c>
      <c r="T3" s="802"/>
      <c r="U3" s="803"/>
      <c r="V3" s="804" t="s">
        <v>4022</v>
      </c>
      <c r="W3" s="138" t="s">
        <v>4023</v>
      </c>
      <c r="X3" s="804" t="s">
        <v>4022</v>
      </c>
      <c r="Y3" s="138" t="s">
        <v>4023</v>
      </c>
      <c r="Z3" s="804" t="s">
        <v>4022</v>
      </c>
      <c r="AA3" s="138" t="s">
        <v>4023</v>
      </c>
      <c r="AB3" s="804" t="s">
        <v>4022</v>
      </c>
      <c r="AC3" s="138" t="s">
        <v>4023</v>
      </c>
      <c r="AD3" s="804" t="s">
        <v>4022</v>
      </c>
      <c r="AE3" s="138" t="s">
        <v>4023</v>
      </c>
      <c r="AF3" s="802" t="s">
        <v>4022</v>
      </c>
      <c r="AG3" s="803" t="s">
        <v>4023</v>
      </c>
      <c r="AH3" s="802" t="s">
        <v>4022</v>
      </c>
      <c r="AI3" s="803" t="s">
        <v>4023</v>
      </c>
      <c r="AJ3" s="802" t="s">
        <v>4022</v>
      </c>
      <c r="AK3" s="803" t="s">
        <v>4023</v>
      </c>
      <c r="AL3" s="804" t="s">
        <v>4022</v>
      </c>
      <c r="AM3" s="138" t="s">
        <v>4023</v>
      </c>
      <c r="AN3" s="804" t="s">
        <v>4022</v>
      </c>
      <c r="AO3" s="138" t="s">
        <v>4023</v>
      </c>
      <c r="AP3" s="804" t="s">
        <v>4022</v>
      </c>
      <c r="AQ3" s="138" t="s">
        <v>4023</v>
      </c>
      <c r="AR3" s="804" t="s">
        <v>4022</v>
      </c>
      <c r="AS3" s="138" t="s">
        <v>4023</v>
      </c>
      <c r="AT3" s="804" t="s">
        <v>4022</v>
      </c>
      <c r="AU3" s="138" t="s">
        <v>4023</v>
      </c>
      <c r="AV3" s="802" t="s">
        <v>4022</v>
      </c>
      <c r="AW3" s="803" t="s">
        <v>4023</v>
      </c>
      <c r="AX3" s="802" t="s">
        <v>4022</v>
      </c>
      <c r="AY3" s="803" t="s">
        <v>4023</v>
      </c>
      <c r="AZ3" s="804" t="s">
        <v>4022</v>
      </c>
      <c r="BA3" s="138" t="s">
        <v>4023</v>
      </c>
      <c r="BB3" s="138" t="s">
        <v>4022</v>
      </c>
      <c r="BC3" s="138" t="s">
        <v>4023</v>
      </c>
      <c r="BD3" s="804" t="s">
        <v>4022</v>
      </c>
      <c r="BE3" s="138" t="s">
        <v>4023</v>
      </c>
      <c r="BF3" s="804" t="s">
        <v>4022</v>
      </c>
      <c r="BG3" s="138" t="s">
        <v>4023</v>
      </c>
      <c r="BH3" s="804" t="s">
        <v>4022</v>
      </c>
      <c r="BI3" s="138" t="s">
        <v>4023</v>
      </c>
      <c r="BJ3" s="802" t="s">
        <v>4022</v>
      </c>
      <c r="BK3" s="803" t="s">
        <v>4023</v>
      </c>
      <c r="BL3" s="802" t="s">
        <v>4022</v>
      </c>
      <c r="BM3" s="803" t="s">
        <v>4023</v>
      </c>
      <c r="BN3" s="804" t="s">
        <v>4022</v>
      </c>
      <c r="BO3" s="138" t="s">
        <v>4023</v>
      </c>
    </row>
    <row r="4" customFormat="false" ht="13.8" hidden="false" customHeight="false" outlineLevel="0" collapsed="false">
      <c r="B4" s="4" t="n">
        <v>1</v>
      </c>
      <c r="C4" s="805" t="s">
        <v>4024</v>
      </c>
      <c r="D4" s="121" t="s">
        <v>4025</v>
      </c>
      <c r="E4" s="799" t="s">
        <v>1481</v>
      </c>
      <c r="F4" s="802"/>
      <c r="G4" s="803" t="n">
        <v>0</v>
      </c>
      <c r="H4" s="804" t="s">
        <v>51</v>
      </c>
      <c r="I4" s="549" t="n">
        <v>0</v>
      </c>
      <c r="J4" s="804" t="s">
        <v>4025</v>
      </c>
      <c r="K4" s="549" t="n">
        <v>0</v>
      </c>
      <c r="L4" s="804" t="s">
        <v>51</v>
      </c>
      <c r="M4" s="549" t="n">
        <v>0</v>
      </c>
      <c r="N4" s="804" t="s">
        <v>51</v>
      </c>
      <c r="O4" s="549" t="n">
        <v>0</v>
      </c>
      <c r="P4" s="804" t="s">
        <v>51</v>
      </c>
      <c r="Q4" s="549" t="n">
        <v>0</v>
      </c>
      <c r="R4" s="804" t="s">
        <v>51</v>
      </c>
      <c r="S4" s="549" t="n">
        <v>0</v>
      </c>
      <c r="T4" s="802"/>
      <c r="U4" s="803"/>
      <c r="V4" s="804" t="s">
        <v>51</v>
      </c>
      <c r="W4" s="549" t="n">
        <v>0</v>
      </c>
      <c r="X4" s="804" t="s">
        <v>51</v>
      </c>
      <c r="Y4" s="549" t="n">
        <v>0</v>
      </c>
      <c r="Z4" s="804" t="s">
        <v>51</v>
      </c>
      <c r="AA4" s="549" t="n">
        <v>0</v>
      </c>
      <c r="AB4" s="804" t="s">
        <v>51</v>
      </c>
      <c r="AC4" s="549" t="n">
        <v>0</v>
      </c>
      <c r="AD4" s="804" t="s">
        <v>51</v>
      </c>
      <c r="AE4" s="549" t="n">
        <v>0</v>
      </c>
      <c r="AF4" s="802"/>
      <c r="AG4" s="803"/>
      <c r="AH4" s="802"/>
      <c r="AI4" s="803"/>
      <c r="AJ4" s="802"/>
      <c r="AK4" s="803"/>
      <c r="AL4" s="804" t="s">
        <v>4025</v>
      </c>
      <c r="AM4" s="549" t="n">
        <v>0</v>
      </c>
      <c r="AN4" s="804" t="s">
        <v>4025</v>
      </c>
      <c r="AO4" s="549" t="n">
        <v>0</v>
      </c>
      <c r="AP4" s="804" t="s">
        <v>4025</v>
      </c>
      <c r="AQ4" s="549" t="n">
        <v>0</v>
      </c>
      <c r="AR4" s="804" t="s">
        <v>4025</v>
      </c>
      <c r="AS4" s="549" t="n">
        <v>0</v>
      </c>
      <c r="AT4" s="804" t="s">
        <v>4025</v>
      </c>
      <c r="AU4" s="549" t="n">
        <v>0</v>
      </c>
      <c r="AV4" s="802"/>
      <c r="AW4" s="803"/>
      <c r="AX4" s="802"/>
      <c r="AY4" s="803"/>
      <c r="AZ4" s="549" t="s">
        <v>4025</v>
      </c>
      <c r="BA4" s="804" t="n">
        <v>0</v>
      </c>
      <c r="BB4" s="549" t="s">
        <v>4025</v>
      </c>
      <c r="BC4" s="549" t="s">
        <v>4025</v>
      </c>
      <c r="BD4" s="804" t="s">
        <v>4025</v>
      </c>
      <c r="BE4" s="549" t="n">
        <v>0</v>
      </c>
      <c r="BF4" s="804" t="s">
        <v>4026</v>
      </c>
      <c r="BG4" s="549" t="n">
        <v>0</v>
      </c>
      <c r="BH4" s="804" t="s">
        <v>4026</v>
      </c>
      <c r="BI4" s="549" t="n">
        <v>0</v>
      </c>
      <c r="BJ4" s="802"/>
      <c r="BK4" s="803"/>
      <c r="BL4" s="802"/>
      <c r="BM4" s="803"/>
      <c r="BN4" s="804" t="s">
        <v>4026</v>
      </c>
      <c r="BO4" s="549" t="n">
        <v>0</v>
      </c>
    </row>
    <row r="5" customFormat="false" ht="13.8" hidden="false" customHeight="false" outlineLevel="0" collapsed="false">
      <c r="B5" s="4" t="n">
        <v>2</v>
      </c>
      <c r="C5" s="805" t="s">
        <v>4024</v>
      </c>
      <c r="D5" s="121" t="s">
        <v>4025</v>
      </c>
      <c r="E5" s="799" t="s">
        <v>4027</v>
      </c>
      <c r="F5" s="802"/>
      <c r="G5" s="803" t="n">
        <v>0</v>
      </c>
      <c r="H5" s="804" t="s">
        <v>4025</v>
      </c>
      <c r="I5" s="549" t="n">
        <v>0</v>
      </c>
      <c r="J5" s="804" t="s">
        <v>51</v>
      </c>
      <c r="K5" s="549" t="n">
        <v>0</v>
      </c>
      <c r="L5" s="804" t="s">
        <v>4025</v>
      </c>
      <c r="M5" s="549" t="n">
        <v>0</v>
      </c>
      <c r="N5" s="804" t="s">
        <v>4028</v>
      </c>
      <c r="O5" s="549" t="n">
        <v>0</v>
      </c>
      <c r="P5" s="804" t="s">
        <v>4028</v>
      </c>
      <c r="Q5" s="549" t="n">
        <v>0</v>
      </c>
      <c r="R5" s="804" t="s">
        <v>4025</v>
      </c>
      <c r="S5" s="549" t="n">
        <v>0</v>
      </c>
      <c r="T5" s="802"/>
      <c r="U5" s="803"/>
      <c r="V5" s="804" t="s">
        <v>4025</v>
      </c>
      <c r="W5" s="549" t="n">
        <v>0</v>
      </c>
      <c r="X5" s="804" t="s">
        <v>4025</v>
      </c>
      <c r="Y5" s="549" t="n">
        <v>0</v>
      </c>
      <c r="Z5" s="804" t="s">
        <v>4025</v>
      </c>
      <c r="AA5" s="549" t="n">
        <v>0</v>
      </c>
      <c r="AB5" s="804" t="s">
        <v>4025</v>
      </c>
      <c r="AC5" s="549" t="n">
        <v>0</v>
      </c>
      <c r="AD5" s="804" t="s">
        <v>4025</v>
      </c>
      <c r="AE5" s="549" t="n">
        <v>0</v>
      </c>
      <c r="AF5" s="802"/>
      <c r="AG5" s="803"/>
      <c r="AH5" s="802"/>
      <c r="AI5" s="803"/>
      <c r="AJ5" s="802"/>
      <c r="AK5" s="803"/>
      <c r="AL5" s="804" t="s">
        <v>4025</v>
      </c>
      <c r="AM5" s="549" t="n">
        <v>0</v>
      </c>
      <c r="AN5" s="804" t="s">
        <v>4025</v>
      </c>
      <c r="AO5" s="549" t="n">
        <v>0</v>
      </c>
      <c r="AP5" s="804" t="s">
        <v>51</v>
      </c>
      <c r="AQ5" s="549" t="n">
        <v>0</v>
      </c>
      <c r="AR5" s="804" t="s">
        <v>51</v>
      </c>
      <c r="AS5" s="549" t="n">
        <v>0</v>
      </c>
      <c r="AT5" s="804" t="s">
        <v>51</v>
      </c>
      <c r="AU5" s="549" t="n">
        <v>0</v>
      </c>
      <c r="AV5" s="802"/>
      <c r="AW5" s="803"/>
      <c r="AX5" s="802"/>
      <c r="AY5" s="803"/>
      <c r="AZ5" s="549" t="s">
        <v>51</v>
      </c>
      <c r="BA5" s="804" t="n">
        <v>0</v>
      </c>
      <c r="BB5" s="549" t="s">
        <v>51</v>
      </c>
      <c r="BC5" s="549" t="s">
        <v>51</v>
      </c>
      <c r="BD5" s="804" t="s">
        <v>51</v>
      </c>
      <c r="BE5" s="549" t="n">
        <v>0</v>
      </c>
      <c r="BF5" s="804" t="s">
        <v>4026</v>
      </c>
      <c r="BG5" s="549" t="n">
        <v>0</v>
      </c>
      <c r="BH5" s="804" t="s">
        <v>4026</v>
      </c>
      <c r="BI5" s="549" t="n">
        <v>0</v>
      </c>
      <c r="BJ5" s="802"/>
      <c r="BK5" s="803"/>
      <c r="BL5" s="802"/>
      <c r="BM5" s="803"/>
      <c r="BN5" s="804" t="s">
        <v>4026</v>
      </c>
      <c r="BO5" s="549" t="n">
        <v>0</v>
      </c>
    </row>
    <row r="6" customFormat="false" ht="13.8" hidden="false" customHeight="false" outlineLevel="0" collapsed="false">
      <c r="B6" s="4" t="n">
        <v>3</v>
      </c>
      <c r="C6" s="805" t="s">
        <v>4024</v>
      </c>
      <c r="D6" s="121" t="s">
        <v>4025</v>
      </c>
      <c r="E6" s="799" t="s">
        <v>1486</v>
      </c>
      <c r="F6" s="802"/>
      <c r="G6" s="803" t="n">
        <v>0</v>
      </c>
      <c r="H6" s="804" t="s">
        <v>51</v>
      </c>
      <c r="I6" s="549" t="n">
        <v>0</v>
      </c>
      <c r="J6" s="804" t="s">
        <v>4026</v>
      </c>
      <c r="K6" s="549" t="n">
        <v>0</v>
      </c>
      <c r="L6" s="804" t="s">
        <v>51</v>
      </c>
      <c r="M6" s="549" t="n">
        <v>0</v>
      </c>
      <c r="N6" s="804" t="s">
        <v>51</v>
      </c>
      <c r="O6" s="549" t="n">
        <v>0</v>
      </c>
      <c r="P6" s="804" t="s">
        <v>51</v>
      </c>
      <c r="Q6" s="549" t="n">
        <v>0</v>
      </c>
      <c r="R6" s="804" t="s">
        <v>51</v>
      </c>
      <c r="S6" s="549" t="n">
        <v>0</v>
      </c>
      <c r="T6" s="802"/>
      <c r="U6" s="803"/>
      <c r="V6" s="804" t="s">
        <v>4025</v>
      </c>
      <c r="W6" s="549" t="n">
        <v>0</v>
      </c>
      <c r="X6" s="804" t="s">
        <v>4025</v>
      </c>
      <c r="Y6" s="549" t="n">
        <v>0</v>
      </c>
      <c r="Z6" s="804" t="s">
        <v>4025</v>
      </c>
      <c r="AA6" s="549" t="n">
        <v>0</v>
      </c>
      <c r="AB6" s="804" t="s">
        <v>4025</v>
      </c>
      <c r="AC6" s="549" t="n">
        <v>0</v>
      </c>
      <c r="AD6" s="804" t="s">
        <v>4025</v>
      </c>
      <c r="AE6" s="549" t="n">
        <v>0</v>
      </c>
      <c r="AF6" s="802"/>
      <c r="AG6" s="803"/>
      <c r="AH6" s="802"/>
      <c r="AI6" s="803"/>
      <c r="AJ6" s="802"/>
      <c r="AK6" s="803"/>
      <c r="AL6" s="804" t="s">
        <v>4025</v>
      </c>
      <c r="AM6" s="549" t="n">
        <v>0</v>
      </c>
      <c r="AN6" s="804" t="s">
        <v>4025</v>
      </c>
      <c r="AO6" s="549" t="n">
        <v>0</v>
      </c>
      <c r="AP6" s="804" t="s">
        <v>4025</v>
      </c>
      <c r="AQ6" s="549" t="n">
        <v>0</v>
      </c>
      <c r="AR6" s="804" t="s">
        <v>4025</v>
      </c>
      <c r="AS6" s="549" t="n">
        <v>0</v>
      </c>
      <c r="AT6" s="804" t="s">
        <v>4025</v>
      </c>
      <c r="AU6" s="549" t="n">
        <v>0</v>
      </c>
      <c r="AV6" s="802"/>
      <c r="AW6" s="803"/>
      <c r="AX6" s="802"/>
      <c r="AY6" s="803"/>
      <c r="AZ6" s="549" t="s">
        <v>4025</v>
      </c>
      <c r="BA6" s="804" t="n">
        <v>0</v>
      </c>
      <c r="BB6" s="549" t="s">
        <v>4025</v>
      </c>
      <c r="BC6" s="549" t="s">
        <v>4025</v>
      </c>
      <c r="BD6" s="804" t="s">
        <v>4025</v>
      </c>
      <c r="BE6" s="549" t="n">
        <v>0</v>
      </c>
      <c r="BF6" s="804" t="s">
        <v>4026</v>
      </c>
      <c r="BG6" s="549" t="n">
        <v>0</v>
      </c>
      <c r="BH6" s="804" t="s">
        <v>4026</v>
      </c>
      <c r="BI6" s="549" t="n">
        <v>0</v>
      </c>
      <c r="BJ6" s="802"/>
      <c r="BK6" s="803"/>
      <c r="BL6" s="802"/>
      <c r="BM6" s="803"/>
      <c r="BN6" s="804" t="s">
        <v>4026</v>
      </c>
      <c r="BO6" s="549" t="n">
        <v>0</v>
      </c>
    </row>
    <row r="7" customFormat="false" ht="13.8" hidden="false" customHeight="false" outlineLevel="0" collapsed="false">
      <c r="B7" s="4" t="n">
        <v>4</v>
      </c>
      <c r="C7" s="805" t="s">
        <v>4029</v>
      </c>
      <c r="D7" s="121" t="s">
        <v>4026</v>
      </c>
      <c r="E7" s="799" t="s">
        <v>4030</v>
      </c>
      <c r="F7" s="802"/>
      <c r="G7" s="803" t="n">
        <v>0</v>
      </c>
      <c r="H7" s="804" t="s">
        <v>4026</v>
      </c>
      <c r="I7" s="549" t="n">
        <v>0</v>
      </c>
      <c r="J7" s="804" t="s">
        <v>4026</v>
      </c>
      <c r="K7" s="549" t="n">
        <v>0</v>
      </c>
      <c r="L7" s="804" t="s">
        <v>4026</v>
      </c>
      <c r="M7" s="549" t="n">
        <v>0</v>
      </c>
      <c r="N7" s="804" t="s">
        <v>4026</v>
      </c>
      <c r="O7" s="549" t="n">
        <v>0</v>
      </c>
      <c r="P7" s="804" t="s">
        <v>4026</v>
      </c>
      <c r="Q7" s="549" t="n">
        <v>0</v>
      </c>
      <c r="R7" s="804" t="s">
        <v>4026</v>
      </c>
      <c r="S7" s="549" t="n">
        <v>0</v>
      </c>
      <c r="T7" s="802"/>
      <c r="U7" s="803"/>
      <c r="V7" s="804" t="s">
        <v>4026</v>
      </c>
      <c r="W7" s="549" t="n">
        <v>0</v>
      </c>
      <c r="X7" s="804" t="s">
        <v>4026</v>
      </c>
      <c r="Y7" s="549" t="n">
        <v>0</v>
      </c>
      <c r="Z7" s="804" t="s">
        <v>4026</v>
      </c>
      <c r="AA7" s="549" t="n">
        <v>0</v>
      </c>
      <c r="AB7" s="804" t="s">
        <v>4026</v>
      </c>
      <c r="AC7" s="549" t="n">
        <v>0</v>
      </c>
      <c r="AD7" s="804" t="s">
        <v>4026</v>
      </c>
      <c r="AE7" s="549" t="n">
        <v>0</v>
      </c>
      <c r="AF7" s="802"/>
      <c r="AG7" s="803"/>
      <c r="AH7" s="802"/>
      <c r="AI7" s="803"/>
      <c r="AJ7" s="802"/>
      <c r="AK7" s="803"/>
      <c r="AL7" s="804" t="s">
        <v>4026</v>
      </c>
      <c r="AM7" s="549" t="n">
        <v>0</v>
      </c>
      <c r="AN7" s="804" t="s">
        <v>4026</v>
      </c>
      <c r="AO7" s="549" t="n">
        <v>0</v>
      </c>
      <c r="AP7" s="804" t="s">
        <v>4026</v>
      </c>
      <c r="AQ7" s="549" t="n">
        <v>0</v>
      </c>
      <c r="AR7" s="804" t="s">
        <v>4026</v>
      </c>
      <c r="AS7" s="549" t="n">
        <v>0</v>
      </c>
      <c r="AT7" s="804" t="s">
        <v>4026</v>
      </c>
      <c r="AU7" s="549" t="n">
        <v>0</v>
      </c>
      <c r="AV7" s="802"/>
      <c r="AW7" s="803"/>
      <c r="AX7" s="802"/>
      <c r="AY7" s="803"/>
      <c r="AZ7" s="549" t="s">
        <v>4026</v>
      </c>
      <c r="BA7" s="804" t="n">
        <v>0</v>
      </c>
      <c r="BB7" s="549" t="s">
        <v>4026</v>
      </c>
      <c r="BC7" s="549" t="s">
        <v>4026</v>
      </c>
      <c r="BD7" s="804" t="s">
        <v>4026</v>
      </c>
      <c r="BE7" s="549" t="n">
        <v>0</v>
      </c>
      <c r="BF7" s="804" t="s">
        <v>4031</v>
      </c>
      <c r="BG7" s="549" t="n">
        <v>0</v>
      </c>
      <c r="BH7" s="804" t="s">
        <v>4031</v>
      </c>
      <c r="BI7" s="549" t="n">
        <v>0</v>
      </c>
      <c r="BJ7" s="802"/>
      <c r="BK7" s="803"/>
      <c r="BL7" s="802"/>
      <c r="BM7" s="803"/>
      <c r="BN7" s="804" t="s">
        <v>4031</v>
      </c>
      <c r="BO7" s="549" t="n">
        <v>0</v>
      </c>
    </row>
    <row r="8" customFormat="false" ht="13.8" hidden="false" customHeight="false" outlineLevel="0" collapsed="false">
      <c r="B8" s="4" t="n">
        <v>5</v>
      </c>
      <c r="C8" s="805" t="s">
        <v>4029</v>
      </c>
      <c r="D8" s="121" t="s">
        <v>4026</v>
      </c>
      <c r="E8" s="799" t="s">
        <v>1526</v>
      </c>
      <c r="F8" s="802"/>
      <c r="G8" s="803" t="n">
        <v>0</v>
      </c>
      <c r="H8" s="804" t="s">
        <v>4026</v>
      </c>
      <c r="I8" s="549" t="n">
        <v>0</v>
      </c>
      <c r="J8" s="804" t="s">
        <v>4026</v>
      </c>
      <c r="K8" s="549" t="n">
        <v>0</v>
      </c>
      <c r="L8" s="804" t="s">
        <v>4026</v>
      </c>
      <c r="M8" s="549" t="n">
        <v>0</v>
      </c>
      <c r="N8" s="804" t="s">
        <v>4026</v>
      </c>
      <c r="O8" s="549" t="n">
        <v>0</v>
      </c>
      <c r="P8" s="804" t="s">
        <v>4026</v>
      </c>
      <c r="Q8" s="549" t="n">
        <v>0</v>
      </c>
      <c r="R8" s="804" t="s">
        <v>4026</v>
      </c>
      <c r="S8" s="549" t="n">
        <v>0</v>
      </c>
      <c r="T8" s="802"/>
      <c r="U8" s="803"/>
      <c r="V8" s="804" t="s">
        <v>4026</v>
      </c>
      <c r="W8" s="549" t="n">
        <v>0</v>
      </c>
      <c r="X8" s="804" t="s">
        <v>4026</v>
      </c>
      <c r="Y8" s="549" t="n">
        <v>0</v>
      </c>
      <c r="Z8" s="804" t="s">
        <v>4026</v>
      </c>
      <c r="AA8" s="549" t="n">
        <v>0</v>
      </c>
      <c r="AB8" s="804" t="s">
        <v>4026</v>
      </c>
      <c r="AC8" s="549" t="n">
        <v>0</v>
      </c>
      <c r="AD8" s="804" t="s">
        <v>4026</v>
      </c>
      <c r="AE8" s="549" t="n">
        <v>0</v>
      </c>
      <c r="AF8" s="802"/>
      <c r="AG8" s="803"/>
      <c r="AH8" s="802"/>
      <c r="AI8" s="803"/>
      <c r="AJ8" s="802"/>
      <c r="AK8" s="803"/>
      <c r="AL8" s="804" t="s">
        <v>4026</v>
      </c>
      <c r="AM8" s="549" t="n">
        <v>0</v>
      </c>
      <c r="AN8" s="804" t="s">
        <v>4026</v>
      </c>
      <c r="AO8" s="549" t="n">
        <v>0</v>
      </c>
      <c r="AP8" s="804" t="s">
        <v>4026</v>
      </c>
      <c r="AQ8" s="549" t="n">
        <v>0</v>
      </c>
      <c r="AR8" s="804" t="s">
        <v>4026</v>
      </c>
      <c r="AS8" s="549" t="n">
        <v>0</v>
      </c>
      <c r="AT8" s="804" t="s">
        <v>4026</v>
      </c>
      <c r="AU8" s="549" t="n">
        <v>0</v>
      </c>
      <c r="AV8" s="802"/>
      <c r="AW8" s="803"/>
      <c r="AX8" s="802"/>
      <c r="AY8" s="803"/>
      <c r="AZ8" s="549" t="s">
        <v>4026</v>
      </c>
      <c r="BA8" s="804" t="n">
        <v>0</v>
      </c>
      <c r="BB8" s="549" t="s">
        <v>4026</v>
      </c>
      <c r="BC8" s="549" t="s">
        <v>4026</v>
      </c>
      <c r="BD8" s="804" t="s">
        <v>4026</v>
      </c>
      <c r="BE8" s="549" t="n">
        <v>0</v>
      </c>
      <c r="BF8" s="804" t="s">
        <v>4031</v>
      </c>
      <c r="BG8" s="549" t="n">
        <v>0</v>
      </c>
      <c r="BH8" s="804" t="s">
        <v>4031</v>
      </c>
      <c r="BI8" s="549" t="n">
        <v>0</v>
      </c>
      <c r="BJ8" s="802"/>
      <c r="BK8" s="803"/>
      <c r="BL8" s="802"/>
      <c r="BM8" s="803"/>
      <c r="BN8" s="804" t="s">
        <v>4031</v>
      </c>
      <c r="BO8" s="549" t="n">
        <v>0</v>
      </c>
    </row>
    <row r="9" customFormat="false" ht="13.8" hidden="false" customHeight="false" outlineLevel="0" collapsed="false">
      <c r="B9" s="4" t="n">
        <v>6</v>
      </c>
      <c r="C9" s="805" t="s">
        <v>4029</v>
      </c>
      <c r="D9" s="121" t="s">
        <v>4026</v>
      </c>
      <c r="E9" s="799" t="s">
        <v>4032</v>
      </c>
      <c r="F9" s="802"/>
      <c r="G9" s="803" t="n">
        <v>0</v>
      </c>
      <c r="H9" s="804" t="s">
        <v>4026</v>
      </c>
      <c r="I9" s="549" t="n">
        <v>0</v>
      </c>
      <c r="J9" s="804" t="s">
        <v>4026</v>
      </c>
      <c r="K9" s="549" t="n">
        <v>0</v>
      </c>
      <c r="L9" s="804" t="s">
        <v>4026</v>
      </c>
      <c r="M9" s="549" t="n">
        <v>0</v>
      </c>
      <c r="N9" s="804" t="s">
        <v>4026</v>
      </c>
      <c r="O9" s="549" t="n">
        <v>0</v>
      </c>
      <c r="P9" s="804" t="s">
        <v>4026</v>
      </c>
      <c r="Q9" s="549" t="n">
        <v>0</v>
      </c>
      <c r="R9" s="804" t="s">
        <v>4026</v>
      </c>
      <c r="S9" s="549" t="n">
        <v>0</v>
      </c>
      <c r="T9" s="802"/>
      <c r="U9" s="803"/>
      <c r="V9" s="804" t="s">
        <v>4026</v>
      </c>
      <c r="W9" s="549" t="n">
        <v>0</v>
      </c>
      <c r="X9" s="804" t="s">
        <v>4026</v>
      </c>
      <c r="Y9" s="549" t="n">
        <v>0</v>
      </c>
      <c r="Z9" s="804" t="s">
        <v>4026</v>
      </c>
      <c r="AA9" s="549" t="n">
        <v>0</v>
      </c>
      <c r="AB9" s="804" t="s">
        <v>4026</v>
      </c>
      <c r="AC9" s="549" t="n">
        <v>0</v>
      </c>
      <c r="AD9" s="804" t="s">
        <v>4026</v>
      </c>
      <c r="AE9" s="549" t="n">
        <v>0</v>
      </c>
      <c r="AF9" s="802"/>
      <c r="AG9" s="803"/>
      <c r="AH9" s="802"/>
      <c r="AI9" s="803"/>
      <c r="AJ9" s="802"/>
      <c r="AK9" s="803"/>
      <c r="AL9" s="804" t="s">
        <v>4026</v>
      </c>
      <c r="AM9" s="549" t="n">
        <v>0</v>
      </c>
      <c r="AN9" s="804" t="s">
        <v>4026</v>
      </c>
      <c r="AO9" s="549" t="n">
        <v>0</v>
      </c>
      <c r="AP9" s="804" t="s">
        <v>4026</v>
      </c>
      <c r="AQ9" s="549" t="n">
        <v>0</v>
      </c>
      <c r="AR9" s="804" t="s">
        <v>4026</v>
      </c>
      <c r="AS9" s="549" t="n">
        <v>0</v>
      </c>
      <c r="AT9" s="804" t="s">
        <v>4026</v>
      </c>
      <c r="AU9" s="549" t="n">
        <v>0</v>
      </c>
      <c r="AV9" s="802"/>
      <c r="AW9" s="803"/>
      <c r="AX9" s="802"/>
      <c r="AY9" s="803"/>
      <c r="AZ9" s="549" t="s">
        <v>4026</v>
      </c>
      <c r="BA9" s="804" t="n">
        <v>0</v>
      </c>
      <c r="BB9" s="549" t="s">
        <v>4026</v>
      </c>
      <c r="BC9" s="549" t="s">
        <v>4026</v>
      </c>
      <c r="BD9" s="804" t="s">
        <v>4026</v>
      </c>
      <c r="BE9" s="549" t="n">
        <v>0</v>
      </c>
      <c r="BF9" s="804" t="s">
        <v>4031</v>
      </c>
      <c r="BG9" s="549" t="n">
        <v>0</v>
      </c>
      <c r="BH9" s="804" t="s">
        <v>4031</v>
      </c>
      <c r="BI9" s="549" t="n">
        <v>0</v>
      </c>
      <c r="BJ9" s="802"/>
      <c r="BK9" s="803"/>
      <c r="BL9" s="802"/>
      <c r="BM9" s="803"/>
      <c r="BN9" s="804" t="s">
        <v>4031</v>
      </c>
      <c r="BO9" s="549" t="n">
        <v>0</v>
      </c>
    </row>
    <row r="10" customFormat="false" ht="13.8" hidden="false" customHeight="false" outlineLevel="0" collapsed="false">
      <c r="B10" s="4" t="n">
        <v>7</v>
      </c>
      <c r="C10" s="805" t="s">
        <v>4029</v>
      </c>
      <c r="D10" s="121" t="s">
        <v>4026</v>
      </c>
      <c r="E10" s="799" t="s">
        <v>4033</v>
      </c>
      <c r="F10" s="802"/>
      <c r="G10" s="803" t="n">
        <v>0</v>
      </c>
      <c r="H10" s="804" t="s">
        <v>4026</v>
      </c>
      <c r="I10" s="549" t="n">
        <v>0</v>
      </c>
      <c r="J10" s="804" t="s">
        <v>4026</v>
      </c>
      <c r="K10" s="549" t="n">
        <v>0</v>
      </c>
      <c r="L10" s="804" t="s">
        <v>4026</v>
      </c>
      <c r="M10" s="549" t="n">
        <v>0</v>
      </c>
      <c r="N10" s="804" t="s">
        <v>4026</v>
      </c>
      <c r="O10" s="549" t="n">
        <v>0</v>
      </c>
      <c r="P10" s="804" t="s">
        <v>4026</v>
      </c>
      <c r="Q10" s="549" t="n">
        <v>0</v>
      </c>
      <c r="R10" s="804" t="s">
        <v>4026</v>
      </c>
      <c r="S10" s="549" t="n">
        <v>0</v>
      </c>
      <c r="T10" s="802"/>
      <c r="U10" s="803"/>
      <c r="V10" s="804" t="s">
        <v>4026</v>
      </c>
      <c r="W10" s="549" t="n">
        <v>0</v>
      </c>
      <c r="X10" s="804" t="s">
        <v>4026</v>
      </c>
      <c r="Y10" s="549" t="n">
        <v>0</v>
      </c>
      <c r="Z10" s="804" t="s">
        <v>4026</v>
      </c>
      <c r="AA10" s="549" t="n">
        <v>0</v>
      </c>
      <c r="AB10" s="804" t="s">
        <v>4026</v>
      </c>
      <c r="AC10" s="549" t="n">
        <v>0</v>
      </c>
      <c r="AD10" s="804" t="s">
        <v>4026</v>
      </c>
      <c r="AE10" s="549" t="n">
        <v>0</v>
      </c>
      <c r="AF10" s="802"/>
      <c r="AG10" s="803"/>
      <c r="AH10" s="802"/>
      <c r="AI10" s="803"/>
      <c r="AJ10" s="802"/>
      <c r="AK10" s="803"/>
      <c r="AL10" s="804" t="s">
        <v>4026</v>
      </c>
      <c r="AM10" s="549" t="n">
        <v>0</v>
      </c>
      <c r="AN10" s="804" t="s">
        <v>4026</v>
      </c>
      <c r="AO10" s="549" t="n">
        <v>0</v>
      </c>
      <c r="AP10" s="804" t="s">
        <v>4026</v>
      </c>
      <c r="AQ10" s="549" t="n">
        <v>0</v>
      </c>
      <c r="AR10" s="804" t="s">
        <v>4026</v>
      </c>
      <c r="AS10" s="549" t="n">
        <v>0</v>
      </c>
      <c r="AT10" s="804" t="s">
        <v>4026</v>
      </c>
      <c r="AU10" s="549" t="n">
        <v>0</v>
      </c>
      <c r="AV10" s="802"/>
      <c r="AW10" s="803"/>
      <c r="AX10" s="802"/>
      <c r="AY10" s="803"/>
      <c r="AZ10" s="549" t="s">
        <v>4026</v>
      </c>
      <c r="BA10" s="804" t="n">
        <v>0</v>
      </c>
      <c r="BB10" s="549" t="s">
        <v>4026</v>
      </c>
      <c r="BC10" s="549" t="s">
        <v>4026</v>
      </c>
      <c r="BD10" s="804" t="s">
        <v>4026</v>
      </c>
      <c r="BE10" s="549" t="n">
        <v>0</v>
      </c>
      <c r="BF10" s="804" t="s">
        <v>4034</v>
      </c>
      <c r="BG10" s="549" t="n">
        <v>0</v>
      </c>
      <c r="BH10" s="804" t="s">
        <v>4034</v>
      </c>
      <c r="BI10" s="549" t="n">
        <v>0</v>
      </c>
      <c r="BJ10" s="802"/>
      <c r="BK10" s="803"/>
      <c r="BL10" s="802"/>
      <c r="BM10" s="803"/>
      <c r="BN10" s="804" t="s">
        <v>4034</v>
      </c>
      <c r="BO10" s="549" t="n">
        <v>0</v>
      </c>
    </row>
    <row r="11" customFormat="false" ht="13.8" hidden="false" customHeight="false" outlineLevel="0" collapsed="false">
      <c r="B11" s="4" t="n">
        <v>8</v>
      </c>
      <c r="C11" s="805" t="s">
        <v>4029</v>
      </c>
      <c r="D11" s="121" t="s">
        <v>4026</v>
      </c>
      <c r="E11" s="799" t="s">
        <v>4035</v>
      </c>
      <c r="F11" s="802"/>
      <c r="G11" s="803" t="n">
        <v>0</v>
      </c>
      <c r="H11" s="804" t="s">
        <v>4026</v>
      </c>
      <c r="I11" s="549" t="n">
        <v>0</v>
      </c>
      <c r="J11" s="804" t="s">
        <v>4031</v>
      </c>
      <c r="K11" s="549" t="n">
        <v>0</v>
      </c>
      <c r="L11" s="804" t="s">
        <v>4026</v>
      </c>
      <c r="M11" s="549" t="n">
        <v>0</v>
      </c>
      <c r="N11" s="804" t="s">
        <v>4026</v>
      </c>
      <c r="O11" s="549" t="n">
        <v>0</v>
      </c>
      <c r="P11" s="804" t="s">
        <v>4026</v>
      </c>
      <c r="Q11" s="549" t="n">
        <v>0</v>
      </c>
      <c r="R11" s="804" t="s">
        <v>4026</v>
      </c>
      <c r="S11" s="549" t="n">
        <v>0</v>
      </c>
      <c r="T11" s="802"/>
      <c r="U11" s="803"/>
      <c r="V11" s="804" t="s">
        <v>4026</v>
      </c>
      <c r="W11" s="549" t="n">
        <v>0</v>
      </c>
      <c r="X11" s="804" t="s">
        <v>4026</v>
      </c>
      <c r="Y11" s="549" t="n">
        <v>0</v>
      </c>
      <c r="Z11" s="804" t="s">
        <v>4026</v>
      </c>
      <c r="AA11" s="549" t="n">
        <v>0</v>
      </c>
      <c r="AB11" s="804" t="s">
        <v>4026</v>
      </c>
      <c r="AC11" s="549" t="n">
        <v>0</v>
      </c>
      <c r="AD11" s="804" t="s">
        <v>4026</v>
      </c>
      <c r="AE11" s="549" t="n">
        <v>0</v>
      </c>
      <c r="AF11" s="802"/>
      <c r="AG11" s="803"/>
      <c r="AH11" s="802"/>
      <c r="AI11" s="803"/>
      <c r="AJ11" s="802"/>
      <c r="AK11" s="803"/>
      <c r="AL11" s="804" t="s">
        <v>4026</v>
      </c>
      <c r="AM11" s="549" t="n">
        <v>0</v>
      </c>
      <c r="AN11" s="804" t="s">
        <v>4026</v>
      </c>
      <c r="AO11" s="549" t="n">
        <v>0</v>
      </c>
      <c r="AP11" s="804" t="s">
        <v>4026</v>
      </c>
      <c r="AQ11" s="549" t="n">
        <v>0</v>
      </c>
      <c r="AR11" s="804" t="s">
        <v>4026</v>
      </c>
      <c r="AS11" s="549" t="n">
        <v>0</v>
      </c>
      <c r="AT11" s="804" t="s">
        <v>4026</v>
      </c>
      <c r="AU11" s="549" t="n">
        <v>0</v>
      </c>
      <c r="AV11" s="802"/>
      <c r="AW11" s="803"/>
      <c r="AX11" s="802"/>
      <c r="AY11" s="803"/>
      <c r="AZ11" s="549" t="s">
        <v>4026</v>
      </c>
      <c r="BA11" s="804" t="n">
        <v>0</v>
      </c>
      <c r="BB11" s="549" t="s">
        <v>4026</v>
      </c>
      <c r="BC11" s="549" t="s">
        <v>4026</v>
      </c>
      <c r="BD11" s="804" t="s">
        <v>4026</v>
      </c>
      <c r="BE11" s="549" t="n">
        <v>0</v>
      </c>
      <c r="BF11" s="804" t="s">
        <v>4034</v>
      </c>
      <c r="BG11" s="549" t="n">
        <v>0</v>
      </c>
      <c r="BH11" s="804" t="s">
        <v>4034</v>
      </c>
      <c r="BI11" s="549" t="n">
        <v>0</v>
      </c>
      <c r="BJ11" s="802"/>
      <c r="BK11" s="803"/>
      <c r="BL11" s="802"/>
      <c r="BM11" s="803"/>
      <c r="BN11" s="804" t="s">
        <v>4034</v>
      </c>
      <c r="BO11" s="549" t="n">
        <v>0</v>
      </c>
    </row>
    <row r="12" customFormat="false" ht="13.8" hidden="false" customHeight="false" outlineLevel="0" collapsed="false">
      <c r="B12" s="4" t="n">
        <v>8</v>
      </c>
      <c r="C12" s="805" t="s">
        <v>4029</v>
      </c>
      <c r="D12" s="121" t="s">
        <v>4026</v>
      </c>
      <c r="E12" s="799" t="s">
        <v>4036</v>
      </c>
      <c r="F12" s="802"/>
      <c r="G12" s="803" t="n">
        <v>0</v>
      </c>
      <c r="H12" s="804" t="s">
        <v>4026</v>
      </c>
      <c r="I12" s="549" t="n">
        <v>0</v>
      </c>
      <c r="J12" s="804" t="s">
        <v>4031</v>
      </c>
      <c r="K12" s="549" t="n">
        <v>0</v>
      </c>
      <c r="L12" s="804" t="s">
        <v>4026</v>
      </c>
      <c r="M12" s="549" t="n">
        <v>0</v>
      </c>
      <c r="N12" s="804" t="s">
        <v>4026</v>
      </c>
      <c r="O12" s="549" t="n">
        <v>0</v>
      </c>
      <c r="P12" s="804" t="s">
        <v>4026</v>
      </c>
      <c r="Q12" s="549" t="n">
        <v>0</v>
      </c>
      <c r="R12" s="804" t="s">
        <v>4026</v>
      </c>
      <c r="S12" s="549" t="n">
        <v>0</v>
      </c>
      <c r="T12" s="802"/>
      <c r="U12" s="803"/>
      <c r="V12" s="804" t="s">
        <v>4026</v>
      </c>
      <c r="W12" s="549" t="n">
        <v>0</v>
      </c>
      <c r="X12" s="804" t="s">
        <v>4026</v>
      </c>
      <c r="Y12" s="549" t="n">
        <v>0</v>
      </c>
      <c r="Z12" s="804" t="s">
        <v>4026</v>
      </c>
      <c r="AA12" s="549" t="n">
        <v>0</v>
      </c>
      <c r="AB12" s="804" t="s">
        <v>4026</v>
      </c>
      <c r="AC12" s="549" t="n">
        <v>0</v>
      </c>
      <c r="AD12" s="804" t="s">
        <v>4026</v>
      </c>
      <c r="AE12" s="549" t="n">
        <v>0</v>
      </c>
      <c r="AF12" s="802"/>
      <c r="AG12" s="803"/>
      <c r="AH12" s="802"/>
      <c r="AI12" s="803"/>
      <c r="AJ12" s="802"/>
      <c r="AK12" s="803"/>
      <c r="AL12" s="804" t="s">
        <v>4026</v>
      </c>
      <c r="AM12" s="549" t="n">
        <v>0</v>
      </c>
      <c r="AN12" s="804" t="s">
        <v>4026</v>
      </c>
      <c r="AO12" s="549" t="n">
        <v>0</v>
      </c>
      <c r="AP12" s="804" t="s">
        <v>4026</v>
      </c>
      <c r="AQ12" s="549" t="n">
        <v>0</v>
      </c>
      <c r="AR12" s="804" t="s">
        <v>4026</v>
      </c>
      <c r="AS12" s="549" t="n">
        <v>0</v>
      </c>
      <c r="AT12" s="804" t="s">
        <v>4026</v>
      </c>
      <c r="AU12" s="549" t="n">
        <v>0</v>
      </c>
      <c r="AV12" s="802"/>
      <c r="AW12" s="803"/>
      <c r="AX12" s="802"/>
      <c r="AY12" s="803"/>
      <c r="AZ12" s="549" t="s">
        <v>4026</v>
      </c>
      <c r="BA12" s="804" t="n">
        <v>0</v>
      </c>
      <c r="BB12" s="549" t="s">
        <v>4026</v>
      </c>
      <c r="BC12" s="549" t="s">
        <v>4026</v>
      </c>
      <c r="BD12" s="804" t="s">
        <v>4026</v>
      </c>
      <c r="BE12" s="549" t="n">
        <v>0</v>
      </c>
      <c r="BF12" s="804" t="s">
        <v>4037</v>
      </c>
      <c r="BG12" s="549" t="n">
        <v>0</v>
      </c>
      <c r="BH12" s="804" t="s">
        <v>4037</v>
      </c>
      <c r="BI12" s="549" t="n">
        <v>0</v>
      </c>
      <c r="BJ12" s="802"/>
      <c r="BK12" s="803"/>
      <c r="BL12" s="802"/>
      <c r="BM12" s="803"/>
      <c r="BN12" s="804" t="s">
        <v>4037</v>
      </c>
      <c r="BO12" s="549" t="n">
        <v>0</v>
      </c>
    </row>
    <row r="13" customFormat="false" ht="13.8" hidden="false" customHeight="false" outlineLevel="0" collapsed="false">
      <c r="B13" s="4" t="n">
        <v>9</v>
      </c>
      <c r="C13" s="805" t="s">
        <v>4038</v>
      </c>
      <c r="D13" s="121" t="s">
        <v>4031</v>
      </c>
      <c r="E13" s="799" t="s">
        <v>4039</v>
      </c>
      <c r="F13" s="802"/>
      <c r="G13" s="803" t="n">
        <v>0</v>
      </c>
      <c r="H13" s="804" t="s">
        <v>4031</v>
      </c>
      <c r="I13" s="549" t="n">
        <v>0</v>
      </c>
      <c r="J13" s="804" t="s">
        <v>4031</v>
      </c>
      <c r="K13" s="549" t="n">
        <v>0</v>
      </c>
      <c r="L13" s="804" t="s">
        <v>4031</v>
      </c>
      <c r="M13" s="549" t="n">
        <v>0</v>
      </c>
      <c r="N13" s="804" t="s">
        <v>4031</v>
      </c>
      <c r="O13" s="549" t="n">
        <v>0</v>
      </c>
      <c r="P13" s="804" t="s">
        <v>4031</v>
      </c>
      <c r="Q13" s="549" t="n">
        <v>0</v>
      </c>
      <c r="R13" s="804" t="s">
        <v>4031</v>
      </c>
      <c r="S13" s="549" t="n">
        <v>0</v>
      </c>
      <c r="T13" s="802"/>
      <c r="U13" s="803"/>
      <c r="V13" s="804" t="s">
        <v>4031</v>
      </c>
      <c r="W13" s="549" t="n">
        <v>0</v>
      </c>
      <c r="X13" s="804" t="s">
        <v>4031</v>
      </c>
      <c r="Y13" s="549" t="n">
        <v>0</v>
      </c>
      <c r="Z13" s="804" t="s">
        <v>4031</v>
      </c>
      <c r="AA13" s="549" t="n">
        <v>0</v>
      </c>
      <c r="AB13" s="804" t="s">
        <v>4031</v>
      </c>
      <c r="AC13" s="549" t="n">
        <v>0</v>
      </c>
      <c r="AD13" s="804" t="s">
        <v>4031</v>
      </c>
      <c r="AE13" s="549" t="n">
        <v>0</v>
      </c>
      <c r="AF13" s="802"/>
      <c r="AG13" s="803"/>
      <c r="AH13" s="802"/>
      <c r="AI13" s="803"/>
      <c r="AJ13" s="802"/>
      <c r="AK13" s="803"/>
      <c r="AL13" s="804" t="s">
        <v>4031</v>
      </c>
      <c r="AM13" s="549" t="n">
        <v>0</v>
      </c>
      <c r="AN13" s="804" t="s">
        <v>4031</v>
      </c>
      <c r="AO13" s="549" t="n">
        <v>0</v>
      </c>
      <c r="AP13" s="804" t="s">
        <v>4031</v>
      </c>
      <c r="AQ13" s="549" t="n">
        <v>0</v>
      </c>
      <c r="AR13" s="804" t="s">
        <v>4031</v>
      </c>
      <c r="AS13" s="549" t="n">
        <v>0</v>
      </c>
      <c r="AT13" s="804" t="s">
        <v>4031</v>
      </c>
      <c r="AU13" s="549" t="n">
        <v>0</v>
      </c>
      <c r="AV13" s="802"/>
      <c r="AW13" s="803"/>
      <c r="AX13" s="802"/>
      <c r="AY13" s="803"/>
      <c r="AZ13" s="549" t="s">
        <v>4031</v>
      </c>
      <c r="BA13" s="804" t="n">
        <v>0</v>
      </c>
      <c r="BB13" s="549" t="s">
        <v>4031</v>
      </c>
      <c r="BC13" s="549" t="s">
        <v>4031</v>
      </c>
      <c r="BD13" s="804" t="s">
        <v>4031</v>
      </c>
      <c r="BE13" s="549" t="n">
        <v>0</v>
      </c>
      <c r="BF13" s="804" t="s">
        <v>4037</v>
      </c>
      <c r="BG13" s="549" t="n">
        <v>0</v>
      </c>
      <c r="BH13" s="804" t="s">
        <v>4037</v>
      </c>
      <c r="BI13" s="549" t="n">
        <v>0</v>
      </c>
      <c r="BJ13" s="802"/>
      <c r="BK13" s="803"/>
      <c r="BL13" s="802"/>
      <c r="BM13" s="803"/>
      <c r="BN13" s="804" t="s">
        <v>4037</v>
      </c>
      <c r="BO13" s="549" t="n">
        <v>0</v>
      </c>
    </row>
    <row r="14" customFormat="false" ht="13.8" hidden="false" customHeight="false" outlineLevel="0" collapsed="false">
      <c r="B14" s="4" t="n">
        <v>10</v>
      </c>
      <c r="C14" s="805" t="s">
        <v>4038</v>
      </c>
      <c r="D14" s="121" t="s">
        <v>4031</v>
      </c>
      <c r="E14" s="799" t="s">
        <v>4040</v>
      </c>
      <c r="F14" s="802"/>
      <c r="G14" s="803" t="n">
        <v>0</v>
      </c>
      <c r="H14" s="804" t="s">
        <v>4031</v>
      </c>
      <c r="I14" s="549" t="n">
        <v>0</v>
      </c>
      <c r="J14" s="804" t="s">
        <v>4031</v>
      </c>
      <c r="K14" s="549" t="n">
        <v>0</v>
      </c>
      <c r="L14" s="804" t="s">
        <v>4031</v>
      </c>
      <c r="M14" s="549" t="n">
        <v>0</v>
      </c>
      <c r="N14" s="804" t="s">
        <v>4034</v>
      </c>
      <c r="O14" s="549" t="n">
        <v>0</v>
      </c>
      <c r="P14" s="804" t="s">
        <v>4034</v>
      </c>
      <c r="Q14" s="549" t="n">
        <v>0</v>
      </c>
      <c r="R14" s="804" t="s">
        <v>4031</v>
      </c>
      <c r="S14" s="549" t="n">
        <v>0</v>
      </c>
      <c r="T14" s="802"/>
      <c r="U14" s="803"/>
      <c r="V14" s="804" t="s">
        <v>4031</v>
      </c>
      <c r="W14" s="549" t="n">
        <v>0</v>
      </c>
      <c r="X14" s="804" t="s">
        <v>4031</v>
      </c>
      <c r="Y14" s="549" t="n">
        <v>0</v>
      </c>
      <c r="Z14" s="804" t="s">
        <v>4031</v>
      </c>
      <c r="AA14" s="549" t="n">
        <v>0</v>
      </c>
      <c r="AB14" s="804" t="s">
        <v>4031</v>
      </c>
      <c r="AC14" s="549" t="n">
        <v>0</v>
      </c>
      <c r="AD14" s="804" t="s">
        <v>4031</v>
      </c>
      <c r="AE14" s="549" t="n">
        <v>0</v>
      </c>
      <c r="AF14" s="802"/>
      <c r="AG14" s="803"/>
      <c r="AH14" s="802"/>
      <c r="AI14" s="803"/>
      <c r="AJ14" s="802"/>
      <c r="AK14" s="803"/>
      <c r="AL14" s="804" t="s">
        <v>4031</v>
      </c>
      <c r="AM14" s="549" t="n">
        <v>0</v>
      </c>
      <c r="AN14" s="804" t="s">
        <v>4031</v>
      </c>
      <c r="AO14" s="549" t="n">
        <v>0</v>
      </c>
      <c r="AP14" s="804" t="s">
        <v>4031</v>
      </c>
      <c r="AQ14" s="549" t="n">
        <v>0</v>
      </c>
      <c r="AR14" s="804" t="s">
        <v>4031</v>
      </c>
      <c r="AS14" s="549" t="n">
        <v>0</v>
      </c>
      <c r="AT14" s="804" t="s">
        <v>4031</v>
      </c>
      <c r="AU14" s="549" t="n">
        <v>0</v>
      </c>
      <c r="AV14" s="802"/>
      <c r="AW14" s="803"/>
      <c r="AX14" s="802"/>
      <c r="AY14" s="803"/>
      <c r="AZ14" s="549" t="s">
        <v>4031</v>
      </c>
      <c r="BA14" s="804" t="n">
        <v>0</v>
      </c>
      <c r="BB14" s="549" t="s">
        <v>4031</v>
      </c>
      <c r="BC14" s="549" t="s">
        <v>4031</v>
      </c>
      <c r="BD14" s="804" t="s">
        <v>4031</v>
      </c>
      <c r="BE14" s="549" t="n">
        <v>0</v>
      </c>
      <c r="BF14" s="804" t="s">
        <v>4041</v>
      </c>
      <c r="BG14" s="549" t="n">
        <v>0</v>
      </c>
      <c r="BH14" s="804" t="s">
        <v>4041</v>
      </c>
      <c r="BI14" s="549" t="n">
        <v>0</v>
      </c>
      <c r="BJ14" s="802"/>
      <c r="BK14" s="803"/>
      <c r="BL14" s="802"/>
      <c r="BM14" s="803"/>
      <c r="BN14" s="804" t="s">
        <v>4041</v>
      </c>
      <c r="BO14" s="549" t="n">
        <v>0</v>
      </c>
    </row>
    <row r="15" customFormat="false" ht="13.8" hidden="false" customHeight="false" outlineLevel="0" collapsed="false">
      <c r="B15" s="4" t="n">
        <v>11</v>
      </c>
      <c r="C15" s="805" t="s">
        <v>4038</v>
      </c>
      <c r="D15" s="121" t="s">
        <v>4031</v>
      </c>
      <c r="E15" s="799" t="s">
        <v>4042</v>
      </c>
      <c r="F15" s="802"/>
      <c r="G15" s="803" t="n">
        <v>0</v>
      </c>
      <c r="H15" s="804" t="s">
        <v>4031</v>
      </c>
      <c r="I15" s="549" t="n">
        <v>0</v>
      </c>
      <c r="J15" s="804" t="s">
        <v>4025</v>
      </c>
      <c r="K15" s="549" t="n">
        <v>0</v>
      </c>
      <c r="L15" s="804" t="s">
        <v>4031</v>
      </c>
      <c r="M15" s="549" t="n">
        <v>0</v>
      </c>
      <c r="N15" s="804" t="s">
        <v>4031</v>
      </c>
      <c r="O15" s="549" t="n">
        <v>0</v>
      </c>
      <c r="P15" s="804" t="s">
        <v>4031</v>
      </c>
      <c r="Q15" s="549" t="n">
        <v>0</v>
      </c>
      <c r="R15" s="804" t="s">
        <v>4031</v>
      </c>
      <c r="S15" s="549" t="n">
        <v>0</v>
      </c>
      <c r="T15" s="802"/>
      <c r="U15" s="803"/>
      <c r="V15" s="804" t="s">
        <v>4031</v>
      </c>
      <c r="W15" s="549" t="n">
        <v>0</v>
      </c>
      <c r="X15" s="804" t="s">
        <v>4031</v>
      </c>
      <c r="Y15" s="549" t="n">
        <v>0</v>
      </c>
      <c r="Z15" s="804" t="s">
        <v>4031</v>
      </c>
      <c r="AA15" s="549" t="n">
        <v>0</v>
      </c>
      <c r="AB15" s="804" t="s">
        <v>4031</v>
      </c>
      <c r="AC15" s="549" t="n">
        <v>0</v>
      </c>
      <c r="AD15" s="804" t="s">
        <v>4031</v>
      </c>
      <c r="AE15" s="549" t="n">
        <v>0</v>
      </c>
      <c r="AF15" s="802"/>
      <c r="AG15" s="803"/>
      <c r="AH15" s="802"/>
      <c r="AI15" s="803"/>
      <c r="AJ15" s="802"/>
      <c r="AK15" s="803"/>
      <c r="AL15" s="804" t="s">
        <v>4031</v>
      </c>
      <c r="AM15" s="549" t="n">
        <v>0</v>
      </c>
      <c r="AN15" s="804" t="s">
        <v>4031</v>
      </c>
      <c r="AO15" s="549" t="n">
        <v>0</v>
      </c>
      <c r="AP15" s="804" t="s">
        <v>4031</v>
      </c>
      <c r="AQ15" s="549" t="n">
        <v>0</v>
      </c>
      <c r="AR15" s="804" t="s">
        <v>4031</v>
      </c>
      <c r="AS15" s="549" t="n">
        <v>0</v>
      </c>
      <c r="AT15" s="804" t="s">
        <v>4031</v>
      </c>
      <c r="AU15" s="549" t="n">
        <v>0</v>
      </c>
      <c r="AV15" s="802"/>
      <c r="AW15" s="803"/>
      <c r="AX15" s="802"/>
      <c r="AY15" s="803"/>
      <c r="AZ15" s="549" t="s">
        <v>4031</v>
      </c>
      <c r="BA15" s="804" t="n">
        <v>0</v>
      </c>
      <c r="BB15" s="549" t="s">
        <v>4031</v>
      </c>
      <c r="BC15" s="549" t="s">
        <v>4031</v>
      </c>
      <c r="BD15" s="804" t="s">
        <v>4031</v>
      </c>
      <c r="BE15" s="549" t="n">
        <v>0</v>
      </c>
      <c r="BF15" s="804" t="s">
        <v>4025</v>
      </c>
      <c r="BG15" s="549" t="n">
        <v>0</v>
      </c>
      <c r="BH15" s="804" t="s">
        <v>4025</v>
      </c>
      <c r="BI15" s="549" t="n">
        <v>0</v>
      </c>
      <c r="BJ15" s="802"/>
      <c r="BK15" s="803"/>
      <c r="BL15" s="802"/>
      <c r="BM15" s="803"/>
      <c r="BN15" s="804" t="s">
        <v>4025</v>
      </c>
      <c r="BO15" s="549" t="n">
        <v>0</v>
      </c>
    </row>
    <row r="16" customFormat="false" ht="13.8" hidden="false" customHeight="false" outlineLevel="0" collapsed="false">
      <c r="B16" s="4" t="n">
        <v>12</v>
      </c>
      <c r="C16" s="805" t="s">
        <v>4043</v>
      </c>
      <c r="D16" s="121" t="s">
        <v>4034</v>
      </c>
      <c r="E16" s="799" t="s">
        <v>4044</v>
      </c>
      <c r="F16" s="802"/>
      <c r="G16" s="803" t="n">
        <v>0</v>
      </c>
      <c r="H16" s="804" t="n">
        <v>0</v>
      </c>
      <c r="I16" s="549" t="n">
        <v>0</v>
      </c>
      <c r="J16" s="804" t="n">
        <v>0</v>
      </c>
      <c r="K16" s="549" t="n">
        <v>0</v>
      </c>
      <c r="L16" s="804" t="n">
        <v>0</v>
      </c>
      <c r="M16" s="549" t="n">
        <v>0</v>
      </c>
      <c r="N16" s="804" t="n">
        <v>0</v>
      </c>
      <c r="O16" s="549" t="n">
        <v>0</v>
      </c>
      <c r="P16" s="804" t="n">
        <v>0</v>
      </c>
      <c r="Q16" s="549" t="n">
        <v>0</v>
      </c>
      <c r="R16" s="804" t="n">
        <v>0</v>
      </c>
      <c r="S16" s="549" t="n">
        <v>0</v>
      </c>
      <c r="T16" s="802"/>
      <c r="U16" s="803"/>
      <c r="V16" s="804" t="n">
        <v>0</v>
      </c>
      <c r="W16" s="549" t="n">
        <v>0</v>
      </c>
      <c r="X16" s="804" t="n">
        <v>0</v>
      </c>
      <c r="Y16" s="549" t="n">
        <v>0</v>
      </c>
      <c r="Z16" s="804" t="n">
        <v>0</v>
      </c>
      <c r="AA16" s="549" t="n">
        <v>0</v>
      </c>
      <c r="AB16" s="804" t="n">
        <v>0</v>
      </c>
      <c r="AC16" s="549" t="n">
        <v>0</v>
      </c>
      <c r="AD16" s="804" t="n">
        <v>0</v>
      </c>
      <c r="AE16" s="549" t="n">
        <v>0</v>
      </c>
      <c r="AF16" s="802"/>
      <c r="AG16" s="803"/>
      <c r="AH16" s="802"/>
      <c r="AI16" s="803"/>
      <c r="AJ16" s="802"/>
      <c r="AK16" s="803"/>
      <c r="AL16" s="804" t="s">
        <v>4034</v>
      </c>
      <c r="AM16" s="549" t="n">
        <v>0</v>
      </c>
      <c r="AN16" s="804" t="s">
        <v>4034</v>
      </c>
      <c r="AO16" s="549" t="n">
        <v>0</v>
      </c>
      <c r="AP16" s="804" t="s">
        <v>4034</v>
      </c>
      <c r="AQ16" s="549" t="n">
        <v>0</v>
      </c>
      <c r="AR16" s="804" t="s">
        <v>4034</v>
      </c>
      <c r="AS16" s="549" t="n">
        <v>0</v>
      </c>
      <c r="AT16" s="804" t="s">
        <v>4034</v>
      </c>
      <c r="AU16" s="549" t="n">
        <v>0</v>
      </c>
      <c r="AV16" s="802"/>
      <c r="AW16" s="803"/>
      <c r="AX16" s="802"/>
      <c r="AY16" s="803"/>
      <c r="AZ16" s="549" t="s">
        <v>4034</v>
      </c>
      <c r="BA16" s="804" t="n">
        <v>0</v>
      </c>
      <c r="BB16" s="549" t="s">
        <v>4034</v>
      </c>
      <c r="BC16" s="549" t="s">
        <v>4034</v>
      </c>
      <c r="BD16" s="804" t="s">
        <v>4034</v>
      </c>
      <c r="BE16" s="549" t="n">
        <v>0</v>
      </c>
      <c r="BF16" s="804" t="s">
        <v>4045</v>
      </c>
      <c r="BG16" s="549" t="n">
        <v>0</v>
      </c>
      <c r="BH16" s="804" t="s">
        <v>4045</v>
      </c>
      <c r="BI16" s="549" t="n">
        <v>0</v>
      </c>
      <c r="BJ16" s="802"/>
      <c r="BK16" s="803"/>
      <c r="BL16" s="802"/>
      <c r="BM16" s="803"/>
      <c r="BN16" s="804" t="s">
        <v>4045</v>
      </c>
      <c r="BO16" s="549" t="n">
        <v>0</v>
      </c>
    </row>
    <row r="17" customFormat="false" ht="13.8" hidden="false" customHeight="false" outlineLevel="0" collapsed="false">
      <c r="B17" s="4" t="n">
        <v>13</v>
      </c>
      <c r="C17" s="805" t="s">
        <v>4043</v>
      </c>
      <c r="D17" s="121" t="s">
        <v>4034</v>
      </c>
      <c r="E17" s="799" t="s">
        <v>1504</v>
      </c>
      <c r="F17" s="802"/>
      <c r="G17" s="803" t="n">
        <v>0</v>
      </c>
      <c r="H17" s="804" t="n">
        <v>0</v>
      </c>
      <c r="I17" s="549" t="n">
        <v>0</v>
      </c>
      <c r="J17" s="804" t="n">
        <v>0</v>
      </c>
      <c r="K17" s="549" t="n">
        <v>0</v>
      </c>
      <c r="L17" s="804" t="n">
        <v>0</v>
      </c>
      <c r="M17" s="549" t="n">
        <v>0</v>
      </c>
      <c r="N17" s="804" t="n">
        <v>0</v>
      </c>
      <c r="O17" s="549" t="n">
        <v>0</v>
      </c>
      <c r="P17" s="804" t="n">
        <v>0</v>
      </c>
      <c r="Q17" s="549" t="n">
        <v>0</v>
      </c>
      <c r="R17" s="804" t="n">
        <v>0</v>
      </c>
      <c r="S17" s="549" t="n">
        <v>0</v>
      </c>
      <c r="T17" s="802"/>
      <c r="U17" s="803"/>
      <c r="V17" s="804" t="n">
        <v>0</v>
      </c>
      <c r="W17" s="549" t="n">
        <v>0</v>
      </c>
      <c r="X17" s="804" t="n">
        <v>0</v>
      </c>
      <c r="Y17" s="549" t="n">
        <v>0</v>
      </c>
      <c r="Z17" s="804" t="n">
        <v>0</v>
      </c>
      <c r="AA17" s="549" t="n">
        <v>0</v>
      </c>
      <c r="AB17" s="804" t="n">
        <v>0</v>
      </c>
      <c r="AC17" s="549" t="n">
        <v>0</v>
      </c>
      <c r="AD17" s="804" t="n">
        <v>0</v>
      </c>
      <c r="AE17" s="549" t="n">
        <v>0</v>
      </c>
      <c r="AF17" s="802"/>
      <c r="AG17" s="803"/>
      <c r="AH17" s="802"/>
      <c r="AI17" s="803"/>
      <c r="AJ17" s="802"/>
      <c r="AK17" s="803"/>
      <c r="AL17" s="804" t="s">
        <v>4034</v>
      </c>
      <c r="AM17" s="549" t="n">
        <v>0</v>
      </c>
      <c r="AN17" s="804" t="s">
        <v>4034</v>
      </c>
      <c r="AO17" s="549" t="n">
        <v>0</v>
      </c>
      <c r="AP17" s="804" t="s">
        <v>4034</v>
      </c>
      <c r="AQ17" s="549" t="n">
        <v>0</v>
      </c>
      <c r="AR17" s="804" t="s">
        <v>4034</v>
      </c>
      <c r="AS17" s="549" t="n">
        <v>0</v>
      </c>
      <c r="AT17" s="804" t="s">
        <v>4034</v>
      </c>
      <c r="AU17" s="549" t="n">
        <v>0</v>
      </c>
      <c r="AV17" s="802"/>
      <c r="AW17" s="803"/>
      <c r="AX17" s="802"/>
      <c r="AY17" s="803"/>
      <c r="AZ17" s="549" t="s">
        <v>4034</v>
      </c>
      <c r="BA17" s="804" t="n">
        <v>0</v>
      </c>
      <c r="BB17" s="549" t="s">
        <v>4034</v>
      </c>
      <c r="BC17" s="549" t="s">
        <v>4034</v>
      </c>
      <c r="BD17" s="804" t="s">
        <v>4034</v>
      </c>
      <c r="BE17" s="549" t="n">
        <v>0</v>
      </c>
      <c r="BF17" s="804" t="s">
        <v>51</v>
      </c>
      <c r="BG17" s="549" t="n">
        <v>0</v>
      </c>
      <c r="BH17" s="804" t="s">
        <v>51</v>
      </c>
      <c r="BI17" s="549" t="n">
        <v>0</v>
      </c>
      <c r="BJ17" s="802"/>
      <c r="BK17" s="803"/>
      <c r="BL17" s="802"/>
      <c r="BM17" s="803"/>
      <c r="BN17" s="804" t="s">
        <v>51</v>
      </c>
      <c r="BO17" s="549" t="n">
        <v>0</v>
      </c>
    </row>
    <row r="18" customFormat="false" ht="13.8" hidden="false" customHeight="false" outlineLevel="0" collapsed="false">
      <c r="B18" s="4" t="n">
        <v>14</v>
      </c>
      <c r="C18" s="805" t="s">
        <v>4046</v>
      </c>
      <c r="D18" s="121" t="s">
        <v>4037</v>
      </c>
      <c r="E18" s="799" t="s">
        <v>4047</v>
      </c>
      <c r="F18" s="802"/>
      <c r="G18" s="803" t="n">
        <v>0</v>
      </c>
      <c r="H18" s="804" t="s">
        <v>4037</v>
      </c>
      <c r="I18" s="549" t="n">
        <v>0</v>
      </c>
      <c r="J18" s="804" t="s">
        <v>4037</v>
      </c>
      <c r="K18" s="549" t="n">
        <v>0</v>
      </c>
      <c r="L18" s="804" t="s">
        <v>4037</v>
      </c>
      <c r="M18" s="549" t="n">
        <v>0</v>
      </c>
      <c r="N18" s="804" t="s">
        <v>4037</v>
      </c>
      <c r="O18" s="549" t="n">
        <v>0</v>
      </c>
      <c r="P18" s="804" t="s">
        <v>4037</v>
      </c>
      <c r="Q18" s="549" t="n">
        <v>0</v>
      </c>
      <c r="R18" s="804" t="s">
        <v>4037</v>
      </c>
      <c r="S18" s="549" t="n">
        <v>0</v>
      </c>
      <c r="T18" s="802"/>
      <c r="U18" s="803"/>
      <c r="V18" s="804" t="s">
        <v>4037</v>
      </c>
      <c r="W18" s="549" t="n">
        <v>0</v>
      </c>
      <c r="X18" s="804" t="s">
        <v>4037</v>
      </c>
      <c r="Y18" s="549" t="n">
        <v>0</v>
      </c>
      <c r="Z18" s="804" t="s">
        <v>4037</v>
      </c>
      <c r="AA18" s="549" t="n">
        <v>0</v>
      </c>
      <c r="AB18" s="804" t="s">
        <v>4037</v>
      </c>
      <c r="AC18" s="549" t="n">
        <v>0</v>
      </c>
      <c r="AD18" s="804" t="s">
        <v>4037</v>
      </c>
      <c r="AE18" s="549" t="n">
        <v>0</v>
      </c>
      <c r="AF18" s="802"/>
      <c r="AG18" s="803"/>
      <c r="AH18" s="802"/>
      <c r="AI18" s="803"/>
      <c r="AJ18" s="802"/>
      <c r="AK18" s="803"/>
      <c r="AL18" s="804" t="s">
        <v>4037</v>
      </c>
      <c r="AM18" s="549" t="n">
        <v>0</v>
      </c>
      <c r="AN18" s="804" t="s">
        <v>4037</v>
      </c>
      <c r="AO18" s="549" t="n">
        <v>0</v>
      </c>
      <c r="AP18" s="804" t="s">
        <v>4037</v>
      </c>
      <c r="AQ18" s="549" t="n">
        <v>0</v>
      </c>
      <c r="AR18" s="804" t="s">
        <v>4037</v>
      </c>
      <c r="AS18" s="549" t="n">
        <v>0</v>
      </c>
      <c r="AT18" s="804" t="s">
        <v>4037</v>
      </c>
      <c r="AU18" s="549" t="n">
        <v>0</v>
      </c>
      <c r="AV18" s="802"/>
      <c r="AW18" s="803"/>
      <c r="AX18" s="802"/>
      <c r="AY18" s="803"/>
      <c r="AZ18" s="549" t="s">
        <v>4037</v>
      </c>
      <c r="BA18" s="804" t="n">
        <v>0</v>
      </c>
      <c r="BB18" s="549" t="s">
        <v>4037</v>
      </c>
      <c r="BC18" s="549" t="s">
        <v>4037</v>
      </c>
      <c r="BD18" s="804" t="s">
        <v>4037</v>
      </c>
      <c r="BE18" s="549" t="n">
        <v>0</v>
      </c>
      <c r="BF18" s="804" t="s">
        <v>4048</v>
      </c>
      <c r="BG18" s="549" t="n">
        <v>0</v>
      </c>
      <c r="BH18" s="804" t="s">
        <v>4048</v>
      </c>
      <c r="BI18" s="549" t="n">
        <v>0</v>
      </c>
      <c r="BJ18" s="802"/>
      <c r="BK18" s="803"/>
      <c r="BL18" s="802"/>
      <c r="BM18" s="803"/>
      <c r="BN18" s="804" t="s">
        <v>4048</v>
      </c>
      <c r="BO18" s="549" t="n">
        <v>0</v>
      </c>
    </row>
    <row r="19" customFormat="false" ht="13.8" hidden="false" customHeight="false" outlineLevel="0" collapsed="false">
      <c r="B19" s="4" t="n">
        <v>14</v>
      </c>
      <c r="C19" s="805" t="s">
        <v>4046</v>
      </c>
      <c r="D19" s="121" t="s">
        <v>4037</v>
      </c>
      <c r="E19" s="799" t="s">
        <v>4049</v>
      </c>
      <c r="F19" s="802"/>
      <c r="G19" s="803" t="n">
        <v>0</v>
      </c>
      <c r="H19" s="804" t="s">
        <v>4037</v>
      </c>
      <c r="I19" s="549" t="n">
        <v>0</v>
      </c>
      <c r="J19" s="804" t="s">
        <v>4025</v>
      </c>
      <c r="K19" s="549" t="n">
        <v>0</v>
      </c>
      <c r="L19" s="804" t="s">
        <v>4037</v>
      </c>
      <c r="M19" s="549" t="n">
        <v>0</v>
      </c>
      <c r="N19" s="804" t="s">
        <v>4037</v>
      </c>
      <c r="O19" s="549" t="n">
        <v>0</v>
      </c>
      <c r="P19" s="804" t="s">
        <v>4037</v>
      </c>
      <c r="Q19" s="549" t="n">
        <v>0</v>
      </c>
      <c r="R19" s="804" t="s">
        <v>4037</v>
      </c>
      <c r="S19" s="549" t="n">
        <v>0</v>
      </c>
      <c r="T19" s="802"/>
      <c r="U19" s="803"/>
      <c r="V19" s="804" t="s">
        <v>4037</v>
      </c>
      <c r="W19" s="549" t="n">
        <v>0</v>
      </c>
      <c r="X19" s="804" t="s">
        <v>4037</v>
      </c>
      <c r="Y19" s="549" t="n">
        <v>0</v>
      </c>
      <c r="Z19" s="804" t="s">
        <v>4037</v>
      </c>
      <c r="AA19" s="549" t="n">
        <v>0</v>
      </c>
      <c r="AB19" s="804" t="s">
        <v>4037</v>
      </c>
      <c r="AC19" s="549" t="n">
        <v>0</v>
      </c>
      <c r="AD19" s="804" t="s">
        <v>4037</v>
      </c>
      <c r="AE19" s="549" t="n">
        <v>0</v>
      </c>
      <c r="AF19" s="802"/>
      <c r="AG19" s="803"/>
      <c r="AH19" s="802"/>
      <c r="AI19" s="803"/>
      <c r="AJ19" s="802"/>
      <c r="AK19" s="803"/>
      <c r="AL19" s="804" t="s">
        <v>4037</v>
      </c>
      <c r="AM19" s="549" t="n">
        <v>0</v>
      </c>
      <c r="AN19" s="804" t="s">
        <v>4037</v>
      </c>
      <c r="AO19" s="549" t="n">
        <v>0</v>
      </c>
      <c r="AP19" s="804" t="s">
        <v>4037</v>
      </c>
      <c r="AQ19" s="549" t="n">
        <v>0</v>
      </c>
      <c r="AR19" s="804" t="s">
        <v>4037</v>
      </c>
      <c r="AS19" s="549" t="n">
        <v>0</v>
      </c>
      <c r="AT19" s="804" t="s">
        <v>4037</v>
      </c>
      <c r="AU19" s="549" t="n">
        <v>0</v>
      </c>
      <c r="AV19" s="802"/>
      <c r="AW19" s="803"/>
      <c r="AX19" s="802"/>
      <c r="AY19" s="803"/>
      <c r="AZ19" s="549" t="s">
        <v>4037</v>
      </c>
      <c r="BA19" s="804" t="n">
        <v>0</v>
      </c>
      <c r="BB19" s="549" t="s">
        <v>4037</v>
      </c>
      <c r="BC19" s="549" t="s">
        <v>4037</v>
      </c>
      <c r="BD19" s="804" t="s">
        <v>4037</v>
      </c>
      <c r="BE19" s="549" t="n">
        <v>0</v>
      </c>
      <c r="BF19" s="804" t="s">
        <v>4045</v>
      </c>
      <c r="BG19" s="549" t="n">
        <v>0</v>
      </c>
      <c r="BH19" s="804" t="s">
        <v>4045</v>
      </c>
      <c r="BI19" s="549" t="n">
        <v>0</v>
      </c>
      <c r="BJ19" s="802"/>
      <c r="BK19" s="803"/>
      <c r="BL19" s="802"/>
      <c r="BM19" s="803"/>
      <c r="BN19" s="804" t="s">
        <v>4045</v>
      </c>
      <c r="BO19" s="549" t="n">
        <v>0</v>
      </c>
    </row>
    <row r="20" customFormat="false" ht="13.8" hidden="false" customHeight="false" outlineLevel="0" collapsed="false">
      <c r="B20" s="4" t="n">
        <v>15</v>
      </c>
      <c r="C20" s="805" t="s">
        <v>4050</v>
      </c>
      <c r="D20" s="121" t="s">
        <v>4041</v>
      </c>
      <c r="E20" s="799" t="s">
        <v>4051</v>
      </c>
      <c r="F20" s="802"/>
      <c r="G20" s="803" t="n">
        <v>0</v>
      </c>
      <c r="H20" s="804" t="s">
        <v>4034</v>
      </c>
      <c r="I20" s="549" t="n">
        <v>0</v>
      </c>
      <c r="J20" s="804" t="s">
        <v>4034</v>
      </c>
      <c r="K20" s="549" t="n">
        <v>0</v>
      </c>
      <c r="L20" s="804" t="s">
        <v>4034</v>
      </c>
      <c r="M20" s="549" t="n">
        <v>0</v>
      </c>
      <c r="N20" s="804" t="s">
        <v>4034</v>
      </c>
      <c r="O20" s="549" t="n">
        <v>0</v>
      </c>
      <c r="P20" s="804" t="s">
        <v>4034</v>
      </c>
      <c r="Q20" s="549" t="n">
        <v>0</v>
      </c>
      <c r="R20" s="804" t="s">
        <v>4034</v>
      </c>
      <c r="S20" s="549" t="n">
        <v>0</v>
      </c>
      <c r="T20" s="802"/>
      <c r="U20" s="803"/>
      <c r="V20" s="804" t="s">
        <v>4034</v>
      </c>
      <c r="W20" s="549" t="n">
        <v>0</v>
      </c>
      <c r="X20" s="804" t="s">
        <v>4034</v>
      </c>
      <c r="Y20" s="549" t="n">
        <v>0</v>
      </c>
      <c r="Z20" s="804" t="s">
        <v>4034</v>
      </c>
      <c r="AA20" s="549" t="n">
        <v>0</v>
      </c>
      <c r="AB20" s="804" t="s">
        <v>4034</v>
      </c>
      <c r="AC20" s="549" t="n">
        <v>0</v>
      </c>
      <c r="AD20" s="804" t="s">
        <v>4034</v>
      </c>
      <c r="AE20" s="549" t="n">
        <v>0</v>
      </c>
      <c r="AF20" s="802"/>
      <c r="AG20" s="803"/>
      <c r="AH20" s="802"/>
      <c r="AI20" s="803"/>
      <c r="AJ20" s="802"/>
      <c r="AK20" s="803"/>
      <c r="AL20" s="804" t="s">
        <v>4034</v>
      </c>
      <c r="AM20" s="549" t="n">
        <v>0</v>
      </c>
      <c r="AN20" s="804" t="s">
        <v>4041</v>
      </c>
      <c r="AO20" s="549" t="n">
        <v>0</v>
      </c>
      <c r="AP20" s="804" t="s">
        <v>4041</v>
      </c>
      <c r="AQ20" s="549" t="n">
        <v>0</v>
      </c>
      <c r="AR20" s="804" t="s">
        <v>4041</v>
      </c>
      <c r="AS20" s="549" t="n">
        <v>0</v>
      </c>
      <c r="AT20" s="804" t="s">
        <v>4041</v>
      </c>
      <c r="AU20" s="549" t="n">
        <v>0</v>
      </c>
      <c r="AV20" s="802"/>
      <c r="AW20" s="803"/>
      <c r="AX20" s="802"/>
      <c r="AY20" s="803"/>
      <c r="AZ20" s="549" t="s">
        <v>4041</v>
      </c>
      <c r="BA20" s="804" t="n">
        <v>0</v>
      </c>
      <c r="BB20" s="549" t="s">
        <v>4041</v>
      </c>
      <c r="BC20" s="549" t="s">
        <v>4041</v>
      </c>
      <c r="BD20" s="804" t="s">
        <v>4041</v>
      </c>
      <c r="BE20" s="549" t="n">
        <v>0</v>
      </c>
      <c r="BF20" s="804" t="s">
        <v>4052</v>
      </c>
      <c r="BG20" s="549" t="n">
        <v>0</v>
      </c>
      <c r="BH20" s="804" t="s">
        <v>4052</v>
      </c>
      <c r="BI20" s="549" t="n">
        <v>0</v>
      </c>
      <c r="BJ20" s="802"/>
      <c r="BK20" s="803"/>
      <c r="BL20" s="802"/>
      <c r="BM20" s="803"/>
      <c r="BN20" s="804" t="s">
        <v>4052</v>
      </c>
      <c r="BO20" s="549" t="n">
        <v>0</v>
      </c>
    </row>
    <row r="21" customFormat="false" ht="13.8" hidden="false" customHeight="false" outlineLevel="0" collapsed="false">
      <c r="B21" s="4" t="n">
        <v>16</v>
      </c>
      <c r="C21" s="805" t="s">
        <v>4050</v>
      </c>
      <c r="D21" s="121" t="s">
        <v>4041</v>
      </c>
      <c r="E21" s="799" t="s">
        <v>4053</v>
      </c>
      <c r="F21" s="802"/>
      <c r="G21" s="803" t="n">
        <v>0</v>
      </c>
      <c r="H21" s="804" t="s">
        <v>4025</v>
      </c>
      <c r="I21" s="549" t="n">
        <v>0</v>
      </c>
      <c r="J21" s="804" t="s">
        <v>4045</v>
      </c>
      <c r="K21" s="549" t="n">
        <v>0</v>
      </c>
      <c r="L21" s="804" t="s">
        <v>4025</v>
      </c>
      <c r="M21" s="549" t="n">
        <v>0</v>
      </c>
      <c r="N21" s="804" t="s">
        <v>4025</v>
      </c>
      <c r="O21" s="549" t="n">
        <v>0</v>
      </c>
      <c r="P21" s="804" t="s">
        <v>4025</v>
      </c>
      <c r="Q21" s="549" t="n">
        <v>0</v>
      </c>
      <c r="R21" s="804" t="s">
        <v>4025</v>
      </c>
      <c r="S21" s="549" t="n">
        <v>0</v>
      </c>
      <c r="T21" s="802"/>
      <c r="U21" s="803"/>
      <c r="V21" s="804" t="s">
        <v>4034</v>
      </c>
      <c r="W21" s="549" t="n">
        <v>0</v>
      </c>
      <c r="X21" s="804" t="s">
        <v>4034</v>
      </c>
      <c r="Y21" s="549" t="n">
        <v>0</v>
      </c>
      <c r="Z21" s="804" t="s">
        <v>4034</v>
      </c>
      <c r="AA21" s="549" t="n">
        <v>0</v>
      </c>
      <c r="AB21" s="804" t="s">
        <v>4034</v>
      </c>
      <c r="AC21" s="549" t="n">
        <v>0</v>
      </c>
      <c r="AD21" s="804" t="s">
        <v>4025</v>
      </c>
      <c r="AE21" s="549" t="n">
        <v>0</v>
      </c>
      <c r="AF21" s="802"/>
      <c r="AG21" s="803"/>
      <c r="AH21" s="802"/>
      <c r="AI21" s="803"/>
      <c r="AJ21" s="802"/>
      <c r="AK21" s="803"/>
      <c r="AL21" s="804" t="s">
        <v>4025</v>
      </c>
      <c r="AM21" s="549" t="n">
        <v>0</v>
      </c>
      <c r="AN21" s="804" t="s">
        <v>4025</v>
      </c>
      <c r="AO21" s="549" t="n">
        <v>0</v>
      </c>
      <c r="AP21" s="804" t="s">
        <v>4025</v>
      </c>
      <c r="AQ21" s="549" t="n">
        <v>0</v>
      </c>
      <c r="AR21" s="804" t="s">
        <v>4025</v>
      </c>
      <c r="AS21" s="549" t="n">
        <v>0</v>
      </c>
      <c r="AT21" s="804" t="s">
        <v>4025</v>
      </c>
      <c r="AU21" s="549" t="n">
        <v>0</v>
      </c>
      <c r="AV21" s="802"/>
      <c r="AW21" s="803"/>
      <c r="AX21" s="802"/>
      <c r="AY21" s="803"/>
      <c r="AZ21" s="549" t="s">
        <v>4025</v>
      </c>
      <c r="BA21" s="804" t="n">
        <v>0</v>
      </c>
      <c r="BB21" s="549" t="s">
        <v>4025</v>
      </c>
      <c r="BC21" s="549" t="s">
        <v>4025</v>
      </c>
      <c r="BD21" s="804" t="s">
        <v>4025</v>
      </c>
      <c r="BE21" s="549" t="n">
        <v>0</v>
      </c>
      <c r="BF21" s="804" t="s">
        <v>4052</v>
      </c>
      <c r="BG21" s="549" t="n">
        <v>0</v>
      </c>
      <c r="BH21" s="804" t="s">
        <v>4052</v>
      </c>
      <c r="BI21" s="549" t="n">
        <v>0</v>
      </c>
      <c r="BJ21" s="802"/>
      <c r="BK21" s="803"/>
      <c r="BL21" s="802"/>
      <c r="BM21" s="803"/>
      <c r="BN21" s="804" t="s">
        <v>4052</v>
      </c>
      <c r="BO21" s="549" t="n">
        <v>0</v>
      </c>
    </row>
    <row r="22" customFormat="false" ht="13.8" hidden="false" customHeight="false" outlineLevel="0" collapsed="false">
      <c r="B22" s="4" t="n">
        <v>17</v>
      </c>
      <c r="C22" s="805" t="s">
        <v>4054</v>
      </c>
      <c r="D22" s="121" t="s">
        <v>4045</v>
      </c>
      <c r="E22" s="799" t="s">
        <v>4055</v>
      </c>
      <c r="F22" s="802"/>
      <c r="G22" s="803" t="n">
        <v>0</v>
      </c>
      <c r="H22" s="804" t="s">
        <v>4056</v>
      </c>
      <c r="I22" s="549" t="n">
        <v>0</v>
      </c>
      <c r="J22" s="804" t="s">
        <v>4056</v>
      </c>
      <c r="K22" s="549" t="n">
        <v>0</v>
      </c>
      <c r="L22" s="804" t="s">
        <v>4045</v>
      </c>
      <c r="M22" s="549" t="n">
        <v>0</v>
      </c>
      <c r="N22" s="804" t="s">
        <v>4045</v>
      </c>
      <c r="O22" s="549" t="n">
        <v>0</v>
      </c>
      <c r="P22" s="804" t="s">
        <v>4045</v>
      </c>
      <c r="Q22" s="549" t="n">
        <v>0</v>
      </c>
      <c r="R22" s="804" t="s">
        <v>4045</v>
      </c>
      <c r="S22" s="549" t="n">
        <v>0</v>
      </c>
      <c r="T22" s="802"/>
      <c r="U22" s="803"/>
      <c r="V22" s="804" t="s">
        <v>4045</v>
      </c>
      <c r="W22" s="549" t="n">
        <v>0</v>
      </c>
      <c r="X22" s="804" t="s">
        <v>4045</v>
      </c>
      <c r="Y22" s="549" t="n">
        <v>0</v>
      </c>
      <c r="Z22" s="804" t="s">
        <v>4045</v>
      </c>
      <c r="AA22" s="549" t="n">
        <v>0</v>
      </c>
      <c r="AB22" s="804" t="s">
        <v>4045</v>
      </c>
      <c r="AC22" s="549" t="n">
        <v>0</v>
      </c>
      <c r="AD22" s="804" t="s">
        <v>4045</v>
      </c>
      <c r="AE22" s="549" t="n">
        <v>0</v>
      </c>
      <c r="AF22" s="802"/>
      <c r="AG22" s="803"/>
      <c r="AH22" s="802"/>
      <c r="AI22" s="803"/>
      <c r="AJ22" s="802"/>
      <c r="AK22" s="803"/>
      <c r="AL22" s="804" t="s">
        <v>4045</v>
      </c>
      <c r="AM22" s="549" t="n">
        <v>0</v>
      </c>
      <c r="AN22" s="804" t="s">
        <v>4045</v>
      </c>
      <c r="AO22" s="549" t="n">
        <v>0</v>
      </c>
      <c r="AP22" s="804" t="s">
        <v>4045</v>
      </c>
      <c r="AQ22" s="549" t="n">
        <v>0</v>
      </c>
      <c r="AR22" s="804" t="s">
        <v>4045</v>
      </c>
      <c r="AS22" s="549" t="n">
        <v>0</v>
      </c>
      <c r="AT22" s="804" t="s">
        <v>4045</v>
      </c>
      <c r="AU22" s="549" t="n">
        <v>0</v>
      </c>
      <c r="AV22" s="802"/>
      <c r="AW22" s="803"/>
      <c r="AX22" s="802"/>
      <c r="AY22" s="803"/>
      <c r="AZ22" s="549" t="s">
        <v>4045</v>
      </c>
      <c r="BA22" s="804" t="n">
        <v>0</v>
      </c>
      <c r="BB22" s="549" t="s">
        <v>4045</v>
      </c>
      <c r="BC22" s="549" t="s">
        <v>4045</v>
      </c>
      <c r="BD22" s="804" t="s">
        <v>4045</v>
      </c>
      <c r="BE22" s="549" t="n">
        <v>0</v>
      </c>
      <c r="BF22" s="804" t="s">
        <v>4052</v>
      </c>
      <c r="BG22" s="549" t="n">
        <v>0</v>
      </c>
      <c r="BH22" s="804" t="s">
        <v>4052</v>
      </c>
      <c r="BI22" s="549" t="n">
        <v>0</v>
      </c>
      <c r="BJ22" s="802"/>
      <c r="BK22" s="803"/>
      <c r="BL22" s="802"/>
      <c r="BM22" s="803"/>
      <c r="BN22" s="804" t="s">
        <v>4052</v>
      </c>
      <c r="BO22" s="549" t="n">
        <v>0</v>
      </c>
    </row>
    <row r="23" customFormat="false" ht="13.8" hidden="false" customHeight="false" outlineLevel="0" collapsed="false">
      <c r="B23" s="4" t="n">
        <v>18</v>
      </c>
      <c r="C23" s="805" t="s">
        <v>4054</v>
      </c>
      <c r="D23" s="121" t="s">
        <v>4045</v>
      </c>
      <c r="E23" s="799" t="s">
        <v>4057</v>
      </c>
      <c r="F23" s="802"/>
      <c r="G23" s="803" t="n">
        <v>0</v>
      </c>
      <c r="H23" s="804" t="s">
        <v>4056</v>
      </c>
      <c r="I23" s="549" t="n">
        <v>0</v>
      </c>
      <c r="J23" s="804" t="s">
        <v>4056</v>
      </c>
      <c r="K23" s="549" t="n">
        <v>0</v>
      </c>
      <c r="L23" s="804" t="s">
        <v>51</v>
      </c>
      <c r="M23" s="549" t="n">
        <v>0</v>
      </c>
      <c r="N23" s="804" t="s">
        <v>4045</v>
      </c>
      <c r="O23" s="549" t="n">
        <v>0</v>
      </c>
      <c r="P23" s="804" t="s">
        <v>4045</v>
      </c>
      <c r="Q23" s="549" t="n">
        <v>0</v>
      </c>
      <c r="R23" s="804" t="s">
        <v>4045</v>
      </c>
      <c r="S23" s="549" t="n">
        <v>0</v>
      </c>
      <c r="T23" s="802"/>
      <c r="U23" s="803"/>
      <c r="V23" s="804" t="s">
        <v>4045</v>
      </c>
      <c r="W23" s="549" t="n">
        <v>0</v>
      </c>
      <c r="X23" s="804" t="s">
        <v>4045</v>
      </c>
      <c r="Y23" s="549" t="n">
        <v>0</v>
      </c>
      <c r="Z23" s="804" t="s">
        <v>4045</v>
      </c>
      <c r="AA23" s="549" t="n">
        <v>0</v>
      </c>
      <c r="AB23" s="804" t="s">
        <v>51</v>
      </c>
      <c r="AC23" s="549" t="n">
        <v>0</v>
      </c>
      <c r="AD23" s="804" t="s">
        <v>51</v>
      </c>
      <c r="AE23" s="549" t="n">
        <v>0</v>
      </c>
      <c r="AF23" s="802"/>
      <c r="AG23" s="803"/>
      <c r="AH23" s="802"/>
      <c r="AI23" s="803"/>
      <c r="AJ23" s="802"/>
      <c r="AK23" s="803"/>
      <c r="AL23" s="804" t="s">
        <v>51</v>
      </c>
      <c r="AM23" s="549" t="n">
        <v>0</v>
      </c>
      <c r="AN23" s="804" t="s">
        <v>51</v>
      </c>
      <c r="AO23" s="549" t="n">
        <v>0</v>
      </c>
      <c r="AP23" s="804" t="s">
        <v>51</v>
      </c>
      <c r="AQ23" s="549" t="n">
        <v>0</v>
      </c>
      <c r="AR23" s="804" t="s">
        <v>51</v>
      </c>
      <c r="AS23" s="549" t="n">
        <v>0</v>
      </c>
      <c r="AT23" s="804" t="s">
        <v>51</v>
      </c>
      <c r="AU23" s="549" t="n">
        <v>0</v>
      </c>
      <c r="AV23" s="802"/>
      <c r="AW23" s="803"/>
      <c r="AX23" s="802"/>
      <c r="AY23" s="803"/>
      <c r="AZ23" s="549" t="s">
        <v>51</v>
      </c>
      <c r="BA23" s="804" t="n">
        <v>0</v>
      </c>
      <c r="BB23" s="549" t="s">
        <v>51</v>
      </c>
      <c r="BC23" s="549" t="s">
        <v>51</v>
      </c>
      <c r="BD23" s="804" t="s">
        <v>51</v>
      </c>
      <c r="BE23" s="549" t="n">
        <v>0</v>
      </c>
      <c r="BF23" s="804" t="s">
        <v>4056</v>
      </c>
      <c r="BG23" s="549" t="n">
        <v>0</v>
      </c>
      <c r="BH23" s="804" t="s">
        <v>4056</v>
      </c>
      <c r="BI23" s="549" t="n">
        <v>0</v>
      </c>
      <c r="BJ23" s="802"/>
      <c r="BK23" s="803"/>
      <c r="BL23" s="802"/>
      <c r="BM23" s="803"/>
      <c r="BN23" s="804" t="s">
        <v>4056</v>
      </c>
      <c r="BO23" s="549" t="n">
        <v>0</v>
      </c>
    </row>
    <row r="24" customFormat="false" ht="13.8" hidden="false" customHeight="false" outlineLevel="0" collapsed="false">
      <c r="B24" s="4" t="n">
        <v>19</v>
      </c>
      <c r="C24" s="805" t="s">
        <v>4058</v>
      </c>
      <c r="D24" s="121" t="s">
        <v>4048</v>
      </c>
      <c r="E24" s="799" t="s">
        <v>4059</v>
      </c>
      <c r="F24" s="802"/>
      <c r="G24" s="803" t="n">
        <v>0</v>
      </c>
      <c r="H24" s="804" t="s">
        <v>4048</v>
      </c>
      <c r="I24" s="549" t="n">
        <v>0</v>
      </c>
      <c r="J24" s="804" t="s">
        <v>4048</v>
      </c>
      <c r="K24" s="549" t="n">
        <v>0</v>
      </c>
      <c r="L24" s="804" t="s">
        <v>4045</v>
      </c>
      <c r="M24" s="549" t="n">
        <v>0</v>
      </c>
      <c r="N24" s="804" t="s">
        <v>4045</v>
      </c>
      <c r="O24" s="549" t="n">
        <v>0</v>
      </c>
      <c r="P24" s="804" t="s">
        <v>4048</v>
      </c>
      <c r="Q24" s="549" t="n">
        <v>0</v>
      </c>
      <c r="R24" s="804" t="s">
        <v>4048</v>
      </c>
      <c r="S24" s="549" t="n">
        <v>0</v>
      </c>
      <c r="T24" s="802"/>
      <c r="U24" s="803"/>
      <c r="V24" s="804" t="s">
        <v>4048</v>
      </c>
      <c r="W24" s="549" t="n">
        <v>0</v>
      </c>
      <c r="X24" s="804" t="s">
        <v>4048</v>
      </c>
      <c r="Y24" s="549" t="n">
        <v>0</v>
      </c>
      <c r="Z24" s="804" t="s">
        <v>4048</v>
      </c>
      <c r="AA24" s="549" t="n">
        <v>0</v>
      </c>
      <c r="AB24" s="804" t="s">
        <v>4048</v>
      </c>
      <c r="AC24" s="549" t="n">
        <v>0</v>
      </c>
      <c r="AD24" s="804" t="s">
        <v>4048</v>
      </c>
      <c r="AE24" s="549" t="n">
        <v>0</v>
      </c>
      <c r="AF24" s="802"/>
      <c r="AG24" s="803"/>
      <c r="AH24" s="802"/>
      <c r="AI24" s="803"/>
      <c r="AJ24" s="802"/>
      <c r="AK24" s="803"/>
      <c r="AL24" s="804" t="s">
        <v>4048</v>
      </c>
      <c r="AM24" s="549" t="n">
        <v>0</v>
      </c>
      <c r="AN24" s="804" t="s">
        <v>4048</v>
      </c>
      <c r="AO24" s="549" t="n">
        <v>0</v>
      </c>
      <c r="AP24" s="804" t="s">
        <v>4048</v>
      </c>
      <c r="AQ24" s="549" t="n">
        <v>0</v>
      </c>
      <c r="AR24" s="804" t="s">
        <v>4048</v>
      </c>
      <c r="AS24" s="549" t="n">
        <v>0</v>
      </c>
      <c r="AT24" s="804" t="s">
        <v>4048</v>
      </c>
      <c r="AU24" s="549" t="n">
        <v>0</v>
      </c>
      <c r="AV24" s="802"/>
      <c r="AW24" s="803"/>
      <c r="AX24" s="802"/>
      <c r="AY24" s="803"/>
      <c r="AZ24" s="549" t="s">
        <v>4048</v>
      </c>
      <c r="BA24" s="804" t="n">
        <v>0</v>
      </c>
      <c r="BB24" s="549" t="s">
        <v>4048</v>
      </c>
      <c r="BC24" s="549" t="s">
        <v>4048</v>
      </c>
      <c r="BD24" s="804" t="s">
        <v>4048</v>
      </c>
      <c r="BE24" s="549" t="n">
        <v>0</v>
      </c>
      <c r="BF24" s="804" t="s">
        <v>4056</v>
      </c>
      <c r="BG24" s="549" t="n">
        <v>0</v>
      </c>
      <c r="BH24" s="804" t="s">
        <v>4056</v>
      </c>
      <c r="BI24" s="549" t="n">
        <v>0</v>
      </c>
      <c r="BJ24" s="802"/>
      <c r="BK24" s="803"/>
      <c r="BL24" s="802"/>
      <c r="BM24" s="803"/>
      <c r="BN24" s="804" t="s">
        <v>4056</v>
      </c>
      <c r="BO24" s="549" t="n">
        <v>0</v>
      </c>
    </row>
    <row r="25" customFormat="false" ht="13.8" hidden="false" customHeight="false" outlineLevel="0" collapsed="false">
      <c r="B25" s="4" t="n">
        <v>20</v>
      </c>
      <c r="C25" s="805" t="s">
        <v>4054</v>
      </c>
      <c r="D25" s="121" t="s">
        <v>4045</v>
      </c>
      <c r="E25" s="799" t="s">
        <v>4060</v>
      </c>
      <c r="F25" s="802"/>
      <c r="G25" s="803" t="n">
        <v>0</v>
      </c>
      <c r="H25" s="804" t="s">
        <v>4031</v>
      </c>
      <c r="I25" s="549" t="n">
        <v>0</v>
      </c>
      <c r="J25" s="804" t="s">
        <v>4031</v>
      </c>
      <c r="K25" s="549" t="n">
        <v>0</v>
      </c>
      <c r="L25" s="804" t="s">
        <v>4031</v>
      </c>
      <c r="M25" s="549" t="n">
        <v>0</v>
      </c>
      <c r="N25" s="804" t="s">
        <v>4031</v>
      </c>
      <c r="O25" s="549" t="n">
        <v>0</v>
      </c>
      <c r="P25" s="804" t="s">
        <v>4045</v>
      </c>
      <c r="Q25" s="549" t="n">
        <v>0</v>
      </c>
      <c r="R25" s="804" t="s">
        <v>4045</v>
      </c>
      <c r="S25" s="549" t="n">
        <v>0</v>
      </c>
      <c r="T25" s="802"/>
      <c r="U25" s="803"/>
      <c r="V25" s="804" t="s">
        <v>4045</v>
      </c>
      <c r="W25" s="549" t="n">
        <v>0</v>
      </c>
      <c r="X25" s="804" t="s">
        <v>4045</v>
      </c>
      <c r="Y25" s="549" t="n">
        <v>0</v>
      </c>
      <c r="Z25" s="804" t="s">
        <v>4045</v>
      </c>
      <c r="AA25" s="549" t="n">
        <v>0</v>
      </c>
      <c r="AB25" s="804" t="s">
        <v>4045</v>
      </c>
      <c r="AC25" s="549" t="n">
        <v>0</v>
      </c>
      <c r="AD25" s="804" t="s">
        <v>4045</v>
      </c>
      <c r="AE25" s="549" t="n">
        <v>0</v>
      </c>
      <c r="AF25" s="802"/>
      <c r="AG25" s="803"/>
      <c r="AH25" s="802"/>
      <c r="AI25" s="803"/>
      <c r="AJ25" s="802"/>
      <c r="AK25" s="803"/>
      <c r="AL25" s="804" t="s">
        <v>4045</v>
      </c>
      <c r="AM25" s="549" t="n">
        <v>0</v>
      </c>
      <c r="AN25" s="804" t="s">
        <v>4045</v>
      </c>
      <c r="AO25" s="549" t="n">
        <v>0</v>
      </c>
      <c r="AP25" s="804" t="s">
        <v>4045</v>
      </c>
      <c r="AQ25" s="549" t="n">
        <v>0</v>
      </c>
      <c r="AR25" s="804" t="s">
        <v>4045</v>
      </c>
      <c r="AS25" s="549" t="n">
        <v>0</v>
      </c>
      <c r="AT25" s="804" t="s">
        <v>4045</v>
      </c>
      <c r="AU25" s="549" t="n">
        <v>0</v>
      </c>
      <c r="AV25" s="802"/>
      <c r="AW25" s="803"/>
      <c r="AX25" s="802"/>
      <c r="AY25" s="803"/>
      <c r="AZ25" s="549" t="s">
        <v>4045</v>
      </c>
      <c r="BA25" s="804" t="n">
        <v>0</v>
      </c>
      <c r="BB25" s="549" t="s">
        <v>4045</v>
      </c>
      <c r="BC25" s="549" t="s">
        <v>4045</v>
      </c>
      <c r="BD25" s="804" t="s">
        <v>4045</v>
      </c>
      <c r="BE25" s="549" t="n">
        <v>0</v>
      </c>
      <c r="BF25" s="804" t="s">
        <v>4056</v>
      </c>
      <c r="BG25" s="549" t="n">
        <v>0</v>
      </c>
      <c r="BH25" s="804" t="s">
        <v>4056</v>
      </c>
      <c r="BI25" s="549" t="n">
        <v>0</v>
      </c>
      <c r="BJ25" s="802"/>
      <c r="BK25" s="803"/>
      <c r="BL25" s="802"/>
      <c r="BM25" s="803"/>
      <c r="BN25" s="804" t="s">
        <v>4056</v>
      </c>
      <c r="BO25" s="549" t="n">
        <v>0</v>
      </c>
    </row>
    <row r="26" customFormat="false" ht="13.8" hidden="false" customHeight="false" outlineLevel="0" collapsed="false">
      <c r="B26" s="4" t="n">
        <v>21</v>
      </c>
      <c r="C26" s="805" t="s">
        <v>4061</v>
      </c>
      <c r="D26" s="121" t="s">
        <v>4052</v>
      </c>
      <c r="E26" s="799" t="s">
        <v>4062</v>
      </c>
      <c r="F26" s="802"/>
      <c r="G26" s="803" t="n">
        <v>0</v>
      </c>
      <c r="H26" s="804" t="n">
        <v>0</v>
      </c>
      <c r="I26" s="549" t="n">
        <v>0</v>
      </c>
      <c r="J26" s="804" t="n">
        <v>0</v>
      </c>
      <c r="K26" s="549" t="n">
        <v>0</v>
      </c>
      <c r="L26" s="804" t="n">
        <v>0</v>
      </c>
      <c r="M26" s="549" t="n">
        <v>0</v>
      </c>
      <c r="N26" s="804" t="n">
        <v>0</v>
      </c>
      <c r="O26" s="549" t="n">
        <v>0</v>
      </c>
      <c r="P26" s="804" t="n">
        <v>0</v>
      </c>
      <c r="Q26" s="549" t="n">
        <v>0</v>
      </c>
      <c r="R26" s="804" t="s">
        <v>4052</v>
      </c>
      <c r="S26" s="549" t="n">
        <v>0</v>
      </c>
      <c r="T26" s="802"/>
      <c r="U26" s="803"/>
      <c r="V26" s="804" t="s">
        <v>4052</v>
      </c>
      <c r="W26" s="549" t="n">
        <v>0</v>
      </c>
      <c r="X26" s="804" t="s">
        <v>4052</v>
      </c>
      <c r="Y26" s="549" t="n">
        <v>0</v>
      </c>
      <c r="Z26" s="804" t="s">
        <v>4052</v>
      </c>
      <c r="AA26" s="549" t="n">
        <v>0</v>
      </c>
      <c r="AB26" s="804" t="s">
        <v>4052</v>
      </c>
      <c r="AC26" s="549" t="n">
        <v>0</v>
      </c>
      <c r="AD26" s="804" t="s">
        <v>4052</v>
      </c>
      <c r="AE26" s="549" t="n">
        <v>0</v>
      </c>
      <c r="AF26" s="802"/>
      <c r="AG26" s="803"/>
      <c r="AH26" s="802"/>
      <c r="AI26" s="803"/>
      <c r="AJ26" s="802"/>
      <c r="AK26" s="803"/>
      <c r="AL26" s="804" t="s">
        <v>4052</v>
      </c>
      <c r="AM26" s="549" t="n">
        <v>0</v>
      </c>
      <c r="AN26" s="804" t="s">
        <v>4052</v>
      </c>
      <c r="AO26" s="549" t="n">
        <v>0</v>
      </c>
      <c r="AP26" s="804" t="s">
        <v>4052</v>
      </c>
      <c r="AQ26" s="549" t="n">
        <v>0</v>
      </c>
      <c r="AR26" s="804" t="s">
        <v>4052</v>
      </c>
      <c r="AS26" s="549" t="n">
        <v>0</v>
      </c>
      <c r="AT26" s="804" t="s">
        <v>4052</v>
      </c>
      <c r="AU26" s="549" t="n">
        <v>0</v>
      </c>
      <c r="AV26" s="802"/>
      <c r="AW26" s="803"/>
      <c r="AX26" s="802"/>
      <c r="AY26" s="803"/>
      <c r="AZ26" s="549" t="s">
        <v>51</v>
      </c>
      <c r="BA26" s="804" t="n">
        <v>0</v>
      </c>
      <c r="BB26" s="549" t="s">
        <v>4052</v>
      </c>
      <c r="BC26" s="549" t="s">
        <v>4052</v>
      </c>
      <c r="BD26" s="804" t="s">
        <v>4052</v>
      </c>
      <c r="BE26" s="549" t="n">
        <v>0</v>
      </c>
      <c r="BF26" s="804" t="s">
        <v>51</v>
      </c>
      <c r="BG26" s="549" t="n">
        <v>0</v>
      </c>
      <c r="BH26" s="804" t="s">
        <v>51</v>
      </c>
      <c r="BI26" s="549" t="n">
        <v>0</v>
      </c>
      <c r="BJ26" s="802"/>
      <c r="BK26" s="803"/>
      <c r="BL26" s="802"/>
      <c r="BM26" s="803"/>
      <c r="BN26" s="804" t="s">
        <v>51</v>
      </c>
      <c r="BO26" s="549" t="n">
        <v>0</v>
      </c>
    </row>
    <row r="27" customFormat="false" ht="13.8" hidden="false" customHeight="false" outlineLevel="0" collapsed="false">
      <c r="B27" s="4" t="n">
        <v>22</v>
      </c>
      <c r="C27" s="805" t="s">
        <v>4061</v>
      </c>
      <c r="D27" s="121" t="s">
        <v>4052</v>
      </c>
      <c r="E27" s="799" t="s">
        <v>1508</v>
      </c>
      <c r="F27" s="802"/>
      <c r="G27" s="803" t="n">
        <v>0</v>
      </c>
      <c r="H27" s="804" t="n">
        <v>0</v>
      </c>
      <c r="I27" s="549" t="n">
        <v>0</v>
      </c>
      <c r="J27" s="804" t="n">
        <v>0</v>
      </c>
      <c r="K27" s="549" t="n">
        <v>0</v>
      </c>
      <c r="L27" s="804" t="n">
        <v>0</v>
      </c>
      <c r="M27" s="549" t="n">
        <v>0</v>
      </c>
      <c r="N27" s="804" t="n">
        <v>0</v>
      </c>
      <c r="O27" s="549" t="n">
        <v>0</v>
      </c>
      <c r="P27" s="804" t="n">
        <v>0</v>
      </c>
      <c r="Q27" s="549" t="n">
        <v>0</v>
      </c>
      <c r="R27" s="804" t="s">
        <v>4052</v>
      </c>
      <c r="S27" s="549" t="n">
        <v>0</v>
      </c>
      <c r="T27" s="802"/>
      <c r="U27" s="803"/>
      <c r="V27" s="804" t="s">
        <v>4052</v>
      </c>
      <c r="W27" s="549" t="n">
        <v>0</v>
      </c>
      <c r="X27" s="804" t="s">
        <v>4052</v>
      </c>
      <c r="Y27" s="549" t="n">
        <v>0</v>
      </c>
      <c r="Z27" s="804" t="s">
        <v>4052</v>
      </c>
      <c r="AA27" s="549" t="n">
        <v>0</v>
      </c>
      <c r="AB27" s="804" t="s">
        <v>4052</v>
      </c>
      <c r="AC27" s="549" t="n">
        <v>0</v>
      </c>
      <c r="AD27" s="804" t="s">
        <v>4052</v>
      </c>
      <c r="AE27" s="549" t="n">
        <v>0</v>
      </c>
      <c r="AF27" s="802"/>
      <c r="AG27" s="803"/>
      <c r="AH27" s="802"/>
      <c r="AI27" s="803"/>
      <c r="AJ27" s="802"/>
      <c r="AK27" s="803"/>
      <c r="AL27" s="804" t="s">
        <v>4052</v>
      </c>
      <c r="AM27" s="549" t="n">
        <v>0</v>
      </c>
      <c r="AN27" s="804" t="s">
        <v>4052</v>
      </c>
      <c r="AO27" s="549" t="n">
        <v>0</v>
      </c>
      <c r="AP27" s="804" t="s">
        <v>4052</v>
      </c>
      <c r="AQ27" s="549" t="n">
        <v>0</v>
      </c>
      <c r="AR27" s="804" t="s">
        <v>4052</v>
      </c>
      <c r="AS27" s="549" t="n">
        <v>0</v>
      </c>
      <c r="AT27" s="804" t="s">
        <v>4052</v>
      </c>
      <c r="AU27" s="549" t="n">
        <v>0</v>
      </c>
      <c r="AV27" s="802"/>
      <c r="AW27" s="803"/>
      <c r="AX27" s="802"/>
      <c r="AY27" s="803"/>
      <c r="AZ27" s="549" t="s">
        <v>4052</v>
      </c>
      <c r="BA27" s="804" t="n">
        <v>0</v>
      </c>
      <c r="BB27" s="549" t="s">
        <v>4052</v>
      </c>
      <c r="BC27" s="549" t="s">
        <v>4052</v>
      </c>
      <c r="BD27" s="804" t="s">
        <v>4052</v>
      </c>
      <c r="BE27" s="549" t="n">
        <v>0</v>
      </c>
      <c r="BF27" s="804" t="s">
        <v>4056</v>
      </c>
      <c r="BG27" s="549" t="n">
        <v>0</v>
      </c>
      <c r="BH27" s="804" t="s">
        <v>4056</v>
      </c>
      <c r="BI27" s="549" t="n">
        <v>0</v>
      </c>
      <c r="BJ27" s="802"/>
      <c r="BK27" s="803"/>
      <c r="BL27" s="802"/>
      <c r="BM27" s="803"/>
      <c r="BN27" s="804" t="s">
        <v>4056</v>
      </c>
      <c r="BO27" s="549" t="n">
        <v>0</v>
      </c>
    </row>
    <row r="28" customFormat="false" ht="13.8" hidden="false" customHeight="false" outlineLevel="0" collapsed="false">
      <c r="B28" s="4" t="n">
        <v>23</v>
      </c>
      <c r="C28" s="805" t="s">
        <v>4061</v>
      </c>
      <c r="D28" s="121" t="s">
        <v>4052</v>
      </c>
      <c r="E28" s="799" t="s">
        <v>1489</v>
      </c>
      <c r="F28" s="802"/>
      <c r="G28" s="803" t="n">
        <v>0</v>
      </c>
      <c r="H28" s="804" t="n">
        <v>0</v>
      </c>
      <c r="I28" s="549" t="n">
        <v>0</v>
      </c>
      <c r="J28" s="804" t="n">
        <v>0</v>
      </c>
      <c r="K28" s="549" t="n">
        <v>0</v>
      </c>
      <c r="L28" s="804" t="n">
        <v>0</v>
      </c>
      <c r="M28" s="549" t="n">
        <v>0</v>
      </c>
      <c r="N28" s="804" t="n">
        <v>0</v>
      </c>
      <c r="O28" s="549" t="n">
        <v>0</v>
      </c>
      <c r="P28" s="804" t="n">
        <v>0</v>
      </c>
      <c r="Q28" s="549" t="n">
        <v>0</v>
      </c>
      <c r="R28" s="804" t="s">
        <v>4052</v>
      </c>
      <c r="S28" s="549" t="n">
        <v>0</v>
      </c>
      <c r="T28" s="802"/>
      <c r="U28" s="803"/>
      <c r="V28" s="804" t="s">
        <v>4052</v>
      </c>
      <c r="W28" s="549" t="n">
        <v>0</v>
      </c>
      <c r="X28" s="804" t="s">
        <v>4052</v>
      </c>
      <c r="Y28" s="549" t="n">
        <v>0</v>
      </c>
      <c r="Z28" s="804" t="s">
        <v>4052</v>
      </c>
      <c r="AA28" s="549" t="n">
        <v>0</v>
      </c>
      <c r="AB28" s="804" t="s">
        <v>4052</v>
      </c>
      <c r="AC28" s="549" t="n">
        <v>0</v>
      </c>
      <c r="AD28" s="804" t="s">
        <v>4052</v>
      </c>
      <c r="AE28" s="549" t="n">
        <v>0</v>
      </c>
      <c r="AF28" s="802"/>
      <c r="AG28" s="803"/>
      <c r="AH28" s="802"/>
      <c r="AI28" s="803"/>
      <c r="AJ28" s="802"/>
      <c r="AK28" s="803"/>
      <c r="AL28" s="804" t="s">
        <v>4052</v>
      </c>
      <c r="AM28" s="549" t="n">
        <v>0</v>
      </c>
      <c r="AN28" s="804" t="s">
        <v>4052</v>
      </c>
      <c r="AO28" s="549" t="n">
        <v>0</v>
      </c>
      <c r="AP28" s="804" t="s">
        <v>4052</v>
      </c>
      <c r="AQ28" s="549" t="n">
        <v>0</v>
      </c>
      <c r="AR28" s="804" t="s">
        <v>4052</v>
      </c>
      <c r="AS28" s="549" t="n">
        <v>0</v>
      </c>
      <c r="AT28" s="804" t="s">
        <v>4052</v>
      </c>
      <c r="AU28" s="549" t="n">
        <v>0</v>
      </c>
      <c r="AV28" s="802"/>
      <c r="AW28" s="803"/>
      <c r="AX28" s="802"/>
      <c r="AY28" s="803"/>
      <c r="AZ28" s="549" t="s">
        <v>4052</v>
      </c>
      <c r="BA28" s="804" t="n">
        <v>0</v>
      </c>
      <c r="BB28" s="549" t="s">
        <v>4052</v>
      </c>
      <c r="BC28" s="549" t="s">
        <v>4052</v>
      </c>
      <c r="BD28" s="804" t="s">
        <v>4052</v>
      </c>
      <c r="BE28" s="549" t="n">
        <v>0</v>
      </c>
      <c r="BF28" s="804" t="s">
        <v>51</v>
      </c>
      <c r="BG28" s="549" t="n">
        <v>0</v>
      </c>
      <c r="BH28" s="804" t="s">
        <v>51</v>
      </c>
      <c r="BI28" s="549" t="n">
        <v>0</v>
      </c>
      <c r="BJ28" s="802"/>
      <c r="BK28" s="803"/>
      <c r="BL28" s="802"/>
      <c r="BM28" s="803"/>
      <c r="BN28" s="804" t="s">
        <v>51</v>
      </c>
      <c r="BO28" s="549" t="n">
        <v>0</v>
      </c>
    </row>
    <row r="29" customFormat="false" ht="13.8" hidden="false" customHeight="false" outlineLevel="0" collapsed="false">
      <c r="B29" s="4" t="n">
        <v>24</v>
      </c>
      <c r="C29" s="805" t="s">
        <v>4063</v>
      </c>
      <c r="D29" s="121" t="s">
        <v>4056</v>
      </c>
      <c r="E29" s="799" t="s">
        <v>4033</v>
      </c>
      <c r="F29" s="802"/>
      <c r="G29" s="803" t="n">
        <v>0</v>
      </c>
      <c r="H29" s="804" t="s">
        <v>4056</v>
      </c>
      <c r="I29" s="549" t="n">
        <v>0</v>
      </c>
      <c r="J29" s="804" t="s">
        <v>4056</v>
      </c>
      <c r="K29" s="549" t="n">
        <v>0</v>
      </c>
      <c r="L29" s="804" t="s">
        <v>4056</v>
      </c>
      <c r="M29" s="549" t="n">
        <v>0</v>
      </c>
      <c r="N29" s="804" t="s">
        <v>4056</v>
      </c>
      <c r="O29" s="549" t="n">
        <v>0</v>
      </c>
      <c r="P29" s="804" t="s">
        <v>4056</v>
      </c>
      <c r="Q29" s="549" t="n">
        <v>0</v>
      </c>
      <c r="R29" s="804" t="s">
        <v>4056</v>
      </c>
      <c r="S29" s="549" t="n">
        <v>0</v>
      </c>
      <c r="T29" s="802"/>
      <c r="U29" s="803"/>
      <c r="V29" s="804" t="s">
        <v>4056</v>
      </c>
      <c r="W29" s="549" t="n">
        <v>0</v>
      </c>
      <c r="X29" s="804" t="s">
        <v>4056</v>
      </c>
      <c r="Y29" s="549" t="n">
        <v>0</v>
      </c>
      <c r="Z29" s="804" t="s">
        <v>4056</v>
      </c>
      <c r="AA29" s="549" t="n">
        <v>0</v>
      </c>
      <c r="AB29" s="804" t="s">
        <v>4056</v>
      </c>
      <c r="AC29" s="549" t="n">
        <v>0</v>
      </c>
      <c r="AD29" s="804" t="s">
        <v>4056</v>
      </c>
      <c r="AE29" s="549" t="n">
        <v>0</v>
      </c>
      <c r="AF29" s="802"/>
      <c r="AG29" s="803"/>
      <c r="AH29" s="802"/>
      <c r="AI29" s="803"/>
      <c r="AJ29" s="802"/>
      <c r="AK29" s="803"/>
      <c r="AL29" s="804" t="s">
        <v>4056</v>
      </c>
      <c r="AM29" s="549" t="n">
        <v>0</v>
      </c>
      <c r="AN29" s="804" t="s">
        <v>4056</v>
      </c>
      <c r="AO29" s="549" t="n">
        <v>0</v>
      </c>
      <c r="AP29" s="804" t="s">
        <v>4056</v>
      </c>
      <c r="AQ29" s="549" t="n">
        <v>0</v>
      </c>
      <c r="AR29" s="804" t="s">
        <v>4056</v>
      </c>
      <c r="AS29" s="549" t="n">
        <v>0</v>
      </c>
      <c r="AT29" s="804" t="s">
        <v>4056</v>
      </c>
      <c r="AU29" s="549" t="n">
        <v>0</v>
      </c>
      <c r="AV29" s="802"/>
      <c r="AW29" s="803"/>
      <c r="AX29" s="802"/>
      <c r="AY29" s="803"/>
      <c r="AZ29" s="549" t="s">
        <v>4056</v>
      </c>
      <c r="BA29" s="804" t="n">
        <v>0</v>
      </c>
      <c r="BB29" s="549" t="s">
        <v>4056</v>
      </c>
      <c r="BC29" s="549" t="s">
        <v>4056</v>
      </c>
      <c r="BD29" s="804" t="s">
        <v>4056</v>
      </c>
      <c r="BE29" s="549" t="n">
        <v>0</v>
      </c>
      <c r="BF29" s="804" t="s">
        <v>4056</v>
      </c>
      <c r="BG29" s="549" t="n">
        <v>0</v>
      </c>
      <c r="BH29" s="804" t="s">
        <v>4056</v>
      </c>
      <c r="BI29" s="549" t="n">
        <v>0</v>
      </c>
      <c r="BJ29" s="802"/>
      <c r="BK29" s="803"/>
      <c r="BL29" s="802"/>
      <c r="BM29" s="803"/>
      <c r="BN29" s="804" t="s">
        <v>4056</v>
      </c>
      <c r="BO29" s="549" t="n">
        <v>0</v>
      </c>
    </row>
    <row r="30" customFormat="false" ht="13.8" hidden="false" customHeight="false" outlineLevel="0" collapsed="false">
      <c r="B30" s="4" t="n">
        <v>25</v>
      </c>
      <c r="C30" s="805" t="s">
        <v>4063</v>
      </c>
      <c r="D30" s="121" t="s">
        <v>4056</v>
      </c>
      <c r="E30" s="799" t="s">
        <v>4064</v>
      </c>
      <c r="F30" s="802"/>
      <c r="G30" s="803" t="n">
        <v>0</v>
      </c>
      <c r="H30" s="804" t="s">
        <v>4056</v>
      </c>
      <c r="I30" s="549" t="n">
        <v>0</v>
      </c>
      <c r="J30" s="804" t="s">
        <v>4056</v>
      </c>
      <c r="K30" s="549" t="n">
        <v>0</v>
      </c>
      <c r="L30" s="804" t="s">
        <v>4056</v>
      </c>
      <c r="M30" s="549" t="n">
        <v>0</v>
      </c>
      <c r="N30" s="804" t="s">
        <v>4056</v>
      </c>
      <c r="O30" s="549" t="n">
        <v>0</v>
      </c>
      <c r="P30" s="804" t="s">
        <v>4056</v>
      </c>
      <c r="Q30" s="549" t="n">
        <v>0</v>
      </c>
      <c r="R30" s="804" t="s">
        <v>4056</v>
      </c>
      <c r="S30" s="549" t="n">
        <v>0</v>
      </c>
      <c r="T30" s="802"/>
      <c r="U30" s="803"/>
      <c r="V30" s="804" t="s">
        <v>4056</v>
      </c>
      <c r="W30" s="549" t="n">
        <v>0</v>
      </c>
      <c r="X30" s="804" t="s">
        <v>4056</v>
      </c>
      <c r="Y30" s="549" t="n">
        <v>0</v>
      </c>
      <c r="Z30" s="804" t="s">
        <v>4056</v>
      </c>
      <c r="AA30" s="549" t="n">
        <v>0</v>
      </c>
      <c r="AB30" s="804" t="s">
        <v>4056</v>
      </c>
      <c r="AC30" s="549" t="n">
        <v>0</v>
      </c>
      <c r="AD30" s="804" t="s">
        <v>4056</v>
      </c>
      <c r="AE30" s="549" t="n">
        <v>0</v>
      </c>
      <c r="AF30" s="802"/>
      <c r="AG30" s="803"/>
      <c r="AH30" s="802"/>
      <c r="AI30" s="803"/>
      <c r="AJ30" s="802"/>
      <c r="AK30" s="803"/>
      <c r="AL30" s="804" t="s">
        <v>4056</v>
      </c>
      <c r="AM30" s="549" t="n">
        <v>0</v>
      </c>
      <c r="AN30" s="804" t="s">
        <v>4056</v>
      </c>
      <c r="AO30" s="549" t="n">
        <v>0</v>
      </c>
      <c r="AP30" s="804" t="s">
        <v>4056</v>
      </c>
      <c r="AQ30" s="549" t="n">
        <v>0</v>
      </c>
      <c r="AR30" s="804" t="s">
        <v>4056</v>
      </c>
      <c r="AS30" s="549" t="n">
        <v>0</v>
      </c>
      <c r="AT30" s="804" t="s">
        <v>4056</v>
      </c>
      <c r="AU30" s="549" t="n">
        <v>0</v>
      </c>
      <c r="AV30" s="802"/>
      <c r="AW30" s="803"/>
      <c r="AX30" s="802"/>
      <c r="AY30" s="803"/>
      <c r="AZ30" s="549" t="s">
        <v>4056</v>
      </c>
      <c r="BA30" s="804" t="n">
        <v>0</v>
      </c>
      <c r="BB30" s="549" t="s">
        <v>4056</v>
      </c>
      <c r="BC30" s="549" t="s">
        <v>4056</v>
      </c>
      <c r="BD30" s="804" t="s">
        <v>4056</v>
      </c>
      <c r="BE30" s="549" t="n">
        <v>0</v>
      </c>
      <c r="BF30" s="804" t="s">
        <v>4056</v>
      </c>
      <c r="BG30" s="549" t="n">
        <v>0</v>
      </c>
      <c r="BH30" s="804" t="s">
        <v>4056</v>
      </c>
      <c r="BI30" s="549" t="n">
        <v>0</v>
      </c>
      <c r="BJ30" s="802"/>
      <c r="BK30" s="803"/>
      <c r="BL30" s="802"/>
      <c r="BM30" s="803"/>
      <c r="BN30" s="804" t="s">
        <v>4056</v>
      </c>
      <c r="BO30" s="549" t="n">
        <v>0</v>
      </c>
    </row>
    <row r="31" customFormat="false" ht="13.8" hidden="false" customHeight="false" outlineLevel="0" collapsed="false">
      <c r="B31" s="4" t="n">
        <v>26</v>
      </c>
      <c r="C31" s="805" t="s">
        <v>4063</v>
      </c>
      <c r="D31" s="121" t="s">
        <v>4056</v>
      </c>
      <c r="E31" s="799" t="s">
        <v>4065</v>
      </c>
      <c r="F31" s="802"/>
      <c r="G31" s="803" t="n">
        <v>0</v>
      </c>
      <c r="H31" s="804" t="s">
        <v>4056</v>
      </c>
      <c r="I31" s="549" t="n">
        <v>0</v>
      </c>
      <c r="J31" s="804" t="s">
        <v>4056</v>
      </c>
      <c r="K31" s="549" t="n">
        <v>0</v>
      </c>
      <c r="L31" s="804" t="s">
        <v>4056</v>
      </c>
      <c r="M31" s="549" t="n">
        <v>0</v>
      </c>
      <c r="N31" s="804" t="s">
        <v>4056</v>
      </c>
      <c r="O31" s="549" t="n">
        <v>0</v>
      </c>
      <c r="P31" s="804" t="s">
        <v>4056</v>
      </c>
      <c r="Q31" s="549" t="n">
        <v>0</v>
      </c>
      <c r="R31" s="804" t="s">
        <v>4056</v>
      </c>
      <c r="S31" s="549" t="n">
        <v>0</v>
      </c>
      <c r="T31" s="802"/>
      <c r="U31" s="803"/>
      <c r="V31" s="804" t="s">
        <v>4056</v>
      </c>
      <c r="W31" s="549" t="n">
        <v>0</v>
      </c>
      <c r="X31" s="804" t="s">
        <v>4056</v>
      </c>
      <c r="Y31" s="549" t="n">
        <v>0</v>
      </c>
      <c r="Z31" s="804" t="s">
        <v>4056</v>
      </c>
      <c r="AA31" s="549" t="n">
        <v>0</v>
      </c>
      <c r="AB31" s="804" t="s">
        <v>4056</v>
      </c>
      <c r="AC31" s="549" t="n">
        <v>0</v>
      </c>
      <c r="AD31" s="804" t="s">
        <v>4056</v>
      </c>
      <c r="AE31" s="549" t="n">
        <v>0</v>
      </c>
      <c r="AF31" s="802"/>
      <c r="AG31" s="803"/>
      <c r="AH31" s="802"/>
      <c r="AI31" s="803"/>
      <c r="AJ31" s="802"/>
      <c r="AK31" s="803"/>
      <c r="AL31" s="804" t="s">
        <v>4056</v>
      </c>
      <c r="AM31" s="549" t="n">
        <v>0</v>
      </c>
      <c r="AN31" s="804" t="s">
        <v>4056</v>
      </c>
      <c r="AO31" s="549" t="n">
        <v>0</v>
      </c>
      <c r="AP31" s="804" t="s">
        <v>4056</v>
      </c>
      <c r="AQ31" s="549" t="n">
        <v>0</v>
      </c>
      <c r="AR31" s="804" t="s">
        <v>4056</v>
      </c>
      <c r="AS31" s="549" t="n">
        <v>0</v>
      </c>
      <c r="AT31" s="804" t="s">
        <v>4056</v>
      </c>
      <c r="AU31" s="549" t="n">
        <v>0</v>
      </c>
      <c r="AV31" s="802"/>
      <c r="AW31" s="803"/>
      <c r="AX31" s="802"/>
      <c r="AY31" s="803"/>
      <c r="AZ31" s="549" t="s">
        <v>4056</v>
      </c>
      <c r="BA31" s="804" t="n">
        <v>0</v>
      </c>
      <c r="BB31" s="549" t="s">
        <v>4056</v>
      </c>
      <c r="BC31" s="549" t="s">
        <v>4056</v>
      </c>
      <c r="BD31" s="804" t="s">
        <v>4056</v>
      </c>
      <c r="BE31" s="549" t="n">
        <v>0</v>
      </c>
      <c r="BF31" s="804" t="s">
        <v>4056</v>
      </c>
      <c r="BG31" s="549" t="n">
        <v>0</v>
      </c>
      <c r="BH31" s="804" t="s">
        <v>4056</v>
      </c>
      <c r="BI31" s="549" t="n">
        <v>0</v>
      </c>
      <c r="BJ31" s="802"/>
      <c r="BK31" s="803"/>
      <c r="BL31" s="802"/>
      <c r="BM31" s="803"/>
      <c r="BN31" s="804" t="s">
        <v>4056</v>
      </c>
      <c r="BO31" s="549" t="n">
        <v>0</v>
      </c>
    </row>
    <row r="32" customFormat="false" ht="13.8" hidden="false" customHeight="false" outlineLevel="0" collapsed="false">
      <c r="B32" s="4" t="n">
        <v>27</v>
      </c>
      <c r="C32" s="805" t="s">
        <v>4063</v>
      </c>
      <c r="D32" s="121" t="s">
        <v>4056</v>
      </c>
      <c r="E32" s="799" t="s">
        <v>4066</v>
      </c>
      <c r="F32" s="802"/>
      <c r="G32" s="803" t="n">
        <v>0</v>
      </c>
      <c r="H32" s="804" t="s">
        <v>51</v>
      </c>
      <c r="I32" s="549" t="n">
        <v>0</v>
      </c>
      <c r="J32" s="804" t="s">
        <v>51</v>
      </c>
      <c r="K32" s="549" t="n">
        <v>0</v>
      </c>
      <c r="L32" s="804" t="s">
        <v>4056</v>
      </c>
      <c r="M32" s="549" t="n">
        <v>0</v>
      </c>
      <c r="N32" s="804" t="s">
        <v>4056</v>
      </c>
      <c r="O32" s="549" t="n">
        <v>0</v>
      </c>
      <c r="P32" s="804" t="s">
        <v>4056</v>
      </c>
      <c r="Q32" s="549" t="n">
        <v>0</v>
      </c>
      <c r="R32" s="804" t="s">
        <v>4056</v>
      </c>
      <c r="S32" s="549" t="n">
        <v>0</v>
      </c>
      <c r="T32" s="802"/>
      <c r="U32" s="803"/>
      <c r="V32" s="804" t="s">
        <v>4056</v>
      </c>
      <c r="W32" s="549" t="n">
        <v>0</v>
      </c>
      <c r="X32" s="804" t="s">
        <v>4056</v>
      </c>
      <c r="Y32" s="549" t="n">
        <v>0</v>
      </c>
      <c r="Z32" s="804" t="s">
        <v>4056</v>
      </c>
      <c r="AA32" s="549" t="n">
        <v>0</v>
      </c>
      <c r="AB32" s="804" t="s">
        <v>4056</v>
      </c>
      <c r="AC32" s="549" t="n">
        <v>0</v>
      </c>
      <c r="AD32" s="804" t="s">
        <v>51</v>
      </c>
      <c r="AE32" s="549" t="n">
        <v>0</v>
      </c>
      <c r="AF32" s="802"/>
      <c r="AG32" s="803"/>
      <c r="AH32" s="802"/>
      <c r="AI32" s="803"/>
      <c r="AJ32" s="802"/>
      <c r="AK32" s="803"/>
      <c r="AL32" s="804" t="s">
        <v>51</v>
      </c>
      <c r="AM32" s="549" t="n">
        <v>0</v>
      </c>
      <c r="AN32" s="804" t="s">
        <v>51</v>
      </c>
      <c r="AO32" s="549" t="n">
        <v>0</v>
      </c>
      <c r="AP32" s="804" t="s">
        <v>51</v>
      </c>
      <c r="AQ32" s="549" t="n">
        <v>0</v>
      </c>
      <c r="AR32" s="804" t="s">
        <v>51</v>
      </c>
      <c r="AS32" s="549" t="n">
        <v>0</v>
      </c>
      <c r="AT32" s="804" t="s">
        <v>51</v>
      </c>
      <c r="AU32" s="549" t="n">
        <v>0</v>
      </c>
      <c r="AV32" s="802"/>
      <c r="AW32" s="803"/>
      <c r="AX32" s="802"/>
      <c r="AY32" s="803"/>
      <c r="AZ32" s="549" t="s">
        <v>51</v>
      </c>
      <c r="BA32" s="804" t="n">
        <v>0</v>
      </c>
      <c r="BB32" s="549" t="s">
        <v>51</v>
      </c>
      <c r="BC32" s="549" t="s">
        <v>51</v>
      </c>
      <c r="BD32" s="804" t="s">
        <v>51</v>
      </c>
      <c r="BE32" s="549" t="n">
        <v>0</v>
      </c>
      <c r="BF32" s="804" t="s">
        <v>4056</v>
      </c>
      <c r="BG32" s="549" t="n">
        <v>0</v>
      </c>
      <c r="BH32" s="804" t="s">
        <v>4056</v>
      </c>
      <c r="BI32" s="549" t="n">
        <v>0</v>
      </c>
      <c r="BJ32" s="802"/>
      <c r="BK32" s="803"/>
      <c r="BL32" s="802"/>
      <c r="BM32" s="803"/>
      <c r="BN32" s="804" t="s">
        <v>4056</v>
      </c>
      <c r="BO32" s="549" t="n">
        <v>0</v>
      </c>
    </row>
    <row r="33" customFormat="false" ht="13.8" hidden="false" customHeight="false" outlineLevel="0" collapsed="false">
      <c r="B33" s="4" t="n">
        <v>28</v>
      </c>
      <c r="C33" s="805" t="s">
        <v>4063</v>
      </c>
      <c r="D33" s="121" t="s">
        <v>4056</v>
      </c>
      <c r="E33" s="799" t="s">
        <v>4067</v>
      </c>
      <c r="F33" s="802"/>
      <c r="G33" s="803" t="n">
        <v>0</v>
      </c>
      <c r="H33" s="804" t="s">
        <v>4056</v>
      </c>
      <c r="I33" s="549" t="n">
        <v>0</v>
      </c>
      <c r="J33" s="804" t="s">
        <v>51</v>
      </c>
      <c r="K33" s="549" t="n">
        <v>0</v>
      </c>
      <c r="L33" s="804" t="s">
        <v>51</v>
      </c>
      <c r="M33" s="549" t="n">
        <v>0</v>
      </c>
      <c r="N33" s="804" t="s">
        <v>51</v>
      </c>
      <c r="O33" s="549" t="n">
        <v>0</v>
      </c>
      <c r="P33" s="804" t="s">
        <v>4056</v>
      </c>
      <c r="Q33" s="549" t="n">
        <v>0</v>
      </c>
      <c r="R33" s="804" t="s">
        <v>4056</v>
      </c>
      <c r="S33" s="549" t="n">
        <v>0</v>
      </c>
      <c r="T33" s="802"/>
      <c r="U33" s="803"/>
      <c r="V33" s="804" t="s">
        <v>4056</v>
      </c>
      <c r="W33" s="549" t="n">
        <v>0</v>
      </c>
      <c r="X33" s="804" t="s">
        <v>4056</v>
      </c>
      <c r="Y33" s="549" t="n">
        <v>0</v>
      </c>
      <c r="Z33" s="804" t="s">
        <v>4056</v>
      </c>
      <c r="AA33" s="549" t="n">
        <v>0</v>
      </c>
      <c r="AB33" s="804" t="s">
        <v>4056</v>
      </c>
      <c r="AC33" s="549" t="n">
        <v>0</v>
      </c>
      <c r="AD33" s="804" t="s">
        <v>4056</v>
      </c>
      <c r="AE33" s="549" t="n">
        <v>0</v>
      </c>
      <c r="AF33" s="802"/>
      <c r="AG33" s="803"/>
      <c r="AH33" s="802"/>
      <c r="AI33" s="803"/>
      <c r="AJ33" s="802"/>
      <c r="AK33" s="803"/>
      <c r="AL33" s="804" t="s">
        <v>4056</v>
      </c>
      <c r="AM33" s="549" t="n">
        <v>0</v>
      </c>
      <c r="AN33" s="804" t="s">
        <v>4056</v>
      </c>
      <c r="AO33" s="549" t="n">
        <v>0</v>
      </c>
      <c r="AP33" s="804" t="s">
        <v>4056</v>
      </c>
      <c r="AQ33" s="549" t="n">
        <v>0</v>
      </c>
      <c r="AR33" s="804" t="s">
        <v>4056</v>
      </c>
      <c r="AS33" s="549" t="n">
        <v>0</v>
      </c>
      <c r="AT33" s="804" t="s">
        <v>4056</v>
      </c>
      <c r="AU33" s="549" t="n">
        <v>0</v>
      </c>
      <c r="AV33" s="802"/>
      <c r="AW33" s="803"/>
      <c r="AX33" s="802"/>
      <c r="AY33" s="803"/>
      <c r="AZ33" s="549" t="s">
        <v>4056</v>
      </c>
      <c r="BA33" s="804" t="n">
        <v>0</v>
      </c>
      <c r="BB33" s="549" t="s">
        <v>4056</v>
      </c>
      <c r="BC33" s="549" t="s">
        <v>4056</v>
      </c>
      <c r="BD33" s="804" t="s">
        <v>4056</v>
      </c>
      <c r="BE33" s="549" t="n">
        <v>0</v>
      </c>
      <c r="BF33" s="804" t="s">
        <v>4056</v>
      </c>
      <c r="BG33" s="549" t="n">
        <v>0</v>
      </c>
      <c r="BH33" s="804" t="s">
        <v>4056</v>
      </c>
      <c r="BI33" s="549" t="n">
        <v>0</v>
      </c>
      <c r="BJ33" s="802"/>
      <c r="BK33" s="803"/>
      <c r="BL33" s="802"/>
      <c r="BM33" s="803"/>
      <c r="BN33" s="804" t="s">
        <v>4056</v>
      </c>
      <c r="BO33" s="549" t="n">
        <v>0</v>
      </c>
    </row>
    <row r="34" customFormat="false" ht="13.8" hidden="false" customHeight="false" outlineLevel="0" collapsed="false">
      <c r="B34" s="4" t="n">
        <v>29</v>
      </c>
      <c r="C34" s="805" t="s">
        <v>4063</v>
      </c>
      <c r="D34" s="121" t="s">
        <v>4056</v>
      </c>
      <c r="E34" s="799" t="s">
        <v>4068</v>
      </c>
      <c r="F34" s="802"/>
      <c r="G34" s="803" t="n">
        <v>0</v>
      </c>
      <c r="H34" s="804" t="s">
        <v>51</v>
      </c>
      <c r="I34" s="549" t="n">
        <v>0</v>
      </c>
      <c r="J34" s="804" t="s">
        <v>51</v>
      </c>
      <c r="K34" s="549" t="n">
        <v>0</v>
      </c>
      <c r="L34" s="804" t="s">
        <v>4056</v>
      </c>
      <c r="M34" s="549" t="n">
        <v>0</v>
      </c>
      <c r="N34" s="804" t="s">
        <v>4056</v>
      </c>
      <c r="O34" s="549" t="n">
        <v>0</v>
      </c>
      <c r="P34" s="804" t="s">
        <v>4056</v>
      </c>
      <c r="Q34" s="549" t="n">
        <v>0</v>
      </c>
      <c r="R34" s="804" t="s">
        <v>4056</v>
      </c>
      <c r="S34" s="549" t="n">
        <v>0</v>
      </c>
      <c r="T34" s="802"/>
      <c r="U34" s="803"/>
      <c r="V34" s="804" t="s">
        <v>4056</v>
      </c>
      <c r="W34" s="549" t="n">
        <v>0</v>
      </c>
      <c r="X34" s="804" t="s">
        <v>4056</v>
      </c>
      <c r="Y34" s="549" t="n">
        <v>0</v>
      </c>
      <c r="Z34" s="804" t="s">
        <v>51</v>
      </c>
      <c r="AA34" s="549" t="n">
        <v>0</v>
      </c>
      <c r="AB34" s="804" t="s">
        <v>51</v>
      </c>
      <c r="AC34" s="549" t="n">
        <v>0</v>
      </c>
      <c r="AD34" s="804" t="s">
        <v>51</v>
      </c>
      <c r="AE34" s="549" t="n">
        <v>0</v>
      </c>
      <c r="AF34" s="802"/>
      <c r="AG34" s="803"/>
      <c r="AH34" s="802"/>
      <c r="AI34" s="803"/>
      <c r="AJ34" s="802"/>
      <c r="AK34" s="803"/>
      <c r="AL34" s="804" t="s">
        <v>51</v>
      </c>
      <c r="AM34" s="549" t="n">
        <v>0</v>
      </c>
      <c r="AN34" s="804" t="s">
        <v>51</v>
      </c>
      <c r="AO34" s="549" t="n">
        <v>0</v>
      </c>
      <c r="AP34" s="804" t="s">
        <v>51</v>
      </c>
      <c r="AQ34" s="549" t="n">
        <v>0</v>
      </c>
      <c r="AR34" s="804" t="s">
        <v>51</v>
      </c>
      <c r="AS34" s="549" t="n">
        <v>0</v>
      </c>
      <c r="AT34" s="804" t="s">
        <v>51</v>
      </c>
      <c r="AU34" s="549" t="n">
        <v>0</v>
      </c>
      <c r="AV34" s="802"/>
      <c r="AW34" s="803"/>
      <c r="AX34" s="802"/>
      <c r="AY34" s="803"/>
      <c r="AZ34" s="549" t="s">
        <v>51</v>
      </c>
      <c r="BA34" s="804" t="n">
        <v>0</v>
      </c>
      <c r="BB34" s="549" t="s">
        <v>51</v>
      </c>
      <c r="BC34" s="549" t="s">
        <v>51</v>
      </c>
      <c r="BD34" s="804" t="s">
        <v>51</v>
      </c>
      <c r="BE34" s="549" t="n">
        <v>0</v>
      </c>
      <c r="BF34" s="804" t="s">
        <v>4056</v>
      </c>
      <c r="BG34" s="549" t="n">
        <v>0</v>
      </c>
      <c r="BH34" s="804" t="s">
        <v>4056</v>
      </c>
      <c r="BI34" s="549" t="n">
        <v>0</v>
      </c>
      <c r="BJ34" s="802"/>
      <c r="BK34" s="803"/>
      <c r="BL34" s="802"/>
      <c r="BM34" s="803"/>
      <c r="BN34" s="804" t="s">
        <v>4056</v>
      </c>
      <c r="BO34" s="549" t="n">
        <v>0</v>
      </c>
    </row>
    <row r="35" customFormat="false" ht="13.8" hidden="false" customHeight="false" outlineLevel="0" collapsed="false">
      <c r="B35" s="4" t="n">
        <v>30</v>
      </c>
      <c r="C35" s="805" t="s">
        <v>4063</v>
      </c>
      <c r="D35" s="121" t="s">
        <v>4056</v>
      </c>
      <c r="E35" s="799" t="s">
        <v>4069</v>
      </c>
      <c r="F35" s="802"/>
      <c r="G35" s="803"/>
      <c r="H35" s="804" t="s">
        <v>4056</v>
      </c>
      <c r="I35" s="549" t="n">
        <v>0</v>
      </c>
      <c r="J35" s="804" t="s">
        <v>4056</v>
      </c>
      <c r="K35" s="549" t="n">
        <v>0</v>
      </c>
      <c r="L35" s="804" t="s">
        <v>4056</v>
      </c>
      <c r="M35" s="549" t="n">
        <v>0</v>
      </c>
      <c r="N35" s="804" t="s">
        <v>4056</v>
      </c>
      <c r="O35" s="549" t="n">
        <v>0</v>
      </c>
      <c r="P35" s="804" t="s">
        <v>4056</v>
      </c>
      <c r="Q35" s="549" t="n">
        <v>0</v>
      </c>
      <c r="R35" s="804" t="s">
        <v>4056</v>
      </c>
      <c r="S35" s="549" t="n">
        <v>0</v>
      </c>
      <c r="T35" s="802"/>
      <c r="U35" s="803"/>
      <c r="V35" s="804" t="s">
        <v>4056</v>
      </c>
      <c r="W35" s="549" t="n">
        <v>0</v>
      </c>
      <c r="X35" s="804" t="s">
        <v>4056</v>
      </c>
      <c r="Y35" s="549" t="n">
        <v>0</v>
      </c>
      <c r="Z35" s="804" t="s">
        <v>4056</v>
      </c>
      <c r="AA35" s="549" t="n">
        <v>0</v>
      </c>
      <c r="AB35" s="804" t="s">
        <v>4056</v>
      </c>
      <c r="AC35" s="549" t="n">
        <v>0</v>
      </c>
      <c r="AD35" s="804" t="s">
        <v>4056</v>
      </c>
      <c r="AE35" s="549" t="n">
        <v>0</v>
      </c>
      <c r="AF35" s="802"/>
      <c r="AG35" s="803"/>
      <c r="AH35" s="802"/>
      <c r="AI35" s="803"/>
      <c r="AJ35" s="802"/>
      <c r="AK35" s="803"/>
      <c r="AL35" s="804" t="s">
        <v>4056</v>
      </c>
      <c r="AM35" s="549" t="n">
        <v>0</v>
      </c>
      <c r="AN35" s="804" t="s">
        <v>4056</v>
      </c>
      <c r="AO35" s="549" t="n">
        <v>0</v>
      </c>
      <c r="AP35" s="804" t="s">
        <v>4056</v>
      </c>
      <c r="AQ35" s="549" t="n">
        <v>0</v>
      </c>
      <c r="AR35" s="804" t="s">
        <v>4056</v>
      </c>
      <c r="AS35" s="549" t="n">
        <v>0</v>
      </c>
      <c r="AT35" s="804" t="s">
        <v>4056</v>
      </c>
      <c r="AU35" s="549" t="n">
        <v>0</v>
      </c>
      <c r="AV35" s="802"/>
      <c r="AW35" s="803"/>
      <c r="AX35" s="802"/>
      <c r="AY35" s="803"/>
      <c r="AZ35" s="549" t="s">
        <v>4056</v>
      </c>
      <c r="BA35" s="804" t="n">
        <v>0</v>
      </c>
      <c r="BB35" s="549" t="s">
        <v>4056</v>
      </c>
      <c r="BC35" s="549" t="s">
        <v>4056</v>
      </c>
      <c r="BD35" s="804" t="s">
        <v>4056</v>
      </c>
      <c r="BE35" s="549" t="n">
        <v>0</v>
      </c>
      <c r="BF35" s="804" t="s">
        <v>4056</v>
      </c>
      <c r="BG35" s="549" t="n">
        <v>0</v>
      </c>
      <c r="BH35" s="804" t="s">
        <v>4056</v>
      </c>
      <c r="BI35" s="549" t="n">
        <v>0</v>
      </c>
      <c r="BJ35" s="802"/>
      <c r="BK35" s="803"/>
      <c r="BL35" s="802"/>
      <c r="BM35" s="803"/>
      <c r="BN35" s="804" t="s">
        <v>4056</v>
      </c>
      <c r="BO35" s="549" t="n">
        <v>0</v>
      </c>
    </row>
    <row r="36" customFormat="false" ht="13.8" hidden="false" customHeight="false" outlineLevel="0" collapsed="false">
      <c r="B36" s="4" t="n">
        <v>31</v>
      </c>
      <c r="C36" s="805" t="s">
        <v>4063</v>
      </c>
      <c r="D36" s="121" t="s">
        <v>4056</v>
      </c>
      <c r="E36" s="799" t="s">
        <v>4070</v>
      </c>
      <c r="F36" s="802"/>
      <c r="G36" s="803" t="n">
        <v>0</v>
      </c>
      <c r="H36" s="804" t="s">
        <v>4056</v>
      </c>
      <c r="I36" s="549" t="n">
        <v>0</v>
      </c>
      <c r="J36" s="804" t="s">
        <v>4056</v>
      </c>
      <c r="K36" s="549" t="n">
        <v>0</v>
      </c>
      <c r="L36" s="804" t="s">
        <v>4056</v>
      </c>
      <c r="M36" s="549" t="n">
        <v>0</v>
      </c>
      <c r="N36" s="804" t="s">
        <v>4056</v>
      </c>
      <c r="O36" s="549" t="n">
        <v>0</v>
      </c>
      <c r="P36" s="804" t="s">
        <v>4056</v>
      </c>
      <c r="Q36" s="549" t="n">
        <v>0</v>
      </c>
      <c r="R36" s="804" t="s">
        <v>4056</v>
      </c>
      <c r="S36" s="549" t="n">
        <v>0</v>
      </c>
      <c r="T36" s="802"/>
      <c r="U36" s="803"/>
      <c r="V36" s="804" t="s">
        <v>4056</v>
      </c>
      <c r="W36" s="549" t="n">
        <v>0</v>
      </c>
      <c r="X36" s="804" t="s">
        <v>4056</v>
      </c>
      <c r="Y36" s="549" t="n">
        <v>0</v>
      </c>
      <c r="Z36" s="804" t="s">
        <v>4056</v>
      </c>
      <c r="AA36" s="549" t="n">
        <v>0</v>
      </c>
      <c r="AB36" s="804" t="s">
        <v>4056</v>
      </c>
      <c r="AC36" s="549" t="n">
        <v>0</v>
      </c>
      <c r="AD36" s="804" t="s">
        <v>4056</v>
      </c>
      <c r="AE36" s="549" t="n">
        <v>0</v>
      </c>
      <c r="AF36" s="802"/>
      <c r="AG36" s="803"/>
      <c r="AH36" s="802"/>
      <c r="AI36" s="803"/>
      <c r="AJ36" s="802"/>
      <c r="AK36" s="803"/>
      <c r="AL36" s="804" t="s">
        <v>4056</v>
      </c>
      <c r="AM36" s="549" t="n">
        <v>0</v>
      </c>
      <c r="AN36" s="804" t="s">
        <v>4056</v>
      </c>
      <c r="AO36" s="549" t="n">
        <v>0</v>
      </c>
      <c r="AP36" s="804" t="s">
        <v>4056</v>
      </c>
      <c r="AQ36" s="549" t="n">
        <v>0</v>
      </c>
      <c r="AR36" s="804" t="s">
        <v>4056</v>
      </c>
      <c r="AS36" s="549" t="n">
        <v>0</v>
      </c>
      <c r="AT36" s="804" t="s">
        <v>4056</v>
      </c>
      <c r="AU36" s="549" t="n">
        <v>0</v>
      </c>
      <c r="AV36" s="802"/>
      <c r="AW36" s="803"/>
      <c r="AX36" s="802"/>
      <c r="AY36" s="803"/>
      <c r="AZ36" s="549" t="s">
        <v>4056</v>
      </c>
      <c r="BA36" s="804" t="n">
        <v>0</v>
      </c>
      <c r="BB36" s="549" t="s">
        <v>4056</v>
      </c>
      <c r="BC36" s="549" t="s">
        <v>4056</v>
      </c>
      <c r="BD36" s="804" t="s">
        <v>4056</v>
      </c>
      <c r="BE36" s="549" t="n">
        <v>0</v>
      </c>
      <c r="BF36" s="804" t="s">
        <v>4056</v>
      </c>
      <c r="BG36" s="549" t="n">
        <v>0</v>
      </c>
      <c r="BH36" s="804" t="s">
        <v>4056</v>
      </c>
      <c r="BI36" s="549" t="n">
        <v>0</v>
      </c>
      <c r="BJ36" s="802"/>
      <c r="BK36" s="803"/>
      <c r="BL36" s="802"/>
      <c r="BM36" s="803"/>
      <c r="BN36" s="804" t="s">
        <v>4056</v>
      </c>
      <c r="BO36" s="549" t="n">
        <v>0</v>
      </c>
    </row>
    <row r="37" customFormat="false" ht="13.8" hidden="false" customHeight="false" outlineLevel="0" collapsed="false">
      <c r="B37" s="4" t="n">
        <v>32</v>
      </c>
      <c r="C37" s="805" t="s">
        <v>4063</v>
      </c>
      <c r="D37" s="121" t="s">
        <v>4056</v>
      </c>
      <c r="E37" s="799" t="s">
        <v>4071</v>
      </c>
      <c r="F37" s="802"/>
      <c r="G37" s="803" t="n">
        <v>0</v>
      </c>
      <c r="H37" s="804" t="s">
        <v>4056</v>
      </c>
      <c r="I37" s="549" t="n">
        <v>0</v>
      </c>
      <c r="J37" s="804" t="s">
        <v>4056</v>
      </c>
      <c r="K37" s="549" t="n">
        <v>0</v>
      </c>
      <c r="L37" s="804" t="s">
        <v>4056</v>
      </c>
      <c r="M37" s="549" t="n">
        <v>0</v>
      </c>
      <c r="N37" s="804" t="s">
        <v>4056</v>
      </c>
      <c r="O37" s="549" t="n">
        <v>0</v>
      </c>
      <c r="P37" s="804" t="s">
        <v>4056</v>
      </c>
      <c r="Q37" s="549" t="n">
        <v>0</v>
      </c>
      <c r="R37" s="804" t="s">
        <v>4056</v>
      </c>
      <c r="S37" s="549" t="n">
        <v>0</v>
      </c>
      <c r="T37" s="802"/>
      <c r="U37" s="803"/>
      <c r="V37" s="804" t="s">
        <v>4056</v>
      </c>
      <c r="W37" s="549" t="n">
        <v>0</v>
      </c>
      <c r="X37" s="804" t="s">
        <v>4056</v>
      </c>
      <c r="Y37" s="549" t="n">
        <v>0</v>
      </c>
      <c r="Z37" s="804" t="s">
        <v>4056</v>
      </c>
      <c r="AA37" s="549" t="n">
        <v>0</v>
      </c>
      <c r="AB37" s="804" t="s">
        <v>4056</v>
      </c>
      <c r="AC37" s="549" t="n">
        <v>0</v>
      </c>
      <c r="AD37" s="804" t="s">
        <v>4056</v>
      </c>
      <c r="AE37" s="549" t="n">
        <v>0</v>
      </c>
      <c r="AF37" s="802"/>
      <c r="AG37" s="803"/>
      <c r="AH37" s="802"/>
      <c r="AI37" s="803"/>
      <c r="AJ37" s="802"/>
      <c r="AK37" s="803"/>
      <c r="AL37" s="804" t="s">
        <v>4056</v>
      </c>
      <c r="AM37" s="549" t="n">
        <v>0</v>
      </c>
      <c r="AN37" s="804" t="s">
        <v>4056</v>
      </c>
      <c r="AO37" s="549" t="n">
        <v>0</v>
      </c>
      <c r="AP37" s="804" t="s">
        <v>4056</v>
      </c>
      <c r="AQ37" s="549" t="n">
        <v>0</v>
      </c>
      <c r="AR37" s="804" t="s">
        <v>4056</v>
      </c>
      <c r="AS37" s="549" t="n">
        <v>0</v>
      </c>
      <c r="AT37" s="804" t="s">
        <v>4056</v>
      </c>
      <c r="AU37" s="549" t="n">
        <v>0</v>
      </c>
      <c r="AV37" s="802"/>
      <c r="AW37" s="803"/>
      <c r="AX37" s="802"/>
      <c r="AY37" s="803"/>
      <c r="AZ37" s="549" t="s">
        <v>4056</v>
      </c>
      <c r="BA37" s="804" t="n">
        <v>0</v>
      </c>
      <c r="BB37" s="549" t="s">
        <v>4056</v>
      </c>
      <c r="BC37" s="549" t="s">
        <v>4056</v>
      </c>
      <c r="BD37" s="804" t="s">
        <v>4056</v>
      </c>
      <c r="BE37" s="549" t="n">
        <v>0</v>
      </c>
      <c r="BF37" s="804" t="s">
        <v>4056</v>
      </c>
      <c r="BG37" s="549" t="n">
        <v>0</v>
      </c>
      <c r="BH37" s="804" t="s">
        <v>4056</v>
      </c>
      <c r="BI37" s="549" t="n">
        <v>0</v>
      </c>
      <c r="BJ37" s="802"/>
      <c r="BK37" s="803"/>
      <c r="BL37" s="802"/>
      <c r="BM37" s="803"/>
      <c r="BN37" s="804" t="s">
        <v>4056</v>
      </c>
      <c r="BO37" s="549" t="n">
        <v>0</v>
      </c>
    </row>
    <row r="38" customFormat="false" ht="13.8" hidden="false" customHeight="false" outlineLevel="0" collapsed="false">
      <c r="B38" s="4" t="n">
        <v>33</v>
      </c>
      <c r="C38" s="805" t="s">
        <v>4063</v>
      </c>
      <c r="D38" s="121" t="s">
        <v>4056</v>
      </c>
      <c r="E38" s="799" t="s">
        <v>4072</v>
      </c>
      <c r="F38" s="802"/>
      <c r="G38" s="803" t="n">
        <v>0</v>
      </c>
      <c r="H38" s="804" t="s">
        <v>4056</v>
      </c>
      <c r="I38" s="549" t="n">
        <v>0</v>
      </c>
      <c r="J38" s="804" t="s">
        <v>4056</v>
      </c>
      <c r="K38" s="549" t="n">
        <v>0</v>
      </c>
      <c r="L38" s="804" t="s">
        <v>51</v>
      </c>
      <c r="M38" s="549" t="n">
        <v>0</v>
      </c>
      <c r="N38" s="804" t="s">
        <v>51</v>
      </c>
      <c r="O38" s="549" t="n">
        <v>0</v>
      </c>
      <c r="P38" s="804" t="s">
        <v>4056</v>
      </c>
      <c r="Q38" s="549" t="n">
        <v>0</v>
      </c>
      <c r="R38" s="804" t="s">
        <v>4056</v>
      </c>
      <c r="S38" s="549" t="n">
        <v>0</v>
      </c>
      <c r="T38" s="802"/>
      <c r="U38" s="803"/>
      <c r="V38" s="804" t="s">
        <v>4056</v>
      </c>
      <c r="W38" s="549" t="n">
        <v>0</v>
      </c>
      <c r="X38" s="804" t="s">
        <v>4056</v>
      </c>
      <c r="Y38" s="549" t="n">
        <v>0</v>
      </c>
      <c r="Z38" s="804" t="s">
        <v>4056</v>
      </c>
      <c r="AA38" s="549" t="n">
        <v>0</v>
      </c>
      <c r="AB38" s="804" t="s">
        <v>4056</v>
      </c>
      <c r="AC38" s="549" t="n">
        <v>0</v>
      </c>
      <c r="AD38" s="804" t="s">
        <v>4056</v>
      </c>
      <c r="AE38" s="549" t="n">
        <v>0</v>
      </c>
      <c r="AF38" s="802"/>
      <c r="AG38" s="803"/>
      <c r="AH38" s="802"/>
      <c r="AI38" s="803"/>
      <c r="AJ38" s="802"/>
      <c r="AK38" s="803"/>
      <c r="AL38" s="804" t="s">
        <v>4056</v>
      </c>
      <c r="AM38" s="549" t="n">
        <v>0</v>
      </c>
      <c r="AN38" s="804" t="s">
        <v>4056</v>
      </c>
      <c r="AO38" s="549" t="n">
        <v>0</v>
      </c>
      <c r="AP38" s="804" t="s">
        <v>4056</v>
      </c>
      <c r="AQ38" s="549" t="n">
        <v>0</v>
      </c>
      <c r="AR38" s="804" t="s">
        <v>4056</v>
      </c>
      <c r="AS38" s="549" t="n">
        <v>0</v>
      </c>
      <c r="AT38" s="804" t="s">
        <v>4056</v>
      </c>
      <c r="AU38" s="549" t="n">
        <v>0</v>
      </c>
      <c r="AV38" s="802"/>
      <c r="AW38" s="803"/>
      <c r="AX38" s="802"/>
      <c r="AY38" s="803"/>
      <c r="AZ38" s="549" t="s">
        <v>4056</v>
      </c>
      <c r="BA38" s="804" t="n">
        <v>0</v>
      </c>
      <c r="BB38" s="549" t="s">
        <v>4056</v>
      </c>
      <c r="BC38" s="549" t="s">
        <v>4056</v>
      </c>
      <c r="BD38" s="804" t="s">
        <v>4056</v>
      </c>
      <c r="BE38" s="549" t="n">
        <v>0</v>
      </c>
      <c r="BF38" s="804" t="s">
        <v>4056</v>
      </c>
      <c r="BG38" s="549" t="n">
        <v>0</v>
      </c>
      <c r="BH38" s="804" t="s">
        <v>4056</v>
      </c>
      <c r="BI38" s="549" t="n">
        <v>0</v>
      </c>
      <c r="BJ38" s="802"/>
      <c r="BK38" s="803"/>
      <c r="BL38" s="802"/>
      <c r="BM38" s="803"/>
      <c r="BN38" s="804" t="s">
        <v>4056</v>
      </c>
      <c r="BO38" s="549" t="n">
        <v>0</v>
      </c>
    </row>
    <row r="39" customFormat="false" ht="13.8" hidden="false" customHeight="false" outlineLevel="0" collapsed="false">
      <c r="B39" s="4" t="n">
        <v>34</v>
      </c>
      <c r="C39" s="805" t="s">
        <v>4063</v>
      </c>
      <c r="D39" s="121" t="s">
        <v>4056</v>
      </c>
      <c r="E39" s="799" t="s">
        <v>4073</v>
      </c>
      <c r="F39" s="802"/>
      <c r="G39" s="803" t="n">
        <v>0</v>
      </c>
      <c r="H39" s="804" t="s">
        <v>4056</v>
      </c>
      <c r="I39" s="549" t="n">
        <v>0</v>
      </c>
      <c r="J39" s="804" t="s">
        <v>4056</v>
      </c>
      <c r="K39" s="549" t="n">
        <v>0</v>
      </c>
      <c r="L39" s="804" t="s">
        <v>4056</v>
      </c>
      <c r="M39" s="549" t="n">
        <v>0</v>
      </c>
      <c r="N39" s="804" t="s">
        <v>4056</v>
      </c>
      <c r="O39" s="549" t="n">
        <v>0</v>
      </c>
      <c r="P39" s="804" t="s">
        <v>4056</v>
      </c>
      <c r="Q39" s="549" t="n">
        <v>0</v>
      </c>
      <c r="R39" s="804" t="s">
        <v>4056</v>
      </c>
      <c r="S39" s="549" t="n">
        <v>0</v>
      </c>
      <c r="T39" s="802"/>
      <c r="U39" s="803"/>
      <c r="V39" s="804" t="s">
        <v>4056</v>
      </c>
      <c r="W39" s="549" t="n">
        <v>0</v>
      </c>
      <c r="X39" s="804" t="s">
        <v>4056</v>
      </c>
      <c r="Y39" s="549" t="n">
        <v>0</v>
      </c>
      <c r="Z39" s="804" t="s">
        <v>4056</v>
      </c>
      <c r="AA39" s="549" t="n">
        <v>0</v>
      </c>
      <c r="AB39" s="804" t="s">
        <v>4056</v>
      </c>
      <c r="AC39" s="549" t="n">
        <v>0</v>
      </c>
      <c r="AD39" s="804" t="s">
        <v>4056</v>
      </c>
      <c r="AE39" s="549" t="n">
        <v>0</v>
      </c>
      <c r="AF39" s="802"/>
      <c r="AG39" s="803"/>
      <c r="AH39" s="802"/>
      <c r="AI39" s="803"/>
      <c r="AJ39" s="802"/>
      <c r="AK39" s="803"/>
      <c r="AL39" s="804" t="s">
        <v>4056</v>
      </c>
      <c r="AM39" s="549" t="n">
        <v>0</v>
      </c>
      <c r="AN39" s="804" t="s">
        <v>4056</v>
      </c>
      <c r="AO39" s="549" t="n">
        <v>0</v>
      </c>
      <c r="AP39" s="804" t="s">
        <v>4056</v>
      </c>
      <c r="AQ39" s="549" t="n">
        <v>0</v>
      </c>
      <c r="AR39" s="804" t="s">
        <v>4056</v>
      </c>
      <c r="AS39" s="549" t="n">
        <v>0</v>
      </c>
      <c r="AT39" s="804" t="s">
        <v>4056</v>
      </c>
      <c r="AU39" s="549" t="n">
        <v>0</v>
      </c>
      <c r="AV39" s="802"/>
      <c r="AW39" s="803"/>
      <c r="AX39" s="802"/>
      <c r="AY39" s="803"/>
      <c r="AZ39" s="549" t="s">
        <v>4056</v>
      </c>
      <c r="BA39" s="804" t="n">
        <v>0</v>
      </c>
      <c r="BB39" s="549" t="s">
        <v>4056</v>
      </c>
      <c r="BC39" s="549" t="s">
        <v>4056</v>
      </c>
      <c r="BD39" s="804" t="s">
        <v>4056</v>
      </c>
      <c r="BE39" s="549" t="n">
        <v>0</v>
      </c>
      <c r="BF39" s="804" t="s">
        <v>4056</v>
      </c>
      <c r="BG39" s="549" t="n">
        <v>0</v>
      </c>
      <c r="BH39" s="804" t="s">
        <v>4056</v>
      </c>
      <c r="BI39" s="549" t="n">
        <v>0</v>
      </c>
      <c r="BJ39" s="802"/>
      <c r="BK39" s="803"/>
      <c r="BL39" s="802"/>
      <c r="BM39" s="803"/>
      <c r="BN39" s="804" t="s">
        <v>4056</v>
      </c>
      <c r="BO39" s="549" t="n">
        <v>0</v>
      </c>
    </row>
    <row r="40" customFormat="false" ht="13.8" hidden="false" customHeight="false" outlineLevel="0" collapsed="false">
      <c r="B40" s="4" t="n">
        <v>35</v>
      </c>
      <c r="C40" s="805" t="s">
        <v>4063</v>
      </c>
      <c r="D40" s="121" t="s">
        <v>4056</v>
      </c>
      <c r="E40" s="799" t="s">
        <v>4074</v>
      </c>
      <c r="F40" s="802"/>
      <c r="G40" s="803" t="n">
        <v>0</v>
      </c>
      <c r="H40" s="804" t="s">
        <v>51</v>
      </c>
      <c r="I40" s="549" t="n">
        <v>0</v>
      </c>
      <c r="J40" s="804" t="s">
        <v>51</v>
      </c>
      <c r="K40" s="549" t="n">
        <v>0</v>
      </c>
      <c r="L40" s="804" t="s">
        <v>51</v>
      </c>
      <c r="M40" s="549" t="n">
        <v>0</v>
      </c>
      <c r="N40" s="804" t="s">
        <v>51</v>
      </c>
      <c r="O40" s="549" t="n">
        <v>0</v>
      </c>
      <c r="P40" s="804" t="s">
        <v>51</v>
      </c>
      <c r="Q40" s="549" t="n">
        <v>0</v>
      </c>
      <c r="R40" s="804" t="s">
        <v>4056</v>
      </c>
      <c r="S40" s="549" t="n">
        <v>0</v>
      </c>
      <c r="T40" s="802"/>
      <c r="U40" s="803"/>
      <c r="V40" s="804" t="s">
        <v>4056</v>
      </c>
      <c r="W40" s="549" t="n">
        <v>0</v>
      </c>
      <c r="X40" s="804" t="s">
        <v>4056</v>
      </c>
      <c r="Y40" s="549" t="n">
        <v>0</v>
      </c>
      <c r="Z40" s="804" t="s">
        <v>4056</v>
      </c>
      <c r="AA40" s="549" t="n">
        <v>0</v>
      </c>
      <c r="AB40" s="804" t="s">
        <v>4056</v>
      </c>
      <c r="AC40" s="549" t="n">
        <v>0</v>
      </c>
      <c r="AD40" s="804" t="s">
        <v>4056</v>
      </c>
      <c r="AE40" s="549" t="n">
        <v>0</v>
      </c>
      <c r="AF40" s="802"/>
      <c r="AG40" s="803"/>
      <c r="AH40" s="802"/>
      <c r="AI40" s="803"/>
      <c r="AJ40" s="802"/>
      <c r="AK40" s="803"/>
      <c r="AL40" s="804" t="s">
        <v>4056</v>
      </c>
      <c r="AM40" s="549" t="n">
        <v>0</v>
      </c>
      <c r="AN40" s="804" t="s">
        <v>4056</v>
      </c>
      <c r="AO40" s="549" t="n">
        <v>0</v>
      </c>
      <c r="AP40" s="804" t="s">
        <v>4056</v>
      </c>
      <c r="AQ40" s="549" t="n">
        <v>0</v>
      </c>
      <c r="AR40" s="804" t="s">
        <v>4056</v>
      </c>
      <c r="AS40" s="549" t="n">
        <v>0</v>
      </c>
      <c r="AT40" s="804" t="s">
        <v>4056</v>
      </c>
      <c r="AU40" s="549" t="n">
        <v>0</v>
      </c>
      <c r="AV40" s="802"/>
      <c r="AW40" s="803"/>
      <c r="AX40" s="802"/>
      <c r="AY40" s="803"/>
      <c r="AZ40" s="549" t="s">
        <v>4056</v>
      </c>
      <c r="BA40" s="804" t="n">
        <v>0</v>
      </c>
      <c r="BB40" s="549" t="s">
        <v>4056</v>
      </c>
      <c r="BC40" s="549" t="s">
        <v>4056</v>
      </c>
      <c r="BD40" s="804" t="s">
        <v>4056</v>
      </c>
      <c r="BE40" s="549" t="n">
        <v>0</v>
      </c>
      <c r="BF40" s="804" t="s">
        <v>4056</v>
      </c>
      <c r="BG40" s="549" t="n">
        <v>0</v>
      </c>
      <c r="BH40" s="804" t="s">
        <v>4056</v>
      </c>
      <c r="BI40" s="549" t="n">
        <v>0</v>
      </c>
      <c r="BJ40" s="802"/>
      <c r="BK40" s="803"/>
      <c r="BL40" s="802"/>
      <c r="BM40" s="803"/>
      <c r="BN40" s="804" t="s">
        <v>4056</v>
      </c>
      <c r="BO40" s="549" t="n">
        <v>0</v>
      </c>
    </row>
    <row r="41" customFormat="false" ht="13.8" hidden="false" customHeight="false" outlineLevel="0" collapsed="false">
      <c r="B41" s="4" t="n">
        <v>36</v>
      </c>
      <c r="C41" s="805" t="s">
        <v>4063</v>
      </c>
      <c r="D41" s="121" t="s">
        <v>4056</v>
      </c>
      <c r="E41" s="799" t="s">
        <v>4075</v>
      </c>
      <c r="F41" s="802"/>
      <c r="G41" s="803" t="n">
        <v>0</v>
      </c>
      <c r="H41" s="804" t="s">
        <v>4056</v>
      </c>
      <c r="I41" s="549" t="n">
        <v>0</v>
      </c>
      <c r="J41" s="804" t="s">
        <v>4056</v>
      </c>
      <c r="K41" s="549" t="n">
        <v>0</v>
      </c>
      <c r="L41" s="804" t="s">
        <v>4056</v>
      </c>
      <c r="M41" s="549" t="n">
        <v>0</v>
      </c>
      <c r="N41" s="804" t="s">
        <v>4056</v>
      </c>
      <c r="O41" s="549" t="n">
        <v>0</v>
      </c>
      <c r="P41" s="804" t="s">
        <v>4056</v>
      </c>
      <c r="Q41" s="549" t="n">
        <v>0</v>
      </c>
      <c r="R41" s="804" t="s">
        <v>4056</v>
      </c>
      <c r="S41" s="549" t="n">
        <v>0</v>
      </c>
      <c r="T41" s="802"/>
      <c r="U41" s="803"/>
      <c r="V41" s="804" t="s">
        <v>4056</v>
      </c>
      <c r="W41" s="549" t="n">
        <v>0</v>
      </c>
      <c r="X41" s="804" t="s">
        <v>4056</v>
      </c>
      <c r="Y41" s="549" t="n">
        <v>0</v>
      </c>
      <c r="Z41" s="804" t="s">
        <v>4056</v>
      </c>
      <c r="AA41" s="549" t="n">
        <v>0</v>
      </c>
      <c r="AB41" s="804" t="s">
        <v>4056</v>
      </c>
      <c r="AC41" s="549" t="n">
        <v>0</v>
      </c>
      <c r="AD41" s="804" t="s">
        <v>4056</v>
      </c>
      <c r="AE41" s="549" t="n">
        <v>0</v>
      </c>
      <c r="AF41" s="802"/>
      <c r="AG41" s="803"/>
      <c r="AH41" s="802"/>
      <c r="AI41" s="803"/>
      <c r="AJ41" s="802"/>
      <c r="AK41" s="803"/>
      <c r="AL41" s="804" t="s">
        <v>4056</v>
      </c>
      <c r="AM41" s="549" t="n">
        <v>0</v>
      </c>
      <c r="AN41" s="804" t="s">
        <v>4056</v>
      </c>
      <c r="AO41" s="549" t="n">
        <v>0</v>
      </c>
      <c r="AP41" s="804" t="s">
        <v>4056</v>
      </c>
      <c r="AQ41" s="549" t="n">
        <v>0</v>
      </c>
      <c r="AR41" s="804" t="s">
        <v>4056</v>
      </c>
      <c r="AS41" s="549" t="n">
        <v>0</v>
      </c>
      <c r="AT41" s="804" t="s">
        <v>4056</v>
      </c>
      <c r="AU41" s="549" t="n">
        <v>0</v>
      </c>
      <c r="AV41" s="802"/>
      <c r="AW41" s="803"/>
      <c r="AX41" s="802"/>
      <c r="AY41" s="803"/>
      <c r="AZ41" s="549" t="s">
        <v>4056</v>
      </c>
      <c r="BA41" s="804" t="n">
        <v>0</v>
      </c>
      <c r="BB41" s="549" t="s">
        <v>4056</v>
      </c>
      <c r="BC41" s="549" t="s">
        <v>4056</v>
      </c>
      <c r="BD41" s="804" t="s">
        <v>4056</v>
      </c>
      <c r="BE41" s="549" t="n">
        <v>0</v>
      </c>
      <c r="BF41" s="804" t="s">
        <v>4056</v>
      </c>
      <c r="BG41" s="549" t="n">
        <v>0</v>
      </c>
      <c r="BH41" s="804" t="s">
        <v>4056</v>
      </c>
      <c r="BI41" s="549" t="n">
        <v>0</v>
      </c>
      <c r="BJ41" s="802"/>
      <c r="BK41" s="803"/>
      <c r="BL41" s="802"/>
      <c r="BM41" s="803"/>
      <c r="BN41" s="804" t="s">
        <v>4056</v>
      </c>
      <c r="BO41" s="549" t="n">
        <v>0</v>
      </c>
    </row>
    <row r="42" customFormat="false" ht="13.8" hidden="false" customHeight="false" outlineLevel="0" collapsed="false">
      <c r="B42" s="4" t="n">
        <v>37</v>
      </c>
      <c r="C42" s="805" t="s">
        <v>4063</v>
      </c>
      <c r="D42" s="121" t="s">
        <v>4056</v>
      </c>
      <c r="E42" s="799" t="s">
        <v>4076</v>
      </c>
      <c r="F42" s="802"/>
      <c r="G42" s="803" t="n">
        <v>0</v>
      </c>
      <c r="H42" s="804" t="s">
        <v>4056</v>
      </c>
      <c r="I42" s="549" t="n">
        <v>0</v>
      </c>
      <c r="J42" s="804" t="s">
        <v>4056</v>
      </c>
      <c r="K42" s="549" t="n">
        <v>0</v>
      </c>
      <c r="L42" s="804" t="s">
        <v>4056</v>
      </c>
      <c r="M42" s="549" t="n">
        <v>0</v>
      </c>
      <c r="N42" s="804" t="s">
        <v>4056</v>
      </c>
      <c r="O42" s="549" t="n">
        <v>0</v>
      </c>
      <c r="P42" s="804" t="s">
        <v>4056</v>
      </c>
      <c r="Q42" s="549" t="n">
        <v>0</v>
      </c>
      <c r="R42" s="804" t="s">
        <v>4056</v>
      </c>
      <c r="S42" s="549" t="n">
        <v>0</v>
      </c>
      <c r="T42" s="802"/>
      <c r="U42" s="803"/>
      <c r="V42" s="804" t="s">
        <v>4056</v>
      </c>
      <c r="W42" s="549" t="n">
        <v>0</v>
      </c>
      <c r="X42" s="804" t="s">
        <v>4056</v>
      </c>
      <c r="Y42" s="549" t="n">
        <v>0</v>
      </c>
      <c r="Z42" s="804" t="s">
        <v>4056</v>
      </c>
      <c r="AA42" s="549" t="n">
        <v>0</v>
      </c>
      <c r="AB42" s="804" t="s">
        <v>4056</v>
      </c>
      <c r="AC42" s="549" t="n">
        <v>0</v>
      </c>
      <c r="AD42" s="804" t="s">
        <v>4056</v>
      </c>
      <c r="AE42" s="549" t="n">
        <v>0</v>
      </c>
      <c r="AF42" s="802"/>
      <c r="AG42" s="803"/>
      <c r="AH42" s="802"/>
      <c r="AI42" s="803"/>
      <c r="AJ42" s="802"/>
      <c r="AK42" s="803"/>
      <c r="AL42" s="804" t="s">
        <v>4056</v>
      </c>
      <c r="AM42" s="549" t="n">
        <v>0</v>
      </c>
      <c r="AN42" s="804" t="s">
        <v>4056</v>
      </c>
      <c r="AO42" s="549" t="n">
        <v>0</v>
      </c>
      <c r="AP42" s="804" t="s">
        <v>4056</v>
      </c>
      <c r="AQ42" s="549" t="n">
        <v>0</v>
      </c>
      <c r="AR42" s="804" t="s">
        <v>4056</v>
      </c>
      <c r="AS42" s="549" t="n">
        <v>0</v>
      </c>
      <c r="AT42" s="804" t="s">
        <v>4056</v>
      </c>
      <c r="AU42" s="549" t="n">
        <v>0</v>
      </c>
      <c r="AV42" s="802"/>
      <c r="AW42" s="803"/>
      <c r="AX42" s="802"/>
      <c r="AY42" s="803"/>
      <c r="AZ42" s="549" t="s">
        <v>4056</v>
      </c>
      <c r="BA42" s="804" t="n">
        <v>0</v>
      </c>
      <c r="BB42" s="549" t="s">
        <v>4056</v>
      </c>
      <c r="BC42" s="549" t="s">
        <v>4056</v>
      </c>
      <c r="BD42" s="804" t="s">
        <v>4056</v>
      </c>
      <c r="BE42" s="549" t="n">
        <v>0</v>
      </c>
      <c r="BF42" s="804" t="s">
        <v>4056</v>
      </c>
      <c r="BG42" s="549" t="n">
        <v>0</v>
      </c>
      <c r="BH42" s="804" t="s">
        <v>4056</v>
      </c>
      <c r="BI42" s="549" t="n">
        <v>0</v>
      </c>
      <c r="BJ42" s="802"/>
      <c r="BK42" s="803"/>
      <c r="BL42" s="802"/>
      <c r="BM42" s="803"/>
      <c r="BN42" s="804" t="s">
        <v>4056</v>
      </c>
      <c r="BO42" s="549" t="n">
        <v>0</v>
      </c>
    </row>
    <row r="43" customFormat="false" ht="13.8" hidden="false" customHeight="false" outlineLevel="0" collapsed="false">
      <c r="B43" s="4" t="n">
        <v>38</v>
      </c>
      <c r="C43" s="805" t="s">
        <v>4063</v>
      </c>
      <c r="D43" s="121" t="s">
        <v>4056</v>
      </c>
      <c r="E43" s="799" t="s">
        <v>4077</v>
      </c>
      <c r="F43" s="802"/>
      <c r="G43" s="803" t="n">
        <v>0</v>
      </c>
      <c r="H43" s="804" t="s">
        <v>4056</v>
      </c>
      <c r="I43" s="549" t="n">
        <v>0</v>
      </c>
      <c r="J43" s="804" t="s">
        <v>4056</v>
      </c>
      <c r="K43" s="549" t="n">
        <v>0</v>
      </c>
      <c r="L43" s="804" t="s">
        <v>4056</v>
      </c>
      <c r="M43" s="549" t="n">
        <v>0</v>
      </c>
      <c r="N43" s="804" t="s">
        <v>4056</v>
      </c>
      <c r="O43" s="549" t="n">
        <v>0</v>
      </c>
      <c r="P43" s="804" t="s">
        <v>4056</v>
      </c>
      <c r="Q43" s="549" t="n">
        <v>0</v>
      </c>
      <c r="R43" s="804" t="s">
        <v>4056</v>
      </c>
      <c r="S43" s="549" t="n">
        <v>0</v>
      </c>
      <c r="T43" s="802"/>
      <c r="U43" s="803"/>
      <c r="V43" s="804" t="s">
        <v>4056</v>
      </c>
      <c r="W43" s="549" t="n">
        <v>0</v>
      </c>
      <c r="X43" s="804" t="s">
        <v>4056</v>
      </c>
      <c r="Y43" s="549" t="n">
        <v>0</v>
      </c>
      <c r="Z43" s="804" t="s">
        <v>4056</v>
      </c>
      <c r="AA43" s="549" t="n">
        <v>0</v>
      </c>
      <c r="AB43" s="804" t="s">
        <v>4056</v>
      </c>
      <c r="AC43" s="549" t="n">
        <v>0</v>
      </c>
      <c r="AD43" s="804" t="s">
        <v>4056</v>
      </c>
      <c r="AE43" s="549" t="n">
        <v>0</v>
      </c>
      <c r="AF43" s="802"/>
      <c r="AG43" s="803"/>
      <c r="AH43" s="802"/>
      <c r="AI43" s="803"/>
      <c r="AJ43" s="802"/>
      <c r="AK43" s="803"/>
      <c r="AL43" s="804" t="s">
        <v>4056</v>
      </c>
      <c r="AM43" s="549" t="n">
        <v>0</v>
      </c>
      <c r="AN43" s="804" t="s">
        <v>4056</v>
      </c>
      <c r="AO43" s="549" t="n">
        <v>0</v>
      </c>
      <c r="AP43" s="804" t="s">
        <v>4056</v>
      </c>
      <c r="AQ43" s="549" t="n">
        <v>0</v>
      </c>
      <c r="AR43" s="804" t="s">
        <v>4056</v>
      </c>
      <c r="AS43" s="549" t="n">
        <v>0</v>
      </c>
      <c r="AT43" s="804" t="s">
        <v>4056</v>
      </c>
      <c r="AU43" s="549" t="n">
        <v>0</v>
      </c>
      <c r="AV43" s="802"/>
      <c r="AW43" s="803"/>
      <c r="AX43" s="802"/>
      <c r="AY43" s="803"/>
      <c r="AZ43" s="549" t="s">
        <v>4056</v>
      </c>
      <c r="BA43" s="804" t="n">
        <v>0</v>
      </c>
      <c r="BB43" s="549" t="s">
        <v>4056</v>
      </c>
      <c r="BC43" s="549" t="s">
        <v>4056</v>
      </c>
      <c r="BD43" s="804" t="s">
        <v>4056</v>
      </c>
      <c r="BE43" s="549" t="n">
        <v>0</v>
      </c>
      <c r="BF43" s="804" t="s">
        <v>4056</v>
      </c>
      <c r="BG43" s="549" t="n">
        <v>0</v>
      </c>
      <c r="BH43" s="804" t="s">
        <v>4056</v>
      </c>
      <c r="BI43" s="549" t="n">
        <v>0</v>
      </c>
      <c r="BJ43" s="802"/>
      <c r="BK43" s="803"/>
      <c r="BL43" s="802"/>
      <c r="BM43" s="803"/>
      <c r="BN43" s="804" t="s">
        <v>4056</v>
      </c>
      <c r="BO43" s="549" t="n">
        <v>0</v>
      </c>
    </row>
    <row r="44" customFormat="false" ht="13.8" hidden="false" customHeight="false" outlineLevel="0" collapsed="false">
      <c r="B44" s="4" t="n">
        <v>39</v>
      </c>
      <c r="C44" s="805" t="s">
        <v>4063</v>
      </c>
      <c r="D44" s="121" t="s">
        <v>4056</v>
      </c>
      <c r="E44" s="799" t="s">
        <v>4078</v>
      </c>
      <c r="F44" s="802"/>
      <c r="G44" s="803" t="n">
        <v>0</v>
      </c>
      <c r="H44" s="804" t="s">
        <v>4056</v>
      </c>
      <c r="I44" s="549" t="n">
        <v>0</v>
      </c>
      <c r="J44" s="804" t="s">
        <v>4056</v>
      </c>
      <c r="K44" s="549" t="n">
        <v>0</v>
      </c>
      <c r="L44" s="804" t="s">
        <v>4056</v>
      </c>
      <c r="M44" s="549" t="n">
        <v>0</v>
      </c>
      <c r="N44" s="804" t="s">
        <v>4056</v>
      </c>
      <c r="O44" s="549" t="n">
        <v>0</v>
      </c>
      <c r="P44" s="804" t="s">
        <v>4056</v>
      </c>
      <c r="Q44" s="549" t="n">
        <v>0</v>
      </c>
      <c r="R44" s="804" t="s">
        <v>4056</v>
      </c>
      <c r="S44" s="549" t="n">
        <v>0</v>
      </c>
      <c r="T44" s="802"/>
      <c r="U44" s="803"/>
      <c r="V44" s="804" t="s">
        <v>4056</v>
      </c>
      <c r="W44" s="549" t="n">
        <v>0</v>
      </c>
      <c r="X44" s="804" t="s">
        <v>4056</v>
      </c>
      <c r="Y44" s="549" t="n">
        <v>0</v>
      </c>
      <c r="Z44" s="804" t="s">
        <v>4056</v>
      </c>
      <c r="AA44" s="549" t="n">
        <v>0</v>
      </c>
      <c r="AB44" s="804" t="s">
        <v>4056</v>
      </c>
      <c r="AC44" s="549" t="n">
        <v>0</v>
      </c>
      <c r="AD44" s="804" t="s">
        <v>4056</v>
      </c>
      <c r="AE44" s="549" t="n">
        <v>0</v>
      </c>
      <c r="AF44" s="802"/>
      <c r="AG44" s="803"/>
      <c r="AH44" s="802"/>
      <c r="AI44" s="803"/>
      <c r="AJ44" s="802"/>
      <c r="AK44" s="803"/>
      <c r="AL44" s="804" t="s">
        <v>4056</v>
      </c>
      <c r="AM44" s="549" t="n">
        <v>0</v>
      </c>
      <c r="AN44" s="804" t="s">
        <v>4056</v>
      </c>
      <c r="AO44" s="549" t="n">
        <v>0</v>
      </c>
      <c r="AP44" s="804" t="s">
        <v>4056</v>
      </c>
      <c r="AQ44" s="549" t="n">
        <v>0</v>
      </c>
      <c r="AR44" s="804" t="s">
        <v>4056</v>
      </c>
      <c r="AS44" s="549" t="n">
        <v>0</v>
      </c>
      <c r="AT44" s="804" t="s">
        <v>4056</v>
      </c>
      <c r="AU44" s="549" t="n">
        <v>0</v>
      </c>
      <c r="AV44" s="802"/>
      <c r="AW44" s="803"/>
      <c r="AX44" s="802"/>
      <c r="AY44" s="803"/>
      <c r="AZ44" s="549" t="s">
        <v>4056</v>
      </c>
      <c r="BA44" s="804" t="n">
        <v>0</v>
      </c>
      <c r="BB44" s="549" t="s">
        <v>4056</v>
      </c>
      <c r="BC44" s="549" t="s">
        <v>4056</v>
      </c>
      <c r="BD44" s="804" t="s">
        <v>4056</v>
      </c>
      <c r="BE44" s="549" t="n">
        <v>0</v>
      </c>
      <c r="BF44" s="804" t="s">
        <v>4056</v>
      </c>
      <c r="BG44" s="549" t="n">
        <v>0</v>
      </c>
      <c r="BH44" s="804" t="s">
        <v>4056</v>
      </c>
      <c r="BI44" s="549" t="n">
        <v>0</v>
      </c>
      <c r="BJ44" s="802"/>
      <c r="BK44" s="803"/>
      <c r="BL44" s="802"/>
      <c r="BM44" s="803"/>
      <c r="BN44" s="804" t="s">
        <v>4056</v>
      </c>
      <c r="BO44" s="549" t="n">
        <v>0</v>
      </c>
    </row>
    <row r="45" customFormat="false" ht="13.8" hidden="false" customHeight="false" outlineLevel="0" collapsed="false">
      <c r="B45" s="4" t="n">
        <v>40</v>
      </c>
      <c r="C45" s="805" t="s">
        <v>4063</v>
      </c>
      <c r="D45" s="121" t="s">
        <v>4056</v>
      </c>
      <c r="E45" s="799" t="s">
        <v>4079</v>
      </c>
      <c r="F45" s="802"/>
      <c r="G45" s="803" t="n">
        <v>0</v>
      </c>
      <c r="H45" s="804" t="s">
        <v>4056</v>
      </c>
      <c r="I45" s="549" t="n">
        <v>0</v>
      </c>
      <c r="J45" s="804" t="s">
        <v>4056</v>
      </c>
      <c r="K45" s="549" t="n">
        <v>0</v>
      </c>
      <c r="L45" s="804" t="s">
        <v>4056</v>
      </c>
      <c r="M45" s="549" t="n">
        <v>0</v>
      </c>
      <c r="N45" s="804" t="s">
        <v>4056</v>
      </c>
      <c r="O45" s="549" t="n">
        <v>0</v>
      </c>
      <c r="P45" s="804" t="s">
        <v>4056</v>
      </c>
      <c r="Q45" s="549" t="n">
        <v>0</v>
      </c>
      <c r="R45" s="804" t="s">
        <v>4056</v>
      </c>
      <c r="S45" s="549" t="n">
        <v>0</v>
      </c>
      <c r="T45" s="802"/>
      <c r="U45" s="803"/>
      <c r="V45" s="804" t="s">
        <v>4056</v>
      </c>
      <c r="W45" s="549" t="n">
        <v>0</v>
      </c>
      <c r="X45" s="804" t="s">
        <v>4056</v>
      </c>
      <c r="Y45" s="549" t="n">
        <v>0</v>
      </c>
      <c r="Z45" s="804" t="s">
        <v>4056</v>
      </c>
      <c r="AA45" s="549" t="n">
        <v>0</v>
      </c>
      <c r="AB45" s="804" t="s">
        <v>4056</v>
      </c>
      <c r="AC45" s="549" t="n">
        <v>0</v>
      </c>
      <c r="AD45" s="804" t="s">
        <v>4056</v>
      </c>
      <c r="AE45" s="549" t="n">
        <v>0</v>
      </c>
      <c r="AF45" s="802"/>
      <c r="AG45" s="803"/>
      <c r="AH45" s="802"/>
      <c r="AI45" s="803"/>
      <c r="AJ45" s="802"/>
      <c r="AK45" s="803"/>
      <c r="AL45" s="804" t="s">
        <v>4056</v>
      </c>
      <c r="AM45" s="549" t="n">
        <v>0</v>
      </c>
      <c r="AN45" s="804" t="s">
        <v>4056</v>
      </c>
      <c r="AO45" s="549" t="n">
        <v>0</v>
      </c>
      <c r="AP45" s="804" t="s">
        <v>4056</v>
      </c>
      <c r="AQ45" s="549" t="n">
        <v>0</v>
      </c>
      <c r="AR45" s="804" t="s">
        <v>4056</v>
      </c>
      <c r="AS45" s="549" t="n">
        <v>0</v>
      </c>
      <c r="AT45" s="804" t="s">
        <v>4056</v>
      </c>
      <c r="AU45" s="549" t="n">
        <v>0</v>
      </c>
      <c r="AV45" s="802"/>
      <c r="AW45" s="803"/>
      <c r="AX45" s="802"/>
      <c r="AY45" s="803"/>
      <c r="AZ45" s="549" t="s">
        <v>4056</v>
      </c>
      <c r="BA45" s="804" t="n">
        <v>0</v>
      </c>
      <c r="BB45" s="549" t="s">
        <v>4056</v>
      </c>
      <c r="BC45" s="549" t="s">
        <v>4056</v>
      </c>
      <c r="BD45" s="804" t="s">
        <v>4056</v>
      </c>
      <c r="BE45" s="549" t="n">
        <v>0</v>
      </c>
      <c r="BF45" s="804" t="s">
        <v>4056</v>
      </c>
      <c r="BG45" s="549" t="n">
        <v>0</v>
      </c>
      <c r="BH45" s="804" t="s">
        <v>4056</v>
      </c>
      <c r="BI45" s="549" t="n">
        <v>0</v>
      </c>
      <c r="BJ45" s="802"/>
      <c r="BK45" s="803"/>
      <c r="BL45" s="802"/>
      <c r="BM45" s="803"/>
      <c r="BN45" s="804" t="s">
        <v>4056</v>
      </c>
      <c r="BO45" s="549" t="n">
        <v>0</v>
      </c>
    </row>
    <row r="46" customFormat="false" ht="13.8" hidden="false" customHeight="false" outlineLevel="0" collapsed="false">
      <c r="B46" s="4" t="n">
        <v>41</v>
      </c>
      <c r="C46" s="805" t="s">
        <v>4063</v>
      </c>
      <c r="D46" s="121" t="s">
        <v>4056</v>
      </c>
      <c r="E46" s="799" t="s">
        <v>4080</v>
      </c>
      <c r="F46" s="802"/>
      <c r="G46" s="803" t="n">
        <v>0</v>
      </c>
      <c r="H46" s="804"/>
      <c r="I46" s="549"/>
      <c r="J46" s="804"/>
      <c r="K46" s="549"/>
      <c r="L46" s="804"/>
      <c r="M46" s="549"/>
      <c r="N46" s="804"/>
      <c r="O46" s="549"/>
      <c r="P46" s="804"/>
      <c r="Q46" s="549"/>
      <c r="R46" s="804"/>
      <c r="S46" s="549"/>
      <c r="T46" s="802"/>
      <c r="U46" s="803"/>
      <c r="V46" s="804" t="s">
        <v>4056</v>
      </c>
      <c r="W46" s="549" t="n">
        <v>0</v>
      </c>
      <c r="X46" s="804" t="s">
        <v>4056</v>
      </c>
      <c r="Y46" s="549" t="n">
        <v>0</v>
      </c>
      <c r="Z46" s="804" t="s">
        <v>4056</v>
      </c>
      <c r="AA46" s="549" t="n">
        <v>0</v>
      </c>
      <c r="AB46" s="804" t="s">
        <v>4056</v>
      </c>
      <c r="AC46" s="549" t="n">
        <v>0</v>
      </c>
      <c r="AD46" s="804" t="s">
        <v>4056</v>
      </c>
      <c r="AE46" s="549" t="n">
        <v>0</v>
      </c>
      <c r="AF46" s="802"/>
      <c r="AG46" s="803"/>
      <c r="AH46" s="802"/>
      <c r="AI46" s="803"/>
      <c r="AJ46" s="802"/>
      <c r="AK46" s="803"/>
      <c r="AL46" s="804" t="s">
        <v>4056</v>
      </c>
      <c r="AM46" s="549" t="n">
        <v>0</v>
      </c>
      <c r="AN46" s="804" t="s">
        <v>4056</v>
      </c>
      <c r="AO46" s="549" t="n">
        <v>0</v>
      </c>
      <c r="AP46" s="804" t="s">
        <v>4056</v>
      </c>
      <c r="AQ46" s="549" t="n">
        <v>0</v>
      </c>
      <c r="AR46" s="804" t="s">
        <v>4056</v>
      </c>
      <c r="AS46" s="549" t="n">
        <v>0</v>
      </c>
      <c r="AT46" s="804" t="s">
        <v>4056</v>
      </c>
      <c r="AU46" s="549" t="n">
        <v>0</v>
      </c>
      <c r="AV46" s="802"/>
      <c r="AW46" s="803"/>
      <c r="AX46" s="802"/>
      <c r="AY46" s="803"/>
      <c r="AZ46" s="549" t="s">
        <v>4056</v>
      </c>
      <c r="BA46" s="804" t="n">
        <v>0</v>
      </c>
      <c r="BB46" s="549" t="s">
        <v>4056</v>
      </c>
      <c r="BC46" s="549" t="s">
        <v>4056</v>
      </c>
      <c r="BD46" s="804" t="s">
        <v>4056</v>
      </c>
      <c r="BE46" s="549" t="n">
        <v>0</v>
      </c>
      <c r="BF46" s="804" t="s">
        <v>4056</v>
      </c>
      <c r="BG46" s="549" t="n">
        <v>0</v>
      </c>
      <c r="BH46" s="804" t="s">
        <v>4056</v>
      </c>
      <c r="BI46" s="549" t="n">
        <v>0</v>
      </c>
      <c r="BJ46" s="802"/>
      <c r="BK46" s="803"/>
      <c r="BL46" s="802"/>
      <c r="BM46" s="803"/>
      <c r="BN46" s="804" t="s">
        <v>4056</v>
      </c>
      <c r="BO46" s="549" t="n">
        <v>0</v>
      </c>
    </row>
    <row r="47" customFormat="false" ht="13.8" hidden="false" customHeight="false" outlineLevel="0" collapsed="false">
      <c r="B47" s="4" t="n">
        <v>42</v>
      </c>
      <c r="C47" s="805" t="s">
        <v>4063</v>
      </c>
      <c r="D47" s="121" t="s">
        <v>4056</v>
      </c>
      <c r="E47" s="799" t="s">
        <v>4081</v>
      </c>
      <c r="F47" s="802"/>
      <c r="G47" s="803" t="n">
        <v>0</v>
      </c>
      <c r="H47" s="804"/>
      <c r="I47" s="549"/>
      <c r="J47" s="804"/>
      <c r="K47" s="549"/>
      <c r="L47" s="804"/>
      <c r="M47" s="549"/>
      <c r="N47" s="804"/>
      <c r="O47" s="549"/>
      <c r="P47" s="804"/>
      <c r="Q47" s="549"/>
      <c r="R47" s="804"/>
      <c r="S47" s="549"/>
      <c r="T47" s="802"/>
      <c r="U47" s="803"/>
      <c r="V47" s="804"/>
      <c r="W47" s="549"/>
      <c r="X47" s="804" t="s">
        <v>4056</v>
      </c>
      <c r="Y47" s="549" t="n">
        <v>0</v>
      </c>
      <c r="Z47" s="804" t="s">
        <v>4056</v>
      </c>
      <c r="AA47" s="549" t="n">
        <v>0</v>
      </c>
      <c r="AB47" s="804" t="s">
        <v>4056</v>
      </c>
      <c r="AC47" s="549" t="n">
        <v>0</v>
      </c>
      <c r="AD47" s="804" t="s">
        <v>4056</v>
      </c>
      <c r="AE47" s="549" t="n">
        <v>0</v>
      </c>
      <c r="AF47" s="802"/>
      <c r="AG47" s="803"/>
      <c r="AH47" s="802"/>
      <c r="AI47" s="803"/>
      <c r="AJ47" s="802"/>
      <c r="AK47" s="803"/>
      <c r="AL47" s="804" t="s">
        <v>4056</v>
      </c>
      <c r="AM47" s="549" t="n">
        <v>0</v>
      </c>
      <c r="AN47" s="804" t="s">
        <v>4056</v>
      </c>
      <c r="AO47" s="549" t="n">
        <v>0</v>
      </c>
      <c r="AP47" s="804" t="s">
        <v>4056</v>
      </c>
      <c r="AQ47" s="549" t="n">
        <v>0</v>
      </c>
      <c r="AR47" s="804" t="s">
        <v>4056</v>
      </c>
      <c r="AS47" s="549" t="n">
        <v>0</v>
      </c>
      <c r="AT47" s="804" t="s">
        <v>4056</v>
      </c>
      <c r="AU47" s="549" t="n">
        <v>0</v>
      </c>
      <c r="AV47" s="802"/>
      <c r="AW47" s="803"/>
      <c r="AX47" s="802"/>
      <c r="AY47" s="803"/>
      <c r="AZ47" s="549" t="s">
        <v>4056</v>
      </c>
      <c r="BA47" s="804" t="n">
        <v>0</v>
      </c>
      <c r="BB47" s="549" t="s">
        <v>4056</v>
      </c>
      <c r="BC47" s="549" t="s">
        <v>4056</v>
      </c>
      <c r="BD47" s="804" t="s">
        <v>4056</v>
      </c>
      <c r="BE47" s="549" t="n">
        <v>0</v>
      </c>
      <c r="BF47" s="804" t="s">
        <v>4056</v>
      </c>
      <c r="BG47" s="549" t="n">
        <v>0</v>
      </c>
      <c r="BH47" s="804" t="s">
        <v>4056</v>
      </c>
      <c r="BI47" s="549" t="n">
        <v>0</v>
      </c>
      <c r="BJ47" s="802"/>
      <c r="BK47" s="803"/>
      <c r="BL47" s="802"/>
      <c r="BM47" s="803"/>
      <c r="BN47" s="804" t="s">
        <v>4056</v>
      </c>
      <c r="BO47" s="549" t="n">
        <v>0</v>
      </c>
    </row>
    <row r="48" customFormat="false" ht="13.8" hidden="false" customHeight="false" outlineLevel="0" collapsed="false">
      <c r="B48" s="4" t="n">
        <v>43</v>
      </c>
      <c r="C48" s="805" t="s">
        <v>4063</v>
      </c>
      <c r="D48" s="121" t="s">
        <v>4056</v>
      </c>
      <c r="E48" s="799" t="s">
        <v>4082</v>
      </c>
      <c r="F48" s="802"/>
      <c r="G48" s="803" t="n">
        <v>0</v>
      </c>
      <c r="H48" s="804"/>
      <c r="I48" s="549"/>
      <c r="J48" s="804"/>
      <c r="K48" s="549"/>
      <c r="L48" s="804"/>
      <c r="M48" s="549"/>
      <c r="N48" s="804"/>
      <c r="O48" s="549"/>
      <c r="P48" s="804"/>
      <c r="Q48" s="549"/>
      <c r="R48" s="804"/>
      <c r="S48" s="549"/>
      <c r="T48" s="802"/>
      <c r="U48" s="803"/>
      <c r="V48" s="804"/>
      <c r="W48" s="549"/>
      <c r="X48" s="804"/>
      <c r="Y48" s="549"/>
      <c r="Z48" s="804"/>
      <c r="AA48" s="549"/>
      <c r="AB48" s="804"/>
      <c r="AC48" s="549"/>
      <c r="AD48" s="804" t="s">
        <v>4056</v>
      </c>
      <c r="AE48" s="549" t="n">
        <v>0</v>
      </c>
      <c r="AF48" s="802"/>
      <c r="AG48" s="803"/>
      <c r="AH48" s="802"/>
      <c r="AI48" s="803"/>
      <c r="AJ48" s="802"/>
      <c r="AK48" s="803"/>
      <c r="AL48" s="804" t="s">
        <v>4056</v>
      </c>
      <c r="AM48" s="549" t="n">
        <v>0</v>
      </c>
      <c r="AN48" s="804" t="s">
        <v>4056</v>
      </c>
      <c r="AO48" s="549" t="n">
        <v>0</v>
      </c>
      <c r="AP48" s="804" t="s">
        <v>4056</v>
      </c>
      <c r="AQ48" s="549" t="n">
        <v>0</v>
      </c>
      <c r="AR48" s="804" t="s">
        <v>4056</v>
      </c>
      <c r="AS48" s="549" t="n">
        <v>0</v>
      </c>
      <c r="AT48" s="804" t="s">
        <v>4056</v>
      </c>
      <c r="AU48" s="549" t="n">
        <v>0</v>
      </c>
      <c r="AV48" s="802"/>
      <c r="AW48" s="803"/>
      <c r="AX48" s="802"/>
      <c r="AY48" s="803"/>
      <c r="AZ48" s="549" t="s">
        <v>4056</v>
      </c>
      <c r="BA48" s="804" t="n">
        <v>0</v>
      </c>
      <c r="BB48" s="549" t="s">
        <v>4056</v>
      </c>
      <c r="BC48" s="549" t="s">
        <v>4056</v>
      </c>
      <c r="BD48" s="804" t="s">
        <v>4056</v>
      </c>
      <c r="BE48" s="549" t="n">
        <v>0</v>
      </c>
      <c r="BF48" s="804" t="s">
        <v>4056</v>
      </c>
      <c r="BG48" s="549" t="n">
        <v>0</v>
      </c>
      <c r="BH48" s="804" t="s">
        <v>4056</v>
      </c>
      <c r="BI48" s="549" t="n">
        <v>0</v>
      </c>
      <c r="BJ48" s="802"/>
      <c r="BK48" s="803"/>
      <c r="BL48" s="802"/>
      <c r="BM48" s="803"/>
      <c r="BN48" s="804" t="s">
        <v>4056</v>
      </c>
      <c r="BO48" s="549" t="n">
        <v>0</v>
      </c>
    </row>
    <row r="49" customFormat="false" ht="13.8" hidden="false" customHeight="false" outlineLevel="0" collapsed="false">
      <c r="B49" s="806"/>
      <c r="C49" s="807"/>
      <c r="D49" s="807"/>
    </row>
    <row r="50" customFormat="false" ht="13.8" hidden="false" customHeight="true" outlineLevel="0" collapsed="false">
      <c r="B50" s="549" t="s">
        <v>4019</v>
      </c>
      <c r="C50" s="799" t="s">
        <v>14</v>
      </c>
      <c r="D50" s="800" t="s">
        <v>4020</v>
      </c>
      <c r="E50" s="121"/>
      <c r="F50" s="801" t="n">
        <v>1</v>
      </c>
      <c r="G50" s="801"/>
      <c r="H50" s="138" t="n">
        <v>2</v>
      </c>
      <c r="I50" s="138"/>
      <c r="J50" s="138" t="n">
        <v>3</v>
      </c>
      <c r="K50" s="138"/>
      <c r="L50" s="138" t="n">
        <v>4</v>
      </c>
      <c r="M50" s="138"/>
      <c r="N50" s="138" t="n">
        <v>5</v>
      </c>
      <c r="O50" s="138"/>
      <c r="P50" s="138" t="n">
        <v>6</v>
      </c>
      <c r="Q50" s="138"/>
      <c r="R50" s="138" t="n">
        <v>7</v>
      </c>
      <c r="S50" s="138"/>
      <c r="T50" s="801" t="n">
        <v>8</v>
      </c>
      <c r="U50" s="801"/>
      <c r="V50" s="138" t="n">
        <v>9</v>
      </c>
      <c r="W50" s="138"/>
      <c r="X50" s="138" t="n">
        <v>10</v>
      </c>
      <c r="Y50" s="138"/>
      <c r="Z50" s="138" t="n">
        <v>11</v>
      </c>
      <c r="AA50" s="138"/>
      <c r="AB50" s="138" t="n">
        <v>12</v>
      </c>
      <c r="AC50" s="138"/>
      <c r="AD50" s="138" t="n">
        <v>13</v>
      </c>
      <c r="AE50" s="138"/>
      <c r="AF50" s="801" t="n">
        <v>14</v>
      </c>
      <c r="AG50" s="801"/>
      <c r="AH50" s="801" t="n">
        <v>15</v>
      </c>
      <c r="AI50" s="801"/>
      <c r="AJ50" s="801" t="n">
        <v>16</v>
      </c>
      <c r="AK50" s="801"/>
      <c r="AL50" s="138" t="n">
        <v>17</v>
      </c>
      <c r="AM50" s="138"/>
      <c r="AN50" s="138" t="n">
        <v>18</v>
      </c>
      <c r="AO50" s="138"/>
      <c r="AP50" s="138" t="n">
        <v>19</v>
      </c>
      <c r="AQ50" s="138"/>
      <c r="AR50" s="138" t="n">
        <v>20</v>
      </c>
      <c r="AS50" s="138"/>
      <c r="AT50" s="138" t="n">
        <v>21</v>
      </c>
      <c r="AU50" s="138"/>
      <c r="AV50" s="801" t="n">
        <v>22</v>
      </c>
      <c r="AW50" s="801"/>
      <c r="AX50" s="801" t="n">
        <v>23</v>
      </c>
      <c r="AY50" s="801" t="n">
        <v>24</v>
      </c>
      <c r="AZ50" s="138" t="n">
        <v>23</v>
      </c>
      <c r="BA50" s="138" t="n">
        <v>24</v>
      </c>
      <c r="BB50" s="138"/>
      <c r="BC50" s="138" t="n">
        <v>25</v>
      </c>
      <c r="BD50" s="138" t="n">
        <v>26</v>
      </c>
      <c r="BE50" s="138"/>
      <c r="BF50" s="138" t="n">
        <v>27</v>
      </c>
      <c r="BG50" s="138"/>
      <c r="BH50" s="138" t="n">
        <v>28</v>
      </c>
      <c r="BI50" s="138"/>
      <c r="BJ50" s="801" t="n">
        <v>29</v>
      </c>
      <c r="BK50" s="801"/>
      <c r="BL50" s="801" t="n">
        <v>30</v>
      </c>
      <c r="BM50" s="801"/>
      <c r="BN50" s="138" t="n">
        <v>31</v>
      </c>
      <c r="BO50" s="138"/>
    </row>
    <row r="51" customFormat="false" ht="13.8" hidden="false" customHeight="false" outlineLevel="0" collapsed="false">
      <c r="B51" s="549"/>
      <c r="C51" s="799"/>
      <c r="D51" s="800"/>
      <c r="E51" s="121"/>
      <c r="F51" s="803" t="s">
        <v>4022</v>
      </c>
      <c r="G51" s="803" t="s">
        <v>4023</v>
      </c>
      <c r="H51" s="549" t="s">
        <v>4022</v>
      </c>
      <c r="I51" s="549" t="s">
        <v>4023</v>
      </c>
      <c r="J51" s="549" t="s">
        <v>4022</v>
      </c>
      <c r="K51" s="549" t="s">
        <v>4023</v>
      </c>
      <c r="L51" s="549" t="s">
        <v>4022</v>
      </c>
      <c r="M51" s="549" t="s">
        <v>4023</v>
      </c>
      <c r="N51" s="549" t="s">
        <v>4022</v>
      </c>
      <c r="O51" s="549" t="s">
        <v>4023</v>
      </c>
      <c r="P51" s="549" t="s">
        <v>4022</v>
      </c>
      <c r="Q51" s="549" t="s">
        <v>4023</v>
      </c>
      <c r="R51" s="549" t="s">
        <v>4022</v>
      </c>
      <c r="S51" s="549" t="s">
        <v>4023</v>
      </c>
      <c r="T51" s="803" t="s">
        <v>4022</v>
      </c>
      <c r="U51" s="803" t="s">
        <v>4023</v>
      </c>
      <c r="V51" s="549" t="s">
        <v>4022</v>
      </c>
      <c r="W51" s="549" t="s">
        <v>4023</v>
      </c>
      <c r="X51" s="549" t="s">
        <v>4022</v>
      </c>
      <c r="Y51" s="549" t="s">
        <v>4023</v>
      </c>
      <c r="Z51" s="549" t="s">
        <v>4022</v>
      </c>
      <c r="AA51" s="549" t="s">
        <v>4023</v>
      </c>
      <c r="AB51" s="549" t="s">
        <v>4022</v>
      </c>
      <c r="AC51" s="549" t="s">
        <v>4023</v>
      </c>
      <c r="AD51" s="549" t="s">
        <v>4022</v>
      </c>
      <c r="AE51" s="549" t="s">
        <v>4023</v>
      </c>
      <c r="AF51" s="803" t="s">
        <v>4022</v>
      </c>
      <c r="AG51" s="803" t="s">
        <v>4023</v>
      </c>
      <c r="AH51" s="803" t="s">
        <v>4022</v>
      </c>
      <c r="AI51" s="803" t="s">
        <v>4023</v>
      </c>
      <c r="AJ51" s="803" t="s">
        <v>4022</v>
      </c>
      <c r="AK51" s="803" t="s">
        <v>4023</v>
      </c>
      <c r="AL51" s="549" t="s">
        <v>4022</v>
      </c>
      <c r="AM51" s="549" t="s">
        <v>4023</v>
      </c>
      <c r="AN51" s="549" t="s">
        <v>4022</v>
      </c>
      <c r="AO51" s="549" t="s">
        <v>4023</v>
      </c>
      <c r="AP51" s="549" t="s">
        <v>4022</v>
      </c>
      <c r="AQ51" s="549" t="s">
        <v>4023</v>
      </c>
      <c r="AR51" s="549" t="s">
        <v>4022</v>
      </c>
      <c r="AS51" s="549" t="s">
        <v>4023</v>
      </c>
      <c r="AT51" s="549" t="s">
        <v>4022</v>
      </c>
      <c r="AU51" s="549" t="s">
        <v>4023</v>
      </c>
      <c r="AV51" s="803" t="s">
        <v>4022</v>
      </c>
      <c r="AW51" s="803" t="s">
        <v>4023</v>
      </c>
      <c r="AX51" s="803" t="s">
        <v>4022</v>
      </c>
      <c r="AY51" s="803" t="s">
        <v>4022</v>
      </c>
      <c r="AZ51" s="549" t="s">
        <v>4022</v>
      </c>
      <c r="BA51" s="549" t="s">
        <v>4022</v>
      </c>
      <c r="BB51" s="549" t="s">
        <v>4023</v>
      </c>
      <c r="BC51" s="549" t="s">
        <v>4022</v>
      </c>
      <c r="BD51" s="549" t="s">
        <v>4022</v>
      </c>
      <c r="BE51" s="549" t="s">
        <v>4023</v>
      </c>
      <c r="BF51" s="549" t="s">
        <v>4022</v>
      </c>
      <c r="BG51" s="549" t="s">
        <v>4023</v>
      </c>
      <c r="BH51" s="549" t="s">
        <v>4022</v>
      </c>
      <c r="BI51" s="549" t="s">
        <v>4023</v>
      </c>
      <c r="BJ51" s="803" t="s">
        <v>4022</v>
      </c>
      <c r="BK51" s="803" t="s">
        <v>4023</v>
      </c>
      <c r="BL51" s="803" t="s">
        <v>4022</v>
      </c>
      <c r="BM51" s="803" t="s">
        <v>4023</v>
      </c>
      <c r="BN51" s="549" t="s">
        <v>4022</v>
      </c>
      <c r="BO51" s="549" t="s">
        <v>4023</v>
      </c>
    </row>
    <row r="52" customFormat="false" ht="14.9" hidden="false" customHeight="false" outlineLevel="0" collapsed="false">
      <c r="B52" s="4" t="n">
        <v>1</v>
      </c>
      <c r="C52" s="808" t="s">
        <v>4083</v>
      </c>
      <c r="D52" s="809" t="s">
        <v>4084</v>
      </c>
      <c r="E52" s="121"/>
      <c r="F52" s="803" t="n">
        <f aca="false">COUNTIF(F$4:F$48,$D52)</f>
        <v>0</v>
      </c>
      <c r="G52" s="803" t="n">
        <f aca="false">SUMIF($D$4:$D$48,$D52,G$4:G$48)</f>
        <v>0</v>
      </c>
      <c r="H52" s="138" t="n">
        <f aca="false">COUNTIF(H$4:H$48,$D52)</f>
        <v>0</v>
      </c>
      <c r="I52" s="549" t="n">
        <f aca="false">SUMIF($D$4:$D$48,$D52,I$4:I$48)</f>
        <v>0</v>
      </c>
      <c r="J52" s="138" t="n">
        <f aca="false">COUNTIF(J$4:J$48,$D52)</f>
        <v>0</v>
      </c>
      <c r="K52" s="549" t="n">
        <f aca="false">SUMIF($D$4:$D$48,$D52,K$4:K$48)</f>
        <v>0</v>
      </c>
      <c r="L52" s="138" t="n">
        <f aca="false">COUNTIF(L$4:L$48,$D52)</f>
        <v>0</v>
      </c>
      <c r="M52" s="549" t="n">
        <f aca="false">SUMIF($D$4:$D$48,$D52,M$4:M$48)</f>
        <v>0</v>
      </c>
      <c r="N52" s="138" t="n">
        <f aca="false">COUNTIF(N$4:N$48,$D52)</f>
        <v>0</v>
      </c>
      <c r="O52" s="549" t="n">
        <f aca="false">SUMIF($D$4:$D$48,$D52,O$4:O$48)</f>
        <v>0</v>
      </c>
      <c r="P52" s="138" t="n">
        <f aca="false">COUNTIF(P$4:P$48,$D52)</f>
        <v>0</v>
      </c>
      <c r="Q52" s="549" t="n">
        <f aca="false">SUMIF($D$4:$D$48,$D52,Q$4:Q$48)</f>
        <v>0</v>
      </c>
      <c r="R52" s="138" t="n">
        <f aca="false">COUNTIF(R$4:R$48,$D52)</f>
        <v>0</v>
      </c>
      <c r="S52" s="549" t="n">
        <f aca="false">SUMIF($D$4:$D$48,$D52,S$4:S$48)</f>
        <v>0</v>
      </c>
      <c r="T52" s="803" t="n">
        <f aca="false">COUNTIF(T$4:T$48,$D52)</f>
        <v>0</v>
      </c>
      <c r="U52" s="803" t="n">
        <f aca="false">SUMIF($D$4:$D$48,$D52,U$4:U$48)</f>
        <v>0</v>
      </c>
      <c r="V52" s="138" t="n">
        <f aca="false">COUNTIF(V$4:V$48,$D52)</f>
        <v>0</v>
      </c>
      <c r="W52" s="549" t="n">
        <f aca="false">SUMIF($D$4:$D$48,$D52,W$4:W$48)</f>
        <v>0</v>
      </c>
      <c r="X52" s="138" t="n">
        <f aca="false">COUNTIF(X$4:X$48,$D52)</f>
        <v>0</v>
      </c>
      <c r="Y52" s="549" t="n">
        <f aca="false">SUMIF($D$4:$D$48,$D52,Y$4:Y$48)</f>
        <v>0</v>
      </c>
      <c r="Z52" s="138" t="n">
        <f aca="false">COUNTIF(Z$4:Z$48,$D52)</f>
        <v>0</v>
      </c>
      <c r="AA52" s="549" t="n">
        <f aca="false">SUMIF($D$4:$D$48,$D52,AA$4:AA$48)</f>
        <v>0</v>
      </c>
      <c r="AB52" s="138" t="n">
        <f aca="false">COUNTIF(AB$4:AB$48,$D52)</f>
        <v>0</v>
      </c>
      <c r="AC52" s="549" t="n">
        <f aca="false">SUMIF($D$4:$D$48,$D52,AC$4:AC$48)</f>
        <v>0</v>
      </c>
      <c r="AD52" s="138" t="n">
        <f aca="false">COUNTIF(AD$4:AD$48,$D52)</f>
        <v>0</v>
      </c>
      <c r="AE52" s="549" t="n">
        <f aca="false">SUMIF($D$4:$D$48,$D52,AE$4:AE$48)</f>
        <v>0</v>
      </c>
      <c r="AF52" s="803" t="n">
        <f aca="false">COUNTIF(AF$4:AF$48,$D52)</f>
        <v>0</v>
      </c>
      <c r="AG52" s="803" t="n">
        <f aca="false">SUMIF($D$4:$D$48,$D52,AG$4:AG$48)</f>
        <v>0</v>
      </c>
      <c r="AH52" s="803" t="n">
        <f aca="false">COUNTIF(AH$4:AH$48,$D52)</f>
        <v>0</v>
      </c>
      <c r="AI52" s="803" t="n">
        <f aca="false">SUMIF($D$4:$D$48,$D52,AI$4:AI$48)</f>
        <v>0</v>
      </c>
      <c r="AJ52" s="803" t="n">
        <f aca="false">COUNTIF(AJ$4:AJ$48,$D52)</f>
        <v>0</v>
      </c>
      <c r="AK52" s="803" t="n">
        <f aca="false">SUMIF($D$4:$D$48,$D52,AK$4:AK$48)</f>
        <v>0</v>
      </c>
      <c r="AL52" s="138" t="n">
        <f aca="false">COUNTIF(AL$4:AL$48,$D52)</f>
        <v>0</v>
      </c>
      <c r="AM52" s="549" t="n">
        <f aca="false">SUMIF($D$4:$D$48,$D52,AM$4:AM$48)</f>
        <v>0</v>
      </c>
      <c r="AN52" s="138" t="n">
        <f aca="false">COUNTIF(AN$4:AN$48,$D52)</f>
        <v>0</v>
      </c>
      <c r="AO52" s="549" t="n">
        <f aca="false">SUMIF($D$4:$D$48,$D52,AO$4:AO$48)</f>
        <v>0</v>
      </c>
      <c r="AP52" s="138" t="n">
        <f aca="false">COUNTIF(AP$4:AP$48,$D52)</f>
        <v>0</v>
      </c>
      <c r="AQ52" s="549" t="n">
        <f aca="false">SUMIF($D$4:$D$48,$D52,AQ$4:AQ$48)</f>
        <v>0</v>
      </c>
      <c r="AR52" s="138" t="n">
        <f aca="false">COUNTIF(AR$4:AR$48,$D52)</f>
        <v>0</v>
      </c>
      <c r="AS52" s="549" t="n">
        <f aca="false">SUMIF($D$4:$D$48,$D52,AS$4:AS$48)</f>
        <v>0</v>
      </c>
      <c r="AT52" s="138" t="n">
        <f aca="false">COUNTIF(AT$4:AT$48,$D52)</f>
        <v>0</v>
      </c>
      <c r="AU52" s="549" t="n">
        <f aca="false">SUMIF($D$4:$D$48,$D52,AU$4:AU$48)</f>
        <v>0</v>
      </c>
      <c r="AV52" s="803" t="n">
        <f aca="false">COUNTIF(AV$4:AV$48,$D52)</f>
        <v>0</v>
      </c>
      <c r="AW52" s="803" t="n">
        <f aca="false">SUMIF($D$4:$D$48,$D52,AW$4:AW$48)</f>
        <v>0</v>
      </c>
      <c r="AX52" s="803" t="n">
        <f aca="false">COUNTIF(AX$4:AX$48,$D52)</f>
        <v>0</v>
      </c>
      <c r="AY52" s="803" t="n">
        <f aca="false">SUMIF($D$4:$D$48,$D52,AY$4:AY$48)</f>
        <v>0</v>
      </c>
      <c r="AZ52" s="138" t="n">
        <f aca="false">COUNTIF(AZ$4:AZ$48,$D52)</f>
        <v>0</v>
      </c>
      <c r="BA52" s="549" t="n">
        <f aca="false">SUMIF($D$4:$D$48,$D52,BA$4:BA$48)</f>
        <v>0</v>
      </c>
      <c r="BB52" s="138" t="n">
        <f aca="false">COUNTIF(BB$4:BB$48,$D52)</f>
        <v>0</v>
      </c>
      <c r="BC52" s="549" t="n">
        <f aca="false">SUMIF($D$4:$D$48,$D52,BC$4:BC$48)</f>
        <v>0</v>
      </c>
      <c r="BD52" s="138" t="n">
        <f aca="false">COUNTIF(BD$4:BD$48,$D52)</f>
        <v>0</v>
      </c>
      <c r="BE52" s="549" t="n">
        <f aca="false">SUMIF($D$4:$D$48,$D52,BE$4:BE$48)</f>
        <v>0</v>
      </c>
      <c r="BF52" s="138" t="n">
        <f aca="false">COUNTIF(BF$4:BF$48,$D52)</f>
        <v>0</v>
      </c>
      <c r="BG52" s="549" t="n">
        <f aca="false">SUMIF($D$4:$D$48,$D52,BG$4:BG$48)</f>
        <v>0</v>
      </c>
      <c r="BH52" s="138" t="n">
        <f aca="false">COUNTIF(BH$4:BH$48,$D52)</f>
        <v>0</v>
      </c>
      <c r="BI52" s="549" t="n">
        <f aca="false">SUMIF($D$4:$D$48,$D52,BI$4:BI$48)</f>
        <v>0</v>
      </c>
      <c r="BJ52" s="803" t="n">
        <f aca="false">COUNTIF(BJ$4:BJ$48,$D52)</f>
        <v>0</v>
      </c>
      <c r="BK52" s="803" t="n">
        <f aca="false">SUMIF($D$4:$D$48,$D52,BK$4:BK$48)</f>
        <v>0</v>
      </c>
      <c r="BL52" s="803" t="n">
        <f aca="false">COUNTIF(BL$4:BL$48,$D52)</f>
        <v>0</v>
      </c>
      <c r="BM52" s="803" t="n">
        <f aca="false">SUMIF($D$4:$D$48,$D52,BM$4:BM$48)</f>
        <v>0</v>
      </c>
      <c r="BN52" s="138" t="n">
        <f aca="false">COUNTIF(BN$4:BN$48,$D52)</f>
        <v>0</v>
      </c>
      <c r="BO52" s="549" t="n">
        <f aca="false">SUMIF($D$4:$D$48,$D52,BO$4:BO$48)</f>
        <v>0</v>
      </c>
    </row>
    <row r="53" s="120" customFormat="true" ht="13.8" hidden="false" customHeight="false" outlineLevel="0" collapsed="false">
      <c r="B53" s="4" t="n">
        <v>2</v>
      </c>
      <c r="C53" s="121" t="s">
        <v>4085</v>
      </c>
      <c r="D53" s="121" t="s">
        <v>4025</v>
      </c>
      <c r="E53" s="121"/>
      <c r="F53" s="803" t="n">
        <f aca="false">COUNTIF(F$4:F$48,$D53)</f>
        <v>0</v>
      </c>
      <c r="G53" s="803" t="n">
        <f aca="false">SUMIF($D$4:$D$48,$D53,G$4:G$48)</f>
        <v>0</v>
      </c>
      <c r="H53" s="138" t="n">
        <f aca="false">COUNTIF(H$4:H$48,$D53)</f>
        <v>2</v>
      </c>
      <c r="I53" s="549" t="n">
        <f aca="false">SUMIF($D$4:$D$48,$D53,I$4:I$48)</f>
        <v>0</v>
      </c>
      <c r="J53" s="138" t="n">
        <f aca="false">COUNTIF(J$4:J$48,$D53)</f>
        <v>3</v>
      </c>
      <c r="K53" s="549" t="n">
        <f aca="false">SUMIF($D$4:$D$48,$D53,K$4:K$48)</f>
        <v>0</v>
      </c>
      <c r="L53" s="138" t="n">
        <f aca="false">COUNTIF(L$4:L$48,$D53)</f>
        <v>2</v>
      </c>
      <c r="M53" s="549" t="n">
        <f aca="false">SUMIF($D$4:$D$48,$D53,M$4:M$48)</f>
        <v>0</v>
      </c>
      <c r="N53" s="138" t="n">
        <f aca="false">COUNTIF(N$4:N$48,$D53)</f>
        <v>1</v>
      </c>
      <c r="O53" s="549" t="n">
        <f aca="false">SUMIF($D$4:$D$48,$D53,O$4:O$48)</f>
        <v>0</v>
      </c>
      <c r="P53" s="138" t="n">
        <f aca="false">COUNTIF(P$4:P$48,$D53)</f>
        <v>1</v>
      </c>
      <c r="Q53" s="549" t="n">
        <f aca="false">SUMIF($D$4:$D$48,$D53,Q$4:Q$48)</f>
        <v>0</v>
      </c>
      <c r="R53" s="138" t="n">
        <f aca="false">COUNTIF(R$4:R$48,$D53)</f>
        <v>2</v>
      </c>
      <c r="S53" s="549" t="n">
        <f aca="false">SUMIF($D$4:$D$48,$D53,S$4:S$48)</f>
        <v>0</v>
      </c>
      <c r="T53" s="803" t="n">
        <f aca="false">COUNTIF(T$4:T$48,$D53)</f>
        <v>0</v>
      </c>
      <c r="U53" s="803" t="n">
        <f aca="false">SUMIF($D$4:$D$48,$D53,U$4:U$48)</f>
        <v>0</v>
      </c>
      <c r="V53" s="138" t="n">
        <f aca="false">COUNTIF(V$4:V$48,$D53)</f>
        <v>2</v>
      </c>
      <c r="W53" s="549" t="n">
        <f aca="false">SUMIF($D$4:$D$48,$D53,W$4:W$48)</f>
        <v>0</v>
      </c>
      <c r="X53" s="138" t="n">
        <f aca="false">COUNTIF(X$4:X$48,$D53)</f>
        <v>2</v>
      </c>
      <c r="Y53" s="549" t="n">
        <f aca="false">SUMIF($D$4:$D$48,$D53,Y$4:Y$48)</f>
        <v>0</v>
      </c>
      <c r="Z53" s="138" t="n">
        <f aca="false">COUNTIF(Z$4:Z$48,$D53)</f>
        <v>2</v>
      </c>
      <c r="AA53" s="549" t="n">
        <f aca="false">SUMIF($D$4:$D$48,$D53,AA$4:AA$48)</f>
        <v>0</v>
      </c>
      <c r="AB53" s="138" t="n">
        <f aca="false">COUNTIF(AB$4:AB$48,$D53)</f>
        <v>2</v>
      </c>
      <c r="AC53" s="549" t="n">
        <f aca="false">SUMIF($D$4:$D$48,$D53,AC$4:AC$48)</f>
        <v>0</v>
      </c>
      <c r="AD53" s="138" t="n">
        <f aca="false">COUNTIF(AD$4:AD$48,$D53)</f>
        <v>3</v>
      </c>
      <c r="AE53" s="549" t="n">
        <f aca="false">SUMIF($D$4:$D$48,$D53,AE$4:AE$48)</f>
        <v>0</v>
      </c>
      <c r="AF53" s="803" t="n">
        <f aca="false">COUNTIF(AF$4:AF$48,$D53)</f>
        <v>0</v>
      </c>
      <c r="AG53" s="803" t="n">
        <f aca="false">SUMIF($D$4:$D$48,$D53,AG$4:AG$48)</f>
        <v>0</v>
      </c>
      <c r="AH53" s="803" t="n">
        <f aca="false">COUNTIF(AH$4:AH$48,$D53)</f>
        <v>0</v>
      </c>
      <c r="AI53" s="803" t="n">
        <f aca="false">SUMIF($D$4:$D$48,$D53,AI$4:AI$48)</f>
        <v>0</v>
      </c>
      <c r="AJ53" s="803" t="n">
        <f aca="false">COUNTIF(AJ$4:AJ$48,$D53)</f>
        <v>0</v>
      </c>
      <c r="AK53" s="803" t="n">
        <f aca="false">SUMIF($D$4:$D$48,$D53,AK$4:AK$48)</f>
        <v>0</v>
      </c>
      <c r="AL53" s="138" t="n">
        <f aca="false">COUNTIF(AL$4:AL$48,$D53)</f>
        <v>4</v>
      </c>
      <c r="AM53" s="549" t="n">
        <f aca="false">SUMIF($D$4:$D$48,$D53,AM$4:AM$48)</f>
        <v>0</v>
      </c>
      <c r="AN53" s="138" t="n">
        <f aca="false">COUNTIF(AN$4:AN$48,$D53)</f>
        <v>4</v>
      </c>
      <c r="AO53" s="549" t="n">
        <f aca="false">SUMIF($D$4:$D$48,$D53,AO$4:AO$48)</f>
        <v>0</v>
      </c>
      <c r="AP53" s="138" t="n">
        <f aca="false">COUNTIF(AP$4:AP$48,$D53)</f>
        <v>3</v>
      </c>
      <c r="AQ53" s="549" t="n">
        <f aca="false">SUMIF($D$4:$D$48,$D53,AQ$4:AQ$48)</f>
        <v>0</v>
      </c>
      <c r="AR53" s="138" t="n">
        <f aca="false">COUNTIF(AR$4:AR$48,$D53)</f>
        <v>3</v>
      </c>
      <c r="AS53" s="549" t="n">
        <f aca="false">SUMIF($D$4:$D$48,$D53,AS$4:AS$48)</f>
        <v>0</v>
      </c>
      <c r="AT53" s="138" t="n">
        <f aca="false">COUNTIF(AT$4:AT$48,$D53)</f>
        <v>3</v>
      </c>
      <c r="AU53" s="549" t="n">
        <f aca="false">SUMIF($D$4:$D$48,$D53,AU$4:AU$48)</f>
        <v>0</v>
      </c>
      <c r="AV53" s="803" t="n">
        <f aca="false">COUNTIF(AV$4:AV$48,$D53)</f>
        <v>0</v>
      </c>
      <c r="AW53" s="803" t="n">
        <f aca="false">SUMIF($D$4:$D$48,$D53,AW$4:AW$48)</f>
        <v>0</v>
      </c>
      <c r="AX53" s="803" t="n">
        <f aca="false">COUNTIF(AX$4:AX$48,$D53)</f>
        <v>0</v>
      </c>
      <c r="AY53" s="803" t="n">
        <f aca="false">SUMIF($D$4:$D$48,$D53,AY$4:AY$48)</f>
        <v>0</v>
      </c>
      <c r="AZ53" s="138" t="n">
        <f aca="false">COUNTIF(AZ$4:AZ$48,$D53)</f>
        <v>3</v>
      </c>
      <c r="BA53" s="549" t="n">
        <f aca="false">SUMIF($D$4:$D$48,$D53,BA$4:BA$48)</f>
        <v>0</v>
      </c>
      <c r="BB53" s="138" t="n">
        <f aca="false">COUNTIF(BB$4:BB$48,$D53)</f>
        <v>3</v>
      </c>
      <c r="BC53" s="549" t="n">
        <f aca="false">SUMIF($D$4:$D$48,$D53,BC$4:BC$48)</f>
        <v>0</v>
      </c>
      <c r="BD53" s="138" t="n">
        <f aca="false">COUNTIF(BD$4:BD$48,$D53)</f>
        <v>3</v>
      </c>
      <c r="BE53" s="549" t="n">
        <f aca="false">SUMIF($D$4:$D$48,$D53,BE$4:BE$48)</f>
        <v>0</v>
      </c>
      <c r="BF53" s="138" t="n">
        <f aca="false">COUNTIF(BF$4:BF$48,$D53)</f>
        <v>1</v>
      </c>
      <c r="BG53" s="549" t="n">
        <f aca="false">SUMIF($D$4:$D$48,$D53,BG$4:BG$48)</f>
        <v>0</v>
      </c>
      <c r="BH53" s="138" t="n">
        <f aca="false">COUNTIF(BH$4:BH$48,$D53)</f>
        <v>1</v>
      </c>
      <c r="BI53" s="549" t="n">
        <f aca="false">SUMIF($D$4:$D$48,$D53,BI$4:BI$48)</f>
        <v>0</v>
      </c>
      <c r="BJ53" s="803" t="n">
        <f aca="false">COUNTIF(BJ$4:BJ$48,$D53)</f>
        <v>0</v>
      </c>
      <c r="BK53" s="803" t="n">
        <f aca="false">SUMIF($D$4:$D$48,$D53,BK$4:BK$48)</f>
        <v>0</v>
      </c>
      <c r="BL53" s="803" t="n">
        <f aca="false">COUNTIF(BL$4:BL$48,$D53)</f>
        <v>0</v>
      </c>
      <c r="BM53" s="803" t="n">
        <f aca="false">SUMIF($D$4:$D$48,$D53,BM$4:BM$48)</f>
        <v>0</v>
      </c>
      <c r="BN53" s="138" t="n">
        <f aca="false">COUNTIF(BN$4:BN$48,$D53)</f>
        <v>1</v>
      </c>
      <c r="BO53" s="549" t="n">
        <f aca="false">SUMIF($D$4:$D$48,$D53,BO$4:BO$48)</f>
        <v>0</v>
      </c>
    </row>
    <row r="54" customFormat="false" ht="14.9" hidden="false" customHeight="true" outlineLevel="0" collapsed="false">
      <c r="B54" s="4" t="n">
        <v>3</v>
      </c>
      <c r="C54" s="121" t="s">
        <v>4086</v>
      </c>
      <c r="D54" s="121" t="s">
        <v>4026</v>
      </c>
      <c r="E54" s="121"/>
      <c r="F54" s="803" t="n">
        <f aca="false">COUNTIF(F$4:F$48,$D54)</f>
        <v>0</v>
      </c>
      <c r="G54" s="803" t="e">
        <f aca="false">SUMIF($D$4:$D$48,G$4:G$48,$D54)</f>
        <v>#VALUE!</v>
      </c>
      <c r="H54" s="138" t="n">
        <f aca="false">COUNTIF(H$4:H$48,$D54)</f>
        <v>6</v>
      </c>
      <c r="I54" s="549" t="e">
        <f aca="false">SUMIF($D$4:$D$48,I$4:I$48,$D54)</f>
        <v>#VALUE!</v>
      </c>
      <c r="J54" s="138" t="n">
        <f aca="false">COUNTIF(J$4:J$48,$D54)</f>
        <v>5</v>
      </c>
      <c r="K54" s="549" t="e">
        <f aca="false">SUMIF($D$4:$D$48,K$4:K$48,$D54)</f>
        <v>#VALUE!</v>
      </c>
      <c r="L54" s="138" t="n">
        <f aca="false">COUNTIF(L$4:L$48,$D54)</f>
        <v>6</v>
      </c>
      <c r="M54" s="549" t="e">
        <f aca="false">SUMIF($D$4:$D$48,M$4:M$48,$D54)</f>
        <v>#VALUE!</v>
      </c>
      <c r="N54" s="138" t="n">
        <f aca="false">COUNTIF(N$4:N$48,$D54)</f>
        <v>6</v>
      </c>
      <c r="O54" s="549" t="e">
        <f aca="false">SUMIF($D$4:$D$48,O$4:O$48,$D54)</f>
        <v>#VALUE!</v>
      </c>
      <c r="P54" s="138" t="n">
        <f aca="false">COUNTIF(P$4:P$48,$D54)</f>
        <v>6</v>
      </c>
      <c r="Q54" s="549" t="e">
        <f aca="false">SUMIF($D$4:$D$48,Q$4:Q$48,$D54)</f>
        <v>#VALUE!</v>
      </c>
      <c r="R54" s="138" t="n">
        <f aca="false">COUNTIF(R$4:R$48,$D54)</f>
        <v>6</v>
      </c>
      <c r="S54" s="549" t="e">
        <f aca="false">SUMIF($D$4:$D$48,S$4:S$48,$D54)</f>
        <v>#VALUE!</v>
      </c>
      <c r="T54" s="803" t="n">
        <f aca="false">COUNTIF(T$4:T$48,$D54)</f>
        <v>0</v>
      </c>
      <c r="U54" s="803" t="e">
        <f aca="false">SUMIF($D$4:$D$48,U$4:U$48,$D54)</f>
        <v>#VALUE!</v>
      </c>
      <c r="V54" s="138" t="n">
        <f aca="false">COUNTIF(V$4:V$48,$D54)</f>
        <v>6</v>
      </c>
      <c r="W54" s="549" t="e">
        <f aca="false">SUMIF($D$4:$D$48,W$4:W$48,$D54)</f>
        <v>#VALUE!</v>
      </c>
      <c r="X54" s="138" t="n">
        <f aca="false">COUNTIF(X$4:X$48,$D54)</f>
        <v>6</v>
      </c>
      <c r="Y54" s="549" t="e">
        <f aca="false">SUMIF($D$4:$D$48,Y$4:Y$48,$D54)</f>
        <v>#VALUE!</v>
      </c>
      <c r="Z54" s="138" t="n">
        <f aca="false">COUNTIF(Z$4:Z$48,$D54)</f>
        <v>6</v>
      </c>
      <c r="AA54" s="549" t="e">
        <f aca="false">SUMIF($D$4:$D$48,AA$4:AA$48,$D54)</f>
        <v>#VALUE!</v>
      </c>
      <c r="AB54" s="138" t="n">
        <f aca="false">COUNTIF(AB$4:AB$48,$D54)</f>
        <v>6</v>
      </c>
      <c r="AC54" s="549" t="e">
        <f aca="false">SUMIF($D$4:$D$48,AC$4:AC$48,$D54)</f>
        <v>#VALUE!</v>
      </c>
      <c r="AD54" s="138" t="n">
        <f aca="false">COUNTIF(AD$4:AD$48,$D54)</f>
        <v>6</v>
      </c>
      <c r="AE54" s="549" t="e">
        <f aca="false">SUMIF($D$4:$D$48,AE$4:AE$48,$D54)</f>
        <v>#VALUE!</v>
      </c>
      <c r="AF54" s="803" t="n">
        <f aca="false">COUNTIF(AF$4:AF$48,$D54)</f>
        <v>0</v>
      </c>
      <c r="AG54" s="803" t="e">
        <f aca="false">SUMIF($D$4:$D$48,AG$4:AG$48,$D54)</f>
        <v>#VALUE!</v>
      </c>
      <c r="AH54" s="803" t="n">
        <f aca="false">COUNTIF(AH$4:AH$48,$D54)</f>
        <v>0</v>
      </c>
      <c r="AI54" s="803" t="e">
        <f aca="false">SUMIF($D$4:$D$48,AI$4:AI$48,$D54)</f>
        <v>#VALUE!</v>
      </c>
      <c r="AJ54" s="803" t="n">
        <f aca="false">COUNTIF(AJ$4:AJ$48,$D54)</f>
        <v>0</v>
      </c>
      <c r="AK54" s="803" t="e">
        <f aca="false">SUMIF($D$4:$D$48,AK$4:AK$48,$D54)</f>
        <v>#VALUE!</v>
      </c>
      <c r="AL54" s="138" t="n">
        <f aca="false">COUNTIF(AL$4:AL$48,$D54)</f>
        <v>6</v>
      </c>
      <c r="AM54" s="549" t="e">
        <f aca="false">SUMIF($D$4:$D$48,AM$4:AM$48,$D54)</f>
        <v>#VALUE!</v>
      </c>
      <c r="AN54" s="138" t="n">
        <f aca="false">COUNTIF(AN$4:AN$48,$D54)</f>
        <v>6</v>
      </c>
      <c r="AO54" s="549" t="e">
        <f aca="false">SUMIF($D$4:$D$48,AO$4:AO$48,$D54)</f>
        <v>#VALUE!</v>
      </c>
      <c r="AP54" s="138" t="n">
        <f aca="false">COUNTIF(AP$4:AP$48,$D54)</f>
        <v>6</v>
      </c>
      <c r="AQ54" s="549" t="e">
        <f aca="false">SUMIF($D$4:$D$48,AQ$4:AQ$48,$D54)</f>
        <v>#VALUE!</v>
      </c>
      <c r="AR54" s="138" t="n">
        <f aca="false">COUNTIF(AR$4:AR$48,$D54)</f>
        <v>6</v>
      </c>
      <c r="AS54" s="549" t="e">
        <f aca="false">SUMIF($D$4:$D$48,AS$4:AS$48,$D54)</f>
        <v>#VALUE!</v>
      </c>
      <c r="AT54" s="138" t="n">
        <f aca="false">COUNTIF(AT$4:AT$48,$D54)</f>
        <v>6</v>
      </c>
      <c r="AU54" s="549" t="e">
        <f aca="false">SUMIF($D$4:$D$48,AU$4:AU$48,$D54)</f>
        <v>#VALUE!</v>
      </c>
      <c r="AV54" s="803" t="n">
        <f aca="false">COUNTIF(AV$4:AV$48,$D54)</f>
        <v>0</v>
      </c>
      <c r="AW54" s="803" t="e">
        <f aca="false">SUMIF($D$4:$D$48,AW$4:AW$48,$D54)</f>
        <v>#VALUE!</v>
      </c>
      <c r="AX54" s="803" t="n">
        <f aca="false">COUNTIF(AX$4:AX$48,$D54)</f>
        <v>0</v>
      </c>
      <c r="AY54" s="803" t="e">
        <f aca="false">SUMIF($D$4:$D$48,AY$4:AY$48,$D54)</f>
        <v>#VALUE!</v>
      </c>
      <c r="AZ54" s="138" t="n">
        <f aca="false">COUNTIF(AZ$4:AZ$48,$D54)</f>
        <v>6</v>
      </c>
      <c r="BA54" s="549" t="e">
        <f aca="false">SUMIF($D$4:$D$48,BA$4:BA$48,$D54)</f>
        <v>#VALUE!</v>
      </c>
      <c r="BB54" s="138" t="n">
        <f aca="false">COUNTIF(BB$4:BB$48,$D54)</f>
        <v>6</v>
      </c>
      <c r="BC54" s="549" t="e">
        <f aca="false">SUMIF($D$4:$D$48,BC$4:BC$48,$D54)</f>
        <v>#VALUE!</v>
      </c>
      <c r="BD54" s="138" t="n">
        <f aca="false">COUNTIF(BD$4:BD$48,$D54)</f>
        <v>6</v>
      </c>
      <c r="BE54" s="549" t="e">
        <f aca="false">SUMIF($D$4:$D$48,BE$4:BE$48,$D54)</f>
        <v>#VALUE!</v>
      </c>
      <c r="BF54" s="138" t="n">
        <f aca="false">COUNTIF(BF$4:BF$48,$D54)</f>
        <v>3</v>
      </c>
      <c r="BG54" s="549" t="e">
        <f aca="false">SUMIF($D$4:$D$48,BG$4:BG$48,$D54)</f>
        <v>#VALUE!</v>
      </c>
      <c r="BH54" s="138" t="n">
        <f aca="false">COUNTIF(BH$4:BH$48,$D54)</f>
        <v>3</v>
      </c>
      <c r="BI54" s="549" t="e">
        <f aca="false">SUMIF($D$4:$D$48,BI$4:BI$48,$D54)</f>
        <v>#VALUE!</v>
      </c>
      <c r="BJ54" s="803" t="n">
        <f aca="false">COUNTIF(BJ$4:BJ$48,$D54)</f>
        <v>0</v>
      </c>
      <c r="BK54" s="803" t="e">
        <f aca="false">SUMIF($D$4:$D$48,BK$4:BK$48,$D54)</f>
        <v>#VALUE!</v>
      </c>
      <c r="BL54" s="803" t="n">
        <f aca="false">COUNTIF(BL$4:BL$48,$D54)</f>
        <v>0</v>
      </c>
      <c r="BM54" s="803" t="e">
        <f aca="false">SUMIF($D$4:$D$48,BM$4:BM$48,$D54)</f>
        <v>#VALUE!</v>
      </c>
      <c r="BN54" s="138" t="n">
        <f aca="false">COUNTIF(BN$4:BN$48,$D54)</f>
        <v>3</v>
      </c>
      <c r="BO54" s="549" t="e">
        <f aca="false">SUMIF($D$4:$D$48,BO$4:BO$48,$D54)</f>
        <v>#VALUE!</v>
      </c>
    </row>
    <row r="55" customFormat="false" ht="13.8" hidden="false" customHeight="false" outlineLevel="0" collapsed="false">
      <c r="B55" s="4" t="n">
        <v>4</v>
      </c>
      <c r="C55" s="121" t="s">
        <v>4087</v>
      </c>
      <c r="D55" s="121" t="s">
        <v>4031</v>
      </c>
      <c r="E55" s="121"/>
      <c r="F55" s="803" t="n">
        <f aca="false">COUNTIF(F$4:F$48,$D55)</f>
        <v>0</v>
      </c>
      <c r="G55" s="803" t="e">
        <f aca="false">SUMIF($D$4:$D$48,G$4:G$48,$D55)</f>
        <v>#VALUE!</v>
      </c>
      <c r="H55" s="138" t="n">
        <f aca="false">COUNTIF(H$4:H$48,$D55)</f>
        <v>4</v>
      </c>
      <c r="I55" s="549" t="e">
        <f aca="false">SUMIF($D$4:$D$48,I$4:I$48,$D55)</f>
        <v>#VALUE!</v>
      </c>
      <c r="J55" s="138" t="n">
        <f aca="false">COUNTIF(J$4:J$48,$D55)</f>
        <v>5</v>
      </c>
      <c r="K55" s="549" t="e">
        <f aca="false">SUMIF($D$4:$D$48,K$4:K$48,$D55)</f>
        <v>#VALUE!</v>
      </c>
      <c r="L55" s="138" t="n">
        <f aca="false">COUNTIF(L$4:L$48,$D55)</f>
        <v>4</v>
      </c>
      <c r="M55" s="549" t="e">
        <f aca="false">SUMIF($D$4:$D$48,M$4:M$48,$D55)</f>
        <v>#VALUE!</v>
      </c>
      <c r="N55" s="138" t="n">
        <f aca="false">COUNTIF(N$4:N$48,$D55)</f>
        <v>3</v>
      </c>
      <c r="O55" s="549" t="e">
        <f aca="false">SUMIF($D$4:$D$48,O$4:O$48,$D55)</f>
        <v>#VALUE!</v>
      </c>
      <c r="P55" s="138" t="n">
        <f aca="false">COUNTIF(P$4:P$48,$D55)</f>
        <v>2</v>
      </c>
      <c r="Q55" s="549" t="e">
        <f aca="false">SUMIF($D$4:$D$48,Q$4:Q$48,$D55)</f>
        <v>#VALUE!</v>
      </c>
      <c r="R55" s="138" t="n">
        <f aca="false">COUNTIF(R$4:R$48,$D55)</f>
        <v>3</v>
      </c>
      <c r="S55" s="549" t="e">
        <f aca="false">SUMIF($D$4:$D$48,S$4:S$48,$D55)</f>
        <v>#VALUE!</v>
      </c>
      <c r="T55" s="803" t="n">
        <f aca="false">COUNTIF(T$4:T$48,$D55)</f>
        <v>0</v>
      </c>
      <c r="U55" s="803" t="e">
        <f aca="false">SUMIF($D$4:$D$48,U$4:U$48,$D55)</f>
        <v>#VALUE!</v>
      </c>
      <c r="V55" s="138" t="n">
        <f aca="false">COUNTIF(V$4:V$48,$D55)</f>
        <v>3</v>
      </c>
      <c r="W55" s="549" t="e">
        <f aca="false">SUMIF($D$4:$D$48,W$4:W$48,$D55)</f>
        <v>#VALUE!</v>
      </c>
      <c r="X55" s="138" t="n">
        <f aca="false">COUNTIF(X$4:X$48,$D55)</f>
        <v>3</v>
      </c>
      <c r="Y55" s="549" t="e">
        <f aca="false">SUMIF($D$4:$D$48,Y$4:Y$48,$D55)</f>
        <v>#VALUE!</v>
      </c>
      <c r="Z55" s="138" t="n">
        <f aca="false">COUNTIF(Z$4:Z$48,$D55)</f>
        <v>3</v>
      </c>
      <c r="AA55" s="549" t="e">
        <f aca="false">SUMIF($D$4:$D$48,AA$4:AA$48,$D55)</f>
        <v>#VALUE!</v>
      </c>
      <c r="AB55" s="138" t="n">
        <f aca="false">COUNTIF(AB$4:AB$48,$D55)</f>
        <v>3</v>
      </c>
      <c r="AC55" s="549" t="e">
        <f aca="false">SUMIF($D$4:$D$48,AC$4:AC$48,$D55)</f>
        <v>#VALUE!</v>
      </c>
      <c r="AD55" s="138" t="n">
        <f aca="false">COUNTIF(AD$4:AD$48,$D55)</f>
        <v>3</v>
      </c>
      <c r="AE55" s="549" t="e">
        <f aca="false">SUMIF($D$4:$D$48,AE$4:AE$48,$D55)</f>
        <v>#VALUE!</v>
      </c>
      <c r="AF55" s="803" t="n">
        <f aca="false">COUNTIF(AF$4:AF$48,$D55)</f>
        <v>0</v>
      </c>
      <c r="AG55" s="803" t="e">
        <f aca="false">SUMIF($D$4:$D$48,AG$4:AG$48,$D55)</f>
        <v>#VALUE!</v>
      </c>
      <c r="AH55" s="803" t="n">
        <f aca="false">COUNTIF(AH$4:AH$48,$D55)</f>
        <v>0</v>
      </c>
      <c r="AI55" s="803" t="e">
        <f aca="false">SUMIF($D$4:$D$48,AI$4:AI$48,$D55)</f>
        <v>#VALUE!</v>
      </c>
      <c r="AJ55" s="803" t="n">
        <f aca="false">COUNTIF(AJ$4:AJ$48,$D55)</f>
        <v>0</v>
      </c>
      <c r="AK55" s="803" t="e">
        <f aca="false">SUMIF($D$4:$D$48,AK$4:AK$48,$D55)</f>
        <v>#VALUE!</v>
      </c>
      <c r="AL55" s="138" t="n">
        <f aca="false">COUNTIF(AL$4:AL$48,$D55)</f>
        <v>3</v>
      </c>
      <c r="AM55" s="549" t="e">
        <f aca="false">SUMIF($D$4:$D$48,AM$4:AM$48,$D55)</f>
        <v>#VALUE!</v>
      </c>
      <c r="AN55" s="138" t="n">
        <f aca="false">COUNTIF(AN$4:AN$48,$D55)</f>
        <v>3</v>
      </c>
      <c r="AO55" s="549" t="e">
        <f aca="false">SUMIF($D$4:$D$48,AO$4:AO$48,$D55)</f>
        <v>#VALUE!</v>
      </c>
      <c r="AP55" s="138" t="n">
        <f aca="false">COUNTIF(AP$4:AP$48,$D55)</f>
        <v>3</v>
      </c>
      <c r="AQ55" s="549" t="e">
        <f aca="false">SUMIF($D$4:$D$48,AQ$4:AQ$48,$D55)</f>
        <v>#VALUE!</v>
      </c>
      <c r="AR55" s="138" t="n">
        <f aca="false">COUNTIF(AR$4:AR$48,$D55)</f>
        <v>3</v>
      </c>
      <c r="AS55" s="549" t="e">
        <f aca="false">SUMIF($D$4:$D$48,AS$4:AS$48,$D55)</f>
        <v>#VALUE!</v>
      </c>
      <c r="AT55" s="138" t="n">
        <f aca="false">COUNTIF(AT$4:AT$48,$D55)</f>
        <v>3</v>
      </c>
      <c r="AU55" s="549" t="e">
        <f aca="false">SUMIF($D$4:$D$48,AU$4:AU$48,$D55)</f>
        <v>#VALUE!</v>
      </c>
      <c r="AV55" s="803" t="n">
        <f aca="false">COUNTIF(AV$4:AV$48,$D55)</f>
        <v>0</v>
      </c>
      <c r="AW55" s="803" t="e">
        <f aca="false">SUMIF($D$4:$D$48,AW$4:AW$48,$D55)</f>
        <v>#VALUE!</v>
      </c>
      <c r="AX55" s="803" t="n">
        <f aca="false">COUNTIF(AX$4:AX$48,$D55)</f>
        <v>0</v>
      </c>
      <c r="AY55" s="803" t="e">
        <f aca="false">SUMIF($D$4:$D$48,AY$4:AY$48,$D55)</f>
        <v>#VALUE!</v>
      </c>
      <c r="AZ55" s="138" t="n">
        <f aca="false">COUNTIF(AZ$4:AZ$48,$D55)</f>
        <v>3</v>
      </c>
      <c r="BA55" s="549" t="e">
        <f aca="false">SUMIF($D$4:$D$48,BA$4:BA$48,$D55)</f>
        <v>#VALUE!</v>
      </c>
      <c r="BB55" s="138" t="n">
        <f aca="false">COUNTIF(BB$4:BB$48,$D55)</f>
        <v>3</v>
      </c>
      <c r="BC55" s="549" t="e">
        <f aca="false">SUMIF($D$4:$D$48,BC$4:BC$48,$D55)</f>
        <v>#VALUE!</v>
      </c>
      <c r="BD55" s="138" t="n">
        <f aca="false">COUNTIF(BD$4:BD$48,$D55)</f>
        <v>3</v>
      </c>
      <c r="BE55" s="549" t="e">
        <f aca="false">SUMIF($D$4:$D$48,BE$4:BE$48,$D55)</f>
        <v>#VALUE!</v>
      </c>
      <c r="BF55" s="138" t="n">
        <f aca="false">COUNTIF(BF$4:BF$48,$D55)</f>
        <v>3</v>
      </c>
      <c r="BG55" s="549" t="e">
        <f aca="false">SUMIF($D$4:$D$48,BG$4:BG$48,$D55)</f>
        <v>#VALUE!</v>
      </c>
      <c r="BH55" s="138" t="n">
        <f aca="false">COUNTIF(BH$4:BH$48,$D55)</f>
        <v>3</v>
      </c>
      <c r="BI55" s="549" t="e">
        <f aca="false">SUMIF($D$4:$D$48,BI$4:BI$48,$D55)</f>
        <v>#VALUE!</v>
      </c>
      <c r="BJ55" s="803" t="n">
        <f aca="false">COUNTIF(BJ$4:BJ$48,$D55)</f>
        <v>0</v>
      </c>
      <c r="BK55" s="803" t="e">
        <f aca="false">SUMIF($D$4:$D$48,BK$4:BK$48,$D55)</f>
        <v>#VALUE!</v>
      </c>
      <c r="BL55" s="803" t="n">
        <f aca="false">COUNTIF(BL$4:BL$48,$D55)</f>
        <v>0</v>
      </c>
      <c r="BM55" s="803" t="e">
        <f aca="false">SUMIF($D$4:$D$48,BM$4:BM$48,$D55)</f>
        <v>#VALUE!</v>
      </c>
      <c r="BN55" s="138" t="n">
        <f aca="false">COUNTIF(BN$4:BN$48,$D55)</f>
        <v>3</v>
      </c>
      <c r="BO55" s="549" t="e">
        <f aca="false">SUMIF($D$4:$D$48,BO$4:BO$48,$D55)</f>
        <v>#VALUE!</v>
      </c>
    </row>
    <row r="56" customFormat="false" ht="13.8" hidden="false" customHeight="false" outlineLevel="0" collapsed="false">
      <c r="B56" s="4" t="n">
        <v>5</v>
      </c>
      <c r="C56" s="121" t="s">
        <v>4088</v>
      </c>
      <c r="D56" s="121" t="s">
        <v>4034</v>
      </c>
      <c r="E56" s="121"/>
      <c r="F56" s="803" t="n">
        <f aca="false">COUNTIF(F$4:F$48,$D56)</f>
        <v>0</v>
      </c>
      <c r="G56" s="803" t="e">
        <f aca="false">SUMIF($D$4:$D$48,G$4:G$48,$D56)</f>
        <v>#VALUE!</v>
      </c>
      <c r="H56" s="138" t="n">
        <f aca="false">COUNTIF(H$4:H$48,$D56)</f>
        <v>1</v>
      </c>
      <c r="I56" s="549" t="e">
        <f aca="false">SUMIF($D$4:$D$48,I$4:I$48,$D56)</f>
        <v>#VALUE!</v>
      </c>
      <c r="J56" s="138" t="n">
        <f aca="false">COUNTIF(J$4:J$48,$D56)</f>
        <v>1</v>
      </c>
      <c r="K56" s="549" t="e">
        <f aca="false">SUMIF($D$4:$D$48,K$4:K$48,$D56)</f>
        <v>#VALUE!</v>
      </c>
      <c r="L56" s="138" t="n">
        <f aca="false">COUNTIF(L$4:L$48,$D56)</f>
        <v>1</v>
      </c>
      <c r="M56" s="549" t="e">
        <f aca="false">SUMIF($D$4:$D$48,M$4:M$48,$D56)</f>
        <v>#VALUE!</v>
      </c>
      <c r="N56" s="138" t="n">
        <f aca="false">COUNTIF(N$4:N$48,$D56)</f>
        <v>2</v>
      </c>
      <c r="O56" s="549" t="e">
        <f aca="false">SUMIF($D$4:$D$48,O$4:O$48,$D56)</f>
        <v>#VALUE!</v>
      </c>
      <c r="P56" s="138" t="n">
        <f aca="false">COUNTIF(P$4:P$48,$D56)</f>
        <v>2</v>
      </c>
      <c r="Q56" s="549" t="e">
        <f aca="false">SUMIF($D$4:$D$48,Q$4:Q$48,$D56)</f>
        <v>#VALUE!</v>
      </c>
      <c r="R56" s="138" t="n">
        <f aca="false">COUNTIF(R$4:R$48,$D56)</f>
        <v>1</v>
      </c>
      <c r="S56" s="549" t="e">
        <f aca="false">SUMIF($D$4:$D$48,S$4:S$48,$D56)</f>
        <v>#VALUE!</v>
      </c>
      <c r="T56" s="803" t="n">
        <f aca="false">COUNTIF(T$4:T$48,$D56)</f>
        <v>0</v>
      </c>
      <c r="U56" s="803" t="e">
        <f aca="false">SUMIF($D$4:$D$48,U$4:U$48,$D56)</f>
        <v>#VALUE!</v>
      </c>
      <c r="V56" s="138" t="n">
        <f aca="false">COUNTIF(V$4:V$48,$D56)</f>
        <v>2</v>
      </c>
      <c r="W56" s="549" t="e">
        <f aca="false">SUMIF($D$4:$D$48,W$4:W$48,$D56)</f>
        <v>#VALUE!</v>
      </c>
      <c r="X56" s="138" t="n">
        <f aca="false">COUNTIF(X$4:X$48,$D56)</f>
        <v>2</v>
      </c>
      <c r="Y56" s="549" t="e">
        <f aca="false">SUMIF($D$4:$D$48,Y$4:Y$48,$D56)</f>
        <v>#VALUE!</v>
      </c>
      <c r="Z56" s="138" t="n">
        <f aca="false">COUNTIF(Z$4:Z$48,$D56)</f>
        <v>2</v>
      </c>
      <c r="AA56" s="549" t="e">
        <f aca="false">SUMIF($D$4:$D$48,AA$4:AA$48,$D56)</f>
        <v>#VALUE!</v>
      </c>
      <c r="AB56" s="138" t="n">
        <f aca="false">COUNTIF(AB$4:AB$48,$D56)</f>
        <v>2</v>
      </c>
      <c r="AC56" s="549" t="e">
        <f aca="false">SUMIF($D$4:$D$48,AC$4:AC$48,$D56)</f>
        <v>#VALUE!</v>
      </c>
      <c r="AD56" s="138" t="n">
        <f aca="false">COUNTIF(AD$4:AD$48,$D56)</f>
        <v>1</v>
      </c>
      <c r="AE56" s="549" t="e">
        <f aca="false">SUMIF($D$4:$D$48,AE$4:AE$48,$D56)</f>
        <v>#VALUE!</v>
      </c>
      <c r="AF56" s="803" t="n">
        <f aca="false">COUNTIF(AF$4:AF$48,$D56)</f>
        <v>0</v>
      </c>
      <c r="AG56" s="803" t="e">
        <f aca="false">SUMIF($D$4:$D$48,AG$4:AG$48,$D56)</f>
        <v>#VALUE!</v>
      </c>
      <c r="AH56" s="803" t="n">
        <f aca="false">COUNTIF(AH$4:AH$48,$D56)</f>
        <v>0</v>
      </c>
      <c r="AI56" s="803" t="e">
        <f aca="false">SUMIF($D$4:$D$48,AI$4:AI$48,$D56)</f>
        <v>#VALUE!</v>
      </c>
      <c r="AJ56" s="803" t="n">
        <f aca="false">COUNTIF(AJ$4:AJ$48,$D56)</f>
        <v>0</v>
      </c>
      <c r="AK56" s="803" t="e">
        <f aca="false">SUMIF($D$4:$D$48,AK$4:AK$48,$D56)</f>
        <v>#VALUE!</v>
      </c>
      <c r="AL56" s="138" t="n">
        <f aca="false">COUNTIF(AL$4:AL$48,$D56)</f>
        <v>3</v>
      </c>
      <c r="AM56" s="549" t="e">
        <f aca="false">SUMIF($D$4:$D$48,AM$4:AM$48,$D56)</f>
        <v>#VALUE!</v>
      </c>
      <c r="AN56" s="138" t="n">
        <f aca="false">COUNTIF(AN$4:AN$48,$D56)</f>
        <v>2</v>
      </c>
      <c r="AO56" s="549" t="e">
        <f aca="false">SUMIF($D$4:$D$48,AO$4:AO$48,$D56)</f>
        <v>#VALUE!</v>
      </c>
      <c r="AP56" s="138" t="n">
        <f aca="false">COUNTIF(AP$4:AP$48,$D56)</f>
        <v>2</v>
      </c>
      <c r="AQ56" s="549" t="e">
        <f aca="false">SUMIF($D$4:$D$48,AQ$4:AQ$48,$D56)</f>
        <v>#VALUE!</v>
      </c>
      <c r="AR56" s="138" t="n">
        <f aca="false">COUNTIF(AR$4:AR$48,$D56)</f>
        <v>2</v>
      </c>
      <c r="AS56" s="549" t="e">
        <f aca="false">SUMIF($D$4:$D$48,AS$4:AS$48,$D56)</f>
        <v>#VALUE!</v>
      </c>
      <c r="AT56" s="138" t="n">
        <f aca="false">COUNTIF(AT$4:AT$48,$D56)</f>
        <v>2</v>
      </c>
      <c r="AU56" s="549" t="e">
        <f aca="false">SUMIF($D$4:$D$48,AU$4:AU$48,$D56)</f>
        <v>#VALUE!</v>
      </c>
      <c r="AV56" s="803" t="n">
        <f aca="false">COUNTIF(AV$4:AV$48,$D56)</f>
        <v>0</v>
      </c>
      <c r="AW56" s="803" t="e">
        <f aca="false">SUMIF($D$4:$D$48,AW$4:AW$48,$D56)</f>
        <v>#VALUE!</v>
      </c>
      <c r="AX56" s="803" t="n">
        <f aca="false">COUNTIF(AX$4:AX$48,$D56)</f>
        <v>0</v>
      </c>
      <c r="AY56" s="803" t="e">
        <f aca="false">SUMIF($D$4:$D$48,AY$4:AY$48,$D56)</f>
        <v>#VALUE!</v>
      </c>
      <c r="AZ56" s="138" t="n">
        <f aca="false">COUNTIF(AZ$4:AZ$48,$D56)</f>
        <v>2</v>
      </c>
      <c r="BA56" s="549" t="e">
        <f aca="false">SUMIF($D$4:$D$48,BA$4:BA$48,$D56)</f>
        <v>#VALUE!</v>
      </c>
      <c r="BB56" s="138" t="n">
        <f aca="false">COUNTIF(BB$4:BB$48,$D56)</f>
        <v>2</v>
      </c>
      <c r="BC56" s="549" t="e">
        <f aca="false">SUMIF($D$4:$D$48,BC$4:BC$48,$D56)</f>
        <v>#VALUE!</v>
      </c>
      <c r="BD56" s="138" t="n">
        <f aca="false">COUNTIF(BD$4:BD$48,$D56)</f>
        <v>2</v>
      </c>
      <c r="BE56" s="549" t="e">
        <f aca="false">SUMIF($D$4:$D$48,BE$4:BE$48,$D56)</f>
        <v>#VALUE!</v>
      </c>
      <c r="BF56" s="138" t="n">
        <f aca="false">COUNTIF(BF$4:BF$48,$D56)</f>
        <v>2</v>
      </c>
      <c r="BG56" s="549" t="e">
        <f aca="false">SUMIF($D$4:$D$48,BG$4:BG$48,$D56)</f>
        <v>#VALUE!</v>
      </c>
      <c r="BH56" s="138" t="n">
        <f aca="false">COUNTIF(BH$4:BH$48,$D56)</f>
        <v>2</v>
      </c>
      <c r="BI56" s="549" t="e">
        <f aca="false">SUMIF($D$4:$D$48,BI$4:BI$48,$D56)</f>
        <v>#VALUE!</v>
      </c>
      <c r="BJ56" s="803" t="n">
        <f aca="false">COUNTIF(BJ$4:BJ$48,$D56)</f>
        <v>0</v>
      </c>
      <c r="BK56" s="803" t="e">
        <f aca="false">SUMIF($D$4:$D$48,BK$4:BK$48,$D56)</f>
        <v>#VALUE!</v>
      </c>
      <c r="BL56" s="803" t="n">
        <f aca="false">COUNTIF(BL$4:BL$48,$D56)</f>
        <v>0</v>
      </c>
      <c r="BM56" s="803" t="e">
        <f aca="false">SUMIF($D$4:$D$48,BM$4:BM$48,$D56)</f>
        <v>#VALUE!</v>
      </c>
      <c r="BN56" s="138" t="n">
        <f aca="false">COUNTIF(BN$4:BN$48,$D56)</f>
        <v>2</v>
      </c>
      <c r="BO56" s="549" t="e">
        <f aca="false">SUMIF($D$4:$D$48,BO$4:BO$48,$D56)</f>
        <v>#VALUE!</v>
      </c>
    </row>
    <row r="57" customFormat="false" ht="13.8" hidden="false" customHeight="false" outlineLevel="0" collapsed="false">
      <c r="B57" s="4" t="n">
        <v>6</v>
      </c>
      <c r="C57" s="121" t="s">
        <v>4089</v>
      </c>
      <c r="D57" s="121" t="s">
        <v>4090</v>
      </c>
      <c r="E57" s="121"/>
      <c r="F57" s="803" t="n">
        <f aca="false">COUNTIF(F$4:F$48,$D57)</f>
        <v>0</v>
      </c>
      <c r="G57" s="803" t="e">
        <f aca="false">SUMIF($D$4:$D$48,G$4:G$48,$D57)</f>
        <v>#VALUE!</v>
      </c>
      <c r="H57" s="138" t="n">
        <f aca="false">COUNTIF(H$4:H$48,$D57)</f>
        <v>0</v>
      </c>
      <c r="I57" s="549" t="e">
        <f aca="false">SUMIF($D$4:$D$48,I$4:I$48,$D57)</f>
        <v>#VALUE!</v>
      </c>
      <c r="J57" s="138" t="n">
        <f aca="false">COUNTIF(J$4:J$48,$D57)</f>
        <v>0</v>
      </c>
      <c r="K57" s="549" t="e">
        <f aca="false">SUMIF($D$4:$D$48,K$4:K$48,$D57)</f>
        <v>#VALUE!</v>
      </c>
      <c r="L57" s="138" t="n">
        <f aca="false">COUNTIF(L$4:L$48,$D57)</f>
        <v>0</v>
      </c>
      <c r="M57" s="549" t="e">
        <f aca="false">SUMIF($D$4:$D$48,M$4:M$48,$D57)</f>
        <v>#VALUE!</v>
      </c>
      <c r="N57" s="138" t="n">
        <f aca="false">COUNTIF(N$4:N$48,$D57)</f>
        <v>0</v>
      </c>
      <c r="O57" s="549" t="e">
        <f aca="false">SUMIF($D$4:$D$48,O$4:O$48,$D57)</f>
        <v>#VALUE!</v>
      </c>
      <c r="P57" s="138" t="n">
        <f aca="false">COUNTIF(P$4:P$48,$D57)</f>
        <v>0</v>
      </c>
      <c r="Q57" s="549" t="e">
        <f aca="false">SUMIF($D$4:$D$48,Q$4:Q$48,$D57)</f>
        <v>#VALUE!</v>
      </c>
      <c r="R57" s="138" t="n">
        <f aca="false">COUNTIF(R$4:R$48,$D57)</f>
        <v>0</v>
      </c>
      <c r="S57" s="549" t="e">
        <f aca="false">SUMIF($D$4:$D$48,S$4:S$48,$D57)</f>
        <v>#VALUE!</v>
      </c>
      <c r="T57" s="803" t="n">
        <f aca="false">COUNTIF(T$4:T$48,$D57)</f>
        <v>0</v>
      </c>
      <c r="U57" s="803" t="e">
        <f aca="false">SUMIF($D$4:$D$48,U$4:U$48,$D57)</f>
        <v>#VALUE!</v>
      </c>
      <c r="V57" s="138" t="n">
        <f aca="false">COUNTIF(V$4:V$48,$D57)</f>
        <v>0</v>
      </c>
      <c r="W57" s="549" t="e">
        <f aca="false">SUMIF($D$4:$D$48,W$4:W$48,$D57)</f>
        <v>#VALUE!</v>
      </c>
      <c r="X57" s="138" t="n">
        <f aca="false">COUNTIF(X$4:X$48,$D57)</f>
        <v>0</v>
      </c>
      <c r="Y57" s="549" t="e">
        <f aca="false">SUMIF($D$4:$D$48,Y$4:Y$48,$D57)</f>
        <v>#VALUE!</v>
      </c>
      <c r="Z57" s="138" t="n">
        <f aca="false">COUNTIF(Z$4:Z$48,$D57)</f>
        <v>0</v>
      </c>
      <c r="AA57" s="549" t="e">
        <f aca="false">SUMIF($D$4:$D$48,AA$4:AA$48,$D57)</f>
        <v>#VALUE!</v>
      </c>
      <c r="AB57" s="138" t="n">
        <f aca="false">COUNTIF(AB$4:AB$48,$D57)</f>
        <v>0</v>
      </c>
      <c r="AC57" s="549" t="e">
        <f aca="false">SUMIF($D$4:$D$48,AC$4:AC$48,$D57)</f>
        <v>#VALUE!</v>
      </c>
      <c r="AD57" s="138" t="n">
        <f aca="false">COUNTIF(AD$4:AD$48,$D57)</f>
        <v>0</v>
      </c>
      <c r="AE57" s="549" t="e">
        <f aca="false">SUMIF($D$4:$D$48,AE$4:AE$48,$D57)</f>
        <v>#VALUE!</v>
      </c>
      <c r="AF57" s="803" t="n">
        <f aca="false">COUNTIF(AF$4:AF$48,$D57)</f>
        <v>0</v>
      </c>
      <c r="AG57" s="803" t="e">
        <f aca="false">SUMIF($D$4:$D$48,AG$4:AG$48,$D57)</f>
        <v>#VALUE!</v>
      </c>
      <c r="AH57" s="803" t="n">
        <f aca="false">COUNTIF(AH$4:AH$48,$D57)</f>
        <v>0</v>
      </c>
      <c r="AI57" s="803" t="e">
        <f aca="false">SUMIF($D$4:$D$48,AI$4:AI$48,$D57)</f>
        <v>#VALUE!</v>
      </c>
      <c r="AJ57" s="803" t="n">
        <f aca="false">COUNTIF(AJ$4:AJ$48,$D57)</f>
        <v>0</v>
      </c>
      <c r="AK57" s="803" t="e">
        <f aca="false">SUMIF($D$4:$D$48,AK$4:AK$48,$D57)</f>
        <v>#VALUE!</v>
      </c>
      <c r="AL57" s="138" t="n">
        <f aca="false">COUNTIF(AL$4:AL$48,$D57)</f>
        <v>0</v>
      </c>
      <c r="AM57" s="549" t="e">
        <f aca="false">SUMIF($D$4:$D$48,AM$4:AM$48,$D57)</f>
        <v>#VALUE!</v>
      </c>
      <c r="AN57" s="138" t="n">
        <f aca="false">COUNTIF(AN$4:AN$48,$D57)</f>
        <v>0</v>
      </c>
      <c r="AO57" s="549" t="e">
        <f aca="false">SUMIF($D$4:$D$48,AO$4:AO$48,$D57)</f>
        <v>#VALUE!</v>
      </c>
      <c r="AP57" s="138" t="n">
        <f aca="false">COUNTIF(AP$4:AP$48,$D57)</f>
        <v>0</v>
      </c>
      <c r="AQ57" s="549" t="e">
        <f aca="false">SUMIF($D$4:$D$48,AQ$4:AQ$48,$D57)</f>
        <v>#VALUE!</v>
      </c>
      <c r="AR57" s="138" t="n">
        <f aca="false">COUNTIF(AR$4:AR$48,$D57)</f>
        <v>0</v>
      </c>
      <c r="AS57" s="549" t="e">
        <f aca="false">SUMIF($D$4:$D$48,AS$4:AS$48,$D57)</f>
        <v>#VALUE!</v>
      </c>
      <c r="AT57" s="138" t="n">
        <f aca="false">COUNTIF(AT$4:AT$48,$D57)</f>
        <v>0</v>
      </c>
      <c r="AU57" s="549" t="e">
        <f aca="false">SUMIF($D$4:$D$48,AU$4:AU$48,$D57)</f>
        <v>#VALUE!</v>
      </c>
      <c r="AV57" s="803" t="n">
        <f aca="false">COUNTIF(AV$4:AV$48,$D57)</f>
        <v>0</v>
      </c>
      <c r="AW57" s="803" t="e">
        <f aca="false">SUMIF($D$4:$D$48,AW$4:AW$48,$D57)</f>
        <v>#VALUE!</v>
      </c>
      <c r="AX57" s="803" t="n">
        <f aca="false">COUNTIF(AX$4:AX$48,$D57)</f>
        <v>0</v>
      </c>
      <c r="AY57" s="803" t="e">
        <f aca="false">SUMIF($D$4:$D$48,AY$4:AY$48,$D57)</f>
        <v>#VALUE!</v>
      </c>
      <c r="AZ57" s="138" t="n">
        <f aca="false">COUNTIF(AZ$4:AZ$48,$D57)</f>
        <v>0</v>
      </c>
      <c r="BA57" s="549" t="e">
        <f aca="false">SUMIF($D$4:$D$48,BA$4:BA$48,$D57)</f>
        <v>#VALUE!</v>
      </c>
      <c r="BB57" s="138" t="n">
        <f aca="false">COUNTIF(BB$4:BB$48,$D57)</f>
        <v>0</v>
      </c>
      <c r="BC57" s="549" t="e">
        <f aca="false">SUMIF($D$4:$D$48,BC$4:BC$48,$D57)</f>
        <v>#VALUE!</v>
      </c>
      <c r="BD57" s="138" t="n">
        <f aca="false">COUNTIF(BD$4:BD$48,$D57)</f>
        <v>0</v>
      </c>
      <c r="BE57" s="549" t="e">
        <f aca="false">SUMIF($D$4:$D$48,BE$4:BE$48,$D57)</f>
        <v>#VALUE!</v>
      </c>
      <c r="BF57" s="138" t="n">
        <f aca="false">COUNTIF(BF$4:BF$48,$D57)</f>
        <v>0</v>
      </c>
      <c r="BG57" s="549" t="e">
        <f aca="false">SUMIF($D$4:$D$48,BG$4:BG$48,$D57)</f>
        <v>#VALUE!</v>
      </c>
      <c r="BH57" s="138" t="n">
        <f aca="false">COUNTIF(BH$4:BH$48,$D57)</f>
        <v>0</v>
      </c>
      <c r="BI57" s="549" t="e">
        <f aca="false">SUMIF($D$4:$D$48,BI$4:BI$48,$D57)</f>
        <v>#VALUE!</v>
      </c>
      <c r="BJ57" s="803" t="n">
        <f aca="false">COUNTIF(BJ$4:BJ$48,$D57)</f>
        <v>0</v>
      </c>
      <c r="BK57" s="803" t="e">
        <f aca="false">SUMIF($D$4:$D$48,BK$4:BK$48,$D57)</f>
        <v>#VALUE!</v>
      </c>
      <c r="BL57" s="803" t="n">
        <f aca="false">COUNTIF(BL$4:BL$48,$D57)</f>
        <v>0</v>
      </c>
      <c r="BM57" s="803" t="e">
        <f aca="false">SUMIF($D$4:$D$48,BM$4:BM$48,$D57)</f>
        <v>#VALUE!</v>
      </c>
      <c r="BN57" s="138" t="n">
        <f aca="false">COUNTIF(BN$4:BN$48,$D57)</f>
        <v>0</v>
      </c>
      <c r="BO57" s="549" t="e">
        <f aca="false">SUMIF($D$4:$D$48,BO$4:BO$48,$D57)</f>
        <v>#VALUE!</v>
      </c>
    </row>
    <row r="58" customFormat="false" ht="13.8" hidden="false" customHeight="false" outlineLevel="0" collapsed="false">
      <c r="B58" s="4" t="n">
        <v>7</v>
      </c>
      <c r="C58" s="121" t="s">
        <v>4091</v>
      </c>
      <c r="D58" s="121" t="s">
        <v>4041</v>
      </c>
      <c r="E58" s="121"/>
      <c r="F58" s="803" t="n">
        <f aca="false">COUNTIF(F$4:F$48,$D58)</f>
        <v>0</v>
      </c>
      <c r="G58" s="803" t="e">
        <f aca="false">SUMIF($D$4:$D$48,G$4:G$48,$D58)</f>
        <v>#VALUE!</v>
      </c>
      <c r="H58" s="138" t="n">
        <f aca="false">COUNTIF(H$4:H$48,$D58)</f>
        <v>0</v>
      </c>
      <c r="I58" s="549" t="e">
        <f aca="false">SUMIF($D$4:$D$48,I$4:I$48,$D58)</f>
        <v>#VALUE!</v>
      </c>
      <c r="J58" s="138" t="n">
        <f aca="false">COUNTIF(J$4:J$48,$D58)</f>
        <v>0</v>
      </c>
      <c r="K58" s="549" t="e">
        <f aca="false">SUMIF($D$4:$D$48,K$4:K$48,$D58)</f>
        <v>#VALUE!</v>
      </c>
      <c r="L58" s="138" t="n">
        <f aca="false">COUNTIF(L$4:L$48,$D58)</f>
        <v>0</v>
      </c>
      <c r="M58" s="549" t="e">
        <f aca="false">SUMIF($D$4:$D$48,M$4:M$48,$D58)</f>
        <v>#VALUE!</v>
      </c>
      <c r="N58" s="138" t="n">
        <f aca="false">COUNTIF(N$4:N$48,$D58)</f>
        <v>0</v>
      </c>
      <c r="O58" s="549" t="e">
        <f aca="false">SUMIF($D$4:$D$48,O$4:O$48,$D58)</f>
        <v>#VALUE!</v>
      </c>
      <c r="P58" s="138" t="n">
        <f aca="false">COUNTIF(P$4:P$48,$D58)</f>
        <v>0</v>
      </c>
      <c r="Q58" s="549" t="e">
        <f aca="false">SUMIF($D$4:$D$48,Q$4:Q$48,$D58)</f>
        <v>#VALUE!</v>
      </c>
      <c r="R58" s="138" t="n">
        <f aca="false">COUNTIF(R$4:R$48,$D58)</f>
        <v>0</v>
      </c>
      <c r="S58" s="549" t="e">
        <f aca="false">SUMIF($D$4:$D$48,S$4:S$48,$D58)</f>
        <v>#VALUE!</v>
      </c>
      <c r="T58" s="803" t="n">
        <f aca="false">COUNTIF(T$4:T$48,$D58)</f>
        <v>0</v>
      </c>
      <c r="U58" s="803" t="e">
        <f aca="false">SUMIF($D$4:$D$48,U$4:U$48,$D58)</f>
        <v>#VALUE!</v>
      </c>
      <c r="V58" s="138" t="n">
        <f aca="false">COUNTIF(V$4:V$48,$D58)</f>
        <v>0</v>
      </c>
      <c r="W58" s="549" t="e">
        <f aca="false">SUMIF($D$4:$D$48,W$4:W$48,$D58)</f>
        <v>#VALUE!</v>
      </c>
      <c r="X58" s="138" t="n">
        <f aca="false">COUNTIF(X$4:X$48,$D58)</f>
        <v>0</v>
      </c>
      <c r="Y58" s="549" t="e">
        <f aca="false">SUMIF($D$4:$D$48,Y$4:Y$48,$D58)</f>
        <v>#VALUE!</v>
      </c>
      <c r="Z58" s="138" t="n">
        <f aca="false">COUNTIF(Z$4:Z$48,$D58)</f>
        <v>0</v>
      </c>
      <c r="AA58" s="549" t="e">
        <f aca="false">SUMIF($D$4:$D$48,AA$4:AA$48,$D58)</f>
        <v>#VALUE!</v>
      </c>
      <c r="AB58" s="138" t="n">
        <f aca="false">COUNTIF(AB$4:AB$48,$D58)</f>
        <v>0</v>
      </c>
      <c r="AC58" s="549" t="e">
        <f aca="false">SUMIF($D$4:$D$48,AC$4:AC$48,$D58)</f>
        <v>#VALUE!</v>
      </c>
      <c r="AD58" s="138" t="n">
        <f aca="false">COUNTIF(AD$4:AD$48,$D58)</f>
        <v>0</v>
      </c>
      <c r="AE58" s="549" t="e">
        <f aca="false">SUMIF($D$4:$D$48,AE$4:AE$48,$D58)</f>
        <v>#VALUE!</v>
      </c>
      <c r="AF58" s="803" t="n">
        <f aca="false">COUNTIF(AF$4:AF$48,$D58)</f>
        <v>0</v>
      </c>
      <c r="AG58" s="803" t="e">
        <f aca="false">SUMIF($D$4:$D$48,AG$4:AG$48,$D58)</f>
        <v>#VALUE!</v>
      </c>
      <c r="AH58" s="803" t="n">
        <f aca="false">COUNTIF(AH$4:AH$48,$D58)</f>
        <v>0</v>
      </c>
      <c r="AI58" s="803" t="e">
        <f aca="false">SUMIF($D$4:$D$48,AI$4:AI$48,$D58)</f>
        <v>#VALUE!</v>
      </c>
      <c r="AJ58" s="803" t="n">
        <f aca="false">COUNTIF(AJ$4:AJ$48,$D58)</f>
        <v>0</v>
      </c>
      <c r="AK58" s="803" t="e">
        <f aca="false">SUMIF($D$4:$D$48,AK$4:AK$48,$D58)</f>
        <v>#VALUE!</v>
      </c>
      <c r="AL58" s="138" t="n">
        <f aca="false">COUNTIF(AL$4:AL$48,$D58)</f>
        <v>0</v>
      </c>
      <c r="AM58" s="549" t="e">
        <f aca="false">SUMIF($D$4:$D$48,AM$4:AM$48,$D58)</f>
        <v>#VALUE!</v>
      </c>
      <c r="AN58" s="138" t="n">
        <f aca="false">COUNTIF(AN$4:AN$48,$D58)</f>
        <v>1</v>
      </c>
      <c r="AO58" s="549" t="e">
        <f aca="false">SUMIF($D$4:$D$48,AO$4:AO$48,$D58)</f>
        <v>#VALUE!</v>
      </c>
      <c r="AP58" s="138" t="n">
        <f aca="false">COUNTIF(AP$4:AP$48,$D58)</f>
        <v>1</v>
      </c>
      <c r="AQ58" s="549" t="e">
        <f aca="false">SUMIF($D$4:$D$48,AQ$4:AQ$48,$D58)</f>
        <v>#VALUE!</v>
      </c>
      <c r="AR58" s="138" t="n">
        <f aca="false">COUNTIF(AR$4:AR$48,$D58)</f>
        <v>1</v>
      </c>
      <c r="AS58" s="549" t="e">
        <f aca="false">SUMIF($D$4:$D$48,AS$4:AS$48,$D58)</f>
        <v>#VALUE!</v>
      </c>
      <c r="AT58" s="138" t="n">
        <f aca="false">COUNTIF(AT$4:AT$48,$D58)</f>
        <v>1</v>
      </c>
      <c r="AU58" s="549" t="e">
        <f aca="false">SUMIF($D$4:$D$48,AU$4:AU$48,$D58)</f>
        <v>#VALUE!</v>
      </c>
      <c r="AV58" s="803" t="n">
        <f aca="false">COUNTIF(AV$4:AV$48,$D58)</f>
        <v>0</v>
      </c>
      <c r="AW58" s="803" t="e">
        <f aca="false">SUMIF($D$4:$D$48,AW$4:AW$48,$D58)</f>
        <v>#VALUE!</v>
      </c>
      <c r="AX58" s="803" t="n">
        <f aca="false">COUNTIF(AX$4:AX$48,$D58)</f>
        <v>0</v>
      </c>
      <c r="AY58" s="803" t="e">
        <f aca="false">SUMIF($D$4:$D$48,AY$4:AY$48,$D58)</f>
        <v>#VALUE!</v>
      </c>
      <c r="AZ58" s="138" t="n">
        <f aca="false">COUNTIF(AZ$4:AZ$48,$D58)</f>
        <v>1</v>
      </c>
      <c r="BA58" s="549" t="e">
        <f aca="false">SUMIF($D$4:$D$48,BA$4:BA$48,$D58)</f>
        <v>#VALUE!</v>
      </c>
      <c r="BB58" s="138" t="n">
        <f aca="false">COUNTIF(BB$4:BB$48,$D58)</f>
        <v>1</v>
      </c>
      <c r="BC58" s="549" t="e">
        <f aca="false">SUMIF($D$4:$D$48,BC$4:BC$48,$D58)</f>
        <v>#VALUE!</v>
      </c>
      <c r="BD58" s="138" t="n">
        <f aca="false">COUNTIF(BD$4:BD$48,$D58)</f>
        <v>1</v>
      </c>
      <c r="BE58" s="549" t="e">
        <f aca="false">SUMIF($D$4:$D$48,BE$4:BE$48,$D58)</f>
        <v>#VALUE!</v>
      </c>
      <c r="BF58" s="138" t="n">
        <f aca="false">COUNTIF(BF$4:BF$48,$D58)</f>
        <v>1</v>
      </c>
      <c r="BG58" s="549" t="e">
        <f aca="false">SUMIF($D$4:$D$48,BG$4:BG$48,$D58)</f>
        <v>#VALUE!</v>
      </c>
      <c r="BH58" s="138" t="n">
        <f aca="false">COUNTIF(BH$4:BH$48,$D58)</f>
        <v>1</v>
      </c>
      <c r="BI58" s="549" t="e">
        <f aca="false">SUMIF($D$4:$D$48,BI$4:BI$48,$D58)</f>
        <v>#VALUE!</v>
      </c>
      <c r="BJ58" s="803" t="n">
        <f aca="false">COUNTIF(BJ$4:BJ$48,$D58)</f>
        <v>0</v>
      </c>
      <c r="BK58" s="803" t="e">
        <f aca="false">SUMIF($D$4:$D$48,BK$4:BK$48,$D58)</f>
        <v>#VALUE!</v>
      </c>
      <c r="BL58" s="803" t="n">
        <f aca="false">COUNTIF(BL$4:BL$48,$D58)</f>
        <v>0</v>
      </c>
      <c r="BM58" s="803" t="e">
        <f aca="false">SUMIF($D$4:$D$48,BM$4:BM$48,$D58)</f>
        <v>#VALUE!</v>
      </c>
      <c r="BN58" s="138" t="n">
        <f aca="false">COUNTIF(BN$4:BN$48,$D58)</f>
        <v>1</v>
      </c>
      <c r="BO58" s="549" t="e">
        <f aca="false">SUMIF($D$4:$D$48,BO$4:BO$48,$D58)</f>
        <v>#VALUE!</v>
      </c>
    </row>
    <row r="59" customFormat="false" ht="13.8" hidden="false" customHeight="false" outlineLevel="0" collapsed="false">
      <c r="B59" s="4" t="n">
        <v>8</v>
      </c>
      <c r="C59" s="121" t="s">
        <v>2509</v>
      </c>
      <c r="D59" s="121" t="s">
        <v>4045</v>
      </c>
      <c r="E59" s="121"/>
      <c r="F59" s="803" t="n">
        <f aca="false">COUNTIF(F$4:F$48,$D59)</f>
        <v>0</v>
      </c>
      <c r="G59" s="803" t="e">
        <f aca="false">SUMIF($D$4:$D$48,G$4:G$48,$D59)</f>
        <v>#VALUE!</v>
      </c>
      <c r="H59" s="138" t="n">
        <f aca="false">COUNTIF(H$4:H$48,$D59)</f>
        <v>0</v>
      </c>
      <c r="I59" s="549" t="e">
        <f aca="false">SUMIF($D$4:$D$48,I$4:I$48,$D59)</f>
        <v>#VALUE!</v>
      </c>
      <c r="J59" s="138" t="n">
        <f aca="false">COUNTIF(J$4:J$48,$D59)</f>
        <v>1</v>
      </c>
      <c r="K59" s="549" t="e">
        <f aca="false">SUMIF($D$4:$D$48,K$4:K$48,$D59)</f>
        <v>#VALUE!</v>
      </c>
      <c r="L59" s="138" t="n">
        <f aca="false">COUNTIF(L$4:L$48,$D59)</f>
        <v>2</v>
      </c>
      <c r="M59" s="549" t="e">
        <f aca="false">SUMIF($D$4:$D$48,M$4:M$48,$D59)</f>
        <v>#VALUE!</v>
      </c>
      <c r="N59" s="138" t="n">
        <f aca="false">COUNTIF(N$4:N$48,$D59)</f>
        <v>3</v>
      </c>
      <c r="O59" s="549" t="e">
        <f aca="false">SUMIF($D$4:$D$48,O$4:O$48,$D59)</f>
        <v>#VALUE!</v>
      </c>
      <c r="P59" s="138" t="n">
        <f aca="false">COUNTIF(P$4:P$48,$D59)</f>
        <v>3</v>
      </c>
      <c r="Q59" s="549" t="e">
        <f aca="false">SUMIF($D$4:$D$48,Q$4:Q$48,$D59)</f>
        <v>#VALUE!</v>
      </c>
      <c r="R59" s="138" t="n">
        <f aca="false">COUNTIF(R$4:R$48,$D59)</f>
        <v>3</v>
      </c>
      <c r="S59" s="549" t="e">
        <f aca="false">SUMIF($D$4:$D$48,S$4:S$48,$D59)</f>
        <v>#VALUE!</v>
      </c>
      <c r="T59" s="803" t="n">
        <f aca="false">COUNTIF(T$4:T$48,$D59)</f>
        <v>0</v>
      </c>
      <c r="U59" s="803" t="e">
        <f aca="false">SUMIF($D$4:$D$48,U$4:U$48,$D59)</f>
        <v>#VALUE!</v>
      </c>
      <c r="V59" s="138" t="n">
        <f aca="false">COUNTIF(V$4:V$48,$D59)</f>
        <v>3</v>
      </c>
      <c r="W59" s="549" t="e">
        <f aca="false">SUMIF($D$4:$D$48,W$4:W$48,$D59)</f>
        <v>#VALUE!</v>
      </c>
      <c r="X59" s="138" t="n">
        <f aca="false">COUNTIF(X$4:X$48,$D59)</f>
        <v>3</v>
      </c>
      <c r="Y59" s="549" t="e">
        <f aca="false">SUMIF($D$4:$D$48,Y$4:Y$48,$D59)</f>
        <v>#VALUE!</v>
      </c>
      <c r="Z59" s="138" t="n">
        <f aca="false">COUNTIF(Z$4:Z$48,$D59)</f>
        <v>3</v>
      </c>
      <c r="AA59" s="549" t="e">
        <f aca="false">SUMIF($D$4:$D$48,AA$4:AA$48,$D59)</f>
        <v>#VALUE!</v>
      </c>
      <c r="AB59" s="138" t="n">
        <f aca="false">COUNTIF(AB$4:AB$48,$D59)</f>
        <v>2</v>
      </c>
      <c r="AC59" s="549" t="e">
        <f aca="false">SUMIF($D$4:$D$48,AC$4:AC$48,$D59)</f>
        <v>#VALUE!</v>
      </c>
      <c r="AD59" s="138" t="n">
        <f aca="false">COUNTIF(AD$4:AD$48,$D59)</f>
        <v>2</v>
      </c>
      <c r="AE59" s="549" t="e">
        <f aca="false">SUMIF($D$4:$D$48,AE$4:AE$48,$D59)</f>
        <v>#VALUE!</v>
      </c>
      <c r="AF59" s="803" t="n">
        <f aca="false">COUNTIF(AF$4:AF$48,$D59)</f>
        <v>0</v>
      </c>
      <c r="AG59" s="803" t="e">
        <f aca="false">SUMIF($D$4:$D$48,AG$4:AG$48,$D59)</f>
        <v>#VALUE!</v>
      </c>
      <c r="AH59" s="803" t="n">
        <f aca="false">COUNTIF(AH$4:AH$48,$D59)</f>
        <v>0</v>
      </c>
      <c r="AI59" s="803" t="e">
        <f aca="false">SUMIF($D$4:$D$48,AI$4:AI$48,$D59)</f>
        <v>#VALUE!</v>
      </c>
      <c r="AJ59" s="803" t="n">
        <f aca="false">COUNTIF(AJ$4:AJ$48,$D59)</f>
        <v>0</v>
      </c>
      <c r="AK59" s="803" t="e">
        <f aca="false">SUMIF($D$4:$D$48,AK$4:AK$48,$D59)</f>
        <v>#VALUE!</v>
      </c>
      <c r="AL59" s="138" t="n">
        <f aca="false">COUNTIF(AL$4:AL$48,$D59)</f>
        <v>2</v>
      </c>
      <c r="AM59" s="549" t="e">
        <f aca="false">SUMIF($D$4:$D$48,AM$4:AM$48,$D59)</f>
        <v>#VALUE!</v>
      </c>
      <c r="AN59" s="138" t="n">
        <f aca="false">COUNTIF(AN$4:AN$48,$D59)</f>
        <v>2</v>
      </c>
      <c r="AO59" s="549" t="e">
        <f aca="false">SUMIF($D$4:$D$48,AO$4:AO$48,$D59)</f>
        <v>#VALUE!</v>
      </c>
      <c r="AP59" s="138" t="n">
        <f aca="false">COUNTIF(AP$4:AP$48,$D59)</f>
        <v>2</v>
      </c>
      <c r="AQ59" s="549" t="e">
        <f aca="false">SUMIF($D$4:$D$48,AQ$4:AQ$48,$D59)</f>
        <v>#VALUE!</v>
      </c>
      <c r="AR59" s="138" t="n">
        <f aca="false">COUNTIF(AR$4:AR$48,$D59)</f>
        <v>2</v>
      </c>
      <c r="AS59" s="549" t="e">
        <f aca="false">SUMIF($D$4:$D$48,AS$4:AS$48,$D59)</f>
        <v>#VALUE!</v>
      </c>
      <c r="AT59" s="138" t="n">
        <f aca="false">COUNTIF(AT$4:AT$48,$D59)</f>
        <v>2</v>
      </c>
      <c r="AU59" s="549" t="e">
        <f aca="false">SUMIF($D$4:$D$48,AU$4:AU$48,$D59)</f>
        <v>#VALUE!</v>
      </c>
      <c r="AV59" s="803" t="n">
        <f aca="false">COUNTIF(AV$4:AV$48,$D59)</f>
        <v>0</v>
      </c>
      <c r="AW59" s="803" t="e">
        <f aca="false">SUMIF($D$4:$D$48,AW$4:AW$48,$D59)</f>
        <v>#VALUE!</v>
      </c>
      <c r="AX59" s="803" t="n">
        <f aca="false">COUNTIF(AX$4:AX$48,$D59)</f>
        <v>0</v>
      </c>
      <c r="AY59" s="803" t="e">
        <f aca="false">SUMIF($D$4:$D$48,AY$4:AY$48,$D59)</f>
        <v>#VALUE!</v>
      </c>
      <c r="AZ59" s="138" t="n">
        <f aca="false">COUNTIF(AZ$4:AZ$48,$D59)</f>
        <v>2</v>
      </c>
      <c r="BA59" s="549" t="e">
        <f aca="false">SUMIF($D$4:$D$48,BA$4:BA$48,$D59)</f>
        <v>#VALUE!</v>
      </c>
      <c r="BB59" s="138" t="n">
        <f aca="false">COUNTIF(BB$4:BB$48,$D59)</f>
        <v>2</v>
      </c>
      <c r="BC59" s="549" t="e">
        <f aca="false">SUMIF($D$4:$D$48,BC$4:BC$48,$D59)</f>
        <v>#VALUE!</v>
      </c>
      <c r="BD59" s="138" t="n">
        <f aca="false">COUNTIF(BD$4:BD$48,$D59)</f>
        <v>2</v>
      </c>
      <c r="BE59" s="549" t="e">
        <f aca="false">SUMIF($D$4:$D$48,BE$4:BE$48,$D59)</f>
        <v>#VALUE!</v>
      </c>
      <c r="BF59" s="138" t="n">
        <f aca="false">COUNTIF(BF$4:BF$48,$D59)</f>
        <v>2</v>
      </c>
      <c r="BG59" s="549" t="e">
        <f aca="false">SUMIF($D$4:$D$48,BG$4:BG$48,$D59)</f>
        <v>#VALUE!</v>
      </c>
      <c r="BH59" s="138" t="n">
        <f aca="false">COUNTIF(BH$4:BH$48,$D59)</f>
        <v>2</v>
      </c>
      <c r="BI59" s="549" t="e">
        <f aca="false">SUMIF($D$4:$D$48,BI$4:BI$48,$D59)</f>
        <v>#VALUE!</v>
      </c>
      <c r="BJ59" s="803" t="n">
        <f aca="false">COUNTIF(BJ$4:BJ$48,$D59)</f>
        <v>0</v>
      </c>
      <c r="BK59" s="803" t="e">
        <f aca="false">SUMIF($D$4:$D$48,BK$4:BK$48,$D59)</f>
        <v>#VALUE!</v>
      </c>
      <c r="BL59" s="803" t="n">
        <f aca="false">COUNTIF(BL$4:BL$48,$D59)</f>
        <v>0</v>
      </c>
      <c r="BM59" s="803" t="e">
        <f aca="false">SUMIF($D$4:$D$48,BM$4:BM$48,$D59)</f>
        <v>#VALUE!</v>
      </c>
      <c r="BN59" s="138" t="n">
        <f aca="false">COUNTIF(BN$4:BN$48,$D59)</f>
        <v>2</v>
      </c>
      <c r="BO59" s="549" t="e">
        <f aca="false">SUMIF($D$4:$D$48,BO$4:BO$48,$D59)</f>
        <v>#VALUE!</v>
      </c>
    </row>
    <row r="60" customFormat="false" ht="13.8" hidden="false" customHeight="false" outlineLevel="0" collapsed="false">
      <c r="B60" s="4" t="n">
        <v>9</v>
      </c>
      <c r="C60" s="121" t="s">
        <v>4092</v>
      </c>
      <c r="D60" s="121" t="s">
        <v>4093</v>
      </c>
      <c r="E60" s="121"/>
      <c r="F60" s="803" t="n">
        <f aca="false">COUNTIF(F$4:F$48,$D60)</f>
        <v>0</v>
      </c>
      <c r="G60" s="803" t="e">
        <f aca="false">SUMIF($D$4:$D$48,G$4:G$48,$D60)</f>
        <v>#VALUE!</v>
      </c>
      <c r="H60" s="138" t="n">
        <f aca="false">COUNTIF(H$4:H$48,$D60)</f>
        <v>0</v>
      </c>
      <c r="I60" s="549" t="e">
        <f aca="false">SUMIF($D$4:$D$48,I$4:I$48,$D60)</f>
        <v>#VALUE!</v>
      </c>
      <c r="J60" s="138" t="n">
        <f aca="false">COUNTIF(J$4:J$48,$D60)</f>
        <v>0</v>
      </c>
      <c r="K60" s="549" t="e">
        <f aca="false">SUMIF($D$4:$D$48,K$4:K$48,$D60)</f>
        <v>#VALUE!</v>
      </c>
      <c r="L60" s="138" t="n">
        <f aca="false">COUNTIF(L$4:L$48,$D60)</f>
        <v>0</v>
      </c>
      <c r="M60" s="549" t="e">
        <f aca="false">SUMIF($D$4:$D$48,M$4:M$48,$D60)</f>
        <v>#VALUE!</v>
      </c>
      <c r="N60" s="138" t="n">
        <f aca="false">COUNTIF(N$4:N$48,$D60)</f>
        <v>0</v>
      </c>
      <c r="O60" s="549" t="e">
        <f aca="false">SUMIF($D$4:$D$48,O$4:O$48,$D60)</f>
        <v>#VALUE!</v>
      </c>
      <c r="P60" s="138" t="n">
        <f aca="false">COUNTIF(P$4:P$48,$D60)</f>
        <v>0</v>
      </c>
      <c r="Q60" s="549" t="e">
        <f aca="false">SUMIF($D$4:$D$48,Q$4:Q$48,$D60)</f>
        <v>#VALUE!</v>
      </c>
      <c r="R60" s="138" t="n">
        <f aca="false">COUNTIF(R$4:R$48,$D60)</f>
        <v>0</v>
      </c>
      <c r="S60" s="549" t="e">
        <f aca="false">SUMIF($D$4:$D$48,S$4:S$48,$D60)</f>
        <v>#VALUE!</v>
      </c>
      <c r="T60" s="803" t="n">
        <f aca="false">COUNTIF(T$4:T$48,$D60)</f>
        <v>0</v>
      </c>
      <c r="U60" s="803" t="e">
        <f aca="false">SUMIF($D$4:$D$48,U$4:U$48,$D60)</f>
        <v>#VALUE!</v>
      </c>
      <c r="V60" s="138" t="n">
        <f aca="false">COUNTIF(V$4:V$48,$D60)</f>
        <v>0</v>
      </c>
      <c r="W60" s="549" t="e">
        <f aca="false">SUMIF($D$4:$D$48,W$4:W$48,$D60)</f>
        <v>#VALUE!</v>
      </c>
      <c r="X60" s="138" t="n">
        <f aca="false">COUNTIF(X$4:X$48,$D60)</f>
        <v>0</v>
      </c>
      <c r="Y60" s="549" t="e">
        <f aca="false">SUMIF($D$4:$D$48,Y$4:Y$48,$D60)</f>
        <v>#VALUE!</v>
      </c>
      <c r="Z60" s="138" t="n">
        <f aca="false">COUNTIF(Z$4:Z$48,$D60)</f>
        <v>0</v>
      </c>
      <c r="AA60" s="549" t="e">
        <f aca="false">SUMIF($D$4:$D$48,AA$4:AA$48,$D60)</f>
        <v>#VALUE!</v>
      </c>
      <c r="AB60" s="138" t="n">
        <f aca="false">COUNTIF(AB$4:AB$48,$D60)</f>
        <v>0</v>
      </c>
      <c r="AC60" s="549" t="e">
        <f aca="false">SUMIF($D$4:$D$48,AC$4:AC$48,$D60)</f>
        <v>#VALUE!</v>
      </c>
      <c r="AD60" s="138" t="n">
        <f aca="false">COUNTIF(AD$4:AD$48,$D60)</f>
        <v>0</v>
      </c>
      <c r="AE60" s="549" t="e">
        <f aca="false">SUMIF($D$4:$D$48,AE$4:AE$48,$D60)</f>
        <v>#VALUE!</v>
      </c>
      <c r="AF60" s="803" t="n">
        <f aca="false">COUNTIF(AF$4:AF$48,$D60)</f>
        <v>0</v>
      </c>
      <c r="AG60" s="803" t="e">
        <f aca="false">SUMIF($D$4:$D$48,AG$4:AG$48,$D60)</f>
        <v>#VALUE!</v>
      </c>
      <c r="AH60" s="803" t="n">
        <f aca="false">COUNTIF(AH$4:AH$48,$D60)</f>
        <v>0</v>
      </c>
      <c r="AI60" s="803" t="e">
        <f aca="false">SUMIF($D$4:$D$48,AI$4:AI$48,$D60)</f>
        <v>#VALUE!</v>
      </c>
      <c r="AJ60" s="803" t="n">
        <f aca="false">COUNTIF(AJ$4:AJ$48,$D60)</f>
        <v>0</v>
      </c>
      <c r="AK60" s="803" t="e">
        <f aca="false">SUMIF($D$4:$D$48,AK$4:AK$48,$D60)</f>
        <v>#VALUE!</v>
      </c>
      <c r="AL60" s="138" t="n">
        <f aca="false">COUNTIF(AL$4:AL$48,$D60)</f>
        <v>0</v>
      </c>
      <c r="AM60" s="549" t="e">
        <f aca="false">SUMIF($D$4:$D$48,AM$4:AM$48,$D60)</f>
        <v>#VALUE!</v>
      </c>
      <c r="AN60" s="138" t="n">
        <f aca="false">COUNTIF(AN$4:AN$48,$D60)</f>
        <v>0</v>
      </c>
      <c r="AO60" s="549" t="e">
        <f aca="false">SUMIF($D$4:$D$48,AO$4:AO$48,$D60)</f>
        <v>#VALUE!</v>
      </c>
      <c r="AP60" s="138" t="n">
        <f aca="false">COUNTIF(AP$4:AP$48,$D60)</f>
        <v>0</v>
      </c>
      <c r="AQ60" s="549" t="e">
        <f aca="false">SUMIF($D$4:$D$48,AQ$4:AQ$48,$D60)</f>
        <v>#VALUE!</v>
      </c>
      <c r="AR60" s="138" t="n">
        <f aca="false">COUNTIF(AR$4:AR$48,$D60)</f>
        <v>0</v>
      </c>
      <c r="AS60" s="549" t="e">
        <f aca="false">SUMIF($D$4:$D$48,AS$4:AS$48,$D60)</f>
        <v>#VALUE!</v>
      </c>
      <c r="AT60" s="138" t="n">
        <f aca="false">COUNTIF(AT$4:AT$48,$D60)</f>
        <v>0</v>
      </c>
      <c r="AU60" s="549" t="e">
        <f aca="false">SUMIF($D$4:$D$48,AU$4:AU$48,$D60)</f>
        <v>#VALUE!</v>
      </c>
      <c r="AV60" s="803" t="n">
        <f aca="false">COUNTIF(AV$4:AV$48,$D60)</f>
        <v>0</v>
      </c>
      <c r="AW60" s="803" t="e">
        <f aca="false">SUMIF($D$4:$D$48,AW$4:AW$48,$D60)</f>
        <v>#VALUE!</v>
      </c>
      <c r="AX60" s="803" t="n">
        <f aca="false">COUNTIF(AX$4:AX$48,$D60)</f>
        <v>0</v>
      </c>
      <c r="AY60" s="803" t="e">
        <f aca="false">SUMIF($D$4:$D$48,AY$4:AY$48,$D60)</f>
        <v>#VALUE!</v>
      </c>
      <c r="AZ60" s="138" t="n">
        <f aca="false">COUNTIF(AZ$4:AZ$48,$D60)</f>
        <v>0</v>
      </c>
      <c r="BA60" s="549" t="e">
        <f aca="false">SUMIF($D$4:$D$48,BA$4:BA$48,$D60)</f>
        <v>#VALUE!</v>
      </c>
      <c r="BB60" s="138" t="n">
        <f aca="false">COUNTIF(BB$4:BB$48,$D60)</f>
        <v>0</v>
      </c>
      <c r="BC60" s="549" t="e">
        <f aca="false">SUMIF($D$4:$D$48,BC$4:BC$48,$D60)</f>
        <v>#VALUE!</v>
      </c>
      <c r="BD60" s="138" t="n">
        <f aca="false">COUNTIF(BD$4:BD$48,$D60)</f>
        <v>0</v>
      </c>
      <c r="BE60" s="549" t="e">
        <f aca="false">SUMIF($D$4:$D$48,BE$4:BE$48,$D60)</f>
        <v>#VALUE!</v>
      </c>
      <c r="BF60" s="138" t="n">
        <f aca="false">COUNTIF(BF$4:BF$48,$D60)</f>
        <v>0</v>
      </c>
      <c r="BG60" s="549" t="e">
        <f aca="false">SUMIF($D$4:$D$48,BG$4:BG$48,$D60)</f>
        <v>#VALUE!</v>
      </c>
      <c r="BH60" s="138" t="n">
        <f aca="false">COUNTIF(BH$4:BH$48,$D60)</f>
        <v>0</v>
      </c>
      <c r="BI60" s="549" t="e">
        <f aca="false">SUMIF($D$4:$D$48,BI$4:BI$48,$D60)</f>
        <v>#VALUE!</v>
      </c>
      <c r="BJ60" s="803" t="n">
        <f aca="false">COUNTIF(BJ$4:BJ$48,$D60)</f>
        <v>0</v>
      </c>
      <c r="BK60" s="803" t="e">
        <f aca="false">SUMIF($D$4:$D$48,BK$4:BK$48,$D60)</f>
        <v>#VALUE!</v>
      </c>
      <c r="BL60" s="803" t="n">
        <f aca="false">COUNTIF(BL$4:BL$48,$D60)</f>
        <v>0</v>
      </c>
      <c r="BM60" s="803" t="e">
        <f aca="false">SUMIF($D$4:$D$48,BM$4:BM$48,$D60)</f>
        <v>#VALUE!</v>
      </c>
      <c r="BN60" s="138" t="n">
        <f aca="false">COUNTIF(BN$4:BN$48,$D60)</f>
        <v>0</v>
      </c>
      <c r="BO60" s="549" t="e">
        <f aca="false">SUMIF($D$4:$D$48,BO$4:BO$48,$D60)</f>
        <v>#VALUE!</v>
      </c>
    </row>
    <row r="61" customFormat="false" ht="13.8" hidden="false" customHeight="false" outlineLevel="0" collapsed="false">
      <c r="B61" s="4" t="n">
        <v>10</v>
      </c>
      <c r="C61" s="121" t="s">
        <v>4094</v>
      </c>
      <c r="D61" s="121" t="s">
        <v>4056</v>
      </c>
      <c r="E61" s="121"/>
      <c r="F61" s="803" t="n">
        <f aca="false">COUNTIF(F$4:F$48,$D61)</f>
        <v>0</v>
      </c>
      <c r="G61" s="803" t="e">
        <f aca="false">SUMIF($D$4:$D$48,G$4:G$48,$D61)</f>
        <v>#VALUE!</v>
      </c>
      <c r="H61" s="138" t="n">
        <f aca="false">COUNTIF(H$4:H$48,$D61)</f>
        <v>16</v>
      </c>
      <c r="I61" s="549" t="e">
        <f aca="false">SUMIF($D$4:$D$48,I$4:I$48,$D61)</f>
        <v>#VALUE!</v>
      </c>
      <c r="J61" s="138" t="n">
        <f aca="false">COUNTIF(J$4:J$48,$D61)</f>
        <v>15</v>
      </c>
      <c r="K61" s="549" t="e">
        <f aca="false">SUMIF($D$4:$D$48,K$4:K$48,$D61)</f>
        <v>#VALUE!</v>
      </c>
      <c r="L61" s="138" t="n">
        <f aca="false">COUNTIF(L$4:L$48,$D61)</f>
        <v>14</v>
      </c>
      <c r="M61" s="549" t="e">
        <f aca="false">SUMIF($D$4:$D$48,M$4:M$48,$D61)</f>
        <v>#VALUE!</v>
      </c>
      <c r="N61" s="138" t="n">
        <f aca="false">COUNTIF(N$4:N$48,$D61)</f>
        <v>14</v>
      </c>
      <c r="O61" s="549" t="e">
        <f aca="false">SUMIF($D$4:$D$48,O$4:O$48,$D61)</f>
        <v>#VALUE!</v>
      </c>
      <c r="P61" s="138" t="n">
        <f aca="false">COUNTIF(P$4:P$48,$D61)</f>
        <v>16</v>
      </c>
      <c r="Q61" s="549" t="e">
        <f aca="false">SUMIF($D$4:$D$48,Q$4:Q$48,$D61)</f>
        <v>#VALUE!</v>
      </c>
      <c r="R61" s="138" t="n">
        <f aca="false">COUNTIF(R$4:R$48,$D61)</f>
        <v>17</v>
      </c>
      <c r="S61" s="549" t="e">
        <f aca="false">SUMIF($D$4:$D$48,S$4:S$48,$D61)</f>
        <v>#VALUE!</v>
      </c>
      <c r="T61" s="803" t="n">
        <f aca="false">COUNTIF(T$4:T$48,$D61)</f>
        <v>0</v>
      </c>
      <c r="U61" s="803" t="e">
        <f aca="false">SUMIF($D$4:$D$48,U$4:U$48,$D61)</f>
        <v>#VALUE!</v>
      </c>
      <c r="V61" s="138" t="n">
        <f aca="false">COUNTIF(V$4:V$48,$D61)</f>
        <v>18</v>
      </c>
      <c r="W61" s="549" t="e">
        <f aca="false">SUMIF($D$4:$D$48,W$4:W$48,$D61)</f>
        <v>#VALUE!</v>
      </c>
      <c r="X61" s="138" t="n">
        <f aca="false">COUNTIF(X$4:X$48,$D61)</f>
        <v>19</v>
      </c>
      <c r="Y61" s="549" t="e">
        <f aca="false">SUMIF($D$4:$D$48,Y$4:Y$48,$D61)</f>
        <v>#VALUE!</v>
      </c>
      <c r="Z61" s="138" t="n">
        <f aca="false">COUNTIF(Z$4:Z$48,$D61)</f>
        <v>18</v>
      </c>
      <c r="AA61" s="549" t="e">
        <f aca="false">SUMIF($D$4:$D$48,AA$4:AA$48,$D61)</f>
        <v>#VALUE!</v>
      </c>
      <c r="AB61" s="138" t="n">
        <f aca="false">COUNTIF(AB$4:AB$48,$D61)</f>
        <v>18</v>
      </c>
      <c r="AC61" s="549" t="e">
        <f aca="false">SUMIF($D$4:$D$48,AC$4:AC$48,$D61)</f>
        <v>#VALUE!</v>
      </c>
      <c r="AD61" s="138" t="n">
        <f aca="false">COUNTIF(AD$4:AD$48,$D61)</f>
        <v>18</v>
      </c>
      <c r="AE61" s="549" t="e">
        <f aca="false">SUMIF($D$4:$D$48,AE$4:AE$48,$D61)</f>
        <v>#VALUE!</v>
      </c>
      <c r="AF61" s="803" t="n">
        <f aca="false">COUNTIF(AF$4:AF$48,$D61)</f>
        <v>0</v>
      </c>
      <c r="AG61" s="803" t="e">
        <f aca="false">SUMIF($D$4:$D$48,AG$4:AG$48,$D61)</f>
        <v>#VALUE!</v>
      </c>
      <c r="AH61" s="803" t="n">
        <f aca="false">COUNTIF(AH$4:AH$48,$D61)</f>
        <v>0</v>
      </c>
      <c r="AI61" s="803" t="e">
        <f aca="false">SUMIF($D$4:$D$48,AI$4:AI$48,$D61)</f>
        <v>#VALUE!</v>
      </c>
      <c r="AJ61" s="803" t="n">
        <f aca="false">COUNTIF(AJ$4:AJ$48,$D61)</f>
        <v>0</v>
      </c>
      <c r="AK61" s="803" t="e">
        <f aca="false">SUMIF($D$4:$D$48,AK$4:AK$48,$D61)</f>
        <v>#VALUE!</v>
      </c>
      <c r="AL61" s="138" t="n">
        <f aca="false">COUNTIF(AL$4:AL$48,$D61)</f>
        <v>18</v>
      </c>
      <c r="AM61" s="549" t="e">
        <f aca="false">SUMIF($D$4:$D$48,AM$4:AM$48,$D61)</f>
        <v>#VALUE!</v>
      </c>
      <c r="AN61" s="138" t="n">
        <f aca="false">COUNTIF(AN$4:AN$48,$D61)</f>
        <v>18</v>
      </c>
      <c r="AO61" s="549" t="e">
        <f aca="false">SUMIF($D$4:$D$48,AO$4:AO$48,$D61)</f>
        <v>#VALUE!</v>
      </c>
      <c r="AP61" s="138" t="n">
        <f aca="false">COUNTIF(AP$4:AP$48,$D61)</f>
        <v>18</v>
      </c>
      <c r="AQ61" s="549" t="e">
        <f aca="false">SUMIF($D$4:$D$48,AQ$4:AQ$48,$D61)</f>
        <v>#VALUE!</v>
      </c>
      <c r="AR61" s="138" t="n">
        <f aca="false">COUNTIF(AR$4:AR$48,$D61)</f>
        <v>18</v>
      </c>
      <c r="AS61" s="549" t="e">
        <f aca="false">SUMIF($D$4:$D$48,AS$4:AS$48,$D61)</f>
        <v>#VALUE!</v>
      </c>
      <c r="AT61" s="138" t="n">
        <f aca="false">COUNTIF(AT$4:AT$48,$D61)</f>
        <v>18</v>
      </c>
      <c r="AU61" s="549" t="e">
        <f aca="false">SUMIF($D$4:$D$48,AU$4:AU$48,$D61)</f>
        <v>#VALUE!</v>
      </c>
      <c r="AV61" s="803" t="n">
        <f aca="false">COUNTIF(AV$4:AV$48,$D61)</f>
        <v>0</v>
      </c>
      <c r="AW61" s="803" t="e">
        <f aca="false">SUMIF($D$4:$D$48,AW$4:AW$48,$D61)</f>
        <v>#VALUE!</v>
      </c>
      <c r="AX61" s="803" t="n">
        <f aca="false">COUNTIF(AX$4:AX$48,$D61)</f>
        <v>0</v>
      </c>
      <c r="AY61" s="803" t="e">
        <f aca="false">SUMIF($D$4:$D$48,AY$4:AY$48,$D61)</f>
        <v>#VALUE!</v>
      </c>
      <c r="AZ61" s="138" t="n">
        <f aca="false">COUNTIF(AZ$4:AZ$48,$D61)</f>
        <v>18</v>
      </c>
      <c r="BA61" s="549" t="e">
        <f aca="false">SUMIF($D$4:$D$48,BA$4:BA$48,$D61)</f>
        <v>#VALUE!</v>
      </c>
      <c r="BB61" s="138" t="n">
        <f aca="false">COUNTIF(BB$4:BB$48,$D61)</f>
        <v>18</v>
      </c>
      <c r="BC61" s="549" t="e">
        <f aca="false">SUMIF($D$4:$D$48,BC$4:BC$48,$D61)</f>
        <v>#VALUE!</v>
      </c>
      <c r="BD61" s="138" t="n">
        <f aca="false">COUNTIF(BD$4:BD$48,$D61)</f>
        <v>18</v>
      </c>
      <c r="BE61" s="549" t="e">
        <f aca="false">SUMIF($D$4:$D$48,BE$4:BE$48,$D61)</f>
        <v>#VALUE!</v>
      </c>
      <c r="BF61" s="138" t="n">
        <f aca="false">COUNTIF(BF$4:BF$48,$D61)</f>
        <v>24</v>
      </c>
      <c r="BG61" s="549" t="e">
        <f aca="false">SUMIF($D$4:$D$48,BG$4:BG$48,$D61)</f>
        <v>#VALUE!</v>
      </c>
      <c r="BH61" s="138" t="n">
        <f aca="false">COUNTIF(BH$4:BH$48,$D61)</f>
        <v>24</v>
      </c>
      <c r="BI61" s="549" t="e">
        <f aca="false">SUMIF($D$4:$D$48,BI$4:BI$48,$D61)</f>
        <v>#VALUE!</v>
      </c>
      <c r="BJ61" s="803" t="n">
        <f aca="false">COUNTIF(BJ$4:BJ$48,$D61)</f>
        <v>0</v>
      </c>
      <c r="BK61" s="803" t="e">
        <f aca="false">SUMIF($D$4:$D$48,BK$4:BK$48,$D61)</f>
        <v>#VALUE!</v>
      </c>
      <c r="BL61" s="803" t="n">
        <f aca="false">COUNTIF(BL$4:BL$48,$D61)</f>
        <v>0</v>
      </c>
      <c r="BM61" s="803" t="e">
        <f aca="false">SUMIF($D$4:$D$48,BM$4:BM$48,$D61)</f>
        <v>#VALUE!</v>
      </c>
      <c r="BN61" s="138" t="n">
        <f aca="false">COUNTIF(BN$4:BN$48,$D61)</f>
        <v>24</v>
      </c>
      <c r="BO61" s="549" t="e">
        <f aca="false">SUMIF($D$4:$D$48,BO$4:BO$48,$D61)</f>
        <v>#VALUE!</v>
      </c>
    </row>
    <row r="62" customFormat="false" ht="13.8" hidden="false" customHeight="false" outlineLevel="0" collapsed="false">
      <c r="B62" s="4" t="n">
        <v>11</v>
      </c>
      <c r="C62" s="121" t="s">
        <v>4095</v>
      </c>
      <c r="D62" s="121" t="s">
        <v>4096</v>
      </c>
      <c r="E62" s="121"/>
      <c r="F62" s="803" t="n">
        <f aca="false">COUNTIF(F$4:F$48,$D62)</f>
        <v>0</v>
      </c>
      <c r="G62" s="803" t="e">
        <f aca="false">SUMIF($D$4:$D$48,G$4:G$48,$D62)</f>
        <v>#VALUE!</v>
      </c>
      <c r="H62" s="138" t="n">
        <f aca="false">COUNTIF(H$4:H$48,$D62)</f>
        <v>0</v>
      </c>
      <c r="I62" s="549" t="e">
        <f aca="false">SUMIF($D$4:$D$48,I$4:I$48,$D62)</f>
        <v>#VALUE!</v>
      </c>
      <c r="J62" s="138" t="n">
        <f aca="false">COUNTIF(J$4:J$48,$D62)</f>
        <v>0</v>
      </c>
      <c r="K62" s="549" t="e">
        <f aca="false">SUMIF($D$4:$D$48,K$4:K$48,$D62)</f>
        <v>#VALUE!</v>
      </c>
      <c r="L62" s="138" t="n">
        <f aca="false">COUNTIF(L$4:L$48,$D62)</f>
        <v>0</v>
      </c>
      <c r="M62" s="549" t="e">
        <f aca="false">SUMIF($D$4:$D$48,M$4:M$48,$D62)</f>
        <v>#VALUE!</v>
      </c>
      <c r="N62" s="138" t="n">
        <f aca="false">COUNTIF(N$4:N$48,$D62)</f>
        <v>0</v>
      </c>
      <c r="O62" s="549" t="e">
        <f aca="false">SUMIF($D$4:$D$48,O$4:O$48,$D62)</f>
        <v>#VALUE!</v>
      </c>
      <c r="P62" s="138" t="n">
        <f aca="false">COUNTIF(P$4:P$48,$D62)</f>
        <v>0</v>
      </c>
      <c r="Q62" s="549" t="e">
        <f aca="false">SUMIF($D$4:$D$48,Q$4:Q$48,$D62)</f>
        <v>#VALUE!</v>
      </c>
      <c r="R62" s="138" t="n">
        <f aca="false">COUNTIF(R$4:R$48,$D62)</f>
        <v>0</v>
      </c>
      <c r="S62" s="549" t="e">
        <f aca="false">SUMIF($D$4:$D$48,S$4:S$48,$D62)</f>
        <v>#VALUE!</v>
      </c>
      <c r="T62" s="803" t="n">
        <f aca="false">COUNTIF(T$4:T$48,$D62)</f>
        <v>0</v>
      </c>
      <c r="U62" s="803" t="e">
        <f aca="false">SUMIF($D$4:$D$48,U$4:U$48,$D62)</f>
        <v>#VALUE!</v>
      </c>
      <c r="V62" s="138" t="n">
        <f aca="false">COUNTIF(V$4:V$48,$D62)</f>
        <v>0</v>
      </c>
      <c r="W62" s="549" t="e">
        <f aca="false">SUMIF($D$4:$D$48,W$4:W$48,$D62)</f>
        <v>#VALUE!</v>
      </c>
      <c r="X62" s="138" t="n">
        <f aca="false">COUNTIF(X$4:X$48,$D62)</f>
        <v>0</v>
      </c>
      <c r="Y62" s="549" t="e">
        <f aca="false">SUMIF($D$4:$D$48,Y$4:Y$48,$D62)</f>
        <v>#VALUE!</v>
      </c>
      <c r="Z62" s="138" t="n">
        <f aca="false">COUNTIF(Z$4:Z$48,$D62)</f>
        <v>0</v>
      </c>
      <c r="AA62" s="549" t="e">
        <f aca="false">SUMIF($D$4:$D$48,AA$4:AA$48,$D62)</f>
        <v>#VALUE!</v>
      </c>
      <c r="AB62" s="138" t="n">
        <f aca="false">COUNTIF(AB$4:AB$48,$D62)</f>
        <v>0</v>
      </c>
      <c r="AC62" s="549" t="e">
        <f aca="false">SUMIF($D$4:$D$48,AC$4:AC$48,$D62)</f>
        <v>#VALUE!</v>
      </c>
      <c r="AD62" s="138" t="n">
        <f aca="false">COUNTIF(AD$4:AD$48,$D62)</f>
        <v>0</v>
      </c>
      <c r="AE62" s="549" t="e">
        <f aca="false">SUMIF($D$4:$D$48,AE$4:AE$48,$D62)</f>
        <v>#VALUE!</v>
      </c>
      <c r="AF62" s="803" t="n">
        <f aca="false">COUNTIF(AF$4:AF$48,$D62)</f>
        <v>0</v>
      </c>
      <c r="AG62" s="803" t="e">
        <f aca="false">SUMIF($D$4:$D$48,AG$4:AG$48,$D62)</f>
        <v>#VALUE!</v>
      </c>
      <c r="AH62" s="803" t="n">
        <f aca="false">COUNTIF(AH$4:AH$48,$D62)</f>
        <v>0</v>
      </c>
      <c r="AI62" s="803" t="e">
        <f aca="false">SUMIF($D$4:$D$48,AI$4:AI$48,$D62)</f>
        <v>#VALUE!</v>
      </c>
      <c r="AJ62" s="803" t="n">
        <f aca="false">COUNTIF(AJ$4:AJ$48,$D62)</f>
        <v>0</v>
      </c>
      <c r="AK62" s="803" t="e">
        <f aca="false">SUMIF($D$4:$D$48,AK$4:AK$48,$D62)</f>
        <v>#VALUE!</v>
      </c>
      <c r="AL62" s="138" t="n">
        <f aca="false">COUNTIF(AL$4:AL$48,$D62)</f>
        <v>0</v>
      </c>
      <c r="AM62" s="549" t="e">
        <f aca="false">SUMIF($D$4:$D$48,AM$4:AM$48,$D62)</f>
        <v>#VALUE!</v>
      </c>
      <c r="AN62" s="138" t="n">
        <f aca="false">COUNTIF(AN$4:AN$48,$D62)</f>
        <v>0</v>
      </c>
      <c r="AO62" s="549" t="e">
        <f aca="false">SUMIF($D$4:$D$48,AO$4:AO$48,$D62)</f>
        <v>#VALUE!</v>
      </c>
      <c r="AP62" s="138" t="n">
        <f aca="false">COUNTIF(AP$4:AP$48,$D62)</f>
        <v>0</v>
      </c>
      <c r="AQ62" s="549" t="e">
        <f aca="false">SUMIF($D$4:$D$48,AQ$4:AQ$48,$D62)</f>
        <v>#VALUE!</v>
      </c>
      <c r="AR62" s="138" t="n">
        <f aca="false">COUNTIF(AR$4:AR$48,$D62)</f>
        <v>0</v>
      </c>
      <c r="AS62" s="549" t="e">
        <f aca="false">SUMIF($D$4:$D$48,AS$4:AS$48,$D62)</f>
        <v>#VALUE!</v>
      </c>
      <c r="AT62" s="138" t="n">
        <f aca="false">COUNTIF(AT$4:AT$48,$D62)</f>
        <v>0</v>
      </c>
      <c r="AU62" s="549" t="e">
        <f aca="false">SUMIF($D$4:$D$48,AU$4:AU$48,$D62)</f>
        <v>#VALUE!</v>
      </c>
      <c r="AV62" s="803" t="n">
        <f aca="false">COUNTIF(AV$4:AV$48,$D62)</f>
        <v>0</v>
      </c>
      <c r="AW62" s="803" t="e">
        <f aca="false">SUMIF($D$4:$D$48,AW$4:AW$48,$D62)</f>
        <v>#VALUE!</v>
      </c>
      <c r="AX62" s="803" t="n">
        <f aca="false">COUNTIF(AX$4:AX$48,$D62)</f>
        <v>0</v>
      </c>
      <c r="AY62" s="803" t="e">
        <f aca="false">SUMIF($D$4:$D$48,AY$4:AY$48,$D62)</f>
        <v>#VALUE!</v>
      </c>
      <c r="AZ62" s="138" t="n">
        <f aca="false">COUNTIF(AZ$4:AZ$48,$D62)</f>
        <v>0</v>
      </c>
      <c r="BA62" s="549" t="e">
        <f aca="false">SUMIF($D$4:$D$48,BA$4:BA$48,$D62)</f>
        <v>#VALUE!</v>
      </c>
      <c r="BB62" s="138" t="n">
        <f aca="false">COUNTIF(BB$4:BB$48,$D62)</f>
        <v>0</v>
      </c>
      <c r="BC62" s="549" t="e">
        <f aca="false">SUMIF($D$4:$D$48,BC$4:BC$48,$D62)</f>
        <v>#VALUE!</v>
      </c>
      <c r="BD62" s="138" t="n">
        <f aca="false">COUNTIF(BD$4:BD$48,$D62)</f>
        <v>0</v>
      </c>
      <c r="BE62" s="549" t="e">
        <f aca="false">SUMIF($D$4:$D$48,BE$4:BE$48,$D62)</f>
        <v>#VALUE!</v>
      </c>
      <c r="BF62" s="138" t="n">
        <f aca="false">COUNTIF(BF$4:BF$48,$D62)</f>
        <v>0</v>
      </c>
      <c r="BG62" s="549" t="e">
        <f aca="false">SUMIF($D$4:$D$48,BG$4:BG$48,$D62)</f>
        <v>#VALUE!</v>
      </c>
      <c r="BH62" s="138" t="n">
        <f aca="false">COUNTIF(BH$4:BH$48,$D62)</f>
        <v>0</v>
      </c>
      <c r="BI62" s="549" t="e">
        <f aca="false">SUMIF($D$4:$D$48,BI$4:BI$48,$D62)</f>
        <v>#VALUE!</v>
      </c>
      <c r="BJ62" s="803" t="n">
        <f aca="false">COUNTIF(BJ$4:BJ$48,$D62)</f>
        <v>0</v>
      </c>
      <c r="BK62" s="803" t="e">
        <f aca="false">SUMIF($D$4:$D$48,BK$4:BK$48,$D62)</f>
        <v>#VALUE!</v>
      </c>
      <c r="BL62" s="803" t="n">
        <f aca="false">COUNTIF(BL$4:BL$48,$D62)</f>
        <v>0</v>
      </c>
      <c r="BM62" s="803" t="e">
        <f aca="false">SUMIF($D$4:$D$48,BM$4:BM$48,$D62)</f>
        <v>#VALUE!</v>
      </c>
      <c r="BN62" s="138" t="n">
        <f aca="false">COUNTIF(BN$4:BN$48,$D62)</f>
        <v>0</v>
      </c>
      <c r="BO62" s="549" t="e">
        <f aca="false">SUMIF($D$4:$D$48,BO$4:BO$48,$D62)</f>
        <v>#VALUE!</v>
      </c>
    </row>
    <row r="63" customFormat="false" ht="13.8" hidden="false" customHeight="false" outlineLevel="0" collapsed="false">
      <c r="B63" s="4" t="n">
        <v>12</v>
      </c>
      <c r="C63" s="121" t="s">
        <v>4097</v>
      </c>
      <c r="D63" s="121" t="s">
        <v>4052</v>
      </c>
      <c r="E63" s="121"/>
      <c r="F63" s="803" t="n">
        <f aca="false">COUNTIF(F$4:F$48,$D63)</f>
        <v>0</v>
      </c>
      <c r="G63" s="803" t="e">
        <f aca="false">SUMIF($D$4:$D$48,G$4:G$48,$D63)</f>
        <v>#VALUE!</v>
      </c>
      <c r="H63" s="138" t="n">
        <f aca="false">COUNTIF(H$4:H$48,$D63)</f>
        <v>0</v>
      </c>
      <c r="I63" s="549" t="e">
        <f aca="false">SUMIF($D$4:$D$48,I$4:I$48,$D63)</f>
        <v>#VALUE!</v>
      </c>
      <c r="J63" s="138" t="n">
        <f aca="false">COUNTIF(J$4:J$48,$D63)</f>
        <v>0</v>
      </c>
      <c r="K63" s="549" t="e">
        <f aca="false">SUMIF($D$4:$D$48,K$4:K$48,$D63)</f>
        <v>#VALUE!</v>
      </c>
      <c r="L63" s="138" t="n">
        <f aca="false">COUNTIF(L$4:L$48,$D63)</f>
        <v>0</v>
      </c>
      <c r="M63" s="549" t="e">
        <f aca="false">SUMIF($D$4:$D$48,M$4:M$48,$D63)</f>
        <v>#VALUE!</v>
      </c>
      <c r="N63" s="138" t="n">
        <f aca="false">COUNTIF(N$4:N$48,$D63)</f>
        <v>0</v>
      </c>
      <c r="O63" s="549" t="e">
        <f aca="false">SUMIF($D$4:$D$48,O$4:O$48,$D63)</f>
        <v>#VALUE!</v>
      </c>
      <c r="P63" s="138" t="n">
        <f aca="false">COUNTIF(P$4:P$48,$D63)</f>
        <v>0</v>
      </c>
      <c r="Q63" s="549" t="e">
        <f aca="false">SUMIF($D$4:$D$48,Q$4:Q$48,$D63)</f>
        <v>#VALUE!</v>
      </c>
      <c r="R63" s="138" t="n">
        <f aca="false">COUNTIF(R$4:R$48,$D63)</f>
        <v>3</v>
      </c>
      <c r="S63" s="549" t="e">
        <f aca="false">SUMIF($D$4:$D$48,S$4:S$48,$D63)</f>
        <v>#VALUE!</v>
      </c>
      <c r="T63" s="803" t="n">
        <f aca="false">COUNTIF(T$4:T$48,$D63)</f>
        <v>0</v>
      </c>
      <c r="U63" s="803" t="e">
        <f aca="false">SUMIF($D$4:$D$48,U$4:U$48,$D63)</f>
        <v>#VALUE!</v>
      </c>
      <c r="V63" s="138" t="n">
        <f aca="false">COUNTIF(V$4:V$48,$D63)</f>
        <v>3</v>
      </c>
      <c r="W63" s="549" t="e">
        <f aca="false">SUMIF($D$4:$D$48,W$4:W$48,$D63)</f>
        <v>#VALUE!</v>
      </c>
      <c r="X63" s="138" t="n">
        <f aca="false">COUNTIF(X$4:X$48,$D63)</f>
        <v>3</v>
      </c>
      <c r="Y63" s="549" t="e">
        <f aca="false">SUMIF($D$4:$D$48,Y$4:Y$48,$D63)</f>
        <v>#VALUE!</v>
      </c>
      <c r="Z63" s="138" t="n">
        <f aca="false">COUNTIF(Z$4:Z$48,$D63)</f>
        <v>3</v>
      </c>
      <c r="AA63" s="549" t="e">
        <f aca="false">SUMIF($D$4:$D$48,AA$4:AA$48,$D63)</f>
        <v>#VALUE!</v>
      </c>
      <c r="AB63" s="138" t="n">
        <f aca="false">COUNTIF(AB$4:AB$48,$D63)</f>
        <v>3</v>
      </c>
      <c r="AC63" s="549" t="e">
        <f aca="false">SUMIF($D$4:$D$48,AC$4:AC$48,$D63)</f>
        <v>#VALUE!</v>
      </c>
      <c r="AD63" s="138" t="n">
        <f aca="false">COUNTIF(AD$4:AD$48,$D63)</f>
        <v>3</v>
      </c>
      <c r="AE63" s="549" t="e">
        <f aca="false">SUMIF($D$4:$D$48,AE$4:AE$48,$D63)</f>
        <v>#VALUE!</v>
      </c>
      <c r="AF63" s="803" t="n">
        <f aca="false">COUNTIF(AF$4:AF$48,$D63)</f>
        <v>0</v>
      </c>
      <c r="AG63" s="803" t="e">
        <f aca="false">SUMIF($D$4:$D$48,AG$4:AG$48,$D63)</f>
        <v>#VALUE!</v>
      </c>
      <c r="AH63" s="803" t="n">
        <f aca="false">COUNTIF(AH$4:AH$48,$D63)</f>
        <v>0</v>
      </c>
      <c r="AI63" s="803" t="e">
        <f aca="false">SUMIF($D$4:$D$48,AI$4:AI$48,$D63)</f>
        <v>#VALUE!</v>
      </c>
      <c r="AJ63" s="803" t="n">
        <f aca="false">COUNTIF(AJ$4:AJ$48,$D63)</f>
        <v>0</v>
      </c>
      <c r="AK63" s="803" t="e">
        <f aca="false">SUMIF($D$4:$D$48,AK$4:AK$48,$D63)</f>
        <v>#VALUE!</v>
      </c>
      <c r="AL63" s="138" t="n">
        <f aca="false">COUNTIF(AL$4:AL$48,$D63)</f>
        <v>3</v>
      </c>
      <c r="AM63" s="549" t="e">
        <f aca="false">SUMIF($D$4:$D$48,AM$4:AM$48,$D63)</f>
        <v>#VALUE!</v>
      </c>
      <c r="AN63" s="138" t="n">
        <f aca="false">COUNTIF(AN$4:AN$48,$D63)</f>
        <v>3</v>
      </c>
      <c r="AO63" s="549" t="e">
        <f aca="false">SUMIF($D$4:$D$48,AO$4:AO$48,$D63)</f>
        <v>#VALUE!</v>
      </c>
      <c r="AP63" s="138" t="n">
        <f aca="false">COUNTIF(AP$4:AP$48,$D63)</f>
        <v>3</v>
      </c>
      <c r="AQ63" s="549" t="e">
        <f aca="false">SUMIF($D$4:$D$48,AQ$4:AQ$48,$D63)</f>
        <v>#VALUE!</v>
      </c>
      <c r="AR63" s="138" t="n">
        <f aca="false">COUNTIF(AR$4:AR$48,$D63)</f>
        <v>3</v>
      </c>
      <c r="AS63" s="549" t="e">
        <f aca="false">SUMIF($D$4:$D$48,AS$4:AS$48,$D63)</f>
        <v>#VALUE!</v>
      </c>
      <c r="AT63" s="138" t="n">
        <f aca="false">COUNTIF(AT$4:AT$48,$D63)</f>
        <v>3</v>
      </c>
      <c r="AU63" s="549" t="e">
        <f aca="false">SUMIF($D$4:$D$48,AU$4:AU$48,$D63)</f>
        <v>#VALUE!</v>
      </c>
      <c r="AV63" s="803" t="n">
        <f aca="false">COUNTIF(AV$4:AV$48,$D63)</f>
        <v>0</v>
      </c>
      <c r="AW63" s="803" t="e">
        <f aca="false">SUMIF($D$4:$D$48,AW$4:AW$48,$D63)</f>
        <v>#VALUE!</v>
      </c>
      <c r="AX63" s="803" t="n">
        <f aca="false">COUNTIF(AX$4:AX$48,$D63)</f>
        <v>0</v>
      </c>
      <c r="AY63" s="803" t="e">
        <f aca="false">SUMIF($D$4:$D$48,AY$4:AY$48,$D63)</f>
        <v>#VALUE!</v>
      </c>
      <c r="AZ63" s="138" t="n">
        <f aca="false">COUNTIF(AZ$4:AZ$48,$D63)</f>
        <v>2</v>
      </c>
      <c r="BA63" s="549" t="e">
        <f aca="false">SUMIF($D$4:$D$48,BA$4:BA$48,$D63)</f>
        <v>#VALUE!</v>
      </c>
      <c r="BB63" s="138" t="n">
        <f aca="false">COUNTIF(BB$4:BB$48,$D63)</f>
        <v>3</v>
      </c>
      <c r="BC63" s="549" t="e">
        <f aca="false">SUMIF($D$4:$D$48,BC$4:BC$48,$D63)</f>
        <v>#VALUE!</v>
      </c>
      <c r="BD63" s="138" t="n">
        <f aca="false">COUNTIF(BD$4:BD$48,$D63)</f>
        <v>3</v>
      </c>
      <c r="BE63" s="549" t="e">
        <f aca="false">SUMIF($D$4:$D$48,BE$4:BE$48,$D63)</f>
        <v>#VALUE!</v>
      </c>
      <c r="BF63" s="138" t="n">
        <f aca="false">COUNTIF(BF$4:BF$48,$D63)</f>
        <v>3</v>
      </c>
      <c r="BG63" s="549" t="e">
        <f aca="false">SUMIF($D$4:$D$48,BG$4:BG$48,$D63)</f>
        <v>#VALUE!</v>
      </c>
      <c r="BH63" s="138" t="n">
        <f aca="false">COUNTIF(BH$4:BH$48,$D63)</f>
        <v>3</v>
      </c>
      <c r="BI63" s="549" t="e">
        <f aca="false">SUMIF($D$4:$D$48,BI$4:BI$48,$D63)</f>
        <v>#VALUE!</v>
      </c>
      <c r="BJ63" s="803" t="n">
        <f aca="false">COUNTIF(BJ$4:BJ$48,$D63)</f>
        <v>0</v>
      </c>
      <c r="BK63" s="803" t="e">
        <f aca="false">SUMIF($D$4:$D$48,BK$4:BK$48,$D63)</f>
        <v>#VALUE!</v>
      </c>
      <c r="BL63" s="803" t="n">
        <f aca="false">COUNTIF(BL$4:BL$48,$D63)</f>
        <v>0</v>
      </c>
      <c r="BM63" s="803" t="e">
        <f aca="false">SUMIF($D$4:$D$48,BM$4:BM$48,$D63)</f>
        <v>#VALUE!</v>
      </c>
      <c r="BN63" s="138" t="n">
        <f aca="false">COUNTIF(BN$4:BN$48,$D63)</f>
        <v>3</v>
      </c>
      <c r="BO63" s="549" t="e">
        <f aca="false">SUMIF($D$4:$D$48,BO$4:BO$48,$D63)</f>
        <v>#VALUE!</v>
      </c>
    </row>
    <row r="64" customFormat="false" ht="13.8" hidden="false" customHeight="false" outlineLevel="0" collapsed="false">
      <c r="B64" s="4" t="n">
        <v>13</v>
      </c>
      <c r="C64" s="121" t="s">
        <v>4098</v>
      </c>
      <c r="D64" s="121" t="s">
        <v>4099</v>
      </c>
      <c r="E64" s="121"/>
      <c r="F64" s="803" t="n">
        <f aca="false">COUNTIF(F$4:F$48,$D64)</f>
        <v>0</v>
      </c>
      <c r="G64" s="803" t="e">
        <f aca="false">SUMIF($D$4:$D$48,G$4:G$48,$D64)</f>
        <v>#VALUE!</v>
      </c>
      <c r="H64" s="138" t="n">
        <f aca="false">COUNTIF(H$4:H$48,$D64)</f>
        <v>0</v>
      </c>
      <c r="I64" s="549" t="e">
        <f aca="false">SUMIF($D$4:$D$48,I$4:I$48,$D64)</f>
        <v>#VALUE!</v>
      </c>
      <c r="J64" s="138" t="n">
        <f aca="false">COUNTIF(J$4:J$48,$D64)</f>
        <v>0</v>
      </c>
      <c r="K64" s="549" t="e">
        <f aca="false">SUMIF($D$4:$D$48,K$4:K$48,$D64)</f>
        <v>#VALUE!</v>
      </c>
      <c r="L64" s="138" t="n">
        <f aca="false">COUNTIF(L$4:L$48,$D64)</f>
        <v>0</v>
      </c>
      <c r="M64" s="549" t="e">
        <f aca="false">SUMIF($D$4:$D$48,M$4:M$48,$D64)</f>
        <v>#VALUE!</v>
      </c>
      <c r="N64" s="138" t="n">
        <f aca="false">COUNTIF(N$4:N$48,$D64)</f>
        <v>0</v>
      </c>
      <c r="O64" s="549" t="e">
        <f aca="false">SUMIF($D$4:$D$48,O$4:O$48,$D64)</f>
        <v>#VALUE!</v>
      </c>
      <c r="P64" s="138" t="n">
        <f aca="false">COUNTIF(P$4:P$48,$D64)</f>
        <v>0</v>
      </c>
      <c r="Q64" s="549" t="e">
        <f aca="false">SUMIF($D$4:$D$48,Q$4:Q$48,$D64)</f>
        <v>#VALUE!</v>
      </c>
      <c r="R64" s="138" t="n">
        <f aca="false">COUNTIF(R$4:R$48,$D64)</f>
        <v>0</v>
      </c>
      <c r="S64" s="549" t="e">
        <f aca="false">SUMIF($D$4:$D$48,S$4:S$48,$D64)</f>
        <v>#VALUE!</v>
      </c>
      <c r="T64" s="803" t="n">
        <f aca="false">COUNTIF(T$4:T$48,$D64)</f>
        <v>0</v>
      </c>
      <c r="U64" s="803" t="e">
        <f aca="false">SUMIF($D$4:$D$48,U$4:U$48,$D64)</f>
        <v>#VALUE!</v>
      </c>
      <c r="V64" s="138" t="n">
        <f aca="false">COUNTIF(V$4:V$48,$D64)</f>
        <v>0</v>
      </c>
      <c r="W64" s="549" t="e">
        <f aca="false">SUMIF($D$4:$D$48,W$4:W$48,$D64)</f>
        <v>#VALUE!</v>
      </c>
      <c r="X64" s="138" t="n">
        <f aca="false">COUNTIF(X$4:X$48,$D64)</f>
        <v>0</v>
      </c>
      <c r="Y64" s="549" t="e">
        <f aca="false">SUMIF($D$4:$D$48,Y$4:Y$48,$D64)</f>
        <v>#VALUE!</v>
      </c>
      <c r="Z64" s="138" t="n">
        <f aca="false">COUNTIF(Z$4:Z$48,$D64)</f>
        <v>0</v>
      </c>
      <c r="AA64" s="549" t="e">
        <f aca="false">SUMIF($D$4:$D$48,AA$4:AA$48,$D64)</f>
        <v>#VALUE!</v>
      </c>
      <c r="AB64" s="138" t="n">
        <f aca="false">COUNTIF(AB$4:AB$48,$D64)</f>
        <v>0</v>
      </c>
      <c r="AC64" s="549" t="e">
        <f aca="false">SUMIF($D$4:$D$48,AC$4:AC$48,$D64)</f>
        <v>#VALUE!</v>
      </c>
      <c r="AD64" s="138" t="n">
        <f aca="false">COUNTIF(AD$4:AD$48,$D64)</f>
        <v>0</v>
      </c>
      <c r="AE64" s="549" t="e">
        <f aca="false">SUMIF($D$4:$D$48,AE$4:AE$48,$D64)</f>
        <v>#VALUE!</v>
      </c>
      <c r="AF64" s="803" t="n">
        <f aca="false">COUNTIF(AF$4:AF$48,$D64)</f>
        <v>0</v>
      </c>
      <c r="AG64" s="803" t="e">
        <f aca="false">SUMIF($D$4:$D$48,AG$4:AG$48,$D64)</f>
        <v>#VALUE!</v>
      </c>
      <c r="AH64" s="803" t="n">
        <f aca="false">COUNTIF(AH$4:AH$48,$D64)</f>
        <v>0</v>
      </c>
      <c r="AI64" s="803" t="e">
        <f aca="false">SUMIF($D$4:$D$48,AI$4:AI$48,$D64)</f>
        <v>#VALUE!</v>
      </c>
      <c r="AJ64" s="803" t="n">
        <f aca="false">COUNTIF(AJ$4:AJ$48,$D64)</f>
        <v>0</v>
      </c>
      <c r="AK64" s="803" t="e">
        <f aca="false">SUMIF($D$4:$D$48,AK$4:AK$48,$D64)</f>
        <v>#VALUE!</v>
      </c>
      <c r="AL64" s="138" t="n">
        <f aca="false">COUNTIF(AL$4:AL$48,$D64)</f>
        <v>0</v>
      </c>
      <c r="AM64" s="549" t="e">
        <f aca="false">SUMIF($D$4:$D$48,AM$4:AM$48,$D64)</f>
        <v>#VALUE!</v>
      </c>
      <c r="AN64" s="138" t="n">
        <f aca="false">COUNTIF(AN$4:AN$48,$D64)</f>
        <v>0</v>
      </c>
      <c r="AO64" s="549" t="e">
        <f aca="false">SUMIF($D$4:$D$48,AO$4:AO$48,$D64)</f>
        <v>#VALUE!</v>
      </c>
      <c r="AP64" s="138" t="n">
        <f aca="false">COUNTIF(AP$4:AP$48,$D64)</f>
        <v>0</v>
      </c>
      <c r="AQ64" s="549" t="e">
        <f aca="false">SUMIF($D$4:$D$48,AQ$4:AQ$48,$D64)</f>
        <v>#VALUE!</v>
      </c>
      <c r="AR64" s="138" t="n">
        <f aca="false">COUNTIF(AR$4:AR$48,$D64)</f>
        <v>0</v>
      </c>
      <c r="AS64" s="549" t="e">
        <f aca="false">SUMIF($D$4:$D$48,AS$4:AS$48,$D64)</f>
        <v>#VALUE!</v>
      </c>
      <c r="AT64" s="138" t="n">
        <f aca="false">COUNTIF(AT$4:AT$48,$D64)</f>
        <v>0</v>
      </c>
      <c r="AU64" s="549" t="e">
        <f aca="false">SUMIF($D$4:$D$48,AU$4:AU$48,$D64)</f>
        <v>#VALUE!</v>
      </c>
      <c r="AV64" s="803" t="n">
        <f aca="false">COUNTIF(AV$4:AV$48,$D64)</f>
        <v>0</v>
      </c>
      <c r="AW64" s="803" t="e">
        <f aca="false">SUMIF($D$4:$D$48,AW$4:AW$48,$D64)</f>
        <v>#VALUE!</v>
      </c>
      <c r="AX64" s="803" t="n">
        <f aca="false">COUNTIF(AX$4:AX$48,$D64)</f>
        <v>0</v>
      </c>
      <c r="AY64" s="803" t="e">
        <f aca="false">SUMIF($D$4:$D$48,AY$4:AY$48,$D64)</f>
        <v>#VALUE!</v>
      </c>
      <c r="AZ64" s="138" t="n">
        <f aca="false">COUNTIF(AZ$4:AZ$48,$D64)</f>
        <v>0</v>
      </c>
      <c r="BA64" s="549" t="e">
        <f aca="false">SUMIF($D$4:$D$48,BA$4:BA$48,$D64)</f>
        <v>#VALUE!</v>
      </c>
      <c r="BB64" s="138" t="n">
        <f aca="false">COUNTIF(BB$4:BB$48,$D64)</f>
        <v>0</v>
      </c>
      <c r="BC64" s="549" t="e">
        <f aca="false">SUMIF($D$4:$D$48,BC$4:BC$48,$D64)</f>
        <v>#VALUE!</v>
      </c>
      <c r="BD64" s="138" t="n">
        <f aca="false">COUNTIF(BD$4:BD$48,$D64)</f>
        <v>0</v>
      </c>
      <c r="BE64" s="549" t="e">
        <f aca="false">SUMIF($D$4:$D$48,BE$4:BE$48,$D64)</f>
        <v>#VALUE!</v>
      </c>
      <c r="BF64" s="138" t="n">
        <f aca="false">COUNTIF(BF$4:BF$48,$D64)</f>
        <v>0</v>
      </c>
      <c r="BG64" s="549" t="e">
        <f aca="false">SUMIF($D$4:$D$48,BG$4:BG$48,$D64)</f>
        <v>#VALUE!</v>
      </c>
      <c r="BH64" s="138" t="n">
        <f aca="false">COUNTIF(BH$4:BH$48,$D64)</f>
        <v>0</v>
      </c>
      <c r="BI64" s="549" t="e">
        <f aca="false">SUMIF($D$4:$D$48,BI$4:BI$48,$D64)</f>
        <v>#VALUE!</v>
      </c>
      <c r="BJ64" s="803" t="n">
        <f aca="false">COUNTIF(BJ$4:BJ$48,$D64)</f>
        <v>0</v>
      </c>
      <c r="BK64" s="803" t="e">
        <f aca="false">SUMIF($D$4:$D$48,BK$4:BK$48,$D64)</f>
        <v>#VALUE!</v>
      </c>
      <c r="BL64" s="803" t="n">
        <f aca="false">COUNTIF(BL$4:BL$48,$D64)</f>
        <v>0</v>
      </c>
      <c r="BM64" s="803" t="e">
        <f aca="false">SUMIF($D$4:$D$48,BM$4:BM$48,$D64)</f>
        <v>#VALUE!</v>
      </c>
      <c r="BN64" s="138" t="n">
        <f aca="false">COUNTIF(BN$4:BN$48,$D64)</f>
        <v>0</v>
      </c>
      <c r="BO64" s="549" t="e">
        <f aca="false">SUMIF($D$4:$D$48,BO$4:BO$48,$D64)</f>
        <v>#VALUE!</v>
      </c>
    </row>
    <row r="65" customFormat="false" ht="15" hidden="false" customHeight="false" outlineLevel="0" collapsed="false">
      <c r="B65" s="805"/>
      <c r="C65" s="805"/>
      <c r="D65" s="805"/>
      <c r="E65" s="810" t="s">
        <v>9</v>
      </c>
      <c r="F65" s="811" t="n">
        <f aca="false">SUM(F52:F64)</f>
        <v>0</v>
      </c>
      <c r="G65" s="811" t="e">
        <f aca="false">SUM(G52:G64)</f>
        <v>#VALUE!</v>
      </c>
      <c r="H65" s="811" t="n">
        <f aca="false">SUM(H52:H64)</f>
        <v>29</v>
      </c>
      <c r="I65" s="811" t="e">
        <f aca="false">SUM(I52:I64)</f>
        <v>#VALUE!</v>
      </c>
      <c r="J65" s="811" t="n">
        <f aca="false">SUM(J52:J64)</f>
        <v>30</v>
      </c>
      <c r="K65" s="811" t="e">
        <f aca="false">SUM(K52:K64)</f>
        <v>#VALUE!</v>
      </c>
      <c r="L65" s="811" t="n">
        <f aca="false">SUM(L52:L64)</f>
        <v>29</v>
      </c>
      <c r="M65" s="811" t="e">
        <f aca="false">SUM(M52:M64)</f>
        <v>#VALUE!</v>
      </c>
      <c r="N65" s="811" t="n">
        <f aca="false">SUM(N52:N64)</f>
        <v>29</v>
      </c>
      <c r="O65" s="811" t="e">
        <f aca="false">SUM(O52:O64)</f>
        <v>#VALUE!</v>
      </c>
      <c r="P65" s="811" t="n">
        <f aca="false">SUM(P52:P64)</f>
        <v>30</v>
      </c>
      <c r="Q65" s="811" t="e">
        <f aca="false">SUM(Q52:Q64)</f>
        <v>#VALUE!</v>
      </c>
      <c r="R65" s="811" t="n">
        <f aca="false">SUM(R52:R64)</f>
        <v>35</v>
      </c>
      <c r="S65" s="811" t="e">
        <f aca="false">SUM(S52:S64)</f>
        <v>#VALUE!</v>
      </c>
      <c r="T65" s="811" t="n">
        <f aca="false">SUM(T52:T64)</f>
        <v>0</v>
      </c>
      <c r="U65" s="811" t="e">
        <f aca="false">SUM(U52:U64)</f>
        <v>#VALUE!</v>
      </c>
      <c r="V65" s="811" t="n">
        <f aca="false">SUM(V52:V64)</f>
        <v>37</v>
      </c>
      <c r="W65" s="811" t="e">
        <f aca="false">SUM(W52:W64)</f>
        <v>#VALUE!</v>
      </c>
      <c r="X65" s="811" t="n">
        <f aca="false">SUM(X52:X64)</f>
        <v>38</v>
      </c>
      <c r="Y65" s="811" t="e">
        <f aca="false">SUM(Y52:Y64)</f>
        <v>#VALUE!</v>
      </c>
      <c r="Z65" s="811" t="n">
        <f aca="false">SUM(Z52:Z64)</f>
        <v>37</v>
      </c>
      <c r="AA65" s="811" t="e">
        <f aca="false">SUM(AA52:AA64)</f>
        <v>#VALUE!</v>
      </c>
      <c r="AB65" s="811" t="n">
        <f aca="false">SUM(AB52:AB64)</f>
        <v>36</v>
      </c>
      <c r="AC65" s="811" t="e">
        <f aca="false">SUM(AC52:AC64)</f>
        <v>#VALUE!</v>
      </c>
      <c r="AD65" s="811" t="n">
        <f aca="false">SUM(AD52:AD64)</f>
        <v>36</v>
      </c>
      <c r="AE65" s="811" t="e">
        <f aca="false">SUM(AE52:AE64)</f>
        <v>#VALUE!</v>
      </c>
      <c r="AF65" s="811" t="n">
        <f aca="false">SUM(AF52:AF64)</f>
        <v>0</v>
      </c>
      <c r="AG65" s="811" t="e">
        <f aca="false">SUM(AG52:AG64)</f>
        <v>#VALUE!</v>
      </c>
      <c r="AH65" s="811" t="n">
        <f aca="false">SUM(AH52:AH64)</f>
        <v>0</v>
      </c>
      <c r="AI65" s="811" t="e">
        <f aca="false">SUM(AI52:AI64)</f>
        <v>#VALUE!</v>
      </c>
      <c r="AJ65" s="811" t="n">
        <f aca="false">SUM(AJ52:AJ64)</f>
        <v>0</v>
      </c>
      <c r="AK65" s="811" t="e">
        <f aca="false">SUM(AK52:AK64)</f>
        <v>#VALUE!</v>
      </c>
      <c r="AL65" s="811" t="n">
        <f aca="false">SUM(AL52:AL64)</f>
        <v>39</v>
      </c>
      <c r="AM65" s="811" t="e">
        <f aca="false">SUM(AM52:AM64)</f>
        <v>#VALUE!</v>
      </c>
      <c r="AN65" s="811" t="n">
        <f aca="false">SUM(AN52:AN64)</f>
        <v>39</v>
      </c>
      <c r="AO65" s="811" t="e">
        <f aca="false">SUM(AO52:AO64)</f>
        <v>#VALUE!</v>
      </c>
      <c r="AP65" s="811" t="n">
        <f aca="false">SUM(AP52:AP64)</f>
        <v>38</v>
      </c>
      <c r="AQ65" s="811" t="e">
        <f aca="false">SUM(AQ52:AQ64)</f>
        <v>#VALUE!</v>
      </c>
      <c r="AR65" s="811" t="n">
        <f aca="false">SUM(AR52:AR64)</f>
        <v>38</v>
      </c>
      <c r="AS65" s="811" t="e">
        <f aca="false">SUM(AS52:AS64)</f>
        <v>#VALUE!</v>
      </c>
      <c r="AT65" s="811" t="n">
        <f aca="false">SUM(AT52:AT64)</f>
        <v>38</v>
      </c>
      <c r="AU65" s="811" t="e">
        <f aca="false">SUM(AU52:AU64)</f>
        <v>#VALUE!</v>
      </c>
      <c r="AV65" s="811" t="n">
        <f aca="false">SUM(AV52:AV64)</f>
        <v>0</v>
      </c>
      <c r="AW65" s="811" t="e">
        <f aca="false">SUM(AW52:AW64)</f>
        <v>#VALUE!</v>
      </c>
      <c r="AX65" s="811" t="n">
        <f aca="false">SUM(AX52:AX64)</f>
        <v>0</v>
      </c>
      <c r="AY65" s="811" t="e">
        <f aca="false">SUM(AY52:AY64)</f>
        <v>#VALUE!</v>
      </c>
      <c r="AZ65" s="811" t="n">
        <f aca="false">SUM(AZ52:AZ64)</f>
        <v>37</v>
      </c>
      <c r="BA65" s="811" t="e">
        <f aca="false">SUM(BA52:BA64)</f>
        <v>#VALUE!</v>
      </c>
      <c r="BB65" s="811" t="n">
        <f aca="false">SUM(BB52:BB64)</f>
        <v>38</v>
      </c>
      <c r="BC65" s="811" t="e">
        <f aca="false">SUM(BC52:BC64)</f>
        <v>#VALUE!</v>
      </c>
      <c r="BD65" s="811" t="n">
        <f aca="false">SUM(BD52:BD64)</f>
        <v>38</v>
      </c>
      <c r="BE65" s="811" t="e">
        <f aca="false">SUM(BE52:BE64)</f>
        <v>#VALUE!</v>
      </c>
      <c r="BF65" s="811" t="n">
        <f aca="false">SUM(BF52:BF64)</f>
        <v>39</v>
      </c>
      <c r="BG65" s="811" t="e">
        <f aca="false">SUM(BG52:BG64)</f>
        <v>#VALUE!</v>
      </c>
      <c r="BH65" s="811" t="n">
        <f aca="false">SUM(BH52:BH64)</f>
        <v>39</v>
      </c>
      <c r="BI65" s="811" t="e">
        <f aca="false">SUM(BI52:BI64)</f>
        <v>#VALUE!</v>
      </c>
      <c r="BJ65" s="811" t="n">
        <f aca="false">SUM(BJ52:BJ64)</f>
        <v>0</v>
      </c>
      <c r="BK65" s="811" t="e">
        <f aca="false">SUM(BK52:BK64)</f>
        <v>#VALUE!</v>
      </c>
      <c r="BL65" s="811" t="n">
        <f aca="false">SUM(BL52:BL64)</f>
        <v>0</v>
      </c>
      <c r="BM65" s="811" t="e">
        <f aca="false">SUM(BM52:BM64)</f>
        <v>#VALUE!</v>
      </c>
      <c r="BN65" s="811" t="n">
        <f aca="false">SUM(BN52:BN64)</f>
        <v>39</v>
      </c>
      <c r="BO65" s="811" t="e">
        <f aca="false">SUM(BO52:BO64)</f>
        <v>#VALUE!</v>
      </c>
    </row>
    <row r="68" customFormat="false" ht="13.8" hidden="false" customHeight="false" outlineLevel="0" collapsed="false">
      <c r="D68" s="240"/>
    </row>
  </sheetData>
  <autoFilter ref="C2:C66"/>
  <mergeCells count="69">
    <mergeCell ref="B2:B3"/>
    <mergeCell ref="C2:C3"/>
    <mergeCell ref="D2:D3"/>
    <mergeCell ref="E2:E3"/>
    <mergeCell ref="F2:G2"/>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AL2:AM2"/>
    <mergeCell ref="AN2:AO2"/>
    <mergeCell ref="AP2:AQ2"/>
    <mergeCell ref="AR2:AS2"/>
    <mergeCell ref="AT2:AU2"/>
    <mergeCell ref="AV2:AW2"/>
    <mergeCell ref="AX2:AY2"/>
    <mergeCell ref="AZ2:BA2"/>
    <mergeCell ref="BB2:BC2"/>
    <mergeCell ref="BD2:BE2"/>
    <mergeCell ref="BF2:BG2"/>
    <mergeCell ref="BH2:BI2"/>
    <mergeCell ref="BJ2:BK2"/>
    <mergeCell ref="BL2:BM2"/>
    <mergeCell ref="BN2:BO2"/>
    <mergeCell ref="B50:B51"/>
    <mergeCell ref="C50:C51"/>
    <mergeCell ref="D50:D51"/>
    <mergeCell ref="F50:G50"/>
    <mergeCell ref="H50:I50"/>
    <mergeCell ref="J50:K50"/>
    <mergeCell ref="L50:M50"/>
    <mergeCell ref="N50:O50"/>
    <mergeCell ref="P50:Q50"/>
    <mergeCell ref="R50:S50"/>
    <mergeCell ref="T50:U50"/>
    <mergeCell ref="V50:W50"/>
    <mergeCell ref="X50:Y50"/>
    <mergeCell ref="Z50:AA50"/>
    <mergeCell ref="AB50:AC50"/>
    <mergeCell ref="AD50:AE50"/>
    <mergeCell ref="AF50:AG50"/>
    <mergeCell ref="AH50:AI50"/>
    <mergeCell ref="AJ50:AK50"/>
    <mergeCell ref="AL50:AM50"/>
    <mergeCell ref="AN50:AO50"/>
    <mergeCell ref="AP50:AQ50"/>
    <mergeCell ref="AR50:AS50"/>
    <mergeCell ref="AT50:AU50"/>
    <mergeCell ref="AV50:AW50"/>
    <mergeCell ref="AX50:AY50"/>
    <mergeCell ref="AZ50:BA50"/>
    <mergeCell ref="BB50:BC50"/>
    <mergeCell ref="BD50:BE50"/>
    <mergeCell ref="BF50:BG50"/>
    <mergeCell ref="BH50:BI50"/>
    <mergeCell ref="BJ50:BK50"/>
    <mergeCell ref="BL50:BM50"/>
    <mergeCell ref="BN50:BO50"/>
  </mergeCells>
  <printOptions headings="false" gridLines="false" gridLinesSet="true" horizontalCentered="false" verticalCentered="false"/>
  <pageMargins left="0.7" right="0.7" top="0.75" bottom="0.75" header="0.511805555555555" footer="0.511805555555555"/>
  <pageSetup paperSize="9" scale="21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F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4453125" defaultRowHeight="13.8" zeroHeight="false" outlineLevelRow="0" outlineLevelCol="0"/>
  <cols>
    <col collapsed="false" customWidth="true" hidden="false" outlineLevel="0" max="2" min="1" style="0" width="8.54"/>
    <col collapsed="false" customWidth="true" hidden="false" outlineLevel="0" max="3" min="3" style="0" width="25.45"/>
    <col collapsed="false" customWidth="true" hidden="false" outlineLevel="0" max="64" min="4" style="0" width="8.54"/>
  </cols>
  <sheetData>
    <row r="3" customFormat="false" ht="41.75" hidden="false" customHeight="false" outlineLevel="0" collapsed="false">
      <c r="B3" s="4" t="s">
        <v>4100</v>
      </c>
      <c r="C3" s="812" t="s">
        <v>14</v>
      </c>
      <c r="D3" s="813" t="s">
        <v>4101</v>
      </c>
    </row>
    <row r="4" customFormat="false" ht="14.9" hidden="false" customHeight="false" outlineLevel="0" collapsed="false">
      <c r="B4" s="814" t="n">
        <v>1</v>
      </c>
      <c r="C4" s="799" t="s">
        <v>71</v>
      </c>
      <c r="D4" s="815" t="n">
        <v>9</v>
      </c>
    </row>
    <row r="5" customFormat="false" ht="14.9" hidden="false" customHeight="false" outlineLevel="0" collapsed="false">
      <c r="B5" s="4" t="n">
        <v>2</v>
      </c>
      <c r="C5" s="799" t="s">
        <v>64</v>
      </c>
      <c r="D5" s="816" t="n">
        <v>32.4</v>
      </c>
      <c r="E5" s="0" t="n">
        <f aca="false">D5*90%</f>
        <v>29.16</v>
      </c>
    </row>
    <row r="6" customFormat="false" ht="14.9" hidden="false" customHeight="false" outlineLevel="0" collapsed="false">
      <c r="B6" s="4" t="n">
        <v>3</v>
      </c>
      <c r="C6" s="799" t="s">
        <v>2386</v>
      </c>
      <c r="D6" s="815" t="n">
        <v>3.5</v>
      </c>
    </row>
    <row r="7" customFormat="false" ht="14.9" hidden="false" customHeight="false" outlineLevel="0" collapsed="false">
      <c r="B7" s="814" t="n">
        <v>4</v>
      </c>
      <c r="C7" s="799" t="s">
        <v>2387</v>
      </c>
      <c r="D7" s="815" t="n">
        <v>5.25</v>
      </c>
    </row>
    <row r="8" customFormat="false" ht="14.9" hidden="false" customHeight="false" outlineLevel="0" collapsed="false">
      <c r="B8" s="4" t="n">
        <v>5</v>
      </c>
      <c r="C8" s="799" t="s">
        <v>2375</v>
      </c>
      <c r="D8" s="815" t="n">
        <v>2.3</v>
      </c>
    </row>
    <row r="9" customFormat="false" ht="14.9" hidden="false" customHeight="false" outlineLevel="0" collapsed="false">
      <c r="B9" s="4" t="n">
        <v>6</v>
      </c>
      <c r="C9" s="799" t="s">
        <v>52</v>
      </c>
      <c r="D9" s="815" t="n">
        <v>3.5</v>
      </c>
    </row>
    <row r="10" customFormat="false" ht="14.9" hidden="false" customHeight="false" outlineLevel="0" collapsed="false">
      <c r="B10" s="4" t="n">
        <v>7</v>
      </c>
      <c r="C10" s="799" t="s">
        <v>2388</v>
      </c>
      <c r="D10" s="815" t="n">
        <v>4</v>
      </c>
    </row>
    <row r="11" customFormat="false" ht="14.9" hidden="false" customHeight="false" outlineLevel="0" collapsed="false">
      <c r="B11" s="4" t="n">
        <v>8</v>
      </c>
      <c r="C11" s="812" t="s">
        <v>2566</v>
      </c>
      <c r="D11" s="815" t="n">
        <v>2.5</v>
      </c>
    </row>
    <row r="12" customFormat="false" ht="14.9" hidden="false" customHeight="false" outlineLevel="0" collapsed="false">
      <c r="B12" s="4" t="n">
        <v>9</v>
      </c>
      <c r="C12" s="812" t="s">
        <v>2389</v>
      </c>
      <c r="D12" s="815" t="n">
        <v>2.5</v>
      </c>
    </row>
    <row r="13" customFormat="false" ht="14.9" hidden="false" customHeight="false" outlineLevel="0" collapsed="false">
      <c r="B13" s="4" t="n">
        <v>10</v>
      </c>
      <c r="C13" s="812" t="s">
        <v>2385</v>
      </c>
      <c r="D13" s="815" t="n">
        <f aca="false">24/4</f>
        <v>6</v>
      </c>
      <c r="F13" s="817"/>
    </row>
    <row r="14" customFormat="false" ht="14.9" hidden="false" customHeight="false" outlineLevel="0" collapsed="false">
      <c r="B14" s="4" t="n">
        <v>11</v>
      </c>
      <c r="C14" s="812" t="s">
        <v>2384</v>
      </c>
      <c r="D14" s="815" t="n">
        <f aca="false">24/4</f>
        <v>6</v>
      </c>
      <c r="F14" s="817"/>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AM120"/>
  <sheetViews>
    <sheetView showFormulas="false" showGridLines="true" showRowColHeaders="true" showZeros="true" rightToLeft="false" tabSelected="false" showOutlineSymbols="true" defaultGridColor="true" view="normal" topLeftCell="A1" colorId="64" zoomScale="73" zoomScaleNormal="73" zoomScalePageLayoutView="100" workbookViewId="0">
      <selection pane="topLeft" activeCell="G80" activeCellId="0" sqref="G80"/>
    </sheetView>
  </sheetViews>
  <sheetFormatPr defaultColWidth="9.14453125" defaultRowHeight="13.8" zeroHeight="false" outlineLevelRow="0" outlineLevelCol="0"/>
  <cols>
    <col collapsed="false" customWidth="true" hidden="false" outlineLevel="0" max="1" min="1" style="818" width="17.45"/>
    <col collapsed="false" customWidth="true" hidden="false" outlineLevel="0" max="2" min="2" style="818" width="9.45"/>
    <col collapsed="false" customWidth="true" hidden="false" outlineLevel="0" max="3" min="3" style="818" width="10.54"/>
    <col collapsed="false" customWidth="true" hidden="false" outlineLevel="0" max="4" min="4" style="818" width="11.54"/>
    <col collapsed="false" customWidth="true" hidden="false" outlineLevel="0" max="5" min="5" style="818" width="9.54"/>
    <col collapsed="false" customWidth="true" hidden="false" outlineLevel="0" max="6" min="6" style="818" width="14"/>
    <col collapsed="false" customWidth="true" hidden="false" outlineLevel="0" max="7" min="7" style="818" width="12"/>
    <col collapsed="false" customWidth="true" hidden="false" outlineLevel="0" max="64" min="8" style="818" width="9.45"/>
  </cols>
  <sheetData>
    <row r="2" customFormat="false" ht="15" hidden="false" customHeight="true" outlineLevel="0" collapsed="false">
      <c r="F2" s="819"/>
      <c r="G2" s="819"/>
      <c r="H2" s="819"/>
      <c r="I2" s="819"/>
      <c r="J2" s="819"/>
      <c r="K2" s="819"/>
      <c r="L2" s="819"/>
      <c r="M2" s="819"/>
      <c r="N2" s="819"/>
      <c r="O2" s="819"/>
    </row>
    <row r="3" customFormat="false" ht="15" hidden="false" customHeight="true" outlineLevel="0" collapsed="false">
      <c r="F3" s="819"/>
      <c r="G3" s="819"/>
      <c r="H3" s="819"/>
      <c r="I3" s="819"/>
      <c r="J3" s="819"/>
      <c r="K3" s="819"/>
      <c r="L3" s="819"/>
      <c r="M3" s="819"/>
      <c r="N3" s="819"/>
      <c r="O3" s="819"/>
    </row>
    <row r="4" customFormat="false" ht="18" hidden="true" customHeight="true" outlineLevel="0" collapsed="false"/>
    <row r="5" customFormat="false" ht="13.8" hidden="true" customHeight="false" outlineLevel="0" collapsed="false"/>
    <row r="6" customFormat="false" ht="13.8" hidden="true" customHeight="false" outlineLevel="0" collapsed="false"/>
    <row r="7" customFormat="false" ht="13.8" hidden="true" customHeight="false" outlineLevel="0" collapsed="false">
      <c r="C7" s="820" t="n">
        <v>42736</v>
      </c>
      <c r="D7" s="820" t="n">
        <v>42767</v>
      </c>
    </row>
    <row r="8" customFormat="false" ht="13.8" hidden="true" customHeight="false" outlineLevel="0" collapsed="false">
      <c r="B8" s="818" t="s">
        <v>4102</v>
      </c>
      <c r="C8" s="821" t="n">
        <v>60152</v>
      </c>
      <c r="D8" s="821" t="n">
        <v>53069</v>
      </c>
    </row>
    <row r="9" customFormat="false" ht="13.8" hidden="true" customHeight="false" outlineLevel="0" collapsed="false">
      <c r="B9" s="818" t="s">
        <v>2414</v>
      </c>
      <c r="C9" s="818" t="n">
        <v>3795</v>
      </c>
      <c r="D9" s="818" t="n">
        <v>2183</v>
      </c>
    </row>
    <row r="10" customFormat="false" ht="13.8" hidden="true" customHeight="false" outlineLevel="0" collapsed="false">
      <c r="A10" s="818" t="s">
        <v>2529</v>
      </c>
      <c r="B10" s="818" t="s">
        <v>2418</v>
      </c>
      <c r="C10" s="822" t="n">
        <v>0.0532</v>
      </c>
      <c r="D10" s="822" t="n">
        <f aca="false">D9/D8</f>
        <v>0.0411351259680793</v>
      </c>
    </row>
    <row r="11" customFormat="false" ht="13.8" hidden="true" customHeight="false" outlineLevel="0" collapsed="false">
      <c r="B11" s="818" t="s">
        <v>4029</v>
      </c>
      <c r="C11" s="823" t="n">
        <f aca="false">43174+C12</f>
        <v>45365</v>
      </c>
      <c r="D11" s="823" t="n">
        <v>49793</v>
      </c>
    </row>
    <row r="12" customFormat="false" ht="13.8" hidden="true" customHeight="false" outlineLevel="0" collapsed="false">
      <c r="B12" s="818" t="s">
        <v>2414</v>
      </c>
      <c r="C12" s="823" t="n">
        <v>2191</v>
      </c>
      <c r="D12" s="823" t="n">
        <v>616</v>
      </c>
    </row>
    <row r="13" customFormat="false" ht="13.8" hidden="true" customHeight="false" outlineLevel="0" collapsed="false">
      <c r="A13" s="818" t="s">
        <v>2565</v>
      </c>
      <c r="B13" s="818" t="s">
        <v>2418</v>
      </c>
      <c r="C13" s="822" t="n">
        <v>0.0067</v>
      </c>
      <c r="D13" s="822" t="n">
        <f aca="false">D12/D11</f>
        <v>0.0123712168377081</v>
      </c>
    </row>
    <row r="14" customFormat="false" ht="13.8" hidden="true" customHeight="false" outlineLevel="0" collapsed="false">
      <c r="A14" s="818" t="s">
        <v>4103</v>
      </c>
      <c r="C14" s="824" t="n">
        <f aca="false">(C12+C9)/C8</f>
        <v>0.0995145631067961</v>
      </c>
      <c r="D14" s="824" t="n">
        <f aca="false">(D12+D9)/D8</f>
        <v>0.052742655787748</v>
      </c>
    </row>
    <row r="15" customFormat="false" ht="13.8" hidden="true" customHeight="false" outlineLevel="0" collapsed="false">
      <c r="C15" s="820" t="n">
        <v>42736</v>
      </c>
      <c r="D15" s="820" t="n">
        <v>42767</v>
      </c>
    </row>
    <row r="16" customFormat="false" ht="13.8" hidden="true" customHeight="false" outlineLevel="0" collapsed="false">
      <c r="B16" s="818" t="s">
        <v>2546</v>
      </c>
      <c r="C16" s="818" t="n">
        <v>153906</v>
      </c>
      <c r="D16" s="818" t="n">
        <v>305548</v>
      </c>
    </row>
    <row r="17" customFormat="false" ht="13.8" hidden="true" customHeight="false" outlineLevel="0" collapsed="false">
      <c r="B17" s="818" t="s">
        <v>2414</v>
      </c>
      <c r="C17" s="818" t="n">
        <v>1745</v>
      </c>
      <c r="D17" s="818" t="n">
        <v>2373</v>
      </c>
    </row>
    <row r="18" customFormat="false" ht="13.8" hidden="true" customHeight="false" outlineLevel="0" collapsed="false">
      <c r="A18" s="818" t="s">
        <v>2546</v>
      </c>
      <c r="B18" s="818" t="s">
        <v>2418</v>
      </c>
      <c r="C18" s="825" t="n">
        <f aca="false">C17/C16</f>
        <v>0.011338089483191</v>
      </c>
      <c r="D18" s="825" t="n">
        <f aca="false">D17/D16</f>
        <v>0.00776637385942634</v>
      </c>
    </row>
    <row r="19" customFormat="false" ht="13.8" hidden="true" customHeight="false" outlineLevel="0" collapsed="false">
      <c r="B19" s="818" t="s">
        <v>4104</v>
      </c>
      <c r="C19" s="818" t="n">
        <v>183757</v>
      </c>
      <c r="D19" s="818" t="n">
        <v>280201</v>
      </c>
    </row>
    <row r="20" customFormat="false" ht="13.8" hidden="true" customHeight="false" outlineLevel="0" collapsed="false">
      <c r="B20" s="818" t="s">
        <v>2414</v>
      </c>
      <c r="C20" s="818" t="n">
        <v>375</v>
      </c>
      <c r="D20" s="818" t="n">
        <v>456</v>
      </c>
    </row>
    <row r="21" customFormat="false" ht="13.8" hidden="true" customHeight="false" outlineLevel="0" collapsed="false">
      <c r="A21" s="818" t="s">
        <v>2552</v>
      </c>
      <c r="B21" s="818" t="s">
        <v>2418</v>
      </c>
      <c r="C21" s="825" t="n">
        <f aca="false">C20/C19</f>
        <v>0.00204073858410836</v>
      </c>
      <c r="D21" s="825" t="n">
        <f aca="false">D20/D19</f>
        <v>0.00162740318557036</v>
      </c>
    </row>
    <row r="22" customFormat="false" ht="13.8" hidden="true" customHeight="false" outlineLevel="0" collapsed="false">
      <c r="B22" s="818" t="s">
        <v>4105</v>
      </c>
      <c r="C22" s="818" t="n">
        <v>246525</v>
      </c>
      <c r="D22" s="818" t="n">
        <v>263548</v>
      </c>
    </row>
    <row r="23" customFormat="false" ht="13.8" hidden="true" customHeight="false" outlineLevel="0" collapsed="false">
      <c r="B23" s="818" t="s">
        <v>2414</v>
      </c>
      <c r="C23" s="818" t="n">
        <v>3297</v>
      </c>
      <c r="D23" s="818" t="n">
        <v>6969</v>
      </c>
    </row>
    <row r="24" customFormat="false" ht="13.8" hidden="true" customHeight="false" outlineLevel="0" collapsed="false">
      <c r="A24" s="818" t="s">
        <v>2554</v>
      </c>
      <c r="B24" s="818" t="s">
        <v>2418</v>
      </c>
      <c r="C24" s="825" t="n">
        <f aca="false">C23/C22</f>
        <v>0.0133738971706723</v>
      </c>
      <c r="D24" s="825" t="n">
        <f aca="false">D23/D22</f>
        <v>0.0264430008954726</v>
      </c>
    </row>
    <row r="25" customFormat="false" ht="13.8" hidden="true" customHeight="false" outlineLevel="0" collapsed="false">
      <c r="B25" s="818" t="s">
        <v>4106</v>
      </c>
      <c r="C25" s="818" t="n">
        <v>95627</v>
      </c>
      <c r="D25" s="818" t="n">
        <v>54530</v>
      </c>
    </row>
    <row r="26" customFormat="false" ht="13.8" hidden="true" customHeight="false" outlineLevel="0" collapsed="false">
      <c r="B26" s="818" t="s">
        <v>2414</v>
      </c>
      <c r="C26" s="818" t="n">
        <v>10</v>
      </c>
      <c r="D26" s="818" t="n">
        <v>24</v>
      </c>
    </row>
    <row r="27" customFormat="false" ht="13.8" hidden="true" customHeight="false" outlineLevel="0" collapsed="false">
      <c r="A27" s="818" t="s">
        <v>4107</v>
      </c>
      <c r="B27" s="818" t="s">
        <v>2418</v>
      </c>
      <c r="C27" s="825" t="n">
        <f aca="false">C26/C25</f>
        <v>0.000104572976251477</v>
      </c>
      <c r="D27" s="825" t="n">
        <f aca="false">D26/D25</f>
        <v>0.0004401247019989</v>
      </c>
    </row>
    <row r="28" customFormat="false" ht="13.8" hidden="true" customHeight="false" outlineLevel="0" collapsed="false">
      <c r="A28" s="818" t="s">
        <v>4108</v>
      </c>
      <c r="C28" s="822" t="n">
        <v>0.0214</v>
      </c>
      <c r="D28" s="822" t="n">
        <v>0.0376</v>
      </c>
    </row>
    <row r="29" customFormat="false" ht="13.8" hidden="true" customHeight="false" outlineLevel="0" collapsed="false"/>
    <row r="30" customFormat="false" ht="13.8" hidden="true" customHeight="false" outlineLevel="0" collapsed="false"/>
    <row r="31" customFormat="false" ht="13.8" hidden="true" customHeight="false" outlineLevel="0" collapsed="false"/>
    <row r="32" customFormat="false" ht="13.8" hidden="true" customHeight="false" outlineLevel="0" collapsed="false"/>
    <row r="33" customFormat="false" ht="13.8" hidden="true" customHeight="false" outlineLevel="0" collapsed="false"/>
    <row r="34" customFormat="false" ht="13.8" hidden="true" customHeight="false" outlineLevel="0" collapsed="false"/>
    <row r="35" customFormat="false" ht="13.8" hidden="true" customHeight="false" outlineLevel="0" collapsed="false"/>
    <row r="36" customFormat="false" ht="13.8" hidden="true" customHeight="false" outlineLevel="0" collapsed="false"/>
    <row r="37" customFormat="false" ht="13.8" hidden="true" customHeight="false" outlineLevel="0" collapsed="false"/>
    <row r="38" customFormat="false" ht="13.8" hidden="true" customHeight="false" outlineLevel="0" collapsed="false"/>
    <row r="39" customFormat="false" ht="13.8" hidden="true" customHeight="false" outlineLevel="0" collapsed="false"/>
    <row r="40" customFormat="false" ht="13.8" hidden="true" customHeight="false" outlineLevel="0" collapsed="false"/>
    <row r="41" customFormat="false" ht="13.8" hidden="true" customHeight="false" outlineLevel="0" collapsed="false"/>
    <row r="42" customFormat="false" ht="13.8" hidden="true" customHeight="false" outlineLevel="0" collapsed="false"/>
    <row r="43" customFormat="false" ht="13.8" hidden="true" customHeight="false" outlineLevel="0" collapsed="false"/>
    <row r="44" customFormat="false" ht="13.8" hidden="true" customHeight="false" outlineLevel="0" collapsed="false"/>
    <row r="45" customFormat="false" ht="13.8" hidden="true" customHeight="false" outlineLevel="0" collapsed="false"/>
    <row r="46" customFormat="false" ht="13.8" hidden="true" customHeight="false" outlineLevel="0" collapsed="false"/>
    <row r="47" customFormat="false" ht="13.8" hidden="true" customHeight="false" outlineLevel="0" collapsed="false"/>
    <row r="48" customFormat="false" ht="13.8" hidden="true" customHeight="false" outlineLevel="0" collapsed="false"/>
    <row r="49" customFormat="false" ht="13.8" hidden="true" customHeight="false" outlineLevel="0" collapsed="false"/>
    <row r="50" customFormat="false" ht="13.8" hidden="true" customHeight="false" outlineLevel="0" collapsed="false"/>
    <row r="51" customFormat="false" ht="13.8" hidden="true" customHeight="false" outlineLevel="0" collapsed="false"/>
    <row r="52" customFormat="false" ht="13.8" hidden="true" customHeight="false" outlineLevel="0" collapsed="false"/>
    <row r="53" customFormat="false" ht="13.8" hidden="true" customHeight="false" outlineLevel="0" collapsed="false"/>
    <row r="54" customFormat="false" ht="13.8" hidden="true" customHeight="false" outlineLevel="0" collapsed="false"/>
    <row r="55" customFormat="false" ht="13.8" hidden="true" customHeight="false" outlineLevel="0" collapsed="false"/>
    <row r="56" customFormat="false" ht="13.8" hidden="true" customHeight="false" outlineLevel="0" collapsed="false"/>
    <row r="57" customFormat="false" ht="13.8" hidden="true" customHeight="false" outlineLevel="0" collapsed="false"/>
    <row r="58" customFormat="false" ht="13.8" hidden="true" customHeight="false" outlineLevel="0" collapsed="false"/>
    <row r="59" customFormat="false" ht="13.8" hidden="true" customHeight="false" outlineLevel="0" collapsed="false">
      <c r="B59" s="820"/>
      <c r="C59" s="821" t="s">
        <v>4109</v>
      </c>
      <c r="D59" s="821" t="s">
        <v>4110</v>
      </c>
      <c r="E59" s="821" t="s">
        <v>4111</v>
      </c>
    </row>
    <row r="60" customFormat="false" ht="13.8" hidden="true" customHeight="false" outlineLevel="0" collapsed="false">
      <c r="A60" s="821" t="s">
        <v>4102</v>
      </c>
      <c r="B60" s="821" t="s">
        <v>83</v>
      </c>
      <c r="C60" s="822" t="n">
        <v>0.0531729487749035</v>
      </c>
      <c r="D60" s="822" t="n">
        <v>0.032611142374789</v>
      </c>
    </row>
    <row r="61" customFormat="false" ht="13.8" hidden="true" customHeight="false" outlineLevel="0" collapsed="false">
      <c r="B61" s="821" t="s">
        <v>77</v>
      </c>
      <c r="C61" s="822" t="n">
        <v>0.0701407354562553</v>
      </c>
      <c r="D61" s="822" t="n">
        <v>0.0584174796052256</v>
      </c>
    </row>
    <row r="62" customFormat="false" ht="13.8" hidden="true" customHeight="false" outlineLevel="0" collapsed="false">
      <c r="A62" s="821" t="s">
        <v>4029</v>
      </c>
      <c r="B62" s="821" t="s">
        <v>83</v>
      </c>
      <c r="C62" s="822" t="n">
        <v>0.00670926517571885</v>
      </c>
      <c r="D62" s="822" t="n">
        <v>0.00615438719887463</v>
      </c>
    </row>
    <row r="63" customFormat="false" ht="13.8" hidden="true" customHeight="false" outlineLevel="0" collapsed="false">
      <c r="B63" s="821" t="s">
        <v>77</v>
      </c>
      <c r="C63" s="822" t="n">
        <v>0.0580123195734118</v>
      </c>
      <c r="D63" s="822" t="n">
        <v>0.0371594551282051</v>
      </c>
    </row>
    <row r="64" customFormat="false" ht="13.8" hidden="true" customHeight="false" outlineLevel="0" collapsed="false">
      <c r="A64" s="821" t="s">
        <v>2491</v>
      </c>
      <c r="B64" s="821" t="s">
        <v>83</v>
      </c>
      <c r="C64" s="822" t="n">
        <v>0.116510372264848</v>
      </c>
      <c r="D64" s="822" t="n">
        <v>0.0342706502636204</v>
      </c>
    </row>
    <row r="65" customFormat="false" ht="13.8" hidden="true" customHeight="false" outlineLevel="0" collapsed="false">
      <c r="B65" s="821" t="s">
        <v>77</v>
      </c>
      <c r="C65" s="822" t="n">
        <v>0.116571822728057</v>
      </c>
      <c r="D65" s="822" t="n">
        <v>0.12672601744186</v>
      </c>
    </row>
    <row r="66" customFormat="false" ht="13.8" hidden="false" customHeight="false" outlineLevel="0" collapsed="false">
      <c r="B66" s="826" t="s">
        <v>4102</v>
      </c>
      <c r="C66" s="826"/>
      <c r="D66" s="826" t="s">
        <v>4029</v>
      </c>
      <c r="E66" s="826"/>
      <c r="F66" s="826" t="s">
        <v>2491</v>
      </c>
      <c r="G66" s="826"/>
    </row>
    <row r="67" customFormat="false" ht="13.8" hidden="false" customHeight="false" outlineLevel="0" collapsed="false">
      <c r="B67" s="821" t="s">
        <v>83</v>
      </c>
      <c r="C67" s="821" t="s">
        <v>77</v>
      </c>
      <c r="D67" s="821" t="s">
        <v>83</v>
      </c>
      <c r="E67" s="821" t="s">
        <v>77</v>
      </c>
      <c r="F67" s="821" t="s">
        <v>83</v>
      </c>
      <c r="G67" s="821" t="s">
        <v>77</v>
      </c>
    </row>
    <row r="68" customFormat="false" ht="13.8" hidden="false" customHeight="false" outlineLevel="0" collapsed="false">
      <c r="A68" s="827" t="n">
        <v>43484</v>
      </c>
      <c r="B68" s="587" t="n">
        <v>0.0409994943536154</v>
      </c>
      <c r="C68" s="587" t="n">
        <v>0.0534354023682027</v>
      </c>
      <c r="D68" s="587" t="n">
        <v>0.00564775057057754</v>
      </c>
      <c r="E68" s="587" t="n">
        <v>0.00859408700268773</v>
      </c>
      <c r="F68" s="587" t="n">
        <v>0.0233236224620965</v>
      </c>
      <c r="G68" s="828" t="n">
        <v>0.0310147446854452</v>
      </c>
    </row>
    <row r="69" customFormat="false" ht="13.8" hidden="false" customHeight="false" outlineLevel="0" collapsed="false">
      <c r="A69" s="827" t="n">
        <v>43515</v>
      </c>
      <c r="B69" s="822" t="n">
        <v>0.0339</v>
      </c>
      <c r="C69" s="822" t="n">
        <v>0.0553</v>
      </c>
      <c r="D69" s="822" t="n">
        <v>0.0057</v>
      </c>
      <c r="E69" s="822" t="n">
        <v>0.0072</v>
      </c>
      <c r="F69" s="822" t="n">
        <v>0.0394</v>
      </c>
      <c r="G69" s="822" t="n">
        <v>0.0614</v>
      </c>
    </row>
    <row r="70" customFormat="false" ht="13.8" hidden="false" customHeight="false" outlineLevel="0" collapsed="false">
      <c r="A70" s="827" t="n">
        <v>43543</v>
      </c>
      <c r="B70" s="825" t="n">
        <v>0.0336151160663873</v>
      </c>
      <c r="C70" s="825" t="n">
        <v>0.0584592519197424</v>
      </c>
      <c r="D70" s="825" t="n">
        <v>0.00379116016953099</v>
      </c>
      <c r="E70" s="825" t="n">
        <v>0.00820148530836293</v>
      </c>
      <c r="F70" s="825" t="n">
        <v>0.0367328820330707</v>
      </c>
      <c r="G70" s="825" t="n">
        <v>0.0730398731861968</v>
      </c>
      <c r="AG70" s="827" t="n">
        <v>43543</v>
      </c>
      <c r="AH70" s="825" t="n">
        <v>0.0336151160663873</v>
      </c>
      <c r="AI70" s="825" t="n">
        <v>0.0584592519197424</v>
      </c>
      <c r="AJ70" s="825" t="n">
        <v>0.00379116016953099</v>
      </c>
      <c r="AK70" s="825" t="n">
        <v>0.00820148530836293</v>
      </c>
      <c r="AL70" s="825" t="n">
        <v>0.0367328820330707</v>
      </c>
      <c r="AM70" s="825" t="n">
        <v>0.0730398731861968</v>
      </c>
    </row>
    <row r="71" customFormat="false" ht="13.8" hidden="false" customHeight="false" outlineLevel="0" collapsed="false">
      <c r="A71" s="827" t="n">
        <v>43574</v>
      </c>
      <c r="B71" s="825" t="n">
        <v>0.0194384912130304</v>
      </c>
      <c r="C71" s="825" t="n">
        <v>0.0410734898037707</v>
      </c>
      <c r="D71" s="825" t="n">
        <v>0.00309096261407124</v>
      </c>
      <c r="E71" s="825" t="n">
        <v>0.012921983524471</v>
      </c>
      <c r="F71" s="825" t="n">
        <v>0.0225179994445275</v>
      </c>
      <c r="G71" s="825" t="n">
        <v>0.0483963344788087</v>
      </c>
      <c r="AG71" s="827" t="n">
        <v>43574</v>
      </c>
      <c r="AH71" s="825" t="n">
        <v>0.0194384912130304</v>
      </c>
      <c r="AI71" s="825" t="n">
        <v>0.0410734898037707</v>
      </c>
      <c r="AJ71" s="825" t="n">
        <v>0.00309096261407124</v>
      </c>
      <c r="AK71" s="825" t="n">
        <v>0.012921983524471</v>
      </c>
      <c r="AL71" s="825" t="n">
        <v>0.0225179994445275</v>
      </c>
      <c r="AM71" s="825" t="n">
        <v>0.0483963344788087</v>
      </c>
    </row>
    <row r="72" customFormat="false" ht="13.8" hidden="false" customHeight="false" outlineLevel="0" collapsed="false">
      <c r="A72" s="827" t="n">
        <v>43604</v>
      </c>
      <c r="B72" s="825" t="n">
        <v>0.0196</v>
      </c>
      <c r="C72" s="825" t="n">
        <v>0.0273</v>
      </c>
      <c r="D72" s="825" t="n">
        <v>0.0079</v>
      </c>
      <c r="E72" s="825" t="n">
        <v>0.00096</v>
      </c>
      <c r="F72" s="825" t="n">
        <v>0.0289</v>
      </c>
      <c r="G72" s="825" t="n">
        <v>0.0338</v>
      </c>
      <c r="AG72" s="827" t="n">
        <v>43604</v>
      </c>
      <c r="AH72" s="825"/>
      <c r="AI72" s="825"/>
      <c r="AJ72" s="825"/>
      <c r="AK72" s="825"/>
      <c r="AL72" s="825"/>
      <c r="AM72" s="825"/>
    </row>
    <row r="73" customFormat="false" ht="13.8" hidden="false" customHeight="false" outlineLevel="0" collapsed="false">
      <c r="A73" s="827" t="n">
        <v>43635</v>
      </c>
      <c r="B73" s="825" t="n">
        <v>0.0175936741845629</v>
      </c>
      <c r="C73" s="825" t="n">
        <v>0.0254843394623626</v>
      </c>
      <c r="D73" s="825" t="n">
        <v>0.0153352041911455</v>
      </c>
      <c r="E73" s="825" t="n">
        <v>0.0159574468085106</v>
      </c>
      <c r="F73" s="825" t="n">
        <v>0.0343316934436799</v>
      </c>
      <c r="G73" s="825" t="n">
        <v>0.0360240702591348</v>
      </c>
      <c r="AG73" s="827" t="n">
        <v>43635</v>
      </c>
      <c r="AH73" s="825"/>
      <c r="AI73" s="825"/>
      <c r="AJ73" s="825"/>
      <c r="AK73" s="825"/>
      <c r="AL73" s="825"/>
      <c r="AM73" s="825"/>
    </row>
    <row r="74" customFormat="false" ht="13.8" hidden="false" customHeight="false" outlineLevel="0" collapsed="false">
      <c r="A74" s="827" t="n">
        <v>43665</v>
      </c>
      <c r="B74" s="587" t="n">
        <v>0.0254843394623626</v>
      </c>
      <c r="C74" s="587" t="n">
        <v>0.0153352041911455</v>
      </c>
      <c r="D74" s="587" t="n">
        <v>0.0159574468085106</v>
      </c>
      <c r="E74" s="587" t="n">
        <v>0.0248628281949453</v>
      </c>
      <c r="F74" s="587" t="n">
        <v>0.0360240702591348</v>
      </c>
      <c r="G74" s="587" t="n">
        <v>0.0347274072170498</v>
      </c>
      <c r="AG74" s="827" t="n">
        <v>43665</v>
      </c>
      <c r="AH74" s="587"/>
      <c r="AI74" s="587"/>
      <c r="AJ74" s="587"/>
      <c r="AK74" s="587"/>
      <c r="AL74" s="587"/>
      <c r="AM74" s="587"/>
    </row>
    <row r="75" customFormat="false" ht="13.8" hidden="false" customHeight="false" outlineLevel="0" collapsed="false">
      <c r="A75" s="827" t="n">
        <v>43696</v>
      </c>
      <c r="B75" s="825" t="n">
        <v>0.0153352041911455</v>
      </c>
      <c r="C75" s="825" t="n">
        <v>0.0159574468085106</v>
      </c>
      <c r="D75" s="825" t="n">
        <v>0.0248628281949453</v>
      </c>
      <c r="E75" s="825" t="n">
        <v>0</v>
      </c>
      <c r="F75" s="825" t="n">
        <v>0.0347274072170498</v>
      </c>
      <c r="G75" s="825" t="n">
        <v>0</v>
      </c>
      <c r="AG75" s="827" t="n">
        <v>43696</v>
      </c>
      <c r="AH75" s="825"/>
      <c r="AI75" s="825"/>
      <c r="AJ75" s="825"/>
      <c r="AK75" s="825"/>
      <c r="AL75" s="825"/>
      <c r="AM75" s="825"/>
    </row>
    <row r="76" customFormat="false" ht="13.8" hidden="false" customHeight="false" outlineLevel="0" collapsed="false">
      <c r="A76" s="827" t="n">
        <v>43727</v>
      </c>
      <c r="B76" s="825" t="n">
        <v>0.0159574468085106</v>
      </c>
      <c r="C76" s="825" t="n">
        <v>0.0248628281949453</v>
      </c>
      <c r="D76" s="825" t="n">
        <v>0</v>
      </c>
      <c r="E76" s="825" t="n">
        <v>0</v>
      </c>
      <c r="F76" s="825" t="n">
        <v>0</v>
      </c>
      <c r="G76" s="825" t="n">
        <v>0</v>
      </c>
      <c r="AG76" s="827" t="n">
        <v>43727</v>
      </c>
      <c r="AH76" s="825"/>
      <c r="AI76" s="825"/>
      <c r="AJ76" s="825"/>
      <c r="AK76" s="825"/>
      <c r="AL76" s="825"/>
      <c r="AM76" s="825"/>
    </row>
    <row r="77" customFormat="false" ht="13.8" hidden="false" customHeight="false" outlineLevel="0" collapsed="false">
      <c r="A77" s="827" t="n">
        <v>43757</v>
      </c>
      <c r="B77" s="825" t="n">
        <v>0.0125246736070058</v>
      </c>
      <c r="C77" s="825" t="n">
        <v>0.0163107449134017</v>
      </c>
      <c r="D77" s="825" t="n">
        <v>0.00990948168967513</v>
      </c>
      <c r="E77" s="825" t="n">
        <v>0.011539544047284</v>
      </c>
      <c r="F77" s="825" t="n">
        <v>0.0219229471427721</v>
      </c>
      <c r="G77" s="825" t="n">
        <v>0.0362438220757825</v>
      </c>
      <c r="AG77" s="827" t="n">
        <v>43757</v>
      </c>
      <c r="AH77" s="825"/>
      <c r="AI77" s="825"/>
      <c r="AJ77" s="825"/>
      <c r="AK77" s="825"/>
      <c r="AL77" s="825"/>
      <c r="AM77" s="825"/>
    </row>
    <row r="78" customFormat="false" ht="13.8" hidden="false" customHeight="false" outlineLevel="0" collapsed="false">
      <c r="A78" s="827" t="n">
        <v>43788</v>
      </c>
      <c r="B78" s="825" t="n">
        <v>0.0175936741845629</v>
      </c>
      <c r="C78" s="825" t="n">
        <v>0.0254843394623626</v>
      </c>
      <c r="D78" s="825" t="n">
        <v>0.0153352041911455</v>
      </c>
      <c r="E78" s="825" t="n">
        <v>0.0159574468085106</v>
      </c>
      <c r="F78" s="825" t="n">
        <v>0.0343316934436799</v>
      </c>
      <c r="G78" s="825" t="n">
        <v>0.0360240702591348</v>
      </c>
      <c r="AG78" s="827" t="n">
        <v>43788</v>
      </c>
      <c r="AH78" s="825"/>
      <c r="AI78" s="825"/>
      <c r="AJ78" s="825"/>
      <c r="AK78" s="825"/>
      <c r="AL78" s="825"/>
      <c r="AM78" s="825"/>
    </row>
    <row r="79" customFormat="false" ht="13.8" hidden="false" customHeight="false" outlineLevel="0" collapsed="false">
      <c r="A79" s="827" t="n">
        <v>43818</v>
      </c>
      <c r="B79" s="825" t="n">
        <v>0.0259260459539165</v>
      </c>
      <c r="C79" s="825" t="n">
        <v>0.0260154781163919</v>
      </c>
      <c r="D79" s="825" t="n">
        <v>0.0150415907860412</v>
      </c>
      <c r="E79" s="825" t="n">
        <v>0.0156430644362126</v>
      </c>
      <c r="F79" s="825" t="n">
        <v>0.0417432703854451</v>
      </c>
      <c r="G79" s="825" t="n">
        <v>0.0534545763576103</v>
      </c>
      <c r="AG79" s="827" t="n">
        <v>43818</v>
      </c>
      <c r="AH79" s="825"/>
      <c r="AI79" s="825"/>
      <c r="AJ79" s="825"/>
      <c r="AK79" s="825"/>
      <c r="AL79" s="825"/>
      <c r="AM79" s="825"/>
    </row>
    <row r="80" customFormat="false" ht="13.8" hidden="false" customHeight="false" outlineLevel="0" collapsed="false">
      <c r="A80" s="827" t="n">
        <v>43831</v>
      </c>
      <c r="B80" s="825" t="n">
        <f aca="false">PVA!I154</f>
        <v>0.0185980945776369</v>
      </c>
      <c r="C80" s="825" t="n">
        <f aca="false">PVA!I155</f>
        <v>0.0273209971918724</v>
      </c>
      <c r="D80" s="825" t="n">
        <f aca="false">PVA!I156</f>
        <v>0.00826078134584034</v>
      </c>
      <c r="E80" s="825" t="n">
        <f aca="false">PVA!I157</f>
        <v>0.0156113944520463</v>
      </c>
      <c r="F80" s="825" t="n">
        <f aca="false">PVA!O145</f>
        <v>0.025908543028862</v>
      </c>
      <c r="G80" s="825" t="n">
        <f aca="false">PVA!O146</f>
        <v>0.0427105176029136</v>
      </c>
      <c r="AG80" s="827" t="n">
        <v>43849</v>
      </c>
      <c r="AH80" s="825"/>
      <c r="AI80" s="825"/>
      <c r="AJ80" s="825"/>
      <c r="AK80" s="825"/>
      <c r="AL80" s="825"/>
      <c r="AM80" s="825"/>
    </row>
    <row r="81" customFormat="false" ht="13.8" hidden="false" customHeight="false" outlineLevel="0" collapsed="false">
      <c r="A81" s="827" t="n">
        <v>43881</v>
      </c>
      <c r="B81" s="825" t="e">
        <f aca="false">[11]PVA!$I$138</f>
        <v>#N/A</v>
      </c>
      <c r="C81" s="825" t="e">
        <f aca="false">[11]PVA!$I$139</f>
        <v>#N/A</v>
      </c>
      <c r="D81" s="825" t="e">
        <f aca="false">[11]PVA!$I$140</f>
        <v>#N/A</v>
      </c>
      <c r="E81" s="825" t="e">
        <f aca="false">[11]PVA!$I$141</f>
        <v>#N/A</v>
      </c>
      <c r="F81" s="825" t="e">
        <f aca="false">[11]PVA!$O$132</f>
        <v>#N/A</v>
      </c>
      <c r="G81" s="825" t="e">
        <f aca="false">[11]PVA!$O$133</f>
        <v>#N/A</v>
      </c>
      <c r="AG81" s="827"/>
      <c r="AH81" s="825"/>
      <c r="AI81" s="825"/>
      <c r="AJ81" s="825"/>
      <c r="AK81" s="825"/>
      <c r="AL81" s="825"/>
      <c r="AM81" s="825"/>
    </row>
    <row r="82" customFormat="false" ht="13.8" hidden="false" customHeight="false" outlineLevel="0" collapsed="false">
      <c r="A82" s="827" t="n">
        <v>43910</v>
      </c>
      <c r="B82" s="825" t="e">
        <f aca="false">[12]PVA!$I$138</f>
        <v>#N/A</v>
      </c>
      <c r="C82" s="825" t="e">
        <f aca="false">[12]PVA!$I$139</f>
        <v>#N/A</v>
      </c>
      <c r="D82" s="825" t="e">
        <f aca="false">[12]PVA!$I$140</f>
        <v>#N/A</v>
      </c>
      <c r="E82" s="825" t="e">
        <f aca="false">[12]PVA!$I$141</f>
        <v>#N/A</v>
      </c>
      <c r="F82" s="825" t="e">
        <f aca="false">[12]PVA!$O$132</f>
        <v>#N/A</v>
      </c>
      <c r="G82" s="825" t="e">
        <f aca="false">[12]PVA!$O$134</f>
        <v>#N/A</v>
      </c>
      <c r="AG82" s="827"/>
      <c r="AH82" s="829" t="s">
        <v>2546</v>
      </c>
      <c r="AI82" s="821" t="s">
        <v>2552</v>
      </c>
      <c r="AJ82" s="821" t="s">
        <v>2554</v>
      </c>
      <c r="AK82" s="821" t="s">
        <v>4107</v>
      </c>
      <c r="AL82" s="821" t="s">
        <v>4112</v>
      </c>
    </row>
    <row r="83" customFormat="false" ht="13.8" hidden="false" customHeight="false" outlineLevel="0" collapsed="false">
      <c r="A83" s="827" t="n">
        <v>43971</v>
      </c>
      <c r="B83" s="825" t="e">
        <f aca="false">[13]PVA!$I$138</f>
        <v>#N/A</v>
      </c>
      <c r="C83" s="825" t="e">
        <f aca="false">[13]PVA!$I$139</f>
        <v>#N/A</v>
      </c>
      <c r="D83" s="825" t="e">
        <f aca="false">[13]PVA!$I$140</f>
        <v>#N/A</v>
      </c>
      <c r="E83" s="825" t="e">
        <f aca="false">[13]PVA!$I$141</f>
        <v>#N/A</v>
      </c>
      <c r="F83" s="825" t="e">
        <f aca="false">[13]PVA!$O$132</f>
        <v>#N/A</v>
      </c>
      <c r="G83" s="825" t="e">
        <f aca="false">[13]PVA!$O$135</f>
        <v>#N/A</v>
      </c>
      <c r="AG83" s="827" t="n">
        <v>43484</v>
      </c>
      <c r="AH83" s="587"/>
      <c r="AI83" s="587"/>
      <c r="AJ83" s="587"/>
      <c r="AK83" s="587"/>
      <c r="AL83" s="587"/>
    </row>
    <row r="84" customFormat="false" ht="13.8" hidden="false" customHeight="false" outlineLevel="0" collapsed="false">
      <c r="A84" s="827" t="n">
        <v>44002</v>
      </c>
      <c r="B84" s="825" t="e">
        <f aca="false">[14]PVA!$I$138</f>
        <v>#N/A</v>
      </c>
      <c r="C84" s="825" t="e">
        <f aca="false">[14]PVA!$I$139</f>
        <v>#N/A</v>
      </c>
      <c r="D84" s="825" t="e">
        <f aca="false">[14]PVA!$I$140</f>
        <v>#N/A</v>
      </c>
      <c r="E84" s="825" t="e">
        <f aca="false">[14]PVA!$I$141</f>
        <v>#N/A</v>
      </c>
      <c r="F84" s="825" t="e">
        <f aca="false">[14]PVA!$O$132</f>
        <v>#N/A</v>
      </c>
      <c r="G84" s="825" t="e">
        <f aca="false">[14]PVA!$O$133</f>
        <v>#N/A</v>
      </c>
      <c r="AG84" s="827" t="n">
        <v>43515</v>
      </c>
      <c r="AH84" s="822"/>
      <c r="AI84" s="822"/>
      <c r="AJ84" s="822"/>
      <c r="AK84" s="822"/>
      <c r="AL84" s="822"/>
    </row>
    <row r="85" customFormat="false" ht="13.8" hidden="false" customHeight="false" outlineLevel="0" collapsed="false">
      <c r="A85" s="827" t="n">
        <v>44032</v>
      </c>
      <c r="B85" s="825" t="n">
        <f aca="false">PVA!I154</f>
        <v>0.0185980945776369</v>
      </c>
      <c r="C85" s="825" t="n">
        <f aca="false">PVA!I155</f>
        <v>0.0273209971918724</v>
      </c>
      <c r="D85" s="825" t="n">
        <f aca="false">PVA!I156</f>
        <v>0.00826078134584034</v>
      </c>
      <c r="E85" s="825" t="n">
        <f aca="false">PVA!I157</f>
        <v>0.0156113944520463</v>
      </c>
      <c r="F85" s="825" t="n">
        <f aca="false">PVA!O145</f>
        <v>0.025908543028862</v>
      </c>
      <c r="G85" s="825" t="n">
        <f aca="false">PVA!O146</f>
        <v>0.0427105176029136</v>
      </c>
      <c r="AG85" s="827" t="n">
        <v>43543</v>
      </c>
      <c r="AH85" s="825" t="n">
        <v>0.0194042198838505</v>
      </c>
      <c r="AI85" s="825" t="n">
        <v>7.3155664416001E-005</v>
      </c>
      <c r="AJ85" s="825" t="n">
        <v>0.0152480643303543</v>
      </c>
      <c r="AK85" s="825" t="n">
        <v>0.000119662768561327</v>
      </c>
      <c r="AL85" s="825" t="n">
        <v>0.034461553205763</v>
      </c>
    </row>
    <row r="86" customFormat="false" ht="13.8" hidden="false" customHeight="false" outlineLevel="0" collapsed="false">
      <c r="A86" s="827"/>
      <c r="B86" s="825"/>
      <c r="C86" s="825"/>
      <c r="D86" s="825"/>
      <c r="E86" s="825"/>
      <c r="F86" s="825"/>
      <c r="G86" s="825"/>
      <c r="AG86" s="827" t="n">
        <v>43574</v>
      </c>
      <c r="AH86" s="825" t="n">
        <v>0.0425355547821282</v>
      </c>
      <c r="AI86" s="825" t="n">
        <v>0.000503513709181368</v>
      </c>
      <c r="AJ86" s="825" t="n">
        <v>0.0231333831809928</v>
      </c>
      <c r="AK86" s="825" t="n">
        <v>4.19155401865242E-005</v>
      </c>
      <c r="AL86" s="825" t="n">
        <v>0.0619035719305918</v>
      </c>
    </row>
    <row r="87" customFormat="false" ht="13.8" hidden="false" customHeight="false" outlineLevel="0" collapsed="false">
      <c r="A87" s="827"/>
      <c r="B87" s="825"/>
      <c r="C87" s="825"/>
      <c r="D87" s="825"/>
      <c r="E87" s="825"/>
      <c r="F87" s="825"/>
      <c r="G87" s="825"/>
    </row>
    <row r="88" customFormat="false" ht="13.8" hidden="false" customHeight="false" outlineLevel="0" collapsed="false">
      <c r="A88" s="827"/>
      <c r="B88" s="825"/>
      <c r="C88" s="825"/>
      <c r="D88" s="825"/>
      <c r="E88" s="825"/>
      <c r="F88" s="825"/>
      <c r="G88" s="825"/>
    </row>
    <row r="89" customFormat="false" ht="13.8" hidden="false" customHeight="false" outlineLevel="0" collapsed="false">
      <c r="A89" s="827"/>
      <c r="B89" s="825"/>
      <c r="C89" s="825"/>
      <c r="D89" s="825"/>
      <c r="E89" s="825"/>
      <c r="F89" s="825"/>
      <c r="G89" s="825"/>
    </row>
    <row r="90" customFormat="false" ht="13.8" hidden="false" customHeight="false" outlineLevel="0" collapsed="false">
      <c r="A90" s="827"/>
      <c r="B90" s="825"/>
      <c r="C90" s="825"/>
      <c r="D90" s="825"/>
      <c r="E90" s="825"/>
      <c r="F90" s="825"/>
      <c r="G90" s="825"/>
    </row>
    <row r="91" customFormat="false" ht="13.8" hidden="false" customHeight="false" outlineLevel="0" collapsed="false">
      <c r="A91" s="827"/>
      <c r="B91" s="825"/>
      <c r="C91" s="825"/>
      <c r="D91" s="825"/>
      <c r="E91" s="825"/>
      <c r="F91" s="825"/>
      <c r="G91" s="825"/>
    </row>
    <row r="92" customFormat="false" ht="13.8" hidden="false" customHeight="false" outlineLevel="0" collapsed="false">
      <c r="A92" s="827"/>
      <c r="B92" s="825"/>
      <c r="C92" s="825"/>
      <c r="D92" s="825"/>
      <c r="E92" s="825"/>
      <c r="F92" s="825"/>
      <c r="G92" s="825"/>
    </row>
    <row r="93" customFormat="false" ht="13.8" hidden="false" customHeight="false" outlineLevel="0" collapsed="false">
      <c r="A93" s="827"/>
      <c r="B93" s="825"/>
      <c r="C93" s="825"/>
      <c r="D93" s="825"/>
      <c r="E93" s="825"/>
      <c r="F93" s="825"/>
      <c r="G93" s="825"/>
    </row>
    <row r="94" customFormat="false" ht="13.8" hidden="false" customHeight="false" outlineLevel="0" collapsed="false">
      <c r="A94" s="827"/>
      <c r="B94" s="829" t="s">
        <v>2546</v>
      </c>
      <c r="C94" s="821" t="s">
        <v>2552</v>
      </c>
      <c r="D94" s="821" t="s">
        <v>2554</v>
      </c>
      <c r="E94" s="821" t="s">
        <v>4107</v>
      </c>
      <c r="F94" s="821" t="s">
        <v>4112</v>
      </c>
    </row>
    <row r="95" customFormat="false" ht="13.8" hidden="false" customHeight="false" outlineLevel="0" collapsed="false">
      <c r="A95" s="827" t="n">
        <v>43484</v>
      </c>
      <c r="B95" s="587" t="n">
        <v>0.019681131760775</v>
      </c>
      <c r="C95" s="587" t="n">
        <v>0.000100625095288916</v>
      </c>
      <c r="D95" s="587" t="n">
        <v>0.0136008762161618</v>
      </c>
      <c r="E95" s="587" t="n">
        <v>0.000161887525528417</v>
      </c>
      <c r="F95" s="587" t="n">
        <v>0.0166410039884684</v>
      </c>
    </row>
    <row r="96" customFormat="false" ht="13.8" hidden="false" customHeight="false" outlineLevel="0" collapsed="false">
      <c r="A96" s="827" t="n">
        <v>43515</v>
      </c>
      <c r="B96" s="822" t="n">
        <v>0.0312</v>
      </c>
      <c r="C96" s="822" t="n">
        <v>0.0057</v>
      </c>
      <c r="D96" s="822" t="n">
        <v>0.0294</v>
      </c>
      <c r="E96" s="822" t="n">
        <v>0.0002</v>
      </c>
      <c r="F96" s="822" t="n">
        <v>0.0617</v>
      </c>
    </row>
    <row r="97" customFormat="false" ht="13.8" hidden="false" customHeight="false" outlineLevel="0" collapsed="false">
      <c r="A97" s="827" t="n">
        <v>43543</v>
      </c>
      <c r="B97" s="825" t="n">
        <v>0.0194042198838505</v>
      </c>
      <c r="C97" s="825" t="n">
        <v>7.3155664416001E-005</v>
      </c>
      <c r="D97" s="825" t="n">
        <v>0.0152480643303543</v>
      </c>
      <c r="E97" s="825" t="n">
        <v>0.000119662768561327</v>
      </c>
      <c r="F97" s="825" t="n">
        <v>0.034461553205763</v>
      </c>
    </row>
    <row r="98" customFormat="false" ht="13.8" hidden="false" customHeight="false" outlineLevel="0" collapsed="false">
      <c r="A98" s="827" t="n">
        <v>43574</v>
      </c>
      <c r="B98" s="825" t="n">
        <v>0.0425355547821282</v>
      </c>
      <c r="C98" s="825" t="n">
        <v>0.000503513709181368</v>
      </c>
      <c r="D98" s="825" t="n">
        <v>0.0231333831809928</v>
      </c>
      <c r="E98" s="825" t="n">
        <v>4.19155401865242E-005</v>
      </c>
      <c r="F98" s="825" t="n">
        <v>0.0619035719305918</v>
      </c>
    </row>
    <row r="99" customFormat="false" ht="13.8" hidden="false" customHeight="false" outlineLevel="0" collapsed="false">
      <c r="A99" s="827" t="n">
        <v>43604</v>
      </c>
      <c r="B99" s="825" t="n">
        <v>0.037</v>
      </c>
      <c r="C99" s="825" t="n">
        <v>0</v>
      </c>
      <c r="D99" s="825" t="n">
        <v>0.0127</v>
      </c>
      <c r="E99" s="825" t="n">
        <v>0.0001</v>
      </c>
      <c r="F99" s="825" t="n">
        <v>0.0513</v>
      </c>
    </row>
    <row r="100" customFormat="false" ht="13.8" hidden="false" customHeight="false" outlineLevel="0" collapsed="false">
      <c r="A100" s="827" t="n">
        <v>43635</v>
      </c>
      <c r="B100" s="825" t="n">
        <v>0.0188061891457333</v>
      </c>
      <c r="C100" s="825" t="n">
        <v>0.000193310898378367</v>
      </c>
      <c r="D100" s="825" t="n">
        <v>0.0108639976729039</v>
      </c>
      <c r="E100" s="825" t="n">
        <v>0.000396825396825397</v>
      </c>
      <c r="F100" s="825" t="n">
        <v>0.0276448549360746</v>
      </c>
    </row>
    <row r="101" customFormat="false" ht="13.8" hidden="false" customHeight="false" outlineLevel="0" collapsed="false">
      <c r="A101" s="827" t="n">
        <v>43665</v>
      </c>
      <c r="B101" s="587" t="n">
        <v>0.0243101182654402</v>
      </c>
      <c r="C101" s="587" t="n">
        <v>0</v>
      </c>
      <c r="D101" s="587" t="n">
        <v>0.0178355750572708</v>
      </c>
      <c r="E101" s="587" t="n">
        <v>0.000196244798069875</v>
      </c>
      <c r="F101" s="587" t="n">
        <v>0.0432609202113432</v>
      </c>
    </row>
    <row r="102" customFormat="false" ht="13.8" hidden="false" customHeight="false" outlineLevel="0" collapsed="false">
      <c r="A102" s="827" t="n">
        <v>43696</v>
      </c>
      <c r="B102" s="825" t="n">
        <v>0.0198690209109711</v>
      </c>
      <c r="C102" s="825" t="n">
        <v>0</v>
      </c>
      <c r="D102" s="825" t="n">
        <v>0.0169138801601844</v>
      </c>
      <c r="E102" s="825" t="n">
        <v>0.000187579289271946</v>
      </c>
      <c r="F102" s="825" t="n">
        <v>0.038397426255023</v>
      </c>
    </row>
    <row r="103" customFormat="false" ht="13.8" hidden="false" customHeight="false" outlineLevel="0" collapsed="false">
      <c r="A103" s="827" t="n">
        <v>43727</v>
      </c>
      <c r="B103" s="825" t="n">
        <v>0.0195267611000959</v>
      </c>
      <c r="C103" s="825" t="n">
        <v>0</v>
      </c>
      <c r="D103" s="825" t="n">
        <v>0.0103624756611428</v>
      </c>
      <c r="E103" s="825" t="n">
        <v>9.76171148491045E-005</v>
      </c>
      <c r="F103" s="825" t="n">
        <v>0.0298185758772008</v>
      </c>
    </row>
    <row r="104" customFormat="false" ht="13.8" hidden="false" customHeight="false" outlineLevel="0" collapsed="false">
      <c r="A104" s="827" t="n">
        <v>43757</v>
      </c>
      <c r="B104" s="825" t="n">
        <v>0.0163414422683094</v>
      </c>
      <c r="C104" s="825" t="n">
        <v>0</v>
      </c>
      <c r="D104" s="825" t="n">
        <v>0.00828141915325325</v>
      </c>
      <c r="E104" s="825" t="n">
        <v>2.35324571415124E-005</v>
      </c>
      <c r="F104" s="825" t="n">
        <v>0.0238098063765777</v>
      </c>
    </row>
    <row r="105" customFormat="false" ht="13.8" hidden="false" customHeight="false" outlineLevel="0" collapsed="false">
      <c r="A105" s="827" t="n">
        <v>43788</v>
      </c>
      <c r="B105" s="825" t="n">
        <v>0.0248628281949453</v>
      </c>
      <c r="C105" s="825" t="n">
        <v>0</v>
      </c>
      <c r="D105" s="825" t="n">
        <v>0.010287511867481</v>
      </c>
      <c r="E105" s="825" t="n">
        <v>4.98562478187892E-005</v>
      </c>
      <c r="F105" s="825" t="n">
        <v>0.0347274072170498</v>
      </c>
    </row>
    <row r="106" customFormat="false" ht="13.8" hidden="false" customHeight="false" outlineLevel="0" collapsed="false">
      <c r="A106" s="827" t="n">
        <v>43818</v>
      </c>
      <c r="B106" s="825" t="n">
        <v>0.020447450971369</v>
      </c>
      <c r="C106" s="825" t="n">
        <v>0</v>
      </c>
      <c r="D106" s="825" t="n">
        <v>0.0140855958933762</v>
      </c>
      <c r="E106" s="825" t="n">
        <v>-1.13884839650146E-005</v>
      </c>
      <c r="F106" s="825" t="n">
        <v>0.03395458602484</v>
      </c>
    </row>
    <row r="107" customFormat="false" ht="13.8" hidden="false" customHeight="false" outlineLevel="0" collapsed="false">
      <c r="A107" s="820" t="n">
        <v>43831</v>
      </c>
      <c r="B107" s="828" t="n">
        <f aca="false">PVA!I158</f>
        <v>0.0134190783853054</v>
      </c>
      <c r="C107" s="828" t="n">
        <f aca="false">PVA!I160</f>
        <v>0.000212005796054111</v>
      </c>
      <c r="D107" s="828" t="n">
        <f aca="false">PVA!I162</f>
        <v>0.00663562698155693</v>
      </c>
      <c r="E107" s="828" t="n">
        <f aca="false">PVA!I163</f>
        <v>0.000614704476166231</v>
      </c>
      <c r="F107" s="828" t="n">
        <f aca="false">PVA!O148</f>
        <v>0.0198482886586929</v>
      </c>
    </row>
    <row r="108" customFormat="false" ht="13.8" hidden="false" customHeight="false" outlineLevel="0" collapsed="false">
      <c r="A108" s="820" t="n">
        <v>43881</v>
      </c>
      <c r="B108" s="825" t="e">
        <f aca="false">[11]PVA!$I$142</f>
        <v>#N/A</v>
      </c>
      <c r="C108" s="825" t="e">
        <f aca="false">[11]PVA!$I$144</f>
        <v>#N/A</v>
      </c>
      <c r="D108" s="825" t="e">
        <f aca="false">[11]PVA!$I$146</f>
        <v>#N/A</v>
      </c>
      <c r="E108" s="825" t="e">
        <f aca="false">[11]PVA!$I$147</f>
        <v>#N/A</v>
      </c>
      <c r="F108" s="825" t="e">
        <f aca="false">[11]PVA!$O$134</f>
        <v>#N/A</v>
      </c>
    </row>
    <row r="109" customFormat="false" ht="13.8" hidden="false" customHeight="false" outlineLevel="0" collapsed="false">
      <c r="A109" s="827" t="n">
        <v>43910</v>
      </c>
      <c r="B109" s="587" t="e">
        <f aca="false">[12]PVA!$I$142</f>
        <v>#N/A</v>
      </c>
      <c r="C109" s="587" t="e">
        <f aca="false">[12]PVA!$I$144</f>
        <v>#N/A</v>
      </c>
      <c r="D109" s="587" t="e">
        <f aca="false">[12]PVA!$I$146</f>
        <v>#N/A</v>
      </c>
      <c r="E109" s="587" t="e">
        <f aca="false">[12]PVA!$I$147</f>
        <v>#N/A</v>
      </c>
      <c r="F109" s="587" t="e">
        <f aca="false">[12]PVA!$O$134</f>
        <v>#N/A</v>
      </c>
    </row>
    <row r="110" customFormat="false" ht="13.8" hidden="false" customHeight="false" outlineLevel="0" collapsed="false">
      <c r="A110" s="827" t="n">
        <v>43971</v>
      </c>
      <c r="B110" s="587" t="e">
        <f aca="false">[13]PVA!$I$142</f>
        <v>#N/A</v>
      </c>
      <c r="C110" s="587" t="e">
        <f aca="false">[13]PVA!$I$144</f>
        <v>#N/A</v>
      </c>
      <c r="D110" s="587" t="e">
        <f aca="false">[13]PVA!$I$146</f>
        <v>#N/A</v>
      </c>
      <c r="E110" s="587" t="e">
        <f aca="false">[13]PVA!$I$147</f>
        <v>#N/A</v>
      </c>
      <c r="F110" s="587" t="e">
        <f aca="false">[13]PVA!$O$134</f>
        <v>#N/A</v>
      </c>
    </row>
    <row r="111" customFormat="false" ht="13.8" hidden="false" customHeight="false" outlineLevel="0" collapsed="false">
      <c r="A111" s="827" t="n">
        <v>44002</v>
      </c>
      <c r="B111" s="825" t="e">
        <f aca="false">[14]PVA!$I$142</f>
        <v>#N/A</v>
      </c>
      <c r="C111" s="825" t="e">
        <f aca="false">[14]PVA!$I$144</f>
        <v>#N/A</v>
      </c>
      <c r="D111" s="825" t="e">
        <f aca="false">[14]PVA!$I$146</f>
        <v>#N/A</v>
      </c>
      <c r="E111" s="825" t="e">
        <f aca="false">[14]PVA!$I$147</f>
        <v>#N/A</v>
      </c>
      <c r="F111" s="825" t="e">
        <f aca="false">[14]PVA!$O$134</f>
        <v>#N/A</v>
      </c>
    </row>
    <row r="112" customFormat="false" ht="13.8" hidden="false" customHeight="false" outlineLevel="0" collapsed="false">
      <c r="A112" s="827" t="n">
        <v>44032</v>
      </c>
      <c r="B112" s="825" t="n">
        <f aca="false">PVA!I158</f>
        <v>0.0134190783853054</v>
      </c>
      <c r="C112" s="825" t="n">
        <f aca="false">PVA!I160</f>
        <v>0.000212005796054111</v>
      </c>
      <c r="D112" s="825" t="n">
        <f aca="false">PVA!I162</f>
        <v>0.00663562698155693</v>
      </c>
      <c r="E112" s="825" t="n">
        <f aca="false">PVA!I163</f>
        <v>0.000614704476166231</v>
      </c>
      <c r="F112" s="825" t="n">
        <f aca="false">PVA!O148</f>
        <v>0.0198482886586929</v>
      </c>
    </row>
    <row r="113" customFormat="false" ht="13.8" hidden="false" customHeight="false" outlineLevel="0" collapsed="false">
      <c r="A113" s="827"/>
      <c r="B113" s="587"/>
      <c r="C113" s="587"/>
      <c r="D113" s="587"/>
      <c r="E113" s="587"/>
      <c r="F113" s="587"/>
    </row>
    <row r="114" customFormat="false" ht="13.8" hidden="false" customHeight="false" outlineLevel="0" collapsed="false">
      <c r="A114" s="827"/>
      <c r="B114" s="587"/>
      <c r="C114" s="587"/>
      <c r="D114" s="587"/>
      <c r="E114" s="587"/>
      <c r="F114" s="587"/>
    </row>
    <row r="115" customFormat="false" ht="13.8" hidden="false" customHeight="false" outlineLevel="0" collapsed="false">
      <c r="A115" s="827"/>
      <c r="B115" s="587"/>
      <c r="C115" s="587"/>
      <c r="D115" s="587"/>
      <c r="E115" s="587"/>
      <c r="F115" s="587"/>
    </row>
    <row r="116" customFormat="false" ht="13.8" hidden="false" customHeight="false" outlineLevel="0" collapsed="false">
      <c r="A116" s="827"/>
      <c r="B116" s="587"/>
      <c r="C116" s="587"/>
      <c r="D116" s="587"/>
      <c r="E116" s="587"/>
      <c r="F116" s="587"/>
    </row>
    <row r="117" customFormat="false" ht="13.8" hidden="false" customHeight="false" outlineLevel="0" collapsed="false">
      <c r="A117" s="827"/>
      <c r="B117" s="587"/>
      <c r="C117" s="587"/>
      <c r="D117" s="587"/>
      <c r="E117" s="587"/>
      <c r="F117" s="587"/>
    </row>
    <row r="118" customFormat="false" ht="13.8" hidden="false" customHeight="false" outlineLevel="0" collapsed="false">
      <c r="A118" s="827"/>
      <c r="B118" s="587"/>
      <c r="C118" s="587"/>
      <c r="D118" s="587"/>
      <c r="E118" s="587"/>
      <c r="F118" s="587"/>
    </row>
    <row r="119" customFormat="false" ht="13.8" hidden="false" customHeight="false" outlineLevel="0" collapsed="false">
      <c r="A119" s="827"/>
      <c r="B119" s="587"/>
      <c r="C119" s="587"/>
      <c r="D119" s="587"/>
      <c r="E119" s="587"/>
      <c r="F119" s="587"/>
    </row>
    <row r="120" customFormat="false" ht="13.8" hidden="false" customHeight="false" outlineLevel="0" collapsed="false">
      <c r="A120" s="827"/>
      <c r="B120" s="587"/>
      <c r="C120" s="587"/>
      <c r="D120" s="587"/>
      <c r="E120" s="587"/>
      <c r="F120" s="587"/>
    </row>
  </sheetData>
  <mergeCells count="3">
    <mergeCell ref="B66:C66"/>
    <mergeCell ref="D66:E66"/>
    <mergeCell ref="F66:G66"/>
  </mergeCells>
  <printOptions headings="false" gridLines="false" gridLinesSet="true" horizontalCentered="false" verticalCentered="false"/>
  <pageMargins left="0.2" right="0.2" top="0.409722222222222" bottom="0.3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S310"/>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B7" activeCellId="0" sqref="B7"/>
    </sheetView>
  </sheetViews>
  <sheetFormatPr defaultColWidth="8.54296875" defaultRowHeight="13.8" zeroHeight="false" outlineLevelRow="0" outlineLevelCol="0"/>
  <cols>
    <col collapsed="false" customWidth="true" hidden="false" outlineLevel="0" max="2" min="2" style="0" width="15.45"/>
    <col collapsed="false" customWidth="true" hidden="false" outlineLevel="0" max="3" min="3" style="0" width="32.47"/>
    <col collapsed="false" customWidth="true" hidden="false" outlineLevel="0" max="6" min="4" style="240" width="15.45"/>
    <col collapsed="false" customWidth="true" hidden="false" outlineLevel="0" max="9" min="9" style="0" width="14.45"/>
    <col collapsed="false" customWidth="true" hidden="false" outlineLevel="0" max="12" min="12" style="0" width="15.45"/>
    <col collapsed="false" customWidth="true" hidden="false" outlineLevel="0" max="40" min="40" style="0" width="27"/>
    <col collapsed="false" customWidth="true" hidden="false" outlineLevel="0" max="43" min="41" style="0" width="27.54"/>
  </cols>
  <sheetData>
    <row r="1" customFormat="false" ht="22.05" hidden="false" customHeight="false" outlineLevel="0" collapsed="false">
      <c r="B1" s="830" t="s">
        <v>4113</v>
      </c>
      <c r="D1" s="831" t="n">
        <v>44166</v>
      </c>
    </row>
    <row r="2" customFormat="false" ht="22.05" hidden="false" customHeight="false" outlineLevel="0" collapsed="false">
      <c r="B2" s="830"/>
    </row>
    <row r="3" s="832" customFormat="true" ht="59.25" hidden="false" customHeight="true" outlineLevel="0" collapsed="false">
      <c r="B3" s="833" t="s">
        <v>16</v>
      </c>
      <c r="C3" s="834" t="s">
        <v>2410</v>
      </c>
      <c r="D3" s="835" t="s">
        <v>4114</v>
      </c>
      <c r="E3" s="835" t="s">
        <v>4115</v>
      </c>
      <c r="F3" s="836" t="s">
        <v>4116</v>
      </c>
      <c r="AN3" s="837" t="n">
        <v>7.66</v>
      </c>
      <c r="AO3" s="837" t="n">
        <v>11</v>
      </c>
      <c r="AP3" s="837" t="n">
        <v>15.3333333333333</v>
      </c>
      <c r="AQ3" s="837" t="n">
        <v>22</v>
      </c>
    </row>
    <row r="4" customFormat="false" ht="14.9" hidden="false" customHeight="false" outlineLevel="0" collapsed="false">
      <c r="B4" s="838" t="s">
        <v>1286</v>
      </c>
      <c r="C4" s="839" t="s">
        <v>4117</v>
      </c>
      <c r="D4" s="840"/>
      <c r="E4" s="840" t="n">
        <f aca="false">SUMIF('Data Sheet Aug-2021'!F:F,'Mold-Machine details'!B:B,'Data Sheet Aug-2021'!N:N)/8</f>
        <v>14822.25</v>
      </c>
      <c r="F4" s="841" t="n">
        <f aca="false">D4-E4</f>
        <v>-14822.25</v>
      </c>
      <c r="AN4" s="842" t="s">
        <v>4118</v>
      </c>
      <c r="AO4" s="842" t="s">
        <v>4119</v>
      </c>
      <c r="AP4" s="842" t="s">
        <v>4120</v>
      </c>
      <c r="AQ4" s="842" t="s">
        <v>4121</v>
      </c>
    </row>
    <row r="5" customFormat="false" ht="14.9" hidden="false" customHeight="false" outlineLevel="0" collapsed="false">
      <c r="B5" s="843" t="s">
        <v>137</v>
      </c>
      <c r="C5" s="119" t="s">
        <v>4122</v>
      </c>
      <c r="D5" s="813"/>
      <c r="E5" s="813" t="n">
        <f aca="false">SUMIF('Data Sheet Aug-2021'!F:F,'Mold-Machine details'!B:B,'Data Sheet Aug-2021'!N:N)/8</f>
        <v>133478.5</v>
      </c>
      <c r="F5" s="844" t="n">
        <f aca="false">D5-E5</f>
        <v>-133478.5</v>
      </c>
      <c r="I5" s="17"/>
    </row>
    <row r="6" customFormat="false" ht="14.9" hidden="false" customHeight="false" outlineLevel="0" collapsed="false">
      <c r="B6" s="843" t="s">
        <v>144</v>
      </c>
      <c r="C6" s="119" t="s">
        <v>4123</v>
      </c>
      <c r="D6" s="813"/>
      <c r="E6" s="813" t="n">
        <f aca="false">SUMIF('Data Sheet Aug-2021'!F:F,'Mold-Machine details'!B:B,'Data Sheet Aug-2021'!N:N)/2</f>
        <v>34271.5</v>
      </c>
      <c r="F6" s="844" t="n">
        <f aca="false">D6-E6</f>
        <v>-34271.5</v>
      </c>
    </row>
    <row r="7" customFormat="false" ht="14.9" hidden="false" customHeight="false" outlineLevel="0" collapsed="false">
      <c r="B7" s="843" t="s">
        <v>216</v>
      </c>
      <c r="C7" s="119" t="s">
        <v>4124</v>
      </c>
      <c r="D7" s="813"/>
      <c r="E7" s="813" t="n">
        <f aca="false">SUMIF('Data Sheet Aug-2021'!F:F,'Mold-Machine details'!B:B,'Data Sheet Aug-2021'!N:N)/2</f>
        <v>39625.5</v>
      </c>
      <c r="F7" s="844" t="n">
        <f aca="false">D7-E7</f>
        <v>-39625.5</v>
      </c>
    </row>
    <row r="8" customFormat="false" ht="14.9" hidden="false" customHeight="false" outlineLevel="0" collapsed="false">
      <c r="B8" s="843" t="s">
        <v>73</v>
      </c>
      <c r="C8" s="119" t="s">
        <v>4125</v>
      </c>
      <c r="D8" s="813"/>
      <c r="E8" s="813" t="n">
        <f aca="false">SUMIF('Data Sheet Aug-2021'!F:F,'Mold-Machine details'!B:B,'Data Sheet Aug-2021'!N:N)/2</f>
        <v>111320</v>
      </c>
      <c r="F8" s="844" t="n">
        <f aca="false">D8-E8</f>
        <v>-111320</v>
      </c>
      <c r="L8" s="17"/>
    </row>
    <row r="9" customFormat="false" ht="14.9" hidden="false" customHeight="false" outlineLevel="0" collapsed="false">
      <c r="B9" s="843" t="s">
        <v>79</v>
      </c>
      <c r="C9" s="119" t="s">
        <v>4126</v>
      </c>
      <c r="D9" s="813"/>
      <c r="E9" s="813" t="n">
        <f aca="false">SUMIF('Data Sheet Aug-2021'!F:F,'Mold-Machine details'!B:B,'Data Sheet Aug-2021'!N:N)/2</f>
        <v>44573.5</v>
      </c>
      <c r="F9" s="844" t="n">
        <f aca="false">D9-E9</f>
        <v>-44573.5</v>
      </c>
      <c r="L9" s="845"/>
    </row>
    <row r="10" customFormat="false" ht="14.9" hidden="false" customHeight="false" outlineLevel="0" collapsed="false">
      <c r="B10" s="843" t="s">
        <v>589</v>
      </c>
      <c r="C10" s="119" t="s">
        <v>4127</v>
      </c>
      <c r="D10" s="813"/>
      <c r="E10" s="813" t="n">
        <f aca="false">SUMIF('Data Sheet Aug-2021'!F:F,'Mold-Machine details'!B:B,'Data Sheet Aug-2021'!N:N)/2</f>
        <v>42052</v>
      </c>
      <c r="F10" s="844" t="n">
        <f aca="false">D10-E10</f>
        <v>-42052</v>
      </c>
      <c r="L10" s="845"/>
    </row>
    <row r="11" customFormat="false" ht="14.9" hidden="false" customHeight="false" outlineLevel="0" collapsed="false">
      <c r="B11" s="843" t="s">
        <v>4128</v>
      </c>
      <c r="C11" s="119" t="s">
        <v>4129</v>
      </c>
      <c r="D11" s="813"/>
      <c r="E11" s="813" t="n">
        <f aca="false">SUMIF('Data Sheet Aug-2021'!F:F,'Mold-Machine details'!B:B,'Data Sheet Aug-2021'!N:N)/2</f>
        <v>0</v>
      </c>
      <c r="F11" s="844" t="n">
        <f aca="false">D11-E11</f>
        <v>0</v>
      </c>
      <c r="L11" s="845"/>
    </row>
    <row r="12" customFormat="false" ht="14.9" hidden="false" customHeight="false" outlineLevel="0" collapsed="false">
      <c r="B12" s="846" t="s">
        <v>4130</v>
      </c>
      <c r="C12" s="847" t="s">
        <v>4131</v>
      </c>
      <c r="D12" s="848"/>
      <c r="E12" s="848" t="n">
        <f aca="false">SUMIF('Data Sheet Aug-2021'!F:F,'Mold-Machine details'!B:B,'Data Sheet Aug-2021'!N:N)/2</f>
        <v>0</v>
      </c>
      <c r="F12" s="849" t="n">
        <f aca="false">D12-E12</f>
        <v>0</v>
      </c>
      <c r="L12" s="845"/>
    </row>
    <row r="13" customFormat="false" ht="13.8" hidden="false" customHeight="false" outlineLevel="0" collapsed="false">
      <c r="B13" s="118"/>
      <c r="C13" s="118"/>
      <c r="D13" s="850"/>
      <c r="E13" s="850"/>
      <c r="F13" s="556"/>
      <c r="L13" s="845"/>
    </row>
    <row r="14" customFormat="false" ht="22.05" hidden="false" customHeight="false" outlineLevel="0" collapsed="false">
      <c r="B14" s="830" t="s">
        <v>4132</v>
      </c>
      <c r="C14" s="118"/>
      <c r="D14" s="850"/>
      <c r="E14" s="850"/>
      <c r="F14" s="556"/>
      <c r="L14" s="845"/>
    </row>
    <row r="15" customFormat="false" ht="13.8" hidden="false" customHeight="false" outlineLevel="0" collapsed="false">
      <c r="E15" s="851"/>
      <c r="L15" s="845"/>
    </row>
    <row r="16" s="832" customFormat="true" ht="50.7" hidden="false" customHeight="false" outlineLevel="0" collapsed="false">
      <c r="B16" s="833" t="s">
        <v>17</v>
      </c>
      <c r="C16" s="834" t="s">
        <v>2410</v>
      </c>
      <c r="D16" s="835" t="s">
        <v>4114</v>
      </c>
      <c r="E16" s="835" t="s">
        <v>4115</v>
      </c>
      <c r="F16" s="836" t="s">
        <v>4116</v>
      </c>
      <c r="L16" s="852"/>
    </row>
    <row r="17" customFormat="false" ht="14.9" hidden="false" customHeight="false" outlineLevel="0" collapsed="false">
      <c r="B17" s="853" t="s">
        <v>848</v>
      </c>
      <c r="C17" s="854" t="s">
        <v>4133</v>
      </c>
      <c r="D17" s="840" t="n">
        <v>0</v>
      </c>
      <c r="E17" s="840" t="n">
        <f aca="false">SUMIF('Data Sheet Aug-2021'!G:G,'Mold-Machine details'!B:B,'Data Sheet Aug-2021'!N:N)/8</f>
        <v>27113.625</v>
      </c>
      <c r="F17" s="841" t="n">
        <f aca="false">D17-E17</f>
        <v>-27113.625</v>
      </c>
    </row>
    <row r="18" customFormat="false" ht="14.9" hidden="false" customHeight="false" outlineLevel="0" collapsed="false">
      <c r="B18" s="843" t="s">
        <v>138</v>
      </c>
      <c r="C18" s="119" t="s">
        <v>4134</v>
      </c>
      <c r="D18" s="813"/>
      <c r="E18" s="813" t="n">
        <f aca="false">SUMIF('Data Sheet Aug-2021'!G:G,'Mold-Machine details'!B:B,'Data Sheet Aug-2021'!N:N)/8</f>
        <v>122435</v>
      </c>
      <c r="F18" s="844" t="n">
        <f aca="false">D18-E18</f>
        <v>-122435</v>
      </c>
    </row>
    <row r="19" customFormat="false" ht="14.9" hidden="false" customHeight="false" outlineLevel="0" collapsed="false">
      <c r="B19" s="843" t="s">
        <v>80</v>
      </c>
      <c r="C19" s="119" t="s">
        <v>4135</v>
      </c>
      <c r="D19" s="813"/>
      <c r="E19" s="813" t="n">
        <f aca="false">SUMIF('Data Sheet Aug-2021'!G:G,'Mold-Machine details'!B:B,'Data Sheet Aug-2021'!N:N)/2</f>
        <v>93384.5</v>
      </c>
      <c r="F19" s="844" t="n">
        <f aca="false">D19-E19</f>
        <v>-93384.5</v>
      </c>
    </row>
    <row r="20" customFormat="false" ht="14.9" hidden="false" customHeight="false" outlineLevel="0" collapsed="false">
      <c r="B20" s="843" t="s">
        <v>74</v>
      </c>
      <c r="C20" s="119" t="s">
        <v>4136</v>
      </c>
      <c r="D20" s="813"/>
      <c r="E20" s="813" t="n">
        <f aca="false">SUMIF('Data Sheet Aug-2021'!G:G,'Mold-Machine details'!B:B,'Data Sheet Aug-2021'!N:N)/2</f>
        <v>201966</v>
      </c>
      <c r="F20" s="844" t="n">
        <f aca="false">D20-E20</f>
        <v>-201966</v>
      </c>
    </row>
    <row r="21" customFormat="false" ht="14.9" hidden="false" customHeight="false" outlineLevel="0" collapsed="false">
      <c r="B21" s="843" t="s">
        <v>54</v>
      </c>
      <c r="C21" s="119" t="s">
        <v>4137</v>
      </c>
      <c r="D21" s="813"/>
      <c r="E21" s="813" t="n">
        <f aca="false">SUMIF('Data Sheet Aug-2021'!G:G,'Mold-Machine details'!B:B,'Data Sheet Aug-2021'!N:N)</f>
        <v>877399</v>
      </c>
      <c r="F21" s="844" t="n">
        <f aca="false">D21-E21</f>
        <v>-877399</v>
      </c>
    </row>
    <row r="22" customFormat="false" ht="14.9" hidden="false" customHeight="false" outlineLevel="0" collapsed="false">
      <c r="B22" s="843" t="s">
        <v>149</v>
      </c>
      <c r="C22" s="119" t="s">
        <v>4138</v>
      </c>
      <c r="D22" s="813"/>
      <c r="E22" s="813" t="n">
        <f aca="false">SUMIF('Data Sheet Aug-2021'!G:G,'Mold-Machine details'!B:B,'Data Sheet Aug-2021'!N:N)</f>
        <v>294260</v>
      </c>
      <c r="F22" s="844" t="n">
        <f aca="false">D22-E22</f>
        <v>-294260</v>
      </c>
    </row>
    <row r="23" customFormat="false" ht="14.9" hidden="false" customHeight="false" outlineLevel="0" collapsed="false">
      <c r="B23" s="843" t="s">
        <v>66</v>
      </c>
      <c r="C23" s="119" t="s">
        <v>4139</v>
      </c>
      <c r="D23" s="813"/>
      <c r="E23" s="813" t="n">
        <f aca="false">SUMIF('Data Sheet Aug-2021'!G:G,'Mold-Machine details'!B:B,'Data Sheet Aug-2021'!N:N)</f>
        <v>168904</v>
      </c>
      <c r="F23" s="844" t="n">
        <f aca="false">D23-E23</f>
        <v>-168904</v>
      </c>
    </row>
    <row r="24" customFormat="false" ht="14.9" hidden="false" customHeight="false" outlineLevel="0" collapsed="false">
      <c r="B24" s="843" t="s">
        <v>432</v>
      </c>
      <c r="C24" s="119" t="s">
        <v>4140</v>
      </c>
      <c r="D24" s="813"/>
      <c r="E24" s="813" t="n">
        <f aca="false">SUMIF('Data Sheet Aug-2021'!G:G,'Mold-Machine details'!B:B,'Data Sheet Aug-2021'!N:N)</f>
        <v>526064</v>
      </c>
      <c r="F24" s="844" t="n">
        <f aca="false">D24-E24</f>
        <v>-526064</v>
      </c>
    </row>
    <row r="25" customFormat="false" ht="14.9" hidden="false" customHeight="false" outlineLevel="0" collapsed="false">
      <c r="B25" s="846" t="s">
        <v>517</v>
      </c>
      <c r="C25" s="847" t="s">
        <v>4141</v>
      </c>
      <c r="D25" s="848"/>
      <c r="E25" s="848" t="n">
        <f aca="false">SUMIF('Data Sheet Aug-2021'!G:G,'Mold-Machine details'!B:B,'Data Sheet Aug-2021'!N:N)</f>
        <v>785325</v>
      </c>
      <c r="F25" s="849" t="n">
        <f aca="false">D25-E25</f>
        <v>-785325</v>
      </c>
    </row>
    <row r="304" customFormat="false" ht="13.8" hidden="false" customHeight="false" outlineLevel="0" collapsed="false">
      <c r="AP304" s="0" t="n">
        <v>50</v>
      </c>
    </row>
    <row r="306" customFormat="false" ht="13.8" hidden="false" customHeight="false" outlineLevel="0" collapsed="false">
      <c r="K306" s="0" t="n">
        <v>6000</v>
      </c>
      <c r="AP306" s="0" t="n">
        <v>50</v>
      </c>
    </row>
    <row r="307" customFormat="false" ht="13.8" hidden="false" customHeight="false" outlineLevel="0" collapsed="false">
      <c r="G307" s="0" t="s">
        <v>4142</v>
      </c>
      <c r="J307" s="0" t="n">
        <f aca="false">6871/1412</f>
        <v>4.86614730878187</v>
      </c>
      <c r="K307" s="0" t="n">
        <f aca="false">12000-M307</f>
        <v>12000</v>
      </c>
      <c r="N307" s="0" t="n">
        <v>6815</v>
      </c>
      <c r="O307" s="0" t="n">
        <v>0</v>
      </c>
      <c r="P307" s="0" t="n">
        <v>0</v>
      </c>
      <c r="Q307" s="0" t="n">
        <v>0</v>
      </c>
      <c r="R307" s="0" t="n">
        <v>0</v>
      </c>
      <c r="S307" s="0" t="n">
        <v>56</v>
      </c>
      <c r="T307" s="0" t="n">
        <v>0</v>
      </c>
      <c r="U307" s="0" t="n">
        <v>3</v>
      </c>
      <c r="AL307" s="0" t="s">
        <v>4143</v>
      </c>
      <c r="AP307" s="0" t="n">
        <v>50</v>
      </c>
    </row>
    <row r="308" customFormat="false" ht="13.8" hidden="false" customHeight="false" outlineLevel="0" collapsed="false">
      <c r="G308" s="0" t="s">
        <v>4144</v>
      </c>
      <c r="J308" s="0" t="n">
        <f aca="false">8.5-J307</f>
        <v>3.63385269121813</v>
      </c>
      <c r="K308" s="0" t="n">
        <f aca="false">12000-K307</f>
        <v>0</v>
      </c>
      <c r="N308" s="0" t="n">
        <v>5310</v>
      </c>
      <c r="O308" s="0" t="n">
        <v>0</v>
      </c>
      <c r="P308" s="0" t="n">
        <v>0</v>
      </c>
      <c r="Q308" s="0" t="n">
        <v>0</v>
      </c>
      <c r="R308" s="0" t="n">
        <v>0</v>
      </c>
      <c r="S308" s="0" t="n">
        <v>2342</v>
      </c>
      <c r="T308" s="0" t="n">
        <v>0</v>
      </c>
      <c r="U308" s="0" t="n">
        <v>3</v>
      </c>
      <c r="AL308" s="0" t="s">
        <v>4143</v>
      </c>
    </row>
    <row r="309" customFormat="false" ht="14.9" hidden="false" customHeight="false" outlineLevel="0" collapsed="false">
      <c r="D309" s="240" t="s">
        <v>431</v>
      </c>
      <c r="F309" s="240" t="s">
        <v>432</v>
      </c>
      <c r="I309" s="0" t="s">
        <v>4145</v>
      </c>
      <c r="J309" s="0" t="n">
        <v>8.5</v>
      </c>
      <c r="K309" s="0" t="n">
        <v>15000</v>
      </c>
      <c r="N309" s="0" t="n">
        <v>14290</v>
      </c>
      <c r="O309" s="0" t="n">
        <v>0</v>
      </c>
      <c r="P309" s="0" t="n">
        <v>0</v>
      </c>
      <c r="Q309" s="0" t="n">
        <v>0</v>
      </c>
      <c r="R309" s="0" t="n">
        <v>0</v>
      </c>
      <c r="S309" s="0" t="n">
        <v>2</v>
      </c>
      <c r="T309" s="0" t="n">
        <v>0</v>
      </c>
      <c r="U309" s="0" t="n">
        <v>2</v>
      </c>
      <c r="AL309" s="0" t="s">
        <v>59</v>
      </c>
      <c r="AP309" s="0" t="n">
        <v>50</v>
      </c>
      <c r="AS309" s="0" t="n">
        <v>120</v>
      </c>
    </row>
    <row r="310" customFormat="false" ht="14.9" hidden="false" customHeight="false" outlineLevel="0" collapsed="false">
      <c r="D310" s="240" t="s">
        <v>691</v>
      </c>
      <c r="F310" s="240" t="s">
        <v>66</v>
      </c>
      <c r="I310" s="0" t="s">
        <v>4146</v>
      </c>
      <c r="J310" s="0" t="n">
        <v>8.5</v>
      </c>
      <c r="K310" s="0" t="n">
        <v>4000</v>
      </c>
      <c r="N310" s="0" t="n">
        <v>3780</v>
      </c>
      <c r="O310" s="0" t="n">
        <v>0</v>
      </c>
      <c r="P310" s="0" t="n">
        <v>0</v>
      </c>
      <c r="Q310" s="0" t="n">
        <v>140</v>
      </c>
      <c r="R310" s="0" t="n">
        <v>0</v>
      </c>
      <c r="S310" s="0" t="n">
        <v>43</v>
      </c>
      <c r="T310" s="0" t="n">
        <v>0</v>
      </c>
      <c r="U310" s="0" t="n">
        <v>6</v>
      </c>
      <c r="AL310" s="0" t="s">
        <v>59</v>
      </c>
      <c r="AP310" s="0" t="n">
        <v>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30"/>
  <sheetViews>
    <sheetView showFormulas="false" showGridLines="true" showRowColHeaders="true" showZeros="true" rightToLeft="false" tabSelected="false" showOutlineSymbols="true" defaultGridColor="true" view="normal" topLeftCell="P19" colorId="64" zoomScale="100" zoomScaleNormal="100" zoomScalePageLayoutView="100" workbookViewId="0">
      <selection pane="topLeft" activeCell="T30" activeCellId="0" sqref="T30"/>
    </sheetView>
  </sheetViews>
  <sheetFormatPr defaultColWidth="9.14453125" defaultRowHeight="13.8" zeroHeight="false" outlineLevelRow="0" outlineLevelCol="0"/>
  <cols>
    <col collapsed="false" customWidth="true" hidden="false" outlineLevel="0" max="1" min="1" style="855" width="16"/>
    <col collapsed="false" customWidth="true" hidden="false" outlineLevel="0" max="2" min="2" style="855" width="44.45"/>
    <col collapsed="false" customWidth="true" hidden="false" outlineLevel="0" max="3" min="3" style="856" width="9.45"/>
    <col collapsed="false" customWidth="true" hidden="false" outlineLevel="0" max="4" min="4" style="855" width="26.45"/>
    <col collapsed="false" customWidth="true" hidden="false" outlineLevel="0" max="5" min="5" style="855" width="15.54"/>
    <col collapsed="false" customWidth="true" hidden="false" outlineLevel="0" max="6" min="6" style="856" width="15.54"/>
    <col collapsed="false" customWidth="true" hidden="false" outlineLevel="0" max="7" min="7" style="855" width="47.54"/>
    <col collapsed="false" customWidth="true" hidden="false" outlineLevel="0" max="8" min="8" style="856" width="9.45"/>
    <col collapsed="false" customWidth="true" hidden="false" outlineLevel="0" max="9" min="9" style="855" width="9.45"/>
    <col collapsed="false" customWidth="true" hidden="false" outlineLevel="0" max="10" min="10" style="855" width="15.54"/>
    <col collapsed="false" customWidth="true" hidden="false" outlineLevel="0" max="11" min="11" style="855" width="37.46"/>
    <col collapsed="false" customWidth="true" hidden="false" outlineLevel="0" max="13" min="12" style="855" width="9.45"/>
    <col collapsed="false" customWidth="true" hidden="false" outlineLevel="0" max="14" min="14" style="855" width="15.54"/>
    <col collapsed="false" customWidth="true" hidden="false" outlineLevel="0" max="15" min="15" style="855" width="36.54"/>
    <col collapsed="false" customWidth="true" hidden="false" outlineLevel="0" max="17" min="16" style="855" width="9.45"/>
    <col collapsed="false" customWidth="true" hidden="false" outlineLevel="0" max="18" min="18" style="855" width="16.45"/>
    <col collapsed="false" customWidth="true" hidden="false" outlineLevel="0" max="19" min="19" style="855" width="40.45"/>
    <col collapsed="false" customWidth="true" hidden="false" outlineLevel="0" max="21" min="20" style="855" width="9.45"/>
    <col collapsed="false" customWidth="true" hidden="false" outlineLevel="0" max="22" min="22" style="855" width="16.54"/>
    <col collapsed="false" customWidth="true" hidden="false" outlineLevel="0" max="23" min="23" style="855" width="40.45"/>
    <col collapsed="false" customWidth="true" hidden="false" outlineLevel="0" max="25" min="24" style="855" width="9.45"/>
    <col collapsed="false" customWidth="true" hidden="false" outlineLevel="0" max="26" min="26" style="855" width="16.45"/>
    <col collapsed="false" customWidth="true" hidden="false" outlineLevel="0" max="27" min="27" style="855" width="40.45"/>
    <col collapsed="false" customWidth="true" hidden="false" outlineLevel="0" max="64" min="28" style="855" width="9.45"/>
  </cols>
  <sheetData>
    <row r="1" customFormat="false" ht="26.8" hidden="false" customHeight="false" outlineLevel="0" collapsed="false">
      <c r="A1" s="857" t="s">
        <v>4147</v>
      </c>
      <c r="F1" s="857" t="s">
        <v>4148</v>
      </c>
      <c r="J1" s="857" t="s">
        <v>4149</v>
      </c>
      <c r="N1" s="857" t="s">
        <v>4150</v>
      </c>
      <c r="P1" s="856"/>
      <c r="R1" s="857" t="s">
        <v>4151</v>
      </c>
      <c r="T1" s="856"/>
      <c r="V1" s="857" t="s">
        <v>4151</v>
      </c>
      <c r="X1" s="856"/>
      <c r="Z1" s="857" t="s">
        <v>4151</v>
      </c>
      <c r="AB1" s="856"/>
    </row>
    <row r="2" customFormat="false" ht="13.8" hidden="false" customHeight="false" outlineLevel="0" collapsed="false">
      <c r="A2" s="856" t="s">
        <v>4152</v>
      </c>
      <c r="B2" s="855" t="s">
        <v>4153</v>
      </c>
      <c r="C2" s="856" t="n">
        <v>45</v>
      </c>
      <c r="D2" s="858"/>
      <c r="F2" s="856" t="s">
        <v>4152</v>
      </c>
      <c r="G2" s="855" t="s">
        <v>4153</v>
      </c>
      <c r="H2" s="856" t="n">
        <v>80</v>
      </c>
      <c r="J2" s="856" t="s">
        <v>4152</v>
      </c>
      <c r="K2" s="855" t="s">
        <v>4154</v>
      </c>
      <c r="L2" s="856" t="n">
        <v>20</v>
      </c>
      <c r="N2" s="856" t="s">
        <v>4152</v>
      </c>
      <c r="O2" s="855" t="s">
        <v>4153</v>
      </c>
      <c r="P2" s="856" t="n">
        <v>80</v>
      </c>
      <c r="R2" s="856" t="s">
        <v>4152</v>
      </c>
      <c r="S2" s="855" t="s">
        <v>4155</v>
      </c>
      <c r="T2" s="856" t="n">
        <v>5</v>
      </c>
      <c r="V2" s="856" t="s">
        <v>4152</v>
      </c>
      <c r="W2" s="855" t="s">
        <v>4155</v>
      </c>
      <c r="X2" s="856" t="n">
        <v>5</v>
      </c>
      <c r="Z2" s="856" t="s">
        <v>4152</v>
      </c>
      <c r="AA2" s="855" t="s">
        <v>4155</v>
      </c>
      <c r="AB2" s="856" t="n">
        <v>5</v>
      </c>
    </row>
    <row r="3" customFormat="false" ht="13.8" hidden="false" customHeight="false" outlineLevel="0" collapsed="false">
      <c r="A3" s="856" t="s">
        <v>4156</v>
      </c>
      <c r="B3" s="855" t="s">
        <v>4157</v>
      </c>
      <c r="C3" s="856" t="n">
        <v>10</v>
      </c>
      <c r="D3" s="858"/>
      <c r="G3" s="855" t="s">
        <v>4158</v>
      </c>
      <c r="H3" s="856" t="n">
        <v>10</v>
      </c>
      <c r="J3" s="856"/>
      <c r="K3" s="855" t="s">
        <v>4157</v>
      </c>
      <c r="L3" s="856" t="n">
        <v>10</v>
      </c>
      <c r="N3" s="856"/>
      <c r="O3" s="855" t="s">
        <v>4159</v>
      </c>
      <c r="P3" s="856" t="n">
        <v>10</v>
      </c>
      <c r="R3" s="856"/>
      <c r="S3" s="855" t="s">
        <v>4160</v>
      </c>
      <c r="T3" s="856" t="n">
        <v>5</v>
      </c>
      <c r="V3" s="856"/>
      <c r="W3" s="855" t="s">
        <v>4160</v>
      </c>
      <c r="X3" s="856" t="n">
        <v>5</v>
      </c>
      <c r="Z3" s="856"/>
      <c r="AA3" s="855" t="s">
        <v>4160</v>
      </c>
      <c r="AB3" s="856" t="n">
        <v>5</v>
      </c>
    </row>
    <row r="4" customFormat="false" ht="13.8" hidden="false" customHeight="false" outlineLevel="0" collapsed="false">
      <c r="A4" s="856"/>
      <c r="B4" s="855" t="s">
        <v>4161</v>
      </c>
      <c r="C4" s="856" t="n">
        <v>10</v>
      </c>
      <c r="D4" s="858"/>
      <c r="G4" s="855" t="s">
        <v>4162</v>
      </c>
      <c r="H4" s="856" t="n">
        <v>10</v>
      </c>
      <c r="J4" s="856"/>
      <c r="K4" s="855" t="s">
        <v>4161</v>
      </c>
      <c r="L4" s="856" t="n">
        <v>15</v>
      </c>
      <c r="N4" s="856"/>
      <c r="O4" s="855" t="s">
        <v>4163</v>
      </c>
      <c r="P4" s="856" t="n">
        <v>30</v>
      </c>
      <c r="R4" s="856"/>
      <c r="S4" s="855" t="s">
        <v>4164</v>
      </c>
      <c r="T4" s="856" t="n">
        <v>5</v>
      </c>
      <c r="V4" s="856"/>
      <c r="W4" s="855" t="s">
        <v>4164</v>
      </c>
      <c r="X4" s="856" t="n">
        <v>5</v>
      </c>
      <c r="Z4" s="856"/>
      <c r="AA4" s="855" t="s">
        <v>4164</v>
      </c>
      <c r="AB4" s="856" t="n">
        <v>5</v>
      </c>
    </row>
    <row r="5" customFormat="false" ht="13.8" hidden="false" customHeight="false" outlineLevel="0" collapsed="false">
      <c r="A5" s="856"/>
      <c r="B5" s="855" t="s">
        <v>4165</v>
      </c>
      <c r="C5" s="856" t="n">
        <v>5</v>
      </c>
      <c r="D5" s="858"/>
      <c r="G5" s="855" t="s">
        <v>4166</v>
      </c>
      <c r="H5" s="856" t="n">
        <v>10</v>
      </c>
      <c r="K5" s="855" t="s">
        <v>4167</v>
      </c>
      <c r="L5" s="856" t="n">
        <v>10</v>
      </c>
      <c r="N5" s="856"/>
      <c r="O5" s="855" t="s">
        <v>4168</v>
      </c>
      <c r="P5" s="856" t="n">
        <v>25</v>
      </c>
      <c r="R5" s="856" t="s">
        <v>4169</v>
      </c>
      <c r="S5" s="855" t="s">
        <v>4170</v>
      </c>
      <c r="T5" s="856" t="n">
        <v>5</v>
      </c>
      <c r="W5" s="855" t="s">
        <v>4171</v>
      </c>
      <c r="X5" s="856" t="n">
        <v>10</v>
      </c>
      <c r="AA5" s="855" t="s">
        <v>4171</v>
      </c>
      <c r="AB5" s="856" t="n">
        <v>10</v>
      </c>
    </row>
    <row r="6" customFormat="false" ht="13.8" hidden="false" customHeight="false" outlineLevel="0" collapsed="false">
      <c r="A6" s="856"/>
      <c r="B6" s="855" t="s">
        <v>4172</v>
      </c>
      <c r="C6" s="856" t="n">
        <v>5</v>
      </c>
      <c r="D6" s="858"/>
      <c r="G6" s="855" t="s">
        <v>4173</v>
      </c>
      <c r="H6" s="856" t="n">
        <v>10</v>
      </c>
      <c r="K6" s="855" t="s">
        <v>4164</v>
      </c>
      <c r="L6" s="856" t="n">
        <v>2</v>
      </c>
      <c r="N6" s="856" t="s">
        <v>4169</v>
      </c>
      <c r="O6" s="855" t="s">
        <v>4174</v>
      </c>
      <c r="P6" s="856" t="n">
        <v>25</v>
      </c>
      <c r="R6" s="856"/>
      <c r="S6" s="855" t="s">
        <v>4175</v>
      </c>
      <c r="T6" s="856" t="n">
        <v>5</v>
      </c>
      <c r="V6" s="856" t="s">
        <v>4169</v>
      </c>
      <c r="W6" s="855" t="s">
        <v>4176</v>
      </c>
      <c r="X6" s="856" t="n">
        <v>20</v>
      </c>
      <c r="Z6" s="856" t="s">
        <v>4169</v>
      </c>
      <c r="AA6" s="855" t="s">
        <v>4176</v>
      </c>
      <c r="AB6" s="856" t="n">
        <v>20</v>
      </c>
    </row>
    <row r="7" customFormat="false" ht="13.8" hidden="false" customHeight="false" outlineLevel="0" collapsed="false">
      <c r="A7" s="856"/>
      <c r="B7" s="855" t="s">
        <v>4177</v>
      </c>
      <c r="C7" s="856" t="n">
        <v>20</v>
      </c>
      <c r="D7" s="858"/>
      <c r="G7" s="855" t="s">
        <v>4178</v>
      </c>
      <c r="H7" s="856" t="n">
        <v>10</v>
      </c>
      <c r="J7" s="856" t="s">
        <v>4169</v>
      </c>
      <c r="K7" s="855" t="s">
        <v>4167</v>
      </c>
      <c r="L7" s="856" t="n">
        <v>5</v>
      </c>
      <c r="N7" s="856"/>
      <c r="O7" s="855" t="s">
        <v>4179</v>
      </c>
      <c r="P7" s="856" t="n">
        <v>40</v>
      </c>
      <c r="R7" s="856"/>
      <c r="S7" s="855" t="s">
        <v>4180</v>
      </c>
      <c r="T7" s="856" t="n">
        <v>5</v>
      </c>
      <c r="V7" s="856"/>
      <c r="W7" s="855" t="s">
        <v>4181</v>
      </c>
      <c r="X7" s="856" t="n">
        <v>15</v>
      </c>
      <c r="Z7" s="856"/>
      <c r="AA7" s="855" t="s">
        <v>4181</v>
      </c>
      <c r="AB7" s="856" t="n">
        <v>15</v>
      </c>
    </row>
    <row r="8" customFormat="false" ht="13.8" hidden="false" customHeight="false" outlineLevel="0" collapsed="false">
      <c r="A8" s="856"/>
      <c r="B8" s="855" t="s">
        <v>4182</v>
      </c>
      <c r="C8" s="856" t="n">
        <v>5</v>
      </c>
      <c r="D8" s="858"/>
      <c r="F8" s="856" t="s">
        <v>4169</v>
      </c>
      <c r="G8" s="855" t="s">
        <v>4183</v>
      </c>
      <c r="H8" s="856" t="n">
        <v>5</v>
      </c>
      <c r="K8" s="855" t="s">
        <v>4184</v>
      </c>
      <c r="L8" s="856" t="n">
        <v>30</v>
      </c>
      <c r="N8" s="856"/>
      <c r="O8" s="855" t="s">
        <v>4185</v>
      </c>
      <c r="P8" s="856" t="n">
        <v>10</v>
      </c>
      <c r="R8" s="856"/>
      <c r="S8" s="855" t="s">
        <v>4186</v>
      </c>
      <c r="T8" s="856" t="n">
        <v>5</v>
      </c>
      <c r="V8" s="856"/>
      <c r="W8" s="855" t="s">
        <v>4180</v>
      </c>
      <c r="X8" s="856" t="n">
        <v>10</v>
      </c>
      <c r="Z8" s="856"/>
      <c r="AA8" s="855" t="s">
        <v>4180</v>
      </c>
      <c r="AB8" s="856" t="n">
        <v>10</v>
      </c>
    </row>
    <row r="9" customFormat="false" ht="13.8" hidden="false" customHeight="false" outlineLevel="0" collapsed="false">
      <c r="A9" s="856"/>
      <c r="B9" s="855" t="s">
        <v>4187</v>
      </c>
      <c r="C9" s="856" t="n">
        <v>5</v>
      </c>
      <c r="D9" s="858"/>
      <c r="G9" s="855" t="s">
        <v>4188</v>
      </c>
      <c r="H9" s="856" t="n">
        <v>10</v>
      </c>
      <c r="K9" s="855" t="s">
        <v>4189</v>
      </c>
      <c r="L9" s="856" t="n">
        <v>5</v>
      </c>
      <c r="N9" s="856"/>
      <c r="O9" s="855" t="s">
        <v>4190</v>
      </c>
      <c r="P9" s="856" t="n">
        <v>120</v>
      </c>
      <c r="R9" s="856"/>
      <c r="S9" s="855" t="s">
        <v>4191</v>
      </c>
      <c r="T9" s="856" t="n">
        <v>20</v>
      </c>
      <c r="V9" s="856"/>
      <c r="W9" s="855" t="s">
        <v>4192</v>
      </c>
      <c r="X9" s="856" t="n">
        <v>10</v>
      </c>
      <c r="Z9" s="856"/>
      <c r="AA9" s="855" t="s">
        <v>4192</v>
      </c>
      <c r="AB9" s="856" t="n">
        <v>10</v>
      </c>
    </row>
    <row r="10" customFormat="false" ht="13.8" hidden="false" customHeight="false" outlineLevel="0" collapsed="false">
      <c r="A10" s="856"/>
      <c r="B10" s="855" t="s">
        <v>4193</v>
      </c>
      <c r="C10" s="856" t="n">
        <v>5</v>
      </c>
      <c r="G10" s="855" t="s">
        <v>4194</v>
      </c>
      <c r="H10" s="856" t="n">
        <v>20</v>
      </c>
      <c r="K10" s="855" t="s">
        <v>4195</v>
      </c>
      <c r="L10" s="856" t="n">
        <v>10</v>
      </c>
      <c r="N10" s="856"/>
      <c r="O10" s="855" t="s">
        <v>4196</v>
      </c>
      <c r="P10" s="856" t="n">
        <v>5</v>
      </c>
      <c r="R10" s="856"/>
      <c r="S10" s="855" t="s">
        <v>4197</v>
      </c>
      <c r="T10" s="856" t="n">
        <v>5</v>
      </c>
      <c r="V10" s="856"/>
      <c r="W10" s="855" t="s">
        <v>4186</v>
      </c>
      <c r="X10" s="856" t="n">
        <v>10</v>
      </c>
      <c r="Z10" s="856"/>
      <c r="AA10" s="855" t="s">
        <v>4186</v>
      </c>
      <c r="AB10" s="856" t="n">
        <v>10</v>
      </c>
    </row>
    <row r="11" customFormat="false" ht="13.8" hidden="false" customHeight="false" outlineLevel="0" collapsed="false">
      <c r="A11" s="856"/>
      <c r="B11" s="855" t="s">
        <v>4167</v>
      </c>
      <c r="C11" s="856" t="n">
        <v>20</v>
      </c>
      <c r="G11" s="855" t="s">
        <v>4196</v>
      </c>
      <c r="H11" s="856" t="n">
        <v>5</v>
      </c>
      <c r="K11" s="855" t="s">
        <v>4198</v>
      </c>
      <c r="L11" s="856" t="n">
        <v>1</v>
      </c>
      <c r="N11" s="856"/>
      <c r="O11" s="855" t="s">
        <v>4199</v>
      </c>
      <c r="P11" s="856" t="n">
        <v>2</v>
      </c>
      <c r="R11" s="856"/>
      <c r="S11" s="855" t="s">
        <v>4200</v>
      </c>
      <c r="T11" s="856" t="n">
        <v>10</v>
      </c>
      <c r="V11" s="856"/>
      <c r="W11" s="855" t="s">
        <v>4201</v>
      </c>
      <c r="X11" s="856" t="n">
        <v>5</v>
      </c>
      <c r="Z11" s="856"/>
      <c r="AA11" s="855" t="s">
        <v>4201</v>
      </c>
      <c r="AB11" s="856" t="n">
        <v>5</v>
      </c>
    </row>
    <row r="12" customFormat="false" ht="13.8" hidden="false" customHeight="false" outlineLevel="0" collapsed="false">
      <c r="A12" s="856"/>
      <c r="B12" s="855" t="s">
        <v>4164</v>
      </c>
      <c r="C12" s="856" t="n">
        <v>10</v>
      </c>
      <c r="G12" s="855" t="s">
        <v>4202</v>
      </c>
      <c r="H12" s="856" t="n">
        <v>20</v>
      </c>
      <c r="K12" s="855" t="s">
        <v>4203</v>
      </c>
      <c r="L12" s="856" t="n">
        <v>15</v>
      </c>
      <c r="N12" s="856"/>
      <c r="O12" s="855" t="s">
        <v>4204</v>
      </c>
      <c r="P12" s="856" t="n">
        <v>2</v>
      </c>
      <c r="R12" s="856"/>
      <c r="S12" s="859" t="s">
        <v>4205</v>
      </c>
      <c r="T12" s="860" t="n">
        <f aca="false">SUM(T2:T11)</f>
        <v>70</v>
      </c>
      <c r="V12" s="856"/>
      <c r="W12" s="855" t="s">
        <v>4206</v>
      </c>
      <c r="X12" s="856" t="n">
        <v>20</v>
      </c>
      <c r="Z12" s="856"/>
      <c r="AA12" s="855" t="s">
        <v>4206</v>
      </c>
      <c r="AB12" s="856" t="n">
        <v>20</v>
      </c>
    </row>
    <row r="13" customFormat="false" ht="13.8" hidden="false" customHeight="false" outlineLevel="0" collapsed="false">
      <c r="A13" s="856" t="s">
        <v>4169</v>
      </c>
      <c r="B13" s="855" t="s">
        <v>4167</v>
      </c>
      <c r="C13" s="856" t="n">
        <v>10</v>
      </c>
      <c r="G13" s="855" t="s">
        <v>4190</v>
      </c>
      <c r="H13" s="856" t="n">
        <v>120</v>
      </c>
      <c r="K13" s="855" t="s">
        <v>4204</v>
      </c>
      <c r="L13" s="856" t="n">
        <v>1</v>
      </c>
      <c r="N13" s="856"/>
      <c r="O13" s="855" t="s">
        <v>4207</v>
      </c>
      <c r="P13" s="856" t="n">
        <v>10</v>
      </c>
      <c r="R13" s="856"/>
      <c r="S13" s="861" t="s">
        <v>4208</v>
      </c>
      <c r="T13" s="862" t="n">
        <f aca="false">T12/60</f>
        <v>1.16666666666667</v>
      </c>
      <c r="V13" s="856"/>
      <c r="W13" s="859" t="s">
        <v>4205</v>
      </c>
      <c r="X13" s="860" t="n">
        <f aca="false">SUM(X2:X12)</f>
        <v>115</v>
      </c>
      <c r="Z13" s="856"/>
      <c r="AA13" s="859" t="s">
        <v>4205</v>
      </c>
      <c r="AB13" s="860" t="n">
        <f aca="false">SUM(AB2:AB12)</f>
        <v>115</v>
      </c>
    </row>
    <row r="14" customFormat="false" ht="13.8" hidden="false" customHeight="false" outlineLevel="0" collapsed="false">
      <c r="A14" s="856"/>
      <c r="B14" s="855" t="s">
        <v>4209</v>
      </c>
      <c r="C14" s="856" t="n">
        <v>10</v>
      </c>
      <c r="G14" s="855" t="s">
        <v>4196</v>
      </c>
      <c r="H14" s="856" t="n">
        <v>5</v>
      </c>
      <c r="K14" s="855" t="s">
        <v>4210</v>
      </c>
      <c r="L14" s="856" t="n">
        <v>2</v>
      </c>
      <c r="N14" s="856"/>
      <c r="O14" s="855" t="s">
        <v>4200</v>
      </c>
      <c r="P14" s="856" t="n">
        <v>15</v>
      </c>
      <c r="R14" s="856"/>
      <c r="T14" s="856"/>
      <c r="V14" s="856"/>
      <c r="W14" s="861" t="s">
        <v>4208</v>
      </c>
      <c r="X14" s="862" t="n">
        <f aca="false">X13/60</f>
        <v>1.91666666666667</v>
      </c>
      <c r="Z14" s="856"/>
      <c r="AA14" s="861" t="s">
        <v>4208</v>
      </c>
      <c r="AB14" s="862" t="n">
        <f aca="false">AB13/60</f>
        <v>1.91666666666667</v>
      </c>
    </row>
    <row r="15" customFormat="false" ht="13.8" hidden="false" customHeight="false" outlineLevel="0" collapsed="false">
      <c r="A15" s="856"/>
      <c r="B15" s="855" t="s">
        <v>4211</v>
      </c>
      <c r="C15" s="856" t="n">
        <v>5</v>
      </c>
      <c r="G15" s="855" t="s">
        <v>4199</v>
      </c>
      <c r="H15" s="856" t="n">
        <v>2</v>
      </c>
      <c r="K15" s="855" t="s">
        <v>4212</v>
      </c>
      <c r="L15" s="856" t="n">
        <v>30</v>
      </c>
      <c r="N15" s="856"/>
      <c r="O15" s="859" t="s">
        <v>4205</v>
      </c>
      <c r="P15" s="860" t="n">
        <f aca="false">SUM(P2:P14)</f>
        <v>374</v>
      </c>
      <c r="R15" s="856"/>
      <c r="V15" s="856"/>
      <c r="Z15" s="856"/>
    </row>
    <row r="16" customFormat="false" ht="13.8" hidden="false" customHeight="false" outlineLevel="0" collapsed="false">
      <c r="A16" s="856"/>
      <c r="B16" s="855" t="s">
        <v>4213</v>
      </c>
      <c r="C16" s="856" t="n">
        <v>5</v>
      </c>
      <c r="G16" s="855" t="s">
        <v>4204</v>
      </c>
      <c r="H16" s="856" t="n">
        <v>2</v>
      </c>
      <c r="K16" s="855" t="s">
        <v>4200</v>
      </c>
      <c r="L16" s="856" t="n">
        <v>15</v>
      </c>
      <c r="N16" s="856"/>
      <c r="O16" s="861" t="s">
        <v>4208</v>
      </c>
      <c r="P16" s="862" t="n">
        <f aca="false">P15/60</f>
        <v>6.23333333333333</v>
      </c>
      <c r="R16" s="856" t="s">
        <v>4214</v>
      </c>
      <c r="S16" s="856" t="s">
        <v>4215</v>
      </c>
      <c r="V16" s="856" t="s">
        <v>4214</v>
      </c>
      <c r="W16" s="863" t="s">
        <v>4216</v>
      </c>
      <c r="X16" s="864"/>
      <c r="Y16" s="864"/>
      <c r="Z16" s="865" t="s">
        <v>4214</v>
      </c>
      <c r="AA16" s="863" t="s">
        <v>4217</v>
      </c>
    </row>
    <row r="17" customFormat="false" ht="13.8" hidden="false" customHeight="false" outlineLevel="0" collapsed="false">
      <c r="A17" s="856"/>
      <c r="B17" s="855" t="s">
        <v>4218</v>
      </c>
      <c r="C17" s="856" t="n">
        <v>30</v>
      </c>
      <c r="G17" s="855" t="s">
        <v>4207</v>
      </c>
      <c r="H17" s="856" t="n">
        <v>10</v>
      </c>
      <c r="K17" s="859" t="s">
        <v>4205</v>
      </c>
      <c r="L17" s="860" t="n">
        <f aca="false">SUM(L2:L16)</f>
        <v>171</v>
      </c>
      <c r="N17" s="856"/>
      <c r="P17" s="856"/>
      <c r="W17" s="864"/>
      <c r="X17" s="864"/>
      <c r="Y17" s="864"/>
      <c r="Z17" s="864"/>
      <c r="AA17" s="864"/>
    </row>
    <row r="18" customFormat="false" ht="13.8" hidden="false" customHeight="false" outlineLevel="0" collapsed="false">
      <c r="A18" s="856"/>
      <c r="B18" s="855" t="s">
        <v>4219</v>
      </c>
      <c r="C18" s="856" t="n">
        <v>10</v>
      </c>
      <c r="G18" s="855" t="s">
        <v>4200</v>
      </c>
      <c r="H18" s="856" t="n">
        <v>15</v>
      </c>
      <c r="K18" s="861" t="s">
        <v>4208</v>
      </c>
      <c r="L18" s="862" t="n">
        <f aca="false">L17/60</f>
        <v>2.85</v>
      </c>
      <c r="N18" s="856"/>
      <c r="P18" s="856"/>
    </row>
    <row r="19" customFormat="false" ht="13.8" hidden="false" customHeight="false" outlineLevel="0" collapsed="false">
      <c r="A19" s="856"/>
      <c r="B19" s="855" t="s">
        <v>4184</v>
      </c>
      <c r="C19" s="856" t="n">
        <v>20</v>
      </c>
      <c r="G19" s="859" t="s">
        <v>4205</v>
      </c>
      <c r="H19" s="860" t="n">
        <f aca="false">SUM(H2:H18)</f>
        <v>344</v>
      </c>
      <c r="N19" s="856"/>
      <c r="O19" s="864"/>
      <c r="P19" s="865"/>
      <c r="Q19" s="864"/>
    </row>
    <row r="20" customFormat="false" ht="13.8" hidden="false" customHeight="false" outlineLevel="0" collapsed="false">
      <c r="A20" s="856"/>
      <c r="B20" s="855" t="s">
        <v>4220</v>
      </c>
      <c r="C20" s="856" t="n">
        <v>5</v>
      </c>
      <c r="E20" s="858"/>
      <c r="G20" s="861" t="s">
        <v>4208</v>
      </c>
      <c r="H20" s="862" t="n">
        <f aca="false">H19/60</f>
        <v>5.73333333333333</v>
      </c>
      <c r="N20" s="856"/>
      <c r="O20" s="864"/>
      <c r="P20" s="866"/>
      <c r="Q20" s="864"/>
    </row>
    <row r="21" customFormat="false" ht="13.8" hidden="false" customHeight="false" outlineLevel="0" collapsed="false">
      <c r="A21" s="856"/>
      <c r="B21" s="855" t="s">
        <v>4189</v>
      </c>
      <c r="C21" s="856" t="n">
        <v>15</v>
      </c>
      <c r="E21" s="858"/>
      <c r="O21" s="864"/>
      <c r="P21" s="864"/>
      <c r="Q21" s="864"/>
    </row>
    <row r="22" customFormat="false" ht="13.8" hidden="false" customHeight="false" outlineLevel="0" collapsed="false">
      <c r="A22" s="856"/>
      <c r="B22" s="855" t="s">
        <v>4195</v>
      </c>
      <c r="C22" s="856" t="n">
        <v>10</v>
      </c>
      <c r="E22" s="858"/>
    </row>
    <row r="23" customFormat="false" ht="13.8" hidden="false" customHeight="false" outlineLevel="0" collapsed="false">
      <c r="A23" s="856"/>
      <c r="B23" s="855" t="s">
        <v>4198</v>
      </c>
      <c r="C23" s="856" t="n">
        <v>1</v>
      </c>
      <c r="E23" s="858"/>
      <c r="G23" s="858"/>
    </row>
    <row r="24" customFormat="false" ht="13.8" hidden="false" customHeight="false" outlineLevel="0" collapsed="false">
      <c r="A24" s="856"/>
      <c r="B24" s="855" t="s">
        <v>4203</v>
      </c>
      <c r="C24" s="856" t="n">
        <v>35</v>
      </c>
    </row>
    <row r="25" customFormat="false" ht="13.8" hidden="false" customHeight="false" outlineLevel="0" collapsed="false">
      <c r="A25" s="856"/>
      <c r="B25" s="855" t="s">
        <v>4204</v>
      </c>
      <c r="C25" s="856" t="n">
        <v>1</v>
      </c>
    </row>
    <row r="26" customFormat="false" ht="13.8" hidden="false" customHeight="false" outlineLevel="0" collapsed="false">
      <c r="A26" s="856"/>
      <c r="B26" s="855" t="s">
        <v>4210</v>
      </c>
      <c r="C26" s="856" t="n">
        <v>2</v>
      </c>
    </row>
    <row r="27" customFormat="false" ht="13.8" hidden="false" customHeight="false" outlineLevel="0" collapsed="false">
      <c r="A27" s="856"/>
      <c r="B27" s="855" t="s">
        <v>4212</v>
      </c>
      <c r="C27" s="856" t="n">
        <v>30</v>
      </c>
    </row>
    <row r="28" customFormat="false" ht="13.8" hidden="false" customHeight="false" outlineLevel="0" collapsed="false">
      <c r="A28" s="856"/>
      <c r="B28" s="859" t="s">
        <v>4205</v>
      </c>
      <c r="C28" s="860" t="n">
        <f aca="false">SUM(C2:C27)</f>
        <v>329</v>
      </c>
    </row>
    <row r="29" customFormat="false" ht="13.8" hidden="false" customHeight="false" outlineLevel="0" collapsed="false">
      <c r="A29" s="856"/>
      <c r="B29" s="861" t="s">
        <v>4208</v>
      </c>
      <c r="C29" s="862" t="n">
        <f aca="false">C28/60</f>
        <v>5.48333333333333</v>
      </c>
    </row>
    <row r="30" customFormat="false" ht="13.8" hidden="false" customHeight="false" outlineLevel="0" collapsed="false">
      <c r="A30" s="85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R10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4" activeCellId="0" sqref="A4"/>
    </sheetView>
  </sheetViews>
  <sheetFormatPr defaultColWidth="9.453125" defaultRowHeight="12.8" zeroHeight="false" outlineLevelRow="0" outlineLevelCol="0"/>
  <cols>
    <col collapsed="false" customWidth="true" hidden="false" outlineLevel="0" max="1" min="1" style="867" width="9.54"/>
    <col collapsed="false" customWidth="true" hidden="false" outlineLevel="0" max="2" min="2" style="867" width="10"/>
    <col collapsed="false" customWidth="true" hidden="false" outlineLevel="0" max="3" min="3" style="867" width="10.54"/>
    <col collapsed="false" customWidth="true" hidden="false" outlineLevel="0" max="4" min="4" style="867" width="9.54"/>
    <col collapsed="false" customWidth="true" hidden="false" outlineLevel="0" max="5" min="5" style="867" width="26"/>
    <col collapsed="false" customWidth="true" hidden="false" outlineLevel="0" max="6" min="6" style="867" width="7.46"/>
    <col collapsed="false" customWidth="true" hidden="false" outlineLevel="0" max="7" min="7" style="867" width="12"/>
    <col collapsed="false" customWidth="true" hidden="false" outlineLevel="0" max="9" min="8" style="867" width="11.54"/>
    <col collapsed="false" customWidth="true" hidden="false" outlineLevel="0" max="15" min="10" style="867" width="11.45"/>
    <col collapsed="false" customWidth="false" hidden="false" outlineLevel="0" max="64" min="16" style="867" width="9.45"/>
    <col collapsed="false" customWidth="false" hidden="false" outlineLevel="0" max="233" min="65" style="868" width="9.45"/>
    <col collapsed="false" customWidth="true" hidden="false" outlineLevel="0" max="234" min="234" style="868" width="21"/>
    <col collapsed="false" customWidth="true" hidden="false" outlineLevel="0" max="235" min="235" style="868" width="14.45"/>
    <col collapsed="false" customWidth="true" hidden="false" outlineLevel="0" max="245" min="236" style="868" width="8.54"/>
    <col collapsed="false" customWidth="true" hidden="false" outlineLevel="0" max="247" min="246" style="868" width="6.54"/>
    <col collapsed="false" customWidth="true" hidden="false" outlineLevel="0" max="248" min="248" style="868" width="10"/>
    <col collapsed="false" customWidth="true" hidden="false" outlineLevel="0" max="249" min="249" style="868" width="10.45"/>
    <col collapsed="false" customWidth="true" hidden="false" outlineLevel="0" max="250" min="250" style="868" width="12.54"/>
    <col collapsed="false" customWidth="true" hidden="false" outlineLevel="0" max="251" min="251" style="868" width="8.54"/>
    <col collapsed="false" customWidth="false" hidden="false" outlineLevel="0" max="252" min="252" style="868" width="9.45"/>
    <col collapsed="false" customWidth="true" hidden="false" outlineLevel="0" max="253" min="253" style="868" width="14.45"/>
    <col collapsed="false" customWidth="false" hidden="false" outlineLevel="0" max="254" min="254" style="868" width="9.45"/>
    <col collapsed="false" customWidth="true" hidden="true" outlineLevel="0" max="255" min="255" style="868" width="9.14"/>
    <col collapsed="false" customWidth="false" hidden="false" outlineLevel="0" max="489" min="256" style="868" width="9.45"/>
    <col collapsed="false" customWidth="true" hidden="false" outlineLevel="0" max="490" min="490" style="868" width="21"/>
    <col collapsed="false" customWidth="true" hidden="false" outlineLevel="0" max="491" min="491" style="868" width="14.45"/>
    <col collapsed="false" customWidth="true" hidden="false" outlineLevel="0" max="501" min="492" style="868" width="8.54"/>
    <col collapsed="false" customWidth="true" hidden="false" outlineLevel="0" max="503" min="502" style="868" width="6.54"/>
    <col collapsed="false" customWidth="true" hidden="false" outlineLevel="0" max="504" min="504" style="868" width="10"/>
    <col collapsed="false" customWidth="true" hidden="false" outlineLevel="0" max="505" min="505" style="868" width="10.45"/>
    <col collapsed="false" customWidth="true" hidden="false" outlineLevel="0" max="506" min="506" style="868" width="12.54"/>
    <col collapsed="false" customWidth="true" hidden="false" outlineLevel="0" max="507" min="507" style="868" width="8.54"/>
    <col collapsed="false" customWidth="false" hidden="false" outlineLevel="0" max="508" min="508" style="868" width="9.45"/>
    <col collapsed="false" customWidth="true" hidden="false" outlineLevel="0" max="509" min="509" style="868" width="14.45"/>
    <col collapsed="false" customWidth="false" hidden="false" outlineLevel="0" max="510" min="510" style="868" width="9.45"/>
    <col collapsed="false" customWidth="true" hidden="true" outlineLevel="0" max="511" min="511" style="868" width="9.14"/>
    <col collapsed="false" customWidth="false" hidden="false" outlineLevel="0" max="745" min="512" style="868" width="9.45"/>
    <col collapsed="false" customWidth="true" hidden="false" outlineLevel="0" max="746" min="746" style="868" width="21"/>
    <col collapsed="false" customWidth="true" hidden="false" outlineLevel="0" max="747" min="747" style="868" width="14.45"/>
    <col collapsed="false" customWidth="true" hidden="false" outlineLevel="0" max="757" min="748" style="868" width="8.54"/>
    <col collapsed="false" customWidth="true" hidden="false" outlineLevel="0" max="759" min="758" style="868" width="6.54"/>
    <col collapsed="false" customWidth="true" hidden="false" outlineLevel="0" max="760" min="760" style="868" width="10"/>
    <col collapsed="false" customWidth="true" hidden="false" outlineLevel="0" max="761" min="761" style="868" width="10.45"/>
    <col collapsed="false" customWidth="true" hidden="false" outlineLevel="0" max="762" min="762" style="868" width="12.54"/>
    <col collapsed="false" customWidth="true" hidden="false" outlineLevel="0" max="763" min="763" style="868" width="8.54"/>
    <col collapsed="false" customWidth="false" hidden="false" outlineLevel="0" max="764" min="764" style="868" width="9.45"/>
    <col collapsed="false" customWidth="true" hidden="false" outlineLevel="0" max="765" min="765" style="868" width="14.45"/>
    <col collapsed="false" customWidth="false" hidden="false" outlineLevel="0" max="766" min="766" style="868" width="9.45"/>
    <col collapsed="false" customWidth="true" hidden="true" outlineLevel="0" max="767" min="767" style="868" width="9.14"/>
    <col collapsed="false" customWidth="false" hidden="false" outlineLevel="0" max="1001" min="768" style="868" width="9.45"/>
    <col collapsed="false" customWidth="true" hidden="false" outlineLevel="0" max="1002" min="1002" style="868" width="21"/>
    <col collapsed="false" customWidth="true" hidden="false" outlineLevel="0" max="1003" min="1003" style="868" width="14.45"/>
    <col collapsed="false" customWidth="true" hidden="false" outlineLevel="0" max="1013" min="1004" style="868" width="8.54"/>
    <col collapsed="false" customWidth="true" hidden="false" outlineLevel="0" max="1015" min="1014" style="868" width="6.54"/>
    <col collapsed="false" customWidth="true" hidden="false" outlineLevel="0" max="1016" min="1016" style="868" width="10"/>
    <col collapsed="false" customWidth="true" hidden="false" outlineLevel="0" max="1017" min="1017" style="868" width="10.45"/>
    <col collapsed="false" customWidth="true" hidden="false" outlineLevel="0" max="1018" min="1018" style="868" width="12.54"/>
    <col collapsed="false" customWidth="true" hidden="false" outlineLevel="0" max="1019" min="1019" style="868" width="8.54"/>
    <col collapsed="false" customWidth="false" hidden="false" outlineLevel="0" max="1020" min="1020" style="868" width="9.45"/>
    <col collapsed="false" customWidth="true" hidden="false" outlineLevel="0" max="1021" min="1021" style="868" width="14.45"/>
    <col collapsed="false" customWidth="false" hidden="false" outlineLevel="0" max="1022" min="1022" style="868" width="9.45"/>
    <col collapsed="false" customWidth="true" hidden="true" outlineLevel="0" max="1023" min="1023" style="868" width="9.14"/>
    <col collapsed="false" customWidth="false" hidden="false" outlineLevel="0" max="1024" min="1024" style="868" width="9.45"/>
  </cols>
  <sheetData>
    <row r="1" customFormat="false" ht="15" hidden="false" customHeight="false" outlineLevel="0" collapsed="false">
      <c r="B1" s="869"/>
      <c r="E1" s="870"/>
      <c r="G1" s="871" t="s">
        <v>4221</v>
      </c>
      <c r="H1" s="872"/>
      <c r="I1" s="872"/>
      <c r="J1" s="872"/>
      <c r="K1" s="872"/>
      <c r="L1" s="872"/>
      <c r="M1" s="872"/>
      <c r="N1" s="872"/>
      <c r="O1" s="872"/>
      <c r="P1" s="872"/>
      <c r="Q1" s="872"/>
    </row>
    <row r="2" customFormat="false" ht="12.8" hidden="false" customHeight="false" outlineLevel="0" collapsed="false">
      <c r="A2" s="873" t="s">
        <v>4222</v>
      </c>
      <c r="F2" s="867" t="s">
        <v>87</v>
      </c>
      <c r="G2" s="874" t="s">
        <v>4223</v>
      </c>
      <c r="H2" s="872"/>
      <c r="I2" s="872"/>
      <c r="J2" s="872"/>
      <c r="K2" s="872"/>
      <c r="L2" s="872"/>
      <c r="M2" s="872"/>
      <c r="N2" s="872"/>
      <c r="O2" s="872"/>
      <c r="P2" s="872"/>
      <c r="Q2" s="872"/>
    </row>
    <row r="3" customFormat="false" ht="12.8" hidden="false" customHeight="false" outlineLevel="0" collapsed="false">
      <c r="A3" s="875" t="s">
        <v>2477</v>
      </c>
      <c r="B3" s="875" t="s">
        <v>19</v>
      </c>
      <c r="C3" s="876" t="s">
        <v>4224</v>
      </c>
      <c r="D3" s="877" t="s">
        <v>4225</v>
      </c>
      <c r="E3" s="876" t="s">
        <v>18</v>
      </c>
      <c r="F3" s="878" t="s">
        <v>4226</v>
      </c>
      <c r="G3" s="879" t="s">
        <v>4227</v>
      </c>
      <c r="H3" s="879" t="s">
        <v>2490</v>
      </c>
      <c r="I3" s="872"/>
      <c r="J3" s="872"/>
      <c r="K3" s="872"/>
      <c r="L3" s="872"/>
      <c r="M3" s="872"/>
      <c r="N3" s="872"/>
      <c r="O3" s="872"/>
      <c r="P3" s="872"/>
      <c r="Q3" s="872"/>
    </row>
    <row r="4" customFormat="false" ht="14.9" hidden="false" customHeight="true" outlineLevel="0" collapsed="false">
      <c r="A4" s="880" t="s">
        <v>4228</v>
      </c>
      <c r="B4" s="880" t="s">
        <v>4229</v>
      </c>
      <c r="C4" s="881"/>
      <c r="D4" s="882"/>
      <c r="E4" s="883" t="s">
        <v>4230</v>
      </c>
      <c r="F4" s="884" t="s">
        <v>4231</v>
      </c>
      <c r="G4" s="885" t="n">
        <f aca="false">PVA!F105</f>
        <v>1219763</v>
      </c>
      <c r="H4" s="885" t="n">
        <f aca="false">PVA!F105</f>
        <v>1219763</v>
      </c>
      <c r="I4" s="872"/>
      <c r="J4" s="872"/>
      <c r="K4" s="872"/>
      <c r="L4" s="872"/>
      <c r="M4" s="872"/>
      <c r="N4" s="872"/>
      <c r="O4" s="872"/>
      <c r="P4" s="872"/>
      <c r="Q4" s="872"/>
    </row>
    <row r="5" customFormat="false" ht="14.9" hidden="false" customHeight="true" outlineLevel="0" collapsed="false">
      <c r="A5" s="880"/>
      <c r="B5" s="880"/>
      <c r="C5" s="886"/>
      <c r="D5" s="887"/>
      <c r="E5" s="888" t="s">
        <v>4232</v>
      </c>
      <c r="F5" s="889" t="s">
        <v>4231</v>
      </c>
      <c r="G5" s="890" t="n">
        <f aca="false">G4-G7-G9-G8</f>
        <v>1182508</v>
      </c>
      <c r="H5" s="890" t="n">
        <f aca="false">PVA!G105</f>
        <v>1182508</v>
      </c>
      <c r="I5" s="872"/>
      <c r="J5" s="872"/>
      <c r="K5" s="872"/>
      <c r="L5" s="872"/>
      <c r="M5" s="872"/>
      <c r="N5" s="872"/>
      <c r="O5" s="872"/>
      <c r="P5" s="872"/>
      <c r="Q5" s="872"/>
    </row>
    <row r="6" customFormat="false" ht="14.9" hidden="false" customHeight="true" outlineLevel="0" collapsed="false">
      <c r="A6" s="880"/>
      <c r="B6" s="880"/>
      <c r="C6" s="891"/>
      <c r="D6" s="892"/>
      <c r="E6" s="893" t="s">
        <v>4233</v>
      </c>
      <c r="F6" s="894" t="s">
        <v>2137</v>
      </c>
      <c r="G6" s="895" t="n">
        <f aca="false">IFERROR(G5/G4,"")</f>
        <v>0.969457181436066</v>
      </c>
      <c r="H6" s="895" t="n">
        <f aca="false">IFERROR(H5/H4,"")</f>
        <v>0.969457181436066</v>
      </c>
      <c r="I6" s="872"/>
      <c r="J6" s="872"/>
      <c r="K6" s="872"/>
      <c r="L6" s="872"/>
      <c r="M6" s="872"/>
      <c r="N6" s="872"/>
      <c r="O6" s="872"/>
      <c r="P6" s="872"/>
      <c r="Q6" s="872"/>
    </row>
    <row r="7" customFormat="false" ht="14.9" hidden="false" customHeight="true" outlineLevel="0" collapsed="false">
      <c r="A7" s="880"/>
      <c r="B7" s="880"/>
      <c r="C7" s="891"/>
      <c r="D7" s="892"/>
      <c r="E7" s="896" t="s">
        <v>4234</v>
      </c>
      <c r="F7" s="897" t="s">
        <v>4231</v>
      </c>
      <c r="G7" s="898" t="n">
        <f aca="false">PVA!H105</f>
        <v>16084</v>
      </c>
      <c r="H7" s="898" t="n">
        <f aca="false">PVA!H112+PVA!H119+PVA!H126+PVA!H133+PVA!H140</f>
        <v>7682</v>
      </c>
      <c r="I7" s="872"/>
      <c r="J7" s="872"/>
      <c r="K7" s="872"/>
      <c r="L7" s="872"/>
      <c r="M7" s="872"/>
      <c r="N7" s="872"/>
      <c r="O7" s="872"/>
      <c r="P7" s="872"/>
      <c r="Q7" s="872"/>
    </row>
    <row r="8" customFormat="false" ht="14.9" hidden="false" customHeight="true" outlineLevel="0" collapsed="false">
      <c r="A8" s="880"/>
      <c r="B8" s="880"/>
      <c r="C8" s="886"/>
      <c r="D8" s="887"/>
      <c r="E8" s="899" t="s">
        <v>4235</v>
      </c>
      <c r="F8" s="900" t="s">
        <v>4231</v>
      </c>
      <c r="G8" s="901" t="n">
        <f aca="false">PVA!K105</f>
        <v>19563</v>
      </c>
      <c r="H8" s="901" t="n">
        <f aca="false">PVA!K112+PVA!K119+PVA!K126+PVA!K133+PVA!K140</f>
        <v>0</v>
      </c>
      <c r="I8" s="872"/>
      <c r="J8" s="872"/>
      <c r="K8" s="872"/>
      <c r="L8" s="872"/>
      <c r="M8" s="872"/>
      <c r="N8" s="872"/>
      <c r="O8" s="872"/>
      <c r="P8" s="872"/>
      <c r="Q8" s="872"/>
    </row>
    <row r="9" customFormat="false" ht="14.9" hidden="false" customHeight="true" outlineLevel="0" collapsed="false">
      <c r="A9" s="880"/>
      <c r="B9" s="880"/>
      <c r="C9" s="886"/>
      <c r="D9" s="887"/>
      <c r="E9" s="902" t="s">
        <v>4236</v>
      </c>
      <c r="F9" s="903" t="s">
        <v>4231</v>
      </c>
      <c r="G9" s="901" t="n">
        <f aca="false">PVA!I105</f>
        <v>1608</v>
      </c>
      <c r="H9" s="901" t="n">
        <f aca="false">PVA!I112+PVA!I119+PVA!I126+PVA!I133+PVA!I140</f>
        <v>24</v>
      </c>
      <c r="I9" s="872"/>
      <c r="J9" s="872"/>
      <c r="K9" s="872"/>
      <c r="L9" s="872"/>
      <c r="M9" s="872"/>
      <c r="N9" s="872"/>
      <c r="O9" s="872"/>
      <c r="P9" s="872"/>
      <c r="Q9" s="872"/>
    </row>
    <row r="10" customFormat="false" ht="14.9" hidden="false" customHeight="true" outlineLevel="0" collapsed="false">
      <c r="A10" s="880"/>
      <c r="B10" s="880"/>
      <c r="C10" s="904"/>
      <c r="D10" s="905"/>
      <c r="E10" s="906" t="s">
        <v>4237</v>
      </c>
      <c r="F10" s="907" t="s">
        <v>4238</v>
      </c>
      <c r="G10" s="908" t="n">
        <f aca="false">(G7*$D$15)/1000</f>
        <v>109.3712</v>
      </c>
      <c r="H10" s="908" t="n">
        <f aca="false">(H7*$D$15)/1000</f>
        <v>52.2376</v>
      </c>
      <c r="I10" s="872"/>
      <c r="J10" s="872"/>
      <c r="K10" s="872"/>
      <c r="L10" s="872"/>
      <c r="M10" s="872"/>
      <c r="N10" s="872"/>
      <c r="O10" s="872"/>
      <c r="P10" s="872"/>
      <c r="Q10" s="872"/>
    </row>
    <row r="11" customFormat="false" ht="14.9" hidden="false" customHeight="true" outlineLevel="0" collapsed="false">
      <c r="A11" s="880"/>
      <c r="B11" s="880"/>
      <c r="C11" s="904"/>
      <c r="D11" s="905"/>
      <c r="E11" s="906" t="s">
        <v>4239</v>
      </c>
      <c r="F11" s="907" t="s">
        <v>4238</v>
      </c>
      <c r="G11" s="908" t="n">
        <f aca="false">(G8*$D$15)/1000</f>
        <v>133.0284</v>
      </c>
      <c r="H11" s="908" t="n">
        <f aca="false">(H8*$D$15)/1000</f>
        <v>0</v>
      </c>
      <c r="I11" s="872"/>
      <c r="J11" s="872"/>
      <c r="K11" s="872"/>
      <c r="L11" s="872"/>
      <c r="M11" s="872"/>
      <c r="N11" s="872"/>
      <c r="O11" s="872"/>
      <c r="P11" s="872"/>
      <c r="Q11" s="872"/>
    </row>
    <row r="12" customFormat="false" ht="14.9" hidden="false" customHeight="true" outlineLevel="0" collapsed="false">
      <c r="A12" s="880"/>
      <c r="B12" s="880"/>
      <c r="C12" s="904"/>
      <c r="D12" s="905"/>
      <c r="E12" s="906" t="s">
        <v>4240</v>
      </c>
      <c r="F12" s="907" t="s">
        <v>4238</v>
      </c>
      <c r="G12" s="908" t="n">
        <f aca="false">(G9*$D$15)/1000</f>
        <v>10.9344</v>
      </c>
      <c r="H12" s="908" t="n">
        <f aca="false">(H9*$D$15)/1000</f>
        <v>0.1632</v>
      </c>
      <c r="I12" s="872"/>
      <c r="J12" s="872"/>
      <c r="K12" s="872"/>
      <c r="L12" s="872"/>
      <c r="M12" s="872"/>
      <c r="N12" s="872"/>
      <c r="O12" s="872"/>
      <c r="P12" s="872"/>
      <c r="Q12" s="872"/>
    </row>
    <row r="13" customFormat="false" ht="14.9" hidden="false" customHeight="true" outlineLevel="0" collapsed="false">
      <c r="A13" s="880"/>
      <c r="B13" s="880"/>
      <c r="C13" s="904"/>
      <c r="D13" s="905"/>
      <c r="E13" s="906" t="s">
        <v>4241</v>
      </c>
      <c r="F13" s="907" t="s">
        <v>4238</v>
      </c>
      <c r="G13" s="908" t="n">
        <f aca="false">PVA!AC105</f>
        <v>22.72</v>
      </c>
      <c r="H13" s="908" t="n">
        <f aca="false">PVA!AD105</f>
        <v>0</v>
      </c>
      <c r="I13" s="872"/>
      <c r="J13" s="872"/>
      <c r="K13" s="872"/>
      <c r="L13" s="872"/>
      <c r="M13" s="872"/>
      <c r="N13" s="872"/>
      <c r="O13" s="872"/>
      <c r="P13" s="872"/>
      <c r="Q13" s="872"/>
    </row>
    <row r="14" customFormat="false" ht="14.9" hidden="false" customHeight="true" outlineLevel="0" collapsed="false">
      <c r="A14" s="880"/>
      <c r="B14" s="880"/>
      <c r="C14" s="904"/>
      <c r="D14" s="905"/>
      <c r="E14" s="906" t="s">
        <v>4242</v>
      </c>
      <c r="F14" s="907" t="s">
        <v>4238</v>
      </c>
      <c r="G14" s="908" t="e">
        <f aca="false">PVA!J105-'Material Yield Trend'!G13</f>
        <v>#NAME?</v>
      </c>
      <c r="H14" s="908" t="e">
        <f aca="false">PVA!J105</f>
        <v>#NAME?</v>
      </c>
      <c r="I14" s="872"/>
      <c r="J14" s="872"/>
      <c r="K14" s="872"/>
      <c r="L14" s="872"/>
      <c r="M14" s="872"/>
      <c r="N14" s="872"/>
      <c r="O14" s="872"/>
      <c r="P14" s="872"/>
      <c r="Q14" s="872"/>
    </row>
    <row r="15" customFormat="false" ht="14.9" hidden="false" customHeight="true" outlineLevel="0" collapsed="false">
      <c r="A15" s="880"/>
      <c r="B15" s="880"/>
      <c r="C15" s="909" t="s">
        <v>4243</v>
      </c>
      <c r="D15" s="910" t="n">
        <v>6.8</v>
      </c>
      <c r="E15" s="911" t="s">
        <v>4244</v>
      </c>
      <c r="F15" s="912" t="s">
        <v>4238</v>
      </c>
      <c r="G15" s="913" t="e">
        <f aca="false">(((G4*$D$15)/1000)+G13+G14)</f>
        <v>#NAME?</v>
      </c>
      <c r="H15" s="913" t="e">
        <f aca="false">(((H4*$D$15)/1000)+H13+H14+H12+H11+H10)</f>
        <v>#NAME?</v>
      </c>
      <c r="I15" s="872"/>
      <c r="J15" s="872"/>
      <c r="K15" s="872"/>
      <c r="L15" s="872"/>
      <c r="M15" s="872"/>
      <c r="N15" s="872"/>
      <c r="O15" s="872"/>
      <c r="P15" s="872"/>
      <c r="Q15" s="872"/>
    </row>
    <row r="16" customFormat="false" ht="14.9" hidden="false" customHeight="true" outlineLevel="0" collapsed="false">
      <c r="A16" s="880"/>
      <c r="B16" s="880"/>
      <c r="C16" s="904"/>
      <c r="D16" s="910" t="s">
        <v>4245</v>
      </c>
      <c r="E16" s="911" t="s">
        <v>4246</v>
      </c>
      <c r="F16" s="912" t="s">
        <v>4238</v>
      </c>
      <c r="G16" s="913" t="n">
        <f aca="false">(($D$15*G5)/1000)</f>
        <v>8041.0544</v>
      </c>
      <c r="H16" s="913" t="n">
        <f aca="false">(($D$15*H5)/1000)</f>
        <v>8041.0544</v>
      </c>
      <c r="I16" s="872"/>
      <c r="J16" s="872"/>
      <c r="K16" s="872"/>
      <c r="L16" s="872"/>
      <c r="M16" s="872"/>
      <c r="N16" s="872"/>
      <c r="O16" s="872"/>
      <c r="P16" s="872"/>
      <c r="Q16" s="872"/>
    </row>
    <row r="17" customFormat="false" ht="14.9" hidden="false" customHeight="true" outlineLevel="0" collapsed="false">
      <c r="A17" s="880"/>
      <c r="B17" s="880"/>
      <c r="C17" s="904"/>
      <c r="D17" s="905"/>
      <c r="E17" s="911" t="s">
        <v>4247</v>
      </c>
      <c r="F17" s="912" t="s">
        <v>2137</v>
      </c>
      <c r="G17" s="914" t="str">
        <f aca="false">IFERROR(G10/G15,"")</f>
        <v/>
      </c>
      <c r="H17" s="914" t="str">
        <f aca="false">IFERROR((H10+G10)/H15,"")</f>
        <v/>
      </c>
      <c r="I17" s="872"/>
      <c r="J17" s="872"/>
      <c r="K17" s="872" t="s">
        <v>58</v>
      </c>
      <c r="L17" s="872"/>
      <c r="M17" s="872"/>
      <c r="N17" s="872"/>
      <c r="O17" s="872"/>
      <c r="P17" s="872"/>
      <c r="Q17" s="872"/>
    </row>
    <row r="18" customFormat="false" ht="14.9" hidden="false" customHeight="true" outlineLevel="0" collapsed="false">
      <c r="A18" s="880"/>
      <c r="B18" s="880"/>
      <c r="C18" s="904"/>
      <c r="D18" s="905"/>
      <c r="E18" s="911" t="s">
        <v>4248</v>
      </c>
      <c r="F18" s="912" t="s">
        <v>2137</v>
      </c>
      <c r="G18" s="914" t="str">
        <f aca="false">IFERROR(G11/G15,"")</f>
        <v/>
      </c>
      <c r="H18" s="914" t="str">
        <f aca="false">IFERROR((H11+G11)/H15,"")</f>
        <v/>
      </c>
      <c r="I18" s="872"/>
      <c r="J18" s="872"/>
      <c r="K18" s="872"/>
      <c r="L18" s="872"/>
      <c r="M18" s="872"/>
      <c r="N18" s="872"/>
      <c r="O18" s="872"/>
      <c r="P18" s="872"/>
      <c r="Q18" s="872"/>
    </row>
    <row r="19" customFormat="false" ht="14.9" hidden="false" customHeight="true" outlineLevel="0" collapsed="false">
      <c r="A19" s="880"/>
      <c r="B19" s="880"/>
      <c r="C19" s="904"/>
      <c r="D19" s="905"/>
      <c r="E19" s="915" t="s">
        <v>4249</v>
      </c>
      <c r="F19" s="912" t="s">
        <v>2137</v>
      </c>
      <c r="G19" s="914" t="str">
        <f aca="false">IFERROR(G12/G15,"")</f>
        <v/>
      </c>
      <c r="H19" s="914" t="str">
        <f aca="false">IFERROR((H12+G12)/H15,"")</f>
        <v/>
      </c>
      <c r="I19" s="872"/>
      <c r="J19" s="872"/>
      <c r="K19" s="872"/>
      <c r="L19" s="872"/>
      <c r="M19" s="872"/>
      <c r="N19" s="872"/>
      <c r="O19" s="872"/>
      <c r="P19" s="872"/>
      <c r="Q19" s="872"/>
    </row>
    <row r="20" customFormat="false" ht="14.9" hidden="false" customHeight="true" outlineLevel="0" collapsed="false">
      <c r="A20" s="880"/>
      <c r="B20" s="880"/>
      <c r="C20" s="904"/>
      <c r="D20" s="905"/>
      <c r="E20" s="911" t="s">
        <v>4250</v>
      </c>
      <c r="F20" s="912" t="s">
        <v>2137</v>
      </c>
      <c r="G20" s="914" t="str">
        <f aca="false">IFERROR(G13/G15,"")</f>
        <v/>
      </c>
      <c r="H20" s="914" t="str">
        <f aca="false">IFERROR(H13/H15,"")</f>
        <v/>
      </c>
      <c r="I20" s="872"/>
      <c r="J20" s="872"/>
      <c r="K20" s="872"/>
      <c r="L20" s="872"/>
      <c r="M20" s="872"/>
      <c r="N20" s="872"/>
      <c r="O20" s="872"/>
      <c r="P20" s="872"/>
      <c r="Q20" s="872"/>
    </row>
    <row r="21" customFormat="false" ht="14.9" hidden="false" customHeight="true" outlineLevel="0" collapsed="false">
      <c r="A21" s="880"/>
      <c r="B21" s="880"/>
      <c r="C21" s="904"/>
      <c r="D21" s="905"/>
      <c r="E21" s="911" t="s">
        <v>4251</v>
      </c>
      <c r="F21" s="912" t="s">
        <v>2137</v>
      </c>
      <c r="G21" s="914" t="str">
        <f aca="false">IFERROR(G14/G15,"")</f>
        <v/>
      </c>
      <c r="H21" s="914" t="str">
        <f aca="false">IFERROR(H14/H15,"")</f>
        <v/>
      </c>
      <c r="I21" s="872"/>
      <c r="J21" s="872"/>
      <c r="K21" s="872"/>
      <c r="L21" s="872"/>
      <c r="M21" s="872"/>
      <c r="N21" s="872"/>
      <c r="O21" s="872"/>
      <c r="P21" s="872"/>
      <c r="Q21" s="872"/>
    </row>
    <row r="22" customFormat="false" ht="15" hidden="false" customHeight="true" outlineLevel="0" collapsed="false">
      <c r="A22" s="880"/>
      <c r="B22" s="880"/>
      <c r="C22" s="916"/>
      <c r="D22" s="917"/>
      <c r="E22" s="918" t="s">
        <v>4252</v>
      </c>
      <c r="F22" s="919" t="s">
        <v>2137</v>
      </c>
      <c r="G22" s="920" t="str">
        <f aca="false">IFERROR(G16/G15,"")</f>
        <v/>
      </c>
      <c r="H22" s="920" t="str">
        <f aca="false">IFERROR(H16/H15,"")</f>
        <v/>
      </c>
      <c r="I22" s="872"/>
      <c r="J22" s="872"/>
      <c r="K22" s="872"/>
      <c r="L22" s="872"/>
      <c r="M22" s="872"/>
      <c r="N22" s="872"/>
      <c r="O22" s="872"/>
      <c r="P22" s="872"/>
      <c r="Q22" s="872"/>
    </row>
    <row r="23" customFormat="false" ht="12.8" hidden="false" customHeight="false" outlineLevel="0" collapsed="false">
      <c r="A23" s="921"/>
      <c r="B23" s="922"/>
      <c r="C23" s="922"/>
      <c r="D23" s="922"/>
      <c r="E23" s="923" t="s">
        <v>4253</v>
      </c>
      <c r="F23" s="924" t="s">
        <v>2137</v>
      </c>
      <c r="G23" s="925" t="n">
        <v>0.97</v>
      </c>
      <c r="H23" s="925" t="n">
        <v>0.95</v>
      </c>
      <c r="I23" s="872"/>
      <c r="J23" s="872"/>
      <c r="K23" s="872"/>
      <c r="L23" s="872"/>
      <c r="M23" s="872"/>
      <c r="N23" s="872"/>
      <c r="O23" s="872"/>
      <c r="P23" s="872"/>
      <c r="Q23" s="872"/>
    </row>
    <row r="24" customFormat="false" ht="15" hidden="false" customHeight="false" outlineLevel="0" collapsed="false">
      <c r="A24" s="926"/>
      <c r="B24" s="927"/>
      <c r="C24" s="926"/>
      <c r="D24" s="926"/>
      <c r="E24" s="928"/>
      <c r="F24" s="926"/>
      <c r="G24" s="871" t="s">
        <v>4221</v>
      </c>
      <c r="H24" s="872"/>
      <c r="I24" s="872"/>
      <c r="J24" s="872"/>
      <c r="K24" s="872"/>
      <c r="L24" s="872"/>
      <c r="M24" s="872"/>
      <c r="N24" s="872"/>
      <c r="O24" s="872"/>
      <c r="P24" s="872"/>
      <c r="Q24" s="872"/>
    </row>
    <row r="25" customFormat="false" ht="12.8" hidden="false" customHeight="false" outlineLevel="0" collapsed="false">
      <c r="A25" s="873" t="s">
        <v>4254</v>
      </c>
      <c r="G25" s="874" t="str">
        <f aca="false">G2</f>
        <v>Aug</v>
      </c>
      <c r="H25" s="872"/>
      <c r="I25" s="872"/>
      <c r="J25" s="872"/>
      <c r="K25" s="872"/>
      <c r="L25" s="872"/>
      <c r="M25" s="872"/>
      <c r="N25" s="872"/>
      <c r="O25" s="872"/>
      <c r="P25" s="872"/>
      <c r="Q25" s="872"/>
    </row>
    <row r="26" customFormat="false" ht="12.8" hidden="false" customHeight="false" outlineLevel="0" collapsed="false">
      <c r="A26" s="875" t="s">
        <v>2477</v>
      </c>
      <c r="B26" s="875" t="s">
        <v>19</v>
      </c>
      <c r="C26" s="876" t="s">
        <v>4224</v>
      </c>
      <c r="D26" s="877" t="s">
        <v>4225</v>
      </c>
      <c r="E26" s="876" t="s">
        <v>18</v>
      </c>
      <c r="F26" s="878" t="s">
        <v>4226</v>
      </c>
      <c r="G26" s="879" t="s">
        <v>4227</v>
      </c>
      <c r="H26" s="872"/>
      <c r="I26" s="872"/>
      <c r="J26" s="872"/>
      <c r="K26" s="872"/>
      <c r="L26" s="872"/>
      <c r="M26" s="872"/>
      <c r="N26" s="872"/>
      <c r="O26" s="872"/>
      <c r="P26" s="872"/>
      <c r="Q26" s="872"/>
    </row>
    <row r="27" customFormat="false" ht="12.8" hidden="false" customHeight="true" outlineLevel="0" collapsed="false">
      <c r="A27" s="880" t="s">
        <v>4255</v>
      </c>
      <c r="B27" s="880" t="s">
        <v>4256</v>
      </c>
      <c r="C27" s="881"/>
      <c r="D27" s="882" t="s">
        <v>4245</v>
      </c>
      <c r="E27" s="883" t="s">
        <v>4230</v>
      </c>
      <c r="F27" s="884" t="s">
        <v>4231</v>
      </c>
      <c r="G27" s="885" t="n">
        <f aca="false">PVA!F3</f>
        <v>568076</v>
      </c>
      <c r="H27" s="872"/>
      <c r="I27" s="872"/>
      <c r="J27" s="872"/>
      <c r="K27" s="872"/>
      <c r="L27" s="872"/>
      <c r="M27" s="872"/>
      <c r="N27" s="872"/>
      <c r="O27" s="872"/>
      <c r="P27" s="872"/>
      <c r="Q27" s="872"/>
    </row>
    <row r="28" customFormat="false" ht="12.8" hidden="false" customHeight="false" outlineLevel="0" collapsed="false">
      <c r="A28" s="880"/>
      <c r="B28" s="880"/>
      <c r="C28" s="886"/>
      <c r="D28" s="887"/>
      <c r="E28" s="888" t="s">
        <v>4232</v>
      </c>
      <c r="F28" s="889" t="s">
        <v>4231</v>
      </c>
      <c r="G28" s="890" t="n">
        <f aca="false">PVA!G3</f>
        <v>563933</v>
      </c>
      <c r="H28" s="872"/>
      <c r="I28" s="872"/>
      <c r="J28" s="872"/>
      <c r="K28" s="872"/>
      <c r="L28" s="872"/>
      <c r="M28" s="872"/>
      <c r="N28" s="872"/>
      <c r="O28" s="872"/>
      <c r="P28" s="872"/>
      <c r="Q28" s="872"/>
    </row>
    <row r="29" customFormat="false" ht="12.8" hidden="false" customHeight="false" outlineLevel="0" collapsed="false">
      <c r="A29" s="880"/>
      <c r="B29" s="880"/>
      <c r="C29" s="891"/>
      <c r="D29" s="892"/>
      <c r="E29" s="893" t="s">
        <v>4233</v>
      </c>
      <c r="F29" s="894" t="s">
        <v>2137</v>
      </c>
      <c r="G29" s="895" t="n">
        <f aca="false">IFERROR(G28/G27,"")</f>
        <v>0.992706961744555</v>
      </c>
      <c r="H29" s="872"/>
      <c r="I29" s="872"/>
      <c r="J29" s="872"/>
      <c r="K29" s="872"/>
      <c r="L29" s="872"/>
      <c r="M29" s="872"/>
      <c r="N29" s="872"/>
      <c r="O29" s="872"/>
      <c r="P29" s="872"/>
      <c r="Q29" s="872"/>
    </row>
    <row r="30" customFormat="false" ht="12.8" hidden="false" customHeight="false" outlineLevel="0" collapsed="false">
      <c r="A30" s="880"/>
      <c r="B30" s="880"/>
      <c r="C30" s="891"/>
      <c r="D30" s="892"/>
      <c r="E30" s="896" t="s">
        <v>4234</v>
      </c>
      <c r="F30" s="897" t="s">
        <v>4231</v>
      </c>
      <c r="G30" s="898" t="n">
        <f aca="false">PVA!H3</f>
        <v>1471</v>
      </c>
      <c r="H30" s="872"/>
      <c r="I30" s="872"/>
      <c r="J30" s="872"/>
      <c r="K30" s="872"/>
      <c r="L30" s="872"/>
      <c r="M30" s="872"/>
      <c r="N30" s="872"/>
      <c r="O30" s="872"/>
      <c r="P30" s="872"/>
      <c r="Q30" s="872"/>
    </row>
    <row r="31" customFormat="false" ht="12.8" hidden="false" customHeight="false" outlineLevel="0" collapsed="false">
      <c r="A31" s="880"/>
      <c r="B31" s="880"/>
      <c r="C31" s="886"/>
      <c r="D31" s="887"/>
      <c r="E31" s="899" t="s">
        <v>4235</v>
      </c>
      <c r="F31" s="900" t="s">
        <v>4231</v>
      </c>
      <c r="G31" s="901" t="n">
        <f aca="false">PVA!K3</f>
        <v>2068</v>
      </c>
      <c r="H31" s="872"/>
      <c r="I31" s="872"/>
      <c r="J31" s="872"/>
      <c r="K31" s="872"/>
      <c r="L31" s="872"/>
      <c r="M31" s="872"/>
      <c r="N31" s="872"/>
      <c r="O31" s="872"/>
      <c r="P31" s="872"/>
      <c r="Q31" s="872"/>
    </row>
    <row r="32" customFormat="false" ht="12.8" hidden="false" customHeight="false" outlineLevel="0" collapsed="false">
      <c r="A32" s="880"/>
      <c r="B32" s="880"/>
      <c r="C32" s="886"/>
      <c r="D32" s="887"/>
      <c r="E32" s="902" t="s">
        <v>4236</v>
      </c>
      <c r="F32" s="903" t="s">
        <v>4231</v>
      </c>
      <c r="G32" s="901" t="n">
        <f aca="false">PVA!I3</f>
        <v>604</v>
      </c>
    </row>
    <row r="33" customFormat="false" ht="12.8" hidden="false" customHeight="false" outlineLevel="0" collapsed="false">
      <c r="A33" s="880"/>
      <c r="B33" s="880"/>
      <c r="C33" s="904"/>
      <c r="D33" s="905"/>
      <c r="E33" s="906" t="s">
        <v>4237</v>
      </c>
      <c r="F33" s="907" t="s">
        <v>4238</v>
      </c>
      <c r="G33" s="908" t="n">
        <f aca="false">(G30*$D$38)/1000</f>
        <v>12.6506</v>
      </c>
    </row>
    <row r="34" customFormat="false" ht="12.8" hidden="false" customHeight="false" outlineLevel="0" collapsed="false">
      <c r="A34" s="880"/>
      <c r="B34" s="880"/>
      <c r="C34" s="904"/>
      <c r="D34" s="905"/>
      <c r="E34" s="906" t="s">
        <v>4239</v>
      </c>
      <c r="F34" s="907" t="s">
        <v>4238</v>
      </c>
      <c r="G34" s="929" t="n">
        <f aca="false">(G31*$D$38)/1000</f>
        <v>17.7848</v>
      </c>
    </row>
    <row r="35" customFormat="false" ht="12.8" hidden="false" customHeight="false" outlineLevel="0" collapsed="false">
      <c r="A35" s="880"/>
      <c r="B35" s="880"/>
      <c r="C35" s="904"/>
      <c r="D35" s="905"/>
      <c r="E35" s="906" t="s">
        <v>4240</v>
      </c>
      <c r="F35" s="907" t="s">
        <v>4238</v>
      </c>
      <c r="G35" s="908" t="n">
        <f aca="false">(G32*$D$38)/1000</f>
        <v>5.1944</v>
      </c>
    </row>
    <row r="36" customFormat="false" ht="12.8" hidden="false" customHeight="false" outlineLevel="0" collapsed="false">
      <c r="A36" s="880"/>
      <c r="B36" s="880"/>
      <c r="C36" s="904"/>
      <c r="D36" s="905"/>
      <c r="E36" s="906" t="s">
        <v>4241</v>
      </c>
      <c r="F36" s="907" t="s">
        <v>4238</v>
      </c>
      <c r="G36" s="908" t="n">
        <v>0</v>
      </c>
    </row>
    <row r="37" customFormat="false" ht="12.8" hidden="false" customHeight="false" outlineLevel="0" collapsed="false">
      <c r="A37" s="880"/>
      <c r="B37" s="880"/>
      <c r="C37" s="904"/>
      <c r="D37" s="905"/>
      <c r="E37" s="906" t="s">
        <v>4242</v>
      </c>
      <c r="F37" s="907" t="s">
        <v>4238</v>
      </c>
      <c r="G37" s="908" t="n">
        <f aca="false">PVA!J3</f>
        <v>5.25</v>
      </c>
    </row>
    <row r="38" customFormat="false" ht="12.8" hidden="false" customHeight="false" outlineLevel="0" collapsed="false">
      <c r="A38" s="880"/>
      <c r="B38" s="880"/>
      <c r="C38" s="909" t="s">
        <v>83</v>
      </c>
      <c r="D38" s="930" t="n">
        <f aca="false">PVA!Q3*1000</f>
        <v>8.6</v>
      </c>
      <c r="E38" s="911" t="s">
        <v>4244</v>
      </c>
      <c r="F38" s="912" t="s">
        <v>4238</v>
      </c>
      <c r="G38" s="913" t="n">
        <f aca="false">(((G27*$D$38)/1000)+G36+G37)</f>
        <v>4890.7036</v>
      </c>
    </row>
    <row r="39" customFormat="false" ht="12.8" hidden="false" customHeight="false" outlineLevel="0" collapsed="false">
      <c r="A39" s="880"/>
      <c r="B39" s="880"/>
      <c r="C39" s="904"/>
      <c r="D39" s="910" t="s">
        <v>4245</v>
      </c>
      <c r="E39" s="911" t="s">
        <v>4246</v>
      </c>
      <c r="F39" s="912" t="s">
        <v>4238</v>
      </c>
      <c r="G39" s="913" t="n">
        <f aca="false">(($D$38*G28)/1000)</f>
        <v>4849.8238</v>
      </c>
    </row>
    <row r="40" customFormat="false" ht="12.8" hidden="false" customHeight="false" outlineLevel="0" collapsed="false">
      <c r="A40" s="880"/>
      <c r="B40" s="880"/>
      <c r="C40" s="904"/>
      <c r="D40" s="905"/>
      <c r="E40" s="911" t="s">
        <v>4247</v>
      </c>
      <c r="F40" s="912" t="s">
        <v>2137</v>
      </c>
      <c r="G40" s="914" t="n">
        <f aca="false">IFERROR(G33/G38,"")</f>
        <v>0.00258666258163754</v>
      </c>
    </row>
    <row r="41" customFormat="false" ht="12.8" hidden="false" customHeight="false" outlineLevel="0" collapsed="false">
      <c r="A41" s="880"/>
      <c r="B41" s="880"/>
      <c r="C41" s="904"/>
      <c r="D41" s="905"/>
      <c r="E41" s="911" t="s">
        <v>4248</v>
      </c>
      <c r="F41" s="912" t="s">
        <v>2137</v>
      </c>
      <c r="G41" s="914" t="n">
        <f aca="false">IFERROR(G34/G38,"")</f>
        <v>0.0036364501827508</v>
      </c>
    </row>
    <row r="42" customFormat="false" ht="12.8" hidden="false" customHeight="false" outlineLevel="0" collapsed="false">
      <c r="A42" s="880"/>
      <c r="B42" s="880"/>
      <c r="C42" s="904"/>
      <c r="D42" s="905"/>
      <c r="E42" s="915" t="s">
        <v>4249</v>
      </c>
      <c r="F42" s="912" t="s">
        <v>2137</v>
      </c>
      <c r="G42" s="914" t="n">
        <f aca="false">IFERROR(G35/G38,"")</f>
        <v>0.001062096668463</v>
      </c>
    </row>
    <row r="43" customFormat="false" ht="12.8" hidden="false" customHeight="false" outlineLevel="0" collapsed="false">
      <c r="A43" s="880"/>
      <c r="B43" s="880"/>
      <c r="C43" s="904"/>
      <c r="D43" s="905"/>
      <c r="E43" s="911" t="s">
        <v>4250</v>
      </c>
      <c r="F43" s="912" t="s">
        <v>2137</v>
      </c>
      <c r="G43" s="914" t="n">
        <f aca="false">IFERROR(G36/G38,"")</f>
        <v>0</v>
      </c>
    </row>
    <row r="44" customFormat="false" ht="12.8" hidden="false" customHeight="false" outlineLevel="0" collapsed="false">
      <c r="A44" s="880"/>
      <c r="B44" s="880"/>
      <c r="C44" s="904"/>
      <c r="D44" s="905"/>
      <c r="E44" s="911" t="s">
        <v>4251</v>
      </c>
      <c r="F44" s="912" t="s">
        <v>2137</v>
      </c>
      <c r="G44" s="914" t="n">
        <f aca="false">IFERROR(G37/G38,"")</f>
        <v>0.00107346517584914</v>
      </c>
    </row>
    <row r="45" customFormat="false" ht="12.8" hidden="false" customHeight="false" outlineLevel="0" collapsed="false">
      <c r="A45" s="880"/>
      <c r="B45" s="880"/>
      <c r="C45" s="916"/>
      <c r="D45" s="917"/>
      <c r="E45" s="918" t="s">
        <v>4252</v>
      </c>
      <c r="F45" s="919" t="s">
        <v>2137</v>
      </c>
      <c r="G45" s="920" t="n">
        <f aca="false">IFERROR(G39/G38,"")</f>
        <v>0.9916413253913</v>
      </c>
    </row>
    <row r="46" customFormat="false" ht="12.8" hidden="false" customHeight="false" outlineLevel="0" collapsed="false">
      <c r="E46" s="923" t="s">
        <v>4253</v>
      </c>
      <c r="F46" s="924" t="s">
        <v>2137</v>
      </c>
      <c r="G46" s="925" t="n">
        <v>0.98</v>
      </c>
      <c r="H46" s="872"/>
      <c r="I46" s="872"/>
      <c r="J46" s="872"/>
      <c r="K46" s="872"/>
      <c r="L46" s="872"/>
      <c r="M46" s="872"/>
      <c r="N46" s="872"/>
      <c r="O46" s="872"/>
      <c r="P46" s="872"/>
      <c r="Q46" s="872"/>
    </row>
    <row r="47" customFormat="false" ht="15" hidden="false" customHeight="false" outlineLevel="0" collapsed="false">
      <c r="A47" s="926"/>
      <c r="B47" s="927"/>
      <c r="C47" s="926"/>
      <c r="D47" s="926"/>
      <c r="E47" s="928"/>
      <c r="F47" s="926"/>
      <c r="G47" s="871" t="s">
        <v>4221</v>
      </c>
      <c r="H47" s="872"/>
      <c r="I47" s="872"/>
      <c r="J47" s="872"/>
      <c r="K47" s="872"/>
      <c r="L47" s="872"/>
      <c r="M47" s="872"/>
      <c r="N47" s="872"/>
      <c r="O47" s="872"/>
      <c r="P47" s="872"/>
      <c r="Q47" s="872"/>
    </row>
    <row r="48" customFormat="false" ht="12.8" hidden="false" customHeight="false" outlineLevel="0" collapsed="false">
      <c r="A48" s="873" t="s">
        <v>4257</v>
      </c>
      <c r="B48" s="926"/>
      <c r="C48" s="926"/>
      <c r="D48" s="926"/>
      <c r="E48" s="926"/>
      <c r="F48" s="926"/>
      <c r="G48" s="874" t="str">
        <f aca="false">G2</f>
        <v>Aug</v>
      </c>
      <c r="H48" s="872"/>
      <c r="I48" s="872"/>
      <c r="J48" s="872"/>
      <c r="K48" s="872"/>
      <c r="L48" s="872"/>
      <c r="M48" s="872"/>
      <c r="N48" s="872"/>
      <c r="O48" s="872"/>
      <c r="P48" s="872"/>
      <c r="Q48" s="872"/>
    </row>
    <row r="49" customFormat="false" ht="12.8" hidden="false" customHeight="false" outlineLevel="0" collapsed="false">
      <c r="A49" s="875" t="s">
        <v>2477</v>
      </c>
      <c r="B49" s="875" t="s">
        <v>19</v>
      </c>
      <c r="C49" s="876" t="s">
        <v>4224</v>
      </c>
      <c r="D49" s="877" t="s">
        <v>4225</v>
      </c>
      <c r="E49" s="876" t="s">
        <v>18</v>
      </c>
      <c r="F49" s="878" t="s">
        <v>4226</v>
      </c>
      <c r="G49" s="879" t="s">
        <v>4227</v>
      </c>
      <c r="H49" s="879" t="s">
        <v>2490</v>
      </c>
      <c r="I49" s="872"/>
      <c r="J49" s="872"/>
      <c r="K49" s="872"/>
      <c r="L49" s="872"/>
      <c r="M49" s="872"/>
      <c r="N49" s="872"/>
      <c r="O49" s="872"/>
      <c r="P49" s="872"/>
      <c r="Q49" s="872"/>
    </row>
    <row r="50" customFormat="false" ht="12.8" hidden="false" customHeight="true" outlineLevel="0" collapsed="false">
      <c r="A50" s="880" t="s">
        <v>4258</v>
      </c>
      <c r="B50" s="931" t="s">
        <v>4259</v>
      </c>
      <c r="C50" s="932" t="n">
        <v>22.7</v>
      </c>
      <c r="D50" s="933" t="s">
        <v>4245</v>
      </c>
      <c r="E50" s="883" t="s">
        <v>4230</v>
      </c>
      <c r="F50" s="884" t="s">
        <v>4231</v>
      </c>
      <c r="G50" s="885" t="n">
        <f aca="false">SUM(PVA!F13:F17)</f>
        <v>486581</v>
      </c>
      <c r="H50" s="885" t="n">
        <f aca="false">SUM(PVA!F33:F49)</f>
        <v>428773</v>
      </c>
      <c r="I50" s="872"/>
      <c r="J50" s="872"/>
      <c r="K50" s="872"/>
      <c r="L50" s="872"/>
      <c r="M50" s="872"/>
      <c r="N50" s="872"/>
      <c r="O50" s="872"/>
      <c r="P50" s="872"/>
      <c r="Q50" s="872"/>
    </row>
    <row r="51" customFormat="false" ht="12.8" hidden="false" customHeight="false" outlineLevel="0" collapsed="false">
      <c r="A51" s="880"/>
      <c r="B51" s="934" t="s">
        <v>4260</v>
      </c>
      <c r="C51" s="932" t="n">
        <v>28.9</v>
      </c>
      <c r="D51" s="933" t="s">
        <v>4245</v>
      </c>
      <c r="E51" s="888" t="s">
        <v>4232</v>
      </c>
      <c r="F51" s="889" t="s">
        <v>4231</v>
      </c>
      <c r="G51" s="890" t="n">
        <f aca="false">G50-G53-G54-G55</f>
        <v>469206</v>
      </c>
      <c r="H51" s="890" t="n">
        <f aca="false">SUM(PVA!G33:G49)</f>
        <v>425231</v>
      </c>
      <c r="I51" s="872"/>
      <c r="J51" s="872"/>
      <c r="K51" s="872"/>
      <c r="L51" s="872"/>
      <c r="M51" s="872"/>
      <c r="N51" s="872"/>
      <c r="O51" s="872"/>
      <c r="P51" s="872"/>
      <c r="Q51" s="872"/>
    </row>
    <row r="52" customFormat="false" ht="12.8" hidden="false" customHeight="false" outlineLevel="0" collapsed="false">
      <c r="A52" s="880"/>
      <c r="B52" s="934" t="s">
        <v>4261</v>
      </c>
      <c r="C52" s="932" t="n">
        <v>33.1</v>
      </c>
      <c r="D52" s="933" t="s">
        <v>4245</v>
      </c>
      <c r="E52" s="893" t="s">
        <v>4233</v>
      </c>
      <c r="F52" s="894" t="s">
        <v>2137</v>
      </c>
      <c r="G52" s="935" t="n">
        <f aca="false">IFERROR(G51/G50,"")</f>
        <v>0.964291659559251</v>
      </c>
      <c r="H52" s="935" t="n">
        <f aca="false">IFERROR(H51/H50,"")</f>
        <v>0.99173921865416</v>
      </c>
      <c r="I52" s="872"/>
      <c r="J52" s="872"/>
      <c r="K52" s="872"/>
      <c r="L52" s="872"/>
      <c r="M52" s="872"/>
      <c r="N52" s="872"/>
      <c r="O52" s="872"/>
      <c r="P52" s="872"/>
      <c r="Q52" s="872"/>
    </row>
    <row r="53" customFormat="false" ht="12.8" hidden="false" customHeight="false" outlineLevel="0" collapsed="false">
      <c r="A53" s="880"/>
      <c r="B53" s="934" t="s">
        <v>4262</v>
      </c>
      <c r="C53" s="932" t="n">
        <v>22.7</v>
      </c>
      <c r="D53" s="933" t="s">
        <v>4245</v>
      </c>
      <c r="E53" s="896" t="s">
        <v>4234</v>
      </c>
      <c r="F53" s="897" t="s">
        <v>4231</v>
      </c>
      <c r="G53" s="898" t="n">
        <f aca="false">SUM(PVA!H13:H17)</f>
        <v>8859</v>
      </c>
      <c r="H53" s="898" t="n">
        <f aca="false">SUM(PVA!H33:H49)</f>
        <v>3542</v>
      </c>
      <c r="I53" s="872"/>
      <c r="J53" s="872"/>
      <c r="K53" s="872"/>
      <c r="L53" s="872"/>
      <c r="M53" s="872"/>
      <c r="N53" s="872"/>
      <c r="O53" s="872"/>
      <c r="P53" s="872"/>
      <c r="Q53" s="872"/>
    </row>
    <row r="54" customFormat="false" ht="12.8" hidden="false" customHeight="false" outlineLevel="0" collapsed="false">
      <c r="A54" s="880"/>
      <c r="B54" s="934" t="s">
        <v>4263</v>
      </c>
      <c r="C54" s="932" t="n">
        <v>33.1</v>
      </c>
      <c r="D54" s="933" t="s">
        <v>4245</v>
      </c>
      <c r="E54" s="899" t="s">
        <v>4235</v>
      </c>
      <c r="F54" s="900" t="s">
        <v>4231</v>
      </c>
      <c r="G54" s="901" t="n">
        <f aca="false">SUM(PVA!K13:K17)</f>
        <v>7457</v>
      </c>
      <c r="H54" s="901" t="n">
        <f aca="false">SUM(PVA!K33:K49)</f>
        <v>0</v>
      </c>
      <c r="I54" s="872"/>
      <c r="J54" s="872"/>
      <c r="K54" s="872"/>
      <c r="L54" s="872"/>
      <c r="M54" s="872"/>
      <c r="N54" s="872"/>
      <c r="O54" s="872"/>
      <c r="P54" s="872"/>
      <c r="Q54" s="872"/>
    </row>
    <row r="55" customFormat="false" ht="12.8" hidden="false" customHeight="false" outlineLevel="0" collapsed="false">
      <c r="A55" s="880"/>
      <c r="B55" s="934" t="s">
        <v>4264</v>
      </c>
      <c r="C55" s="936" t="n">
        <v>28.6</v>
      </c>
      <c r="D55" s="933" t="s">
        <v>4245</v>
      </c>
      <c r="E55" s="902" t="s">
        <v>4236</v>
      </c>
      <c r="F55" s="903" t="s">
        <v>4231</v>
      </c>
      <c r="G55" s="901" t="n">
        <f aca="false">SUM(PVA!I13:I17)</f>
        <v>1059</v>
      </c>
      <c r="H55" s="901" t="n">
        <f aca="false">SUM(PVA!I33:I49)</f>
        <v>0</v>
      </c>
      <c r="J55" s="872"/>
    </row>
    <row r="56" customFormat="false" ht="12.8" hidden="false" customHeight="false" outlineLevel="0" collapsed="false">
      <c r="A56" s="880"/>
      <c r="B56" s="934" t="s">
        <v>4265</v>
      </c>
      <c r="C56" s="936" t="n">
        <v>17</v>
      </c>
      <c r="D56" s="933" t="s">
        <v>4245</v>
      </c>
      <c r="E56" s="906" t="s">
        <v>4237</v>
      </c>
      <c r="F56" s="907" t="s">
        <v>4238</v>
      </c>
      <c r="G56" s="908" t="n">
        <f aca="false">SUM(PVA!Z13:Z17)</f>
        <v>249.0711</v>
      </c>
      <c r="H56" s="908" t="n">
        <f aca="false">SUM(PVA!Z33:Z49)</f>
        <v>98.4387</v>
      </c>
      <c r="J56" s="872"/>
    </row>
    <row r="57" customFormat="false" ht="12.8" hidden="false" customHeight="false" outlineLevel="0" collapsed="false">
      <c r="A57" s="880"/>
      <c r="B57" s="934"/>
      <c r="C57" s="937"/>
      <c r="D57" s="887"/>
      <c r="E57" s="906" t="s">
        <v>4239</v>
      </c>
      <c r="F57" s="907" t="s">
        <v>4238</v>
      </c>
      <c r="G57" s="908" t="n">
        <f aca="false">SUM(PVA!AC13:AC17)</f>
        <v>205.6613</v>
      </c>
      <c r="H57" s="908" t="n">
        <f aca="false">SUM(PVA!AC33:AC48)</f>
        <v>0</v>
      </c>
    </row>
    <row r="58" customFormat="false" ht="12.8" hidden="false" customHeight="false" outlineLevel="0" collapsed="false">
      <c r="A58" s="880"/>
      <c r="B58" s="934"/>
      <c r="C58" s="937"/>
      <c r="D58" s="905"/>
      <c r="E58" s="906" t="s">
        <v>4240</v>
      </c>
      <c r="F58" s="907" t="s">
        <v>4238</v>
      </c>
      <c r="G58" s="908" t="n">
        <f aca="false">SUM(PVA!AA13:AA17)</f>
        <v>28.8279</v>
      </c>
      <c r="H58" s="908" t="n">
        <f aca="false">SUM(PVA!AA33:AA49)</f>
        <v>0</v>
      </c>
    </row>
    <row r="59" customFormat="false" ht="12.8" hidden="false" customHeight="false" outlineLevel="0" collapsed="false">
      <c r="A59" s="880"/>
      <c r="B59" s="934"/>
      <c r="C59" s="937"/>
      <c r="D59" s="905"/>
      <c r="E59" s="906" t="s">
        <v>4241</v>
      </c>
      <c r="F59" s="907" t="s">
        <v>4238</v>
      </c>
      <c r="G59" s="908" t="n">
        <v>0</v>
      </c>
      <c r="H59" s="908" t="n">
        <v>0</v>
      </c>
    </row>
    <row r="60" customFormat="false" ht="12.8" hidden="false" customHeight="false" outlineLevel="0" collapsed="false">
      <c r="A60" s="880"/>
      <c r="B60" s="934"/>
      <c r="C60" s="937"/>
      <c r="D60" s="905"/>
      <c r="E60" s="906" t="s">
        <v>4242</v>
      </c>
      <c r="F60" s="907" t="s">
        <v>4238</v>
      </c>
      <c r="G60" s="908" t="n">
        <f aca="false">SUM(PVA!J13:J17)</f>
        <v>30.962</v>
      </c>
      <c r="H60" s="908" t="n">
        <f aca="false">SUM(PVA!J33:J49)</f>
        <v>0</v>
      </c>
    </row>
    <row r="61" customFormat="false" ht="12.8" hidden="false" customHeight="false" outlineLevel="0" collapsed="false">
      <c r="A61" s="880"/>
      <c r="B61" s="934"/>
      <c r="C61" s="909" t="s">
        <v>4266</v>
      </c>
      <c r="D61" s="930"/>
      <c r="E61" s="911" t="s">
        <v>4244</v>
      </c>
      <c r="F61" s="912" t="s">
        <v>4238</v>
      </c>
      <c r="G61" s="913" t="n">
        <f aca="false">PVA!W19</f>
        <v>13676.0483</v>
      </c>
      <c r="H61" s="913" t="n">
        <f aca="false">G61+SUM(H56:H60)</f>
        <v>13774.487</v>
      </c>
    </row>
    <row r="62" customFormat="false" ht="12.8" hidden="false" customHeight="false" outlineLevel="0" collapsed="false">
      <c r="A62" s="880"/>
      <c r="B62" s="934"/>
      <c r="C62" s="937"/>
      <c r="D62" s="910"/>
      <c r="E62" s="911" t="s">
        <v>4246</v>
      </c>
      <c r="F62" s="912" t="s">
        <v>4238</v>
      </c>
      <c r="G62" s="913" t="n">
        <f aca="false">PVA!V19</f>
        <v>13156.656</v>
      </c>
      <c r="H62" s="913" t="n">
        <f aca="false">G62</f>
        <v>13156.656</v>
      </c>
    </row>
    <row r="63" customFormat="false" ht="12.8" hidden="false" customHeight="false" outlineLevel="0" collapsed="false">
      <c r="A63" s="880"/>
      <c r="B63" s="934"/>
      <c r="C63" s="937"/>
      <c r="D63" s="905"/>
      <c r="E63" s="911" t="s">
        <v>4247</v>
      </c>
      <c r="F63" s="912" t="s">
        <v>2137</v>
      </c>
      <c r="G63" s="914" t="n">
        <f aca="false">IFERROR(G56/G61,"")</f>
        <v>0.0182122126608751</v>
      </c>
      <c r="H63" s="914" t="n">
        <f aca="false">IFERROR((H56+G56)/H61,"")</f>
        <v>0.0252285112323965</v>
      </c>
    </row>
    <row r="64" customFormat="false" ht="12.8" hidden="false" customHeight="false" outlineLevel="0" collapsed="false">
      <c r="A64" s="880"/>
      <c r="B64" s="934"/>
      <c r="C64" s="937"/>
      <c r="D64" s="905"/>
      <c r="E64" s="911" t="s">
        <v>4248</v>
      </c>
      <c r="F64" s="912" t="s">
        <v>2137</v>
      </c>
      <c r="G64" s="914" t="n">
        <f aca="false">IFERROR(G57/G61,"")</f>
        <v>0.0150380647602714</v>
      </c>
      <c r="H64" s="914" t="n">
        <f aca="false">IFERROR((H57+G57)/H61,"")</f>
        <v>0.0149305959633923</v>
      </c>
    </row>
    <row r="65" customFormat="false" ht="12.8" hidden="false" customHeight="false" outlineLevel="0" collapsed="false">
      <c r="A65" s="880"/>
      <c r="B65" s="934"/>
      <c r="C65" s="937"/>
      <c r="D65" s="905"/>
      <c r="E65" s="915" t="s">
        <v>4249</v>
      </c>
      <c r="F65" s="912" t="s">
        <v>2137</v>
      </c>
      <c r="G65" s="914" t="n">
        <f aca="false">IFERROR(G58/G61,"")</f>
        <v>0.00210791153757478</v>
      </c>
      <c r="H65" s="914" t="n">
        <f aca="false">IFERROR((H58+G58)/H61,"")</f>
        <v>0.00209284745050759</v>
      </c>
    </row>
    <row r="66" customFormat="false" ht="12.8" hidden="false" customHeight="false" outlineLevel="0" collapsed="false">
      <c r="A66" s="880"/>
      <c r="B66" s="934"/>
      <c r="C66" s="937"/>
      <c r="D66" s="905"/>
      <c r="E66" s="911" t="s">
        <v>4250</v>
      </c>
      <c r="F66" s="912" t="s">
        <v>2137</v>
      </c>
      <c r="G66" s="914" t="n">
        <f aca="false">IFERROR(G59/G61,"")</f>
        <v>0</v>
      </c>
      <c r="H66" s="914" t="n">
        <f aca="false">IFERROR(H59/H61,"")</f>
        <v>0</v>
      </c>
    </row>
    <row r="67" customFormat="false" ht="12.8" hidden="false" customHeight="false" outlineLevel="0" collapsed="false">
      <c r="A67" s="880"/>
      <c r="B67" s="934"/>
      <c r="C67" s="937"/>
      <c r="D67" s="905"/>
      <c r="E67" s="911" t="s">
        <v>4251</v>
      </c>
      <c r="F67" s="912" t="s">
        <v>2137</v>
      </c>
      <c r="G67" s="914" t="n">
        <f aca="false">IFERROR(G60/G61,"")</f>
        <v>0.00226395807625219</v>
      </c>
      <c r="H67" s="914" t="n">
        <f aca="false">IFERROR(H60/H61,"")</f>
        <v>0</v>
      </c>
    </row>
    <row r="68" customFormat="false" ht="12.8" hidden="false" customHeight="false" outlineLevel="0" collapsed="false">
      <c r="A68" s="880"/>
      <c r="B68" s="938"/>
      <c r="C68" s="939"/>
      <c r="D68" s="917"/>
      <c r="E68" s="940" t="s">
        <v>4252</v>
      </c>
      <c r="F68" s="941" t="s">
        <v>2137</v>
      </c>
      <c r="G68" s="942" t="n">
        <f aca="false">IFERROR(G62/G61,"")</f>
        <v>0.962021755948317</v>
      </c>
      <c r="H68" s="942" t="n">
        <f aca="false">IFERROR(H62/H61,"")</f>
        <v>0.955146714356767</v>
      </c>
    </row>
    <row r="69" customFormat="false" ht="12.8" hidden="false" customHeight="false" outlineLevel="0" collapsed="false">
      <c r="E69" s="923" t="s">
        <v>4253</v>
      </c>
      <c r="F69" s="924" t="s">
        <v>2137</v>
      </c>
      <c r="G69" s="925" t="n">
        <v>0.96</v>
      </c>
      <c r="H69" s="925" t="n">
        <v>0.95</v>
      </c>
    </row>
    <row r="70" customFormat="false" ht="15" hidden="false" customHeight="false" outlineLevel="0" collapsed="false">
      <c r="A70" s="926"/>
      <c r="B70" s="927"/>
      <c r="C70" s="926"/>
      <c r="D70" s="926"/>
      <c r="E70" s="928"/>
      <c r="F70" s="926"/>
      <c r="G70" s="871" t="s">
        <v>4221</v>
      </c>
    </row>
    <row r="71" customFormat="false" ht="12.8" hidden="false" customHeight="false" outlineLevel="0" collapsed="false">
      <c r="A71" s="873" t="s">
        <v>4267</v>
      </c>
      <c r="B71" s="926"/>
      <c r="C71" s="926"/>
      <c r="D71" s="926"/>
      <c r="E71" s="926"/>
      <c r="F71" s="926"/>
      <c r="G71" s="874" t="str">
        <f aca="false">G25</f>
        <v>Aug</v>
      </c>
    </row>
    <row r="72" customFormat="false" ht="12.8" hidden="false" customHeight="false" outlineLevel="0" collapsed="false">
      <c r="A72" s="875" t="s">
        <v>2477</v>
      </c>
      <c r="B72" s="875" t="s">
        <v>19</v>
      </c>
      <c r="C72" s="876" t="s">
        <v>4224</v>
      </c>
      <c r="D72" s="877" t="s">
        <v>4225</v>
      </c>
      <c r="E72" s="876" t="s">
        <v>18</v>
      </c>
      <c r="F72" s="878" t="s">
        <v>4226</v>
      </c>
      <c r="G72" s="879" t="s">
        <v>4227</v>
      </c>
      <c r="H72" s="879" t="s">
        <v>2490</v>
      </c>
    </row>
    <row r="73" customFormat="false" ht="12.8" hidden="false" customHeight="true" outlineLevel="0" collapsed="false">
      <c r="A73" s="880" t="s">
        <v>4258</v>
      </c>
      <c r="B73" s="931" t="s">
        <v>4259</v>
      </c>
      <c r="C73" s="932" t="n">
        <v>22.7</v>
      </c>
      <c r="D73" s="933" t="s">
        <v>4245</v>
      </c>
      <c r="E73" s="883" t="s">
        <v>4230</v>
      </c>
      <c r="F73" s="884" t="s">
        <v>4231</v>
      </c>
      <c r="G73" s="885" t="n">
        <f aca="false">SUM(PVA!F20:F30)</f>
        <v>84401</v>
      </c>
      <c r="H73" s="885" t="n">
        <f aca="false">SUM(PVA!F50:F97)</f>
        <v>80390</v>
      </c>
    </row>
    <row r="74" customFormat="false" ht="12.8" hidden="false" customHeight="false" outlineLevel="0" collapsed="false">
      <c r="A74" s="880"/>
      <c r="B74" s="934" t="s">
        <v>4260</v>
      </c>
      <c r="C74" s="932" t="n">
        <v>28.9</v>
      </c>
      <c r="D74" s="933" t="s">
        <v>4245</v>
      </c>
      <c r="E74" s="888" t="s">
        <v>4232</v>
      </c>
      <c r="F74" s="889" t="s">
        <v>4231</v>
      </c>
      <c r="G74" s="890" t="n">
        <f aca="false">SUM(PVA!G20:G30)</f>
        <v>79321</v>
      </c>
      <c r="H74" s="890" t="n">
        <f aca="false">SUM(PVA!G50:G97)</f>
        <v>79135</v>
      </c>
    </row>
    <row r="75" customFormat="false" ht="12.8" hidden="false" customHeight="false" outlineLevel="0" collapsed="false">
      <c r="A75" s="880"/>
      <c r="B75" s="934" t="s">
        <v>4261</v>
      </c>
      <c r="C75" s="932" t="n">
        <v>33.1</v>
      </c>
      <c r="D75" s="933" t="s">
        <v>4245</v>
      </c>
      <c r="E75" s="893" t="s">
        <v>4233</v>
      </c>
      <c r="F75" s="894" t="s">
        <v>2137</v>
      </c>
      <c r="G75" s="935" t="n">
        <f aca="false">IFERROR(G74/G73,"")</f>
        <v>0.93981113967844</v>
      </c>
      <c r="H75" s="935" t="n">
        <f aca="false">IFERROR(H74/H73,"")</f>
        <v>0.984388605547954</v>
      </c>
    </row>
    <row r="76" customFormat="false" ht="12.8" hidden="false" customHeight="false" outlineLevel="0" collapsed="false">
      <c r="A76" s="880"/>
      <c r="B76" s="934" t="s">
        <v>4262</v>
      </c>
      <c r="C76" s="932" t="n">
        <v>22.7</v>
      </c>
      <c r="D76" s="933" t="s">
        <v>4245</v>
      </c>
      <c r="E76" s="896" t="s">
        <v>4234</v>
      </c>
      <c r="F76" s="897" t="s">
        <v>4231</v>
      </c>
      <c r="G76" s="898" t="n">
        <f aca="false">SUM(PVA!H20:H30)</f>
        <v>2228</v>
      </c>
      <c r="H76" s="898" t="n">
        <f aca="false">SUM(PVA!H50:H97)</f>
        <v>1255</v>
      </c>
    </row>
    <row r="77" customFormat="false" ht="12.8" hidden="false" customHeight="false" outlineLevel="0" collapsed="false">
      <c r="A77" s="880"/>
      <c r="B77" s="934" t="s">
        <v>4263</v>
      </c>
      <c r="C77" s="932" t="n">
        <v>33.1</v>
      </c>
      <c r="D77" s="933" t="s">
        <v>4245</v>
      </c>
      <c r="E77" s="899" t="s">
        <v>4235</v>
      </c>
      <c r="F77" s="900" t="s">
        <v>4231</v>
      </c>
      <c r="G77" s="901" t="n">
        <f aca="false">SUM(PVA!K20:K30)</f>
        <v>2572</v>
      </c>
      <c r="H77" s="901" t="n">
        <f aca="false">SUM(PVA!K50:K97)</f>
        <v>0</v>
      </c>
    </row>
    <row r="78" customFormat="false" ht="12.8" hidden="false" customHeight="false" outlineLevel="0" collapsed="false">
      <c r="A78" s="880"/>
      <c r="B78" s="934"/>
      <c r="C78" s="936"/>
      <c r="D78" s="933"/>
      <c r="E78" s="902" t="s">
        <v>4236</v>
      </c>
      <c r="F78" s="903" t="s">
        <v>4231</v>
      </c>
      <c r="G78" s="901" t="n">
        <f aca="false">SUM(PVA!I20:I30)</f>
        <v>280</v>
      </c>
      <c r="H78" s="901" t="n">
        <f aca="false">SUM(PVA!I50:I97)</f>
        <v>0</v>
      </c>
    </row>
    <row r="79" customFormat="false" ht="12.8" hidden="false" customHeight="false" outlineLevel="0" collapsed="false">
      <c r="A79" s="880"/>
      <c r="B79" s="934"/>
      <c r="C79" s="936"/>
      <c r="D79" s="933"/>
      <c r="E79" s="906" t="s">
        <v>4237</v>
      </c>
      <c r="F79" s="907" t="s">
        <v>4238</v>
      </c>
      <c r="G79" s="908" t="n">
        <f aca="false">SUM(PVA!Z20:Z31)</f>
        <v>66.8992</v>
      </c>
      <c r="H79" s="908" t="n">
        <f aca="false">SUM(PVA!Z50:Z97)</f>
        <v>36.03</v>
      </c>
    </row>
    <row r="80" customFormat="false" ht="12.8" hidden="false" customHeight="false" outlineLevel="0" collapsed="false">
      <c r="A80" s="880"/>
      <c r="B80" s="934"/>
      <c r="C80" s="937"/>
      <c r="D80" s="887"/>
      <c r="E80" s="906" t="s">
        <v>4239</v>
      </c>
      <c r="F80" s="907" t="s">
        <v>4238</v>
      </c>
      <c r="G80" s="908" t="n">
        <f aca="false">SUM(PVA!AC20:AC31)</f>
        <v>76.7589</v>
      </c>
      <c r="H80" s="908" t="n">
        <f aca="false">SUM(PVA!AC50:AC97)</f>
        <v>0</v>
      </c>
    </row>
    <row r="81" customFormat="false" ht="12.8" hidden="false" customHeight="false" outlineLevel="0" collapsed="false">
      <c r="A81" s="880"/>
      <c r="B81" s="934"/>
      <c r="C81" s="937"/>
      <c r="D81" s="905"/>
      <c r="E81" s="906" t="s">
        <v>4240</v>
      </c>
      <c r="F81" s="907" t="s">
        <v>4238</v>
      </c>
      <c r="G81" s="908" t="n">
        <f aca="false">SUM(PVA!AA20:AA31)</f>
        <v>8.2784</v>
      </c>
      <c r="H81" s="908" t="n">
        <f aca="false">SUM(PVA!AA50:AA97)</f>
        <v>0</v>
      </c>
    </row>
    <row r="82" customFormat="false" ht="12.8" hidden="false" customHeight="false" outlineLevel="0" collapsed="false">
      <c r="A82" s="880"/>
      <c r="B82" s="934"/>
      <c r="C82" s="937"/>
      <c r="D82" s="905"/>
      <c r="E82" s="906" t="s">
        <v>4241</v>
      </c>
      <c r="F82" s="907" t="s">
        <v>4238</v>
      </c>
      <c r="G82" s="908" t="n">
        <v>0</v>
      </c>
      <c r="H82" s="908" t="n">
        <v>0</v>
      </c>
    </row>
    <row r="83" customFormat="false" ht="12.8" hidden="false" customHeight="false" outlineLevel="0" collapsed="false">
      <c r="A83" s="880"/>
      <c r="B83" s="934"/>
      <c r="C83" s="937"/>
      <c r="D83" s="905"/>
      <c r="E83" s="906" t="s">
        <v>4242</v>
      </c>
      <c r="F83" s="907" t="s">
        <v>4238</v>
      </c>
      <c r="G83" s="908" t="n">
        <f aca="false">SUM(PVA!J20:J30)</f>
        <v>20.968</v>
      </c>
      <c r="H83" s="908" t="n">
        <v>0</v>
      </c>
    </row>
    <row r="84" customFormat="false" ht="12.8" hidden="false" customHeight="false" outlineLevel="0" collapsed="false">
      <c r="A84" s="880"/>
      <c r="B84" s="934"/>
      <c r="C84" s="909" t="s">
        <v>4268</v>
      </c>
      <c r="D84" s="930"/>
      <c r="E84" s="911" t="s">
        <v>4244</v>
      </c>
      <c r="F84" s="912" t="s">
        <v>4238</v>
      </c>
      <c r="G84" s="913" t="n">
        <f aca="false">PVA!W30</f>
        <v>2539.8954</v>
      </c>
      <c r="H84" s="913" t="n">
        <f aca="false">G84+SUM(H79:H83)</f>
        <v>2575.9254</v>
      </c>
    </row>
    <row r="85" customFormat="false" ht="12.8" hidden="false" customHeight="false" outlineLevel="0" collapsed="false">
      <c r="A85" s="880"/>
      <c r="B85" s="934"/>
      <c r="C85" s="937"/>
      <c r="D85" s="910"/>
      <c r="E85" s="911" t="s">
        <v>4246</v>
      </c>
      <c r="F85" s="912" t="s">
        <v>4238</v>
      </c>
      <c r="G85" s="913" t="n">
        <f aca="false">PVA!V30</f>
        <v>2366.9909</v>
      </c>
      <c r="H85" s="913" t="n">
        <f aca="false">G85</f>
        <v>2366.9909</v>
      </c>
    </row>
    <row r="86" customFormat="false" ht="12.8" hidden="false" customHeight="false" outlineLevel="0" collapsed="false">
      <c r="A86" s="880"/>
      <c r="B86" s="934"/>
      <c r="C86" s="937"/>
      <c r="D86" s="905"/>
      <c r="E86" s="911" t="s">
        <v>4247</v>
      </c>
      <c r="F86" s="912" t="s">
        <v>2137</v>
      </c>
      <c r="G86" s="914" t="n">
        <f aca="false">IFERROR(G79/G84,"")</f>
        <v>0.0263393524001028</v>
      </c>
      <c r="H86" s="914" t="n">
        <f aca="false">IFERROR((H79+G79)/H84,"")</f>
        <v>0.0399581447506205</v>
      </c>
    </row>
    <row r="87" customFormat="false" ht="12.8" hidden="false" customHeight="false" outlineLevel="0" collapsed="false">
      <c r="A87" s="880"/>
      <c r="B87" s="934"/>
      <c r="C87" s="937"/>
      <c r="D87" s="905"/>
      <c r="E87" s="911" t="s">
        <v>4248</v>
      </c>
      <c r="F87" s="912" t="s">
        <v>2137</v>
      </c>
      <c r="G87" s="914" t="n">
        <f aca="false">IFERROR(G80/G84,"")</f>
        <v>0.0302212839158652</v>
      </c>
      <c r="H87" s="914" t="n">
        <f aca="false">IFERROR((H80+G80)/H84,"")</f>
        <v>0.0297985725828861</v>
      </c>
    </row>
    <row r="88" customFormat="false" ht="12.8" hidden="false" customHeight="false" outlineLevel="0" collapsed="false">
      <c r="A88" s="880"/>
      <c r="B88" s="934"/>
      <c r="C88" s="937"/>
      <c r="D88" s="905"/>
      <c r="E88" s="915" t="s">
        <v>4249</v>
      </c>
      <c r="F88" s="912" t="s">
        <v>2137</v>
      </c>
      <c r="G88" s="914" t="n">
        <f aca="false">IFERROR(G81/G84,"")</f>
        <v>0.0032593468219203</v>
      </c>
      <c r="H88" s="914" t="n">
        <f aca="false">IFERROR((H81+G81)/H84,"")</f>
        <v>0.00321375766549761</v>
      </c>
    </row>
    <row r="89" customFormat="false" ht="12.8" hidden="false" customHeight="false" outlineLevel="0" collapsed="false">
      <c r="A89" s="880"/>
      <c r="B89" s="934"/>
      <c r="C89" s="937"/>
      <c r="D89" s="905"/>
      <c r="E89" s="911" t="s">
        <v>4250</v>
      </c>
      <c r="F89" s="912" t="s">
        <v>2137</v>
      </c>
      <c r="G89" s="914" t="n">
        <f aca="false">IFERROR(G82/G84,"")</f>
        <v>0</v>
      </c>
      <c r="H89" s="914" t="n">
        <f aca="false">IFERROR(H82/H84,"")</f>
        <v>0</v>
      </c>
    </row>
    <row r="90" customFormat="false" ht="12.8" hidden="false" customHeight="false" outlineLevel="0" collapsed="false">
      <c r="A90" s="880"/>
      <c r="B90" s="934"/>
      <c r="C90" s="937"/>
      <c r="D90" s="905"/>
      <c r="E90" s="911" t="s">
        <v>4251</v>
      </c>
      <c r="F90" s="912" t="s">
        <v>2137</v>
      </c>
      <c r="G90" s="914" t="n">
        <f aca="false">IFERROR(G83/G84,"")</f>
        <v>0.00825545807910042</v>
      </c>
      <c r="H90" s="914" t="n">
        <f aca="false">IFERROR(H83/H84,"")</f>
        <v>0</v>
      </c>
    </row>
    <row r="91" customFormat="false" ht="12.8" hidden="false" customHeight="false" outlineLevel="0" collapsed="false">
      <c r="A91" s="880"/>
      <c r="B91" s="938"/>
      <c r="C91" s="939"/>
      <c r="D91" s="917"/>
      <c r="E91" s="918" t="s">
        <v>4252</v>
      </c>
      <c r="F91" s="919" t="s">
        <v>2137</v>
      </c>
      <c r="G91" s="920" t="n">
        <f aca="false">IFERROR(G85/G84,"")</f>
        <v>0.931924558783011</v>
      </c>
      <c r="H91" s="920" t="n">
        <f aca="false">IFERROR(H85/H84,"")</f>
        <v>0.918889537717202</v>
      </c>
    </row>
    <row r="92" customFormat="false" ht="12.8" hidden="false" customHeight="false" outlineLevel="0" collapsed="false">
      <c r="E92" s="923" t="s">
        <v>4253</v>
      </c>
      <c r="F92" s="924" t="s">
        <v>2137</v>
      </c>
      <c r="G92" s="925" t="n">
        <v>0.94</v>
      </c>
      <c r="H92" s="925" t="n">
        <v>0.93</v>
      </c>
    </row>
    <row r="94" customFormat="false" ht="33" hidden="false" customHeight="true" outlineLevel="0" collapsed="false">
      <c r="A94" s="943" t="s">
        <v>2477</v>
      </c>
      <c r="B94" s="943" t="s">
        <v>19</v>
      </c>
      <c r="C94" s="944" t="s">
        <v>4224</v>
      </c>
      <c r="D94" s="944" t="s">
        <v>4225</v>
      </c>
      <c r="E94" s="943" t="s">
        <v>18</v>
      </c>
      <c r="F94" s="944" t="s">
        <v>4226</v>
      </c>
      <c r="G94" s="945" t="s">
        <v>4269</v>
      </c>
      <c r="H94" s="946" t="s">
        <v>4270</v>
      </c>
      <c r="I94" s="946" t="s">
        <v>4271</v>
      </c>
      <c r="J94" s="947" t="s">
        <v>4272</v>
      </c>
      <c r="K94" s="947" t="s">
        <v>2413</v>
      </c>
      <c r="L94" s="947" t="s">
        <v>2414</v>
      </c>
      <c r="M94" s="947" t="s">
        <v>2415</v>
      </c>
      <c r="N94" s="947" t="s">
        <v>2416</v>
      </c>
      <c r="O94" s="947" t="s">
        <v>2417</v>
      </c>
      <c r="P94" s="921"/>
      <c r="Q94" s="921"/>
      <c r="R94" s="921"/>
    </row>
    <row r="95" customFormat="false" ht="12.8" hidden="false" customHeight="true" outlineLevel="0" collapsed="false">
      <c r="A95" s="948" t="s">
        <v>4273</v>
      </c>
      <c r="B95" s="949" t="s">
        <v>199</v>
      </c>
      <c r="C95" s="950" t="s">
        <v>4274</v>
      </c>
      <c r="D95" s="951" t="n">
        <v>0.0073</v>
      </c>
      <c r="E95" s="952" t="s">
        <v>2359</v>
      </c>
      <c r="F95" s="953" t="s">
        <v>2137</v>
      </c>
      <c r="G95" s="954" t="n">
        <f aca="false">H95/I95</f>
        <v>0.993845298148306</v>
      </c>
      <c r="H95" s="955" t="n">
        <f aca="false">D95*K95</f>
        <v>964.8921</v>
      </c>
      <c r="I95" s="955" t="n">
        <f aca="false">(D95*J95)+N95</f>
        <v>970.8675</v>
      </c>
      <c r="J95" s="950" t="n">
        <f aca="false">K95+L95+M95+O95</f>
        <v>132515</v>
      </c>
      <c r="K95" s="950" t="n">
        <f aca="false">PVA!G5</f>
        <v>132177</v>
      </c>
      <c r="L95" s="950" t="n">
        <f aca="false">PVA!H5</f>
        <v>119</v>
      </c>
      <c r="M95" s="950" t="n">
        <f aca="false">PVA!I5</f>
        <v>144</v>
      </c>
      <c r="N95" s="950" t="n">
        <f aca="false">PVA!J5</f>
        <v>3.508</v>
      </c>
      <c r="O95" s="950" t="n">
        <f aca="false">PVA!K5</f>
        <v>75</v>
      </c>
    </row>
    <row r="96" customFormat="false" ht="12.8" hidden="false" customHeight="false" outlineLevel="0" collapsed="false">
      <c r="A96" s="948"/>
      <c r="B96" s="949" t="s">
        <v>261</v>
      </c>
      <c r="C96" s="950" t="s">
        <v>4274</v>
      </c>
      <c r="D96" s="951" t="n">
        <v>0.0073</v>
      </c>
      <c r="E96" s="952" t="s">
        <v>2339</v>
      </c>
      <c r="F96" s="953" t="s">
        <v>2137</v>
      </c>
      <c r="G96" s="954" t="n">
        <f aca="false">H96/I96</f>
        <v>0.995409211263322</v>
      </c>
      <c r="H96" s="955" t="n">
        <f aca="false">D96*K96</f>
        <v>927.4796</v>
      </c>
      <c r="I96" s="956" t="n">
        <f aca="false">(D96*J96)+N96</f>
        <v>931.7571</v>
      </c>
      <c r="J96" s="950" t="n">
        <f aca="false">K96+L96+M96+O96</f>
        <v>127327</v>
      </c>
      <c r="K96" s="950" t="n">
        <f aca="false">PVA!G6</f>
        <v>127052</v>
      </c>
      <c r="L96" s="950" t="n">
        <f aca="false">PVA!H6</f>
        <v>127</v>
      </c>
      <c r="M96" s="950" t="n">
        <f aca="false">PVA!I6</f>
        <v>144</v>
      </c>
      <c r="N96" s="950" t="n">
        <f aca="false">PVA!J6</f>
        <v>2.27</v>
      </c>
      <c r="O96" s="950" t="n">
        <f aca="false">PVA!K6</f>
        <v>4</v>
      </c>
    </row>
    <row r="97" customFormat="false" ht="12.8" hidden="false" customHeight="false" outlineLevel="0" collapsed="false">
      <c r="A97" s="948"/>
      <c r="B97" s="949" t="s">
        <v>343</v>
      </c>
      <c r="C97" s="950" t="s">
        <v>4274</v>
      </c>
      <c r="D97" s="951" t="n">
        <v>0.0073</v>
      </c>
      <c r="E97" s="952" t="s">
        <v>2352</v>
      </c>
      <c r="F97" s="953" t="s">
        <v>2137</v>
      </c>
      <c r="G97" s="954" t="n">
        <f aca="false">H97/I97</f>
        <v>0.992766857887665</v>
      </c>
      <c r="H97" s="955" t="n">
        <f aca="false">D97*K97</f>
        <v>900.747</v>
      </c>
      <c r="I97" s="956" t="n">
        <f aca="false">(D97*J97)+N97</f>
        <v>907.3097</v>
      </c>
      <c r="J97" s="950" t="n">
        <f aca="false">K97+L97+M97+O97</f>
        <v>123789</v>
      </c>
      <c r="K97" s="950" t="n">
        <f aca="false">PVA!G7</f>
        <v>123390</v>
      </c>
      <c r="L97" s="950" t="n">
        <f aca="false">PVA!H7</f>
        <v>192</v>
      </c>
      <c r="M97" s="950" t="n">
        <f aca="false">PVA!I7</f>
        <v>128</v>
      </c>
      <c r="N97" s="950" t="n">
        <f aca="false">PVA!J7</f>
        <v>3.65</v>
      </c>
      <c r="O97" s="950" t="n">
        <f aca="false">PVA!K7</f>
        <v>79</v>
      </c>
    </row>
    <row r="98" customFormat="false" ht="12.8" hidden="false" customHeight="false" outlineLevel="0" collapsed="false">
      <c r="A98" s="948"/>
      <c r="B98" s="949" t="s">
        <v>420</v>
      </c>
      <c r="C98" s="950" t="s">
        <v>4274</v>
      </c>
      <c r="D98" s="951" t="n">
        <v>0.0073</v>
      </c>
      <c r="E98" s="952" t="s">
        <v>2362</v>
      </c>
      <c r="F98" s="953" t="s">
        <v>2137</v>
      </c>
      <c r="G98" s="954" t="n">
        <f aca="false">H98/I98</f>
        <v>0.992273780811855</v>
      </c>
      <c r="H98" s="955" t="n">
        <f aca="false">D98*K98</f>
        <v>249.076</v>
      </c>
      <c r="I98" s="956" t="n">
        <f aca="false">(D98*J98)+N98</f>
        <v>251.0154</v>
      </c>
      <c r="J98" s="950" t="n">
        <f aca="false">K98+L98+M98+O98</f>
        <v>34198</v>
      </c>
      <c r="K98" s="950" t="n">
        <f aca="false">PVA!G8</f>
        <v>34120</v>
      </c>
      <c r="L98" s="950" t="n">
        <f aca="false">PVA!H8</f>
        <v>28</v>
      </c>
      <c r="M98" s="950" t="n">
        <f aca="false">PVA!I8</f>
        <v>48</v>
      </c>
      <c r="N98" s="950" t="n">
        <f aca="false">PVA!J8</f>
        <v>1.37</v>
      </c>
      <c r="O98" s="950" t="n">
        <f aca="false">PVA!K8</f>
        <v>2</v>
      </c>
    </row>
    <row r="99" customFormat="false" ht="12.8" hidden="false" customHeight="false" outlineLevel="0" collapsed="false">
      <c r="A99" s="948"/>
      <c r="B99" s="949" t="s">
        <v>453</v>
      </c>
      <c r="C99" s="950" t="s">
        <v>4274</v>
      </c>
      <c r="D99" s="951" t="n">
        <v>0.0073</v>
      </c>
      <c r="E99" s="952" t="s">
        <v>2364</v>
      </c>
      <c r="F99" s="953" t="s">
        <v>2137</v>
      </c>
      <c r="G99" s="954" t="n">
        <f aca="false">H99/I99</f>
        <v>0.997611870179697</v>
      </c>
      <c r="H99" s="955" t="n">
        <f aca="false">D99*K99</f>
        <v>372.0372</v>
      </c>
      <c r="I99" s="956" t="n">
        <f aca="false">(D99*J99)+N99</f>
        <v>372.9278</v>
      </c>
      <c r="J99" s="950" t="n">
        <f aca="false">K99+L99+M99+O99</f>
        <v>51086</v>
      </c>
      <c r="K99" s="950" t="n">
        <f aca="false">PVA!G9</f>
        <v>50964</v>
      </c>
      <c r="L99" s="950" t="n">
        <f aca="false">PVA!H9</f>
        <v>50</v>
      </c>
      <c r="M99" s="950" t="n">
        <f aca="false">PVA!I9</f>
        <v>72</v>
      </c>
      <c r="N99" s="950" t="n">
        <f aca="false">PVA!J9</f>
        <v>0</v>
      </c>
      <c r="O99" s="950" t="n">
        <f aca="false">PVA!K9</f>
        <v>0</v>
      </c>
    </row>
    <row r="100" customFormat="false" ht="12.8" hidden="false" customHeight="false" outlineLevel="0" collapsed="false">
      <c r="A100" s="948"/>
      <c r="B100" s="949" t="s">
        <v>1740</v>
      </c>
      <c r="C100" s="950" t="s">
        <v>4274</v>
      </c>
      <c r="D100" s="951" t="n">
        <v>0.0073</v>
      </c>
      <c r="E100" s="952" t="s">
        <v>2367</v>
      </c>
      <c r="F100" s="953" t="s">
        <v>2137</v>
      </c>
      <c r="G100" s="954" t="n">
        <f aca="false">H100/I100</f>
        <v>0.996987462937085</v>
      </c>
      <c r="H100" s="955" t="n">
        <f aca="false">D100*K100</f>
        <v>151.11</v>
      </c>
      <c r="I100" s="955" t="n">
        <f aca="false">(D100*J100)+N100</f>
        <v>151.5666</v>
      </c>
      <c r="J100" s="950" t="n">
        <f aca="false">K100+L100+M100+O100</f>
        <v>20742</v>
      </c>
      <c r="K100" s="950" t="n">
        <f aca="false">PVA!G10</f>
        <v>20700</v>
      </c>
      <c r="L100" s="950" t="n">
        <f aca="false">PVA!H10</f>
        <v>10</v>
      </c>
      <c r="M100" s="950" t="n">
        <f aca="false">PVA!I10</f>
        <v>32</v>
      </c>
      <c r="N100" s="950" t="n">
        <f aca="false">PVA!J10</f>
        <v>0.15</v>
      </c>
      <c r="O100" s="950" t="n">
        <f aca="false">PVA!K10</f>
        <v>0</v>
      </c>
    </row>
    <row r="101" customFormat="false" ht="12.8" hidden="false" customHeight="false" outlineLevel="0" collapsed="false">
      <c r="E101" s="923" t="s">
        <v>4253</v>
      </c>
      <c r="F101" s="957" t="s">
        <v>2137</v>
      </c>
      <c r="G101" s="925" t="n">
        <v>0.99</v>
      </c>
    </row>
  </sheetData>
  <mergeCells count="7">
    <mergeCell ref="A4:A22"/>
    <mergeCell ref="B4:B22"/>
    <mergeCell ref="A27:A45"/>
    <mergeCell ref="B27:B45"/>
    <mergeCell ref="A50:A68"/>
    <mergeCell ref="A73:A91"/>
    <mergeCell ref="A95:A100"/>
  </mergeCells>
  <printOptions headings="false" gridLines="false" gridLinesSet="true" horizontalCentered="false" verticalCentered="false"/>
  <pageMargins left="0.45" right="0.45" top="0.5" bottom="0.5" header="0.511805555555555" footer="0.511805555555555"/>
  <pageSetup paperSize="9" scale="8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4" activeCellId="0" sqref="N14"/>
    </sheetView>
  </sheetViews>
  <sheetFormatPr defaultColWidth="8.54296875" defaultRowHeight="13.8" zeroHeight="false" outlineLevelRow="0" outlineLevelCol="0"/>
  <cols>
    <col collapsed="false" customWidth="true" hidden="false" outlineLevel="0" max="1" min="1" style="0" width="4.54"/>
    <col collapsed="false" customWidth="true" hidden="false" outlineLevel="0" max="2" min="2" style="0" width="9.54"/>
    <col collapsed="false" customWidth="true" hidden="false" outlineLevel="0" max="5" min="5" style="0" width="27.45"/>
    <col collapsed="false" customWidth="true" hidden="false" outlineLevel="0" max="6" min="6" style="0" width="11.54"/>
    <col collapsed="false" customWidth="true" hidden="false" outlineLevel="0" max="7" min="7" style="0" width="9.45"/>
    <col collapsed="false" customWidth="true" hidden="false" outlineLevel="0" max="8" min="8" style="0" width="13.45"/>
    <col collapsed="false" customWidth="true" hidden="false" outlineLevel="0" max="9" min="9" style="0" width="11.45"/>
    <col collapsed="false" customWidth="true" hidden="false" outlineLevel="0" max="10" min="10" style="0" width="11.54"/>
    <col collapsed="false" customWidth="true" hidden="false" outlineLevel="0" max="11" min="11" style="0" width="10.54"/>
    <col collapsed="false" customWidth="true" hidden="false" outlineLevel="0" max="12" min="12" style="0" width="9.45"/>
    <col collapsed="false" customWidth="true" hidden="false" outlineLevel="0" max="13" min="13" style="0" width="10.54"/>
    <col collapsed="false" customWidth="true" hidden="false" outlineLevel="0" max="14" min="14" style="0" width="16.54"/>
  </cols>
  <sheetData>
    <row r="1" s="959" customFormat="true" ht="45" hidden="false" customHeight="true" outlineLevel="0" collapsed="false">
      <c r="A1" s="958" t="s">
        <v>4275</v>
      </c>
      <c r="B1" s="958" t="s">
        <v>88</v>
      </c>
      <c r="C1" s="958" t="s">
        <v>13</v>
      </c>
      <c r="D1" s="958" t="s">
        <v>19</v>
      </c>
      <c r="E1" s="958" t="s">
        <v>4276</v>
      </c>
      <c r="F1" s="958" t="s">
        <v>24</v>
      </c>
      <c r="G1" s="958" t="s">
        <v>4277</v>
      </c>
      <c r="H1" s="958" t="s">
        <v>4278</v>
      </c>
      <c r="I1" s="958" t="s">
        <v>4279</v>
      </c>
      <c r="J1" s="958" t="s">
        <v>4280</v>
      </c>
      <c r="K1" s="958" t="s">
        <v>4281</v>
      </c>
      <c r="L1" s="958" t="s">
        <v>4282</v>
      </c>
      <c r="M1" s="958" t="s">
        <v>4283</v>
      </c>
      <c r="N1" s="958" t="s">
        <v>2404</v>
      </c>
    </row>
    <row r="2" s="14" customFormat="true" ht="13.8" hidden="false" customHeight="false" outlineLevel="0" collapsed="false">
      <c r="A2" s="4" t="n">
        <v>1</v>
      </c>
      <c r="B2" s="960" t="s">
        <v>4284</v>
      </c>
      <c r="C2" s="961" t="s">
        <v>51</v>
      </c>
      <c r="D2" s="961" t="s">
        <v>661</v>
      </c>
      <c r="E2" s="960" t="s">
        <v>4285</v>
      </c>
      <c r="F2" s="962" t="n">
        <f aca="false">G2+I2+J2+K2</f>
        <v>1963</v>
      </c>
      <c r="G2" s="963" t="n">
        <v>1600</v>
      </c>
      <c r="H2" s="963" t="n">
        <v>0</v>
      </c>
      <c r="I2" s="963" t="n">
        <v>63</v>
      </c>
      <c r="J2" s="963" t="n">
        <v>300</v>
      </c>
      <c r="K2" s="963" t="n">
        <v>0</v>
      </c>
      <c r="L2" s="964" t="n">
        <f aca="false">I2/F2</f>
        <v>0.032093734080489</v>
      </c>
      <c r="M2" s="964" t="n">
        <f aca="false">J2/F2</f>
        <v>0.152827305145186</v>
      </c>
      <c r="N2" s="4"/>
    </row>
    <row r="3" customFormat="false" ht="13.8" hidden="false" customHeight="false" outlineLevel="0" collapsed="false">
      <c r="A3" s="4" t="n">
        <v>2</v>
      </c>
      <c r="B3" s="960" t="s">
        <v>4284</v>
      </c>
      <c r="C3" s="961" t="s">
        <v>70</v>
      </c>
      <c r="D3" s="961" t="s">
        <v>661</v>
      </c>
      <c r="E3" s="960" t="s">
        <v>4285</v>
      </c>
      <c r="F3" s="962" t="n">
        <f aca="false">G3+I3+J3+K3</f>
        <v>4930</v>
      </c>
      <c r="G3" s="963" t="n">
        <v>4725</v>
      </c>
      <c r="H3" s="963" t="n">
        <v>0</v>
      </c>
      <c r="I3" s="963" t="n">
        <v>105</v>
      </c>
      <c r="J3" s="963" t="n">
        <v>100</v>
      </c>
      <c r="K3" s="963" t="n">
        <v>0</v>
      </c>
      <c r="L3" s="964" t="n">
        <f aca="false">I3/F3</f>
        <v>0.0212981744421907</v>
      </c>
      <c r="M3" s="964" t="n">
        <f aca="false">J3/F3</f>
        <v>0.0202839756592292</v>
      </c>
      <c r="N3" s="121"/>
    </row>
    <row r="4" customFormat="false" ht="13.8" hidden="false" customHeight="false" outlineLevel="0" collapsed="false">
      <c r="A4" s="4" t="n">
        <v>3</v>
      </c>
      <c r="B4" s="960" t="s">
        <v>4284</v>
      </c>
      <c r="C4" s="961" t="s">
        <v>152</v>
      </c>
      <c r="D4" s="961" t="s">
        <v>661</v>
      </c>
      <c r="E4" s="960" t="s">
        <v>4285</v>
      </c>
      <c r="F4" s="962" t="n">
        <f aca="false">G4+I4+J4+K4</f>
        <v>3600</v>
      </c>
      <c r="G4" s="963" t="n">
        <v>3425</v>
      </c>
      <c r="H4" s="963" t="n">
        <v>0</v>
      </c>
      <c r="I4" s="963" t="n">
        <v>80</v>
      </c>
      <c r="J4" s="963" t="n">
        <v>95</v>
      </c>
      <c r="K4" s="963" t="n">
        <v>0</v>
      </c>
      <c r="L4" s="964" t="n">
        <f aca="false">I4/F4</f>
        <v>0.0222222222222222</v>
      </c>
      <c r="M4" s="964" t="n">
        <f aca="false">J4/F4</f>
        <v>0.0263888888888889</v>
      </c>
      <c r="N4" s="121"/>
    </row>
    <row r="5" customFormat="false" ht="13.8" hidden="false" customHeight="false" outlineLevel="0" collapsed="false">
      <c r="A5" s="4" t="n">
        <v>4</v>
      </c>
      <c r="B5" s="119" t="s">
        <v>4286</v>
      </c>
      <c r="C5" s="961" t="s">
        <v>51</v>
      </c>
      <c r="D5" s="961" t="s">
        <v>809</v>
      </c>
      <c r="E5" s="960" t="s">
        <v>4287</v>
      </c>
      <c r="F5" s="962" t="n">
        <f aca="false">G5+I5+J5+K5</f>
        <v>1674</v>
      </c>
      <c r="G5" s="963" t="n">
        <v>1450</v>
      </c>
      <c r="H5" s="963" t="n">
        <v>0</v>
      </c>
      <c r="I5" s="963" t="n">
        <v>138</v>
      </c>
      <c r="J5" s="963" t="n">
        <v>72</v>
      </c>
      <c r="K5" s="963" t="n">
        <v>14</v>
      </c>
      <c r="L5" s="964" t="n">
        <f aca="false">I5/F5</f>
        <v>0.0824372759856631</v>
      </c>
      <c r="M5" s="964" t="n">
        <f aca="false">J5/F5</f>
        <v>0.0430107526881721</v>
      </c>
      <c r="N5" s="121"/>
    </row>
    <row r="6" customFormat="false" ht="13.8" hidden="false" customHeight="false" outlineLevel="0" collapsed="false">
      <c r="A6" s="4" t="n">
        <v>5</v>
      </c>
      <c r="B6" s="119" t="s">
        <v>4288</v>
      </c>
      <c r="C6" s="961" t="s">
        <v>51</v>
      </c>
      <c r="D6" s="961" t="s">
        <v>809</v>
      </c>
      <c r="E6" s="960" t="s">
        <v>4287</v>
      </c>
      <c r="F6" s="962" t="n">
        <f aca="false">G6+I6+J6+K6</f>
        <v>770</v>
      </c>
      <c r="G6" s="963" t="n">
        <v>725</v>
      </c>
      <c r="H6" s="963" t="n">
        <v>0</v>
      </c>
      <c r="I6" s="963" t="n">
        <v>0</v>
      </c>
      <c r="J6" s="963" t="n">
        <v>45</v>
      </c>
      <c r="K6" s="963" t="n">
        <v>0</v>
      </c>
      <c r="L6" s="964" t="n">
        <f aca="false">I6/F6</f>
        <v>0</v>
      </c>
      <c r="M6" s="964" t="n">
        <f aca="false">J6/F6</f>
        <v>0.0584415584415584</v>
      </c>
      <c r="N6" s="121"/>
    </row>
    <row r="7" customFormat="false" ht="13.8" hidden="false" customHeight="false" outlineLevel="0" collapsed="false">
      <c r="A7" s="4" t="n">
        <v>6</v>
      </c>
      <c r="B7" s="119" t="s">
        <v>4289</v>
      </c>
      <c r="C7" s="961" t="s">
        <v>70</v>
      </c>
      <c r="D7" s="961" t="s">
        <v>809</v>
      </c>
      <c r="E7" s="960" t="s">
        <v>4287</v>
      </c>
      <c r="F7" s="962" t="n">
        <f aca="false">G7+I7+J7+K7</f>
        <v>3252</v>
      </c>
      <c r="G7" s="963" t="n">
        <v>3000</v>
      </c>
      <c r="H7" s="963" t="n">
        <v>0</v>
      </c>
      <c r="I7" s="963" t="n">
        <v>150</v>
      </c>
      <c r="J7" s="963" t="n">
        <v>102</v>
      </c>
      <c r="K7" s="963" t="n">
        <v>0</v>
      </c>
      <c r="L7" s="964" t="n">
        <f aca="false">I7/F7</f>
        <v>0.0461254612546126</v>
      </c>
      <c r="M7" s="964" t="n">
        <f aca="false">J7/F7</f>
        <v>0.0313653136531365</v>
      </c>
      <c r="N7" s="121"/>
    </row>
    <row r="8" customFormat="false" ht="13.8" hidden="false" customHeight="false" outlineLevel="0" collapsed="false">
      <c r="A8" s="4" t="n">
        <v>7</v>
      </c>
      <c r="B8" s="119" t="s">
        <v>4289</v>
      </c>
      <c r="C8" s="961" t="s">
        <v>152</v>
      </c>
      <c r="D8" s="961" t="s">
        <v>809</v>
      </c>
      <c r="E8" s="960" t="s">
        <v>4287</v>
      </c>
      <c r="F8" s="962" t="n">
        <f aca="false">G8+I8+J8+K8</f>
        <v>3663</v>
      </c>
      <c r="G8" s="963" t="n">
        <v>3245</v>
      </c>
      <c r="H8" s="963" t="n">
        <v>0</v>
      </c>
      <c r="I8" s="963" t="n">
        <v>150</v>
      </c>
      <c r="J8" s="963" t="n">
        <v>268</v>
      </c>
      <c r="K8" s="963" t="n">
        <v>0</v>
      </c>
      <c r="L8" s="964" t="n">
        <f aca="false">I8/F8</f>
        <v>0.040950040950041</v>
      </c>
      <c r="M8" s="964" t="n">
        <f aca="false">J8/F8</f>
        <v>0.0731640731640732</v>
      </c>
      <c r="N8" s="121"/>
    </row>
    <row r="9" customFormat="false" ht="13.8" hidden="false" customHeight="false" outlineLevel="0" collapsed="false">
      <c r="A9" s="4" t="n">
        <v>8</v>
      </c>
      <c r="B9" s="119" t="s">
        <v>4290</v>
      </c>
      <c r="C9" s="961" t="s">
        <v>51</v>
      </c>
      <c r="D9" s="961" t="s">
        <v>809</v>
      </c>
      <c r="E9" s="960" t="s">
        <v>4287</v>
      </c>
      <c r="F9" s="962" t="n">
        <f aca="false">G9+I9+J9+K9</f>
        <v>4367</v>
      </c>
      <c r="G9" s="961" t="n">
        <v>4195</v>
      </c>
      <c r="H9" s="963" t="n">
        <v>0</v>
      </c>
      <c r="I9" s="963" t="n">
        <v>132</v>
      </c>
      <c r="J9" s="963" t="n">
        <v>40</v>
      </c>
      <c r="K9" s="963" t="n">
        <v>0</v>
      </c>
      <c r="L9" s="964" t="n">
        <f aca="false">I9/F9</f>
        <v>0.0302267002518892</v>
      </c>
      <c r="M9" s="964" t="n">
        <f aca="false">J9/F9</f>
        <v>0.00915960613693611</v>
      </c>
      <c r="N9" s="119"/>
    </row>
    <row r="10" customFormat="false" ht="13.8" hidden="false" customHeight="false" outlineLevel="0" collapsed="false">
      <c r="A10" s="4" t="n">
        <v>9</v>
      </c>
      <c r="B10" s="119" t="s">
        <v>4290</v>
      </c>
      <c r="C10" s="963" t="s">
        <v>70</v>
      </c>
      <c r="D10" s="963" t="s">
        <v>136</v>
      </c>
      <c r="E10" s="960" t="s">
        <v>4291</v>
      </c>
      <c r="F10" s="962" t="n">
        <v>2208</v>
      </c>
      <c r="G10" s="963" t="n">
        <v>2000</v>
      </c>
      <c r="H10" s="963" t="n">
        <v>0</v>
      </c>
      <c r="I10" s="963" t="n">
        <v>142</v>
      </c>
      <c r="J10" s="963" t="n">
        <v>52</v>
      </c>
      <c r="K10" s="963" t="n">
        <v>14</v>
      </c>
      <c r="L10" s="964" t="n">
        <f aca="false">I10/F10</f>
        <v>0.0643115942028985</v>
      </c>
      <c r="M10" s="964" t="n">
        <f aca="false">J10/F10</f>
        <v>0.0235507246376812</v>
      </c>
      <c r="N10" s="121"/>
    </row>
    <row r="11" customFormat="false" ht="13.8" hidden="false" customHeight="false" outlineLevel="0" collapsed="false">
      <c r="A11" s="4" t="n">
        <v>10</v>
      </c>
      <c r="B11" s="119" t="s">
        <v>4290</v>
      </c>
      <c r="C11" s="963" t="s">
        <v>152</v>
      </c>
      <c r="D11" s="963" t="s">
        <v>136</v>
      </c>
      <c r="E11" s="960" t="s">
        <v>4291</v>
      </c>
      <c r="F11" s="962" t="n">
        <v>5057</v>
      </c>
      <c r="G11" s="963" t="n">
        <v>4825</v>
      </c>
      <c r="H11" s="963" t="n">
        <v>0</v>
      </c>
      <c r="I11" s="963" t="n">
        <v>131</v>
      </c>
      <c r="J11" s="963" t="n">
        <v>94</v>
      </c>
      <c r="K11" s="963" t="n">
        <v>7</v>
      </c>
      <c r="L11" s="964" t="n">
        <f aca="false">I11/F11</f>
        <v>0.025904686573067</v>
      </c>
      <c r="M11" s="964" t="n">
        <f aca="false">J11/F11</f>
        <v>0.0185880957089183</v>
      </c>
      <c r="N11" s="119"/>
    </row>
    <row r="12" customFormat="false" ht="13.8" hidden="false" customHeight="false" outlineLevel="0" collapsed="false">
      <c r="A12" s="4" t="n">
        <v>11</v>
      </c>
      <c r="B12" s="121" t="s">
        <v>4292</v>
      </c>
      <c r="C12" s="799" t="s">
        <v>51</v>
      </c>
      <c r="D12" s="963" t="s">
        <v>136</v>
      </c>
      <c r="E12" s="960" t="s">
        <v>4291</v>
      </c>
      <c r="F12" s="962" t="n">
        <v>4787</v>
      </c>
      <c r="G12" s="963" t="n">
        <v>4700</v>
      </c>
      <c r="H12" s="963" t="n">
        <v>0</v>
      </c>
      <c r="I12" s="963" t="n">
        <v>30</v>
      </c>
      <c r="J12" s="963" t="n">
        <v>52</v>
      </c>
      <c r="K12" s="963" t="n">
        <v>7</v>
      </c>
      <c r="L12" s="964" t="n">
        <f aca="false">I12/F12</f>
        <v>0.00626697305201588</v>
      </c>
      <c r="M12" s="964" t="n">
        <f aca="false">J12/F12</f>
        <v>0.0108627532901609</v>
      </c>
      <c r="N12" s="121"/>
    </row>
    <row r="13" customFormat="false" ht="13.8" hidden="false" customHeight="false" outlineLevel="0" collapsed="false">
      <c r="A13" s="4" t="n">
        <v>12</v>
      </c>
      <c r="B13" s="121" t="s">
        <v>4292</v>
      </c>
      <c r="C13" s="963" t="s">
        <v>70</v>
      </c>
      <c r="D13" s="963" t="s">
        <v>244</v>
      </c>
      <c r="E13" s="960" t="s">
        <v>4293</v>
      </c>
      <c r="F13" s="962" t="n">
        <f aca="false">G13+I13+J13+K13</f>
        <v>2214</v>
      </c>
      <c r="G13" s="963" t="n">
        <v>2000</v>
      </c>
      <c r="H13" s="963" t="n">
        <v>0</v>
      </c>
      <c r="I13" s="963" t="n">
        <v>142</v>
      </c>
      <c r="J13" s="963" t="n">
        <v>58</v>
      </c>
      <c r="K13" s="963" t="n">
        <v>14</v>
      </c>
      <c r="L13" s="964" t="n">
        <f aca="false">I13/F13</f>
        <v>0.0641373080397471</v>
      </c>
      <c r="M13" s="964" t="n">
        <f aca="false">J13/F13</f>
        <v>0.026196928635953</v>
      </c>
      <c r="N13" s="121"/>
    </row>
    <row r="14" customFormat="false" ht="13.8" hidden="false" customHeight="false" outlineLevel="0" collapsed="false">
      <c r="A14" s="4" t="n">
        <v>13</v>
      </c>
      <c r="B14" s="121" t="s">
        <v>4292</v>
      </c>
      <c r="C14" s="963" t="s">
        <v>152</v>
      </c>
      <c r="D14" s="963" t="s">
        <v>244</v>
      </c>
      <c r="E14" s="960" t="s">
        <v>4293</v>
      </c>
      <c r="F14" s="962" t="n">
        <f aca="false">G14+I14+J14+K14</f>
        <v>5157</v>
      </c>
      <c r="G14" s="963" t="n">
        <v>5000</v>
      </c>
      <c r="H14" s="963" t="n">
        <v>0</v>
      </c>
      <c r="I14" s="963" t="n">
        <v>60</v>
      </c>
      <c r="J14" s="963" t="n">
        <v>90</v>
      </c>
      <c r="K14" s="963" t="n">
        <v>7</v>
      </c>
      <c r="L14" s="964" t="n">
        <f aca="false">I14/F14</f>
        <v>0.0116346713205352</v>
      </c>
      <c r="M14" s="964" t="n">
        <f aca="false">J14/F14</f>
        <v>0.0174520069808028</v>
      </c>
      <c r="N14" s="121"/>
    </row>
    <row r="15" customFormat="false" ht="13.8" hidden="false" customHeight="false" outlineLevel="0" collapsed="false">
      <c r="A15" s="4" t="n">
        <v>14</v>
      </c>
      <c r="B15" s="121" t="s">
        <v>4294</v>
      </c>
      <c r="C15" s="963" t="s">
        <v>51</v>
      </c>
      <c r="D15" s="963" t="s">
        <v>244</v>
      </c>
      <c r="E15" s="960" t="s">
        <v>4293</v>
      </c>
      <c r="F15" s="962" t="n">
        <f aca="false">G15+I15+J15+K15</f>
        <v>4059</v>
      </c>
      <c r="G15" s="963" t="n">
        <v>4000</v>
      </c>
      <c r="H15" s="963" t="n">
        <v>0</v>
      </c>
      <c r="I15" s="963" t="n">
        <v>0</v>
      </c>
      <c r="J15" s="963" t="n">
        <v>52</v>
      </c>
      <c r="K15" s="963" t="n">
        <v>7</v>
      </c>
      <c r="L15" s="964" t="n">
        <f aca="false">I15/F15</f>
        <v>0</v>
      </c>
      <c r="M15" s="964" t="n">
        <f aca="false">J15/F15</f>
        <v>0.0128110372012811</v>
      </c>
      <c r="N15" s="121"/>
    </row>
    <row r="16" customFormat="false" ht="13.8" hidden="false" customHeight="false" outlineLevel="0" collapsed="false">
      <c r="A16" s="4" t="n">
        <v>15</v>
      </c>
      <c r="B16" s="121" t="s">
        <v>4294</v>
      </c>
      <c r="C16" s="961" t="s">
        <v>70</v>
      </c>
      <c r="D16" s="963" t="s">
        <v>4295</v>
      </c>
      <c r="E16" s="960" t="s">
        <v>4296</v>
      </c>
      <c r="F16" s="962" t="n">
        <f aca="false">G16+I16+J16+K16</f>
        <v>3727</v>
      </c>
      <c r="G16" s="963" t="n">
        <v>3260</v>
      </c>
      <c r="H16" s="963" t="n">
        <v>0</v>
      </c>
      <c r="I16" s="963" t="n">
        <v>182</v>
      </c>
      <c r="J16" s="963" t="n">
        <v>271</v>
      </c>
      <c r="K16" s="963" t="n">
        <v>14</v>
      </c>
      <c r="L16" s="964" t="n">
        <f aca="false">I16/F16</f>
        <v>0.0488328414274215</v>
      </c>
      <c r="M16" s="964" t="n">
        <f aca="false">J16/F16</f>
        <v>0.0727126375100617</v>
      </c>
      <c r="N16" s="12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2" activeCellId="0" sqref="B2"/>
    </sheetView>
  </sheetViews>
  <sheetFormatPr defaultColWidth="9.14453125" defaultRowHeight="12.8" zeroHeight="false" outlineLevelRow="0" outlineLevelCol="0"/>
  <cols>
    <col collapsed="false" customWidth="true" hidden="false" outlineLevel="0" max="1" min="1" style="0" width="43.69"/>
    <col collapsed="false" customWidth="true" hidden="false" outlineLevel="0" max="2" min="2" style="0" width="25.85"/>
  </cols>
  <sheetData>
    <row r="1" customFormat="false" ht="13.8" hidden="false" customHeight="false" outlineLevel="0" collapsed="false">
      <c r="A1" s="140" t="s">
        <v>2382</v>
      </c>
      <c r="B1" s="141" t="s">
        <v>87</v>
      </c>
      <c r="C1" s="142"/>
      <c r="D1" s="142"/>
      <c r="E1" s="142"/>
      <c r="F1" s="143"/>
    </row>
    <row r="2" customFormat="false" ht="13.8" hidden="false" customHeight="false" outlineLevel="0" collapsed="false">
      <c r="A2" s="144" t="s">
        <v>14</v>
      </c>
      <c r="B2" s="145" t="n">
        <v>8</v>
      </c>
      <c r="C2" s="146" t="n">
        <v>9</v>
      </c>
      <c r="D2" s="146" t="n">
        <v>10</v>
      </c>
      <c r="E2" s="146" t="n">
        <v>11</v>
      </c>
      <c r="F2" s="147" t="s">
        <v>2383</v>
      </c>
    </row>
    <row r="3" customFormat="false" ht="13.8" hidden="false" customHeight="false" outlineLevel="0" collapsed="false">
      <c r="A3" s="148" t="s">
        <v>71</v>
      </c>
      <c r="B3" s="149" t="n">
        <v>126271.5</v>
      </c>
      <c r="C3" s="150" t="n">
        <v>124212</v>
      </c>
      <c r="D3" s="150" t="n">
        <v>124618</v>
      </c>
      <c r="E3" s="151" t="n">
        <v>152839</v>
      </c>
      <c r="F3" s="152" t="n">
        <v>527940.5</v>
      </c>
    </row>
    <row r="4" customFormat="false" ht="13.8" hidden="false" customHeight="false" outlineLevel="0" collapsed="false">
      <c r="A4" s="153" t="s">
        <v>64</v>
      </c>
      <c r="B4" s="154" t="n">
        <v>80230</v>
      </c>
      <c r="C4" s="155" t="n">
        <v>173137</v>
      </c>
      <c r="D4" s="155" t="n">
        <v>172230</v>
      </c>
      <c r="E4" s="156" t="n">
        <v>143674</v>
      </c>
      <c r="F4" s="157" t="n">
        <v>569271</v>
      </c>
    </row>
    <row r="5" customFormat="false" ht="13.8" hidden="false" customHeight="false" outlineLevel="0" collapsed="false">
      <c r="A5" s="153" t="s">
        <v>2384</v>
      </c>
      <c r="B5" s="154" t="n">
        <v>127964</v>
      </c>
      <c r="C5" s="155" t="n">
        <v>115359</v>
      </c>
      <c r="D5" s="155" t="n">
        <v>155974</v>
      </c>
      <c r="E5" s="156" t="n">
        <v>82740</v>
      </c>
      <c r="F5" s="157" t="n">
        <v>482037</v>
      </c>
    </row>
    <row r="6" customFormat="false" ht="13.8" hidden="false" customHeight="false" outlineLevel="0" collapsed="false">
      <c r="A6" s="153" t="s">
        <v>2385</v>
      </c>
      <c r="B6" s="154" t="n">
        <v>78603</v>
      </c>
      <c r="C6" s="155" t="n">
        <v>149437.5</v>
      </c>
      <c r="D6" s="155" t="n">
        <v>98214</v>
      </c>
      <c r="E6" s="156" t="n">
        <v>160469</v>
      </c>
      <c r="F6" s="157" t="n">
        <v>486723.5</v>
      </c>
    </row>
    <row r="7" customFormat="false" ht="13.8" hidden="false" customHeight="false" outlineLevel="0" collapsed="false">
      <c r="A7" s="153" t="s">
        <v>2386</v>
      </c>
      <c r="B7" s="154" t="n">
        <v>126627</v>
      </c>
      <c r="C7" s="155" t="n">
        <v>310180</v>
      </c>
      <c r="D7" s="155" t="n">
        <v>265000</v>
      </c>
      <c r="E7" s="156" t="n">
        <v>327625</v>
      </c>
      <c r="F7" s="157" t="n">
        <v>1029432</v>
      </c>
    </row>
    <row r="8" customFormat="false" ht="13.8" hidden="false" customHeight="false" outlineLevel="0" collapsed="false">
      <c r="A8" s="153" t="s">
        <v>2387</v>
      </c>
      <c r="B8" s="154" t="n">
        <v>275625</v>
      </c>
      <c r="C8" s="155" t="n">
        <v>274403</v>
      </c>
      <c r="D8" s="155" t="n">
        <v>266923</v>
      </c>
      <c r="E8" s="156" t="n">
        <v>381559</v>
      </c>
      <c r="F8" s="157" t="n">
        <v>1198510</v>
      </c>
    </row>
    <row r="9" customFormat="false" ht="13.8" hidden="false" customHeight="false" outlineLevel="0" collapsed="false">
      <c r="A9" s="153" t="s">
        <v>2375</v>
      </c>
      <c r="B9" s="154" t="n">
        <v>257155</v>
      </c>
      <c r="C9" s="155" t="n">
        <v>58608</v>
      </c>
      <c r="D9" s="158"/>
      <c r="E9" s="159"/>
      <c r="F9" s="157" t="n">
        <v>315763</v>
      </c>
    </row>
    <row r="10" customFormat="false" ht="13.8" hidden="false" customHeight="false" outlineLevel="0" collapsed="false">
      <c r="A10" s="153" t="s">
        <v>52</v>
      </c>
      <c r="B10" s="154" t="n">
        <v>274509</v>
      </c>
      <c r="C10" s="155" t="n">
        <v>308670</v>
      </c>
      <c r="D10" s="155" t="n">
        <v>260725</v>
      </c>
      <c r="E10" s="156" t="n">
        <v>331150</v>
      </c>
      <c r="F10" s="157" t="n">
        <v>1175054</v>
      </c>
    </row>
    <row r="11" customFormat="false" ht="13.8" hidden="false" customHeight="false" outlineLevel="0" collapsed="false">
      <c r="A11" s="153" t="s">
        <v>2388</v>
      </c>
      <c r="B11" s="154" t="n">
        <v>247343</v>
      </c>
      <c r="C11" s="155" t="n">
        <v>294793</v>
      </c>
      <c r="D11" s="155" t="n">
        <v>272520</v>
      </c>
      <c r="E11" s="156" t="n">
        <v>303000</v>
      </c>
      <c r="F11" s="157" t="n">
        <v>1117656</v>
      </c>
    </row>
    <row r="12" customFormat="false" ht="13.8" hidden="false" customHeight="false" outlineLevel="0" collapsed="false">
      <c r="A12" s="153" t="s">
        <v>2389</v>
      </c>
      <c r="B12" s="160" t="n">
        <v>159104</v>
      </c>
      <c r="C12" s="161" t="n">
        <v>174239</v>
      </c>
      <c r="D12" s="161" t="n">
        <v>203358</v>
      </c>
      <c r="E12" s="162" t="n">
        <v>124022</v>
      </c>
      <c r="F12" s="163" t="n">
        <v>660723</v>
      </c>
    </row>
    <row r="13" customFormat="false" ht="13.8" hidden="false" customHeight="false" outlineLevel="0" collapsed="false">
      <c r="A13" s="164" t="s">
        <v>2383</v>
      </c>
      <c r="B13" s="165" t="n">
        <v>1753431.5</v>
      </c>
      <c r="C13" s="166" t="n">
        <v>1983038.5</v>
      </c>
      <c r="D13" s="166" t="n">
        <v>1819562</v>
      </c>
      <c r="E13" s="167" t="n">
        <v>2007078</v>
      </c>
      <c r="F13" s="168" t="n">
        <v>7563110</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L37" activeCellId="0" sqref="L37"/>
    </sheetView>
  </sheetViews>
  <sheetFormatPr defaultColWidth="9.14453125" defaultRowHeight="12.8" zeroHeight="false" outlineLevelRow="0" outlineLevelCol="0"/>
  <cols>
    <col collapsed="false" customWidth="true" hidden="false" outlineLevel="0" max="1" min="1" style="0" width="41.87"/>
    <col collapsed="false" customWidth="true" hidden="false" outlineLevel="0" max="2" min="2" style="0" width="16.38"/>
  </cols>
  <sheetData>
    <row r="1" customFormat="false" ht="13.8" hidden="false" customHeight="false" outlineLevel="0" collapsed="false">
      <c r="A1" s="140" t="s">
        <v>2390</v>
      </c>
      <c r="B1" s="141" t="s">
        <v>87</v>
      </c>
      <c r="C1" s="142"/>
      <c r="D1" s="142"/>
      <c r="E1" s="142"/>
      <c r="F1" s="143"/>
    </row>
    <row r="2" customFormat="false" ht="13.8" hidden="false" customHeight="false" outlineLevel="0" collapsed="false">
      <c r="A2" s="144" t="s">
        <v>14</v>
      </c>
      <c r="B2" s="145" t="n">
        <v>8</v>
      </c>
      <c r="C2" s="146" t="n">
        <v>9</v>
      </c>
      <c r="D2" s="146" t="n">
        <v>10</v>
      </c>
      <c r="E2" s="146" t="n">
        <v>11</v>
      </c>
      <c r="F2" s="147" t="s">
        <v>2383</v>
      </c>
    </row>
    <row r="3" customFormat="false" ht="13.8" hidden="false" customHeight="false" outlineLevel="0" collapsed="false">
      <c r="A3" s="148" t="s">
        <v>71</v>
      </c>
      <c r="B3" s="169" t="n">
        <v>136099</v>
      </c>
      <c r="C3" s="170" t="n">
        <v>126372</v>
      </c>
      <c r="D3" s="170" t="n">
        <v>133945</v>
      </c>
      <c r="E3" s="171" t="n">
        <v>158406</v>
      </c>
      <c r="F3" s="172" t="n">
        <v>554822</v>
      </c>
    </row>
    <row r="4" customFormat="false" ht="13.8" hidden="false" customHeight="false" outlineLevel="0" collapsed="false">
      <c r="A4" s="153" t="s">
        <v>64</v>
      </c>
      <c r="B4" s="173" t="n">
        <v>79436</v>
      </c>
      <c r="C4" s="158" t="n">
        <v>145125</v>
      </c>
      <c r="D4" s="158" t="n">
        <v>156226</v>
      </c>
      <c r="E4" s="159" t="n">
        <v>123579</v>
      </c>
      <c r="F4" s="174" t="n">
        <v>504366</v>
      </c>
    </row>
    <row r="5" customFormat="false" ht="13.8" hidden="false" customHeight="false" outlineLevel="0" collapsed="false">
      <c r="A5" s="153" t="s">
        <v>2384</v>
      </c>
      <c r="B5" s="173" t="n">
        <v>124733</v>
      </c>
      <c r="C5" s="158" t="n">
        <v>118224</v>
      </c>
      <c r="D5" s="158" t="n">
        <v>153631</v>
      </c>
      <c r="E5" s="159" t="n">
        <v>91815</v>
      </c>
      <c r="F5" s="174" t="n">
        <v>488403</v>
      </c>
    </row>
    <row r="6" customFormat="false" ht="13.8" hidden="false" customHeight="false" outlineLevel="0" collapsed="false">
      <c r="A6" s="153" t="s">
        <v>2385</v>
      </c>
      <c r="B6" s="173" t="n">
        <v>85138</v>
      </c>
      <c r="C6" s="158" t="n">
        <v>189198</v>
      </c>
      <c r="D6" s="158" t="n">
        <v>114375</v>
      </c>
      <c r="E6" s="159" t="n">
        <v>175222</v>
      </c>
      <c r="F6" s="174" t="n">
        <v>563933</v>
      </c>
    </row>
    <row r="7" customFormat="false" ht="13.8" hidden="false" customHeight="false" outlineLevel="0" collapsed="false">
      <c r="A7" s="153" t="s">
        <v>2386</v>
      </c>
      <c r="B7" s="173" t="n">
        <v>115640</v>
      </c>
      <c r="C7" s="158" t="n">
        <v>293463</v>
      </c>
      <c r="D7" s="158" t="n">
        <v>240917</v>
      </c>
      <c r="E7" s="159" t="n">
        <v>291083</v>
      </c>
      <c r="F7" s="174" t="n">
        <v>941103</v>
      </c>
    </row>
    <row r="8" customFormat="false" ht="13.8" hidden="false" customHeight="false" outlineLevel="0" collapsed="false">
      <c r="A8" s="153" t="s">
        <v>2387</v>
      </c>
      <c r="B8" s="173" t="n">
        <v>274730</v>
      </c>
      <c r="C8" s="158" t="n">
        <v>273117</v>
      </c>
      <c r="D8" s="158" t="n">
        <v>250441</v>
      </c>
      <c r="E8" s="159" t="n">
        <v>384220</v>
      </c>
      <c r="F8" s="174" t="n">
        <v>1182508</v>
      </c>
    </row>
    <row r="9" customFormat="false" ht="13.8" hidden="false" customHeight="false" outlineLevel="0" collapsed="false">
      <c r="A9" s="153" t="s">
        <v>2375</v>
      </c>
      <c r="B9" s="173" t="n">
        <v>270430</v>
      </c>
      <c r="C9" s="158" t="n">
        <v>51560</v>
      </c>
      <c r="D9" s="158"/>
      <c r="E9" s="159"/>
      <c r="F9" s="174" t="n">
        <v>321990</v>
      </c>
    </row>
    <row r="10" customFormat="false" ht="13.8" hidden="false" customHeight="false" outlineLevel="0" collapsed="false">
      <c r="A10" s="153" t="s">
        <v>52</v>
      </c>
      <c r="B10" s="173" t="n">
        <v>264162</v>
      </c>
      <c r="C10" s="158" t="n">
        <v>283153</v>
      </c>
      <c r="D10" s="158" t="n">
        <v>237348</v>
      </c>
      <c r="E10" s="159" t="n">
        <v>299983</v>
      </c>
      <c r="F10" s="174" t="n">
        <v>1084646</v>
      </c>
    </row>
    <row r="11" customFormat="false" ht="13.8" hidden="false" customHeight="false" outlineLevel="0" collapsed="false">
      <c r="A11" s="153" t="s">
        <v>2388</v>
      </c>
      <c r="B11" s="173" t="n">
        <v>246627</v>
      </c>
      <c r="C11" s="158" t="n">
        <v>286474</v>
      </c>
      <c r="D11" s="158" t="n">
        <v>239979</v>
      </c>
      <c r="E11" s="159" t="n">
        <v>282167</v>
      </c>
      <c r="F11" s="174" t="n">
        <v>1055247</v>
      </c>
    </row>
    <row r="12" customFormat="false" ht="13.8" hidden="false" customHeight="false" outlineLevel="0" collapsed="false">
      <c r="A12" s="153" t="s">
        <v>2389</v>
      </c>
      <c r="B12" s="175" t="n">
        <v>161749</v>
      </c>
      <c r="C12" s="176" t="n">
        <v>171349</v>
      </c>
      <c r="D12" s="176" t="n">
        <v>187574</v>
      </c>
      <c r="E12" s="177" t="n">
        <v>123144</v>
      </c>
      <c r="F12" s="178" t="n">
        <v>643816</v>
      </c>
    </row>
    <row r="13" customFormat="false" ht="13.8" hidden="false" customHeight="false" outlineLevel="0" collapsed="false">
      <c r="A13" s="164" t="s">
        <v>2383</v>
      </c>
      <c r="B13" s="179" t="n">
        <v>1758744</v>
      </c>
      <c r="C13" s="180" t="n">
        <v>1938035</v>
      </c>
      <c r="D13" s="180" t="n">
        <v>1714436</v>
      </c>
      <c r="E13" s="181" t="n">
        <v>1929619</v>
      </c>
      <c r="F13" s="182" t="n">
        <v>7340834</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98"/>
  <sheetViews>
    <sheetView showFormulas="false" showGridLines="true" showRowColHeaders="true" showZeros="true" rightToLeft="false" tabSelected="false" showOutlineSymbols="true" defaultGridColor="true" view="normal" topLeftCell="A16" colorId="64" zoomScale="85" zoomScaleNormal="85" zoomScalePageLayoutView="100" workbookViewId="0">
      <selection pane="topLeft" activeCell="N52" activeCellId="0" sqref="N52"/>
    </sheetView>
  </sheetViews>
  <sheetFormatPr defaultColWidth="9.14453125" defaultRowHeight="12.8" zeroHeight="false" outlineLevelRow="0" outlineLevelCol="0"/>
  <sheetData>
    <row r="1" customFormat="false" ht="13.8" hidden="false" customHeight="false" outlineLevel="0" collapsed="false">
      <c r="A1" s="183" t="s">
        <v>2390</v>
      </c>
      <c r="B1" s="184"/>
      <c r="C1" s="141" t="s">
        <v>87</v>
      </c>
      <c r="D1" s="142"/>
      <c r="E1" s="142"/>
      <c r="F1" s="142"/>
      <c r="G1" s="143"/>
    </row>
    <row r="2" customFormat="false" ht="13.8" hidden="false" customHeight="false" outlineLevel="0" collapsed="false">
      <c r="A2" s="144" t="s">
        <v>14</v>
      </c>
      <c r="B2" s="185" t="s">
        <v>15</v>
      </c>
      <c r="C2" s="145" t="n">
        <v>8</v>
      </c>
      <c r="D2" s="146" t="n">
        <v>9</v>
      </c>
      <c r="E2" s="146" t="n">
        <v>10</v>
      </c>
      <c r="F2" s="146" t="n">
        <v>11</v>
      </c>
      <c r="G2" s="147" t="s">
        <v>2383</v>
      </c>
    </row>
    <row r="3" customFormat="false" ht="13.8" hidden="false" customHeight="false" outlineLevel="0" collapsed="false">
      <c r="A3" s="148" t="s">
        <v>71</v>
      </c>
      <c r="B3" s="186"/>
      <c r="C3" s="169" t="n">
        <v>136099</v>
      </c>
      <c r="D3" s="170" t="n">
        <v>126372</v>
      </c>
      <c r="E3" s="170" t="n">
        <v>133945</v>
      </c>
      <c r="F3" s="171" t="n">
        <v>158406</v>
      </c>
      <c r="G3" s="172" t="n">
        <v>554822</v>
      </c>
    </row>
    <row r="4" customFormat="false" ht="13.8" hidden="false" customHeight="false" outlineLevel="0" collapsed="false">
      <c r="A4" s="153"/>
      <c r="B4" s="187" t="s">
        <v>357</v>
      </c>
      <c r="C4" s="173" t="n">
        <v>20043</v>
      </c>
      <c r="D4" s="158" t="n">
        <v>45900</v>
      </c>
      <c r="E4" s="158"/>
      <c r="F4" s="159" t="n">
        <v>27540</v>
      </c>
      <c r="G4" s="174" t="n">
        <v>93483</v>
      </c>
    </row>
    <row r="5" customFormat="false" ht="13.8" hidden="false" customHeight="false" outlineLevel="0" collapsed="false">
      <c r="A5" s="153"/>
      <c r="B5" s="187" t="s">
        <v>235</v>
      </c>
      <c r="C5" s="173" t="n">
        <v>21824</v>
      </c>
      <c r="D5" s="158" t="n">
        <v>15780</v>
      </c>
      <c r="E5" s="158" t="n">
        <v>25164</v>
      </c>
      <c r="F5" s="159" t="n">
        <v>23652</v>
      </c>
      <c r="G5" s="174" t="n">
        <v>86420</v>
      </c>
    </row>
    <row r="6" customFormat="false" ht="13.8" hidden="false" customHeight="false" outlineLevel="0" collapsed="false">
      <c r="A6" s="153"/>
      <c r="B6" s="187" t="s">
        <v>69</v>
      </c>
      <c r="C6" s="173" t="n">
        <v>51720</v>
      </c>
      <c r="D6" s="158" t="n">
        <v>16149</v>
      </c>
      <c r="E6" s="158" t="n">
        <v>69800</v>
      </c>
      <c r="F6" s="159" t="n">
        <v>44928</v>
      </c>
      <c r="G6" s="174" t="n">
        <v>182597</v>
      </c>
    </row>
    <row r="7" customFormat="false" ht="13.8" hidden="false" customHeight="false" outlineLevel="0" collapsed="false">
      <c r="A7" s="153"/>
      <c r="B7" s="187" t="s">
        <v>78</v>
      </c>
      <c r="C7" s="173" t="n">
        <v>20340</v>
      </c>
      <c r="D7" s="158"/>
      <c r="E7" s="158" t="n">
        <v>23979</v>
      </c>
      <c r="F7" s="159" t="n">
        <v>16475</v>
      </c>
      <c r="G7" s="174" t="n">
        <v>60794</v>
      </c>
    </row>
    <row r="8" customFormat="false" ht="13.8" hidden="false" customHeight="false" outlineLevel="0" collapsed="false">
      <c r="A8" s="153"/>
      <c r="B8" s="187" t="s">
        <v>572</v>
      </c>
      <c r="C8" s="173" t="n">
        <v>3360</v>
      </c>
      <c r="D8" s="158" t="n">
        <v>20280</v>
      </c>
      <c r="E8" s="158" t="n">
        <v>1320</v>
      </c>
      <c r="F8" s="159" t="n">
        <v>20952</v>
      </c>
      <c r="G8" s="174" t="n">
        <v>45912</v>
      </c>
    </row>
    <row r="9" customFormat="false" ht="13.8" hidden="false" customHeight="false" outlineLevel="0" collapsed="false">
      <c r="A9" s="153"/>
      <c r="B9" s="187" t="s">
        <v>1352</v>
      </c>
      <c r="C9" s="173"/>
      <c r="D9" s="158" t="n">
        <v>2248</v>
      </c>
      <c r="E9" s="158"/>
      <c r="F9" s="159"/>
      <c r="G9" s="174" t="n">
        <v>2248</v>
      </c>
    </row>
    <row r="10" customFormat="false" ht="13.8" hidden="false" customHeight="false" outlineLevel="0" collapsed="false">
      <c r="A10" s="153"/>
      <c r="B10" s="187" t="s">
        <v>215</v>
      </c>
      <c r="C10" s="173" t="n">
        <v>7292</v>
      </c>
      <c r="D10" s="158" t="n">
        <v>6612</v>
      </c>
      <c r="E10" s="158" t="n">
        <v>4934</v>
      </c>
      <c r="F10" s="159"/>
      <c r="G10" s="174" t="n">
        <v>18838</v>
      </c>
    </row>
    <row r="11" customFormat="false" ht="13.8" hidden="false" customHeight="false" outlineLevel="0" collapsed="false">
      <c r="A11" s="153"/>
      <c r="B11" s="187" t="s">
        <v>72</v>
      </c>
      <c r="C11" s="173"/>
      <c r="D11" s="158" t="n">
        <v>6083</v>
      </c>
      <c r="E11" s="158" t="n">
        <v>8748</v>
      </c>
      <c r="F11" s="159" t="n">
        <v>5184</v>
      </c>
      <c r="G11" s="174" t="n">
        <v>20015</v>
      </c>
    </row>
    <row r="12" customFormat="false" ht="13.8" hidden="false" customHeight="false" outlineLevel="0" collapsed="false">
      <c r="A12" s="153"/>
      <c r="B12" s="187" t="s">
        <v>731</v>
      </c>
      <c r="C12" s="173" t="n">
        <v>5040</v>
      </c>
      <c r="D12" s="158"/>
      <c r="E12" s="158"/>
      <c r="F12" s="159"/>
      <c r="G12" s="174" t="n">
        <v>5040</v>
      </c>
    </row>
    <row r="13" customFormat="false" ht="13.8" hidden="false" customHeight="false" outlineLevel="0" collapsed="false">
      <c r="A13" s="153"/>
      <c r="B13" s="187" t="s">
        <v>626</v>
      </c>
      <c r="C13" s="173" t="n">
        <v>1440</v>
      </c>
      <c r="D13" s="158" t="n">
        <v>7200</v>
      </c>
      <c r="E13" s="158"/>
      <c r="F13" s="159"/>
      <c r="G13" s="174" t="n">
        <v>8640</v>
      </c>
    </row>
    <row r="14" customFormat="false" ht="13.8" hidden="false" customHeight="false" outlineLevel="0" collapsed="false">
      <c r="A14" s="153"/>
      <c r="B14" s="187" t="s">
        <v>747</v>
      </c>
      <c r="C14" s="173" t="n">
        <v>5040</v>
      </c>
      <c r="D14" s="158"/>
      <c r="E14" s="158"/>
      <c r="F14" s="159" t="n">
        <v>4380</v>
      </c>
      <c r="G14" s="174" t="n">
        <v>9420</v>
      </c>
    </row>
    <row r="15" customFormat="false" ht="13.8" hidden="false" customHeight="false" outlineLevel="0" collapsed="false">
      <c r="A15" s="153"/>
      <c r="B15" s="187" t="s">
        <v>879</v>
      </c>
      <c r="C15" s="173"/>
      <c r="D15" s="158" t="n">
        <v>6120</v>
      </c>
      <c r="E15" s="158"/>
      <c r="F15" s="159" t="n">
        <v>9000</v>
      </c>
      <c r="G15" s="174" t="n">
        <v>15120</v>
      </c>
    </row>
    <row r="16" customFormat="false" ht="13.8" hidden="false" customHeight="false" outlineLevel="0" collapsed="false">
      <c r="A16" s="188"/>
      <c r="B16" s="189" t="s">
        <v>2001</v>
      </c>
      <c r="C16" s="175"/>
      <c r="D16" s="176"/>
      <c r="E16" s="176"/>
      <c r="F16" s="177" t="n">
        <v>6295</v>
      </c>
      <c r="G16" s="178" t="n">
        <v>6295</v>
      </c>
    </row>
    <row r="17" customFormat="false" ht="13.8" hidden="false" customHeight="false" outlineLevel="0" collapsed="false">
      <c r="A17" s="148" t="s">
        <v>64</v>
      </c>
      <c r="B17" s="186"/>
      <c r="C17" s="170" t="n">
        <v>79436</v>
      </c>
      <c r="D17" s="170" t="n">
        <v>145125</v>
      </c>
      <c r="E17" s="170" t="n">
        <v>156226</v>
      </c>
      <c r="F17" s="170" t="n">
        <v>123579</v>
      </c>
      <c r="G17" s="172" t="n">
        <v>504366</v>
      </c>
    </row>
    <row r="18" customFormat="false" ht="13.8" hidden="false" customHeight="false" outlineLevel="0" collapsed="false">
      <c r="A18" s="153"/>
      <c r="B18" s="187" t="s">
        <v>691</v>
      </c>
      <c r="C18" s="158" t="n">
        <v>14766</v>
      </c>
      <c r="D18" s="158" t="n">
        <v>16351</v>
      </c>
      <c r="E18" s="158" t="n">
        <v>34459</v>
      </c>
      <c r="F18" s="158" t="n">
        <v>16920</v>
      </c>
      <c r="G18" s="174" t="n">
        <v>82496</v>
      </c>
    </row>
    <row r="19" customFormat="false" ht="13.8" hidden="false" customHeight="false" outlineLevel="0" collapsed="false">
      <c r="A19" s="153"/>
      <c r="B19" s="187" t="s">
        <v>320</v>
      </c>
      <c r="C19" s="158" t="n">
        <v>11191</v>
      </c>
      <c r="D19" s="158" t="n">
        <v>26206</v>
      </c>
      <c r="E19" s="158" t="n">
        <v>8681</v>
      </c>
      <c r="F19" s="158" t="n">
        <v>16298</v>
      </c>
      <c r="G19" s="174" t="n">
        <v>62376</v>
      </c>
    </row>
    <row r="20" customFormat="false" ht="13.8" hidden="false" customHeight="false" outlineLevel="0" collapsed="false">
      <c r="A20" s="153"/>
      <c r="B20" s="187" t="s">
        <v>65</v>
      </c>
      <c r="C20" s="158" t="n">
        <v>20828</v>
      </c>
      <c r="D20" s="158" t="n">
        <v>46476</v>
      </c>
      <c r="E20" s="158" t="n">
        <v>65574</v>
      </c>
      <c r="F20" s="158" t="n">
        <v>47970</v>
      </c>
      <c r="G20" s="174" t="n">
        <v>180848</v>
      </c>
    </row>
    <row r="21" customFormat="false" ht="13.8" hidden="false" customHeight="false" outlineLevel="0" collapsed="false">
      <c r="A21" s="153"/>
      <c r="B21" s="187" t="s">
        <v>270</v>
      </c>
      <c r="C21" s="158" t="n">
        <v>8842</v>
      </c>
      <c r="D21" s="158" t="n">
        <v>12284</v>
      </c>
      <c r="E21" s="158" t="n">
        <v>22601</v>
      </c>
      <c r="F21" s="158" t="n">
        <v>6116</v>
      </c>
      <c r="G21" s="174" t="n">
        <v>49843</v>
      </c>
    </row>
    <row r="22" customFormat="false" ht="13.8" hidden="false" customHeight="false" outlineLevel="0" collapsed="false">
      <c r="A22" s="153"/>
      <c r="B22" s="187" t="s">
        <v>591</v>
      </c>
      <c r="C22" s="158" t="n">
        <v>1246</v>
      </c>
      <c r="D22" s="158" t="n">
        <v>11720</v>
      </c>
      <c r="E22" s="158" t="n">
        <v>12177</v>
      </c>
      <c r="F22" s="158" t="n">
        <v>12760</v>
      </c>
      <c r="G22" s="174" t="n">
        <v>37903</v>
      </c>
    </row>
    <row r="23" customFormat="false" ht="13.8" hidden="false" customHeight="false" outlineLevel="0" collapsed="false">
      <c r="A23" s="153"/>
      <c r="B23" s="187" t="s">
        <v>829</v>
      </c>
      <c r="C23" s="158"/>
      <c r="D23" s="158" t="n">
        <v>4397</v>
      </c>
      <c r="E23" s="158"/>
      <c r="F23" s="158"/>
      <c r="G23" s="174" t="n">
        <v>4397</v>
      </c>
    </row>
    <row r="24" customFormat="false" ht="13.8" hidden="false" customHeight="false" outlineLevel="0" collapsed="false">
      <c r="A24" s="153"/>
      <c r="B24" s="187" t="s">
        <v>825</v>
      </c>
      <c r="C24" s="158"/>
      <c r="D24" s="158" t="n">
        <v>4144</v>
      </c>
      <c r="E24" s="158"/>
      <c r="F24" s="158"/>
      <c r="G24" s="174" t="n">
        <v>4144</v>
      </c>
    </row>
    <row r="25" customFormat="false" ht="13.8" hidden="false" customHeight="false" outlineLevel="0" collapsed="false">
      <c r="A25" s="153"/>
      <c r="B25" s="187" t="s">
        <v>229</v>
      </c>
      <c r="C25" s="158" t="n">
        <v>6741</v>
      </c>
      <c r="D25" s="158" t="n">
        <v>2846</v>
      </c>
      <c r="E25" s="158" t="n">
        <v>9280</v>
      </c>
      <c r="F25" s="158"/>
      <c r="G25" s="174" t="n">
        <v>18867</v>
      </c>
    </row>
    <row r="26" customFormat="false" ht="13.8" hidden="false" customHeight="false" outlineLevel="0" collapsed="false">
      <c r="A26" s="153"/>
      <c r="B26" s="187" t="s">
        <v>981</v>
      </c>
      <c r="C26" s="158"/>
      <c r="D26" s="158" t="n">
        <v>4069</v>
      </c>
      <c r="E26" s="158" t="n">
        <v>60</v>
      </c>
      <c r="F26" s="158" t="n">
        <v>13273</v>
      </c>
      <c r="G26" s="174" t="n">
        <v>17402</v>
      </c>
    </row>
    <row r="27" customFormat="false" ht="13.8" hidden="false" customHeight="false" outlineLevel="0" collapsed="false">
      <c r="A27" s="153"/>
      <c r="B27" s="187" t="s">
        <v>801</v>
      </c>
      <c r="C27" s="158" t="n">
        <v>1171</v>
      </c>
      <c r="D27" s="158"/>
      <c r="E27" s="158"/>
      <c r="F27" s="158"/>
      <c r="G27" s="174" t="n">
        <v>1171</v>
      </c>
    </row>
    <row r="28" customFormat="false" ht="13.8" hidden="false" customHeight="false" outlineLevel="0" collapsed="false">
      <c r="A28" s="153"/>
      <c r="B28" s="187" t="s">
        <v>865</v>
      </c>
      <c r="C28" s="158"/>
      <c r="D28" s="158" t="n">
        <v>1116</v>
      </c>
      <c r="E28" s="158"/>
      <c r="F28" s="158"/>
      <c r="G28" s="174" t="n">
        <v>1116</v>
      </c>
    </row>
    <row r="29" customFormat="false" ht="13.8" hidden="false" customHeight="false" outlineLevel="0" collapsed="false">
      <c r="A29" s="153"/>
      <c r="B29" s="187" t="s">
        <v>797</v>
      </c>
      <c r="C29" s="158" t="n">
        <v>670</v>
      </c>
      <c r="D29" s="158"/>
      <c r="E29" s="158"/>
      <c r="F29" s="158"/>
      <c r="G29" s="174" t="n">
        <v>670</v>
      </c>
    </row>
    <row r="30" customFormat="false" ht="13.8" hidden="false" customHeight="false" outlineLevel="0" collapsed="false">
      <c r="A30" s="153"/>
      <c r="B30" s="187" t="s">
        <v>870</v>
      </c>
      <c r="C30" s="158"/>
      <c r="D30" s="158" t="n">
        <v>1511</v>
      </c>
      <c r="E30" s="158"/>
      <c r="F30" s="158"/>
      <c r="G30" s="174" t="n">
        <v>1511</v>
      </c>
    </row>
    <row r="31" customFormat="false" ht="13.8" hidden="false" customHeight="false" outlineLevel="0" collapsed="false">
      <c r="A31" s="153"/>
      <c r="B31" s="187" t="s">
        <v>758</v>
      </c>
      <c r="C31" s="158" t="n">
        <v>1063</v>
      </c>
      <c r="D31" s="158" t="n">
        <v>196</v>
      </c>
      <c r="E31" s="158" t="n">
        <v>259</v>
      </c>
      <c r="F31" s="158"/>
      <c r="G31" s="174" t="n">
        <v>1518</v>
      </c>
    </row>
    <row r="32" customFormat="false" ht="13.8" hidden="false" customHeight="false" outlineLevel="0" collapsed="false">
      <c r="A32" s="153"/>
      <c r="B32" s="187" t="s">
        <v>267</v>
      </c>
      <c r="C32" s="158" t="n">
        <v>1623</v>
      </c>
      <c r="D32" s="158"/>
      <c r="E32" s="158" t="n">
        <v>255</v>
      </c>
      <c r="F32" s="158"/>
      <c r="G32" s="174" t="n">
        <v>1878</v>
      </c>
    </row>
    <row r="33" customFormat="false" ht="13.8" hidden="false" customHeight="false" outlineLevel="0" collapsed="false">
      <c r="A33" s="153"/>
      <c r="B33" s="187" t="s">
        <v>387</v>
      </c>
      <c r="C33" s="158" t="n">
        <v>2160</v>
      </c>
      <c r="D33" s="158" t="n">
        <v>841</v>
      </c>
      <c r="E33" s="158"/>
      <c r="F33" s="158" t="n">
        <v>2090</v>
      </c>
      <c r="G33" s="174" t="n">
        <v>5091</v>
      </c>
    </row>
    <row r="34" customFormat="false" ht="13.8" hidden="false" customHeight="false" outlineLevel="0" collapsed="false">
      <c r="A34" s="153"/>
      <c r="B34" s="187" t="s">
        <v>803</v>
      </c>
      <c r="C34" s="158" t="n">
        <v>7</v>
      </c>
      <c r="D34" s="158" t="n">
        <v>1838</v>
      </c>
      <c r="E34" s="158"/>
      <c r="F34" s="158"/>
      <c r="G34" s="174" t="n">
        <v>1845</v>
      </c>
    </row>
    <row r="35" customFormat="false" ht="13.8" hidden="false" customHeight="false" outlineLevel="0" collapsed="false">
      <c r="A35" s="153"/>
      <c r="B35" s="187" t="s">
        <v>616</v>
      </c>
      <c r="C35" s="158" t="n">
        <v>457</v>
      </c>
      <c r="D35" s="158" t="n">
        <v>2159</v>
      </c>
      <c r="E35" s="158" t="n">
        <v>60</v>
      </c>
      <c r="F35" s="158"/>
      <c r="G35" s="174" t="n">
        <v>2676</v>
      </c>
    </row>
    <row r="36" customFormat="false" ht="13.8" hidden="false" customHeight="false" outlineLevel="0" collapsed="false">
      <c r="A36" s="153"/>
      <c r="B36" s="187" t="s">
        <v>608</v>
      </c>
      <c r="C36" s="158" t="n">
        <v>447</v>
      </c>
      <c r="D36" s="158" t="n">
        <v>1508</v>
      </c>
      <c r="E36" s="158"/>
      <c r="F36" s="158" t="n">
        <v>1032</v>
      </c>
      <c r="G36" s="174" t="n">
        <v>2987</v>
      </c>
    </row>
    <row r="37" customFormat="false" ht="13.8" hidden="false" customHeight="false" outlineLevel="0" collapsed="false">
      <c r="A37" s="153"/>
      <c r="B37" s="187" t="s">
        <v>1289</v>
      </c>
      <c r="C37" s="158"/>
      <c r="D37" s="158" t="n">
        <v>1440</v>
      </c>
      <c r="E37" s="158"/>
      <c r="F37" s="158"/>
      <c r="G37" s="174" t="n">
        <v>1440</v>
      </c>
    </row>
    <row r="38" customFormat="false" ht="13.8" hidden="false" customHeight="false" outlineLevel="0" collapsed="false">
      <c r="A38" s="153"/>
      <c r="B38" s="187" t="s">
        <v>654</v>
      </c>
      <c r="C38" s="158" t="n">
        <v>642</v>
      </c>
      <c r="D38" s="158" t="n">
        <v>770</v>
      </c>
      <c r="E38" s="158"/>
      <c r="F38" s="158"/>
      <c r="G38" s="174" t="n">
        <v>1412</v>
      </c>
    </row>
    <row r="39" customFormat="false" ht="13.8" hidden="false" customHeight="false" outlineLevel="0" collapsed="false">
      <c r="A39" s="153"/>
      <c r="B39" s="187" t="s">
        <v>1660</v>
      </c>
      <c r="C39" s="158"/>
      <c r="D39" s="158"/>
      <c r="E39" s="158" t="n">
        <v>973</v>
      </c>
      <c r="F39" s="158"/>
      <c r="G39" s="174" t="n">
        <v>973</v>
      </c>
    </row>
    <row r="40" customFormat="false" ht="13.8" hidden="false" customHeight="false" outlineLevel="0" collapsed="false">
      <c r="A40" s="153"/>
      <c r="B40" s="187" t="s">
        <v>1326</v>
      </c>
      <c r="C40" s="158"/>
      <c r="D40" s="158" t="n">
        <v>1402</v>
      </c>
      <c r="E40" s="158"/>
      <c r="F40" s="158" t="n">
        <v>542</v>
      </c>
      <c r="G40" s="174" t="n">
        <v>1944</v>
      </c>
    </row>
    <row r="41" customFormat="false" ht="13.8" hidden="false" customHeight="false" outlineLevel="0" collapsed="false">
      <c r="A41" s="153"/>
      <c r="B41" s="187" t="s">
        <v>1323</v>
      </c>
      <c r="C41" s="158"/>
      <c r="D41" s="158" t="n">
        <v>802</v>
      </c>
      <c r="E41" s="158" t="n">
        <v>600</v>
      </c>
      <c r="F41" s="158"/>
      <c r="G41" s="174" t="n">
        <v>1402</v>
      </c>
    </row>
    <row r="42" customFormat="false" ht="13.8" hidden="false" customHeight="false" outlineLevel="0" collapsed="false">
      <c r="A42" s="153"/>
      <c r="B42" s="187" t="s">
        <v>650</v>
      </c>
      <c r="C42" s="158" t="n">
        <v>1609</v>
      </c>
      <c r="D42" s="158" t="n">
        <v>1175</v>
      </c>
      <c r="E42" s="158"/>
      <c r="F42" s="158"/>
      <c r="G42" s="174" t="n">
        <v>2784</v>
      </c>
    </row>
    <row r="43" customFormat="false" ht="13.8" hidden="false" customHeight="false" outlineLevel="0" collapsed="false">
      <c r="A43" s="153"/>
      <c r="B43" s="187" t="s">
        <v>646</v>
      </c>
      <c r="C43" s="158" t="n">
        <v>385</v>
      </c>
      <c r="D43" s="158" t="n">
        <v>902</v>
      </c>
      <c r="E43" s="158" t="n">
        <v>648</v>
      </c>
      <c r="F43" s="158"/>
      <c r="G43" s="174" t="n">
        <v>1935</v>
      </c>
    </row>
    <row r="44" customFormat="false" ht="13.8" hidden="false" customHeight="false" outlineLevel="0" collapsed="false">
      <c r="A44" s="153"/>
      <c r="B44" s="187" t="s">
        <v>761</v>
      </c>
      <c r="C44" s="158" t="n">
        <v>1000</v>
      </c>
      <c r="D44" s="158"/>
      <c r="E44" s="158"/>
      <c r="F44" s="158"/>
      <c r="G44" s="174" t="n">
        <v>1000</v>
      </c>
    </row>
    <row r="45" customFormat="false" ht="13.8" hidden="false" customHeight="false" outlineLevel="0" collapsed="false">
      <c r="A45" s="153"/>
      <c r="B45" s="187" t="s">
        <v>1359</v>
      </c>
      <c r="C45" s="158"/>
      <c r="D45" s="158" t="n">
        <v>972</v>
      </c>
      <c r="E45" s="158"/>
      <c r="F45" s="158"/>
      <c r="G45" s="174" t="n">
        <v>972</v>
      </c>
    </row>
    <row r="46" customFormat="false" ht="13.8" hidden="false" customHeight="false" outlineLevel="0" collapsed="false">
      <c r="A46" s="153"/>
      <c r="B46" s="187" t="s">
        <v>204</v>
      </c>
      <c r="C46" s="158" t="n">
        <v>1654</v>
      </c>
      <c r="D46" s="158"/>
      <c r="E46" s="158"/>
      <c r="F46" s="158" t="n">
        <v>1950</v>
      </c>
      <c r="G46" s="174" t="n">
        <v>3604</v>
      </c>
    </row>
    <row r="47" customFormat="false" ht="13.8" hidden="false" customHeight="false" outlineLevel="0" collapsed="false">
      <c r="A47" s="153"/>
      <c r="B47" s="187" t="s">
        <v>2152</v>
      </c>
      <c r="C47" s="158"/>
      <c r="D47" s="158"/>
      <c r="E47" s="158"/>
      <c r="F47" s="158" t="n">
        <v>1970</v>
      </c>
      <c r="G47" s="174" t="n">
        <v>1970</v>
      </c>
    </row>
    <row r="48" customFormat="false" ht="13.8" hidden="false" customHeight="false" outlineLevel="0" collapsed="false">
      <c r="A48" s="153"/>
      <c r="B48" s="187" t="s">
        <v>2180</v>
      </c>
      <c r="C48" s="158"/>
      <c r="D48" s="158"/>
      <c r="E48" s="158"/>
      <c r="F48" s="158" t="n">
        <v>2248</v>
      </c>
      <c r="G48" s="174" t="n">
        <v>2248</v>
      </c>
    </row>
    <row r="49" customFormat="false" ht="13.8" hidden="false" customHeight="false" outlineLevel="0" collapsed="false">
      <c r="A49" s="153"/>
      <c r="B49" s="187" t="s">
        <v>594</v>
      </c>
      <c r="C49" s="158" t="n">
        <v>412</v>
      </c>
      <c r="D49" s="158"/>
      <c r="E49" s="158"/>
      <c r="F49" s="158"/>
      <c r="G49" s="174" t="n">
        <v>412</v>
      </c>
    </row>
    <row r="50" customFormat="false" ht="13.8" hidden="false" customHeight="false" outlineLevel="0" collapsed="false">
      <c r="A50" s="153"/>
      <c r="B50" s="187" t="s">
        <v>547</v>
      </c>
      <c r="C50" s="158" t="n">
        <v>1484</v>
      </c>
      <c r="D50" s="158"/>
      <c r="E50" s="158"/>
      <c r="F50" s="158" t="n">
        <v>410</v>
      </c>
      <c r="G50" s="174" t="n">
        <v>1894</v>
      </c>
    </row>
    <row r="51" customFormat="false" ht="13.8" hidden="false" customHeight="false" outlineLevel="0" collapsed="false">
      <c r="A51" s="153"/>
      <c r="B51" s="187" t="s">
        <v>1684</v>
      </c>
      <c r="C51" s="158"/>
      <c r="D51" s="158"/>
      <c r="E51" s="158" t="n">
        <v>599</v>
      </c>
      <c r="F51" s="158"/>
      <c r="G51" s="174" t="n">
        <v>599</v>
      </c>
    </row>
    <row r="52" customFormat="false" ht="13.8" hidden="false" customHeight="false" outlineLevel="0" collapsed="false">
      <c r="A52" s="188"/>
      <c r="B52" s="189" t="s">
        <v>612</v>
      </c>
      <c r="C52" s="176" t="n">
        <v>1038</v>
      </c>
      <c r="D52" s="176"/>
      <c r="E52" s="176"/>
      <c r="F52" s="176"/>
      <c r="G52" s="178" t="n">
        <v>1038</v>
      </c>
    </row>
    <row r="53" customFormat="false" ht="13.8" hidden="false" customHeight="false" outlineLevel="0" collapsed="false">
      <c r="A53" s="148" t="s">
        <v>2384</v>
      </c>
      <c r="B53" s="186"/>
      <c r="C53" s="169" t="n">
        <v>124733</v>
      </c>
      <c r="D53" s="170" t="n">
        <v>118224</v>
      </c>
      <c r="E53" s="170" t="n">
        <v>153631</v>
      </c>
      <c r="F53" s="171" t="n">
        <v>91815</v>
      </c>
      <c r="G53" s="172" t="n">
        <v>488403</v>
      </c>
    </row>
    <row r="54" customFormat="false" ht="13.8" hidden="false" customHeight="false" outlineLevel="0" collapsed="false">
      <c r="A54" s="153"/>
      <c r="B54" s="187" t="s">
        <v>199</v>
      </c>
      <c r="C54" s="173" t="n">
        <v>24760</v>
      </c>
      <c r="D54" s="158" t="n">
        <v>22960</v>
      </c>
      <c r="E54" s="158" t="n">
        <v>54567</v>
      </c>
      <c r="F54" s="159" t="n">
        <v>29890</v>
      </c>
      <c r="G54" s="174" t="n">
        <v>132177</v>
      </c>
    </row>
    <row r="55" customFormat="false" ht="13.8" hidden="false" customHeight="false" outlineLevel="0" collapsed="false">
      <c r="A55" s="153"/>
      <c r="B55" s="187" t="s">
        <v>261</v>
      </c>
      <c r="C55" s="173" t="n">
        <v>37038</v>
      </c>
      <c r="D55" s="158" t="n">
        <v>54229</v>
      </c>
      <c r="E55" s="158"/>
      <c r="F55" s="159" t="n">
        <v>35785</v>
      </c>
      <c r="G55" s="174" t="n">
        <v>127052</v>
      </c>
    </row>
    <row r="56" customFormat="false" ht="13.8" hidden="false" customHeight="false" outlineLevel="0" collapsed="false">
      <c r="A56" s="153"/>
      <c r="B56" s="187" t="s">
        <v>343</v>
      </c>
      <c r="C56" s="173" t="n">
        <v>33135</v>
      </c>
      <c r="D56" s="158" t="n">
        <v>41035</v>
      </c>
      <c r="E56" s="158" t="n">
        <v>23080</v>
      </c>
      <c r="F56" s="159" t="n">
        <v>26140</v>
      </c>
      <c r="G56" s="174" t="n">
        <v>123390</v>
      </c>
    </row>
    <row r="57" customFormat="false" ht="13.8" hidden="false" customHeight="false" outlineLevel="0" collapsed="false">
      <c r="A57" s="153"/>
      <c r="B57" s="187" t="s">
        <v>420</v>
      </c>
      <c r="C57" s="173" t="n">
        <v>13920</v>
      </c>
      <c r="D57" s="158"/>
      <c r="E57" s="158" t="n">
        <v>20200</v>
      </c>
      <c r="F57" s="159"/>
      <c r="G57" s="174" t="n">
        <v>34120</v>
      </c>
    </row>
    <row r="58" customFormat="false" ht="13.8" hidden="false" customHeight="false" outlineLevel="0" collapsed="false">
      <c r="A58" s="153"/>
      <c r="B58" s="187" t="s">
        <v>453</v>
      </c>
      <c r="C58" s="173" t="n">
        <v>15880</v>
      </c>
      <c r="D58" s="158"/>
      <c r="E58" s="158" t="n">
        <v>35084</v>
      </c>
      <c r="F58" s="159"/>
      <c r="G58" s="174" t="n">
        <v>50964</v>
      </c>
    </row>
    <row r="59" customFormat="false" ht="13.8" hidden="false" customHeight="false" outlineLevel="0" collapsed="false">
      <c r="A59" s="188"/>
      <c r="B59" s="189" t="s">
        <v>1740</v>
      </c>
      <c r="C59" s="175"/>
      <c r="D59" s="176"/>
      <c r="E59" s="176" t="n">
        <v>20700</v>
      </c>
      <c r="F59" s="177"/>
      <c r="G59" s="178" t="n">
        <v>20700</v>
      </c>
    </row>
    <row r="60" customFormat="false" ht="13.8" hidden="false" customHeight="false" outlineLevel="0" collapsed="false">
      <c r="A60" s="148" t="s">
        <v>2385</v>
      </c>
      <c r="B60" s="186"/>
      <c r="C60" s="170" t="n">
        <v>85138</v>
      </c>
      <c r="D60" s="170" t="n">
        <v>189198</v>
      </c>
      <c r="E60" s="170" t="n">
        <v>114375</v>
      </c>
      <c r="F60" s="170" t="n">
        <v>175222</v>
      </c>
      <c r="G60" s="172" t="n">
        <v>563933</v>
      </c>
    </row>
    <row r="61" customFormat="false" ht="13.8" hidden="false" customHeight="false" outlineLevel="0" collapsed="false">
      <c r="A61" s="188"/>
      <c r="B61" s="189" t="s">
        <v>529</v>
      </c>
      <c r="C61" s="176" t="n">
        <v>85138</v>
      </c>
      <c r="D61" s="176" t="n">
        <v>189198</v>
      </c>
      <c r="E61" s="176" t="n">
        <v>114375</v>
      </c>
      <c r="F61" s="176" t="n">
        <v>175222</v>
      </c>
      <c r="G61" s="178" t="n">
        <v>563933</v>
      </c>
    </row>
    <row r="62" customFormat="false" ht="13.8" hidden="false" customHeight="false" outlineLevel="0" collapsed="false">
      <c r="A62" s="148" t="s">
        <v>2386</v>
      </c>
      <c r="B62" s="186"/>
      <c r="C62" s="169" t="n">
        <v>115640</v>
      </c>
      <c r="D62" s="170" t="n">
        <v>293463</v>
      </c>
      <c r="E62" s="170" t="n">
        <v>240917</v>
      </c>
      <c r="F62" s="171" t="n">
        <v>291083</v>
      </c>
      <c r="G62" s="172" t="n">
        <v>941103</v>
      </c>
    </row>
    <row r="63" customFormat="false" ht="13.8" hidden="false" customHeight="false" outlineLevel="0" collapsed="false">
      <c r="A63" s="153"/>
      <c r="B63" s="187" t="s">
        <v>444</v>
      </c>
      <c r="C63" s="173" t="n">
        <v>47750</v>
      </c>
      <c r="D63" s="158" t="n">
        <v>42050</v>
      </c>
      <c r="E63" s="158" t="n">
        <v>95561</v>
      </c>
      <c r="F63" s="159" t="n">
        <v>44110</v>
      </c>
      <c r="G63" s="174" t="n">
        <v>229471</v>
      </c>
    </row>
    <row r="64" customFormat="false" ht="13.8" hidden="false" customHeight="false" outlineLevel="0" collapsed="false">
      <c r="A64" s="153"/>
      <c r="B64" s="187" t="s">
        <v>932</v>
      </c>
      <c r="C64" s="173"/>
      <c r="D64" s="158" t="n">
        <v>97058</v>
      </c>
      <c r="E64" s="158" t="n">
        <v>33605</v>
      </c>
      <c r="F64" s="159" t="n">
        <v>22693</v>
      </c>
      <c r="G64" s="174" t="n">
        <v>153356</v>
      </c>
    </row>
    <row r="65" customFormat="false" ht="13.8" hidden="false" customHeight="false" outlineLevel="0" collapsed="false">
      <c r="A65" s="153"/>
      <c r="B65" s="187" t="s">
        <v>681</v>
      </c>
      <c r="C65" s="173" t="n">
        <v>35340</v>
      </c>
      <c r="D65" s="158" t="n">
        <v>113138</v>
      </c>
      <c r="E65" s="158" t="n">
        <v>63902</v>
      </c>
      <c r="F65" s="159" t="n">
        <v>149500</v>
      </c>
      <c r="G65" s="174" t="n">
        <v>361880</v>
      </c>
    </row>
    <row r="66" customFormat="false" ht="13.8" hidden="false" customHeight="false" outlineLevel="0" collapsed="false">
      <c r="A66" s="153"/>
      <c r="B66" s="187" t="s">
        <v>885</v>
      </c>
      <c r="C66" s="173"/>
      <c r="D66" s="158" t="n">
        <v>30677</v>
      </c>
      <c r="E66" s="158"/>
      <c r="F66" s="159" t="n">
        <v>35880</v>
      </c>
      <c r="G66" s="174" t="n">
        <v>66557</v>
      </c>
    </row>
    <row r="67" customFormat="false" ht="13.8" hidden="false" customHeight="false" outlineLevel="0" collapsed="false">
      <c r="A67" s="188"/>
      <c r="B67" s="189" t="s">
        <v>600</v>
      </c>
      <c r="C67" s="175" t="n">
        <v>32550</v>
      </c>
      <c r="D67" s="176" t="n">
        <v>10540</v>
      </c>
      <c r="E67" s="176" t="n">
        <v>47849</v>
      </c>
      <c r="F67" s="177" t="n">
        <v>38900</v>
      </c>
      <c r="G67" s="178" t="n">
        <v>129839</v>
      </c>
    </row>
    <row r="68" customFormat="false" ht="13.8" hidden="false" customHeight="false" outlineLevel="0" collapsed="false">
      <c r="A68" s="148" t="s">
        <v>2387</v>
      </c>
      <c r="B68" s="186"/>
      <c r="C68" s="170" t="n">
        <v>274730</v>
      </c>
      <c r="D68" s="170" t="n">
        <v>273117</v>
      </c>
      <c r="E68" s="170" t="n">
        <v>250441</v>
      </c>
      <c r="F68" s="170" t="n">
        <v>384220</v>
      </c>
      <c r="G68" s="172" t="n">
        <v>1182508</v>
      </c>
    </row>
    <row r="69" customFormat="false" ht="13.8" hidden="false" customHeight="false" outlineLevel="0" collapsed="false">
      <c r="A69" s="153"/>
      <c r="B69" s="187" t="s">
        <v>244</v>
      </c>
      <c r="C69" s="158" t="n">
        <v>116670</v>
      </c>
      <c r="D69" s="158" t="n">
        <v>47632</v>
      </c>
      <c r="E69" s="158" t="n">
        <v>105030</v>
      </c>
      <c r="F69" s="158" t="n">
        <v>58980</v>
      </c>
      <c r="G69" s="174" t="n">
        <v>328312</v>
      </c>
    </row>
    <row r="70" customFormat="false" ht="13.8" hidden="false" customHeight="false" outlineLevel="0" collapsed="false">
      <c r="A70" s="153"/>
      <c r="B70" s="187" t="s">
        <v>136</v>
      </c>
      <c r="C70" s="158" t="n">
        <v>63742</v>
      </c>
      <c r="D70" s="158" t="n">
        <v>97120</v>
      </c>
      <c r="E70" s="158" t="n">
        <v>33660</v>
      </c>
      <c r="F70" s="158" t="n">
        <v>43050</v>
      </c>
      <c r="G70" s="174" t="n">
        <v>237572</v>
      </c>
    </row>
    <row r="71" customFormat="false" ht="13.8" hidden="false" customHeight="false" outlineLevel="0" collapsed="false">
      <c r="A71" s="153"/>
      <c r="B71" s="187" t="s">
        <v>661</v>
      </c>
      <c r="C71" s="158" t="n">
        <v>61768</v>
      </c>
      <c r="D71" s="158" t="n">
        <v>86765</v>
      </c>
      <c r="E71" s="158" t="n">
        <v>63902</v>
      </c>
      <c r="F71" s="158" t="n">
        <v>180020</v>
      </c>
      <c r="G71" s="174" t="n">
        <v>392455</v>
      </c>
    </row>
    <row r="72" customFormat="false" ht="13.8" hidden="false" customHeight="false" outlineLevel="0" collapsed="false">
      <c r="A72" s="153"/>
      <c r="B72" s="187" t="s">
        <v>809</v>
      </c>
      <c r="C72" s="158"/>
      <c r="D72" s="158" t="n">
        <v>31060</v>
      </c>
      <c r="E72" s="158"/>
      <c r="F72" s="158" t="n">
        <v>62270</v>
      </c>
      <c r="G72" s="174" t="n">
        <v>93330</v>
      </c>
    </row>
    <row r="73" customFormat="false" ht="13.8" hidden="false" customHeight="false" outlineLevel="0" collapsed="false">
      <c r="A73" s="188"/>
      <c r="B73" s="189" t="s">
        <v>492</v>
      </c>
      <c r="C73" s="176" t="n">
        <v>32550</v>
      </c>
      <c r="D73" s="176" t="n">
        <v>10540</v>
      </c>
      <c r="E73" s="176" t="n">
        <v>47849</v>
      </c>
      <c r="F73" s="176" t="n">
        <v>39900</v>
      </c>
      <c r="G73" s="178" t="n">
        <v>130839</v>
      </c>
    </row>
    <row r="74" customFormat="false" ht="13.8" hidden="false" customHeight="false" outlineLevel="0" collapsed="false">
      <c r="A74" s="148" t="s">
        <v>2375</v>
      </c>
      <c r="B74" s="186"/>
      <c r="C74" s="169" t="n">
        <v>270430</v>
      </c>
      <c r="D74" s="170" t="n">
        <v>51560</v>
      </c>
      <c r="E74" s="170"/>
      <c r="F74" s="171"/>
      <c r="G74" s="172" t="n">
        <v>321990</v>
      </c>
    </row>
    <row r="75" customFormat="false" ht="13.8" hidden="false" customHeight="false" outlineLevel="0" collapsed="false">
      <c r="A75" s="153"/>
      <c r="B75" s="187" t="s">
        <v>57</v>
      </c>
      <c r="C75" s="173" t="n">
        <v>116670</v>
      </c>
      <c r="D75" s="158"/>
      <c r="E75" s="158"/>
      <c r="F75" s="159"/>
      <c r="G75" s="174" t="n">
        <v>116670</v>
      </c>
    </row>
    <row r="76" customFormat="false" ht="13.8" hidden="false" customHeight="false" outlineLevel="0" collapsed="false">
      <c r="A76" s="153"/>
      <c r="B76" s="187" t="s">
        <v>62</v>
      </c>
      <c r="C76" s="173" t="n">
        <v>63742</v>
      </c>
      <c r="D76" s="158" t="n">
        <v>41040</v>
      </c>
      <c r="E76" s="158"/>
      <c r="F76" s="159"/>
      <c r="G76" s="174" t="n">
        <v>104782</v>
      </c>
    </row>
    <row r="77" customFormat="false" ht="13.8" hidden="false" customHeight="false" outlineLevel="0" collapsed="false">
      <c r="A77" s="153"/>
      <c r="B77" s="187" t="s">
        <v>664</v>
      </c>
      <c r="C77" s="173" t="n">
        <v>57468</v>
      </c>
      <c r="D77" s="158" t="n">
        <v>4300</v>
      </c>
      <c r="E77" s="158"/>
      <c r="F77" s="159"/>
      <c r="G77" s="174" t="n">
        <v>61768</v>
      </c>
    </row>
    <row r="78" customFormat="false" ht="13.8" hidden="false" customHeight="false" outlineLevel="0" collapsed="false">
      <c r="A78" s="153"/>
      <c r="B78" s="187" t="s">
        <v>839</v>
      </c>
      <c r="C78" s="173"/>
      <c r="D78" s="158" t="n">
        <v>6220</v>
      </c>
      <c r="E78" s="158"/>
      <c r="F78" s="159"/>
      <c r="G78" s="174" t="n">
        <v>6220</v>
      </c>
    </row>
    <row r="79" customFormat="false" ht="13.8" hidden="false" customHeight="false" outlineLevel="0" collapsed="false">
      <c r="A79" s="188"/>
      <c r="B79" s="189" t="s">
        <v>519</v>
      </c>
      <c r="C79" s="175" t="n">
        <v>32550</v>
      </c>
      <c r="D79" s="176"/>
      <c r="E79" s="176"/>
      <c r="F79" s="177"/>
      <c r="G79" s="178" t="n">
        <v>32550</v>
      </c>
    </row>
    <row r="80" customFormat="false" ht="13.8" hidden="false" customHeight="false" outlineLevel="0" collapsed="false">
      <c r="A80" s="148" t="s">
        <v>52</v>
      </c>
      <c r="B80" s="186"/>
      <c r="C80" s="170" t="n">
        <v>264162</v>
      </c>
      <c r="D80" s="170" t="n">
        <v>283153</v>
      </c>
      <c r="E80" s="170" t="n">
        <v>237348</v>
      </c>
      <c r="F80" s="170" t="n">
        <v>299983</v>
      </c>
      <c r="G80" s="172" t="n">
        <v>1084646</v>
      </c>
    </row>
    <row r="81" customFormat="false" ht="13.8" hidden="false" customHeight="false" outlineLevel="0" collapsed="false">
      <c r="A81" s="153"/>
      <c r="B81" s="187" t="s">
        <v>53</v>
      </c>
      <c r="C81" s="158" t="n">
        <v>116662</v>
      </c>
      <c r="D81" s="158" t="n">
        <v>47632</v>
      </c>
      <c r="E81" s="158" t="n">
        <v>91992</v>
      </c>
      <c r="F81" s="158" t="n">
        <v>42110</v>
      </c>
      <c r="G81" s="174" t="n">
        <v>298396</v>
      </c>
    </row>
    <row r="82" customFormat="false" ht="13.8" hidden="false" customHeight="false" outlineLevel="0" collapsed="false">
      <c r="A82" s="153"/>
      <c r="B82" s="187" t="s">
        <v>60</v>
      </c>
      <c r="C82" s="158" t="n">
        <v>63692</v>
      </c>
      <c r="D82" s="158" t="n">
        <v>97058</v>
      </c>
      <c r="E82" s="158" t="n">
        <v>33605</v>
      </c>
      <c r="F82" s="158" t="n">
        <v>22693</v>
      </c>
      <c r="G82" s="174" t="n">
        <v>217048</v>
      </c>
    </row>
    <row r="83" customFormat="false" ht="13.8" hidden="false" customHeight="false" outlineLevel="0" collapsed="false">
      <c r="A83" s="153"/>
      <c r="B83" s="187" t="s">
        <v>666</v>
      </c>
      <c r="C83" s="158" t="n">
        <v>51258</v>
      </c>
      <c r="D83" s="158" t="n">
        <v>97238</v>
      </c>
      <c r="E83" s="158" t="n">
        <v>63902</v>
      </c>
      <c r="F83" s="158" t="n">
        <v>160400</v>
      </c>
      <c r="G83" s="174" t="n">
        <v>372798</v>
      </c>
    </row>
    <row r="84" customFormat="false" ht="13.8" hidden="false" customHeight="false" outlineLevel="0" collapsed="false">
      <c r="A84" s="153"/>
      <c r="B84" s="187" t="s">
        <v>834</v>
      </c>
      <c r="C84" s="158"/>
      <c r="D84" s="158" t="n">
        <v>30685</v>
      </c>
      <c r="E84" s="158"/>
      <c r="F84" s="158" t="n">
        <v>35880</v>
      </c>
      <c r="G84" s="174" t="n">
        <v>66565</v>
      </c>
    </row>
    <row r="85" customFormat="false" ht="13.8" hidden="false" customHeight="false" outlineLevel="0" collapsed="false">
      <c r="A85" s="188"/>
      <c r="B85" s="189" t="s">
        <v>563</v>
      </c>
      <c r="C85" s="176" t="n">
        <v>32550</v>
      </c>
      <c r="D85" s="176" t="n">
        <v>10540</v>
      </c>
      <c r="E85" s="176" t="n">
        <v>47849</v>
      </c>
      <c r="F85" s="176" t="n">
        <v>38900</v>
      </c>
      <c r="G85" s="178" t="n">
        <v>129839</v>
      </c>
    </row>
    <row r="86" customFormat="false" ht="13.8" hidden="false" customHeight="false" outlineLevel="0" collapsed="false">
      <c r="A86" s="148" t="s">
        <v>2388</v>
      </c>
      <c r="B86" s="186"/>
      <c r="C86" s="169" t="n">
        <v>246627</v>
      </c>
      <c r="D86" s="170" t="n">
        <v>286474</v>
      </c>
      <c r="E86" s="170" t="n">
        <v>239979</v>
      </c>
      <c r="F86" s="171" t="n">
        <v>282167</v>
      </c>
      <c r="G86" s="172" t="n">
        <v>1055247</v>
      </c>
    </row>
    <row r="87" customFormat="false" ht="13.8" hidden="false" customHeight="false" outlineLevel="0" collapsed="false">
      <c r="A87" s="153"/>
      <c r="B87" s="187" t="s">
        <v>297</v>
      </c>
      <c r="C87" s="173" t="n">
        <v>116102</v>
      </c>
      <c r="D87" s="158" t="n">
        <v>36706</v>
      </c>
      <c r="E87" s="158" t="n">
        <v>95799</v>
      </c>
      <c r="F87" s="159" t="n">
        <v>47941</v>
      </c>
      <c r="G87" s="174" t="n">
        <v>296548</v>
      </c>
    </row>
    <row r="88" customFormat="false" ht="13.8" hidden="false" customHeight="false" outlineLevel="0" collapsed="false">
      <c r="A88" s="153"/>
      <c r="B88" s="187" t="s">
        <v>182</v>
      </c>
      <c r="C88" s="173" t="n">
        <v>63375</v>
      </c>
      <c r="D88" s="158" t="n">
        <v>96444</v>
      </c>
      <c r="E88" s="158" t="n">
        <v>33115</v>
      </c>
      <c r="F88" s="159" t="n">
        <v>22573</v>
      </c>
      <c r="G88" s="174" t="n">
        <v>215507</v>
      </c>
    </row>
    <row r="89" customFormat="false" ht="13.8" hidden="false" customHeight="false" outlineLevel="0" collapsed="false">
      <c r="A89" s="153"/>
      <c r="B89" s="187" t="s">
        <v>688</v>
      </c>
      <c r="C89" s="173" t="n">
        <v>34952</v>
      </c>
      <c r="D89" s="158" t="n">
        <v>112298</v>
      </c>
      <c r="E89" s="158" t="n">
        <v>63461</v>
      </c>
      <c r="F89" s="159" t="n">
        <v>137666</v>
      </c>
      <c r="G89" s="174" t="n">
        <v>348377</v>
      </c>
    </row>
    <row r="90" customFormat="false" ht="13.8" hidden="false" customHeight="false" outlineLevel="0" collapsed="false">
      <c r="A90" s="153"/>
      <c r="B90" s="187" t="s">
        <v>901</v>
      </c>
      <c r="C90" s="173"/>
      <c r="D90" s="158" t="n">
        <v>30561</v>
      </c>
      <c r="E90" s="158"/>
      <c r="F90" s="159" t="n">
        <v>35620</v>
      </c>
      <c r="G90" s="174" t="n">
        <v>66181</v>
      </c>
    </row>
    <row r="91" customFormat="false" ht="13.8" hidden="false" customHeight="false" outlineLevel="0" collapsed="false">
      <c r="A91" s="188"/>
      <c r="B91" s="189" t="s">
        <v>621</v>
      </c>
      <c r="C91" s="175" t="n">
        <v>32198</v>
      </c>
      <c r="D91" s="176" t="n">
        <v>10465</v>
      </c>
      <c r="E91" s="176" t="n">
        <v>47604</v>
      </c>
      <c r="F91" s="177" t="n">
        <v>38367</v>
      </c>
      <c r="G91" s="178" t="n">
        <v>128634</v>
      </c>
    </row>
    <row r="92" customFormat="false" ht="13.8" hidden="false" customHeight="false" outlineLevel="0" collapsed="false">
      <c r="A92" s="148" t="s">
        <v>2389</v>
      </c>
      <c r="B92" s="186"/>
      <c r="C92" s="170" t="n">
        <v>161749</v>
      </c>
      <c r="D92" s="170" t="n">
        <v>171349</v>
      </c>
      <c r="E92" s="170" t="n">
        <v>187574</v>
      </c>
      <c r="F92" s="170" t="n">
        <v>123144</v>
      </c>
      <c r="G92" s="172" t="n">
        <v>643816</v>
      </c>
    </row>
    <row r="93" customFormat="false" ht="13.8" hidden="false" customHeight="false" outlineLevel="0" collapsed="false">
      <c r="A93" s="153"/>
      <c r="B93" s="187" t="s">
        <v>551</v>
      </c>
      <c r="C93" s="158" t="n">
        <v>39974</v>
      </c>
      <c r="D93" s="158" t="n">
        <v>40772</v>
      </c>
      <c r="E93" s="158" t="n">
        <v>55612</v>
      </c>
      <c r="F93" s="158" t="n">
        <v>3000</v>
      </c>
      <c r="G93" s="174" t="n">
        <v>139358</v>
      </c>
    </row>
    <row r="94" customFormat="false" ht="13.8" hidden="false" customHeight="false" outlineLevel="0" collapsed="false">
      <c r="A94" s="153"/>
      <c r="B94" s="187" t="s">
        <v>431</v>
      </c>
      <c r="C94" s="158" t="n">
        <v>60208</v>
      </c>
      <c r="D94" s="158" t="n">
        <v>43925</v>
      </c>
      <c r="E94" s="158" t="n">
        <v>16409</v>
      </c>
      <c r="F94" s="158" t="n">
        <v>4405</v>
      </c>
      <c r="G94" s="174" t="n">
        <v>124947</v>
      </c>
    </row>
    <row r="95" customFormat="false" ht="13.8" hidden="false" customHeight="false" outlineLevel="0" collapsed="false">
      <c r="A95" s="153"/>
      <c r="B95" s="187" t="s">
        <v>474</v>
      </c>
      <c r="C95" s="158" t="n">
        <v>38087</v>
      </c>
      <c r="D95" s="158" t="n">
        <v>57811</v>
      </c>
      <c r="E95" s="158" t="n">
        <v>56202</v>
      </c>
      <c r="F95" s="158" t="n">
        <v>63396</v>
      </c>
      <c r="G95" s="174" t="n">
        <v>215496</v>
      </c>
    </row>
    <row r="96" customFormat="false" ht="13.8" hidden="false" customHeight="false" outlineLevel="0" collapsed="false">
      <c r="A96" s="153"/>
      <c r="B96" s="187" t="s">
        <v>937</v>
      </c>
      <c r="C96" s="158"/>
      <c r="D96" s="158" t="n">
        <v>12554</v>
      </c>
      <c r="E96" s="158" t="n">
        <v>17866</v>
      </c>
      <c r="F96" s="158" t="n">
        <v>35603</v>
      </c>
      <c r="G96" s="174" t="n">
        <v>66023</v>
      </c>
    </row>
    <row r="97" customFormat="false" ht="13.8" hidden="false" customHeight="false" outlineLevel="0" collapsed="false">
      <c r="A97" s="188"/>
      <c r="B97" s="189" t="s">
        <v>506</v>
      </c>
      <c r="C97" s="176" t="n">
        <v>23480</v>
      </c>
      <c r="D97" s="176" t="n">
        <v>16287</v>
      </c>
      <c r="E97" s="176" t="n">
        <v>41485</v>
      </c>
      <c r="F97" s="176" t="n">
        <v>16740</v>
      </c>
      <c r="G97" s="178" t="n">
        <v>97992</v>
      </c>
    </row>
    <row r="98" customFormat="false" ht="13.8" hidden="false" customHeight="false" outlineLevel="0" collapsed="false">
      <c r="A98" s="190" t="s">
        <v>2383</v>
      </c>
      <c r="B98" s="191"/>
      <c r="C98" s="179" t="n">
        <v>1758744</v>
      </c>
      <c r="D98" s="180" t="n">
        <v>1938035</v>
      </c>
      <c r="E98" s="180" t="n">
        <v>1714436</v>
      </c>
      <c r="F98" s="181" t="n">
        <v>1929619</v>
      </c>
      <c r="G98" s="182" t="n">
        <v>7340834</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9.14453125" defaultRowHeight="12.8" zeroHeight="false" outlineLevelRow="0" outlineLevelCol="0"/>
  <sheetData>
    <row r="1" customFormat="false" ht="13.8" hidden="false" customHeight="false" outlineLevel="0" collapsed="false">
      <c r="A1" s="140" t="s">
        <v>2394</v>
      </c>
      <c r="B1" s="141" t="s">
        <v>87</v>
      </c>
      <c r="C1" s="142"/>
      <c r="D1" s="142"/>
      <c r="E1" s="142"/>
      <c r="F1" s="143"/>
    </row>
    <row r="2" customFormat="false" ht="13.8" hidden="false" customHeight="false" outlineLevel="0" collapsed="false">
      <c r="A2" s="144" t="s">
        <v>14</v>
      </c>
      <c r="B2" s="145" t="n">
        <v>8</v>
      </c>
      <c r="C2" s="146" t="n">
        <v>9</v>
      </c>
      <c r="D2" s="146" t="n">
        <v>10</v>
      </c>
      <c r="E2" s="146" t="n">
        <v>11</v>
      </c>
      <c r="F2" s="147" t="s">
        <v>2383</v>
      </c>
    </row>
    <row r="3" customFormat="false" ht="13.8" hidden="false" customHeight="false" outlineLevel="0" collapsed="false">
      <c r="A3" s="148" t="s">
        <v>71</v>
      </c>
      <c r="B3" s="192" t="n">
        <v>0.848724480654763</v>
      </c>
      <c r="C3" s="193" t="n">
        <v>0.798171891822745</v>
      </c>
      <c r="D3" s="193" t="n">
        <v>0.8438769313023</v>
      </c>
      <c r="E3" s="194" t="n">
        <v>0.818416480270754</v>
      </c>
      <c r="F3" s="195" t="n">
        <v>0.826833802229899</v>
      </c>
    </row>
    <row r="4" customFormat="false" ht="13.8" hidden="false" customHeight="false" outlineLevel="0" collapsed="false">
      <c r="A4" s="153" t="s">
        <v>64</v>
      </c>
      <c r="B4" s="196" t="n">
        <v>0.664820765859391</v>
      </c>
      <c r="C4" s="197" t="n">
        <v>0.833265611292711</v>
      </c>
      <c r="D4" s="197" t="n">
        <v>1.1450498562567</v>
      </c>
      <c r="E4" s="198" t="n">
        <v>1.07002024484368</v>
      </c>
      <c r="F4" s="199" t="n">
        <v>0.926778091932312</v>
      </c>
    </row>
    <row r="5" customFormat="false" ht="13.8" hidden="false" customHeight="false" outlineLevel="0" collapsed="false">
      <c r="A5" s="153" t="s">
        <v>2384</v>
      </c>
      <c r="B5" s="196" t="n">
        <v>0.867473777334585</v>
      </c>
      <c r="C5" s="197" t="n">
        <v>0.908669798447706</v>
      </c>
      <c r="D5" s="197" t="n">
        <v>0.869261125625145</v>
      </c>
      <c r="E5" s="198" t="n">
        <v>0.977171325600865</v>
      </c>
      <c r="F5" s="199" t="n">
        <v>0.895932940434655</v>
      </c>
    </row>
    <row r="6" customFormat="false" ht="13.8" hidden="false" customHeight="false" outlineLevel="0" collapsed="false">
      <c r="A6" s="153" t="s">
        <v>2385</v>
      </c>
      <c r="B6" s="196" t="n">
        <v>0.994111721418613</v>
      </c>
      <c r="C6" s="197" t="n">
        <v>1.07774376051955</v>
      </c>
      <c r="D6" s="197" t="n">
        <v>0.995257894082377</v>
      </c>
      <c r="E6" s="198" t="n">
        <v>0.950457472370196</v>
      </c>
      <c r="F6" s="199" t="n">
        <v>1.00603926661001</v>
      </c>
    </row>
    <row r="7" customFormat="false" ht="13.8" hidden="false" customHeight="false" outlineLevel="0" collapsed="false">
      <c r="A7" s="153" t="s">
        <v>2386</v>
      </c>
      <c r="B7" s="196" t="n">
        <v>0.800560772293104</v>
      </c>
      <c r="C7" s="197" t="n">
        <v>0.819278345990738</v>
      </c>
      <c r="D7" s="197" t="n">
        <v>0.79539868955985</v>
      </c>
      <c r="E7" s="198" t="n">
        <v>0.750131245632425</v>
      </c>
      <c r="F7" s="199" t="n">
        <v>0.789296612179385</v>
      </c>
    </row>
    <row r="8" customFormat="false" ht="13.8" hidden="false" customHeight="false" outlineLevel="0" collapsed="false">
      <c r="A8" s="153" t="s">
        <v>2387</v>
      </c>
      <c r="B8" s="196" t="n">
        <v>0.86583963269828</v>
      </c>
      <c r="C8" s="197" t="n">
        <v>0.828807451238326</v>
      </c>
      <c r="D8" s="197" t="n">
        <v>0.79626197824066</v>
      </c>
      <c r="E8" s="198" t="n">
        <v>0.790799485327932</v>
      </c>
      <c r="F8" s="199" t="n">
        <v>0.817068805090911</v>
      </c>
    </row>
    <row r="9" customFormat="false" ht="13.8" hidden="false" customHeight="false" outlineLevel="0" collapsed="false">
      <c r="A9" s="153" t="s">
        <v>52</v>
      </c>
      <c r="B9" s="196" t="n">
        <v>0.812573107058857</v>
      </c>
      <c r="C9" s="197" t="n">
        <v>0.780162770950006</v>
      </c>
      <c r="D9" s="197" t="n">
        <v>0.773163835991754</v>
      </c>
      <c r="E9" s="198" t="n">
        <v>0.772809699931702</v>
      </c>
      <c r="F9" s="199" t="n">
        <v>0.784164806010796</v>
      </c>
    </row>
    <row r="10" customFormat="false" ht="13.8" hidden="false" customHeight="false" outlineLevel="0" collapsed="false">
      <c r="A10" s="153" t="s">
        <v>2389</v>
      </c>
      <c r="B10" s="200" t="n">
        <v>0.804335066276789</v>
      </c>
      <c r="C10" s="201" t="n">
        <v>0.678602817959713</v>
      </c>
      <c r="D10" s="201" t="n">
        <v>0.645402110383243</v>
      </c>
      <c r="E10" s="202" t="n">
        <v>0.751013434147578</v>
      </c>
      <c r="F10" s="203" t="n">
        <v>0.713556435954548</v>
      </c>
    </row>
    <row r="11" customFormat="false" ht="13.8" hidden="false" customHeight="false" outlineLevel="0" collapsed="false">
      <c r="A11" s="164" t="s">
        <v>2383</v>
      </c>
      <c r="B11" s="204" t="n">
        <v>0.830186023753687</v>
      </c>
      <c r="C11" s="205" t="n">
        <v>0.844820579829113</v>
      </c>
      <c r="D11" s="205" t="n">
        <v>0.866144087830008</v>
      </c>
      <c r="E11" s="206" t="n">
        <v>0.842645701134411</v>
      </c>
      <c r="F11" s="207" t="n">
        <v>0.846277343451977</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3" activeCellId="0" sqref="B3"/>
    </sheetView>
  </sheetViews>
  <sheetFormatPr defaultColWidth="9.14453125" defaultRowHeight="12.8" zeroHeight="false" outlineLevelRow="0" outlineLevelCol="0"/>
  <cols>
    <col collapsed="false" customWidth="true" hidden="false" outlineLevel="0" max="2" min="1" style="0" width="35.43"/>
    <col collapsed="false" customWidth="true" hidden="false" outlineLevel="0" max="3" min="3" style="0" width="12.98"/>
    <col collapsed="false" customWidth="true" hidden="false" outlineLevel="0" max="4" min="4" style="0" width="16.87"/>
    <col collapsed="false" customWidth="true" hidden="false" outlineLevel="0" max="5" min="5" style="0" width="20.02"/>
    <col collapsed="false" customWidth="true" hidden="false" outlineLevel="0" max="6" min="6" style="0" width="27.79"/>
  </cols>
  <sheetData>
    <row r="1" customFormat="false" ht="13.8" hidden="false" customHeight="false" outlineLevel="0" collapsed="false">
      <c r="A1" s="140" t="s">
        <v>2395</v>
      </c>
      <c r="B1" s="141" t="s">
        <v>87</v>
      </c>
      <c r="C1" s="142"/>
      <c r="D1" s="142"/>
      <c r="E1" s="142"/>
      <c r="F1" s="143"/>
    </row>
    <row r="2" customFormat="false" ht="13.8" hidden="false" customHeight="false" outlineLevel="0" collapsed="false">
      <c r="A2" s="144" t="s">
        <v>14</v>
      </c>
      <c r="B2" s="145" t="n">
        <v>8</v>
      </c>
      <c r="C2" s="146" t="n">
        <v>9</v>
      </c>
      <c r="D2" s="146" t="n">
        <v>10</v>
      </c>
      <c r="E2" s="146" t="n">
        <v>11</v>
      </c>
      <c r="F2" s="147" t="s">
        <v>2383</v>
      </c>
    </row>
    <row r="3" customFormat="false" ht="13.8" hidden="false" customHeight="false" outlineLevel="0" collapsed="false">
      <c r="A3" s="148" t="s">
        <v>71</v>
      </c>
      <c r="B3" s="208" t="n">
        <v>2430.33928571429</v>
      </c>
      <c r="C3" s="209" t="n">
        <v>2340.22222222222</v>
      </c>
      <c r="D3" s="209" t="n">
        <v>2678.9</v>
      </c>
      <c r="E3" s="210" t="n">
        <v>2514.38095238095</v>
      </c>
      <c r="F3" s="211" t="n">
        <v>2487.99103139013</v>
      </c>
    </row>
    <row r="4" customFormat="false" ht="13.8" hidden="false" customHeight="false" outlineLevel="0" collapsed="false">
      <c r="A4" s="153" t="s">
        <v>64</v>
      </c>
      <c r="B4" s="212" t="n">
        <v>372.05</v>
      </c>
      <c r="C4" s="213" t="n">
        <v>558.394736842105</v>
      </c>
      <c r="D4" s="213" t="n">
        <v>725.110227272727</v>
      </c>
      <c r="E4" s="214" t="n">
        <v>837.814814814815</v>
      </c>
      <c r="F4" s="215" t="n">
        <v>620.16464354528</v>
      </c>
    </row>
    <row r="5" customFormat="false" ht="13.8" hidden="false" customHeight="false" outlineLevel="0" collapsed="false">
      <c r="A5" s="153" t="s">
        <v>2384</v>
      </c>
      <c r="B5" s="212" t="n">
        <v>3118.325</v>
      </c>
      <c r="C5" s="213" t="n">
        <v>2749.39534883721</v>
      </c>
      <c r="D5" s="213" t="n">
        <v>2845.01851851852</v>
      </c>
      <c r="E5" s="214" t="n">
        <v>3672.6</v>
      </c>
      <c r="F5" s="215" t="n">
        <v>3014.83333333333</v>
      </c>
    </row>
    <row r="6" customFormat="false" ht="13.8" hidden="false" customHeight="false" outlineLevel="0" collapsed="false">
      <c r="A6" s="153" t="s">
        <v>2385</v>
      </c>
      <c r="B6" s="212" t="n">
        <v>4480.94736842105</v>
      </c>
      <c r="C6" s="213" t="n">
        <v>5113.45945945946</v>
      </c>
      <c r="D6" s="213" t="n">
        <v>4765.625</v>
      </c>
      <c r="E6" s="214" t="n">
        <v>4492.8717948718</v>
      </c>
      <c r="F6" s="215" t="n">
        <v>4738.93277310924</v>
      </c>
    </row>
    <row r="7" customFormat="false" ht="13.8" hidden="false" customHeight="false" outlineLevel="0" collapsed="false">
      <c r="A7" s="153" t="s">
        <v>2386</v>
      </c>
      <c r="B7" s="212" t="n">
        <v>5506.66666666667</v>
      </c>
      <c r="C7" s="213" t="n">
        <v>5537.03773584906</v>
      </c>
      <c r="D7" s="213" t="n">
        <v>5876.0243902439</v>
      </c>
      <c r="E7" s="214" t="n">
        <v>5492.1320754717</v>
      </c>
      <c r="F7" s="215" t="n">
        <v>5601.80357142857</v>
      </c>
    </row>
    <row r="8" customFormat="false" ht="13.8" hidden="false" customHeight="false" outlineLevel="0" collapsed="false">
      <c r="A8" s="153" t="s">
        <v>2387</v>
      </c>
      <c r="B8" s="212" t="n">
        <v>4736.72413793103</v>
      </c>
      <c r="C8" s="213" t="n">
        <v>4477.32786885246</v>
      </c>
      <c r="D8" s="213" t="n">
        <v>4317.94827586207</v>
      </c>
      <c r="E8" s="214" t="n">
        <v>4317.07865168539</v>
      </c>
      <c r="F8" s="215" t="n">
        <v>4445.51879699248</v>
      </c>
    </row>
    <row r="9" customFormat="false" ht="13.8" hidden="false" customHeight="false" outlineLevel="0" collapsed="false">
      <c r="A9" s="153" t="s">
        <v>2375</v>
      </c>
      <c r="B9" s="212" t="n">
        <v>7116.57894736842</v>
      </c>
      <c r="C9" s="213" t="n">
        <v>5728.88888888889</v>
      </c>
      <c r="D9" s="158"/>
      <c r="E9" s="159"/>
      <c r="F9" s="215" t="n">
        <v>6850.85106382979</v>
      </c>
    </row>
    <row r="10" customFormat="false" ht="13.8" hidden="false" customHeight="false" outlineLevel="0" collapsed="false">
      <c r="A10" s="153" t="s">
        <v>52</v>
      </c>
      <c r="B10" s="212" t="n">
        <v>6003.68181818182</v>
      </c>
      <c r="C10" s="213" t="n">
        <v>5445.25</v>
      </c>
      <c r="D10" s="213" t="n">
        <v>5933.7</v>
      </c>
      <c r="E10" s="214" t="n">
        <v>5660.05660377359</v>
      </c>
      <c r="F10" s="215" t="n">
        <v>5738.86772486773</v>
      </c>
    </row>
    <row r="11" customFormat="false" ht="13.8" hidden="false" customHeight="false" outlineLevel="0" collapsed="false">
      <c r="A11" s="153" t="s">
        <v>2388</v>
      </c>
      <c r="B11" s="212" t="n">
        <v>6413.95833333333</v>
      </c>
      <c r="C11" s="213" t="n">
        <v>6208.72580645161</v>
      </c>
      <c r="D11" s="213" t="n">
        <v>8073.77083333333</v>
      </c>
      <c r="E11" s="214" t="n">
        <v>7691.82692307692</v>
      </c>
      <c r="F11" s="215" t="n">
        <v>7049.17619047619</v>
      </c>
    </row>
    <row r="12" customFormat="false" ht="13.8" hidden="false" customHeight="false" outlineLevel="0" collapsed="false">
      <c r="A12" s="153" t="s">
        <v>2389</v>
      </c>
      <c r="B12" s="216" t="n">
        <v>7365.14285714286</v>
      </c>
      <c r="C12" s="217" t="n">
        <v>5711.63333333333</v>
      </c>
      <c r="D12" s="217" t="n">
        <v>5516.88235294118</v>
      </c>
      <c r="E12" s="218" t="n">
        <v>6337.40909090909</v>
      </c>
      <c r="F12" s="219" t="n">
        <v>6180.43859649123</v>
      </c>
    </row>
    <row r="13" customFormat="false" ht="13.8" hidden="false" customHeight="false" outlineLevel="0" collapsed="false">
      <c r="A13" s="164" t="s">
        <v>2383</v>
      </c>
      <c r="B13" s="220" t="n">
        <v>4403.92228571429</v>
      </c>
      <c r="C13" s="221" t="n">
        <v>3992.86529126214</v>
      </c>
      <c r="D13" s="221" t="n">
        <v>4119.65724431818</v>
      </c>
      <c r="E13" s="222" t="n">
        <v>4305.28945147679</v>
      </c>
      <c r="F13" s="223" t="n">
        <v>4199.56393859068</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2217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2016-02-03T08:55:42Z</dcterms:created>
  <dc:creator>production</dc:creator>
  <dc:description/>
  <dc:language>en-IN</dc:language>
  <cp:lastModifiedBy/>
  <cp:lastPrinted>2021-08-28T00:13:46Z</cp:lastPrinted>
  <dcterms:modified xsi:type="dcterms:W3CDTF">2021-12-21T14:29:29Z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